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customProperty11.bin" ContentType="application/vnd.openxmlformats-officedocument.spreadsheetml.customProperty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RGELU\Downloads\SQL Agent_Final\temp_uploads\"/>
    </mc:Choice>
  </mc:AlternateContent>
  <xr:revisionPtr revIDLastSave="0" documentId="13_ncr:1_{D605D380-62FD-4700-AD8C-B051295A24CE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Matrix Flash Report" sheetId="43" state="hidden" r:id="rId1"/>
    <sheet name="Flash Report" sheetId="45" r:id="rId2"/>
    <sheet name="Benelux" sheetId="37" r:id="rId3"/>
    <sheet name="H7H9 BENELUX" sheetId="41" r:id="rId4"/>
    <sheet name="Matrix Benelux H7" sheetId="28" state="hidden" r:id="rId5"/>
    <sheet name="Matrix Belgium H7" sheetId="29" state="hidden" r:id="rId6"/>
    <sheet name="Matrix Netherlands H7" sheetId="30" state="hidden" r:id="rId7"/>
    <sheet name="Matrix Benelux H9" sheetId="31" state="hidden" r:id="rId8"/>
    <sheet name="Matrix Belgium H9" sheetId="32" state="hidden" r:id="rId9"/>
    <sheet name="Matrix Netherlands H9" sheetId="33" state="hidden" r:id="rId10"/>
    <sheet name="Matrix Group H7 H9" sheetId="34" state="hidden" r:id="rId11"/>
  </sheets>
  <externalReferences>
    <externalReference r:id="rId12"/>
    <externalReference r:id="rId13"/>
    <externalReference r:id="rId14"/>
  </externalReferences>
  <definedNames>
    <definedName name="LL_COR_BE_SEC_ACT" localSheetId="0">#REF!</definedName>
    <definedName name="LL_COR_BE_SEC_ACT">#REF!</definedName>
    <definedName name="LL_COR_BE_SEC_PLAN" localSheetId="0">#REF!</definedName>
    <definedName name="LL_COR_BE_SEC_PLAN">#REF!</definedName>
    <definedName name="LL_COR_BE_SEC_PREV">#REF!</definedName>
    <definedName name="LL_COR_BE_YTD_ACT">#REF!</definedName>
    <definedName name="LL_COR_BE_YTD_PLAN">#REF!</definedName>
    <definedName name="LL_COR_BE_YTD_PREV">#REF!</definedName>
    <definedName name="LL_COR_BR_SEC">#REF!</definedName>
    <definedName name="LL_COR_BR_SEC_PLAN">#REF!</definedName>
    <definedName name="LL_COR_BR_SEC_PREV">#REF!</definedName>
    <definedName name="LL_COR_BR_YTD">#REF!</definedName>
    <definedName name="LL_COR_BR_YTD_PLAN">#REF!</definedName>
    <definedName name="LL_COR_BR_YTD_PREV">#REF!</definedName>
    <definedName name="LL_COR_UA_SEC">#REF!</definedName>
    <definedName name="LL_COR_UA_SEC_PLAN">#REF!</definedName>
    <definedName name="LL_COR_UA_SEC_PREV">#REF!</definedName>
    <definedName name="LL_COR_UA_YTD">#REF!</definedName>
    <definedName name="LL_COR_UA_YTD_PLAN">#REF!</definedName>
    <definedName name="LL_COR_UA_YTD_PREV">#REF!</definedName>
    <definedName name="LL_FLE_BR_SEC">#REF!</definedName>
    <definedName name="LL_FLE_BR_SEC_PLAN">#REF!</definedName>
    <definedName name="LL_FLE_BR_SEC_PREV">#REF!</definedName>
    <definedName name="LL_FLE_BR_YTD">#REF!</definedName>
    <definedName name="LL_FLE_BR_YTD_PLAN">#REF!</definedName>
    <definedName name="LL_FLE_BR_YTD_PREV">#REF!</definedName>
    <definedName name="LL_FLE_UA_SEC">#REF!</definedName>
    <definedName name="LL_FLE_UA_SEC_PLAN">#REF!</definedName>
    <definedName name="LL_FLE_UA_SEC_PREV">#REF!</definedName>
    <definedName name="LL_FLE_UA_YTD">#REF!</definedName>
    <definedName name="LL_FLE_UA_YTD_PLAN">#REF!</definedName>
    <definedName name="LL_FLE_UA_YTD_PREV">#REF!</definedName>
    <definedName name="LL_IBNR_COR_BE_SEC_ACT">#REF!</definedName>
    <definedName name="LL_IBNR_COR_BE_SEC_PLAN">#REF!</definedName>
    <definedName name="LL_IBNR_COR_BE_SEC_PREV">#REF!</definedName>
    <definedName name="LL_IBNR_COR_BE_YTD_ACT">#REF!</definedName>
    <definedName name="LL_IBNR_COR_BE_YTD_PLAN">#REF!</definedName>
    <definedName name="LL_IBNR_COR_BE_YTD_PREV">#REF!</definedName>
    <definedName name="LL_IBNR_COR_BR_SEC">#REF!</definedName>
    <definedName name="LL_IBNR_COR_BR_SEC_PLAN">#REF!</definedName>
    <definedName name="LL_IBNR_COR_BR_SEC_PREV">#REF!</definedName>
    <definedName name="LL_IBNR_COR_BR_YTD">#REF!</definedName>
    <definedName name="LL_IBNR_COR_BR_YTD_PLAN">#REF!</definedName>
    <definedName name="LL_IBNR_COR_BR_YTD_PREV">#REF!</definedName>
    <definedName name="LL_IBNR_COR_UA_SEC">#REF!</definedName>
    <definedName name="LL_IBNR_COR_UA_SEC_PLAN">#REF!</definedName>
    <definedName name="LL_IBNR_COR_UA_SEC_PREV">#REF!</definedName>
    <definedName name="LL_IBNR_COR_UA_YTD">#REF!</definedName>
    <definedName name="LL_IBNR_COR_UA_YTD_PLAN">#REF!</definedName>
    <definedName name="LL_IBNR_COR_UA_YTD_PREV">#REF!</definedName>
    <definedName name="LL_IBNR_FLE_BR_SEC">#REF!</definedName>
    <definedName name="LL_IBNR_FLE_BR_SEC_PLAN">#REF!</definedName>
    <definedName name="LL_IBNR_FLE_BR_SEC_PREV">#REF!</definedName>
    <definedName name="LL_IBNR_FLE_BR_YTD">#REF!</definedName>
    <definedName name="LL_IBNR_FLE_BR_YTD_PLAN">#REF!</definedName>
    <definedName name="LL_IBNR_FLE_BR_YTD_PREV">#REF!</definedName>
    <definedName name="LL_IBNR_FLE_UA_SEC">#REF!</definedName>
    <definedName name="LL_IBNR_FLE_UA_SEC_PLAN">#REF!</definedName>
    <definedName name="LL_IBNR_FLE_UA_SEC_PREV">#REF!</definedName>
    <definedName name="LL_IBNR_FLE_UA_YTD">#REF!</definedName>
    <definedName name="LL_IBNR_FLE_UA_YTD_PLAN">#REF!</definedName>
    <definedName name="LL_IBNR_FLE_UA_YTD_PREV">#REF!</definedName>
    <definedName name="LL_IBNR_LUX_BE_SEC_ACT">#REF!</definedName>
    <definedName name="LL_IBNR_LUX_BE_SEC_PLAN">#REF!</definedName>
    <definedName name="LL_IBNR_LUX_BE_SEC_PREV">#REF!</definedName>
    <definedName name="LL_IBNR_LUX_BE_YTD_ACT">#REF!</definedName>
    <definedName name="LL_IBNR_LUX_BE_YTD_PLAN">#REF!</definedName>
    <definedName name="LL_IBNR_LUX_BE_YTD_PREV">#REF!</definedName>
    <definedName name="LL_IBNR_OTH_BR_SEC">#REF!</definedName>
    <definedName name="LL_IBNR_OTH_BR_SEC_PLAN">#REF!</definedName>
    <definedName name="LL_IBNR_OTH_BR_SEC_PREV">#REF!</definedName>
    <definedName name="LL_IBNR_OTH_BR_YTD">#REF!</definedName>
    <definedName name="LL_IBNR_OTH_BR_YTD_PLAN">#REF!</definedName>
    <definedName name="LL_IBNR_OTH_BR_YTD_PREV">#REF!</definedName>
    <definedName name="LL_IBNR_RET_BE_SEC_ACT">#REF!</definedName>
    <definedName name="LL_IBNR_RET_BE_SEC_PLAN">#REF!</definedName>
    <definedName name="LL_IBNR_RET_BE_SEC_PREV">#REF!</definedName>
    <definedName name="LL_IBNR_RET_BE_YTD_ACT">#REF!</definedName>
    <definedName name="LL_IBNR_RET_BE_YTD_PLAN">#REF!</definedName>
    <definedName name="LL_IBNR_RET_BE_YTD_PREV">#REF!</definedName>
    <definedName name="LL_IBNR_RET_BR_SEC">#REF!</definedName>
    <definedName name="LL_IBNR_RET_BR_SEC_PLAN">#REF!</definedName>
    <definedName name="LL_IBNR_RET_BR_SEC_PREV">#REF!</definedName>
    <definedName name="LL_IBNR_RET_BR_YTD">#REF!</definedName>
    <definedName name="LL_IBNR_RET_BR_YTD_PLAN">#REF!</definedName>
    <definedName name="LL_IBNR_RET_BR_YTD_PREV">#REF!</definedName>
    <definedName name="LL_IBNR_RET_DI_SEC">#REF!</definedName>
    <definedName name="LL_IBNR_RET_DI_SEC_PLAN">#REF!</definedName>
    <definedName name="LL_IBNR_RET_DI_SEC_PREV">#REF!</definedName>
    <definedName name="LL_IBNR_RET_DI_YTD">#REF!</definedName>
    <definedName name="LL_IBNR_RET_DI_YTD_PLAN">#REF!</definedName>
    <definedName name="LL_IBNR_RET_DI_YTD_PREV">#REF!</definedName>
    <definedName name="LL_IBNR_RET_UA_SEC">#REF!</definedName>
    <definedName name="LL_IBNR_RET_UA_SEC_PLAN">#REF!</definedName>
    <definedName name="LL_IBNR_RET_UA_SEC_PREV">#REF!</definedName>
    <definedName name="LL_IBNR_RET_UA_YTD">#REF!</definedName>
    <definedName name="LL_IBNR_RET_UA_YTD_PLAN">#REF!</definedName>
    <definedName name="LL_IBNR_RET_UA_YTD_PREV">#REF!</definedName>
    <definedName name="LL_IBNR_SME_BE_SEC_ACT">#REF!</definedName>
    <definedName name="LL_IBNR_SME_BE_SEC_PLAN">#REF!</definedName>
    <definedName name="LL_IBNR_SME_BE_SEC_PREV">#REF!</definedName>
    <definedName name="LL_IBNR_SME_BE_YTD_ACT">#REF!</definedName>
    <definedName name="LL_IBNR_SME_BE_YTD_PLAN">#REF!</definedName>
    <definedName name="LL_IBNR_SME_BE_YTD_PREV">#REF!</definedName>
    <definedName name="LL_IBNR_SME_BR_SEC">#REF!</definedName>
    <definedName name="LL_IBNR_SME_BR_SEC_PLAN">#REF!</definedName>
    <definedName name="LL_IBNR_SME_BR_SEC_PREV">#REF!</definedName>
    <definedName name="LL_IBNR_SME_BR_YTD">#REF!</definedName>
    <definedName name="LL_IBNR_SME_BR_YTD_PLAN">#REF!</definedName>
    <definedName name="LL_IBNR_SME_BR_YTD_PREV">#REF!</definedName>
    <definedName name="LL_IBNR_SME_UA_SEC">#REF!</definedName>
    <definedName name="LL_IBNR_SME_UA_SEC_PLAN">#REF!</definedName>
    <definedName name="LL_IBNR_SME_UA_SEC_PREV">#REF!</definedName>
    <definedName name="LL_IBNR_SME_UA_YTD">#REF!</definedName>
    <definedName name="LL_IBNR_SME_UA_YTD_PLAN">#REF!</definedName>
    <definedName name="LL_IBNR_SME_UA_YTD_PREV">#REF!</definedName>
    <definedName name="LL_IBNR_TOT_BR_SEC">#REF!</definedName>
    <definedName name="LL_IBNR_TOT_BR_SEC_PREV">#REF!</definedName>
    <definedName name="LL_IBNR_TOT_BR_YTD">#REF!</definedName>
    <definedName name="LL_IBNR_TOT_BR_YTD_IBNR">#REF!</definedName>
    <definedName name="LL_IBNR_TOT_BR_YTD_PLAN">#REF!</definedName>
    <definedName name="LL_IBNR_TOT_BR_YTD_PREV">#REF!</definedName>
    <definedName name="LL_LUX_BE_SEC_ACT">#REF!</definedName>
    <definedName name="LL_LUX_BE_SEC_PLAN">#REF!</definedName>
    <definedName name="LL_LUX_BE_SEC_PREV">#REF!</definedName>
    <definedName name="LL_LUX_BE_YTD_ACT">#REF!</definedName>
    <definedName name="LL_LUX_BE_YTD_PLAN">#REF!</definedName>
    <definedName name="LL_LUX_BE_YTD_PREV">#REF!</definedName>
    <definedName name="LL_OTH_BR_SEC">#REF!</definedName>
    <definedName name="LL_OTH_BR_SEC_PLAN">#REF!</definedName>
    <definedName name="LL_OTH_BR_SEC_PREV">#REF!</definedName>
    <definedName name="LL_OTH_BR_YTD">#REF!</definedName>
    <definedName name="LL_OTH_BR_YTD_PLAN">#REF!</definedName>
    <definedName name="LL_OTH_BR_YTD_PREV">#REF!</definedName>
    <definedName name="LL_RET_BE_SEC_ACT">#REF!</definedName>
    <definedName name="LL_RET_BE_SEC_PLAN">#REF!</definedName>
    <definedName name="LL_RET_BE_SEC_PREV">#REF!</definedName>
    <definedName name="LL_RET_BE_YTD_ACT">#REF!</definedName>
    <definedName name="LL_RET_BE_YTD_PLAN">#REF!</definedName>
    <definedName name="LL_RET_BE_YTD_PREV">#REF!</definedName>
    <definedName name="LL_RET_BR_SEC">#REF!</definedName>
    <definedName name="LL_RET_BR_SEC_PLAN">#REF!</definedName>
    <definedName name="LL_RET_BR_SEC_PREV">#REF!</definedName>
    <definedName name="LL_RET_BR_YTD">#REF!</definedName>
    <definedName name="LL_RET_BR_YTD_PLAN">#REF!</definedName>
    <definedName name="LL_RET_BR_YTD_PREV">#REF!</definedName>
    <definedName name="LL_RET_DI_SEC">#REF!</definedName>
    <definedName name="LL_RET_DI_SEC_PLAN">#REF!</definedName>
    <definedName name="LL_RET_DI_SEC_PREV">#REF!</definedName>
    <definedName name="LL_RET_DI_YTD">#REF!</definedName>
    <definedName name="LL_RET_DI_YTD_PLAN">#REF!</definedName>
    <definedName name="LL_RET_DI_YTD_PREV">#REF!</definedName>
    <definedName name="LL_RET_UA_SEC">#REF!</definedName>
    <definedName name="LL_RET_UA_SEC_PLAN">#REF!</definedName>
    <definedName name="LL_RET_UA_SEC_PREV">#REF!</definedName>
    <definedName name="LL_RET_UA_YTD">#REF!</definedName>
    <definedName name="LL_RET_UA_YTD_PLAN">#REF!</definedName>
    <definedName name="LL_RET_UA_YTD_PREV">#REF!</definedName>
    <definedName name="LL_SME_BE_SEC_ACT">#REF!</definedName>
    <definedName name="LL_SME_BE_SEC_PLAN">#REF!</definedName>
    <definedName name="LL_SME_BE_SEC_PREV">#REF!</definedName>
    <definedName name="LL_SME_BE_YTD_ACT">#REF!</definedName>
    <definedName name="LL_SME_BE_YTD_PLAN">#REF!</definedName>
    <definedName name="LL_SME_BE_YTD_PREV">#REF!</definedName>
    <definedName name="LL_SME_BR_SEC">#REF!</definedName>
    <definedName name="LL_SME_BR_SEC_PLAN">#REF!</definedName>
    <definedName name="LL_SME_BR_SEC_PREV">#REF!</definedName>
    <definedName name="LL_SME_BR_YTD">#REF!</definedName>
    <definedName name="LL_SME_BR_YTD_PLAN">#REF!</definedName>
    <definedName name="LL_SME_BR_YTD_PREV">#REF!</definedName>
    <definedName name="LL_SME_UA_SEC">#REF!</definedName>
    <definedName name="LL_SME_UA_SEC_PLAN">#REF!</definedName>
    <definedName name="LL_SME_UA_SEC_PREV">#REF!</definedName>
    <definedName name="LL_SME_UA_YTD">#REF!</definedName>
    <definedName name="LL_SME_UA_YTD_PLAN">#REF!</definedName>
    <definedName name="LL_SME_UA_YTD_PREV">#REF!</definedName>
    <definedName name="LL_TOT_BR_SEC">#REF!</definedName>
    <definedName name="LL_TOT_BR_SEC_PLAN">#REF!</definedName>
    <definedName name="LL_TOT_BR_SEC_PREV">#REF!</definedName>
    <definedName name="LL_TOT_BR_YTD">#REF!</definedName>
    <definedName name="LL_TOT_BR_YTD_PLAN">#REF!</definedName>
    <definedName name="LL_TOT_BR_YTD_PREV">#REF!</definedName>
    <definedName name="Month" localSheetId="0">#REF!</definedName>
    <definedName name="Month">#REF!</definedName>
    <definedName name="MonthName">#REF!</definedName>
    <definedName name="NatCat_COR_BR_SEC" localSheetId="0">#REF!</definedName>
    <definedName name="NatCat_COR_BR_SEC">#REF!</definedName>
    <definedName name="NatCat_COR_BR_SEC_PLAN" localSheetId="0">#REF!</definedName>
    <definedName name="NatCat_COR_BR_SEC_PLAN">#REF!</definedName>
    <definedName name="NatCat_COR_BR_SEC_PREV" localSheetId="0">#REF!</definedName>
    <definedName name="NatCat_COR_BR_SEC_PREV">#REF!</definedName>
    <definedName name="NatCat_COR_BR_YTD">#REF!</definedName>
    <definedName name="NatCat_COR_BR_YTD_PLAN">#REF!</definedName>
    <definedName name="NatCat_COR_BR_YTD_PREV">#REF!</definedName>
    <definedName name="NatCat_COR_UA_SEC">#REF!</definedName>
    <definedName name="NatCat_COR_UA_SEC_PLAN">#REF!</definedName>
    <definedName name="NatCat_COR_UA_SEC_PREV">#REF!</definedName>
    <definedName name="NatCat_COR_UA_YTD">#REF!</definedName>
    <definedName name="NatCat_COR_UA_YTD_PLAN">#REF!</definedName>
    <definedName name="NatCat_COR_UA_YTD_PREV">#REF!</definedName>
    <definedName name="NatCat_FLE_BR_SEC">#REF!</definedName>
    <definedName name="NatCat_FLE_BR_SEC_PLAN">#REF!</definedName>
    <definedName name="NatCat_FLE_BR_SEC_PREV">#REF!</definedName>
    <definedName name="NatCat_FLE_BR_YTD">#REF!</definedName>
    <definedName name="NatCat_FLE_BR_YTD_PLAN">#REF!</definedName>
    <definedName name="NatCat_FLE_BR_YTD_PREV">#REF!</definedName>
    <definedName name="NatCat_FLE_UA_SEC">#REF!</definedName>
    <definedName name="NatCat_FLE_UA_SEC_PLAN">#REF!</definedName>
    <definedName name="NatCat_FLE_UA_SEC_PREV">#REF!</definedName>
    <definedName name="NatCat_FLE_UA_YTD">#REF!</definedName>
    <definedName name="NatCat_FLE_UA_YTD_PLAN">#REF!</definedName>
    <definedName name="NatCat_FLE_UA_YTD_PREV">#REF!</definedName>
    <definedName name="NatCat_OTH_BR_SEC">#REF!</definedName>
    <definedName name="NatCat_OTH_BR_SEC_PLAN">#REF!</definedName>
    <definedName name="NatCat_OTH_BR_SEC_PREV">#REF!</definedName>
    <definedName name="NatCat_OTH_BR_YTD">#REF!</definedName>
    <definedName name="NatCat_OTH_BR_YTD_PLAN">#REF!</definedName>
    <definedName name="NatCat_OTH_BR_YTD_PREV">#REF!</definedName>
    <definedName name="NatCat_RET_BR_SEC">#REF!</definedName>
    <definedName name="NatCat_RET_BR_SEC_PLAN">#REF!</definedName>
    <definedName name="NatCat_RET_BR_SEC_PREV">#REF!</definedName>
    <definedName name="NatCat_RET_BR_YTD">#REF!</definedName>
    <definedName name="NatCat_RET_BR_YTD_PLAN">#REF!</definedName>
    <definedName name="NatCat_RET_BR_YTD_PREV">#REF!</definedName>
    <definedName name="NatCat_RET_DI_SEC">#REF!</definedName>
    <definedName name="NatCat_RET_DI_SEC_PLAN">#REF!</definedName>
    <definedName name="NatCat_RET_DI_SEC_PREV">#REF!</definedName>
    <definedName name="NatCat_RET_DI_YTD">#REF!</definedName>
    <definedName name="NatCat_RET_DI_YTD_PLAN">#REF!</definedName>
    <definedName name="NatCat_RET_DI_YTD_PREV">#REF!</definedName>
    <definedName name="NatCat_RET_UA_SEC">#REF!</definedName>
    <definedName name="NatCat_RET_UA_SEC_PLAN">#REF!</definedName>
    <definedName name="NatCat_RET_UA_SEC_PREV">#REF!</definedName>
    <definedName name="NatCat_RET_UA_YTD">#REF!</definedName>
    <definedName name="NatCat_RET_UA_YTD_PLAN">#REF!</definedName>
    <definedName name="NatCat_RET_UA_YTD_PREV">#REF!</definedName>
    <definedName name="NatCat_SME_BR_SEC">#REF!</definedName>
    <definedName name="NatCat_SME_BR_SEC_PLAN">#REF!</definedName>
    <definedName name="NatCat_SME_BR_SEC_PREV">#REF!</definedName>
    <definedName name="NatCat_SME_BR_YTD">#REF!</definedName>
    <definedName name="NatCat_SME_BR_YTD_PLAN">#REF!</definedName>
    <definedName name="NatCat_SME_BR_YTD_PREV">#REF!</definedName>
    <definedName name="NatCat_SME_UA_SEC">#REF!</definedName>
    <definedName name="NatCat_SME_UA_SEC_PLAN">#REF!</definedName>
    <definedName name="NatCat_SME_UA_SEC_PREV">#REF!</definedName>
    <definedName name="NatCat_SME_UA_YTD">#REF!</definedName>
    <definedName name="NatCat_SME_UA_YTD_PLAN">#REF!</definedName>
    <definedName name="NatCat_SME_UA_YTD_PREV">#REF!</definedName>
    <definedName name="NatCat_TOT_BR_SEC">#REF!</definedName>
    <definedName name="NatCat_TOT_BR_SEC_PLAN">#REF!</definedName>
    <definedName name="NatCat_TOT_BR_SEC_PREV">#REF!</definedName>
    <definedName name="NatCat_TOT_BR_YTD">#REF!</definedName>
    <definedName name="NatCat_TOT_BR_YTD_PLAN">#REF!</definedName>
    <definedName name="NatCat_TOT_BR_YTD_PREV">#REF!</definedName>
    <definedName name="NC_COR_BE_SEC_ACT">#REF!</definedName>
    <definedName name="NC_COR_BE_SEC_PLAN">#REF!</definedName>
    <definedName name="NC_COR_BE_SEC_PREV">#REF!</definedName>
    <definedName name="NC_COR_BE_YTD_ACT">#REF!</definedName>
    <definedName name="NC_COR_BE_YTD_PLAN">#REF!</definedName>
    <definedName name="NC_COR_BE_YTD_PREV">#REF!</definedName>
    <definedName name="NC_LUX_BE_SEC_ACT">#REF!</definedName>
    <definedName name="NC_LUX_BE_SEC_PLAN">#REF!</definedName>
    <definedName name="NC_LUX_BE_SEC_PREV">#REF!</definedName>
    <definedName name="NC_LUX_BE_YTD_ACT">#REF!</definedName>
    <definedName name="NC_LUX_BE_YTD_PLAN">#REF!</definedName>
    <definedName name="NC_LUX_BE_YTD_PREV">#REF!</definedName>
    <definedName name="NC_RET_BE_SEC_ACT">#REF!</definedName>
    <definedName name="NC_RET_BE_SEC_PLAN">#REF!</definedName>
    <definedName name="NC_RET_BE_SEC_PREV">#REF!</definedName>
    <definedName name="NC_RET_BE_YTD_ACT">#REF!</definedName>
    <definedName name="NC_RET_BE_YTD_PLAN">#REF!</definedName>
    <definedName name="NC_RET_BE_YTD_PREV">#REF!</definedName>
    <definedName name="NC_SME_BE_SEC_ACT">#REF!</definedName>
    <definedName name="NC_SME_BE_SEC_PLAN">#REF!</definedName>
    <definedName name="NC_SME_BE_SEC_PREV">#REF!</definedName>
    <definedName name="NC_SME_BE_YTD_ACT">#REF!</definedName>
    <definedName name="NC_SME_BE_YTD_PLAN">#REF!</definedName>
    <definedName name="NC_SME_BE_YTD_PREV">#REF!</definedName>
    <definedName name="_xlnm.Print_Area" localSheetId="5">'Matrix Belgium H7'!$B$1:$V$272</definedName>
    <definedName name="_xlnm.Print_Area" localSheetId="8">'Matrix Belgium H9'!$B$1:$V$272</definedName>
    <definedName name="_xlnm.Print_Area" localSheetId="4">'Matrix Benelux H7'!$B$1:$Q$272</definedName>
    <definedName name="_xlnm.Print_Area" localSheetId="7">'Matrix Benelux H9'!$B$1:$Q$272</definedName>
    <definedName name="_xlnm.Print_Area" localSheetId="0">'Matrix Flash Report'!$A$1:$BT$7</definedName>
    <definedName name="_xlnm.Print_Area" localSheetId="10">'Matrix Group H7 H9'!$B$1:$CJ$21</definedName>
    <definedName name="_xlnm.Print_Area" localSheetId="6">'Matrix Netherlands H7'!$B$1:$T$272</definedName>
    <definedName name="_xlnm.Print_Area" localSheetId="9">'Matrix Netherlands H9'!$B$1:$T$272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363" i="45" l="1"/>
  <c r="BJ363" i="45"/>
  <c r="AO312" i="45"/>
  <c r="AO311" i="45"/>
  <c r="AO310" i="45"/>
  <c r="AO309" i="45"/>
  <c r="AO308" i="45"/>
  <c r="AO307" i="45"/>
  <c r="AO306" i="45"/>
  <c r="AO305" i="45"/>
  <c r="AO304" i="45"/>
  <c r="AO303" i="45"/>
  <c r="AO302" i="45"/>
  <c r="AO301" i="45"/>
  <c r="AO300" i="45"/>
  <c r="AO299" i="45"/>
  <c r="AO298" i="45"/>
  <c r="AO297" i="45"/>
  <c r="AK312" i="45"/>
  <c r="AK308" i="45"/>
  <c r="AK304" i="45"/>
  <c r="AK300" i="45"/>
  <c r="I295" i="45"/>
  <c r="I291" i="45" s="1"/>
  <c r="I287" i="45" s="1"/>
  <c r="BN278" i="45"/>
  <c r="AD266" i="45"/>
  <c r="AD269" i="45"/>
  <c r="AD272" i="45"/>
  <c r="AD275" i="45"/>
  <c r="AD278" i="45"/>
  <c r="AC264" i="45"/>
  <c r="AC265" i="45"/>
  <c r="AC266" i="45"/>
  <c r="AC267" i="45"/>
  <c r="AC268" i="45"/>
  <c r="AC269" i="45"/>
  <c r="AC270" i="45"/>
  <c r="AC271" i="45"/>
  <c r="AC272" i="45"/>
  <c r="AC273" i="45"/>
  <c r="AC274" i="45"/>
  <c r="AC275" i="45"/>
  <c r="AC276" i="45"/>
  <c r="AC277" i="45"/>
  <c r="AC278" i="45"/>
  <c r="O278" i="45"/>
  <c r="O277" i="45" s="1"/>
  <c r="O274" i="45" s="1"/>
  <c r="O273" i="45" s="1"/>
  <c r="O270" i="45" s="1"/>
  <c r="O269" i="45" s="1"/>
  <c r="N266" i="45"/>
  <c r="N269" i="45"/>
  <c r="N272" i="45"/>
  <c r="N275" i="45"/>
  <c r="N278" i="45"/>
  <c r="K265" i="45"/>
  <c r="K267" i="45"/>
  <c r="K269" i="45"/>
  <c r="K271" i="45"/>
  <c r="K273" i="45"/>
  <c r="K275" i="45"/>
  <c r="K277" i="45"/>
  <c r="J265" i="45"/>
  <c r="J267" i="45"/>
  <c r="J269" i="45"/>
  <c r="J271" i="45"/>
  <c r="J273" i="45"/>
  <c r="J275" i="45"/>
  <c r="J277" i="45"/>
  <c r="I265" i="45"/>
  <c r="I267" i="45"/>
  <c r="I269" i="45"/>
  <c r="I271" i="45"/>
  <c r="I273" i="45"/>
  <c r="I275" i="45"/>
  <c r="I277" i="45"/>
  <c r="J263" i="45"/>
  <c r="K263" i="45"/>
  <c r="F265" i="45"/>
  <c r="F267" i="45"/>
  <c r="F269" i="45"/>
  <c r="F271" i="45"/>
  <c r="F273" i="45"/>
  <c r="F275" i="45"/>
  <c r="F277" i="45"/>
  <c r="E264" i="45"/>
  <c r="E265" i="45"/>
  <c r="E266" i="45"/>
  <c r="E267" i="45"/>
  <c r="E268" i="45"/>
  <c r="E269" i="45"/>
  <c r="E270" i="45"/>
  <c r="E271" i="45"/>
  <c r="E272" i="45"/>
  <c r="E273" i="45"/>
  <c r="E274" i="45"/>
  <c r="E275" i="45"/>
  <c r="E276" i="45"/>
  <c r="E277" i="45"/>
  <c r="E278" i="45"/>
  <c r="BI247" i="45"/>
  <c r="BI248" i="45"/>
  <c r="BI249" i="45"/>
  <c r="BI250" i="45"/>
  <c r="BI251" i="45"/>
  <c r="BI252" i="45"/>
  <c r="BI253" i="45"/>
  <c r="BI254" i="45"/>
  <c r="BI255" i="45"/>
  <c r="BI256" i="45"/>
  <c r="BI257" i="45"/>
  <c r="BI258" i="45"/>
  <c r="BI259" i="45"/>
  <c r="BI260" i="45"/>
  <c r="BI261" i="45"/>
  <c r="AO247" i="45"/>
  <c r="AO248" i="45"/>
  <c r="AO249" i="45"/>
  <c r="AO250" i="45"/>
  <c r="AO251" i="45"/>
  <c r="AO252" i="45"/>
  <c r="AO253" i="45"/>
  <c r="AO254" i="45"/>
  <c r="AO255" i="45"/>
  <c r="AO256" i="45"/>
  <c r="AO257" i="45"/>
  <c r="AO258" i="45"/>
  <c r="AO259" i="45"/>
  <c r="AO260" i="45"/>
  <c r="AO261" i="45"/>
  <c r="AM247" i="45"/>
  <c r="AM248" i="45"/>
  <c r="AM249" i="45"/>
  <c r="AM250" i="45"/>
  <c r="AM251" i="45"/>
  <c r="AM252" i="45"/>
  <c r="AM253" i="45"/>
  <c r="AM254" i="45"/>
  <c r="AM255" i="45"/>
  <c r="AM256" i="45"/>
  <c r="AM257" i="45"/>
  <c r="AM258" i="45"/>
  <c r="AM259" i="45"/>
  <c r="AM260" i="45"/>
  <c r="AM261" i="45"/>
  <c r="AL247" i="45"/>
  <c r="AL248" i="45"/>
  <c r="AL249" i="45"/>
  <c r="AL250" i="45"/>
  <c r="AL251" i="45"/>
  <c r="AL252" i="45"/>
  <c r="AL253" i="45"/>
  <c r="AL254" i="45"/>
  <c r="AL255" i="45"/>
  <c r="AL256" i="45"/>
  <c r="AL257" i="45"/>
  <c r="AL258" i="45"/>
  <c r="AL259" i="45"/>
  <c r="AL260" i="45"/>
  <c r="AL261" i="45"/>
  <c r="AK247" i="45"/>
  <c r="AK248" i="45"/>
  <c r="AK249" i="45"/>
  <c r="AK250" i="45"/>
  <c r="AK251" i="45"/>
  <c r="AK252" i="45"/>
  <c r="AK253" i="45"/>
  <c r="AK254" i="45"/>
  <c r="AK255" i="45"/>
  <c r="AK256" i="45"/>
  <c r="AK257" i="45"/>
  <c r="AK258" i="45"/>
  <c r="AK259" i="45"/>
  <c r="AK260" i="45"/>
  <c r="AK261" i="45"/>
  <c r="F8" i="37"/>
  <c r="G8" i="37"/>
  <c r="M279" i="37"/>
  <c r="M280" i="37"/>
  <c r="M281" i="37"/>
  <c r="M282" i="37"/>
  <c r="M283" i="37"/>
  <c r="M284" i="37"/>
  <c r="M285" i="37"/>
  <c r="M286" i="37"/>
  <c r="M287" i="37"/>
  <c r="M288" i="37"/>
  <c r="M289" i="37"/>
  <c r="M290" i="37"/>
  <c r="M291" i="37"/>
  <c r="M292" i="37"/>
  <c r="M293" i="37"/>
  <c r="M294" i="37"/>
  <c r="M295" i="37"/>
  <c r="AE281" i="37"/>
  <c r="AE282" i="37"/>
  <c r="AE283" i="37"/>
  <c r="AE284" i="37"/>
  <c r="AE285" i="37"/>
  <c r="AE286" i="37"/>
  <c r="AE287" i="37"/>
  <c r="AE288" i="37"/>
  <c r="AE289" i="37"/>
  <c r="AE290" i="37"/>
  <c r="AE291" i="37"/>
  <c r="AE292" i="37"/>
  <c r="AE293" i="37"/>
  <c r="AE294" i="37"/>
  <c r="AE295" i="37"/>
  <c r="AD281" i="37"/>
  <c r="AD282" i="37"/>
  <c r="AD283" i="37"/>
  <c r="AD284" i="37"/>
  <c r="AD285" i="37"/>
  <c r="AD286" i="37"/>
  <c r="AD287" i="37"/>
  <c r="AD288" i="37"/>
  <c r="AD289" i="37"/>
  <c r="AD290" i="37"/>
  <c r="AD291" i="37"/>
  <c r="AD292" i="37"/>
  <c r="AD293" i="37"/>
  <c r="AD294" i="37"/>
  <c r="AD295" i="37"/>
  <c r="AC281" i="37"/>
  <c r="AC282" i="37"/>
  <c r="AC283" i="37"/>
  <c r="AC284" i="37"/>
  <c r="AC285" i="37"/>
  <c r="AC286" i="37"/>
  <c r="AC287" i="37"/>
  <c r="AC288" i="37"/>
  <c r="AC289" i="37"/>
  <c r="AC290" i="37"/>
  <c r="AC291" i="37"/>
  <c r="AC292" i="37"/>
  <c r="AC293" i="37"/>
  <c r="AC294" i="37"/>
  <c r="AC295" i="37"/>
  <c r="AA281" i="37"/>
  <c r="AA282" i="37"/>
  <c r="AA283" i="37"/>
  <c r="AA284" i="37"/>
  <c r="AA285" i="37"/>
  <c r="AA286" i="37"/>
  <c r="AA287" i="37"/>
  <c r="AA288" i="37"/>
  <c r="AA289" i="37"/>
  <c r="AA290" i="37"/>
  <c r="AA291" i="37"/>
  <c r="AA292" i="37"/>
  <c r="AA293" i="37"/>
  <c r="AA294" i="37"/>
  <c r="AA295" i="37"/>
  <c r="Z281" i="37"/>
  <c r="Z282" i="37"/>
  <c r="Z283" i="37"/>
  <c r="Z284" i="37"/>
  <c r="Z285" i="37"/>
  <c r="Z286" i="37"/>
  <c r="Z287" i="37"/>
  <c r="Z288" i="37"/>
  <c r="Z289" i="37"/>
  <c r="Z290" i="37"/>
  <c r="Z291" i="37"/>
  <c r="Z292" i="37"/>
  <c r="Z293" i="37"/>
  <c r="Z294" i="37"/>
  <c r="Z295" i="37"/>
  <c r="Y281" i="37"/>
  <c r="Y282" i="37"/>
  <c r="Y283" i="37"/>
  <c r="Y284" i="37"/>
  <c r="Y285" i="37"/>
  <c r="Y286" i="37"/>
  <c r="Y287" i="37"/>
  <c r="Y288" i="37"/>
  <c r="Y289" i="37"/>
  <c r="Y290" i="37"/>
  <c r="Y291" i="37"/>
  <c r="Y292" i="37"/>
  <c r="Y293" i="37"/>
  <c r="Y294" i="37"/>
  <c r="Y295" i="37"/>
  <c r="W281" i="37"/>
  <c r="W282" i="37"/>
  <c r="W283" i="37"/>
  <c r="W284" i="37"/>
  <c r="W285" i="37"/>
  <c r="W286" i="37"/>
  <c r="W287" i="37"/>
  <c r="W288" i="37"/>
  <c r="W289" i="37"/>
  <c r="W290" i="37"/>
  <c r="W291" i="37"/>
  <c r="W292" i="37"/>
  <c r="W293" i="37"/>
  <c r="W294" i="37"/>
  <c r="W295" i="37"/>
  <c r="U281" i="37"/>
  <c r="U282" i="37"/>
  <c r="U283" i="37"/>
  <c r="U284" i="37"/>
  <c r="U285" i="37"/>
  <c r="U286" i="37"/>
  <c r="U287" i="37"/>
  <c r="U288" i="37"/>
  <c r="U289" i="37"/>
  <c r="U290" i="37"/>
  <c r="U291" i="37"/>
  <c r="U292" i="37"/>
  <c r="U293" i="37"/>
  <c r="U294" i="37"/>
  <c r="U295" i="37"/>
  <c r="S281" i="37"/>
  <c r="S282" i="37"/>
  <c r="S283" i="37"/>
  <c r="S284" i="37"/>
  <c r="S285" i="37"/>
  <c r="S286" i="37"/>
  <c r="S287" i="37"/>
  <c r="S288" i="37"/>
  <c r="S289" i="37"/>
  <c r="S290" i="37"/>
  <c r="S291" i="37"/>
  <c r="S292" i="37"/>
  <c r="S293" i="37"/>
  <c r="S294" i="37"/>
  <c r="S295" i="37"/>
  <c r="R281" i="37"/>
  <c r="R282" i="37"/>
  <c r="R283" i="37"/>
  <c r="R284" i="37"/>
  <c r="R285" i="37"/>
  <c r="R286" i="37"/>
  <c r="R287" i="37"/>
  <c r="R288" i="37"/>
  <c r="R289" i="37"/>
  <c r="R290" i="37"/>
  <c r="R291" i="37"/>
  <c r="R292" i="37"/>
  <c r="R293" i="37"/>
  <c r="R294" i="37"/>
  <c r="R295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N281" i="37"/>
  <c r="N282" i="37"/>
  <c r="N283" i="37"/>
  <c r="N284" i="37"/>
  <c r="N285" i="37"/>
  <c r="N286" i="37"/>
  <c r="N287" i="37"/>
  <c r="N288" i="37"/>
  <c r="N289" i="37"/>
  <c r="N290" i="37"/>
  <c r="N291" i="37"/>
  <c r="N292" i="37"/>
  <c r="N293" i="37"/>
  <c r="N294" i="37"/>
  <c r="N295" i="37"/>
  <c r="E281" i="37"/>
  <c r="F281" i="37"/>
  <c r="G281" i="37"/>
  <c r="E282" i="37"/>
  <c r="F282" i="37"/>
  <c r="G282" i="37"/>
  <c r="E283" i="37"/>
  <c r="F283" i="37"/>
  <c r="G283" i="37"/>
  <c r="E284" i="37"/>
  <c r="F284" i="37"/>
  <c r="G284" i="37"/>
  <c r="E285" i="37"/>
  <c r="F285" i="37"/>
  <c r="G285" i="37"/>
  <c r="E286" i="37"/>
  <c r="F286" i="37"/>
  <c r="G286" i="37"/>
  <c r="E287" i="37"/>
  <c r="F287" i="37"/>
  <c r="G287" i="37"/>
  <c r="E288" i="37"/>
  <c r="F288" i="37"/>
  <c r="G288" i="37"/>
  <c r="E289" i="37"/>
  <c r="F289" i="37"/>
  <c r="G289" i="37"/>
  <c r="E290" i="37"/>
  <c r="F290" i="37"/>
  <c r="G290" i="37"/>
  <c r="E291" i="37"/>
  <c r="F291" i="37"/>
  <c r="G291" i="37"/>
  <c r="E292" i="37"/>
  <c r="F292" i="37"/>
  <c r="G292" i="37"/>
  <c r="E293" i="37"/>
  <c r="F293" i="37"/>
  <c r="G293" i="37"/>
  <c r="E294" i="37"/>
  <c r="F294" i="37"/>
  <c r="G294" i="37"/>
  <c r="E295" i="37"/>
  <c r="F295" i="37"/>
  <c r="G295" i="37"/>
  <c r="F280" i="37"/>
  <c r="G280" i="37"/>
  <c r="J264" i="37"/>
  <c r="J265" i="37"/>
  <c r="J266" i="37"/>
  <c r="J267" i="37"/>
  <c r="J268" i="37"/>
  <c r="J269" i="37"/>
  <c r="J270" i="37"/>
  <c r="J271" i="37"/>
  <c r="J272" i="37"/>
  <c r="J273" i="37"/>
  <c r="J274" i="37"/>
  <c r="J275" i="37"/>
  <c r="J276" i="37"/>
  <c r="J277" i="37"/>
  <c r="J278" i="37"/>
  <c r="I279" i="37"/>
  <c r="G264" i="37"/>
  <c r="G265" i="37"/>
  <c r="G266" i="37"/>
  <c r="G267" i="37"/>
  <c r="G268" i="37"/>
  <c r="G269" i="37"/>
  <c r="G270" i="37"/>
  <c r="G271" i="37"/>
  <c r="G272" i="37"/>
  <c r="G273" i="37"/>
  <c r="G274" i="37"/>
  <c r="G275" i="37"/>
  <c r="G276" i="37"/>
  <c r="G277" i="37"/>
  <c r="G278" i="37"/>
  <c r="Y111" i="37"/>
  <c r="Z111" i="37"/>
  <c r="AA111" i="37"/>
  <c r="Y112" i="37"/>
  <c r="Z112" i="37"/>
  <c r="AA112" i="37"/>
  <c r="Y113" i="37"/>
  <c r="Z113" i="37"/>
  <c r="AA113" i="37"/>
  <c r="Y114" i="37"/>
  <c r="Z114" i="37"/>
  <c r="AA114" i="37"/>
  <c r="Y115" i="37"/>
  <c r="Z115" i="37"/>
  <c r="AA115" i="37"/>
  <c r="Y116" i="37"/>
  <c r="Z116" i="37"/>
  <c r="AA116" i="37"/>
  <c r="Y117" i="37"/>
  <c r="Z117" i="37"/>
  <c r="AA117" i="37"/>
  <c r="Y118" i="37"/>
  <c r="Z118" i="37"/>
  <c r="AA118" i="37"/>
  <c r="Y119" i="37"/>
  <c r="Z119" i="37"/>
  <c r="AA119" i="37"/>
  <c r="Y120" i="37"/>
  <c r="Z120" i="37"/>
  <c r="AA120" i="37"/>
  <c r="Y121" i="37"/>
  <c r="Z121" i="37"/>
  <c r="AA121" i="37"/>
  <c r="Y122" i="37"/>
  <c r="Z122" i="37"/>
  <c r="AA122" i="37"/>
  <c r="Y123" i="37"/>
  <c r="Z123" i="37"/>
  <c r="AA123" i="37"/>
  <c r="Y124" i="37"/>
  <c r="Z124" i="37"/>
  <c r="AA124" i="37"/>
  <c r="Y125" i="37"/>
  <c r="Z125" i="37"/>
  <c r="AA125" i="37"/>
  <c r="Z110" i="37"/>
  <c r="AA110" i="37"/>
  <c r="Y60" i="37"/>
  <c r="Z60" i="37"/>
  <c r="AA60" i="37"/>
  <c r="Y61" i="37"/>
  <c r="Z61" i="37"/>
  <c r="AA61" i="37"/>
  <c r="Y62" i="37"/>
  <c r="Z62" i="37"/>
  <c r="AA62" i="37"/>
  <c r="Y63" i="37"/>
  <c r="Z63" i="37"/>
  <c r="AA63" i="37"/>
  <c r="Y64" i="37"/>
  <c r="Z64" i="37"/>
  <c r="AA64" i="37"/>
  <c r="Y65" i="37"/>
  <c r="Z65" i="37"/>
  <c r="AA65" i="37"/>
  <c r="Y66" i="37"/>
  <c r="Z66" i="37"/>
  <c r="AA66" i="37"/>
  <c r="Y67" i="37"/>
  <c r="Z67" i="37"/>
  <c r="AA67" i="37"/>
  <c r="Y68" i="37"/>
  <c r="Z68" i="37"/>
  <c r="AA68" i="37"/>
  <c r="Y69" i="37"/>
  <c r="Z69" i="37"/>
  <c r="AA69" i="37"/>
  <c r="Y70" i="37"/>
  <c r="Z70" i="37"/>
  <c r="AA70" i="37"/>
  <c r="Y71" i="37"/>
  <c r="Z71" i="37"/>
  <c r="AA71" i="37"/>
  <c r="Y72" i="37"/>
  <c r="Z72" i="37"/>
  <c r="AA72" i="37"/>
  <c r="Y73" i="37"/>
  <c r="Z73" i="37"/>
  <c r="AA73" i="37"/>
  <c r="Y74" i="37"/>
  <c r="Z74" i="37"/>
  <c r="AA74" i="37"/>
  <c r="Z59" i="37"/>
  <c r="AA59" i="37"/>
  <c r="U60" i="37"/>
  <c r="V60" i="37"/>
  <c r="W60" i="37"/>
  <c r="X60" i="37"/>
  <c r="U61" i="37"/>
  <c r="V61" i="37"/>
  <c r="W61" i="37"/>
  <c r="X61" i="37"/>
  <c r="U62" i="37"/>
  <c r="V62" i="37"/>
  <c r="W62" i="37"/>
  <c r="X62" i="37"/>
  <c r="U63" i="37"/>
  <c r="V63" i="37"/>
  <c r="W63" i="37"/>
  <c r="X63" i="37"/>
  <c r="U64" i="37"/>
  <c r="V64" i="37"/>
  <c r="W64" i="37"/>
  <c r="X64" i="37"/>
  <c r="U65" i="37"/>
  <c r="V65" i="37"/>
  <c r="W65" i="37"/>
  <c r="X65" i="37"/>
  <c r="U66" i="37"/>
  <c r="V66" i="37"/>
  <c r="W66" i="37"/>
  <c r="X66" i="37"/>
  <c r="U67" i="37"/>
  <c r="V67" i="37"/>
  <c r="W67" i="37"/>
  <c r="X67" i="37"/>
  <c r="U68" i="37"/>
  <c r="V68" i="37"/>
  <c r="W68" i="37"/>
  <c r="X68" i="37"/>
  <c r="U69" i="37"/>
  <c r="V69" i="37"/>
  <c r="W69" i="37"/>
  <c r="X69" i="37"/>
  <c r="U70" i="37"/>
  <c r="V70" i="37"/>
  <c r="W70" i="37"/>
  <c r="X70" i="37"/>
  <c r="U71" i="37"/>
  <c r="V71" i="37"/>
  <c r="W71" i="37"/>
  <c r="X71" i="37"/>
  <c r="U72" i="37"/>
  <c r="V72" i="37"/>
  <c r="W72" i="37"/>
  <c r="X72" i="37"/>
  <c r="U73" i="37"/>
  <c r="V73" i="37"/>
  <c r="W73" i="37"/>
  <c r="X73" i="37"/>
  <c r="U74" i="37"/>
  <c r="V74" i="37"/>
  <c r="W74" i="37"/>
  <c r="X74" i="37"/>
  <c r="V59" i="37"/>
  <c r="W59" i="37"/>
  <c r="X59" i="37"/>
  <c r="J279" i="37" l="1"/>
  <c r="F279" i="37"/>
  <c r="U272" i="32"/>
  <c r="T272" i="32"/>
  <c r="S272" i="32"/>
  <c r="U261" i="32"/>
  <c r="U268" i="32" s="1"/>
  <c r="T261" i="32"/>
  <c r="S261" i="32"/>
  <c r="S262" i="32" s="1"/>
  <c r="U260" i="32"/>
  <c r="T260" i="32"/>
  <c r="S260" i="32"/>
  <c r="L272" i="32"/>
  <c r="K272" i="32"/>
  <c r="J272" i="32"/>
  <c r="L261" i="32"/>
  <c r="L267" i="32" s="1"/>
  <c r="K261" i="32"/>
  <c r="K263" i="32" s="1"/>
  <c r="J261" i="32"/>
  <c r="J263" i="32" s="1"/>
  <c r="L260" i="32"/>
  <c r="K260" i="32"/>
  <c r="J260" i="32"/>
  <c r="U202" i="32"/>
  <c r="T202" i="32"/>
  <c r="S202" i="32"/>
  <c r="U191" i="32"/>
  <c r="U200" i="32" s="1"/>
  <c r="T191" i="32"/>
  <c r="T192" i="32" s="1"/>
  <c r="S191" i="32"/>
  <c r="U190" i="32"/>
  <c r="T190" i="32"/>
  <c r="S190" i="32"/>
  <c r="U188" i="32"/>
  <c r="T188" i="32"/>
  <c r="S188" i="32"/>
  <c r="U177" i="32"/>
  <c r="T177" i="32"/>
  <c r="S177" i="32"/>
  <c r="U176" i="32"/>
  <c r="T176" i="32"/>
  <c r="S176" i="32"/>
  <c r="U174" i="32"/>
  <c r="T174" i="32"/>
  <c r="S174" i="32"/>
  <c r="U163" i="32"/>
  <c r="T163" i="32"/>
  <c r="S163" i="32"/>
  <c r="U162" i="32"/>
  <c r="T162" i="32"/>
  <c r="S162" i="32"/>
  <c r="U160" i="32"/>
  <c r="T160" i="32"/>
  <c r="S160" i="32"/>
  <c r="U149" i="32"/>
  <c r="T149" i="32"/>
  <c r="T152" i="32" s="1"/>
  <c r="S149" i="32"/>
  <c r="U148" i="32"/>
  <c r="T148" i="32"/>
  <c r="S148" i="32"/>
  <c r="L202" i="32"/>
  <c r="K202" i="32"/>
  <c r="J202" i="32"/>
  <c r="L191" i="32"/>
  <c r="L193" i="32" s="1"/>
  <c r="K191" i="32"/>
  <c r="J191" i="32"/>
  <c r="J200" i="32" s="1"/>
  <c r="L190" i="32"/>
  <c r="K190" i="32"/>
  <c r="J190" i="32"/>
  <c r="L188" i="32"/>
  <c r="K188" i="32"/>
  <c r="J188" i="32"/>
  <c r="L177" i="32"/>
  <c r="L178" i="32" s="1"/>
  <c r="K177" i="32"/>
  <c r="K186" i="32" s="1"/>
  <c r="J177" i="32"/>
  <c r="J183" i="32" s="1"/>
  <c r="L176" i="32"/>
  <c r="K176" i="32"/>
  <c r="J176" i="32"/>
  <c r="L174" i="32"/>
  <c r="K174" i="32"/>
  <c r="J174" i="32"/>
  <c r="L163" i="32"/>
  <c r="L164" i="32" s="1"/>
  <c r="K163" i="32"/>
  <c r="J163" i="32"/>
  <c r="L162" i="32"/>
  <c r="K162" i="32"/>
  <c r="J162" i="32"/>
  <c r="L160" i="32"/>
  <c r="K160" i="32"/>
  <c r="J160" i="32"/>
  <c r="L149" i="32"/>
  <c r="L152" i="32" s="1"/>
  <c r="K149" i="32"/>
  <c r="J149" i="32"/>
  <c r="L148" i="32"/>
  <c r="K148" i="32"/>
  <c r="J148" i="32"/>
  <c r="U132" i="32"/>
  <c r="T132" i="32"/>
  <c r="S132" i="32"/>
  <c r="U121" i="32"/>
  <c r="U123" i="32" s="1"/>
  <c r="T121" i="32"/>
  <c r="T126" i="32" s="1"/>
  <c r="S121" i="32"/>
  <c r="S130" i="32" s="1"/>
  <c r="U120" i="32"/>
  <c r="T120" i="32"/>
  <c r="S120" i="32"/>
  <c r="L132" i="32"/>
  <c r="K132" i="32"/>
  <c r="J132" i="32"/>
  <c r="L121" i="32"/>
  <c r="L126" i="32" s="1"/>
  <c r="K121" i="32"/>
  <c r="J121" i="32"/>
  <c r="J126" i="32" s="1"/>
  <c r="L120" i="32"/>
  <c r="K120" i="32"/>
  <c r="J120" i="32"/>
  <c r="U104" i="32"/>
  <c r="T104" i="32"/>
  <c r="S104" i="32"/>
  <c r="U93" i="32"/>
  <c r="T93" i="32"/>
  <c r="S93" i="32"/>
  <c r="S99" i="32" s="1"/>
  <c r="U92" i="32"/>
  <c r="T92" i="32"/>
  <c r="S92" i="32"/>
  <c r="U90" i="32"/>
  <c r="T90" i="32"/>
  <c r="S90" i="32"/>
  <c r="U79" i="32"/>
  <c r="T79" i="32"/>
  <c r="S79" i="32"/>
  <c r="U78" i="32"/>
  <c r="T78" i="32"/>
  <c r="S78" i="32"/>
  <c r="U76" i="32"/>
  <c r="T76" i="32"/>
  <c r="S76" i="32"/>
  <c r="U65" i="32"/>
  <c r="U72" i="32" s="1"/>
  <c r="T65" i="32"/>
  <c r="T72" i="32" s="1"/>
  <c r="S65" i="32"/>
  <c r="U64" i="32"/>
  <c r="T64" i="32"/>
  <c r="S64" i="32"/>
  <c r="L104" i="32"/>
  <c r="K104" i="32"/>
  <c r="J104" i="32"/>
  <c r="L93" i="32"/>
  <c r="L94" i="32" s="1"/>
  <c r="K93" i="32"/>
  <c r="K98" i="32" s="1"/>
  <c r="J93" i="32"/>
  <c r="J102" i="32" s="1"/>
  <c r="L92" i="32"/>
  <c r="K92" i="32"/>
  <c r="J92" i="32"/>
  <c r="L90" i="32"/>
  <c r="K90" i="32"/>
  <c r="J90" i="32"/>
  <c r="L79" i="32"/>
  <c r="K79" i="32"/>
  <c r="J79" i="32"/>
  <c r="J86" i="32" s="1"/>
  <c r="L78" i="32"/>
  <c r="K78" i="32"/>
  <c r="J78" i="32"/>
  <c r="L76" i="32"/>
  <c r="K76" i="32"/>
  <c r="J76" i="32"/>
  <c r="L65" i="32"/>
  <c r="K65" i="32"/>
  <c r="J65" i="32"/>
  <c r="L64" i="32"/>
  <c r="K64" i="32"/>
  <c r="J64" i="32"/>
  <c r="P188" i="31"/>
  <c r="O188" i="31"/>
  <c r="N188" i="31"/>
  <c r="L188" i="31"/>
  <c r="K188" i="31"/>
  <c r="J188" i="31"/>
  <c r="P177" i="31"/>
  <c r="P179" i="31" s="1"/>
  <c r="O177" i="31"/>
  <c r="N177" i="31"/>
  <c r="L177" i="31"/>
  <c r="K177" i="31"/>
  <c r="J177" i="31"/>
  <c r="J184" i="31" s="1"/>
  <c r="P176" i="31"/>
  <c r="O176" i="31"/>
  <c r="N176" i="31"/>
  <c r="L176" i="31"/>
  <c r="K176" i="31"/>
  <c r="J176" i="31"/>
  <c r="U272" i="29"/>
  <c r="T272" i="29"/>
  <c r="S272" i="29"/>
  <c r="U261" i="29"/>
  <c r="T261" i="29"/>
  <c r="S261" i="29"/>
  <c r="S262" i="29" s="1"/>
  <c r="U260" i="29"/>
  <c r="T260" i="29"/>
  <c r="S260" i="29"/>
  <c r="U258" i="29"/>
  <c r="T258" i="29"/>
  <c r="S258" i="29"/>
  <c r="U247" i="29"/>
  <c r="U250" i="29" s="1"/>
  <c r="T247" i="29"/>
  <c r="T252" i="29" s="1"/>
  <c r="S247" i="29"/>
  <c r="S250" i="29" s="1"/>
  <c r="U246" i="29"/>
  <c r="T246" i="29"/>
  <c r="S246" i="29"/>
  <c r="U244" i="29"/>
  <c r="T244" i="29"/>
  <c r="S244" i="29"/>
  <c r="U233" i="29"/>
  <c r="T233" i="29"/>
  <c r="T234" i="29" s="1"/>
  <c r="S233" i="29"/>
  <c r="S238" i="29" s="1"/>
  <c r="U232" i="29"/>
  <c r="T232" i="29"/>
  <c r="S232" i="29"/>
  <c r="L272" i="29"/>
  <c r="K272" i="29"/>
  <c r="J272" i="29"/>
  <c r="L261" i="29"/>
  <c r="K261" i="29"/>
  <c r="K263" i="29" s="1"/>
  <c r="J261" i="29"/>
  <c r="L260" i="29"/>
  <c r="K260" i="29"/>
  <c r="J260" i="29"/>
  <c r="L258" i="29"/>
  <c r="K258" i="29"/>
  <c r="J258" i="29"/>
  <c r="L247" i="29"/>
  <c r="L248" i="29" s="1"/>
  <c r="K247" i="29"/>
  <c r="J247" i="29"/>
  <c r="L246" i="29"/>
  <c r="K246" i="29"/>
  <c r="J246" i="29"/>
  <c r="L244" i="29"/>
  <c r="K244" i="29"/>
  <c r="J244" i="29"/>
  <c r="L233" i="29"/>
  <c r="K233" i="29"/>
  <c r="J233" i="29"/>
  <c r="J239" i="29" s="1"/>
  <c r="L232" i="29"/>
  <c r="K232" i="29"/>
  <c r="J232" i="29"/>
  <c r="U202" i="29"/>
  <c r="T202" i="29"/>
  <c r="S202" i="29"/>
  <c r="U191" i="29"/>
  <c r="T191" i="29"/>
  <c r="S191" i="29"/>
  <c r="S198" i="29" s="1"/>
  <c r="U190" i="29"/>
  <c r="T190" i="29"/>
  <c r="S190" i="29"/>
  <c r="U188" i="29"/>
  <c r="T188" i="29"/>
  <c r="S188" i="29"/>
  <c r="U177" i="29"/>
  <c r="T177" i="29"/>
  <c r="S177" i="29"/>
  <c r="U176" i="29"/>
  <c r="T176" i="29"/>
  <c r="S176" i="29"/>
  <c r="U174" i="29"/>
  <c r="T174" i="29"/>
  <c r="S174" i="29"/>
  <c r="U163" i="29"/>
  <c r="T163" i="29"/>
  <c r="T166" i="29" s="1"/>
  <c r="S163" i="29"/>
  <c r="S170" i="29" s="1"/>
  <c r="U162" i="29"/>
  <c r="T162" i="29"/>
  <c r="S162" i="29"/>
  <c r="U160" i="29"/>
  <c r="T160" i="29"/>
  <c r="S160" i="29"/>
  <c r="U149" i="29"/>
  <c r="U155" i="29" s="1"/>
  <c r="T149" i="29"/>
  <c r="S149" i="29"/>
  <c r="U148" i="29"/>
  <c r="T148" i="29"/>
  <c r="S148" i="29"/>
  <c r="L202" i="29"/>
  <c r="K202" i="29"/>
  <c r="J202" i="29"/>
  <c r="L191" i="29"/>
  <c r="K191" i="29"/>
  <c r="K193" i="29" s="1"/>
  <c r="J191" i="29"/>
  <c r="L190" i="29"/>
  <c r="K190" i="29"/>
  <c r="J190" i="29"/>
  <c r="L188" i="29"/>
  <c r="K188" i="29"/>
  <c r="J188" i="29"/>
  <c r="L177" i="29"/>
  <c r="L183" i="29" s="1"/>
  <c r="K177" i="29"/>
  <c r="K179" i="29" s="1"/>
  <c r="J177" i="29"/>
  <c r="L176" i="29"/>
  <c r="K176" i="29"/>
  <c r="J176" i="29"/>
  <c r="L174" i="29"/>
  <c r="K174" i="29"/>
  <c r="J174" i="29"/>
  <c r="L163" i="29"/>
  <c r="L164" i="29" s="1"/>
  <c r="K163" i="29"/>
  <c r="J163" i="29"/>
  <c r="L162" i="29"/>
  <c r="K162" i="29"/>
  <c r="J162" i="29"/>
  <c r="L160" i="29"/>
  <c r="K160" i="29"/>
  <c r="J160" i="29"/>
  <c r="L149" i="29"/>
  <c r="L152" i="29" s="1"/>
  <c r="K149" i="29"/>
  <c r="K156" i="29" s="1"/>
  <c r="J149" i="29"/>
  <c r="J158" i="29" s="1"/>
  <c r="L148" i="29"/>
  <c r="K148" i="29"/>
  <c r="J148" i="29"/>
  <c r="U132" i="29"/>
  <c r="T132" i="29"/>
  <c r="S132" i="29"/>
  <c r="U121" i="29"/>
  <c r="T121" i="29"/>
  <c r="T123" i="29" s="1"/>
  <c r="S121" i="29"/>
  <c r="U120" i="29"/>
  <c r="T120" i="29"/>
  <c r="S120" i="29"/>
  <c r="L132" i="29"/>
  <c r="K132" i="29"/>
  <c r="J132" i="29"/>
  <c r="L121" i="29"/>
  <c r="L127" i="29" s="1"/>
  <c r="K121" i="29"/>
  <c r="J121" i="29"/>
  <c r="L120" i="29"/>
  <c r="K120" i="29"/>
  <c r="J120" i="29"/>
  <c r="U104" i="29"/>
  <c r="T104" i="29"/>
  <c r="S104" i="29"/>
  <c r="U93" i="29"/>
  <c r="T93" i="29"/>
  <c r="S93" i="29"/>
  <c r="S94" i="29" s="1"/>
  <c r="U92" i="29"/>
  <c r="T92" i="29"/>
  <c r="S92" i="29"/>
  <c r="U90" i="29"/>
  <c r="T90" i="29"/>
  <c r="S90" i="29"/>
  <c r="U79" i="29"/>
  <c r="T79" i="29"/>
  <c r="T84" i="29" s="1"/>
  <c r="S79" i="29"/>
  <c r="S88" i="29" s="1"/>
  <c r="U78" i="29"/>
  <c r="T78" i="29"/>
  <c r="S78" i="29"/>
  <c r="U76" i="29"/>
  <c r="T76" i="29"/>
  <c r="S76" i="29"/>
  <c r="U65" i="29"/>
  <c r="T65" i="29"/>
  <c r="S65" i="29"/>
  <c r="S70" i="29" s="1"/>
  <c r="U64" i="29"/>
  <c r="T64" i="29"/>
  <c r="S64" i="29"/>
  <c r="L104" i="29"/>
  <c r="K104" i="29"/>
  <c r="J104" i="29"/>
  <c r="L93" i="29"/>
  <c r="L98" i="29" s="1"/>
  <c r="K93" i="29"/>
  <c r="K94" i="29" s="1"/>
  <c r="J93" i="29"/>
  <c r="J95" i="29" s="1"/>
  <c r="L92" i="29"/>
  <c r="K92" i="29"/>
  <c r="J92" i="29"/>
  <c r="L90" i="29"/>
  <c r="K90" i="29"/>
  <c r="J90" i="29"/>
  <c r="L79" i="29"/>
  <c r="L84" i="29" s="1"/>
  <c r="K79" i="29"/>
  <c r="J79" i="29"/>
  <c r="L78" i="29"/>
  <c r="K78" i="29"/>
  <c r="J78" i="29"/>
  <c r="L76" i="29"/>
  <c r="K76" i="29"/>
  <c r="J76" i="29"/>
  <c r="L65" i="29"/>
  <c r="K65" i="29"/>
  <c r="J65" i="29"/>
  <c r="J66" i="29" s="1"/>
  <c r="L64" i="29"/>
  <c r="K64" i="29"/>
  <c r="J64" i="29"/>
  <c r="U48" i="29"/>
  <c r="T48" i="29"/>
  <c r="S48" i="29"/>
  <c r="U37" i="29"/>
  <c r="U43" i="29" s="1"/>
  <c r="T37" i="29"/>
  <c r="T46" i="29" s="1"/>
  <c r="S37" i="29"/>
  <c r="S42" i="29" s="1"/>
  <c r="U36" i="29"/>
  <c r="T36" i="29"/>
  <c r="S36" i="29"/>
  <c r="U34" i="29"/>
  <c r="T34" i="29"/>
  <c r="S34" i="29"/>
  <c r="U23" i="29"/>
  <c r="U32" i="29" s="1"/>
  <c r="T23" i="29"/>
  <c r="T28" i="29" s="1"/>
  <c r="S23" i="29"/>
  <c r="U22" i="29"/>
  <c r="T22" i="29"/>
  <c r="S22" i="29"/>
  <c r="U20" i="29"/>
  <c r="T20" i="29"/>
  <c r="S20" i="29"/>
  <c r="U9" i="29"/>
  <c r="T9" i="29"/>
  <c r="T16" i="29" s="1"/>
  <c r="S9" i="29"/>
  <c r="U8" i="29"/>
  <c r="T8" i="29"/>
  <c r="S8" i="29"/>
  <c r="L48" i="29"/>
  <c r="K48" i="29"/>
  <c r="J48" i="29"/>
  <c r="L37" i="29"/>
  <c r="K37" i="29"/>
  <c r="K42" i="29" s="1"/>
  <c r="J37" i="29"/>
  <c r="J39" i="29" s="1"/>
  <c r="L36" i="29"/>
  <c r="K36" i="29"/>
  <c r="J36" i="29"/>
  <c r="L34" i="29"/>
  <c r="K34" i="29"/>
  <c r="J34" i="29"/>
  <c r="L23" i="29"/>
  <c r="K23" i="29"/>
  <c r="K26" i="29" s="1"/>
  <c r="J23" i="29"/>
  <c r="J28" i="29" s="1"/>
  <c r="L22" i="29"/>
  <c r="K22" i="29"/>
  <c r="J22" i="29"/>
  <c r="L20" i="29"/>
  <c r="K20" i="29"/>
  <c r="J20" i="29"/>
  <c r="L9" i="29"/>
  <c r="L12" i="29" s="1"/>
  <c r="K9" i="29"/>
  <c r="J9" i="29"/>
  <c r="J16" i="29" s="1"/>
  <c r="L8" i="29"/>
  <c r="K8" i="29"/>
  <c r="J8" i="29"/>
  <c r="P188" i="28"/>
  <c r="O188" i="28"/>
  <c r="N188" i="28"/>
  <c r="L188" i="28"/>
  <c r="K188" i="28"/>
  <c r="J188" i="28"/>
  <c r="P177" i="28"/>
  <c r="O177" i="28"/>
  <c r="O183" i="28" s="1"/>
  <c r="N177" i="28"/>
  <c r="N179" i="28" s="1"/>
  <c r="L177" i="28"/>
  <c r="L179" i="28" s="1"/>
  <c r="K177" i="28"/>
  <c r="K179" i="28" s="1"/>
  <c r="J177" i="28"/>
  <c r="J180" i="28" s="1"/>
  <c r="P176" i="28"/>
  <c r="O176" i="28"/>
  <c r="N176" i="28"/>
  <c r="L176" i="28"/>
  <c r="K176" i="28"/>
  <c r="J176" i="28"/>
  <c r="BK346" i="45"/>
  <c r="BJ346" i="45"/>
  <c r="BI346" i="45"/>
  <c r="BK332" i="45"/>
  <c r="BJ332" i="45"/>
  <c r="BJ336" i="45" s="1"/>
  <c r="BI332" i="45"/>
  <c r="BI341" i="45" s="1"/>
  <c r="BK331" i="45"/>
  <c r="BJ331" i="45"/>
  <c r="BI331" i="45"/>
  <c r="BK329" i="45"/>
  <c r="BJ329" i="45"/>
  <c r="BI329" i="45"/>
  <c r="BK315" i="45"/>
  <c r="BJ315" i="45"/>
  <c r="BJ328" i="45" s="1"/>
  <c r="BI315" i="45"/>
  <c r="BI323" i="45" s="1"/>
  <c r="BK314" i="45"/>
  <c r="BJ314" i="45"/>
  <c r="BI314" i="45"/>
  <c r="BJ278" i="45"/>
  <c r="BI246" i="45"/>
  <c r="BK244" i="45"/>
  <c r="BJ244" i="45"/>
  <c r="BI244" i="45"/>
  <c r="BK230" i="45"/>
  <c r="BK233" i="45" s="1"/>
  <c r="BJ230" i="45"/>
  <c r="BI230" i="45"/>
  <c r="BI234" i="45" s="1"/>
  <c r="BK229" i="45"/>
  <c r="BJ229" i="45"/>
  <c r="BI229" i="45"/>
  <c r="BK227" i="45"/>
  <c r="BJ227" i="45"/>
  <c r="BI227" i="45"/>
  <c r="BK213" i="45"/>
  <c r="BK222" i="45" s="1"/>
  <c r="BJ213" i="45"/>
  <c r="BI213" i="45"/>
  <c r="BI218" i="45" s="1"/>
  <c r="BK212" i="45"/>
  <c r="BJ212" i="45"/>
  <c r="BI212" i="45"/>
  <c r="BK193" i="45"/>
  <c r="BJ193" i="45"/>
  <c r="BI193" i="45"/>
  <c r="BK179" i="45"/>
  <c r="BK191" i="45" s="1"/>
  <c r="BJ179" i="45"/>
  <c r="BJ187" i="45" s="1"/>
  <c r="BI179" i="45"/>
  <c r="BK178" i="45"/>
  <c r="BJ178" i="45"/>
  <c r="BI178" i="45"/>
  <c r="BK176" i="45"/>
  <c r="BJ176" i="45"/>
  <c r="BI176" i="45"/>
  <c r="BK162" i="45"/>
  <c r="BJ162" i="45"/>
  <c r="BI162" i="45"/>
  <c r="BI175" i="45" s="1"/>
  <c r="BK161" i="45"/>
  <c r="BJ161" i="45"/>
  <c r="BI161" i="45"/>
  <c r="BK159" i="45"/>
  <c r="BJ159" i="45"/>
  <c r="BI159" i="45"/>
  <c r="BK145" i="45"/>
  <c r="BJ145" i="45"/>
  <c r="BI145" i="45"/>
  <c r="BK144" i="45"/>
  <c r="BJ144" i="45"/>
  <c r="BI144" i="45"/>
  <c r="BK142" i="45"/>
  <c r="BJ142" i="45"/>
  <c r="BI142" i="45"/>
  <c r="BK128" i="45"/>
  <c r="BJ128" i="45"/>
  <c r="BI128" i="45"/>
  <c r="BK127" i="45"/>
  <c r="BJ127" i="45"/>
  <c r="BI127" i="45"/>
  <c r="BK125" i="45"/>
  <c r="BJ125" i="45"/>
  <c r="BI125" i="45"/>
  <c r="BK111" i="45"/>
  <c r="BJ111" i="45"/>
  <c r="BI111" i="45"/>
  <c r="BK110" i="45"/>
  <c r="BJ110" i="45"/>
  <c r="BI110" i="45"/>
  <c r="BK108" i="45"/>
  <c r="BJ108" i="45"/>
  <c r="BI108" i="45"/>
  <c r="BK94" i="45"/>
  <c r="BJ94" i="45"/>
  <c r="BI94" i="45"/>
  <c r="BI101" i="45" s="1"/>
  <c r="BK93" i="45"/>
  <c r="BJ93" i="45"/>
  <c r="BI93" i="45"/>
  <c r="BK91" i="45"/>
  <c r="BJ91" i="45"/>
  <c r="BI91" i="45"/>
  <c r="BK77" i="45"/>
  <c r="BJ77" i="45"/>
  <c r="BI77" i="45"/>
  <c r="BI81" i="45" s="1"/>
  <c r="BK76" i="45"/>
  <c r="BJ76" i="45"/>
  <c r="BI76" i="45"/>
  <c r="BK74" i="45"/>
  <c r="BJ74" i="45"/>
  <c r="BI74" i="45"/>
  <c r="BK60" i="45"/>
  <c r="BK68" i="45" s="1"/>
  <c r="BJ60" i="45"/>
  <c r="BI60" i="45"/>
  <c r="BK59" i="45"/>
  <c r="BJ59" i="45"/>
  <c r="BI59" i="45"/>
  <c r="BK57" i="45"/>
  <c r="BJ57" i="45"/>
  <c r="BI57" i="45"/>
  <c r="BK43" i="45"/>
  <c r="BK51" i="45" s="1"/>
  <c r="BJ43" i="45"/>
  <c r="BJ48" i="45" s="1"/>
  <c r="BI43" i="45"/>
  <c r="BK42" i="45"/>
  <c r="BJ42" i="45"/>
  <c r="BI42" i="45"/>
  <c r="BK40" i="45"/>
  <c r="BJ40" i="45"/>
  <c r="BI40" i="45"/>
  <c r="BK26" i="45"/>
  <c r="BK35" i="45" s="1"/>
  <c r="BJ26" i="45"/>
  <c r="BI26" i="45"/>
  <c r="BI32" i="45" s="1"/>
  <c r="BK25" i="45"/>
  <c r="BJ25" i="45"/>
  <c r="BI25" i="45"/>
  <c r="BK23" i="45"/>
  <c r="BJ23" i="45"/>
  <c r="BI23" i="45"/>
  <c r="BK9" i="45"/>
  <c r="BJ9" i="45"/>
  <c r="BI9" i="45"/>
  <c r="BK8" i="45"/>
  <c r="BJ8" i="45"/>
  <c r="BI8" i="45"/>
  <c r="BP330" i="43"/>
  <c r="BO330" i="43"/>
  <c r="BN330" i="43"/>
  <c r="BP316" i="43"/>
  <c r="BP325" i="43" s="1"/>
  <c r="BO316" i="43"/>
  <c r="BO322" i="43" s="1"/>
  <c r="BN316" i="43"/>
  <c r="BN325" i="43" s="1"/>
  <c r="BP315" i="43"/>
  <c r="BO315" i="43"/>
  <c r="BN315" i="43"/>
  <c r="BP313" i="43"/>
  <c r="BO313" i="43"/>
  <c r="BN313" i="43"/>
  <c r="BP299" i="43"/>
  <c r="BO299" i="43"/>
  <c r="BO306" i="43" s="1"/>
  <c r="BN299" i="43"/>
  <c r="BN303" i="43" s="1"/>
  <c r="BP298" i="43"/>
  <c r="BO298" i="43"/>
  <c r="BN298" i="43"/>
  <c r="BP296" i="43"/>
  <c r="BO296" i="43"/>
  <c r="BN296" i="43"/>
  <c r="BP282" i="43"/>
  <c r="BP287" i="43" s="1"/>
  <c r="BO282" i="43"/>
  <c r="BO295" i="43" s="1"/>
  <c r="BN282" i="43"/>
  <c r="BP281" i="43"/>
  <c r="BO281" i="43"/>
  <c r="BN281" i="43"/>
  <c r="BP279" i="43"/>
  <c r="BO279" i="43"/>
  <c r="BN279" i="43"/>
  <c r="BP265" i="43"/>
  <c r="BO265" i="43"/>
  <c r="BN265" i="43"/>
  <c r="BN274" i="43" s="1"/>
  <c r="BP264" i="43"/>
  <c r="BO264" i="43"/>
  <c r="BN264" i="43"/>
  <c r="BP245" i="43"/>
  <c r="BO245" i="43"/>
  <c r="BN245" i="43"/>
  <c r="BP231" i="43"/>
  <c r="BO231" i="43"/>
  <c r="BO234" i="43" s="1"/>
  <c r="BN231" i="43"/>
  <c r="BN234" i="43" s="1"/>
  <c r="BP230" i="43"/>
  <c r="BO230" i="43"/>
  <c r="BN230" i="43"/>
  <c r="BT228" i="43"/>
  <c r="BS228" i="43"/>
  <c r="BR228" i="43"/>
  <c r="BP228" i="43"/>
  <c r="BO228" i="43"/>
  <c r="BN228" i="43"/>
  <c r="BT214" i="43"/>
  <c r="BS214" i="43"/>
  <c r="BR214" i="43"/>
  <c r="BR222" i="43" s="1"/>
  <c r="BP214" i="43"/>
  <c r="BO214" i="43"/>
  <c r="BN214" i="43"/>
  <c r="BT213" i="43"/>
  <c r="BS213" i="43"/>
  <c r="BR213" i="43"/>
  <c r="BP213" i="43"/>
  <c r="BO213" i="43"/>
  <c r="BN213" i="43"/>
  <c r="BP211" i="43"/>
  <c r="BO211" i="43"/>
  <c r="BN211" i="43"/>
  <c r="BP197" i="43"/>
  <c r="BO197" i="43"/>
  <c r="BO203" i="43" s="1"/>
  <c r="BN197" i="43"/>
  <c r="BN202" i="43" s="1"/>
  <c r="BP196" i="43"/>
  <c r="BO196" i="43"/>
  <c r="BN196" i="43"/>
  <c r="BP194" i="43"/>
  <c r="BO194" i="43"/>
  <c r="BN194" i="43"/>
  <c r="BP180" i="43"/>
  <c r="BO180" i="43"/>
  <c r="BO184" i="43" s="1"/>
  <c r="BN180" i="43"/>
  <c r="BP179" i="43"/>
  <c r="BO179" i="43"/>
  <c r="BN179" i="43"/>
  <c r="BP177" i="43"/>
  <c r="BO177" i="43"/>
  <c r="BN177" i="43"/>
  <c r="BP163" i="43"/>
  <c r="BP172" i="43" s="1"/>
  <c r="BO163" i="43"/>
  <c r="BN163" i="43"/>
  <c r="BP162" i="43"/>
  <c r="BO162" i="43"/>
  <c r="BN162" i="43"/>
  <c r="BP160" i="43"/>
  <c r="BO160" i="43"/>
  <c r="BN160" i="43"/>
  <c r="BP146" i="43"/>
  <c r="BP152" i="43" s="1"/>
  <c r="BO146" i="43"/>
  <c r="BN146" i="43"/>
  <c r="BN149" i="43" s="1"/>
  <c r="BP145" i="43"/>
  <c r="BO145" i="43"/>
  <c r="BN145" i="43"/>
  <c r="BP143" i="43"/>
  <c r="BO143" i="43"/>
  <c r="BN143" i="43"/>
  <c r="BP129" i="43"/>
  <c r="BO129" i="43"/>
  <c r="BN129" i="43"/>
  <c r="BP128" i="43"/>
  <c r="BO128" i="43"/>
  <c r="BN128" i="43"/>
  <c r="BP126" i="43"/>
  <c r="BO126" i="43"/>
  <c r="BN126" i="43"/>
  <c r="BP112" i="43"/>
  <c r="BP115" i="43" s="1"/>
  <c r="BO112" i="43"/>
  <c r="BO123" i="43" s="1"/>
  <c r="BN112" i="43"/>
  <c r="BN123" i="43" s="1"/>
  <c r="BP111" i="43"/>
  <c r="BO111" i="43"/>
  <c r="BN111" i="43"/>
  <c r="BP109" i="43"/>
  <c r="BO109" i="43"/>
  <c r="BN109" i="43"/>
  <c r="BP95" i="43"/>
  <c r="BO95" i="43"/>
  <c r="BO102" i="43" s="1"/>
  <c r="BN95" i="43"/>
  <c r="BN108" i="43" s="1"/>
  <c r="BP94" i="43"/>
  <c r="BO94" i="43"/>
  <c r="BN94" i="43"/>
  <c r="BP92" i="43"/>
  <c r="BO92" i="43"/>
  <c r="BN92" i="43"/>
  <c r="BP78" i="43"/>
  <c r="BP84" i="43" s="1"/>
  <c r="BO78" i="43"/>
  <c r="BO81" i="43" s="1"/>
  <c r="BN78" i="43"/>
  <c r="BP77" i="43"/>
  <c r="BO77" i="43"/>
  <c r="BN77" i="43"/>
  <c r="BP75" i="43"/>
  <c r="BO75" i="43"/>
  <c r="BN75" i="43"/>
  <c r="BP61" i="43"/>
  <c r="BO61" i="43"/>
  <c r="BO69" i="43" s="1"/>
  <c r="BN61" i="43"/>
  <c r="BN65" i="43" s="1"/>
  <c r="BP60" i="43"/>
  <c r="BO60" i="43"/>
  <c r="BN60" i="43"/>
  <c r="BP58" i="43"/>
  <c r="BO58" i="43"/>
  <c r="BN58" i="43"/>
  <c r="BP44" i="43"/>
  <c r="BP57" i="43" s="1"/>
  <c r="BO44" i="43"/>
  <c r="BO56" i="43" s="1"/>
  <c r="BN44" i="43"/>
  <c r="BN50" i="43" s="1"/>
  <c r="BP43" i="43"/>
  <c r="BO43" i="43"/>
  <c r="BN43" i="43"/>
  <c r="BP41" i="43"/>
  <c r="BO41" i="43"/>
  <c r="BN41" i="43"/>
  <c r="BP27" i="43"/>
  <c r="BP35" i="43" s="1"/>
  <c r="BO27" i="43"/>
  <c r="BO40" i="43" s="1"/>
  <c r="BN27" i="43"/>
  <c r="BN39" i="43" s="1"/>
  <c r="BP26" i="43"/>
  <c r="BO26" i="43"/>
  <c r="BN26" i="43"/>
  <c r="BP24" i="43"/>
  <c r="BO24" i="43"/>
  <c r="BN24" i="43"/>
  <c r="BP10" i="43"/>
  <c r="BP23" i="43" s="1"/>
  <c r="BO10" i="43"/>
  <c r="BO14" i="43" s="1"/>
  <c r="BN10" i="43"/>
  <c r="BN14" i="43" s="1"/>
  <c r="BP9" i="43"/>
  <c r="BO9" i="43"/>
  <c r="BN9" i="43"/>
  <c r="BL330" i="43"/>
  <c r="BK330" i="43"/>
  <c r="BJ330" i="43"/>
  <c r="BL316" i="43"/>
  <c r="BL325" i="43" s="1"/>
  <c r="BK316" i="43"/>
  <c r="BJ316" i="43"/>
  <c r="BJ323" i="43" s="1"/>
  <c r="BL315" i="43"/>
  <c r="BK315" i="43"/>
  <c r="BJ315" i="43"/>
  <c r="BL313" i="43"/>
  <c r="BK313" i="43"/>
  <c r="BJ313" i="43"/>
  <c r="BL299" i="43"/>
  <c r="BL312" i="43" s="1"/>
  <c r="BK299" i="43"/>
  <c r="BK310" i="43" s="1"/>
  <c r="BJ299" i="43"/>
  <c r="BJ312" i="43" s="1"/>
  <c r="BL298" i="43"/>
  <c r="BK298" i="43"/>
  <c r="BJ298" i="43"/>
  <c r="BL296" i="43"/>
  <c r="BK296" i="43"/>
  <c r="BJ296" i="43"/>
  <c r="BL282" i="43"/>
  <c r="BL289" i="43" s="1"/>
  <c r="BK282" i="43"/>
  <c r="BK289" i="43" s="1"/>
  <c r="BJ282" i="43"/>
  <c r="BJ293" i="43" s="1"/>
  <c r="BL281" i="43"/>
  <c r="BK281" i="43"/>
  <c r="BJ281" i="43"/>
  <c r="BL279" i="43"/>
  <c r="BK279" i="43"/>
  <c r="BJ279" i="43"/>
  <c r="BL265" i="43"/>
  <c r="BL278" i="43" s="1"/>
  <c r="BK265" i="43"/>
  <c r="BK273" i="43" s="1"/>
  <c r="BJ265" i="43"/>
  <c r="BJ272" i="43" s="1"/>
  <c r="BL264" i="43"/>
  <c r="BK264" i="43"/>
  <c r="BJ264" i="43"/>
  <c r="BL245" i="43"/>
  <c r="BK245" i="43"/>
  <c r="BJ245" i="43"/>
  <c r="BL231" i="43"/>
  <c r="BL234" i="43" s="1"/>
  <c r="BK231" i="43"/>
  <c r="BK240" i="43" s="1"/>
  <c r="BJ231" i="43"/>
  <c r="BL230" i="43"/>
  <c r="BK230" i="43"/>
  <c r="BJ230" i="43"/>
  <c r="BL228" i="43"/>
  <c r="BK228" i="43"/>
  <c r="BJ228" i="43"/>
  <c r="BL214" i="43"/>
  <c r="BK214" i="43"/>
  <c r="BK219" i="43" s="1"/>
  <c r="BJ214" i="43"/>
  <c r="BL213" i="43"/>
  <c r="BK213" i="43"/>
  <c r="BJ213" i="43"/>
  <c r="BL211" i="43"/>
  <c r="BK211" i="43"/>
  <c r="BJ211" i="43"/>
  <c r="BL197" i="43"/>
  <c r="BK197" i="43"/>
  <c r="BK204" i="43" s="1"/>
  <c r="BJ197" i="43"/>
  <c r="BL196" i="43"/>
  <c r="BK196" i="43"/>
  <c r="BJ196" i="43"/>
  <c r="BL194" i="43"/>
  <c r="BK194" i="43"/>
  <c r="BJ194" i="43"/>
  <c r="BL180" i="43"/>
  <c r="BK180" i="43"/>
  <c r="BK186" i="43" s="1"/>
  <c r="BJ180" i="43"/>
  <c r="BJ192" i="43" s="1"/>
  <c r="BL179" i="43"/>
  <c r="BK179" i="43"/>
  <c r="BJ179" i="43"/>
  <c r="BL177" i="43"/>
  <c r="BK177" i="43"/>
  <c r="BJ177" i="43"/>
  <c r="BL163" i="43"/>
  <c r="BK163" i="43"/>
  <c r="BK167" i="43" s="1"/>
  <c r="BJ163" i="43"/>
  <c r="BL162" i="43"/>
  <c r="BK162" i="43"/>
  <c r="BJ162" i="43"/>
  <c r="BL160" i="43"/>
  <c r="BK160" i="43"/>
  <c r="BJ160" i="43"/>
  <c r="BL146" i="43"/>
  <c r="BL153" i="43" s="1"/>
  <c r="BK146" i="43"/>
  <c r="BK152" i="43" s="1"/>
  <c r="BJ146" i="43"/>
  <c r="BL145" i="43"/>
  <c r="BK145" i="43"/>
  <c r="BJ145" i="43"/>
  <c r="BL143" i="43"/>
  <c r="BK143" i="43"/>
  <c r="BJ143" i="43"/>
  <c r="BL129" i="43"/>
  <c r="BK129" i="43"/>
  <c r="BJ129" i="43"/>
  <c r="BJ140" i="43" s="1"/>
  <c r="BL128" i="43"/>
  <c r="BK128" i="43"/>
  <c r="BJ128" i="43"/>
  <c r="BL126" i="43"/>
  <c r="BK126" i="43"/>
  <c r="BJ126" i="43"/>
  <c r="BL112" i="43"/>
  <c r="BK112" i="43"/>
  <c r="BJ112" i="43"/>
  <c r="BL111" i="43"/>
  <c r="BK111" i="43"/>
  <c r="BJ111" i="43"/>
  <c r="BL109" i="43"/>
  <c r="BK109" i="43"/>
  <c r="BJ109" i="43"/>
  <c r="BL95" i="43"/>
  <c r="BL99" i="43" s="1"/>
  <c r="BK95" i="43"/>
  <c r="BK102" i="43" s="1"/>
  <c r="BJ95" i="43"/>
  <c r="BJ98" i="43" s="1"/>
  <c r="BL94" i="43"/>
  <c r="BK94" i="43"/>
  <c r="BJ94" i="43"/>
  <c r="BL92" i="43"/>
  <c r="BK92" i="43"/>
  <c r="BJ92" i="43"/>
  <c r="BL78" i="43"/>
  <c r="BL84" i="43" s="1"/>
  <c r="BK78" i="43"/>
  <c r="BJ78" i="43"/>
  <c r="BJ85" i="43" s="1"/>
  <c r="BL77" i="43"/>
  <c r="BK77" i="43"/>
  <c r="BJ77" i="43"/>
  <c r="BL75" i="43"/>
  <c r="BK75" i="43"/>
  <c r="BJ75" i="43"/>
  <c r="BL61" i="43"/>
  <c r="BK61" i="43"/>
  <c r="BJ61" i="43"/>
  <c r="BL60" i="43"/>
  <c r="BK60" i="43"/>
  <c r="BJ60" i="43"/>
  <c r="BL58" i="43"/>
  <c r="BK58" i="43"/>
  <c r="BJ58" i="43"/>
  <c r="BL44" i="43"/>
  <c r="BK44" i="43"/>
  <c r="BK48" i="43" s="1"/>
  <c r="BJ44" i="43"/>
  <c r="BJ55" i="43" s="1"/>
  <c r="BL43" i="43"/>
  <c r="BK43" i="43"/>
  <c r="BJ43" i="43"/>
  <c r="BL41" i="43"/>
  <c r="BK41" i="43"/>
  <c r="BJ41" i="43"/>
  <c r="BL27" i="43"/>
  <c r="BL36" i="43" s="1"/>
  <c r="BK27" i="43"/>
  <c r="BJ27" i="43"/>
  <c r="BJ35" i="43" s="1"/>
  <c r="BL26" i="43"/>
  <c r="BK26" i="43"/>
  <c r="BJ26" i="43"/>
  <c r="BL24" i="43"/>
  <c r="BK24" i="43"/>
  <c r="BJ24" i="43"/>
  <c r="BL10" i="43"/>
  <c r="BK10" i="43"/>
  <c r="BJ10" i="43"/>
  <c r="BJ19" i="43" s="1"/>
  <c r="BL9" i="43"/>
  <c r="BK9" i="43"/>
  <c r="BJ9" i="43"/>
  <c r="AM261" i="41"/>
  <c r="AQ261" i="41" s="1"/>
  <c r="AL261" i="41"/>
  <c r="AP261" i="41" s="1"/>
  <c r="AK261" i="41"/>
  <c r="AO261" i="41" s="1"/>
  <c r="AM246" i="41"/>
  <c r="AQ246" i="41" s="1"/>
  <c r="AL246" i="41"/>
  <c r="AP246" i="41" s="1"/>
  <c r="AK246" i="41"/>
  <c r="AO246" i="41" s="1"/>
  <c r="AU244" i="45"/>
  <c r="AT244" i="45"/>
  <c r="AS244" i="45"/>
  <c r="AU230" i="45"/>
  <c r="AU236" i="45" s="1"/>
  <c r="AT230" i="45"/>
  <c r="AS230" i="45"/>
  <c r="AU229" i="45"/>
  <c r="AT229" i="45"/>
  <c r="AS229" i="45"/>
  <c r="AU227" i="45"/>
  <c r="AT227" i="45"/>
  <c r="AS227" i="45"/>
  <c r="AU213" i="45"/>
  <c r="AU225" i="45" s="1"/>
  <c r="AT213" i="45"/>
  <c r="AS213" i="45"/>
  <c r="AS220" i="45" s="1"/>
  <c r="AU212" i="45"/>
  <c r="AT212" i="45"/>
  <c r="AS212" i="45"/>
  <c r="AU193" i="45"/>
  <c r="AT193" i="45"/>
  <c r="AS193" i="45"/>
  <c r="AU179" i="45"/>
  <c r="AT179" i="45"/>
  <c r="AS179" i="45"/>
  <c r="AU178" i="45"/>
  <c r="AT178" i="45"/>
  <c r="AS178" i="45"/>
  <c r="AU176" i="45"/>
  <c r="AT176" i="45"/>
  <c r="AS176" i="45"/>
  <c r="AU162" i="45"/>
  <c r="AU171" i="45" s="1"/>
  <c r="AT162" i="45"/>
  <c r="AT171" i="45" s="1"/>
  <c r="AS162" i="45"/>
  <c r="AS166" i="45" s="1"/>
  <c r="AU161" i="45"/>
  <c r="AT161" i="45"/>
  <c r="AS161" i="45"/>
  <c r="AU159" i="45"/>
  <c r="AT159" i="45"/>
  <c r="AS159" i="45"/>
  <c r="AU145" i="45"/>
  <c r="AT145" i="45"/>
  <c r="AT152" i="45" s="1"/>
  <c r="AS145" i="45"/>
  <c r="AS153" i="45" s="1"/>
  <c r="AU144" i="45"/>
  <c r="AT144" i="45"/>
  <c r="AS144" i="45"/>
  <c r="AU142" i="45"/>
  <c r="AT142" i="45"/>
  <c r="AS142" i="45"/>
  <c r="AU128" i="45"/>
  <c r="AU140" i="45" s="1"/>
  <c r="AT128" i="45"/>
  <c r="AT131" i="45" s="1"/>
  <c r="AS128" i="45"/>
  <c r="AU127" i="45"/>
  <c r="AT127" i="45"/>
  <c r="AS127" i="45"/>
  <c r="AU125" i="45"/>
  <c r="AT125" i="45"/>
  <c r="AS125" i="45"/>
  <c r="AU111" i="45"/>
  <c r="AT111" i="45"/>
  <c r="AT120" i="45" s="1"/>
  <c r="AS111" i="45"/>
  <c r="AU110" i="45"/>
  <c r="AT110" i="45"/>
  <c r="AS110" i="45"/>
  <c r="AU108" i="45"/>
  <c r="AT108" i="45"/>
  <c r="AS108" i="45"/>
  <c r="AU94" i="45"/>
  <c r="AT94" i="45"/>
  <c r="AS94" i="45"/>
  <c r="AU93" i="45"/>
  <c r="AT93" i="45"/>
  <c r="AS93" i="45"/>
  <c r="AU91" i="45"/>
  <c r="AT91" i="45"/>
  <c r="AS91" i="45"/>
  <c r="AU77" i="45"/>
  <c r="AT77" i="45"/>
  <c r="AT89" i="45" s="1"/>
  <c r="AS77" i="45"/>
  <c r="AU76" i="45"/>
  <c r="AT76" i="45"/>
  <c r="AS76" i="45"/>
  <c r="AU74" i="45"/>
  <c r="AT74" i="45"/>
  <c r="AS74" i="45"/>
  <c r="AU60" i="45"/>
  <c r="AT60" i="45"/>
  <c r="AT69" i="45" s="1"/>
  <c r="AS60" i="45"/>
  <c r="AS69" i="45" s="1"/>
  <c r="AU59" i="45"/>
  <c r="AT59" i="45"/>
  <c r="AS59" i="45"/>
  <c r="AU57" i="45"/>
  <c r="AT57" i="45"/>
  <c r="AS57" i="45"/>
  <c r="AU43" i="45"/>
  <c r="AU49" i="45" s="1"/>
  <c r="AT43" i="45"/>
  <c r="AS43" i="45"/>
  <c r="AU42" i="45"/>
  <c r="AT42" i="45"/>
  <c r="AS42" i="45"/>
  <c r="AU40" i="45"/>
  <c r="AT40" i="45"/>
  <c r="AS40" i="45"/>
  <c r="AU26" i="45"/>
  <c r="AU38" i="45" s="1"/>
  <c r="AT26" i="45"/>
  <c r="AT29" i="45" s="1"/>
  <c r="AS26" i="45"/>
  <c r="AS30" i="45" s="1"/>
  <c r="AU25" i="45"/>
  <c r="AT25" i="45"/>
  <c r="AS25" i="45"/>
  <c r="AU23" i="45"/>
  <c r="AT23" i="45"/>
  <c r="AS23" i="45"/>
  <c r="AU9" i="45"/>
  <c r="AU14" i="45" s="1"/>
  <c r="AT9" i="45"/>
  <c r="AT12" i="45" s="1"/>
  <c r="AS9" i="45"/>
  <c r="AU8" i="45"/>
  <c r="AT8" i="45"/>
  <c r="AS8" i="45"/>
  <c r="BD330" i="43"/>
  <c r="BC330" i="43"/>
  <c r="BB330" i="43"/>
  <c r="BD316" i="43"/>
  <c r="BD322" i="43" s="1"/>
  <c r="BC316" i="43"/>
  <c r="BB316" i="43"/>
  <c r="BD315" i="43"/>
  <c r="BC315" i="43"/>
  <c r="BB315" i="43"/>
  <c r="BD245" i="43"/>
  <c r="BC245" i="43"/>
  <c r="BB245" i="43"/>
  <c r="BD231" i="43"/>
  <c r="BD234" i="43" s="1"/>
  <c r="BC231" i="43"/>
  <c r="BB231" i="43"/>
  <c r="BB244" i="43" s="1"/>
  <c r="BD230" i="43"/>
  <c r="BC230" i="43"/>
  <c r="BB230" i="43"/>
  <c r="BD228" i="43"/>
  <c r="BC228" i="43"/>
  <c r="BB228" i="43"/>
  <c r="BD214" i="43"/>
  <c r="BD221" i="43" s="1"/>
  <c r="BC214" i="43"/>
  <c r="BB214" i="43"/>
  <c r="BD213" i="43"/>
  <c r="BC213" i="43"/>
  <c r="BB213" i="43"/>
  <c r="BD211" i="43"/>
  <c r="BC211" i="43"/>
  <c r="BB211" i="43"/>
  <c r="BD197" i="43"/>
  <c r="BD210" i="43" s="1"/>
  <c r="BC197" i="43"/>
  <c r="BB197" i="43"/>
  <c r="BD196" i="43"/>
  <c r="BC196" i="43"/>
  <c r="BB196" i="43"/>
  <c r="BD194" i="43"/>
  <c r="BC194" i="43"/>
  <c r="BB194" i="43"/>
  <c r="BD180" i="43"/>
  <c r="BD191" i="43" s="1"/>
  <c r="BC180" i="43"/>
  <c r="BC185" i="43" s="1"/>
  <c r="BB180" i="43"/>
  <c r="BB187" i="43" s="1"/>
  <c r="BD179" i="43"/>
  <c r="BC179" i="43"/>
  <c r="BB179" i="43"/>
  <c r="BD177" i="43"/>
  <c r="BC177" i="43"/>
  <c r="BB177" i="43"/>
  <c r="BD163" i="43"/>
  <c r="BC163" i="43"/>
  <c r="BB163" i="43"/>
  <c r="BB176" i="43" s="1"/>
  <c r="BD162" i="43"/>
  <c r="BC162" i="43"/>
  <c r="BB162" i="43"/>
  <c r="BD160" i="43"/>
  <c r="BC160" i="43"/>
  <c r="BB160" i="43"/>
  <c r="BD146" i="43"/>
  <c r="BC146" i="43"/>
  <c r="BB146" i="43"/>
  <c r="BB157" i="43" s="1"/>
  <c r="BD145" i="43"/>
  <c r="BC145" i="43"/>
  <c r="BB145" i="43"/>
  <c r="BD143" i="43"/>
  <c r="BC143" i="43"/>
  <c r="BB143" i="43"/>
  <c r="BD129" i="43"/>
  <c r="BD137" i="43" s="1"/>
  <c r="BC129" i="43"/>
  <c r="BC133" i="43" s="1"/>
  <c r="BB129" i="43"/>
  <c r="BB135" i="43" s="1"/>
  <c r="BD128" i="43"/>
  <c r="BC128" i="43"/>
  <c r="BB128" i="43"/>
  <c r="BD126" i="43"/>
  <c r="BC126" i="43"/>
  <c r="BB126" i="43"/>
  <c r="BD112" i="43"/>
  <c r="BC112" i="43"/>
  <c r="BC115" i="43" s="1"/>
  <c r="BB112" i="43"/>
  <c r="BB125" i="43" s="1"/>
  <c r="BD111" i="43"/>
  <c r="BC111" i="43"/>
  <c r="BB111" i="43"/>
  <c r="BD109" i="43"/>
  <c r="BC109" i="43"/>
  <c r="BB109" i="43"/>
  <c r="BD95" i="43"/>
  <c r="BD104" i="43" s="1"/>
  <c r="BC95" i="43"/>
  <c r="BB95" i="43"/>
  <c r="BB99" i="43" s="1"/>
  <c r="BD94" i="43"/>
  <c r="BC94" i="43"/>
  <c r="BB94" i="43"/>
  <c r="BD92" i="43"/>
  <c r="BC92" i="43"/>
  <c r="BB92" i="43"/>
  <c r="BD78" i="43"/>
  <c r="BD81" i="43" s="1"/>
  <c r="BC78" i="43"/>
  <c r="BC90" i="43" s="1"/>
  <c r="BB78" i="43"/>
  <c r="BB87" i="43" s="1"/>
  <c r="BD77" i="43"/>
  <c r="BC77" i="43"/>
  <c r="BB77" i="43"/>
  <c r="BD75" i="43"/>
  <c r="BC75" i="43"/>
  <c r="BB75" i="43"/>
  <c r="BD61" i="43"/>
  <c r="BC61" i="43"/>
  <c r="BC66" i="43" s="1"/>
  <c r="BB61" i="43"/>
  <c r="BB68" i="43" s="1"/>
  <c r="BD60" i="43"/>
  <c r="BC60" i="43"/>
  <c r="BB60" i="43"/>
  <c r="BD58" i="43"/>
  <c r="BC58" i="43"/>
  <c r="BB58" i="43"/>
  <c r="BD44" i="43"/>
  <c r="BC44" i="43"/>
  <c r="BC55" i="43" s="1"/>
  <c r="BB44" i="43"/>
  <c r="BD43" i="43"/>
  <c r="BC43" i="43"/>
  <c r="BB43" i="43"/>
  <c r="BD41" i="43"/>
  <c r="BC41" i="43"/>
  <c r="BB41" i="43"/>
  <c r="BD27" i="43"/>
  <c r="BD35" i="43" s="1"/>
  <c r="BC27" i="43"/>
  <c r="BB27" i="43"/>
  <c r="BD26" i="43"/>
  <c r="BC26" i="43"/>
  <c r="BB26" i="43"/>
  <c r="BD24" i="43"/>
  <c r="BC24" i="43"/>
  <c r="BB24" i="43"/>
  <c r="BD10" i="43"/>
  <c r="BC10" i="43"/>
  <c r="BC13" i="43" s="1"/>
  <c r="BB10" i="43"/>
  <c r="BB19" i="43" s="1"/>
  <c r="BD9" i="43"/>
  <c r="BC9" i="43"/>
  <c r="BB9" i="43"/>
  <c r="O346" i="41"/>
  <c r="O336" i="41"/>
  <c r="N344" i="41"/>
  <c r="M332" i="41"/>
  <c r="O331" i="41"/>
  <c r="N331" i="41"/>
  <c r="M331" i="41"/>
  <c r="O329" i="41"/>
  <c r="N329" i="41"/>
  <c r="M329" i="41"/>
  <c r="N322" i="41"/>
  <c r="M315" i="41"/>
  <c r="N314" i="41"/>
  <c r="M314" i="41"/>
  <c r="O312" i="41"/>
  <c r="N312" i="41"/>
  <c r="M312" i="41"/>
  <c r="O304" i="41"/>
  <c r="N309" i="41"/>
  <c r="M309" i="41"/>
  <c r="O297" i="41"/>
  <c r="N297" i="41"/>
  <c r="M297" i="41"/>
  <c r="O261" i="41"/>
  <c r="M261" i="41"/>
  <c r="O246" i="41"/>
  <c r="M246" i="41"/>
  <c r="AQ346" i="45"/>
  <c r="AP346" i="45"/>
  <c r="AO346" i="45"/>
  <c r="AQ332" i="45"/>
  <c r="AQ344" i="45" s="1"/>
  <c r="AP332" i="45"/>
  <c r="AP345" i="45" s="1"/>
  <c r="AO332" i="45"/>
  <c r="AO341" i="45" s="1"/>
  <c r="AQ331" i="45"/>
  <c r="AP331" i="45"/>
  <c r="AO331" i="45"/>
  <c r="AQ329" i="45"/>
  <c r="AP329" i="45"/>
  <c r="AO329" i="45"/>
  <c r="AQ315" i="45"/>
  <c r="AQ321" i="45" s="1"/>
  <c r="AP315" i="45"/>
  <c r="AP323" i="45" s="1"/>
  <c r="AO315" i="45"/>
  <c r="AO324" i="45" s="1"/>
  <c r="AQ314" i="45"/>
  <c r="AP314" i="45"/>
  <c r="AO314" i="45"/>
  <c r="AO246" i="45"/>
  <c r="AQ244" i="45"/>
  <c r="AP244" i="45"/>
  <c r="AO244" i="45"/>
  <c r="AQ230" i="45"/>
  <c r="AP230" i="45"/>
  <c r="AO230" i="45"/>
  <c r="AO236" i="45" s="1"/>
  <c r="AQ229" i="45"/>
  <c r="AP229" i="45"/>
  <c r="AO229" i="45"/>
  <c r="AQ227" i="45"/>
  <c r="AP227" i="45"/>
  <c r="AO227" i="45"/>
  <c r="AQ213" i="45"/>
  <c r="AQ222" i="45" s="1"/>
  <c r="AP213" i="45"/>
  <c r="AP222" i="45" s="1"/>
  <c r="AO213" i="45"/>
  <c r="AO225" i="45" s="1"/>
  <c r="AQ212" i="45"/>
  <c r="AP212" i="45"/>
  <c r="AO212" i="45"/>
  <c r="AQ193" i="45"/>
  <c r="AP193" i="45"/>
  <c r="AO193" i="45"/>
  <c r="AQ179" i="45"/>
  <c r="AP179" i="45"/>
  <c r="AO179" i="45"/>
  <c r="AO192" i="45" s="1"/>
  <c r="AQ178" i="45"/>
  <c r="AP178" i="45"/>
  <c r="AO178" i="45"/>
  <c r="AQ176" i="45"/>
  <c r="AP176" i="45"/>
  <c r="AO176" i="45"/>
  <c r="AQ162" i="45"/>
  <c r="AQ167" i="45" s="1"/>
  <c r="AP162" i="45"/>
  <c r="AO162" i="45"/>
  <c r="AO165" i="45" s="1"/>
  <c r="AQ161" i="45"/>
  <c r="AP161" i="45"/>
  <c r="AO161" i="45"/>
  <c r="AQ159" i="45"/>
  <c r="AP159" i="45"/>
  <c r="AO159" i="45"/>
  <c r="AQ145" i="45"/>
  <c r="AQ156" i="45" s="1"/>
  <c r="AP145" i="45"/>
  <c r="AP152" i="45" s="1"/>
  <c r="AO145" i="45"/>
  <c r="AQ144" i="45"/>
  <c r="AP144" i="45"/>
  <c r="AO144" i="45"/>
  <c r="AQ142" i="45"/>
  <c r="AP142" i="45"/>
  <c r="AO142" i="45"/>
  <c r="AQ128" i="45"/>
  <c r="AQ132" i="45" s="1"/>
  <c r="AP128" i="45"/>
  <c r="AO128" i="45"/>
  <c r="AO141" i="45" s="1"/>
  <c r="AQ127" i="45"/>
  <c r="AP127" i="45"/>
  <c r="AO127" i="45"/>
  <c r="AQ125" i="45"/>
  <c r="AP125" i="45"/>
  <c r="AO125" i="45"/>
  <c r="AQ111" i="45"/>
  <c r="AQ123" i="45" s="1"/>
  <c r="AP111" i="45"/>
  <c r="AO111" i="45"/>
  <c r="AQ110" i="45"/>
  <c r="AP110" i="45"/>
  <c r="AO110" i="45"/>
  <c r="AQ108" i="45"/>
  <c r="AP108" i="45"/>
  <c r="AO108" i="45"/>
  <c r="AQ94" i="45"/>
  <c r="AQ97" i="45" s="1"/>
  <c r="AP94" i="45"/>
  <c r="AP107" i="45" s="1"/>
  <c r="AO94" i="45"/>
  <c r="AO98" i="45" s="1"/>
  <c r="AQ93" i="45"/>
  <c r="AP93" i="45"/>
  <c r="AO93" i="45"/>
  <c r="AQ91" i="45"/>
  <c r="AP91" i="45"/>
  <c r="AO91" i="45"/>
  <c r="AQ77" i="45"/>
  <c r="AQ84" i="45" s="1"/>
  <c r="AP77" i="45"/>
  <c r="AP89" i="45" s="1"/>
  <c r="AO77" i="45"/>
  <c r="AQ76" i="45"/>
  <c r="AP76" i="45"/>
  <c r="AO76" i="45"/>
  <c r="AQ74" i="45"/>
  <c r="AP74" i="45"/>
  <c r="AO74" i="45"/>
  <c r="AQ60" i="45"/>
  <c r="AP60" i="45"/>
  <c r="AP67" i="45" s="1"/>
  <c r="AO60" i="45"/>
  <c r="AO73" i="45" s="1"/>
  <c r="AQ59" i="45"/>
  <c r="AP59" i="45"/>
  <c r="AO59" i="45"/>
  <c r="AQ57" i="45"/>
  <c r="AP57" i="45"/>
  <c r="AO57" i="45"/>
  <c r="AQ43" i="45"/>
  <c r="AP43" i="45"/>
  <c r="AP54" i="45" s="1"/>
  <c r="AO43" i="45"/>
  <c r="AO56" i="45" s="1"/>
  <c r="AQ42" i="45"/>
  <c r="AP42" i="45"/>
  <c r="AO42" i="45"/>
  <c r="AQ40" i="45"/>
  <c r="AP40" i="45"/>
  <c r="AO40" i="45"/>
  <c r="AQ26" i="45"/>
  <c r="AQ32" i="45" s="1"/>
  <c r="AP26" i="45"/>
  <c r="AO26" i="45"/>
  <c r="AQ25" i="45"/>
  <c r="AP25" i="45"/>
  <c r="AO25" i="45"/>
  <c r="AQ23" i="45"/>
  <c r="AP23" i="45"/>
  <c r="AO23" i="45"/>
  <c r="AQ9" i="45"/>
  <c r="AP9" i="45"/>
  <c r="AP15" i="45" s="1"/>
  <c r="AO9" i="45"/>
  <c r="AQ8" i="45"/>
  <c r="AP8" i="45"/>
  <c r="AO8" i="45"/>
  <c r="AZ330" i="43"/>
  <c r="AY330" i="43"/>
  <c r="AX330" i="43"/>
  <c r="AZ316" i="43"/>
  <c r="AY316" i="43"/>
  <c r="AY324" i="43" s="1"/>
  <c r="AX316" i="43"/>
  <c r="AX321" i="43" s="1"/>
  <c r="AZ315" i="43"/>
  <c r="AY315" i="43"/>
  <c r="AX315" i="43"/>
  <c r="AZ313" i="43"/>
  <c r="AY313" i="43"/>
  <c r="AX313" i="43"/>
  <c r="AZ299" i="43"/>
  <c r="AY299" i="43"/>
  <c r="AY303" i="43" s="1"/>
  <c r="AX299" i="43"/>
  <c r="AX307" i="43" s="1"/>
  <c r="AZ298" i="43"/>
  <c r="AY298" i="43"/>
  <c r="AX298" i="43"/>
  <c r="AZ296" i="43"/>
  <c r="AY296" i="43"/>
  <c r="AX296" i="43"/>
  <c r="AZ282" i="43"/>
  <c r="AZ291" i="43" s="1"/>
  <c r="AY282" i="43"/>
  <c r="AY288" i="43" s="1"/>
  <c r="AX282" i="43"/>
  <c r="AZ281" i="43"/>
  <c r="AY281" i="43"/>
  <c r="AX281" i="43"/>
  <c r="AZ279" i="43"/>
  <c r="AY279" i="43"/>
  <c r="AX279" i="43"/>
  <c r="AZ265" i="43"/>
  <c r="AY265" i="43"/>
  <c r="AY270" i="43" s="1"/>
  <c r="AX265" i="43"/>
  <c r="AX273" i="43" s="1"/>
  <c r="AZ264" i="43"/>
  <c r="AY264" i="43"/>
  <c r="AX264" i="43"/>
  <c r="AZ245" i="43"/>
  <c r="AY245" i="43"/>
  <c r="AX245" i="43"/>
  <c r="AZ231" i="43"/>
  <c r="AY231" i="43"/>
  <c r="AY243" i="43" s="1"/>
  <c r="AX231" i="43"/>
  <c r="AX234" i="43" s="1"/>
  <c r="AZ230" i="43"/>
  <c r="AY230" i="43"/>
  <c r="AX230" i="43"/>
  <c r="AZ228" i="43"/>
  <c r="AY228" i="43"/>
  <c r="AX228" i="43"/>
  <c r="AZ214" i="43"/>
  <c r="AY214" i="43"/>
  <c r="AY222" i="43" s="1"/>
  <c r="AX214" i="43"/>
  <c r="AX219" i="43" s="1"/>
  <c r="AZ213" i="43"/>
  <c r="AY213" i="43"/>
  <c r="AX213" i="43"/>
  <c r="AZ211" i="43"/>
  <c r="AY211" i="43"/>
  <c r="AX211" i="43"/>
  <c r="AZ197" i="43"/>
  <c r="AY197" i="43"/>
  <c r="AX197" i="43"/>
  <c r="AZ196" i="43"/>
  <c r="AY196" i="43"/>
  <c r="AX196" i="43"/>
  <c r="AZ194" i="43"/>
  <c r="AY194" i="43"/>
  <c r="AX194" i="43"/>
  <c r="AZ180" i="43"/>
  <c r="AZ188" i="43" s="1"/>
  <c r="AY180" i="43"/>
  <c r="AY188" i="43" s="1"/>
  <c r="AX180" i="43"/>
  <c r="AX189" i="43" s="1"/>
  <c r="AZ179" i="43"/>
  <c r="AY179" i="43"/>
  <c r="AX179" i="43"/>
  <c r="AZ177" i="43"/>
  <c r="AY177" i="43"/>
  <c r="AX177" i="43"/>
  <c r="AZ163" i="43"/>
  <c r="AY163" i="43"/>
  <c r="AY176" i="43" s="1"/>
  <c r="AX163" i="43"/>
  <c r="AZ162" i="43"/>
  <c r="AY162" i="43"/>
  <c r="AX162" i="43"/>
  <c r="AZ160" i="43"/>
  <c r="AY160" i="43"/>
  <c r="AX160" i="43"/>
  <c r="AZ146" i="43"/>
  <c r="AY146" i="43"/>
  <c r="AX146" i="43"/>
  <c r="AZ145" i="43"/>
  <c r="AY145" i="43"/>
  <c r="AX145" i="43"/>
  <c r="AZ143" i="43"/>
  <c r="AY143" i="43"/>
  <c r="AX143" i="43"/>
  <c r="AZ129" i="43"/>
  <c r="AZ135" i="43" s="1"/>
  <c r="AY129" i="43"/>
  <c r="AY132" i="43" s="1"/>
  <c r="AX129" i="43"/>
  <c r="AZ128" i="43"/>
  <c r="AY128" i="43"/>
  <c r="AX128" i="43"/>
  <c r="AZ126" i="43"/>
  <c r="AY126" i="43"/>
  <c r="AX126" i="43"/>
  <c r="AZ112" i="43"/>
  <c r="AZ119" i="43" s="1"/>
  <c r="AY112" i="43"/>
  <c r="AY119" i="43" s="1"/>
  <c r="AX112" i="43"/>
  <c r="AX116" i="43" s="1"/>
  <c r="AZ111" i="43"/>
  <c r="AY111" i="43"/>
  <c r="AX111" i="43"/>
  <c r="AZ109" i="43"/>
  <c r="AY109" i="43"/>
  <c r="AX109" i="43"/>
  <c r="AZ95" i="43"/>
  <c r="AZ108" i="43" s="1"/>
  <c r="AY95" i="43"/>
  <c r="AX95" i="43"/>
  <c r="AX107" i="43" s="1"/>
  <c r="AZ94" i="43"/>
  <c r="AY94" i="43"/>
  <c r="AX94" i="43"/>
  <c r="AZ92" i="43"/>
  <c r="AY92" i="43"/>
  <c r="AX92" i="43"/>
  <c r="AZ78" i="43"/>
  <c r="AZ84" i="43" s="1"/>
  <c r="AY78" i="43"/>
  <c r="AY82" i="43" s="1"/>
  <c r="AX78" i="43"/>
  <c r="AZ77" i="43"/>
  <c r="AY77" i="43"/>
  <c r="AX77" i="43"/>
  <c r="AZ75" i="43"/>
  <c r="AY75" i="43"/>
  <c r="AX75" i="43"/>
  <c r="AZ61" i="43"/>
  <c r="AY61" i="43"/>
  <c r="AY66" i="43" s="1"/>
  <c r="AX61" i="43"/>
  <c r="AZ60" i="43"/>
  <c r="AY60" i="43"/>
  <c r="AX60" i="43"/>
  <c r="AZ58" i="43"/>
  <c r="AY58" i="43"/>
  <c r="AX58" i="43"/>
  <c r="AZ44" i="43"/>
  <c r="AY44" i="43"/>
  <c r="AY51" i="43" s="1"/>
  <c r="AX44" i="43"/>
  <c r="AX50" i="43" s="1"/>
  <c r="AZ43" i="43"/>
  <c r="AY43" i="43"/>
  <c r="AX43" i="43"/>
  <c r="AZ41" i="43"/>
  <c r="AY41" i="43"/>
  <c r="AX41" i="43"/>
  <c r="AZ27" i="43"/>
  <c r="AY27" i="43"/>
  <c r="AY35" i="43" s="1"/>
  <c r="AX27" i="43"/>
  <c r="AX39" i="43" s="1"/>
  <c r="AZ26" i="43"/>
  <c r="AY26" i="43"/>
  <c r="AX26" i="43"/>
  <c r="AZ24" i="43"/>
  <c r="AY24" i="43"/>
  <c r="AX24" i="43"/>
  <c r="AZ10" i="43"/>
  <c r="AY10" i="43"/>
  <c r="AY18" i="43" s="1"/>
  <c r="AX10" i="43"/>
  <c r="AX22" i="43" s="1"/>
  <c r="AZ9" i="43"/>
  <c r="AY9" i="43"/>
  <c r="AX9" i="43"/>
  <c r="K346" i="41"/>
  <c r="J346" i="41"/>
  <c r="I346" i="41"/>
  <c r="K332" i="41"/>
  <c r="I344" i="41"/>
  <c r="K331" i="41"/>
  <c r="J331" i="41"/>
  <c r="I331" i="41"/>
  <c r="K329" i="41"/>
  <c r="J329" i="41"/>
  <c r="I329" i="41"/>
  <c r="J327" i="41"/>
  <c r="I315" i="41"/>
  <c r="K314" i="41"/>
  <c r="J314" i="41"/>
  <c r="I314" i="41"/>
  <c r="K312" i="41"/>
  <c r="J312" i="41"/>
  <c r="I312" i="41"/>
  <c r="K304" i="41"/>
  <c r="K297" i="41"/>
  <c r="I297" i="41"/>
  <c r="K261" i="41"/>
  <c r="J261" i="41"/>
  <c r="I261" i="41"/>
  <c r="K247" i="41"/>
  <c r="I247" i="41"/>
  <c r="K246" i="41"/>
  <c r="J246" i="41"/>
  <c r="I246" i="41"/>
  <c r="AM346" i="45"/>
  <c r="AL346" i="45"/>
  <c r="AK346" i="45"/>
  <c r="AM332" i="45"/>
  <c r="AM344" i="45" s="1"/>
  <c r="AL332" i="45"/>
  <c r="AK332" i="45"/>
  <c r="AM331" i="45"/>
  <c r="AL331" i="45"/>
  <c r="AK331" i="45"/>
  <c r="AM329" i="45"/>
  <c r="AL329" i="45"/>
  <c r="AK329" i="45"/>
  <c r="AM315" i="45"/>
  <c r="AL315" i="45"/>
  <c r="AK315" i="45"/>
  <c r="AK323" i="45" s="1"/>
  <c r="AM314" i="45"/>
  <c r="AL314" i="45"/>
  <c r="AK314" i="45"/>
  <c r="AM246" i="45"/>
  <c r="AL246" i="45"/>
  <c r="AK246" i="45"/>
  <c r="AM244" i="45"/>
  <c r="AL244" i="45"/>
  <c r="AK244" i="45"/>
  <c r="AM230" i="45"/>
  <c r="AL230" i="45"/>
  <c r="AL238" i="45" s="1"/>
  <c r="AK230" i="45"/>
  <c r="AM229" i="45"/>
  <c r="AL229" i="45"/>
  <c r="AK229" i="45"/>
  <c r="AM227" i="45"/>
  <c r="AL227" i="45"/>
  <c r="AK227" i="45"/>
  <c r="AM213" i="45"/>
  <c r="AM224" i="45" s="1"/>
  <c r="AL213" i="45"/>
  <c r="AL217" i="45" s="1"/>
  <c r="AK213" i="45"/>
  <c r="AM212" i="45"/>
  <c r="AL212" i="45"/>
  <c r="AK212" i="45"/>
  <c r="AM193" i="45"/>
  <c r="AL193" i="45"/>
  <c r="AK193" i="45"/>
  <c r="AM179" i="45"/>
  <c r="AM184" i="45" s="1"/>
  <c r="AL179" i="45"/>
  <c r="AK179" i="45"/>
  <c r="AK185" i="45" s="1"/>
  <c r="AM178" i="45"/>
  <c r="AL178" i="45"/>
  <c r="AK178" i="45"/>
  <c r="AM176" i="45"/>
  <c r="AL176" i="45"/>
  <c r="AK176" i="45"/>
  <c r="AM162" i="45"/>
  <c r="AL162" i="45"/>
  <c r="AK162" i="45"/>
  <c r="AK166" i="45" s="1"/>
  <c r="AM161" i="45"/>
  <c r="AL161" i="45"/>
  <c r="AK161" i="45"/>
  <c r="AM159" i="45"/>
  <c r="AL159" i="45"/>
  <c r="AK159" i="45"/>
  <c r="AM145" i="45"/>
  <c r="AM149" i="45" s="1"/>
  <c r="AL145" i="45"/>
  <c r="AL153" i="45" s="1"/>
  <c r="AK145" i="45"/>
  <c r="AK149" i="45" s="1"/>
  <c r="AM144" i="45"/>
  <c r="AL144" i="45"/>
  <c r="AK144" i="45"/>
  <c r="AM142" i="45"/>
  <c r="AL142" i="45"/>
  <c r="AK142" i="45"/>
  <c r="AM128" i="45"/>
  <c r="AL128" i="45"/>
  <c r="AK128" i="45"/>
  <c r="AK133" i="45" s="1"/>
  <c r="AM127" i="45"/>
  <c r="AL127" i="45"/>
  <c r="AK127" i="45"/>
  <c r="AM125" i="45"/>
  <c r="AL125" i="45"/>
  <c r="AK125" i="45"/>
  <c r="AM111" i="45"/>
  <c r="AL111" i="45"/>
  <c r="AL118" i="45" s="1"/>
  <c r="AK111" i="45"/>
  <c r="AM110" i="45"/>
  <c r="AL110" i="45"/>
  <c r="AK110" i="45"/>
  <c r="AM108" i="45"/>
  <c r="AL108" i="45"/>
  <c r="AK108" i="45"/>
  <c r="AM94" i="45"/>
  <c r="AM102" i="45" s="1"/>
  <c r="AL94" i="45"/>
  <c r="AK94" i="45"/>
  <c r="AK105" i="45" s="1"/>
  <c r="AM93" i="45"/>
  <c r="AL93" i="45"/>
  <c r="AK93" i="45"/>
  <c r="AM91" i="45"/>
  <c r="AL91" i="45"/>
  <c r="AK91" i="45"/>
  <c r="AM77" i="45"/>
  <c r="AL77" i="45"/>
  <c r="AK77" i="45"/>
  <c r="AM76" i="45"/>
  <c r="AL76" i="45"/>
  <c r="AK76" i="45"/>
  <c r="AM74" i="45"/>
  <c r="AL74" i="45"/>
  <c r="AK74" i="45"/>
  <c r="AM60" i="45"/>
  <c r="AL60" i="45"/>
  <c r="AL69" i="45" s="1"/>
  <c r="AK60" i="45"/>
  <c r="AK64" i="45" s="1"/>
  <c r="AM59" i="45"/>
  <c r="AL59" i="45"/>
  <c r="AK59" i="45"/>
  <c r="AM57" i="45"/>
  <c r="AL57" i="45"/>
  <c r="AK57" i="45"/>
  <c r="AM43" i="45"/>
  <c r="AM47" i="45" s="1"/>
  <c r="AL43" i="45"/>
  <c r="AL51" i="45" s="1"/>
  <c r="AK43" i="45"/>
  <c r="AM42" i="45"/>
  <c r="AL42" i="45"/>
  <c r="AK42" i="45"/>
  <c r="AM40" i="45"/>
  <c r="AL40" i="45"/>
  <c r="AK40" i="45"/>
  <c r="AM26" i="45"/>
  <c r="AM39" i="45" s="1"/>
  <c r="AL26" i="45"/>
  <c r="AL35" i="45" s="1"/>
  <c r="AK26" i="45"/>
  <c r="AM25" i="45"/>
  <c r="AL25" i="45"/>
  <c r="AK25" i="45"/>
  <c r="AM23" i="45"/>
  <c r="AL23" i="45"/>
  <c r="AK23" i="45"/>
  <c r="AM9" i="45"/>
  <c r="AL9" i="45"/>
  <c r="AL12" i="45" s="1"/>
  <c r="AK9" i="45"/>
  <c r="AM8" i="45"/>
  <c r="AL8" i="45"/>
  <c r="AK8" i="45"/>
  <c r="AV330" i="43"/>
  <c r="AU330" i="43"/>
  <c r="AT330" i="43"/>
  <c r="AV316" i="43"/>
  <c r="AV329" i="43" s="1"/>
  <c r="AU316" i="43"/>
  <c r="AU328" i="43" s="1"/>
  <c r="AT316" i="43"/>
  <c r="AV315" i="43"/>
  <c r="AU315" i="43"/>
  <c r="AT315" i="43"/>
  <c r="AV313" i="43"/>
  <c r="AU313" i="43"/>
  <c r="AT313" i="43"/>
  <c r="AV299" i="43"/>
  <c r="AV305" i="43" s="1"/>
  <c r="AU299" i="43"/>
  <c r="AT299" i="43"/>
  <c r="AV298" i="43"/>
  <c r="AU298" i="43"/>
  <c r="AT298" i="43"/>
  <c r="AV296" i="43"/>
  <c r="AU296" i="43"/>
  <c r="AT296" i="43"/>
  <c r="AV282" i="43"/>
  <c r="AV295" i="43" s="1"/>
  <c r="AU282" i="43"/>
  <c r="AT282" i="43"/>
  <c r="AT295" i="43" s="1"/>
  <c r="AV281" i="43"/>
  <c r="AU281" i="43"/>
  <c r="AT281" i="43"/>
  <c r="AV279" i="43"/>
  <c r="AU279" i="43"/>
  <c r="AT279" i="43"/>
  <c r="AV265" i="43"/>
  <c r="AU265" i="43"/>
  <c r="AU278" i="43" s="1"/>
  <c r="AT265" i="43"/>
  <c r="AT272" i="43" s="1"/>
  <c r="AV264" i="43"/>
  <c r="AU264" i="43"/>
  <c r="AT264" i="43"/>
  <c r="AV245" i="43"/>
  <c r="AU245" i="43"/>
  <c r="AT245" i="43"/>
  <c r="AV231" i="43"/>
  <c r="AU231" i="43"/>
  <c r="AT231" i="43"/>
  <c r="AV230" i="43"/>
  <c r="AU230" i="43"/>
  <c r="AT230" i="43"/>
  <c r="AV228" i="43"/>
  <c r="AU228" i="43"/>
  <c r="AT228" i="43"/>
  <c r="AV214" i="43"/>
  <c r="AV225" i="43" s="1"/>
  <c r="AU214" i="43"/>
  <c r="AU222" i="43" s="1"/>
  <c r="AT214" i="43"/>
  <c r="AT220" i="43" s="1"/>
  <c r="AV213" i="43"/>
  <c r="AU213" i="43"/>
  <c r="AT213" i="43"/>
  <c r="AV211" i="43"/>
  <c r="AU211" i="43"/>
  <c r="AT211" i="43"/>
  <c r="AV197" i="43"/>
  <c r="AU197" i="43"/>
  <c r="AT197" i="43"/>
  <c r="AT201" i="43" s="1"/>
  <c r="AV196" i="43"/>
  <c r="AU196" i="43"/>
  <c r="AT196" i="43"/>
  <c r="AV194" i="43"/>
  <c r="AU194" i="43"/>
  <c r="AT194" i="43"/>
  <c r="AV180" i="43"/>
  <c r="AV186" i="43" s="1"/>
  <c r="AU180" i="43"/>
  <c r="AT180" i="43"/>
  <c r="AT192" i="43" s="1"/>
  <c r="AV179" i="43"/>
  <c r="AU179" i="43"/>
  <c r="AT179" i="43"/>
  <c r="AV177" i="43"/>
  <c r="AU177" i="43"/>
  <c r="AT177" i="43"/>
  <c r="AV163" i="43"/>
  <c r="AV171" i="43" s="1"/>
  <c r="AU163" i="43"/>
  <c r="AU176" i="43" s="1"/>
  <c r="AT163" i="43"/>
  <c r="AV162" i="43"/>
  <c r="AU162" i="43"/>
  <c r="AT162" i="43"/>
  <c r="AV160" i="43"/>
  <c r="AU160" i="43"/>
  <c r="AT160" i="43"/>
  <c r="AV146" i="43"/>
  <c r="AU146" i="43"/>
  <c r="AU159" i="43" s="1"/>
  <c r="AT146" i="43"/>
  <c r="AT149" i="43" s="1"/>
  <c r="AV145" i="43"/>
  <c r="AU145" i="43"/>
  <c r="AT145" i="43"/>
  <c r="AV143" i="43"/>
  <c r="AU143" i="43"/>
  <c r="AT143" i="43"/>
  <c r="AV129" i="43"/>
  <c r="AV142" i="43" s="1"/>
  <c r="AU129" i="43"/>
  <c r="AT129" i="43"/>
  <c r="AV128" i="43"/>
  <c r="AU128" i="43"/>
  <c r="AT128" i="43"/>
  <c r="AV126" i="43"/>
  <c r="AU126" i="43"/>
  <c r="AT126" i="43"/>
  <c r="AV112" i="43"/>
  <c r="AU112" i="43"/>
  <c r="AU118" i="43" s="1"/>
  <c r="AT112" i="43"/>
  <c r="AV111" i="43"/>
  <c r="AU111" i="43"/>
  <c r="AT111" i="43"/>
  <c r="AV109" i="43"/>
  <c r="AU109" i="43"/>
  <c r="AT109" i="43"/>
  <c r="AV95" i="43"/>
  <c r="AU95" i="43"/>
  <c r="AT95" i="43"/>
  <c r="AV94" i="43"/>
  <c r="AU94" i="43"/>
  <c r="AT94" i="43"/>
  <c r="AV92" i="43"/>
  <c r="AU92" i="43"/>
  <c r="AT92" i="43"/>
  <c r="AV78" i="43"/>
  <c r="AU78" i="43"/>
  <c r="AT78" i="43"/>
  <c r="AV77" i="43"/>
  <c r="AU77" i="43"/>
  <c r="AT77" i="43"/>
  <c r="AV75" i="43"/>
  <c r="AU75" i="43"/>
  <c r="AT75" i="43"/>
  <c r="AV61" i="43"/>
  <c r="AU61" i="43"/>
  <c r="AU69" i="43" s="1"/>
  <c r="AT61" i="43"/>
  <c r="AT65" i="43" s="1"/>
  <c r="AV60" i="43"/>
  <c r="AU60" i="43"/>
  <c r="AT60" i="43"/>
  <c r="AV58" i="43"/>
  <c r="AU58" i="43"/>
  <c r="AT58" i="43"/>
  <c r="AV44" i="43"/>
  <c r="AV53" i="43" s="1"/>
  <c r="AU44" i="43"/>
  <c r="AU50" i="43" s="1"/>
  <c r="AT44" i="43"/>
  <c r="AT50" i="43" s="1"/>
  <c r="AV43" i="43"/>
  <c r="AU43" i="43"/>
  <c r="AT43" i="43"/>
  <c r="AV41" i="43"/>
  <c r="AU41" i="43"/>
  <c r="AT41" i="43"/>
  <c r="AV27" i="43"/>
  <c r="AV31" i="43" s="1"/>
  <c r="AU27" i="43"/>
  <c r="AT27" i="43"/>
  <c r="AV26" i="43"/>
  <c r="AU26" i="43"/>
  <c r="AT26" i="43"/>
  <c r="AV24" i="43"/>
  <c r="AU24" i="43"/>
  <c r="AT24" i="43"/>
  <c r="AV10" i="43"/>
  <c r="AV15" i="43" s="1"/>
  <c r="AU10" i="43"/>
  <c r="AT10" i="43"/>
  <c r="AT15" i="43" s="1"/>
  <c r="AV9" i="43"/>
  <c r="AU9" i="43"/>
  <c r="AT9" i="43"/>
  <c r="T272" i="33"/>
  <c r="S272" i="33"/>
  <c r="R272" i="33"/>
  <c r="T261" i="33"/>
  <c r="T266" i="33" s="1"/>
  <c r="S261" i="33"/>
  <c r="S268" i="33" s="1"/>
  <c r="R261" i="33"/>
  <c r="R262" i="33" s="1"/>
  <c r="T260" i="33"/>
  <c r="S260" i="33"/>
  <c r="R260" i="33"/>
  <c r="L272" i="33"/>
  <c r="K272" i="33"/>
  <c r="J272" i="33"/>
  <c r="L261" i="33"/>
  <c r="K261" i="33"/>
  <c r="K266" i="33" s="1"/>
  <c r="J261" i="33"/>
  <c r="L260" i="33"/>
  <c r="K260" i="33"/>
  <c r="J260" i="33"/>
  <c r="T216" i="33"/>
  <c r="S216" i="33"/>
  <c r="R216" i="33"/>
  <c r="T205" i="33"/>
  <c r="T206" i="33" s="1"/>
  <c r="S205" i="33"/>
  <c r="S206" i="33" s="1"/>
  <c r="R205" i="33"/>
  <c r="R212" i="33" s="1"/>
  <c r="T204" i="33"/>
  <c r="S204" i="33"/>
  <c r="R204" i="33"/>
  <c r="T202" i="33"/>
  <c r="S202" i="33"/>
  <c r="R202" i="33"/>
  <c r="T191" i="33"/>
  <c r="S191" i="33"/>
  <c r="S197" i="33" s="1"/>
  <c r="R191" i="33"/>
  <c r="R196" i="33" s="1"/>
  <c r="T190" i="33"/>
  <c r="S190" i="33"/>
  <c r="R190" i="33"/>
  <c r="L216" i="33"/>
  <c r="K216" i="33"/>
  <c r="J216" i="33"/>
  <c r="L205" i="33"/>
  <c r="L210" i="33" s="1"/>
  <c r="K205" i="33"/>
  <c r="J205" i="33"/>
  <c r="J207" i="33" s="1"/>
  <c r="L204" i="33"/>
  <c r="K204" i="33"/>
  <c r="J204" i="33"/>
  <c r="L202" i="33"/>
  <c r="K202" i="33"/>
  <c r="J202" i="33"/>
  <c r="L191" i="33"/>
  <c r="K191" i="33"/>
  <c r="K197" i="33" s="1"/>
  <c r="J191" i="33"/>
  <c r="J198" i="33" s="1"/>
  <c r="L190" i="33"/>
  <c r="K190" i="33"/>
  <c r="J190" i="33"/>
  <c r="T174" i="33"/>
  <c r="S174" i="33"/>
  <c r="R174" i="33"/>
  <c r="T163" i="33"/>
  <c r="S163" i="33"/>
  <c r="S172" i="33" s="1"/>
  <c r="R163" i="33"/>
  <c r="T162" i="33"/>
  <c r="S162" i="33"/>
  <c r="R162" i="33"/>
  <c r="T160" i="33"/>
  <c r="S160" i="33"/>
  <c r="R160" i="33"/>
  <c r="T149" i="33"/>
  <c r="T154" i="33" s="1"/>
  <c r="S149" i="33"/>
  <c r="R149" i="33"/>
  <c r="R150" i="33" s="1"/>
  <c r="T148" i="33"/>
  <c r="S148" i="33"/>
  <c r="R148" i="33"/>
  <c r="T146" i="33"/>
  <c r="S146" i="33"/>
  <c r="R146" i="33"/>
  <c r="T135" i="33"/>
  <c r="T136" i="33" s="1"/>
  <c r="S135" i="33"/>
  <c r="S144" i="33" s="1"/>
  <c r="R135" i="33"/>
  <c r="T134" i="33"/>
  <c r="S134" i="33"/>
  <c r="R134" i="33"/>
  <c r="T132" i="33"/>
  <c r="S132" i="33"/>
  <c r="R132" i="33"/>
  <c r="T121" i="33"/>
  <c r="S121" i="33"/>
  <c r="S127" i="33" s="1"/>
  <c r="R121" i="33"/>
  <c r="T120" i="33"/>
  <c r="S120" i="33"/>
  <c r="R120" i="33"/>
  <c r="L174" i="33"/>
  <c r="K174" i="33"/>
  <c r="J174" i="33"/>
  <c r="L163" i="33"/>
  <c r="L168" i="33" s="1"/>
  <c r="K163" i="33"/>
  <c r="J163" i="33"/>
  <c r="L162" i="33"/>
  <c r="K162" i="33"/>
  <c r="J162" i="33"/>
  <c r="L160" i="33"/>
  <c r="K160" i="33"/>
  <c r="J160" i="33"/>
  <c r="L149" i="33"/>
  <c r="L158" i="33" s="1"/>
  <c r="K149" i="33"/>
  <c r="J149" i="33"/>
  <c r="L148" i="33"/>
  <c r="K148" i="33"/>
  <c r="J148" i="33"/>
  <c r="L146" i="33"/>
  <c r="K146" i="33"/>
  <c r="J146" i="33"/>
  <c r="L135" i="33"/>
  <c r="K135" i="33"/>
  <c r="J135" i="33"/>
  <c r="J144" i="33" s="1"/>
  <c r="L134" i="33"/>
  <c r="K134" i="33"/>
  <c r="J134" i="33"/>
  <c r="L132" i="33"/>
  <c r="K132" i="33"/>
  <c r="J132" i="33"/>
  <c r="L121" i="33"/>
  <c r="L126" i="33" s="1"/>
  <c r="K121" i="33"/>
  <c r="K126" i="33" s="1"/>
  <c r="J121" i="33"/>
  <c r="L120" i="33"/>
  <c r="K120" i="33"/>
  <c r="J120" i="33"/>
  <c r="T104" i="33"/>
  <c r="S104" i="33"/>
  <c r="R104" i="33"/>
  <c r="T93" i="33"/>
  <c r="T100" i="33" s="1"/>
  <c r="S93" i="33"/>
  <c r="S95" i="33" s="1"/>
  <c r="R93" i="33"/>
  <c r="R98" i="33" s="1"/>
  <c r="T92" i="33"/>
  <c r="S92" i="33"/>
  <c r="R92" i="33"/>
  <c r="T90" i="33"/>
  <c r="S90" i="33"/>
  <c r="R90" i="33"/>
  <c r="T79" i="33"/>
  <c r="S79" i="33"/>
  <c r="S80" i="33" s="1"/>
  <c r="R79" i="33"/>
  <c r="R88" i="33" s="1"/>
  <c r="T78" i="33"/>
  <c r="S78" i="33"/>
  <c r="R78" i="33"/>
  <c r="T76" i="33"/>
  <c r="S76" i="33"/>
  <c r="R76" i="33"/>
  <c r="T65" i="33"/>
  <c r="S65" i="33"/>
  <c r="R65" i="33"/>
  <c r="R72" i="33" s="1"/>
  <c r="T64" i="33"/>
  <c r="S64" i="33"/>
  <c r="R64" i="33"/>
  <c r="L104" i="33"/>
  <c r="K104" i="33"/>
  <c r="J104" i="33"/>
  <c r="L93" i="33"/>
  <c r="K93" i="33"/>
  <c r="K99" i="33" s="1"/>
  <c r="J93" i="33"/>
  <c r="J95" i="33" s="1"/>
  <c r="L92" i="33"/>
  <c r="K92" i="33"/>
  <c r="J92" i="33"/>
  <c r="L90" i="33"/>
  <c r="K90" i="33"/>
  <c r="J90" i="33"/>
  <c r="L79" i="33"/>
  <c r="K79" i="33"/>
  <c r="K82" i="33" s="1"/>
  <c r="J79" i="33"/>
  <c r="J85" i="33" s="1"/>
  <c r="L78" i="33"/>
  <c r="K78" i="33"/>
  <c r="J78" i="33"/>
  <c r="L76" i="33"/>
  <c r="K76" i="33"/>
  <c r="J76" i="33"/>
  <c r="L65" i="33"/>
  <c r="K65" i="33"/>
  <c r="K71" i="33" s="1"/>
  <c r="J65" i="33"/>
  <c r="J66" i="33" s="1"/>
  <c r="L64" i="33"/>
  <c r="K64" i="33"/>
  <c r="J64" i="33"/>
  <c r="T48" i="33"/>
  <c r="S48" i="33"/>
  <c r="R48" i="33"/>
  <c r="T37" i="33"/>
  <c r="S37" i="33"/>
  <c r="S43" i="33" s="1"/>
  <c r="R37" i="33"/>
  <c r="R42" i="33" s="1"/>
  <c r="T36" i="33"/>
  <c r="S36" i="33"/>
  <c r="R36" i="33"/>
  <c r="T34" i="33"/>
  <c r="S34" i="33"/>
  <c r="R34" i="33"/>
  <c r="T23" i="33"/>
  <c r="T25" i="33" s="1"/>
  <c r="S23" i="33"/>
  <c r="R23" i="33"/>
  <c r="T22" i="33"/>
  <c r="S22" i="33"/>
  <c r="R22" i="33"/>
  <c r="L48" i="33"/>
  <c r="K48" i="33"/>
  <c r="J48" i="33"/>
  <c r="L37" i="33"/>
  <c r="L39" i="33" s="1"/>
  <c r="K37" i="33"/>
  <c r="K46" i="33" s="1"/>
  <c r="J37" i="33"/>
  <c r="L36" i="33"/>
  <c r="K36" i="33"/>
  <c r="J36" i="33"/>
  <c r="L34" i="33"/>
  <c r="K34" i="33"/>
  <c r="J34" i="33"/>
  <c r="L23" i="33"/>
  <c r="K23" i="33"/>
  <c r="J23" i="33"/>
  <c r="L22" i="33"/>
  <c r="K22" i="33"/>
  <c r="J22" i="33"/>
  <c r="P216" i="31"/>
  <c r="O216" i="31"/>
  <c r="N216" i="31"/>
  <c r="L216" i="31"/>
  <c r="K216" i="31"/>
  <c r="J216" i="31"/>
  <c r="P205" i="31"/>
  <c r="P206" i="31" s="1"/>
  <c r="O205" i="31"/>
  <c r="N205" i="31"/>
  <c r="N210" i="31" s="1"/>
  <c r="L205" i="31"/>
  <c r="K205" i="31"/>
  <c r="K211" i="31" s="1"/>
  <c r="J205" i="31"/>
  <c r="J207" i="31" s="1"/>
  <c r="P204" i="31"/>
  <c r="O204" i="31"/>
  <c r="N204" i="31"/>
  <c r="L204" i="31"/>
  <c r="K204" i="31"/>
  <c r="J204" i="31"/>
  <c r="L272" i="30"/>
  <c r="K272" i="30"/>
  <c r="J272" i="30"/>
  <c r="L261" i="30"/>
  <c r="L262" i="30" s="1"/>
  <c r="K261" i="30"/>
  <c r="K268" i="30" s="1"/>
  <c r="J261" i="30"/>
  <c r="J267" i="30" s="1"/>
  <c r="L260" i="30"/>
  <c r="K260" i="30"/>
  <c r="J260" i="30"/>
  <c r="T272" i="30"/>
  <c r="S272" i="30"/>
  <c r="R272" i="30"/>
  <c r="T261" i="30"/>
  <c r="S261" i="30"/>
  <c r="R261" i="30"/>
  <c r="R266" i="30" s="1"/>
  <c r="T260" i="30"/>
  <c r="S260" i="30"/>
  <c r="R260" i="30"/>
  <c r="T258" i="30"/>
  <c r="S258" i="30"/>
  <c r="R258" i="30"/>
  <c r="T247" i="30"/>
  <c r="S247" i="30"/>
  <c r="S252" i="30" s="1"/>
  <c r="R247" i="30"/>
  <c r="R253" i="30" s="1"/>
  <c r="T246" i="30"/>
  <c r="S246" i="30"/>
  <c r="R246" i="30"/>
  <c r="T244" i="30"/>
  <c r="S244" i="30"/>
  <c r="R244" i="30"/>
  <c r="T233" i="30"/>
  <c r="S233" i="30"/>
  <c r="R233" i="30"/>
  <c r="T232" i="30"/>
  <c r="S232" i="30"/>
  <c r="R232" i="30"/>
  <c r="T216" i="30"/>
  <c r="S216" i="30"/>
  <c r="T205" i="30"/>
  <c r="T206" i="30" s="1"/>
  <c r="S205" i="30"/>
  <c r="S211" i="30" s="1"/>
  <c r="T204" i="30"/>
  <c r="S204" i="30"/>
  <c r="T202" i="30"/>
  <c r="S202" i="30"/>
  <c r="R202" i="30"/>
  <c r="T191" i="30"/>
  <c r="T196" i="30" s="1"/>
  <c r="S191" i="30"/>
  <c r="S197" i="30" s="1"/>
  <c r="R191" i="30"/>
  <c r="R200" i="30" s="1"/>
  <c r="T190" i="30"/>
  <c r="S190" i="30"/>
  <c r="R190" i="30"/>
  <c r="L216" i="30"/>
  <c r="K216" i="30"/>
  <c r="L205" i="30"/>
  <c r="L207" i="30" s="1"/>
  <c r="K205" i="30"/>
  <c r="L204" i="30"/>
  <c r="K204" i="30"/>
  <c r="L202" i="30"/>
  <c r="K202" i="30"/>
  <c r="J202" i="30"/>
  <c r="L191" i="30"/>
  <c r="K191" i="30"/>
  <c r="K194" i="30" s="1"/>
  <c r="J191" i="30"/>
  <c r="L190" i="30"/>
  <c r="K190" i="30"/>
  <c r="J190" i="30"/>
  <c r="T174" i="30"/>
  <c r="S174" i="30"/>
  <c r="R174" i="30"/>
  <c r="T163" i="30"/>
  <c r="S163" i="30"/>
  <c r="S166" i="30" s="1"/>
  <c r="R163" i="30"/>
  <c r="R165" i="30" s="1"/>
  <c r="T162" i="30"/>
  <c r="S162" i="30"/>
  <c r="R162" i="30"/>
  <c r="T160" i="30"/>
  <c r="S160" i="30"/>
  <c r="R160" i="30"/>
  <c r="T149" i="30"/>
  <c r="S149" i="30"/>
  <c r="S156" i="30" s="1"/>
  <c r="R149" i="30"/>
  <c r="T148" i="30"/>
  <c r="S148" i="30"/>
  <c r="R148" i="30"/>
  <c r="T146" i="30"/>
  <c r="S146" i="30"/>
  <c r="R146" i="30"/>
  <c r="T135" i="30"/>
  <c r="S135" i="30"/>
  <c r="R135" i="30"/>
  <c r="R140" i="30" s="1"/>
  <c r="T134" i="30"/>
  <c r="S134" i="30"/>
  <c r="R134" i="30"/>
  <c r="T132" i="30"/>
  <c r="S132" i="30"/>
  <c r="R132" i="30"/>
  <c r="T121" i="30"/>
  <c r="T122" i="30" s="1"/>
  <c r="S121" i="30"/>
  <c r="S128" i="30" s="1"/>
  <c r="R121" i="30"/>
  <c r="R128" i="30" s="1"/>
  <c r="T120" i="30"/>
  <c r="S120" i="30"/>
  <c r="R120" i="30"/>
  <c r="L174" i="30"/>
  <c r="K174" i="30"/>
  <c r="J174" i="30"/>
  <c r="L163" i="30"/>
  <c r="K163" i="30"/>
  <c r="K164" i="30" s="1"/>
  <c r="J163" i="30"/>
  <c r="L162" i="30"/>
  <c r="K162" i="30"/>
  <c r="J162" i="30"/>
  <c r="L160" i="30"/>
  <c r="K160" i="30"/>
  <c r="J160" i="30"/>
  <c r="L149" i="30"/>
  <c r="L150" i="30" s="1"/>
  <c r="K149" i="30"/>
  <c r="K156" i="30" s="1"/>
  <c r="J149" i="30"/>
  <c r="J152" i="30" s="1"/>
  <c r="L148" i="30"/>
  <c r="K148" i="30"/>
  <c r="J148" i="30"/>
  <c r="L146" i="30"/>
  <c r="K146" i="30"/>
  <c r="J146" i="30"/>
  <c r="L135" i="30"/>
  <c r="L140" i="30" s="1"/>
  <c r="K135" i="30"/>
  <c r="J135" i="30"/>
  <c r="L134" i="30"/>
  <c r="K134" i="30"/>
  <c r="J134" i="30"/>
  <c r="L132" i="30"/>
  <c r="K132" i="30"/>
  <c r="J132" i="30"/>
  <c r="L121" i="30"/>
  <c r="L126" i="30" s="1"/>
  <c r="K121" i="30"/>
  <c r="J121" i="30"/>
  <c r="J126" i="30" s="1"/>
  <c r="L120" i="30"/>
  <c r="K120" i="30"/>
  <c r="J120" i="30"/>
  <c r="T104" i="30"/>
  <c r="S104" i="30"/>
  <c r="R104" i="30"/>
  <c r="T93" i="30"/>
  <c r="T98" i="30" s="1"/>
  <c r="S93" i="30"/>
  <c r="S100" i="30" s="1"/>
  <c r="R93" i="30"/>
  <c r="R96" i="30" s="1"/>
  <c r="T92" i="30"/>
  <c r="S92" i="30"/>
  <c r="R92" i="30"/>
  <c r="T90" i="30"/>
  <c r="S90" i="30"/>
  <c r="T79" i="30"/>
  <c r="T85" i="30" s="1"/>
  <c r="S79" i="30"/>
  <c r="S85" i="30" s="1"/>
  <c r="T78" i="30"/>
  <c r="S78" i="30"/>
  <c r="T76" i="30"/>
  <c r="S76" i="30"/>
  <c r="T65" i="30"/>
  <c r="S65" i="30"/>
  <c r="S72" i="30" s="1"/>
  <c r="T64" i="30"/>
  <c r="S64" i="30"/>
  <c r="L104" i="30"/>
  <c r="K104" i="30"/>
  <c r="J104" i="30"/>
  <c r="L93" i="30"/>
  <c r="L102" i="30" s="1"/>
  <c r="K93" i="30"/>
  <c r="J93" i="30"/>
  <c r="L92" i="30"/>
  <c r="K92" i="30"/>
  <c r="J92" i="30"/>
  <c r="L90" i="30"/>
  <c r="K90" i="30"/>
  <c r="L79" i="30"/>
  <c r="K79" i="30"/>
  <c r="K86" i="30" s="1"/>
  <c r="L78" i="30"/>
  <c r="K78" i="30"/>
  <c r="L76" i="30"/>
  <c r="K76" i="30"/>
  <c r="L65" i="30"/>
  <c r="K65" i="30"/>
  <c r="L64" i="30"/>
  <c r="K64" i="30"/>
  <c r="T48" i="30"/>
  <c r="S48" i="30"/>
  <c r="R48" i="30"/>
  <c r="T37" i="30"/>
  <c r="T42" i="30" s="1"/>
  <c r="S37" i="30"/>
  <c r="S46" i="30" s="1"/>
  <c r="R37" i="30"/>
  <c r="T36" i="30"/>
  <c r="S36" i="30"/>
  <c r="R36" i="30"/>
  <c r="T34" i="30"/>
  <c r="S34" i="30"/>
  <c r="R34" i="30"/>
  <c r="T23" i="30"/>
  <c r="T32" i="30" s="1"/>
  <c r="S23" i="30"/>
  <c r="S28" i="30" s="1"/>
  <c r="R23" i="30"/>
  <c r="T22" i="30"/>
  <c r="S22" i="30"/>
  <c r="R22" i="30"/>
  <c r="T20" i="30"/>
  <c r="S20" i="30"/>
  <c r="R20" i="30"/>
  <c r="T9" i="30"/>
  <c r="T14" i="30" s="1"/>
  <c r="S9" i="30"/>
  <c r="R9" i="30"/>
  <c r="R16" i="30" s="1"/>
  <c r="T8" i="30"/>
  <c r="S8" i="30"/>
  <c r="R8" i="30"/>
  <c r="L48" i="30"/>
  <c r="K48" i="30"/>
  <c r="J48" i="30"/>
  <c r="L37" i="30"/>
  <c r="K37" i="30"/>
  <c r="K42" i="30" s="1"/>
  <c r="J37" i="30"/>
  <c r="L36" i="30"/>
  <c r="K36" i="30"/>
  <c r="J36" i="30"/>
  <c r="L34" i="30"/>
  <c r="K34" i="30"/>
  <c r="J34" i="30"/>
  <c r="L23" i="30"/>
  <c r="K23" i="30"/>
  <c r="J23" i="30"/>
  <c r="J28" i="30" s="1"/>
  <c r="L22" i="30"/>
  <c r="K22" i="30"/>
  <c r="J22" i="30"/>
  <c r="L20" i="30"/>
  <c r="K20" i="30"/>
  <c r="J20" i="30"/>
  <c r="L9" i="30"/>
  <c r="L18" i="30" s="1"/>
  <c r="K9" i="30"/>
  <c r="J9" i="30"/>
  <c r="L8" i="30"/>
  <c r="K8" i="30"/>
  <c r="J8" i="30"/>
  <c r="P216" i="28"/>
  <c r="O216" i="28"/>
  <c r="L216" i="28"/>
  <c r="K216" i="28"/>
  <c r="P205" i="28"/>
  <c r="P210" i="28" s="1"/>
  <c r="O205" i="28"/>
  <c r="O207" i="28" s="1"/>
  <c r="G207" i="28" s="1"/>
  <c r="L205" i="28"/>
  <c r="L208" i="28" s="1"/>
  <c r="K205" i="28"/>
  <c r="K207" i="28" s="1"/>
  <c r="P204" i="28"/>
  <c r="O204" i="28"/>
  <c r="L204" i="28"/>
  <c r="K204" i="28"/>
  <c r="AE280" i="37"/>
  <c r="AD280" i="37"/>
  <c r="AC280" i="37"/>
  <c r="AE363" i="45"/>
  <c r="AD363" i="45"/>
  <c r="AE349" i="45"/>
  <c r="AE358" i="45" s="1"/>
  <c r="AD349" i="45"/>
  <c r="AE348" i="45"/>
  <c r="AD348" i="45"/>
  <c r="AD263" i="45"/>
  <c r="AE244" i="45"/>
  <c r="AD244" i="45"/>
  <c r="AC244" i="45"/>
  <c r="AE230" i="45"/>
  <c r="AE237" i="45" s="1"/>
  <c r="AD230" i="45"/>
  <c r="AD241" i="45" s="1"/>
  <c r="AC230" i="45"/>
  <c r="AC235" i="45" s="1"/>
  <c r="AE229" i="45"/>
  <c r="AD229" i="45"/>
  <c r="AC229" i="45"/>
  <c r="AE227" i="45"/>
  <c r="AD227" i="45"/>
  <c r="AC227" i="45"/>
  <c r="AE213" i="45"/>
  <c r="AD213" i="45"/>
  <c r="AC213" i="45"/>
  <c r="AC219" i="45" s="1"/>
  <c r="AE212" i="45"/>
  <c r="AD212" i="45"/>
  <c r="AC212" i="45"/>
  <c r="AE210" i="45"/>
  <c r="AD210" i="45"/>
  <c r="AC210" i="45"/>
  <c r="AE196" i="45"/>
  <c r="AD196" i="45"/>
  <c r="AC196" i="45"/>
  <c r="AE195" i="45"/>
  <c r="AD195" i="45"/>
  <c r="AC195" i="45"/>
  <c r="AE193" i="45"/>
  <c r="AD193" i="45"/>
  <c r="AC193" i="45"/>
  <c r="AE179" i="45"/>
  <c r="AD179" i="45"/>
  <c r="AD185" i="45" s="1"/>
  <c r="AC179" i="45"/>
  <c r="AC183" i="45" s="1"/>
  <c r="AE178" i="45"/>
  <c r="AD178" i="45"/>
  <c r="AC178" i="45"/>
  <c r="AE176" i="45"/>
  <c r="AD176" i="45"/>
  <c r="AC176" i="45"/>
  <c r="AE162" i="45"/>
  <c r="AE168" i="45" s="1"/>
  <c r="AD162" i="45"/>
  <c r="AC162" i="45"/>
  <c r="AE161" i="45"/>
  <c r="AD161" i="45"/>
  <c r="AC161" i="45"/>
  <c r="AE159" i="45"/>
  <c r="AD159" i="45"/>
  <c r="AC159" i="45"/>
  <c r="AE145" i="45"/>
  <c r="AE148" i="45" s="1"/>
  <c r="AD145" i="45"/>
  <c r="AD151" i="45" s="1"/>
  <c r="AC145" i="45"/>
  <c r="AC154" i="45" s="1"/>
  <c r="AE144" i="45"/>
  <c r="AD144" i="45"/>
  <c r="AC144" i="45"/>
  <c r="AE142" i="45"/>
  <c r="AD142" i="45"/>
  <c r="AC142" i="45"/>
  <c r="AE128" i="45"/>
  <c r="AE135" i="45" s="1"/>
  <c r="AD128" i="45"/>
  <c r="AD134" i="45" s="1"/>
  <c r="AC128" i="45"/>
  <c r="AC140" i="45" s="1"/>
  <c r="AE127" i="45"/>
  <c r="AD127" i="45"/>
  <c r="AC127" i="45"/>
  <c r="AE125" i="45"/>
  <c r="AD125" i="45"/>
  <c r="AC125" i="45"/>
  <c r="AE111" i="45"/>
  <c r="AD111" i="45"/>
  <c r="AC111" i="45"/>
  <c r="AE110" i="45"/>
  <c r="AD110" i="45"/>
  <c r="AC110" i="45"/>
  <c r="AE108" i="45"/>
  <c r="AD108" i="45"/>
  <c r="AE94" i="45"/>
  <c r="AE100" i="45" s="1"/>
  <c r="AD94" i="45"/>
  <c r="AE93" i="45"/>
  <c r="AD93" i="45"/>
  <c r="AE91" i="45"/>
  <c r="AD91" i="45"/>
  <c r="AE77" i="45"/>
  <c r="AE88" i="45" s="1"/>
  <c r="AD77" i="45"/>
  <c r="AE76" i="45"/>
  <c r="AD76" i="45"/>
  <c r="AE74" i="45"/>
  <c r="AD74" i="45"/>
  <c r="AE60" i="45"/>
  <c r="AE71" i="45" s="1"/>
  <c r="AD60" i="45"/>
  <c r="AE59" i="45"/>
  <c r="AD59" i="45"/>
  <c r="AE57" i="45"/>
  <c r="AD57" i="45"/>
  <c r="AC57" i="45"/>
  <c r="AE43" i="45"/>
  <c r="AD43" i="45"/>
  <c r="AC43" i="45"/>
  <c r="AC48" i="45" s="1"/>
  <c r="AE42" i="45"/>
  <c r="AD42" i="45"/>
  <c r="AC42" i="45"/>
  <c r="AE40" i="45"/>
  <c r="AD40" i="45"/>
  <c r="AC40" i="45"/>
  <c r="AE26" i="45"/>
  <c r="AD26" i="45"/>
  <c r="AC26" i="45"/>
  <c r="AC37" i="45" s="1"/>
  <c r="AE25" i="45"/>
  <c r="AD25" i="45"/>
  <c r="AC25" i="45"/>
  <c r="AE23" i="45"/>
  <c r="AD23" i="45"/>
  <c r="AC23" i="45"/>
  <c r="AE9" i="45"/>
  <c r="AE21" i="45" s="1"/>
  <c r="AD9" i="45"/>
  <c r="AD15" i="45" s="1"/>
  <c r="AC9" i="45"/>
  <c r="AE8" i="45"/>
  <c r="AD8" i="45"/>
  <c r="AC8" i="45"/>
  <c r="BT262" i="43"/>
  <c r="BS262" i="43"/>
  <c r="BT248" i="43"/>
  <c r="BT261" i="43" s="1"/>
  <c r="BS248" i="43"/>
  <c r="BS259" i="43" s="1"/>
  <c r="BT247" i="43"/>
  <c r="BS247" i="43"/>
  <c r="AJ330" i="43"/>
  <c r="AI330" i="43"/>
  <c r="AH330" i="43"/>
  <c r="AJ316" i="43"/>
  <c r="AJ325" i="43" s="1"/>
  <c r="AI316" i="43"/>
  <c r="AH316" i="43"/>
  <c r="AJ315" i="43"/>
  <c r="AI315" i="43"/>
  <c r="AH315" i="43"/>
  <c r="AJ313" i="43"/>
  <c r="AI313" i="43"/>
  <c r="AH313" i="43"/>
  <c r="AJ299" i="43"/>
  <c r="AI299" i="43"/>
  <c r="AI307" i="43" s="1"/>
  <c r="AH299" i="43"/>
  <c r="AH307" i="43" s="1"/>
  <c r="AJ298" i="43"/>
  <c r="AI298" i="43"/>
  <c r="AH298" i="43"/>
  <c r="AJ296" i="43"/>
  <c r="AI296" i="43"/>
  <c r="AH296" i="43"/>
  <c r="AJ282" i="43"/>
  <c r="AI282" i="43"/>
  <c r="AI295" i="43" s="1"/>
  <c r="AH282" i="43"/>
  <c r="AH293" i="43" s="1"/>
  <c r="AJ281" i="43"/>
  <c r="AI281" i="43"/>
  <c r="AH281" i="43"/>
  <c r="AJ279" i="43"/>
  <c r="AI279" i="43"/>
  <c r="AH279" i="43"/>
  <c r="AJ265" i="43"/>
  <c r="AI265" i="43"/>
  <c r="AH265" i="43"/>
  <c r="AJ264" i="43"/>
  <c r="AI264" i="43"/>
  <c r="AH264" i="43"/>
  <c r="AJ262" i="43"/>
  <c r="AI262" i="43"/>
  <c r="AJ248" i="43"/>
  <c r="AI248" i="43"/>
  <c r="AJ247" i="43"/>
  <c r="AI247" i="43"/>
  <c r="AJ245" i="43"/>
  <c r="AI245" i="43"/>
  <c r="AH245" i="43"/>
  <c r="AJ231" i="43"/>
  <c r="AI231" i="43"/>
  <c r="AH231" i="43"/>
  <c r="AJ230" i="43"/>
  <c r="AI230" i="43"/>
  <c r="AH230" i="43"/>
  <c r="AJ211" i="43"/>
  <c r="AI211" i="43"/>
  <c r="AH211" i="43"/>
  <c r="AJ197" i="43"/>
  <c r="AJ206" i="43" s="1"/>
  <c r="AI197" i="43"/>
  <c r="AI208" i="43" s="1"/>
  <c r="AH197" i="43"/>
  <c r="AJ196" i="43"/>
  <c r="AI196" i="43"/>
  <c r="AH196" i="43"/>
  <c r="AJ194" i="43"/>
  <c r="AI194" i="43"/>
  <c r="AH194" i="43"/>
  <c r="AJ180" i="43"/>
  <c r="AJ189" i="43" s="1"/>
  <c r="AI180" i="43"/>
  <c r="AI192" i="43" s="1"/>
  <c r="AH180" i="43"/>
  <c r="AH183" i="43" s="1"/>
  <c r="AJ179" i="43"/>
  <c r="AI179" i="43"/>
  <c r="AH179" i="43"/>
  <c r="AJ177" i="43"/>
  <c r="AI177" i="43"/>
  <c r="AH177" i="43"/>
  <c r="AJ163" i="43"/>
  <c r="AJ176" i="43" s="1"/>
  <c r="AI163" i="43"/>
  <c r="AH163" i="43"/>
  <c r="AJ162" i="43"/>
  <c r="AI162" i="43"/>
  <c r="AH162" i="43"/>
  <c r="AJ160" i="43"/>
  <c r="AI160" i="43"/>
  <c r="AH160" i="43"/>
  <c r="AJ146" i="43"/>
  <c r="AJ159" i="43" s="1"/>
  <c r="AI146" i="43"/>
  <c r="AI149" i="43" s="1"/>
  <c r="AH146" i="43"/>
  <c r="AH153" i="43" s="1"/>
  <c r="AJ145" i="43"/>
  <c r="AI145" i="43"/>
  <c r="AH145" i="43"/>
  <c r="AJ143" i="43"/>
  <c r="AI143" i="43"/>
  <c r="AH143" i="43"/>
  <c r="AJ129" i="43"/>
  <c r="AJ136" i="43" s="1"/>
  <c r="AI129" i="43"/>
  <c r="AI142" i="43" s="1"/>
  <c r="AH129" i="43"/>
  <c r="AH138" i="43" s="1"/>
  <c r="AJ128" i="43"/>
  <c r="AI128" i="43"/>
  <c r="AH128" i="43"/>
  <c r="AJ126" i="43"/>
  <c r="AI126" i="43"/>
  <c r="AH126" i="43"/>
  <c r="AJ112" i="43"/>
  <c r="AJ125" i="43" s="1"/>
  <c r="AI112" i="43"/>
  <c r="AH112" i="43"/>
  <c r="AJ111" i="43"/>
  <c r="AI111" i="43"/>
  <c r="AH111" i="43"/>
  <c r="AJ109" i="43"/>
  <c r="AI109" i="43"/>
  <c r="AJ95" i="43"/>
  <c r="AI95" i="43"/>
  <c r="AI103" i="43" s="1"/>
  <c r="AJ94" i="43"/>
  <c r="AI94" i="43"/>
  <c r="AJ92" i="43"/>
  <c r="AI92" i="43"/>
  <c r="AJ78" i="43"/>
  <c r="AI78" i="43"/>
  <c r="AJ77" i="43"/>
  <c r="AI77" i="43"/>
  <c r="AJ75" i="43"/>
  <c r="AI75" i="43"/>
  <c r="AJ61" i="43"/>
  <c r="AI61" i="43"/>
  <c r="AI67" i="43" s="1"/>
  <c r="AJ60" i="43"/>
  <c r="AI60" i="43"/>
  <c r="AJ58" i="43"/>
  <c r="AI58" i="43"/>
  <c r="AH58" i="43"/>
  <c r="AJ44" i="43"/>
  <c r="AJ57" i="43" s="1"/>
  <c r="AI44" i="43"/>
  <c r="AI50" i="43" s="1"/>
  <c r="AH44" i="43"/>
  <c r="AH55" i="43" s="1"/>
  <c r="AJ43" i="43"/>
  <c r="AI43" i="43"/>
  <c r="AH43" i="43"/>
  <c r="AJ41" i="43"/>
  <c r="AI41" i="43"/>
  <c r="AH41" i="43"/>
  <c r="AJ27" i="43"/>
  <c r="AI27" i="43"/>
  <c r="AI30" i="43" s="1"/>
  <c r="AH27" i="43"/>
  <c r="AH39" i="43" s="1"/>
  <c r="AJ26" i="43"/>
  <c r="AI26" i="43"/>
  <c r="AH26" i="43"/>
  <c r="AJ24" i="43"/>
  <c r="AI24" i="43"/>
  <c r="AH24" i="43"/>
  <c r="AJ10" i="43"/>
  <c r="AJ16" i="43" s="1"/>
  <c r="AI10" i="43"/>
  <c r="AI21" i="43" s="1"/>
  <c r="AH10" i="43"/>
  <c r="AH18" i="43" s="1"/>
  <c r="AJ9" i="43"/>
  <c r="AI9" i="43"/>
  <c r="AH9" i="43"/>
  <c r="AA280" i="37"/>
  <c r="Z280" i="37"/>
  <c r="Y280" i="37"/>
  <c r="AA363" i="45"/>
  <c r="Z363" i="45"/>
  <c r="Y363" i="45"/>
  <c r="AA349" i="45"/>
  <c r="Z349" i="45"/>
  <c r="Y349" i="45"/>
  <c r="AA348" i="45"/>
  <c r="Z348" i="45"/>
  <c r="Y348" i="45"/>
  <c r="AA295" i="45"/>
  <c r="Z295" i="45"/>
  <c r="Y295" i="45"/>
  <c r="AA281" i="45"/>
  <c r="Z281" i="45"/>
  <c r="Y281" i="45"/>
  <c r="AA280" i="45"/>
  <c r="Z280" i="45"/>
  <c r="Y280" i="45"/>
  <c r="AA278" i="45"/>
  <c r="Z278" i="45"/>
  <c r="Y278" i="45"/>
  <c r="AA264" i="45"/>
  <c r="Z264" i="45"/>
  <c r="Y264" i="45"/>
  <c r="AA263" i="45"/>
  <c r="Z263" i="45"/>
  <c r="Y263" i="45"/>
  <c r="AA244" i="45"/>
  <c r="Z244" i="45"/>
  <c r="Y244" i="45"/>
  <c r="AA230" i="45"/>
  <c r="Z230" i="45"/>
  <c r="Z235" i="45" s="1"/>
  <c r="Y230" i="45"/>
  <c r="Y236" i="45" s="1"/>
  <c r="AA229" i="45"/>
  <c r="Z229" i="45"/>
  <c r="Y229" i="45"/>
  <c r="AA227" i="45"/>
  <c r="Z227" i="45"/>
  <c r="Y227" i="45"/>
  <c r="AA213" i="45"/>
  <c r="AA220" i="45" s="1"/>
  <c r="Z213" i="45"/>
  <c r="Z221" i="45" s="1"/>
  <c r="Y213" i="45"/>
  <c r="AA212" i="45"/>
  <c r="Z212" i="45"/>
  <c r="Y212" i="45"/>
  <c r="AA210" i="45"/>
  <c r="Z210" i="45"/>
  <c r="Y210" i="45"/>
  <c r="AA196" i="45"/>
  <c r="AA201" i="45" s="1"/>
  <c r="Z196" i="45"/>
  <c r="Y196" i="45"/>
  <c r="AA195" i="45"/>
  <c r="Z195" i="45"/>
  <c r="Y195" i="45"/>
  <c r="AA193" i="45"/>
  <c r="Z193" i="45"/>
  <c r="Y193" i="45"/>
  <c r="AA179" i="45"/>
  <c r="Z179" i="45"/>
  <c r="Y179" i="45"/>
  <c r="Y186" i="45" s="1"/>
  <c r="AA178" i="45"/>
  <c r="Z178" i="45"/>
  <c r="Y178" i="45"/>
  <c r="AA176" i="45"/>
  <c r="Z176" i="45"/>
  <c r="Y176" i="45"/>
  <c r="AA162" i="45"/>
  <c r="Z162" i="45"/>
  <c r="Y162" i="45"/>
  <c r="AA161" i="45"/>
  <c r="Z161" i="45"/>
  <c r="Y161" i="45"/>
  <c r="AA159" i="45"/>
  <c r="Z159" i="45"/>
  <c r="Y159" i="45"/>
  <c r="AA145" i="45"/>
  <c r="Z145" i="45"/>
  <c r="Y145" i="45"/>
  <c r="Y150" i="45" s="1"/>
  <c r="AA144" i="45"/>
  <c r="Z144" i="45"/>
  <c r="Y144" i="45"/>
  <c r="AA142" i="45"/>
  <c r="Z142" i="45"/>
  <c r="Y142" i="45"/>
  <c r="AA128" i="45"/>
  <c r="Z128" i="45"/>
  <c r="Z140" i="45" s="1"/>
  <c r="Y128" i="45"/>
  <c r="Y133" i="45" s="1"/>
  <c r="AA127" i="45"/>
  <c r="Z127" i="45"/>
  <c r="Y127" i="45"/>
  <c r="AA125" i="45"/>
  <c r="Z125" i="45"/>
  <c r="Y125" i="45"/>
  <c r="AA111" i="45"/>
  <c r="Z111" i="45"/>
  <c r="Y111" i="45"/>
  <c r="AA110" i="45"/>
  <c r="Z110" i="45"/>
  <c r="Y110" i="45"/>
  <c r="AA108" i="45"/>
  <c r="Z108" i="45"/>
  <c r="Y108" i="45"/>
  <c r="AA94" i="45"/>
  <c r="Z94" i="45"/>
  <c r="Z100" i="45" s="1"/>
  <c r="Y94" i="45"/>
  <c r="AA93" i="45"/>
  <c r="Z93" i="45"/>
  <c r="Y93" i="45"/>
  <c r="AA91" i="45"/>
  <c r="Z91" i="45"/>
  <c r="Y91" i="45"/>
  <c r="AA77" i="45"/>
  <c r="AA89" i="45" s="1"/>
  <c r="Z77" i="45"/>
  <c r="Z84" i="45" s="1"/>
  <c r="Y77" i="45"/>
  <c r="Y82" i="45" s="1"/>
  <c r="AA76" i="45"/>
  <c r="Z76" i="45"/>
  <c r="Y76" i="45"/>
  <c r="AA74" i="45"/>
  <c r="Z74" i="45"/>
  <c r="Y74" i="45"/>
  <c r="AA60" i="45"/>
  <c r="Z60" i="45"/>
  <c r="Y60" i="45"/>
  <c r="AA59" i="45"/>
  <c r="Z59" i="45"/>
  <c r="Y59" i="45"/>
  <c r="AA57" i="45"/>
  <c r="Z57" i="45"/>
  <c r="Y57" i="45"/>
  <c r="AA43" i="45"/>
  <c r="Z43" i="45"/>
  <c r="Z46" i="45" s="1"/>
  <c r="Y43" i="45"/>
  <c r="Y52" i="45" s="1"/>
  <c r="AA42" i="45"/>
  <c r="Z42" i="45"/>
  <c r="Y42" i="45"/>
  <c r="AA40" i="45"/>
  <c r="Z40" i="45"/>
  <c r="Y40" i="45"/>
  <c r="AA26" i="45"/>
  <c r="AA39" i="45" s="1"/>
  <c r="Z26" i="45"/>
  <c r="Z29" i="45" s="1"/>
  <c r="Y26" i="45"/>
  <c r="Y37" i="45" s="1"/>
  <c r="AA25" i="45"/>
  <c r="Z25" i="45"/>
  <c r="Y25" i="45"/>
  <c r="AA23" i="45"/>
  <c r="Z23" i="45"/>
  <c r="Y23" i="45"/>
  <c r="AA9" i="45"/>
  <c r="Z9" i="45"/>
  <c r="Y9" i="45"/>
  <c r="AA8" i="45"/>
  <c r="Z8" i="45"/>
  <c r="Y8" i="45"/>
  <c r="AF330" i="43"/>
  <c r="AE330" i="43"/>
  <c r="AD330" i="43"/>
  <c r="AF316" i="43"/>
  <c r="AF325" i="43" s="1"/>
  <c r="AE316" i="43"/>
  <c r="AE328" i="43" s="1"/>
  <c r="AD316" i="43"/>
  <c r="AF315" i="43"/>
  <c r="AE315" i="43"/>
  <c r="AD315" i="43"/>
  <c r="AF262" i="43"/>
  <c r="AE262" i="43"/>
  <c r="AD262" i="43"/>
  <c r="AF248" i="43"/>
  <c r="AE248" i="43"/>
  <c r="AD248" i="43"/>
  <c r="AD256" i="43" s="1"/>
  <c r="AF247" i="43"/>
  <c r="AE247" i="43"/>
  <c r="AD247" i="43"/>
  <c r="AF245" i="43"/>
  <c r="AE245" i="43"/>
  <c r="AD245" i="43"/>
  <c r="AF231" i="43"/>
  <c r="AE231" i="43"/>
  <c r="AD231" i="43"/>
  <c r="AF230" i="43"/>
  <c r="AE230" i="43"/>
  <c r="AD230" i="43"/>
  <c r="AF211" i="43"/>
  <c r="AE211" i="43"/>
  <c r="AD211" i="43"/>
  <c r="AF197" i="43"/>
  <c r="AF204" i="43" s="1"/>
  <c r="AE197" i="43"/>
  <c r="AD197" i="43"/>
  <c r="AF196" i="43"/>
  <c r="AE196" i="43"/>
  <c r="AD196" i="43"/>
  <c r="AF194" i="43"/>
  <c r="AE194" i="43"/>
  <c r="AD194" i="43"/>
  <c r="AF180" i="43"/>
  <c r="AE180" i="43"/>
  <c r="AD180" i="43"/>
  <c r="AD191" i="43" s="1"/>
  <c r="AF179" i="43"/>
  <c r="AE179" i="43"/>
  <c r="AD179" i="43"/>
  <c r="AF177" i="43"/>
  <c r="AE177" i="43"/>
  <c r="AD177" i="43"/>
  <c r="AF163" i="43"/>
  <c r="AE163" i="43"/>
  <c r="AD163" i="43"/>
  <c r="AD171" i="43" s="1"/>
  <c r="AF162" i="43"/>
  <c r="AE162" i="43"/>
  <c r="AD162" i="43"/>
  <c r="AF160" i="43"/>
  <c r="AE160" i="43"/>
  <c r="AD160" i="43"/>
  <c r="AF146" i="43"/>
  <c r="AF151" i="43" s="1"/>
  <c r="AE146" i="43"/>
  <c r="AE158" i="43" s="1"/>
  <c r="AD146" i="43"/>
  <c r="AF145" i="43"/>
  <c r="AE145" i="43"/>
  <c r="AD145" i="43"/>
  <c r="AF143" i="43"/>
  <c r="AE143" i="43"/>
  <c r="AD143" i="43"/>
  <c r="AF129" i="43"/>
  <c r="AE129" i="43"/>
  <c r="AE136" i="43" s="1"/>
  <c r="AD129" i="43"/>
  <c r="AD134" i="43" s="1"/>
  <c r="AF128" i="43"/>
  <c r="AE128" i="43"/>
  <c r="AD128" i="43"/>
  <c r="AF126" i="43"/>
  <c r="AE126" i="43"/>
  <c r="AD126" i="43"/>
  <c r="AF112" i="43"/>
  <c r="AF117" i="43" s="1"/>
  <c r="AE112" i="43"/>
  <c r="AD112" i="43"/>
  <c r="AD118" i="43" s="1"/>
  <c r="AF111" i="43"/>
  <c r="AE111" i="43"/>
  <c r="AD111" i="43"/>
  <c r="AF109" i="43"/>
  <c r="AE109" i="43"/>
  <c r="AD109" i="43"/>
  <c r="AF95" i="43"/>
  <c r="AE95" i="43"/>
  <c r="AD95" i="43"/>
  <c r="AF94" i="43"/>
  <c r="AE94" i="43"/>
  <c r="AD94" i="43"/>
  <c r="AF92" i="43"/>
  <c r="AE92" i="43"/>
  <c r="AD92" i="43"/>
  <c r="AF78" i="43"/>
  <c r="AE78" i="43"/>
  <c r="AD78" i="43"/>
  <c r="AD87" i="43" s="1"/>
  <c r="AF77" i="43"/>
  <c r="AE77" i="43"/>
  <c r="AD77" i="43"/>
  <c r="AF75" i="43"/>
  <c r="AE75" i="43"/>
  <c r="AD75" i="43"/>
  <c r="AF61" i="43"/>
  <c r="AE61" i="43"/>
  <c r="AD61" i="43"/>
  <c r="AD64" i="43" s="1"/>
  <c r="AF60" i="43"/>
  <c r="AE60" i="43"/>
  <c r="AD60" i="43"/>
  <c r="AF58" i="43"/>
  <c r="AE58" i="43"/>
  <c r="AD58" i="43"/>
  <c r="AF44" i="43"/>
  <c r="AF56" i="43" s="1"/>
  <c r="AE44" i="43"/>
  <c r="AE48" i="43" s="1"/>
  <c r="AD44" i="43"/>
  <c r="AD50" i="43" s="1"/>
  <c r="AF43" i="43"/>
  <c r="AE43" i="43"/>
  <c r="AD43" i="43"/>
  <c r="AF41" i="43"/>
  <c r="AE41" i="43"/>
  <c r="AD41" i="43"/>
  <c r="AF27" i="43"/>
  <c r="AE27" i="43"/>
  <c r="AE40" i="43" s="1"/>
  <c r="AD27" i="43"/>
  <c r="AD32" i="43" s="1"/>
  <c r="AF26" i="43"/>
  <c r="AE26" i="43"/>
  <c r="AD26" i="43"/>
  <c r="AF24" i="43"/>
  <c r="AE24" i="43"/>
  <c r="AD24" i="43"/>
  <c r="AF10" i="43"/>
  <c r="AE10" i="43"/>
  <c r="AE22" i="43" s="1"/>
  <c r="AD10" i="43"/>
  <c r="AF9" i="43"/>
  <c r="AE9" i="43"/>
  <c r="AD9" i="43"/>
  <c r="W280" i="37"/>
  <c r="U280" i="37"/>
  <c r="W363" i="45"/>
  <c r="V363" i="45"/>
  <c r="U363" i="45"/>
  <c r="W349" i="45"/>
  <c r="W358" i="45" s="1"/>
  <c r="V349" i="45"/>
  <c r="U349" i="45"/>
  <c r="U354" i="45" s="1"/>
  <c r="W348" i="45"/>
  <c r="V348" i="45"/>
  <c r="U348" i="45"/>
  <c r="W295" i="45"/>
  <c r="V295" i="45"/>
  <c r="U295" i="45"/>
  <c r="W281" i="45"/>
  <c r="W286" i="45" s="1"/>
  <c r="V281" i="45"/>
  <c r="U281" i="45"/>
  <c r="W280" i="45"/>
  <c r="V280" i="45"/>
  <c r="U280" i="45"/>
  <c r="W278" i="45"/>
  <c r="V278" i="45"/>
  <c r="U278" i="45"/>
  <c r="W264" i="45"/>
  <c r="W268" i="45" s="1"/>
  <c r="V264" i="45"/>
  <c r="U264" i="45"/>
  <c r="U272" i="45" s="1"/>
  <c r="W263" i="45"/>
  <c r="V263" i="45"/>
  <c r="U263" i="45"/>
  <c r="W244" i="45"/>
  <c r="V244" i="45"/>
  <c r="U244" i="45"/>
  <c r="W230" i="45"/>
  <c r="W236" i="45" s="1"/>
  <c r="V230" i="45"/>
  <c r="V233" i="45" s="1"/>
  <c r="U230" i="45"/>
  <c r="U234" i="45" s="1"/>
  <c r="W229" i="45"/>
  <c r="V229" i="45"/>
  <c r="U229" i="45"/>
  <c r="W227" i="45"/>
  <c r="V227" i="45"/>
  <c r="U227" i="45"/>
  <c r="W213" i="45"/>
  <c r="V213" i="45"/>
  <c r="U213" i="45"/>
  <c r="U219" i="45" s="1"/>
  <c r="W212" i="45"/>
  <c r="V212" i="45"/>
  <c r="U212" i="45"/>
  <c r="W210" i="45"/>
  <c r="V210" i="45"/>
  <c r="U210" i="45"/>
  <c r="W196" i="45"/>
  <c r="V196" i="45"/>
  <c r="V204" i="45" s="1"/>
  <c r="U196" i="45"/>
  <c r="U204" i="45" s="1"/>
  <c r="W195" i="45"/>
  <c r="V195" i="45"/>
  <c r="U195" i="45"/>
  <c r="W193" i="45"/>
  <c r="V193" i="45"/>
  <c r="U193" i="45"/>
  <c r="W179" i="45"/>
  <c r="W187" i="45" s="1"/>
  <c r="V179" i="45"/>
  <c r="U179" i="45"/>
  <c r="U188" i="45" s="1"/>
  <c r="W178" i="45"/>
  <c r="V178" i="45"/>
  <c r="U178" i="45"/>
  <c r="W176" i="45"/>
  <c r="V176" i="45"/>
  <c r="U176" i="45"/>
  <c r="W162" i="45"/>
  <c r="V162" i="45"/>
  <c r="U162" i="45"/>
  <c r="W161" i="45"/>
  <c r="V161" i="45"/>
  <c r="U161" i="45"/>
  <c r="W159" i="45"/>
  <c r="V159" i="45"/>
  <c r="U159" i="45"/>
  <c r="W145" i="45"/>
  <c r="W156" i="45" s="1"/>
  <c r="V145" i="45"/>
  <c r="U145" i="45"/>
  <c r="U149" i="45" s="1"/>
  <c r="W144" i="45"/>
  <c r="V144" i="45"/>
  <c r="U144" i="45"/>
  <c r="W142" i="45"/>
  <c r="V142" i="45"/>
  <c r="U142" i="45"/>
  <c r="W128" i="45"/>
  <c r="W133" i="45" s="1"/>
  <c r="V128" i="45"/>
  <c r="V140" i="45" s="1"/>
  <c r="U128" i="45"/>
  <c r="U140" i="45" s="1"/>
  <c r="W127" i="45"/>
  <c r="V127" i="45"/>
  <c r="U127" i="45"/>
  <c r="W125" i="45"/>
  <c r="V125" i="45"/>
  <c r="U125" i="45"/>
  <c r="W111" i="45"/>
  <c r="V111" i="45"/>
  <c r="U111" i="45"/>
  <c r="W110" i="45"/>
  <c r="V110" i="45"/>
  <c r="U110" i="45"/>
  <c r="W108" i="45"/>
  <c r="V108" i="45"/>
  <c r="U108" i="45"/>
  <c r="W94" i="45"/>
  <c r="V94" i="45"/>
  <c r="U94" i="45"/>
  <c r="U103" i="45" s="1"/>
  <c r="W93" i="45"/>
  <c r="V93" i="45"/>
  <c r="U93" i="45"/>
  <c r="W91" i="45"/>
  <c r="V91" i="45"/>
  <c r="U91" i="45"/>
  <c r="W77" i="45"/>
  <c r="V77" i="45"/>
  <c r="V86" i="45" s="1"/>
  <c r="U77" i="45"/>
  <c r="U89" i="45" s="1"/>
  <c r="W76" i="45"/>
  <c r="V76" i="45"/>
  <c r="U76" i="45"/>
  <c r="W74" i="45"/>
  <c r="V74" i="45"/>
  <c r="U74" i="45"/>
  <c r="W60" i="45"/>
  <c r="V60" i="45"/>
  <c r="U60" i="45"/>
  <c r="W59" i="45"/>
  <c r="V59" i="45"/>
  <c r="U59" i="45"/>
  <c r="W57" i="45"/>
  <c r="V57" i="45"/>
  <c r="U57" i="45"/>
  <c r="W43" i="45"/>
  <c r="W54" i="45" s="1"/>
  <c r="V43" i="45"/>
  <c r="V55" i="45" s="1"/>
  <c r="U43" i="45"/>
  <c r="W42" i="45"/>
  <c r="V42" i="45"/>
  <c r="U42" i="45"/>
  <c r="W40" i="45"/>
  <c r="V40" i="45"/>
  <c r="U40" i="45"/>
  <c r="W26" i="45"/>
  <c r="W29" i="45" s="1"/>
  <c r="V26" i="45"/>
  <c r="V37" i="45" s="1"/>
  <c r="U26" i="45"/>
  <c r="U30" i="45" s="1"/>
  <c r="W25" i="45"/>
  <c r="V25" i="45"/>
  <c r="U25" i="45"/>
  <c r="AB330" i="43"/>
  <c r="AA330" i="43"/>
  <c r="Z330" i="43"/>
  <c r="AB316" i="43"/>
  <c r="AB329" i="43" s="1"/>
  <c r="AA316" i="43"/>
  <c r="Z316" i="43"/>
  <c r="AB315" i="43"/>
  <c r="AA315" i="43"/>
  <c r="Z315" i="43"/>
  <c r="AB262" i="43"/>
  <c r="AA262" i="43"/>
  <c r="Z262" i="43"/>
  <c r="AB248" i="43"/>
  <c r="AA248" i="43"/>
  <c r="Z248" i="43"/>
  <c r="Z253" i="43" s="1"/>
  <c r="AB247" i="43"/>
  <c r="AA247" i="43"/>
  <c r="Z247" i="43"/>
  <c r="AB245" i="43"/>
  <c r="AA245" i="43"/>
  <c r="Z245" i="43"/>
  <c r="AB231" i="43"/>
  <c r="AA231" i="43"/>
  <c r="AA240" i="43" s="1"/>
  <c r="Z231" i="43"/>
  <c r="Z244" i="43" s="1"/>
  <c r="AB230" i="43"/>
  <c r="AA230" i="43"/>
  <c r="Z230" i="43"/>
  <c r="AB211" i="43"/>
  <c r="AA211" i="43"/>
  <c r="Z211" i="43"/>
  <c r="AB197" i="43"/>
  <c r="AA197" i="43"/>
  <c r="Z197" i="43"/>
  <c r="Z204" i="43" s="1"/>
  <c r="AB196" i="43"/>
  <c r="AA196" i="43"/>
  <c r="Z196" i="43"/>
  <c r="AB194" i="43"/>
  <c r="AA194" i="43"/>
  <c r="Z194" i="43"/>
  <c r="AB180" i="43"/>
  <c r="AB184" i="43" s="1"/>
  <c r="AA180" i="43"/>
  <c r="AA189" i="43" s="1"/>
  <c r="Z180" i="43"/>
  <c r="Z191" i="43" s="1"/>
  <c r="AB179" i="43"/>
  <c r="AA179" i="43"/>
  <c r="Z179" i="43"/>
  <c r="AB177" i="43"/>
  <c r="AA177" i="43"/>
  <c r="Z177" i="43"/>
  <c r="AB163" i="43"/>
  <c r="AB170" i="43" s="1"/>
  <c r="AA163" i="43"/>
  <c r="Z163" i="43"/>
  <c r="AB162" i="43"/>
  <c r="AA162" i="43"/>
  <c r="Z162" i="43"/>
  <c r="AB160" i="43"/>
  <c r="AA160" i="43"/>
  <c r="Z160" i="43"/>
  <c r="AB146" i="43"/>
  <c r="AB150" i="43" s="1"/>
  <c r="AA146" i="43"/>
  <c r="AA159" i="43" s="1"/>
  <c r="Z146" i="43"/>
  <c r="Z152" i="43" s="1"/>
  <c r="AB145" i="43"/>
  <c r="AA145" i="43"/>
  <c r="Z145" i="43"/>
  <c r="AB143" i="43"/>
  <c r="AA143" i="43"/>
  <c r="Z143" i="43"/>
  <c r="AB129" i="43"/>
  <c r="AB138" i="43" s="1"/>
  <c r="AA129" i="43"/>
  <c r="AA132" i="43" s="1"/>
  <c r="Z129" i="43"/>
  <c r="Z134" i="43" s="1"/>
  <c r="AB128" i="43"/>
  <c r="AA128" i="43"/>
  <c r="Z128" i="43"/>
  <c r="AB126" i="43"/>
  <c r="AA126" i="43"/>
  <c r="Z126" i="43"/>
  <c r="AB112" i="43"/>
  <c r="AA112" i="43"/>
  <c r="AA118" i="43" s="1"/>
  <c r="Z112" i="43"/>
  <c r="AB111" i="43"/>
  <c r="AA111" i="43"/>
  <c r="Z111" i="43"/>
  <c r="AB109" i="43"/>
  <c r="AA109" i="43"/>
  <c r="Z109" i="43"/>
  <c r="AB95" i="43"/>
  <c r="AA95" i="43"/>
  <c r="Z95" i="43"/>
  <c r="Z108" i="43" s="1"/>
  <c r="AB94" i="43"/>
  <c r="AA94" i="43"/>
  <c r="Z94" i="43"/>
  <c r="AB92" i="43"/>
  <c r="AA92" i="43"/>
  <c r="Z92" i="43"/>
  <c r="AB78" i="43"/>
  <c r="AB83" i="43" s="1"/>
  <c r="AA78" i="43"/>
  <c r="AA84" i="43" s="1"/>
  <c r="Z78" i="43"/>
  <c r="AB77" i="43"/>
  <c r="AA77" i="43"/>
  <c r="Z77" i="43"/>
  <c r="AB75" i="43"/>
  <c r="AA75" i="43"/>
  <c r="Z75" i="43"/>
  <c r="AB61" i="43"/>
  <c r="AA61" i="43"/>
  <c r="AA67" i="43" s="1"/>
  <c r="Z61" i="43"/>
  <c r="AB60" i="43"/>
  <c r="AA60" i="43"/>
  <c r="Z60" i="43"/>
  <c r="AB58" i="43"/>
  <c r="AA58" i="43"/>
  <c r="Z58" i="43"/>
  <c r="AB44" i="43"/>
  <c r="AB57" i="43" s="1"/>
  <c r="AA44" i="43"/>
  <c r="AA53" i="43" s="1"/>
  <c r="Z44" i="43"/>
  <c r="Z52" i="43" s="1"/>
  <c r="AB43" i="43"/>
  <c r="AA43" i="43"/>
  <c r="Z43" i="43"/>
  <c r="AB41" i="43"/>
  <c r="AA41" i="43"/>
  <c r="Z41" i="43"/>
  <c r="AB27" i="43"/>
  <c r="AB35" i="43" s="1"/>
  <c r="AA27" i="43"/>
  <c r="AA39" i="43" s="1"/>
  <c r="Z27" i="43"/>
  <c r="Z38" i="43" s="1"/>
  <c r="AB26" i="43"/>
  <c r="AA26" i="43"/>
  <c r="Z26" i="43"/>
  <c r="AB24" i="43"/>
  <c r="AA24" i="43"/>
  <c r="Z24" i="43"/>
  <c r="AB10" i="43"/>
  <c r="AA10" i="43"/>
  <c r="Z10" i="43"/>
  <c r="AB9" i="43"/>
  <c r="AA9" i="43"/>
  <c r="Z9" i="43"/>
  <c r="S280" i="37"/>
  <c r="R280" i="37"/>
  <c r="Q280" i="37"/>
  <c r="R281" i="45"/>
  <c r="R280" i="45"/>
  <c r="S244" i="45"/>
  <c r="R244" i="45"/>
  <c r="Q244" i="45"/>
  <c r="S230" i="45"/>
  <c r="R230" i="45"/>
  <c r="Q230" i="45"/>
  <c r="S229" i="45"/>
  <c r="R229" i="45"/>
  <c r="Q229" i="45"/>
  <c r="S227" i="45"/>
  <c r="R227" i="45"/>
  <c r="Q227" i="45"/>
  <c r="S213" i="45"/>
  <c r="S218" i="45" s="1"/>
  <c r="R213" i="45"/>
  <c r="Q213" i="45"/>
  <c r="Q220" i="45" s="1"/>
  <c r="S212" i="45"/>
  <c r="R212" i="45"/>
  <c r="Q212" i="45"/>
  <c r="S210" i="45"/>
  <c r="R210" i="45"/>
  <c r="Q210" i="45"/>
  <c r="S196" i="45"/>
  <c r="S201" i="45" s="1"/>
  <c r="R196" i="45"/>
  <c r="R201" i="45" s="1"/>
  <c r="Q196" i="45"/>
  <c r="Q205" i="45" s="1"/>
  <c r="S195" i="45"/>
  <c r="R195" i="45"/>
  <c r="Q195" i="45"/>
  <c r="S193" i="45"/>
  <c r="R193" i="45"/>
  <c r="Q193" i="45"/>
  <c r="S179" i="45"/>
  <c r="S186" i="45" s="1"/>
  <c r="R179" i="45"/>
  <c r="R190" i="45" s="1"/>
  <c r="Q179" i="45"/>
  <c r="S178" i="45"/>
  <c r="R178" i="45"/>
  <c r="Q178" i="45"/>
  <c r="S176" i="45"/>
  <c r="R176" i="45"/>
  <c r="Q176" i="45"/>
  <c r="S162" i="45"/>
  <c r="S175" i="45" s="1"/>
  <c r="R162" i="45"/>
  <c r="Q162" i="45"/>
  <c r="S161" i="45"/>
  <c r="R161" i="45"/>
  <c r="Q161" i="45"/>
  <c r="S159" i="45"/>
  <c r="R159" i="45"/>
  <c r="Q159" i="45"/>
  <c r="S145" i="45"/>
  <c r="S153" i="45" s="1"/>
  <c r="R145" i="45"/>
  <c r="R154" i="45" s="1"/>
  <c r="Q145" i="45"/>
  <c r="Q156" i="45" s="1"/>
  <c r="S144" i="45"/>
  <c r="R144" i="45"/>
  <c r="Q144" i="45"/>
  <c r="S142" i="45"/>
  <c r="R142" i="45"/>
  <c r="Q142" i="45"/>
  <c r="S128" i="45"/>
  <c r="S132" i="45" s="1"/>
  <c r="R128" i="45"/>
  <c r="Q128" i="45"/>
  <c r="Q136" i="45" s="1"/>
  <c r="S127" i="45"/>
  <c r="R127" i="45"/>
  <c r="Q127" i="45"/>
  <c r="S125" i="45"/>
  <c r="R125" i="45"/>
  <c r="Q125" i="45"/>
  <c r="S111" i="45"/>
  <c r="R111" i="45"/>
  <c r="R115" i="45" s="1"/>
  <c r="Q111" i="45"/>
  <c r="S110" i="45"/>
  <c r="R110" i="45"/>
  <c r="Q110" i="45"/>
  <c r="S108" i="45"/>
  <c r="R108" i="45"/>
  <c r="S94" i="45"/>
  <c r="S106" i="45" s="1"/>
  <c r="R94" i="45"/>
  <c r="R97" i="45" s="1"/>
  <c r="S93" i="45"/>
  <c r="R93" i="45"/>
  <c r="S91" i="45"/>
  <c r="R91" i="45"/>
  <c r="S77" i="45"/>
  <c r="R77" i="45"/>
  <c r="R83" i="45" s="1"/>
  <c r="S76" i="45"/>
  <c r="R76" i="45"/>
  <c r="S74" i="45"/>
  <c r="R74" i="45"/>
  <c r="S60" i="45"/>
  <c r="R60" i="45"/>
  <c r="R64" i="45" s="1"/>
  <c r="S59" i="45"/>
  <c r="R59" i="45"/>
  <c r="S57" i="45"/>
  <c r="R57" i="45"/>
  <c r="Q57" i="45"/>
  <c r="S43" i="45"/>
  <c r="R43" i="45"/>
  <c r="Q43" i="45"/>
  <c r="Q52" i="45" s="1"/>
  <c r="S42" i="45"/>
  <c r="R42" i="45"/>
  <c r="Q42" i="45"/>
  <c r="S40" i="45"/>
  <c r="R40" i="45"/>
  <c r="Q40" i="45"/>
  <c r="S26" i="45"/>
  <c r="S35" i="45" s="1"/>
  <c r="R26" i="45"/>
  <c r="Q26" i="45"/>
  <c r="S25" i="45"/>
  <c r="R25" i="45"/>
  <c r="Q25" i="45"/>
  <c r="S23" i="45"/>
  <c r="R23" i="45"/>
  <c r="Q23" i="45"/>
  <c r="S9" i="45"/>
  <c r="R9" i="45"/>
  <c r="R14" i="45" s="1"/>
  <c r="Q9" i="45"/>
  <c r="S8" i="45"/>
  <c r="R8" i="45"/>
  <c r="Q8" i="45"/>
  <c r="X330" i="43"/>
  <c r="W330" i="43"/>
  <c r="V330" i="43"/>
  <c r="X316" i="43"/>
  <c r="X322" i="43" s="1"/>
  <c r="W316" i="43"/>
  <c r="V316" i="43"/>
  <c r="X315" i="43"/>
  <c r="W315" i="43"/>
  <c r="V315" i="43"/>
  <c r="X262" i="43"/>
  <c r="W262" i="43"/>
  <c r="X248" i="43"/>
  <c r="W248" i="43"/>
  <c r="W254" i="43" s="1"/>
  <c r="X247" i="43"/>
  <c r="W247" i="43"/>
  <c r="X245" i="43"/>
  <c r="W245" i="43"/>
  <c r="V245" i="43"/>
  <c r="X231" i="43"/>
  <c r="W231" i="43"/>
  <c r="W240" i="43" s="1"/>
  <c r="V231" i="43"/>
  <c r="V235" i="43" s="1"/>
  <c r="X230" i="43"/>
  <c r="W230" i="43"/>
  <c r="V230" i="43"/>
  <c r="X211" i="43"/>
  <c r="W211" i="43"/>
  <c r="V211" i="43"/>
  <c r="X197" i="43"/>
  <c r="X205" i="43" s="1"/>
  <c r="W197" i="43"/>
  <c r="W205" i="43" s="1"/>
  <c r="V197" i="43"/>
  <c r="X196" i="43"/>
  <c r="W196" i="43"/>
  <c r="V196" i="43"/>
  <c r="X194" i="43"/>
  <c r="W194" i="43"/>
  <c r="V194" i="43"/>
  <c r="X180" i="43"/>
  <c r="X187" i="43" s="1"/>
  <c r="W180" i="43"/>
  <c r="V180" i="43"/>
  <c r="V185" i="43" s="1"/>
  <c r="X179" i="43"/>
  <c r="W179" i="43"/>
  <c r="V179" i="43"/>
  <c r="X177" i="43"/>
  <c r="W177" i="43"/>
  <c r="V177" i="43"/>
  <c r="X163" i="43"/>
  <c r="W163" i="43"/>
  <c r="W176" i="43" s="1"/>
  <c r="V163" i="43"/>
  <c r="X162" i="43"/>
  <c r="W162" i="43"/>
  <c r="V162" i="43"/>
  <c r="X160" i="43"/>
  <c r="W160" i="43"/>
  <c r="V160" i="43"/>
  <c r="X146" i="43"/>
  <c r="W146" i="43"/>
  <c r="W155" i="43" s="1"/>
  <c r="V146" i="43"/>
  <c r="V155" i="43" s="1"/>
  <c r="X145" i="43"/>
  <c r="W145" i="43"/>
  <c r="V145" i="43"/>
  <c r="X143" i="43"/>
  <c r="W143" i="43"/>
  <c r="V143" i="43"/>
  <c r="X129" i="43"/>
  <c r="W129" i="43"/>
  <c r="W134" i="43" s="1"/>
  <c r="V129" i="43"/>
  <c r="X128" i="43"/>
  <c r="W128" i="43"/>
  <c r="V128" i="43"/>
  <c r="X126" i="43"/>
  <c r="W126" i="43"/>
  <c r="V126" i="43"/>
  <c r="X112" i="43"/>
  <c r="X120" i="43" s="1"/>
  <c r="W112" i="43"/>
  <c r="W118" i="43" s="1"/>
  <c r="V112" i="43"/>
  <c r="V119" i="43" s="1"/>
  <c r="X111" i="43"/>
  <c r="W111" i="43"/>
  <c r="V111" i="43"/>
  <c r="X109" i="43"/>
  <c r="W109" i="43"/>
  <c r="X95" i="43"/>
  <c r="X98" i="43" s="1"/>
  <c r="W95" i="43"/>
  <c r="W108" i="43" s="1"/>
  <c r="X94" i="43"/>
  <c r="W94" i="43"/>
  <c r="X92" i="43"/>
  <c r="W92" i="43"/>
  <c r="X78" i="43"/>
  <c r="X85" i="43" s="1"/>
  <c r="W78" i="43"/>
  <c r="W86" i="43" s="1"/>
  <c r="X77" i="43"/>
  <c r="W77" i="43"/>
  <c r="X75" i="43"/>
  <c r="W75" i="43"/>
  <c r="X61" i="43"/>
  <c r="W61" i="43"/>
  <c r="W67" i="43" s="1"/>
  <c r="X60" i="43"/>
  <c r="W60" i="43"/>
  <c r="X58" i="43"/>
  <c r="W58" i="43"/>
  <c r="V58" i="43"/>
  <c r="X44" i="43"/>
  <c r="X55" i="43" s="1"/>
  <c r="W44" i="43"/>
  <c r="W56" i="43" s="1"/>
  <c r="V44" i="43"/>
  <c r="X43" i="43"/>
  <c r="W43" i="43"/>
  <c r="V43" i="43"/>
  <c r="X41" i="43"/>
  <c r="W41" i="43"/>
  <c r="V41" i="43"/>
  <c r="X27" i="43"/>
  <c r="W27" i="43"/>
  <c r="W31" i="43" s="1"/>
  <c r="V27" i="43"/>
  <c r="V40" i="43" s="1"/>
  <c r="X26" i="43"/>
  <c r="W26" i="43"/>
  <c r="V26" i="43"/>
  <c r="X24" i="43"/>
  <c r="W24" i="43"/>
  <c r="V24" i="43"/>
  <c r="X10" i="43"/>
  <c r="W10" i="43"/>
  <c r="V10" i="43"/>
  <c r="X9" i="43"/>
  <c r="W9" i="43"/>
  <c r="V9" i="43"/>
  <c r="O280" i="37"/>
  <c r="N280" i="37"/>
  <c r="N263" i="45"/>
  <c r="O244" i="45"/>
  <c r="N244" i="45"/>
  <c r="M244" i="45"/>
  <c r="O230" i="45"/>
  <c r="O238" i="45" s="1"/>
  <c r="N230" i="45"/>
  <c r="M230" i="45"/>
  <c r="M235" i="45" s="1"/>
  <c r="O229" i="45"/>
  <c r="N229" i="45"/>
  <c r="M229" i="45"/>
  <c r="O227" i="45"/>
  <c r="N227" i="45"/>
  <c r="M227" i="45"/>
  <c r="O213" i="45"/>
  <c r="N213" i="45"/>
  <c r="M213" i="45"/>
  <c r="O212" i="45"/>
  <c r="N212" i="45"/>
  <c r="M212" i="45"/>
  <c r="O210" i="45"/>
  <c r="N210" i="45"/>
  <c r="M210" i="45"/>
  <c r="O196" i="45"/>
  <c r="O201" i="45" s="1"/>
  <c r="N196" i="45"/>
  <c r="N199" i="45" s="1"/>
  <c r="M196" i="45"/>
  <c r="M199" i="45" s="1"/>
  <c r="O195" i="45"/>
  <c r="N195" i="45"/>
  <c r="M195" i="45"/>
  <c r="O193" i="45"/>
  <c r="N193" i="45"/>
  <c r="M193" i="45"/>
  <c r="O179" i="45"/>
  <c r="O188" i="45" s="1"/>
  <c r="N179" i="45"/>
  <c r="M179" i="45"/>
  <c r="O178" i="45"/>
  <c r="N178" i="45"/>
  <c r="M178" i="45"/>
  <c r="O176" i="45"/>
  <c r="N176" i="45"/>
  <c r="M176" i="45"/>
  <c r="O162" i="45"/>
  <c r="O174" i="45" s="1"/>
  <c r="N162" i="45"/>
  <c r="M162" i="45"/>
  <c r="O161" i="45"/>
  <c r="N161" i="45"/>
  <c r="M161" i="45"/>
  <c r="O159" i="45"/>
  <c r="N159" i="45"/>
  <c r="M159" i="45"/>
  <c r="O145" i="45"/>
  <c r="N145" i="45"/>
  <c r="M145" i="45"/>
  <c r="M151" i="45" s="1"/>
  <c r="O144" i="45"/>
  <c r="N144" i="45"/>
  <c r="M144" i="45"/>
  <c r="O142" i="45"/>
  <c r="N142" i="45"/>
  <c r="M142" i="45"/>
  <c r="O128" i="45"/>
  <c r="O133" i="45" s="1"/>
  <c r="N128" i="45"/>
  <c r="N137" i="45" s="1"/>
  <c r="M128" i="45"/>
  <c r="M133" i="45" s="1"/>
  <c r="O127" i="45"/>
  <c r="N127" i="45"/>
  <c r="M127" i="45"/>
  <c r="O125" i="45"/>
  <c r="N125" i="45"/>
  <c r="M125" i="45"/>
  <c r="O111" i="45"/>
  <c r="O124" i="45" s="1"/>
  <c r="N111" i="45"/>
  <c r="M111" i="45"/>
  <c r="M115" i="45" s="1"/>
  <c r="O110" i="45"/>
  <c r="N110" i="45"/>
  <c r="M110" i="45"/>
  <c r="O108" i="45"/>
  <c r="N108" i="45"/>
  <c r="M108" i="45"/>
  <c r="O94" i="45"/>
  <c r="N94" i="45"/>
  <c r="N100" i="45" s="1"/>
  <c r="M94" i="45"/>
  <c r="M103" i="45" s="1"/>
  <c r="O93" i="45"/>
  <c r="N93" i="45"/>
  <c r="M93" i="45"/>
  <c r="O91" i="45"/>
  <c r="N91" i="45"/>
  <c r="M91" i="45"/>
  <c r="O77" i="45"/>
  <c r="O88" i="45" s="1"/>
  <c r="N77" i="45"/>
  <c r="N88" i="45" s="1"/>
  <c r="M77" i="45"/>
  <c r="M82" i="45" s="1"/>
  <c r="O76" i="45"/>
  <c r="N76" i="45"/>
  <c r="M76" i="45"/>
  <c r="O74" i="45"/>
  <c r="N74" i="45"/>
  <c r="M74" i="45"/>
  <c r="O60" i="45"/>
  <c r="N60" i="45"/>
  <c r="N64" i="45" s="1"/>
  <c r="M60" i="45"/>
  <c r="O59" i="45"/>
  <c r="N59" i="45"/>
  <c r="M59" i="45"/>
  <c r="O57" i="45"/>
  <c r="N57" i="45"/>
  <c r="M57" i="45"/>
  <c r="O43" i="45"/>
  <c r="O55" i="45" s="1"/>
  <c r="N43" i="45"/>
  <c r="N56" i="45" s="1"/>
  <c r="M43" i="45"/>
  <c r="M47" i="45" s="1"/>
  <c r="O42" i="45"/>
  <c r="N42" i="45"/>
  <c r="M42" i="45"/>
  <c r="O40" i="45"/>
  <c r="N40" i="45"/>
  <c r="M40" i="45"/>
  <c r="O26" i="45"/>
  <c r="N26" i="45"/>
  <c r="N32" i="45" s="1"/>
  <c r="M26" i="45"/>
  <c r="M30" i="45" s="1"/>
  <c r="O25" i="45"/>
  <c r="N25" i="45"/>
  <c r="M25" i="45"/>
  <c r="O23" i="45"/>
  <c r="N23" i="45"/>
  <c r="M23" i="45"/>
  <c r="O9" i="45"/>
  <c r="O15" i="45" s="1"/>
  <c r="N9" i="45"/>
  <c r="M9" i="45"/>
  <c r="O8" i="45"/>
  <c r="N8" i="45"/>
  <c r="M8" i="45"/>
  <c r="T330" i="43"/>
  <c r="S330" i="43"/>
  <c r="R330" i="43"/>
  <c r="T316" i="43"/>
  <c r="T324" i="43" s="1"/>
  <c r="S316" i="43"/>
  <c r="R316" i="43"/>
  <c r="R322" i="43" s="1"/>
  <c r="T315" i="43"/>
  <c r="S315" i="43"/>
  <c r="R315" i="43"/>
  <c r="T262" i="43"/>
  <c r="S262" i="43"/>
  <c r="R262" i="43"/>
  <c r="T248" i="43"/>
  <c r="T253" i="43" s="1"/>
  <c r="S248" i="43"/>
  <c r="S251" i="43" s="1"/>
  <c r="R248" i="43"/>
  <c r="R260" i="43" s="1"/>
  <c r="T247" i="43"/>
  <c r="S247" i="43"/>
  <c r="R247" i="43"/>
  <c r="T245" i="43"/>
  <c r="S245" i="43"/>
  <c r="R245" i="43"/>
  <c r="T231" i="43"/>
  <c r="S231" i="43"/>
  <c r="S234" i="43" s="1"/>
  <c r="R231" i="43"/>
  <c r="T230" i="43"/>
  <c r="S230" i="43"/>
  <c r="R230" i="43"/>
  <c r="T211" i="43"/>
  <c r="S211" i="43"/>
  <c r="R211" i="43"/>
  <c r="T197" i="43"/>
  <c r="T201" i="43" s="1"/>
  <c r="S197" i="43"/>
  <c r="R197" i="43"/>
  <c r="R208" i="43" s="1"/>
  <c r="T196" i="43"/>
  <c r="S196" i="43"/>
  <c r="R196" i="43"/>
  <c r="T194" i="43"/>
  <c r="S194" i="43"/>
  <c r="R194" i="43"/>
  <c r="T180" i="43"/>
  <c r="S180" i="43"/>
  <c r="R180" i="43"/>
  <c r="T179" i="43"/>
  <c r="S179" i="43"/>
  <c r="R179" i="43"/>
  <c r="T177" i="43"/>
  <c r="S177" i="43"/>
  <c r="R177" i="43"/>
  <c r="T163" i="43"/>
  <c r="S163" i="43"/>
  <c r="S166" i="43" s="1"/>
  <c r="R163" i="43"/>
  <c r="R168" i="43" s="1"/>
  <c r="T162" i="43"/>
  <c r="S162" i="43"/>
  <c r="R162" i="43"/>
  <c r="T160" i="43"/>
  <c r="S160" i="43"/>
  <c r="R160" i="43"/>
  <c r="T146" i="43"/>
  <c r="T155" i="43" s="1"/>
  <c r="S146" i="43"/>
  <c r="R146" i="43"/>
  <c r="T145" i="43"/>
  <c r="S145" i="43"/>
  <c r="R145" i="43"/>
  <c r="T143" i="43"/>
  <c r="S143" i="43"/>
  <c r="R143" i="43"/>
  <c r="T129" i="43"/>
  <c r="T135" i="43" s="1"/>
  <c r="S129" i="43"/>
  <c r="R129" i="43"/>
  <c r="T128" i="43"/>
  <c r="S128" i="43"/>
  <c r="R128" i="43"/>
  <c r="T126" i="43"/>
  <c r="S126" i="43"/>
  <c r="R126" i="43"/>
  <c r="T112" i="43"/>
  <c r="T115" i="43" s="1"/>
  <c r="S112" i="43"/>
  <c r="S124" i="43" s="1"/>
  <c r="R112" i="43"/>
  <c r="T111" i="43"/>
  <c r="S111" i="43"/>
  <c r="R111" i="43"/>
  <c r="T109" i="43"/>
  <c r="S109" i="43"/>
  <c r="R109" i="43"/>
  <c r="T95" i="43"/>
  <c r="T101" i="43" s="1"/>
  <c r="S95" i="43"/>
  <c r="R95" i="43"/>
  <c r="T94" i="43"/>
  <c r="S94" i="43"/>
  <c r="R94" i="43"/>
  <c r="T92" i="43"/>
  <c r="S92" i="43"/>
  <c r="R92" i="43"/>
  <c r="T78" i="43"/>
  <c r="S78" i="43"/>
  <c r="S81" i="43" s="1"/>
  <c r="R78" i="43"/>
  <c r="T77" i="43"/>
  <c r="S77" i="43"/>
  <c r="R77" i="43"/>
  <c r="T75" i="43"/>
  <c r="S75" i="43"/>
  <c r="R75" i="43"/>
  <c r="T61" i="43"/>
  <c r="T70" i="43" s="1"/>
  <c r="S61" i="43"/>
  <c r="S64" i="43" s="1"/>
  <c r="R61" i="43"/>
  <c r="R65" i="43" s="1"/>
  <c r="T60" i="43"/>
  <c r="S60" i="43"/>
  <c r="R60" i="43"/>
  <c r="T58" i="43"/>
  <c r="S58" i="43"/>
  <c r="R58" i="43"/>
  <c r="T44" i="43"/>
  <c r="S44" i="43"/>
  <c r="S56" i="43" s="1"/>
  <c r="R44" i="43"/>
  <c r="R52" i="43" s="1"/>
  <c r="T43" i="43"/>
  <c r="S43" i="43"/>
  <c r="R43" i="43"/>
  <c r="T41" i="43"/>
  <c r="S41" i="43"/>
  <c r="R41" i="43"/>
  <c r="T27" i="43"/>
  <c r="S27" i="43"/>
  <c r="R27" i="43"/>
  <c r="R31" i="43" s="1"/>
  <c r="T26" i="43"/>
  <c r="S26" i="43"/>
  <c r="R26" i="43"/>
  <c r="T24" i="43"/>
  <c r="S24" i="43"/>
  <c r="R24" i="43"/>
  <c r="T10" i="43"/>
  <c r="S10" i="43"/>
  <c r="S16" i="43" s="1"/>
  <c r="R10" i="43"/>
  <c r="R19" i="43" s="1"/>
  <c r="T9" i="43"/>
  <c r="S9" i="43"/>
  <c r="R9" i="43"/>
  <c r="I263" i="45"/>
  <c r="K244" i="45"/>
  <c r="J244" i="45"/>
  <c r="I244" i="45"/>
  <c r="K230" i="45"/>
  <c r="K234" i="45" s="1"/>
  <c r="J230" i="45"/>
  <c r="I230" i="45"/>
  <c r="K229" i="45"/>
  <c r="J229" i="45"/>
  <c r="I229" i="45"/>
  <c r="K227" i="45"/>
  <c r="J227" i="45"/>
  <c r="I227" i="45"/>
  <c r="K213" i="45"/>
  <c r="K216" i="45" s="1"/>
  <c r="J213" i="45"/>
  <c r="I213" i="45"/>
  <c r="I222" i="45" s="1"/>
  <c r="K212" i="45"/>
  <c r="J212" i="45"/>
  <c r="I212" i="45"/>
  <c r="K210" i="45"/>
  <c r="J210" i="45"/>
  <c r="I210" i="45"/>
  <c r="K196" i="45"/>
  <c r="K208" i="45" s="1"/>
  <c r="J196" i="45"/>
  <c r="J200" i="45" s="1"/>
  <c r="I196" i="45"/>
  <c r="K195" i="45"/>
  <c r="J195" i="45"/>
  <c r="I195" i="45"/>
  <c r="K193" i="45"/>
  <c r="J193" i="45"/>
  <c r="I193" i="45"/>
  <c r="K179" i="45"/>
  <c r="K184" i="45" s="1"/>
  <c r="J179" i="45"/>
  <c r="J191" i="45" s="1"/>
  <c r="I179" i="45"/>
  <c r="K178" i="45"/>
  <c r="J178" i="45"/>
  <c r="I178" i="45"/>
  <c r="K176" i="45"/>
  <c r="J176" i="45"/>
  <c r="I176" i="45"/>
  <c r="K162" i="45"/>
  <c r="K169" i="45" s="1"/>
  <c r="J162" i="45"/>
  <c r="J166" i="45" s="1"/>
  <c r="I162" i="45"/>
  <c r="I173" i="45" s="1"/>
  <c r="K161" i="45"/>
  <c r="J161" i="45"/>
  <c r="I161" i="45"/>
  <c r="K159" i="45"/>
  <c r="J159" i="45"/>
  <c r="I159" i="45"/>
  <c r="K145" i="45"/>
  <c r="J145" i="45"/>
  <c r="I145" i="45"/>
  <c r="I157" i="45" s="1"/>
  <c r="K144" i="45"/>
  <c r="J144" i="45"/>
  <c r="I144" i="45"/>
  <c r="K142" i="45"/>
  <c r="J142" i="45"/>
  <c r="I142" i="45"/>
  <c r="K128" i="45"/>
  <c r="J128" i="45"/>
  <c r="I128" i="45"/>
  <c r="K127" i="45"/>
  <c r="J127" i="45"/>
  <c r="I127" i="45"/>
  <c r="K125" i="45"/>
  <c r="J125" i="45"/>
  <c r="I125" i="45"/>
  <c r="K111" i="45"/>
  <c r="J111" i="45"/>
  <c r="J118" i="45" s="1"/>
  <c r="I111" i="45"/>
  <c r="I117" i="45" s="1"/>
  <c r="K110" i="45"/>
  <c r="J110" i="45"/>
  <c r="I110" i="45"/>
  <c r="K108" i="45"/>
  <c r="J108" i="45"/>
  <c r="I108" i="45"/>
  <c r="K94" i="45"/>
  <c r="K98" i="45" s="1"/>
  <c r="J94" i="45"/>
  <c r="J106" i="45" s="1"/>
  <c r="I94" i="45"/>
  <c r="K93" i="45"/>
  <c r="J93" i="45"/>
  <c r="I93" i="45"/>
  <c r="K91" i="45"/>
  <c r="J91" i="45"/>
  <c r="I91" i="45"/>
  <c r="K77" i="45"/>
  <c r="K85" i="45" s="1"/>
  <c r="J77" i="45"/>
  <c r="I77" i="45"/>
  <c r="K76" i="45"/>
  <c r="J76" i="45"/>
  <c r="I76" i="45"/>
  <c r="K74" i="45"/>
  <c r="J74" i="45"/>
  <c r="I74" i="45"/>
  <c r="K60" i="45"/>
  <c r="K66" i="45" s="1"/>
  <c r="J60" i="45"/>
  <c r="J65" i="45" s="1"/>
  <c r="I60" i="45"/>
  <c r="K59" i="45"/>
  <c r="J59" i="45"/>
  <c r="I59" i="45"/>
  <c r="K57" i="45"/>
  <c r="J57" i="45"/>
  <c r="I57" i="45"/>
  <c r="K43" i="45"/>
  <c r="K48" i="45" s="1"/>
  <c r="J43" i="45"/>
  <c r="J46" i="45" s="1"/>
  <c r="I43" i="45"/>
  <c r="K42" i="45"/>
  <c r="J42" i="45"/>
  <c r="I42" i="45"/>
  <c r="K40" i="45"/>
  <c r="J40" i="45"/>
  <c r="I40" i="45"/>
  <c r="K26" i="45"/>
  <c r="K38" i="45" s="1"/>
  <c r="J26" i="45"/>
  <c r="J31" i="45" s="1"/>
  <c r="I26" i="45"/>
  <c r="K25" i="45"/>
  <c r="J25" i="45"/>
  <c r="I25" i="45"/>
  <c r="K23" i="45"/>
  <c r="J23" i="45"/>
  <c r="I23" i="45"/>
  <c r="K9" i="45"/>
  <c r="J9" i="45"/>
  <c r="I9" i="45"/>
  <c r="I21" i="45" s="1"/>
  <c r="K8" i="45"/>
  <c r="J8" i="45"/>
  <c r="I8" i="45"/>
  <c r="P330" i="43"/>
  <c r="O330" i="43"/>
  <c r="N330" i="43"/>
  <c r="P316" i="43"/>
  <c r="O316" i="43"/>
  <c r="N316" i="43"/>
  <c r="P315" i="43"/>
  <c r="O315" i="43"/>
  <c r="N315" i="43"/>
  <c r="P262" i="43"/>
  <c r="O262" i="43"/>
  <c r="N262" i="43"/>
  <c r="P248" i="43"/>
  <c r="O248" i="43"/>
  <c r="N248" i="43"/>
  <c r="N254" i="43" s="1"/>
  <c r="P247" i="43"/>
  <c r="O247" i="43"/>
  <c r="N247" i="43"/>
  <c r="P245" i="43"/>
  <c r="O245" i="43"/>
  <c r="N245" i="43"/>
  <c r="P231" i="43"/>
  <c r="P243" i="43" s="1"/>
  <c r="O231" i="43"/>
  <c r="N231" i="43"/>
  <c r="N244" i="43" s="1"/>
  <c r="P230" i="43"/>
  <c r="O230" i="43"/>
  <c r="N230" i="43"/>
  <c r="P211" i="43"/>
  <c r="O211" i="43"/>
  <c r="N211" i="43"/>
  <c r="P197" i="43"/>
  <c r="O197" i="43"/>
  <c r="N197" i="43"/>
  <c r="P196" i="43"/>
  <c r="O196" i="43"/>
  <c r="N196" i="43"/>
  <c r="P194" i="43"/>
  <c r="O194" i="43"/>
  <c r="N194" i="43"/>
  <c r="P180" i="43"/>
  <c r="O180" i="43"/>
  <c r="N180" i="43"/>
  <c r="N192" i="43" s="1"/>
  <c r="P179" i="43"/>
  <c r="O179" i="43"/>
  <c r="N179" i="43"/>
  <c r="P177" i="43"/>
  <c r="O177" i="43"/>
  <c r="N177" i="43"/>
  <c r="P163" i="43"/>
  <c r="O163" i="43"/>
  <c r="O175" i="43" s="1"/>
  <c r="N163" i="43"/>
  <c r="N175" i="43" s="1"/>
  <c r="P162" i="43"/>
  <c r="O162" i="43"/>
  <c r="N162" i="43"/>
  <c r="P160" i="43"/>
  <c r="O160" i="43"/>
  <c r="N160" i="43"/>
  <c r="P146" i="43"/>
  <c r="O146" i="43"/>
  <c r="O149" i="43" s="1"/>
  <c r="N146" i="43"/>
  <c r="P145" i="43"/>
  <c r="O145" i="43"/>
  <c r="N145" i="43"/>
  <c r="P143" i="43"/>
  <c r="O143" i="43"/>
  <c r="N143" i="43"/>
  <c r="P129" i="43"/>
  <c r="O129" i="43"/>
  <c r="O141" i="43" s="1"/>
  <c r="N129" i="43"/>
  <c r="P128" i="43"/>
  <c r="O128" i="43"/>
  <c r="N128" i="43"/>
  <c r="P126" i="43"/>
  <c r="O126" i="43"/>
  <c r="N126" i="43"/>
  <c r="P112" i="43"/>
  <c r="P116" i="43" s="1"/>
  <c r="O112" i="43"/>
  <c r="N112" i="43"/>
  <c r="N121" i="43" s="1"/>
  <c r="P111" i="43"/>
  <c r="O111" i="43"/>
  <c r="N111" i="43"/>
  <c r="P109" i="43"/>
  <c r="O109" i="43"/>
  <c r="N109" i="43"/>
  <c r="P95" i="43"/>
  <c r="P103" i="43" s="1"/>
  <c r="O95" i="43"/>
  <c r="O106" i="43" s="1"/>
  <c r="N95" i="43"/>
  <c r="N101" i="43" s="1"/>
  <c r="P94" i="43"/>
  <c r="O94" i="43"/>
  <c r="N94" i="43"/>
  <c r="P92" i="43"/>
  <c r="O92" i="43"/>
  <c r="N92" i="43"/>
  <c r="P78" i="43"/>
  <c r="P89" i="43" s="1"/>
  <c r="O78" i="43"/>
  <c r="O86" i="43" s="1"/>
  <c r="N78" i="43"/>
  <c r="P77" i="43"/>
  <c r="O77" i="43"/>
  <c r="N77" i="43"/>
  <c r="P75" i="43"/>
  <c r="O75" i="43"/>
  <c r="N75" i="43"/>
  <c r="P61" i="43"/>
  <c r="P73" i="43" s="1"/>
  <c r="O61" i="43"/>
  <c r="N61" i="43"/>
  <c r="P60" i="43"/>
  <c r="O60" i="43"/>
  <c r="N60" i="43"/>
  <c r="P58" i="43"/>
  <c r="O58" i="43"/>
  <c r="N58" i="43"/>
  <c r="P44" i="43"/>
  <c r="O44" i="43"/>
  <c r="N44" i="43"/>
  <c r="N52" i="43" s="1"/>
  <c r="P43" i="43"/>
  <c r="O43" i="43"/>
  <c r="N43" i="43"/>
  <c r="P41" i="43"/>
  <c r="O41" i="43"/>
  <c r="N41" i="43"/>
  <c r="P27" i="43"/>
  <c r="P38" i="43" s="1"/>
  <c r="O27" i="43"/>
  <c r="O36" i="43" s="1"/>
  <c r="N27" i="43"/>
  <c r="N30" i="43" s="1"/>
  <c r="P26" i="43"/>
  <c r="O26" i="43"/>
  <c r="N26" i="43"/>
  <c r="P24" i="43"/>
  <c r="O24" i="43"/>
  <c r="N24" i="43"/>
  <c r="P10" i="43"/>
  <c r="O10" i="43"/>
  <c r="N10" i="43"/>
  <c r="P9" i="43"/>
  <c r="O9" i="43"/>
  <c r="N9" i="43"/>
  <c r="E280" i="37"/>
  <c r="G363" i="45"/>
  <c r="G349" i="45"/>
  <c r="G358" i="45" s="1"/>
  <c r="G348" i="45"/>
  <c r="G278" i="45"/>
  <c r="G264" i="45"/>
  <c r="G263" i="45"/>
  <c r="F263" i="45"/>
  <c r="E263" i="45"/>
  <c r="G244" i="45"/>
  <c r="F244" i="45"/>
  <c r="E244" i="45"/>
  <c r="G230" i="45"/>
  <c r="F230" i="45"/>
  <c r="F234" i="45" s="1"/>
  <c r="E230" i="45"/>
  <c r="G229" i="45"/>
  <c r="F229" i="45"/>
  <c r="E229" i="45"/>
  <c r="G227" i="45"/>
  <c r="F227" i="45"/>
  <c r="E227" i="45"/>
  <c r="G213" i="45"/>
  <c r="G216" i="45" s="1"/>
  <c r="F213" i="45"/>
  <c r="F221" i="45" s="1"/>
  <c r="E213" i="45"/>
  <c r="E219" i="45" s="1"/>
  <c r="G212" i="45"/>
  <c r="F212" i="45"/>
  <c r="E212" i="45"/>
  <c r="G210" i="45"/>
  <c r="F210" i="45"/>
  <c r="E210" i="45"/>
  <c r="G196" i="45"/>
  <c r="G208" i="45" s="1"/>
  <c r="F196" i="45"/>
  <c r="E196" i="45"/>
  <c r="E201" i="45" s="1"/>
  <c r="G195" i="45"/>
  <c r="F195" i="45"/>
  <c r="E195" i="45"/>
  <c r="G193" i="45"/>
  <c r="F193" i="45"/>
  <c r="E193" i="45"/>
  <c r="G179" i="45"/>
  <c r="G185" i="45" s="1"/>
  <c r="F179" i="45"/>
  <c r="E179" i="45"/>
  <c r="E183" i="45" s="1"/>
  <c r="G178" i="45"/>
  <c r="F178" i="45"/>
  <c r="E178" i="45"/>
  <c r="G176" i="45"/>
  <c r="F176" i="45"/>
  <c r="E176" i="45"/>
  <c r="G162" i="45"/>
  <c r="F162" i="45"/>
  <c r="F168" i="45" s="1"/>
  <c r="E162" i="45"/>
  <c r="E167" i="45" s="1"/>
  <c r="G161" i="45"/>
  <c r="F161" i="45"/>
  <c r="E161" i="45"/>
  <c r="G159" i="45"/>
  <c r="F159" i="45"/>
  <c r="E159" i="45"/>
  <c r="G145" i="45"/>
  <c r="G157" i="45" s="1"/>
  <c r="F145" i="45"/>
  <c r="E145" i="45"/>
  <c r="G144" i="45"/>
  <c r="F144" i="45"/>
  <c r="E144" i="45"/>
  <c r="G142" i="45"/>
  <c r="F142" i="45"/>
  <c r="E142" i="45"/>
  <c r="G128" i="45"/>
  <c r="G141" i="45" s="1"/>
  <c r="F128" i="45"/>
  <c r="E128" i="45"/>
  <c r="G127" i="45"/>
  <c r="F127" i="45"/>
  <c r="E127" i="45"/>
  <c r="G125" i="45"/>
  <c r="F125" i="45"/>
  <c r="E125" i="45"/>
  <c r="G111" i="45"/>
  <c r="F111" i="45"/>
  <c r="E111" i="45"/>
  <c r="E116" i="45" s="1"/>
  <c r="G110" i="45"/>
  <c r="F110" i="45"/>
  <c r="E110" i="45"/>
  <c r="G108" i="45"/>
  <c r="F108" i="45"/>
  <c r="E108" i="45"/>
  <c r="G94" i="45"/>
  <c r="G99" i="45" s="1"/>
  <c r="F94" i="45"/>
  <c r="F97" i="45" s="1"/>
  <c r="E94" i="45"/>
  <c r="G93" i="45"/>
  <c r="F93" i="45"/>
  <c r="E93" i="45"/>
  <c r="G91" i="45"/>
  <c r="F91" i="45"/>
  <c r="E91" i="45"/>
  <c r="G77" i="45"/>
  <c r="F77" i="45"/>
  <c r="F81" i="45" s="1"/>
  <c r="E77" i="45"/>
  <c r="E90" i="45" s="1"/>
  <c r="G76" i="45"/>
  <c r="F76" i="45"/>
  <c r="E76" i="45"/>
  <c r="G74" i="45"/>
  <c r="F74" i="45"/>
  <c r="E74" i="45"/>
  <c r="G60" i="45"/>
  <c r="F60" i="45"/>
  <c r="E60" i="45"/>
  <c r="E72" i="45" s="1"/>
  <c r="G59" i="45"/>
  <c r="F59" i="45"/>
  <c r="E59" i="45"/>
  <c r="G57" i="45"/>
  <c r="F57" i="45"/>
  <c r="E57" i="45"/>
  <c r="G43" i="45"/>
  <c r="G47" i="45" s="1"/>
  <c r="F43" i="45"/>
  <c r="F56" i="45" s="1"/>
  <c r="E43" i="45"/>
  <c r="E50" i="45" s="1"/>
  <c r="G42" i="45"/>
  <c r="F42" i="45"/>
  <c r="E42" i="45"/>
  <c r="G40" i="45"/>
  <c r="F40" i="45"/>
  <c r="E40" i="45"/>
  <c r="G26" i="45"/>
  <c r="G32" i="45" s="1"/>
  <c r="F26" i="45"/>
  <c r="F32" i="45" s="1"/>
  <c r="E26" i="45"/>
  <c r="G25" i="45"/>
  <c r="F25" i="45"/>
  <c r="E25" i="45"/>
  <c r="G23" i="45"/>
  <c r="F23" i="45"/>
  <c r="E23" i="45"/>
  <c r="G9" i="45"/>
  <c r="F9" i="45"/>
  <c r="E9" i="45"/>
  <c r="G8" i="45"/>
  <c r="F8" i="45"/>
  <c r="E8" i="45"/>
  <c r="L330" i="43"/>
  <c r="K330" i="43"/>
  <c r="J330" i="43"/>
  <c r="L316" i="43"/>
  <c r="K316" i="43"/>
  <c r="K329" i="43" s="1"/>
  <c r="J316" i="43"/>
  <c r="J323" i="43" s="1"/>
  <c r="L315" i="43"/>
  <c r="K315" i="43"/>
  <c r="J315" i="43"/>
  <c r="L262" i="43"/>
  <c r="K262" i="43"/>
  <c r="J262" i="43"/>
  <c r="L248" i="43"/>
  <c r="L254" i="43" s="1"/>
  <c r="K248" i="43"/>
  <c r="K254" i="43" s="1"/>
  <c r="J248" i="43"/>
  <c r="J260" i="43" s="1"/>
  <c r="L247" i="43"/>
  <c r="K247" i="43"/>
  <c r="J247" i="43"/>
  <c r="L245" i="43"/>
  <c r="K245" i="43"/>
  <c r="J245" i="43"/>
  <c r="L231" i="43"/>
  <c r="L237" i="43" s="1"/>
  <c r="K231" i="43"/>
  <c r="J231" i="43"/>
  <c r="L230" i="43"/>
  <c r="K230" i="43"/>
  <c r="J230" i="43"/>
  <c r="L211" i="43"/>
  <c r="K211" i="43"/>
  <c r="J211" i="43"/>
  <c r="L197" i="43"/>
  <c r="K197" i="43"/>
  <c r="J197" i="43"/>
  <c r="L196" i="43"/>
  <c r="K196" i="43"/>
  <c r="J196" i="43"/>
  <c r="L194" i="43"/>
  <c r="K194" i="43"/>
  <c r="J194" i="43"/>
  <c r="L180" i="43"/>
  <c r="L183" i="43" s="1"/>
  <c r="K180" i="43"/>
  <c r="K185" i="43" s="1"/>
  <c r="J180" i="43"/>
  <c r="L179" i="43"/>
  <c r="K179" i="43"/>
  <c r="J179" i="43"/>
  <c r="L177" i="43"/>
  <c r="K177" i="43"/>
  <c r="J177" i="43"/>
  <c r="L163" i="43"/>
  <c r="K163" i="43"/>
  <c r="J163" i="43"/>
  <c r="L162" i="43"/>
  <c r="K162" i="43"/>
  <c r="J162" i="43"/>
  <c r="L160" i="43"/>
  <c r="K160" i="43"/>
  <c r="J160" i="43"/>
  <c r="L146" i="43"/>
  <c r="K146" i="43"/>
  <c r="K152" i="43" s="1"/>
  <c r="J146" i="43"/>
  <c r="L145" i="43"/>
  <c r="K145" i="43"/>
  <c r="J145" i="43"/>
  <c r="L143" i="43"/>
  <c r="K143" i="43"/>
  <c r="J143" i="43"/>
  <c r="L129" i="43"/>
  <c r="L134" i="43" s="1"/>
  <c r="K129" i="43"/>
  <c r="J129" i="43"/>
  <c r="J135" i="43" s="1"/>
  <c r="L128" i="43"/>
  <c r="K128" i="43"/>
  <c r="J128" i="43"/>
  <c r="L126" i="43"/>
  <c r="K126" i="43"/>
  <c r="J126" i="43"/>
  <c r="L112" i="43"/>
  <c r="K112" i="43"/>
  <c r="K123" i="43" s="1"/>
  <c r="J112" i="43"/>
  <c r="J125" i="43" s="1"/>
  <c r="L111" i="43"/>
  <c r="K111" i="43"/>
  <c r="J111" i="43"/>
  <c r="L109" i="43"/>
  <c r="K109" i="43"/>
  <c r="J109" i="43"/>
  <c r="L95" i="43"/>
  <c r="L101" i="43" s="1"/>
  <c r="K95" i="43"/>
  <c r="K106" i="43" s="1"/>
  <c r="J95" i="43"/>
  <c r="J107" i="43" s="1"/>
  <c r="L94" i="43"/>
  <c r="K94" i="43"/>
  <c r="J94" i="43"/>
  <c r="L92" i="43"/>
  <c r="K92" i="43"/>
  <c r="J92" i="43"/>
  <c r="L78" i="43"/>
  <c r="K78" i="43"/>
  <c r="K84" i="43" s="1"/>
  <c r="J78" i="43"/>
  <c r="L77" i="43"/>
  <c r="K77" i="43"/>
  <c r="J77" i="43"/>
  <c r="L75" i="43"/>
  <c r="K75" i="43"/>
  <c r="J75" i="43"/>
  <c r="L61" i="43"/>
  <c r="K61" i="43"/>
  <c r="J61" i="43"/>
  <c r="L60" i="43"/>
  <c r="K60" i="43"/>
  <c r="J60" i="43"/>
  <c r="L58" i="43"/>
  <c r="K58" i="43"/>
  <c r="J58" i="43"/>
  <c r="L44" i="43"/>
  <c r="L51" i="43" s="1"/>
  <c r="K44" i="43"/>
  <c r="J44" i="43"/>
  <c r="J52" i="43" s="1"/>
  <c r="L43" i="43"/>
  <c r="K43" i="43"/>
  <c r="J43" i="43"/>
  <c r="L41" i="43"/>
  <c r="K41" i="43"/>
  <c r="J41" i="43"/>
  <c r="L27" i="43"/>
  <c r="K27" i="43"/>
  <c r="K40" i="43" s="1"/>
  <c r="J27" i="43"/>
  <c r="J32" i="43" s="1"/>
  <c r="L26" i="43"/>
  <c r="K26" i="43"/>
  <c r="J26" i="43"/>
  <c r="L24" i="43"/>
  <c r="K24" i="43"/>
  <c r="J24" i="43"/>
  <c r="L10" i="43"/>
  <c r="L16" i="43" s="1"/>
  <c r="K10" i="43"/>
  <c r="J10" i="43"/>
  <c r="J15" i="43" s="1"/>
  <c r="L9" i="43"/>
  <c r="K9" i="43"/>
  <c r="J9" i="43"/>
  <c r="K80" i="32"/>
  <c r="BO276" i="43"/>
  <c r="AU190" i="45"/>
  <c r="BB174" i="43"/>
  <c r="BB166" i="43"/>
  <c r="BO273" i="43"/>
  <c r="BJ99" i="45"/>
  <c r="AY191" i="43"/>
  <c r="AY187" i="43"/>
  <c r="AL97" i="45"/>
  <c r="BK319" i="43"/>
  <c r="T80" i="29"/>
  <c r="BD30" i="43"/>
  <c r="BO152" i="43"/>
  <c r="AL99" i="45"/>
  <c r="AU294" i="43"/>
  <c r="AL103" i="45"/>
  <c r="J345" i="41"/>
  <c r="AY193" i="43"/>
  <c r="AO81" i="45"/>
  <c r="AY115" i="43"/>
  <c r="AY185" i="43"/>
  <c r="AO150" i="45"/>
  <c r="N345" i="41"/>
  <c r="AT137" i="45"/>
  <c r="BD38" i="43"/>
  <c r="BB236" i="43"/>
  <c r="BB30" i="43"/>
  <c r="BD32" i="43"/>
  <c r="BB234" i="43"/>
  <c r="BB238" i="43"/>
  <c r="BK30" i="43"/>
  <c r="BK34" i="43"/>
  <c r="BO53" i="43"/>
  <c r="BP66" i="43"/>
  <c r="BP72" i="43"/>
  <c r="BO202" i="43"/>
  <c r="BO209" i="43"/>
  <c r="BP273" i="43"/>
  <c r="BO288" i="43"/>
  <c r="BI99" i="45"/>
  <c r="BJ101" i="45"/>
  <c r="BP277" i="43"/>
  <c r="BN227" i="43"/>
  <c r="BP272" i="43"/>
  <c r="BO150" i="43"/>
  <c r="K70" i="29"/>
  <c r="T85" i="29"/>
  <c r="S166" i="29"/>
  <c r="T239" i="29"/>
  <c r="K82" i="32"/>
  <c r="T82" i="29"/>
  <c r="K84" i="32"/>
  <c r="J236" i="29"/>
  <c r="J240" i="29"/>
  <c r="K250" i="29"/>
  <c r="K253" i="29"/>
  <c r="AK192" i="45"/>
  <c r="AY102" i="43"/>
  <c r="AX185" i="43"/>
  <c r="AP327" i="45"/>
  <c r="AP328" i="45"/>
  <c r="AP326" i="45"/>
  <c r="AL150" i="45"/>
  <c r="I338" i="41"/>
  <c r="I345" i="41"/>
  <c r="AX118" i="43"/>
  <c r="AY268" i="43"/>
  <c r="AY278" i="43"/>
  <c r="AY269" i="43"/>
  <c r="AP320" i="45"/>
  <c r="AP324" i="45"/>
  <c r="BB65" i="43"/>
  <c r="AU124" i="43"/>
  <c r="AL16" i="45"/>
  <c r="AM339" i="45"/>
  <c r="AL149" i="45"/>
  <c r="AL235" i="45"/>
  <c r="AP238" i="45"/>
  <c r="BD240" i="43"/>
  <c r="BL237" i="43"/>
  <c r="BL235" i="43"/>
  <c r="BL240" i="43"/>
  <c r="BL236" i="43"/>
  <c r="BK274" i="43"/>
  <c r="BK270" i="43"/>
  <c r="M311" i="41"/>
  <c r="BC39" i="43"/>
  <c r="BC34" i="43"/>
  <c r="BC243" i="43"/>
  <c r="BC238" i="43"/>
  <c r="BC244" i="43"/>
  <c r="BC235" i="43"/>
  <c r="BC242" i="43"/>
  <c r="BD242" i="43"/>
  <c r="AT123" i="45"/>
  <c r="AT116" i="45"/>
  <c r="BJ34" i="43"/>
  <c r="BK150" i="43"/>
  <c r="BJ172" i="43"/>
  <c r="BN100" i="43"/>
  <c r="AY136" i="43"/>
  <c r="AP226" i="45"/>
  <c r="AP220" i="45"/>
  <c r="BC82" i="43"/>
  <c r="BC89" i="43"/>
  <c r="BC87" i="43"/>
  <c r="BC240" i="43"/>
  <c r="AT46" i="45"/>
  <c r="AT49" i="45"/>
  <c r="BP204" i="43"/>
  <c r="BP200" i="43"/>
  <c r="BP203" i="43"/>
  <c r="BP201" i="43"/>
  <c r="BP225" i="43"/>
  <c r="BL328" i="43"/>
  <c r="BL323" i="43"/>
  <c r="BL319" i="43"/>
  <c r="BL329" i="43"/>
  <c r="BN74" i="43"/>
  <c r="BN64" i="43"/>
  <c r="BP202" i="43"/>
  <c r="BO219" i="43"/>
  <c r="BO217" i="43"/>
  <c r="BO220" i="43"/>
  <c r="BP221" i="43"/>
  <c r="BN206" i="43"/>
  <c r="BN200" i="43"/>
  <c r="BP227" i="43"/>
  <c r="BP219" i="43"/>
  <c r="BP218" i="43"/>
  <c r="BP220" i="43"/>
  <c r="AY50" i="43"/>
  <c r="AY186" i="43"/>
  <c r="AY329" i="43"/>
  <c r="BC18" i="43"/>
  <c r="BC19" i="43"/>
  <c r="BD40" i="43"/>
  <c r="BN17" i="43"/>
  <c r="BO50" i="43"/>
  <c r="BO48" i="43"/>
  <c r="BP65" i="43"/>
  <c r="BP205" i="43"/>
  <c r="BP217" i="43"/>
  <c r="AX271" i="43"/>
  <c r="BC186" i="43"/>
  <c r="BO151" i="43"/>
  <c r="BO153" i="43"/>
  <c r="BJ107" i="45"/>
  <c r="BJ102" i="45"/>
  <c r="BJ103" i="45"/>
  <c r="BJ106" i="45"/>
  <c r="K180" i="28"/>
  <c r="T165" i="29"/>
  <c r="T169" i="29"/>
  <c r="T168" i="29"/>
  <c r="U88" i="29"/>
  <c r="U82" i="29"/>
  <c r="U85" i="29"/>
  <c r="T40" i="29"/>
  <c r="T43" i="29"/>
  <c r="T127" i="29"/>
  <c r="T130" i="29"/>
  <c r="BK33" i="43"/>
  <c r="BK169" i="43"/>
  <c r="BJ220" i="43"/>
  <c r="BO67" i="43"/>
  <c r="BO235" i="43"/>
  <c r="BO237" i="43"/>
  <c r="K25" i="29"/>
  <c r="U80" i="29"/>
  <c r="U86" i="29"/>
  <c r="T124" i="29"/>
  <c r="L154" i="29"/>
  <c r="L151" i="29"/>
  <c r="K240" i="29"/>
  <c r="K235" i="29"/>
  <c r="K239" i="29"/>
  <c r="K236" i="29"/>
  <c r="K238" i="29"/>
  <c r="T253" i="29"/>
  <c r="S253" i="29"/>
  <c r="S248" i="29"/>
  <c r="T86" i="29"/>
  <c r="T81" i="29"/>
  <c r="T88" i="29"/>
  <c r="J234" i="29"/>
  <c r="J242" i="29"/>
  <c r="U256" i="29"/>
  <c r="S254" i="29"/>
  <c r="K81" i="32"/>
  <c r="K88" i="32"/>
  <c r="L154" i="32"/>
  <c r="L266" i="32"/>
  <c r="K166" i="45"/>
  <c r="W356" i="45"/>
  <c r="AH141" i="43"/>
  <c r="AJ319" i="43"/>
  <c r="S99" i="30"/>
  <c r="S101" i="30" s="1"/>
  <c r="T100" i="30"/>
  <c r="J263" i="30"/>
  <c r="L141" i="33"/>
  <c r="S137" i="33"/>
  <c r="T144" i="33"/>
  <c r="K207" i="33"/>
  <c r="S40" i="33"/>
  <c r="K66" i="33"/>
  <c r="S142" i="33"/>
  <c r="S52" i="43"/>
  <c r="W35" i="43"/>
  <c r="W119" i="43"/>
  <c r="R208" i="45"/>
  <c r="R199" i="45"/>
  <c r="R205" i="45"/>
  <c r="AA125" i="43"/>
  <c r="V89" i="45"/>
  <c r="AE102" i="43"/>
  <c r="Z32" i="45"/>
  <c r="AA48" i="43"/>
  <c r="V85" i="45"/>
  <c r="AB48" i="43"/>
  <c r="AA187" i="43"/>
  <c r="V80" i="45"/>
  <c r="AF52" i="43"/>
  <c r="AE159" i="43"/>
  <c r="AF321" i="43"/>
  <c r="AE51" i="43"/>
  <c r="AE47" i="43"/>
  <c r="AF209" i="43"/>
  <c r="AJ188" i="43"/>
  <c r="AJ186" i="43"/>
  <c r="AJ193" i="43"/>
  <c r="AC136" i="45"/>
  <c r="AI136" i="43"/>
  <c r="AI132" i="43"/>
  <c r="AJ191" i="43"/>
  <c r="AD131" i="45"/>
  <c r="AD133" i="45"/>
  <c r="W360" i="45"/>
  <c r="AH34" i="43"/>
  <c r="AI134" i="43"/>
  <c r="AI193" i="43"/>
  <c r="AI183" i="43"/>
  <c r="AJ184" i="43"/>
  <c r="AI187" i="43"/>
  <c r="AI189" i="43"/>
  <c r="AJ192" i="43"/>
  <c r="AE66" i="45"/>
  <c r="AJ133" i="43"/>
  <c r="AD188" i="45"/>
  <c r="AD205" i="45"/>
  <c r="K214" i="28"/>
  <c r="K206" i="28"/>
  <c r="K212" i="28"/>
  <c r="L169" i="30"/>
  <c r="L164" i="30"/>
  <c r="L170" i="30"/>
  <c r="L165" i="30"/>
  <c r="L172" i="30"/>
  <c r="L166" i="30"/>
  <c r="L168" i="30"/>
  <c r="T253" i="30"/>
  <c r="T248" i="30"/>
  <c r="T256" i="30"/>
  <c r="K210" i="31"/>
  <c r="T43" i="33"/>
  <c r="T38" i="33"/>
  <c r="T44" i="33"/>
  <c r="T39" i="33"/>
  <c r="T42" i="33"/>
  <c r="T46" i="33"/>
  <c r="T40" i="33"/>
  <c r="S192" i="30"/>
  <c r="S200" i="30"/>
  <c r="S234" i="30"/>
  <c r="T249" i="30"/>
  <c r="T252" i="30"/>
  <c r="S102" i="30"/>
  <c r="S172" i="30"/>
  <c r="S193" i="30"/>
  <c r="S196" i="30"/>
  <c r="T254" i="30"/>
  <c r="K197" i="30"/>
  <c r="K192" i="30"/>
  <c r="T250" i="30"/>
  <c r="R267" i="30"/>
  <c r="K214" i="31"/>
  <c r="J210" i="31"/>
  <c r="T67" i="33"/>
  <c r="R70" i="33"/>
  <c r="K128" i="33"/>
  <c r="T71" i="33"/>
  <c r="J70" i="33"/>
  <c r="T70" i="33"/>
  <c r="K127" i="33"/>
  <c r="T68" i="33"/>
  <c r="T270" i="33"/>
  <c r="L137" i="33"/>
  <c r="S124" i="33"/>
  <c r="S136" i="33"/>
  <c r="T137" i="33"/>
  <c r="S141" i="33"/>
  <c r="K206" i="33"/>
  <c r="K211" i="33"/>
  <c r="S194" i="33"/>
  <c r="T268" i="33"/>
  <c r="S140" i="33"/>
  <c r="S193" i="33"/>
  <c r="S138" i="33"/>
  <c r="S192" i="33"/>
  <c r="N346" i="41"/>
  <c r="M346" i="41"/>
  <c r="O314" i="41"/>
  <c r="J297" i="41"/>
  <c r="AG4" i="45"/>
  <c r="A4" i="45"/>
  <c r="A1" i="41"/>
  <c r="A4" i="41"/>
  <c r="A1" i="37"/>
  <c r="A4" i="37"/>
  <c r="AL3" i="43"/>
  <c r="BB3" i="34"/>
  <c r="B3" i="34"/>
  <c r="B1" i="34"/>
  <c r="H222" i="33"/>
  <c r="G222" i="33"/>
  <c r="F222" i="33"/>
  <c r="H221" i="33"/>
  <c r="G221" i="33"/>
  <c r="F221" i="33"/>
  <c r="H220" i="33"/>
  <c r="G220" i="33"/>
  <c r="F220" i="33"/>
  <c r="P208" i="33"/>
  <c r="O208" i="33"/>
  <c r="N208" i="33"/>
  <c r="H208" i="33"/>
  <c r="G208" i="33"/>
  <c r="F208" i="33"/>
  <c r="P207" i="33"/>
  <c r="O207" i="33"/>
  <c r="N207" i="33"/>
  <c r="H207" i="33"/>
  <c r="G207" i="33"/>
  <c r="F207" i="33"/>
  <c r="P206" i="33"/>
  <c r="O206" i="33"/>
  <c r="N206" i="33"/>
  <c r="H206" i="33"/>
  <c r="G206" i="33"/>
  <c r="F206" i="33"/>
  <c r="P180" i="33"/>
  <c r="O180" i="33"/>
  <c r="N180" i="33"/>
  <c r="H180" i="33"/>
  <c r="G180" i="33"/>
  <c r="F180" i="33"/>
  <c r="P179" i="33"/>
  <c r="O179" i="33"/>
  <c r="N179" i="33"/>
  <c r="H179" i="33"/>
  <c r="G179" i="33"/>
  <c r="F179" i="33"/>
  <c r="P178" i="33"/>
  <c r="O178" i="33"/>
  <c r="N178" i="33"/>
  <c r="H178" i="33"/>
  <c r="G178" i="33"/>
  <c r="F178" i="33"/>
  <c r="P166" i="33"/>
  <c r="O166" i="33"/>
  <c r="N166" i="33"/>
  <c r="H166" i="33"/>
  <c r="G166" i="33"/>
  <c r="F166" i="33"/>
  <c r="P165" i="33"/>
  <c r="O165" i="33"/>
  <c r="N165" i="33"/>
  <c r="H165" i="33"/>
  <c r="G165" i="33"/>
  <c r="F165" i="33"/>
  <c r="P152" i="33"/>
  <c r="O152" i="33"/>
  <c r="N152" i="33"/>
  <c r="H152" i="33"/>
  <c r="G152" i="33"/>
  <c r="F152" i="33"/>
  <c r="P151" i="33"/>
  <c r="O151" i="33"/>
  <c r="O109" i="33" s="1"/>
  <c r="O108" i="33" s="1"/>
  <c r="N151" i="33"/>
  <c r="N150" i="33" s="1"/>
  <c r="H151" i="33"/>
  <c r="H150" i="33" s="1"/>
  <c r="G151" i="33"/>
  <c r="G150" i="33" s="1"/>
  <c r="F151" i="33"/>
  <c r="F150" i="33" s="1"/>
  <c r="P138" i="33"/>
  <c r="O138" i="33"/>
  <c r="N138" i="33"/>
  <c r="H138" i="33"/>
  <c r="G138" i="33"/>
  <c r="F138" i="33"/>
  <c r="P137" i="33"/>
  <c r="P136" i="33" s="1"/>
  <c r="O137" i="33"/>
  <c r="O136" i="33" s="1"/>
  <c r="N137" i="33"/>
  <c r="H137" i="33"/>
  <c r="H136" i="33" s="1"/>
  <c r="G137" i="33"/>
  <c r="G136" i="33" s="1"/>
  <c r="F137" i="33"/>
  <c r="F136" i="33" s="1"/>
  <c r="P124" i="33"/>
  <c r="O124" i="33"/>
  <c r="N124" i="33"/>
  <c r="H124" i="33"/>
  <c r="G124" i="33"/>
  <c r="F124" i="33"/>
  <c r="P123" i="33"/>
  <c r="P122" i="33" s="1"/>
  <c r="O123" i="33"/>
  <c r="N123" i="33"/>
  <c r="N122" i="33" s="1"/>
  <c r="H123" i="33"/>
  <c r="G123" i="33"/>
  <c r="G122" i="33" s="1"/>
  <c r="F123" i="33"/>
  <c r="F122" i="33" s="1"/>
  <c r="P96" i="33"/>
  <c r="O96" i="33"/>
  <c r="N96" i="33"/>
  <c r="H96" i="33"/>
  <c r="G96" i="33"/>
  <c r="F96" i="33"/>
  <c r="P95" i="33"/>
  <c r="P94" i="33" s="1"/>
  <c r="O95" i="33"/>
  <c r="O94" i="33" s="1"/>
  <c r="N95" i="33"/>
  <c r="H95" i="33"/>
  <c r="G95" i="33"/>
  <c r="G94" i="33" s="1"/>
  <c r="F95" i="33"/>
  <c r="F94" i="33"/>
  <c r="P82" i="33"/>
  <c r="O82" i="33"/>
  <c r="N82" i="33"/>
  <c r="H82" i="33"/>
  <c r="G82" i="33"/>
  <c r="F82" i="33"/>
  <c r="P81" i="33"/>
  <c r="O81" i="33"/>
  <c r="O80" i="33" s="1"/>
  <c r="N81" i="33"/>
  <c r="N80" i="33" s="1"/>
  <c r="H81" i="33"/>
  <c r="H80" i="33" s="1"/>
  <c r="G81" i="33"/>
  <c r="F81" i="33"/>
  <c r="P68" i="33"/>
  <c r="O68" i="33"/>
  <c r="O54" i="33" s="1"/>
  <c r="O194" i="33" s="1"/>
  <c r="O264" i="33" s="1"/>
  <c r="N68" i="33"/>
  <c r="N54" i="33" s="1"/>
  <c r="N194" i="33" s="1"/>
  <c r="N264" i="33" s="1"/>
  <c r="H68" i="33"/>
  <c r="H54" i="33" s="1"/>
  <c r="G68" i="33"/>
  <c r="G54" i="33" s="1"/>
  <c r="F68" i="33"/>
  <c r="F54" i="33" s="1"/>
  <c r="P39" i="33"/>
  <c r="O39" i="33"/>
  <c r="N39" i="33"/>
  <c r="H39" i="33"/>
  <c r="G39" i="33"/>
  <c r="F39" i="33"/>
  <c r="P40" i="33"/>
  <c r="O40" i="33"/>
  <c r="O38" i="33" s="1"/>
  <c r="N40" i="33"/>
  <c r="H40" i="33"/>
  <c r="H38" i="33" s="1"/>
  <c r="G40" i="33"/>
  <c r="F40" i="33"/>
  <c r="F12" i="33" s="1"/>
  <c r="P26" i="33"/>
  <c r="O26" i="33"/>
  <c r="N26" i="33"/>
  <c r="H26" i="33"/>
  <c r="G26" i="33"/>
  <c r="F26" i="33"/>
  <c r="P25" i="33"/>
  <c r="P24" i="33" s="1"/>
  <c r="O25" i="33"/>
  <c r="N25" i="33"/>
  <c r="N24" i="33" s="1"/>
  <c r="H25" i="33"/>
  <c r="H24" i="33" s="1"/>
  <c r="G25" i="33"/>
  <c r="G11" i="33" s="1"/>
  <c r="F25" i="33"/>
  <c r="F11" i="33" s="1"/>
  <c r="B3" i="33"/>
  <c r="B1" i="33"/>
  <c r="H222" i="32"/>
  <c r="G222" i="32"/>
  <c r="F222" i="32"/>
  <c r="H221" i="32"/>
  <c r="G221" i="32"/>
  <c r="F221" i="32"/>
  <c r="H220" i="32"/>
  <c r="G220" i="32"/>
  <c r="F220" i="32"/>
  <c r="Q208" i="32"/>
  <c r="P208" i="32"/>
  <c r="O208" i="32"/>
  <c r="H208" i="32"/>
  <c r="G208" i="32"/>
  <c r="F208" i="32"/>
  <c r="Q207" i="32"/>
  <c r="P207" i="32"/>
  <c r="O207" i="32"/>
  <c r="H207" i="32"/>
  <c r="G207" i="32"/>
  <c r="F207" i="32"/>
  <c r="Q206" i="32"/>
  <c r="P206" i="32"/>
  <c r="O206" i="32"/>
  <c r="H206" i="32"/>
  <c r="G206" i="32"/>
  <c r="F206" i="32"/>
  <c r="Q180" i="32"/>
  <c r="P180" i="32"/>
  <c r="O180" i="32"/>
  <c r="H180" i="32"/>
  <c r="G180" i="32"/>
  <c r="F180" i="32"/>
  <c r="Q179" i="32"/>
  <c r="P179" i="32"/>
  <c r="O179" i="32"/>
  <c r="H179" i="32"/>
  <c r="G179" i="32"/>
  <c r="F179" i="32"/>
  <c r="Q178" i="32"/>
  <c r="P178" i="32"/>
  <c r="O178" i="32"/>
  <c r="H178" i="32"/>
  <c r="G178" i="32"/>
  <c r="F178" i="32"/>
  <c r="Q166" i="32"/>
  <c r="P166" i="32"/>
  <c r="O166" i="32"/>
  <c r="H166" i="32"/>
  <c r="G166" i="32"/>
  <c r="F166" i="32"/>
  <c r="Q165" i="32"/>
  <c r="P165" i="32"/>
  <c r="O165" i="32"/>
  <c r="H165" i="32"/>
  <c r="G165" i="32"/>
  <c r="F165" i="32"/>
  <c r="Q152" i="32"/>
  <c r="P152" i="32"/>
  <c r="O152" i="32"/>
  <c r="H152" i="32"/>
  <c r="G152" i="32"/>
  <c r="F152" i="32"/>
  <c r="Q151" i="32"/>
  <c r="P151" i="32"/>
  <c r="O151" i="32"/>
  <c r="H151" i="32"/>
  <c r="H150" i="32" s="1"/>
  <c r="G151" i="32"/>
  <c r="G150" i="32" s="1"/>
  <c r="F151" i="32"/>
  <c r="F150" i="32" s="1"/>
  <c r="Q138" i="32"/>
  <c r="P138" i="32"/>
  <c r="O138" i="32"/>
  <c r="H138" i="32"/>
  <c r="G138" i="32"/>
  <c r="F138" i="32"/>
  <c r="P137" i="32"/>
  <c r="P136" i="32" s="1"/>
  <c r="O137" i="32"/>
  <c r="O136" i="32" s="1"/>
  <c r="H137" i="32"/>
  <c r="H136" i="32" s="1"/>
  <c r="G137" i="32"/>
  <c r="G136" i="32" s="1"/>
  <c r="F137" i="32"/>
  <c r="Q124" i="32"/>
  <c r="P124" i="32"/>
  <c r="O124" i="32"/>
  <c r="H124" i="32"/>
  <c r="G124" i="32"/>
  <c r="F124" i="32"/>
  <c r="Q123" i="32"/>
  <c r="Q122" i="32" s="1"/>
  <c r="P123" i="32"/>
  <c r="P122" i="32" s="1"/>
  <c r="O123" i="32"/>
  <c r="H123" i="32"/>
  <c r="H122" i="32" s="1"/>
  <c r="G123" i="32"/>
  <c r="G122" i="32" s="1"/>
  <c r="F123" i="32"/>
  <c r="Q96" i="32"/>
  <c r="P96" i="32"/>
  <c r="O96" i="32"/>
  <c r="H96" i="32"/>
  <c r="G96" i="32"/>
  <c r="F96" i="32"/>
  <c r="Q95" i="32"/>
  <c r="Q94" i="32" s="1"/>
  <c r="P95" i="32"/>
  <c r="P94" i="32" s="1"/>
  <c r="O95" i="32"/>
  <c r="H95" i="32"/>
  <c r="H94" i="32" s="1"/>
  <c r="G95" i="32"/>
  <c r="G94" i="32" s="1"/>
  <c r="F95" i="32"/>
  <c r="F94" i="32" s="1"/>
  <c r="Q82" i="32"/>
  <c r="P82" i="32"/>
  <c r="O82" i="32"/>
  <c r="H82" i="32"/>
  <c r="G82" i="32"/>
  <c r="F82" i="32"/>
  <c r="Q81" i="32"/>
  <c r="Q80" i="32" s="1"/>
  <c r="Q52" i="32" s="1"/>
  <c r="P81" i="32"/>
  <c r="P80" i="32" s="1"/>
  <c r="O81" i="32"/>
  <c r="O80" i="32" s="1"/>
  <c r="H81" i="32"/>
  <c r="H80" i="32" s="1"/>
  <c r="G81" i="32"/>
  <c r="G80" i="32" s="1"/>
  <c r="F81" i="32"/>
  <c r="F80" i="32" s="1"/>
  <c r="Q68" i="32"/>
  <c r="P68" i="32"/>
  <c r="P54" i="32" s="1"/>
  <c r="P194" i="32" s="1"/>
  <c r="P264" i="32" s="1"/>
  <c r="O68" i="32"/>
  <c r="H68" i="32"/>
  <c r="H54" i="32" s="1"/>
  <c r="G67" i="32"/>
  <c r="F68" i="32"/>
  <c r="F54" i="32" s="1"/>
  <c r="H39" i="32"/>
  <c r="G39" i="32"/>
  <c r="F39" i="32"/>
  <c r="H40" i="32"/>
  <c r="H38" i="32" s="1"/>
  <c r="G40" i="32"/>
  <c r="G38" i="32" s="1"/>
  <c r="F40" i="32"/>
  <c r="F38" i="32" s="1"/>
  <c r="H26" i="32"/>
  <c r="G26" i="32"/>
  <c r="F26" i="32"/>
  <c r="H25" i="32"/>
  <c r="H24" i="32" s="1"/>
  <c r="G25" i="32"/>
  <c r="F25" i="32"/>
  <c r="B3" i="32"/>
  <c r="B1" i="32"/>
  <c r="H222" i="31"/>
  <c r="G222" i="31"/>
  <c r="F222" i="31"/>
  <c r="H221" i="31"/>
  <c r="G221" i="31"/>
  <c r="F221" i="31"/>
  <c r="H220" i="31"/>
  <c r="G220" i="31"/>
  <c r="F220" i="31"/>
  <c r="H180" i="31"/>
  <c r="G180" i="31"/>
  <c r="F180" i="31"/>
  <c r="H179" i="31"/>
  <c r="G179" i="31"/>
  <c r="F179" i="31"/>
  <c r="H178" i="31"/>
  <c r="G178" i="31"/>
  <c r="F178" i="31"/>
  <c r="H166" i="31"/>
  <c r="G166" i="31"/>
  <c r="F166" i="31"/>
  <c r="H165" i="31"/>
  <c r="G165" i="31"/>
  <c r="F165" i="31"/>
  <c r="H152" i="31"/>
  <c r="G152" i="31"/>
  <c r="F152" i="31"/>
  <c r="H151" i="31"/>
  <c r="G151" i="31"/>
  <c r="F151" i="31"/>
  <c r="H138" i="31"/>
  <c r="G138" i="31"/>
  <c r="F138" i="31"/>
  <c r="G137" i="31"/>
  <c r="F137" i="31"/>
  <c r="F136" i="31" s="1"/>
  <c r="H124" i="31"/>
  <c r="G124" i="31"/>
  <c r="F124" i="31"/>
  <c r="H123" i="31"/>
  <c r="G123" i="31"/>
  <c r="G122" i="31" s="1"/>
  <c r="H96" i="31"/>
  <c r="G96" i="31"/>
  <c r="F96" i="31"/>
  <c r="H95" i="31"/>
  <c r="G95" i="31"/>
  <c r="G94" i="31" s="1"/>
  <c r="F95" i="31"/>
  <c r="F94" i="31" s="1"/>
  <c r="H82" i="31"/>
  <c r="G82" i="31"/>
  <c r="F82" i="31"/>
  <c r="H81" i="31"/>
  <c r="H80" i="31" s="1"/>
  <c r="G81" i="31"/>
  <c r="G80" i="31" s="1"/>
  <c r="F81" i="31"/>
  <c r="F53" i="31" s="1"/>
  <c r="H68" i="31"/>
  <c r="H54" i="31" s="1"/>
  <c r="G67" i="31"/>
  <c r="F67" i="31"/>
  <c r="H39" i="31"/>
  <c r="G39" i="31"/>
  <c r="F39" i="31"/>
  <c r="H40" i="31"/>
  <c r="H38" i="31" s="1"/>
  <c r="G40" i="31"/>
  <c r="G38" i="31" s="1"/>
  <c r="F40" i="31"/>
  <c r="F38" i="31" s="1"/>
  <c r="H26" i="31"/>
  <c r="G26" i="31"/>
  <c r="F26" i="31"/>
  <c r="H25" i="31"/>
  <c r="H11" i="31" s="1"/>
  <c r="G25" i="31"/>
  <c r="G11" i="31" s="1"/>
  <c r="F25" i="31"/>
  <c r="B3" i="31"/>
  <c r="B1" i="31"/>
  <c r="O25" i="29"/>
  <c r="O11" i="29" s="1"/>
  <c r="P25" i="29"/>
  <c r="P11" i="29" s="1"/>
  <c r="Q25" i="29"/>
  <c r="Q24" i="29" s="1"/>
  <c r="O26" i="29"/>
  <c r="P26" i="29"/>
  <c r="Q26" i="29"/>
  <c r="O40" i="29"/>
  <c r="O38" i="29" s="1"/>
  <c r="P40" i="29"/>
  <c r="P38" i="29" s="1"/>
  <c r="Q40" i="29"/>
  <c r="Q12" i="29" s="1"/>
  <c r="O39" i="29"/>
  <c r="P39" i="29"/>
  <c r="Q39" i="29"/>
  <c r="O67" i="29"/>
  <c r="O81" i="29"/>
  <c r="O80" i="29" s="1"/>
  <c r="P81" i="29"/>
  <c r="Q81" i="29"/>
  <c r="O82" i="29"/>
  <c r="P82" i="29"/>
  <c r="Q82" i="29"/>
  <c r="O95" i="29"/>
  <c r="O94" i="29" s="1"/>
  <c r="P95" i="29"/>
  <c r="P94" i="29" s="1"/>
  <c r="Q95" i="29"/>
  <c r="O96" i="29"/>
  <c r="P96" i="29"/>
  <c r="Q96" i="29"/>
  <c r="O123" i="29"/>
  <c r="O122" i="29" s="1"/>
  <c r="P123" i="29"/>
  <c r="P122" i="29" s="1"/>
  <c r="Q123" i="29"/>
  <c r="O124" i="29"/>
  <c r="P124" i="29"/>
  <c r="Q124" i="29"/>
  <c r="O137" i="29"/>
  <c r="P137" i="29"/>
  <c r="Q137" i="29"/>
  <c r="Q136" i="29" s="1"/>
  <c r="O138" i="29"/>
  <c r="P138" i="29"/>
  <c r="Q138" i="29"/>
  <c r="O151" i="29"/>
  <c r="P151" i="29"/>
  <c r="P150" i="29" s="1"/>
  <c r="Q151" i="29"/>
  <c r="O152" i="29"/>
  <c r="P152" i="29"/>
  <c r="Q152" i="29"/>
  <c r="O165" i="29"/>
  <c r="P165" i="29"/>
  <c r="Q165" i="29"/>
  <c r="O166" i="29"/>
  <c r="P166" i="29"/>
  <c r="Q166" i="29"/>
  <c r="O178" i="29"/>
  <c r="P178" i="29"/>
  <c r="Q178" i="29"/>
  <c r="O179" i="29"/>
  <c r="P179" i="29"/>
  <c r="Q179" i="29"/>
  <c r="O180" i="29"/>
  <c r="P180" i="29"/>
  <c r="Q180" i="29"/>
  <c r="O206" i="29"/>
  <c r="P206" i="29"/>
  <c r="Q206" i="29"/>
  <c r="O207" i="29"/>
  <c r="P207" i="29"/>
  <c r="Q207" i="29"/>
  <c r="O208" i="29"/>
  <c r="P208" i="29"/>
  <c r="Q208" i="29"/>
  <c r="O220" i="29"/>
  <c r="P220" i="29"/>
  <c r="Q220" i="29"/>
  <c r="O221" i="29"/>
  <c r="P221" i="29"/>
  <c r="Q221" i="29"/>
  <c r="O222" i="29"/>
  <c r="P222" i="29"/>
  <c r="Q222" i="29"/>
  <c r="P222" i="30"/>
  <c r="O222" i="30"/>
  <c r="N222" i="30"/>
  <c r="H222" i="30"/>
  <c r="G222" i="30"/>
  <c r="F222" i="30"/>
  <c r="P221" i="30"/>
  <c r="O221" i="30"/>
  <c r="N221" i="30"/>
  <c r="H221" i="30"/>
  <c r="G221" i="30"/>
  <c r="F221" i="30"/>
  <c r="P220" i="30"/>
  <c r="O220" i="30"/>
  <c r="N220" i="30"/>
  <c r="H220" i="30"/>
  <c r="G220" i="30"/>
  <c r="F220" i="30"/>
  <c r="F207" i="30"/>
  <c r="P180" i="30"/>
  <c r="O180" i="30"/>
  <c r="N180" i="30"/>
  <c r="H180" i="30"/>
  <c r="G180" i="30"/>
  <c r="F180" i="30"/>
  <c r="P179" i="30"/>
  <c r="O179" i="30"/>
  <c r="N179" i="30"/>
  <c r="H179" i="30"/>
  <c r="G179" i="30"/>
  <c r="F179" i="30"/>
  <c r="P178" i="30"/>
  <c r="O178" i="30"/>
  <c r="N178" i="30"/>
  <c r="H178" i="30"/>
  <c r="G178" i="30"/>
  <c r="F178" i="30"/>
  <c r="P166" i="30"/>
  <c r="O166" i="30"/>
  <c r="N166" i="30"/>
  <c r="H166" i="30"/>
  <c r="G166" i="30"/>
  <c r="F166" i="30"/>
  <c r="P165" i="30"/>
  <c r="O165" i="30"/>
  <c r="N165" i="30"/>
  <c r="H165" i="30"/>
  <c r="G165" i="30"/>
  <c r="F165" i="30"/>
  <c r="P152" i="30"/>
  <c r="O152" i="30"/>
  <c r="N152" i="30"/>
  <c r="H152" i="30"/>
  <c r="G152" i="30"/>
  <c r="F152" i="30"/>
  <c r="P151" i="30"/>
  <c r="P150" i="30" s="1"/>
  <c r="O151" i="30"/>
  <c r="O150" i="30" s="1"/>
  <c r="N151" i="30"/>
  <c r="H151" i="30"/>
  <c r="H150" i="30" s="1"/>
  <c r="G151" i="30"/>
  <c r="G150" i="30" s="1"/>
  <c r="F151" i="30"/>
  <c r="F150" i="30" s="1"/>
  <c r="P138" i="30"/>
  <c r="O138" i="30"/>
  <c r="N138" i="30"/>
  <c r="H138" i="30"/>
  <c r="G138" i="30"/>
  <c r="F138" i="30"/>
  <c r="P137" i="30"/>
  <c r="P136" i="30" s="1"/>
  <c r="O137" i="30"/>
  <c r="O136" i="30" s="1"/>
  <c r="N137" i="30"/>
  <c r="N136" i="30" s="1"/>
  <c r="H137" i="30"/>
  <c r="G137" i="30"/>
  <c r="G136" i="30" s="1"/>
  <c r="F137" i="30"/>
  <c r="F136" i="30" s="1"/>
  <c r="P124" i="30"/>
  <c r="O124" i="30"/>
  <c r="N124" i="30"/>
  <c r="H124" i="30"/>
  <c r="G124" i="30"/>
  <c r="F124" i="30"/>
  <c r="P123" i="30"/>
  <c r="P122" i="30" s="1"/>
  <c r="O123" i="30"/>
  <c r="O122" i="30" s="1"/>
  <c r="N123" i="30"/>
  <c r="H123" i="30"/>
  <c r="H122" i="30" s="1"/>
  <c r="G123" i="30"/>
  <c r="G122" i="30" s="1"/>
  <c r="F123" i="30"/>
  <c r="F122" i="30" s="1"/>
  <c r="P96" i="30"/>
  <c r="O96" i="30"/>
  <c r="N96" i="30"/>
  <c r="H96" i="30"/>
  <c r="G96" i="30"/>
  <c r="F96" i="30"/>
  <c r="P95" i="30"/>
  <c r="P94" i="30" s="1"/>
  <c r="O95" i="30"/>
  <c r="N95" i="30"/>
  <c r="H95" i="30"/>
  <c r="H94" i="30" s="1"/>
  <c r="G95" i="30"/>
  <c r="G94" i="30" s="1"/>
  <c r="F95" i="30"/>
  <c r="F94" i="30" s="1"/>
  <c r="P82" i="30"/>
  <c r="O82" i="30"/>
  <c r="N82" i="30"/>
  <c r="H82" i="30"/>
  <c r="G82" i="30"/>
  <c r="F82" i="30"/>
  <c r="P81" i="30"/>
  <c r="O81" i="30"/>
  <c r="O80" i="30" s="1"/>
  <c r="N81" i="30"/>
  <c r="N80" i="30" s="1"/>
  <c r="H81" i="30"/>
  <c r="H80" i="30" s="1"/>
  <c r="G81" i="30"/>
  <c r="F81" i="30"/>
  <c r="P68" i="30"/>
  <c r="P54" i="30" s="1"/>
  <c r="O67" i="30"/>
  <c r="O53" i="30" s="1"/>
  <c r="N68" i="30"/>
  <c r="N54" i="30" s="1"/>
  <c r="H68" i="30"/>
  <c r="H54" i="30" s="1"/>
  <c r="G67" i="30"/>
  <c r="F68" i="30"/>
  <c r="F54" i="30" s="1"/>
  <c r="P39" i="30"/>
  <c r="O39" i="30"/>
  <c r="N39" i="30"/>
  <c r="H39" i="30"/>
  <c r="G39" i="30"/>
  <c r="F39" i="30"/>
  <c r="P40" i="30"/>
  <c r="O40" i="30"/>
  <c r="O38" i="30" s="1"/>
  <c r="N40" i="30"/>
  <c r="N38" i="30" s="1"/>
  <c r="H40" i="30"/>
  <c r="H12" i="30" s="1"/>
  <c r="G40" i="30"/>
  <c r="G38" i="30" s="1"/>
  <c r="F40" i="30"/>
  <c r="F12" i="30" s="1"/>
  <c r="P26" i="30"/>
  <c r="O26" i="30"/>
  <c r="N26" i="30"/>
  <c r="H26" i="30"/>
  <c r="G26" i="30"/>
  <c r="F26" i="30"/>
  <c r="P25" i="30"/>
  <c r="P11" i="30" s="1"/>
  <c r="O25" i="30"/>
  <c r="O24" i="30" s="1"/>
  <c r="N25" i="30"/>
  <c r="H25" i="30"/>
  <c r="G25" i="30"/>
  <c r="G11" i="30" s="1"/>
  <c r="F25" i="30"/>
  <c r="F24" i="30" s="1"/>
  <c r="B3" i="30"/>
  <c r="B1" i="30"/>
  <c r="H222" i="29"/>
  <c r="G222" i="29"/>
  <c r="F222" i="29"/>
  <c r="H221" i="29"/>
  <c r="G221" i="29"/>
  <c r="F221" i="29"/>
  <c r="H220" i="29"/>
  <c r="G220" i="29"/>
  <c r="F220" i="29"/>
  <c r="H208" i="29"/>
  <c r="G208" i="29"/>
  <c r="F208" i="29"/>
  <c r="H207" i="29"/>
  <c r="G207" i="29"/>
  <c r="F207" i="29"/>
  <c r="H206" i="29"/>
  <c r="G206" i="29"/>
  <c r="F206" i="29"/>
  <c r="H180" i="29"/>
  <c r="G180" i="29"/>
  <c r="F180" i="29"/>
  <c r="H179" i="29"/>
  <c r="G179" i="29"/>
  <c r="F179" i="29"/>
  <c r="H178" i="29"/>
  <c r="G178" i="29"/>
  <c r="F178" i="29"/>
  <c r="H166" i="29"/>
  <c r="G166" i="29"/>
  <c r="F166" i="29"/>
  <c r="H165" i="29"/>
  <c r="G165" i="29"/>
  <c r="F165" i="29"/>
  <c r="H152" i="29"/>
  <c r="G152" i="29"/>
  <c r="F152" i="29"/>
  <c r="H151" i="29"/>
  <c r="G151" i="29"/>
  <c r="G150" i="29" s="1"/>
  <c r="F151" i="29"/>
  <c r="H138" i="29"/>
  <c r="G138" i="29"/>
  <c r="F138" i="29"/>
  <c r="H137" i="29"/>
  <c r="H109" i="29" s="1"/>
  <c r="H108" i="29" s="1"/>
  <c r="G137" i="29"/>
  <c r="G136" i="29" s="1"/>
  <c r="F137" i="29"/>
  <c r="F136" i="29" s="1"/>
  <c r="H124" i="29"/>
  <c r="G124" i="29"/>
  <c r="F124" i="29"/>
  <c r="H123" i="29"/>
  <c r="H122" i="29" s="1"/>
  <c r="H96" i="29"/>
  <c r="G96" i="29"/>
  <c r="F96" i="29"/>
  <c r="H95" i="29"/>
  <c r="H94" i="29" s="1"/>
  <c r="G95" i="29"/>
  <c r="G94" i="29" s="1"/>
  <c r="F95" i="29"/>
  <c r="F94" i="29" s="1"/>
  <c r="H82" i="29"/>
  <c r="G82" i="29"/>
  <c r="F82" i="29"/>
  <c r="H81" i="29"/>
  <c r="H80" i="29" s="1"/>
  <c r="G81" i="29"/>
  <c r="G80" i="29" s="1"/>
  <c r="F81" i="29"/>
  <c r="F80" i="29" s="1"/>
  <c r="G68" i="29"/>
  <c r="G54" i="29" s="1"/>
  <c r="F68" i="29"/>
  <c r="F54" i="29" s="1"/>
  <c r="H39" i="29"/>
  <c r="G39" i="29"/>
  <c r="F39" i="29"/>
  <c r="H40" i="29"/>
  <c r="H12" i="29" s="1"/>
  <c r="G40" i="29"/>
  <c r="G12" i="29" s="1"/>
  <c r="F40" i="29"/>
  <c r="F12" i="29" s="1"/>
  <c r="H26" i="29"/>
  <c r="G26" i="29"/>
  <c r="F26" i="29"/>
  <c r="H25" i="29"/>
  <c r="H11" i="29" s="1"/>
  <c r="G25" i="29"/>
  <c r="G24" i="29" s="1"/>
  <c r="F25" i="29"/>
  <c r="B3" i="29"/>
  <c r="B1" i="29"/>
  <c r="H164" i="31"/>
  <c r="H110" i="33"/>
  <c r="H164" i="32"/>
  <c r="N94" i="33"/>
  <c r="O122" i="33"/>
  <c r="O150" i="33"/>
  <c r="P150" i="33"/>
  <c r="P110" i="32"/>
  <c r="F110" i="32"/>
  <c r="P110" i="33"/>
  <c r="Q150" i="32"/>
  <c r="G110" i="33"/>
  <c r="F110" i="33"/>
  <c r="P150" i="32"/>
  <c r="G164" i="32"/>
  <c r="Q164" i="32"/>
  <c r="G80" i="33"/>
  <c r="G164" i="33"/>
  <c r="H94" i="31"/>
  <c r="H164" i="33"/>
  <c r="H110" i="32"/>
  <c r="P164" i="33"/>
  <c r="H122" i="33"/>
  <c r="O150" i="32"/>
  <c r="H94" i="33"/>
  <c r="O164" i="32"/>
  <c r="N164" i="33"/>
  <c r="F11" i="31"/>
  <c r="F164" i="32"/>
  <c r="P164" i="32"/>
  <c r="F164" i="33"/>
  <c r="O164" i="33"/>
  <c r="G68" i="31"/>
  <c r="G54" i="31"/>
  <c r="H150" i="31"/>
  <c r="G110" i="32"/>
  <c r="G150" i="31"/>
  <c r="G110" i="31"/>
  <c r="N110" i="33"/>
  <c r="Q110" i="32"/>
  <c r="O110" i="32"/>
  <c r="O110" i="33"/>
  <c r="K51" i="32"/>
  <c r="K52" i="32" s="1"/>
  <c r="O54" i="32"/>
  <c r="O194" i="32" s="1"/>
  <c r="O264" i="32" s="1"/>
  <c r="H67" i="31"/>
  <c r="H53" i="31" s="1"/>
  <c r="G164" i="31"/>
  <c r="Q54" i="32"/>
  <c r="Q194" i="32" s="1"/>
  <c r="Q264" i="32" s="1"/>
  <c r="G12" i="34"/>
  <c r="BH12" i="34"/>
  <c r="H12" i="34"/>
  <c r="BF10" i="34"/>
  <c r="BG12" i="34"/>
  <c r="F12" i="34"/>
  <c r="BF12" i="34"/>
  <c r="G11" i="34"/>
  <c r="BG11" i="34"/>
  <c r="BG10" i="34"/>
  <c r="G10" i="34"/>
  <c r="H11" i="34"/>
  <c r="BH11" i="34"/>
  <c r="F10" i="34"/>
  <c r="F11" i="34"/>
  <c r="BF11" i="34"/>
  <c r="N38" i="33"/>
  <c r="G24" i="33"/>
  <c r="F38" i="33"/>
  <c r="P38" i="33"/>
  <c r="O24" i="33"/>
  <c r="G38" i="33"/>
  <c r="G12" i="33"/>
  <c r="G67" i="33"/>
  <c r="G66" i="33" s="1"/>
  <c r="H67" i="33"/>
  <c r="N67" i="33"/>
  <c r="O67" i="33"/>
  <c r="F67" i="33"/>
  <c r="P67" i="33"/>
  <c r="G24" i="32"/>
  <c r="G11" i="32"/>
  <c r="F24" i="32"/>
  <c r="F11" i="32"/>
  <c r="G68" i="32"/>
  <c r="G54" i="32" s="1"/>
  <c r="F122" i="32"/>
  <c r="O122" i="32"/>
  <c r="Q137" i="32"/>
  <c r="Q136" i="32" s="1"/>
  <c r="H67" i="32"/>
  <c r="O67" i="32"/>
  <c r="P67" i="32"/>
  <c r="F67" i="32"/>
  <c r="Q67" i="32"/>
  <c r="F24" i="31"/>
  <c r="H110" i="31"/>
  <c r="H137" i="31"/>
  <c r="H109" i="31" s="1"/>
  <c r="H108" i="31" s="1"/>
  <c r="F150" i="31"/>
  <c r="F68" i="31"/>
  <c r="F54" i="31"/>
  <c r="F123" i="31"/>
  <c r="F109" i="31" s="1"/>
  <c r="F110" i="31"/>
  <c r="H122" i="31"/>
  <c r="F164" i="31"/>
  <c r="G68" i="30"/>
  <c r="G54" i="30" s="1"/>
  <c r="F206" i="30"/>
  <c r="G164" i="30"/>
  <c r="P164" i="30"/>
  <c r="F208" i="30"/>
  <c r="H164" i="30"/>
  <c r="F164" i="30"/>
  <c r="O164" i="30"/>
  <c r="F80" i="30"/>
  <c r="F110" i="30"/>
  <c r="P80" i="30"/>
  <c r="G110" i="30"/>
  <c r="G80" i="30"/>
  <c r="O68" i="30"/>
  <c r="O54" i="30" s="1"/>
  <c r="N94" i="30"/>
  <c r="O110" i="30"/>
  <c r="N164" i="30"/>
  <c r="N208" i="30"/>
  <c r="N207" i="30"/>
  <c r="N110" i="30"/>
  <c r="O94" i="30"/>
  <c r="N150" i="30"/>
  <c r="H110" i="30"/>
  <c r="P110" i="30"/>
  <c r="O68" i="29"/>
  <c r="O54" i="29" s="1"/>
  <c r="P80" i="29"/>
  <c r="Q80" i="29"/>
  <c r="Q150" i="29"/>
  <c r="Q68" i="29"/>
  <c r="Q54" i="29" s="1"/>
  <c r="Q67" i="29"/>
  <c r="Q53" i="29" s="1"/>
  <c r="P24" i="29"/>
  <c r="O164" i="29"/>
  <c r="O136" i="29"/>
  <c r="Q11" i="29"/>
  <c r="Q110" i="29"/>
  <c r="P67" i="29"/>
  <c r="P68" i="29"/>
  <c r="P54" i="29" s="1"/>
  <c r="Q164" i="29"/>
  <c r="Q122" i="29"/>
  <c r="P164" i="29"/>
  <c r="P110" i="29"/>
  <c r="O110" i="29"/>
  <c r="Q94" i="29"/>
  <c r="H24" i="30"/>
  <c r="H11" i="30"/>
  <c r="O12" i="30"/>
  <c r="N11" i="30"/>
  <c r="N24" i="30"/>
  <c r="P38" i="30"/>
  <c r="P12" i="30"/>
  <c r="F67" i="30"/>
  <c r="N67" i="30"/>
  <c r="N122" i="30"/>
  <c r="H67" i="30"/>
  <c r="H66" i="30" s="1"/>
  <c r="P67" i="30"/>
  <c r="P66" i="30" s="1"/>
  <c r="N206" i="30"/>
  <c r="G207" i="30"/>
  <c r="O207" i="30"/>
  <c r="G208" i="30"/>
  <c r="O208" i="30"/>
  <c r="H207" i="30"/>
  <c r="P207" i="30"/>
  <c r="H208" i="30"/>
  <c r="P208" i="30"/>
  <c r="G164" i="29"/>
  <c r="H38" i="29"/>
  <c r="H136" i="29"/>
  <c r="H150" i="29"/>
  <c r="F67" i="29"/>
  <c r="F53" i="29" s="1"/>
  <c r="F11" i="29"/>
  <c r="F164" i="29"/>
  <c r="H164" i="29"/>
  <c r="H110" i="29"/>
  <c r="F110" i="29"/>
  <c r="F123" i="29"/>
  <c r="F24" i="29"/>
  <c r="H68" i="29"/>
  <c r="H67" i="29"/>
  <c r="G67" i="29"/>
  <c r="G110" i="29"/>
  <c r="G123" i="29"/>
  <c r="G122" i="29" s="1"/>
  <c r="F150" i="29"/>
  <c r="BH10" i="34"/>
  <c r="H10" i="34"/>
  <c r="Q66" i="32"/>
  <c r="H206" i="30"/>
  <c r="G206" i="30"/>
  <c r="O206" i="30"/>
  <c r="P206" i="30"/>
  <c r="F122" i="29"/>
  <c r="H222" i="28"/>
  <c r="G222" i="28"/>
  <c r="F222" i="28"/>
  <c r="H221" i="28"/>
  <c r="G221" i="28"/>
  <c r="F221" i="28"/>
  <c r="H220" i="28"/>
  <c r="G220" i="28"/>
  <c r="F220" i="28"/>
  <c r="H180" i="28"/>
  <c r="G180" i="28"/>
  <c r="F180" i="28"/>
  <c r="H179" i="28"/>
  <c r="G179" i="28"/>
  <c r="F179" i="28"/>
  <c r="H178" i="28"/>
  <c r="G178" i="28"/>
  <c r="F178" i="28"/>
  <c r="H166" i="28"/>
  <c r="G166" i="28"/>
  <c r="F166" i="28"/>
  <c r="H165" i="28"/>
  <c r="G165" i="28"/>
  <c r="F165" i="28"/>
  <c r="H152" i="28"/>
  <c r="G152" i="28"/>
  <c r="F152" i="28"/>
  <c r="H151" i="28"/>
  <c r="H150" i="28" s="1"/>
  <c r="G151" i="28"/>
  <c r="G150" i="28" s="1"/>
  <c r="F151" i="28"/>
  <c r="F150" i="28" s="1"/>
  <c r="H138" i="28"/>
  <c r="G138" i="28"/>
  <c r="F138" i="28"/>
  <c r="H137" i="28"/>
  <c r="G137" i="28"/>
  <c r="F137" i="28"/>
  <c r="F136" i="28" s="1"/>
  <c r="H124" i="28"/>
  <c r="G124" i="28"/>
  <c r="F124" i="28"/>
  <c r="H123" i="28"/>
  <c r="H122" i="28" s="1"/>
  <c r="G123" i="28"/>
  <c r="G122" i="28" s="1"/>
  <c r="F123" i="28"/>
  <c r="F122" i="28" s="1"/>
  <c r="H96" i="28"/>
  <c r="G96" i="28"/>
  <c r="F96" i="28"/>
  <c r="H95" i="28"/>
  <c r="H94" i="28" s="1"/>
  <c r="G95" i="28"/>
  <c r="G94" i="28" s="1"/>
  <c r="F95" i="28"/>
  <c r="F94" i="28" s="1"/>
  <c r="H82" i="28"/>
  <c r="G82" i="28"/>
  <c r="F82" i="28"/>
  <c r="H81" i="28"/>
  <c r="H80" i="28" s="1"/>
  <c r="G81" i="28"/>
  <c r="G80" i="28" s="1"/>
  <c r="F81" i="28"/>
  <c r="F80" i="28" s="1"/>
  <c r="H68" i="28"/>
  <c r="H54" i="28" s="1"/>
  <c r="G68" i="28"/>
  <c r="G54" i="28" s="1"/>
  <c r="F68" i="28"/>
  <c r="F54" i="28" s="1"/>
  <c r="H39" i="28"/>
  <c r="G39" i="28"/>
  <c r="F39" i="28"/>
  <c r="H40" i="28"/>
  <c r="H38" i="28" s="1"/>
  <c r="G40" i="28"/>
  <c r="G38" i="28" s="1"/>
  <c r="F40" i="28"/>
  <c r="F38" i="28" s="1"/>
  <c r="H26" i="28"/>
  <c r="G26" i="28"/>
  <c r="F26" i="28"/>
  <c r="H25" i="28"/>
  <c r="H24" i="28" s="1"/>
  <c r="G25" i="28"/>
  <c r="G24" i="28" s="1"/>
  <c r="F25" i="28"/>
  <c r="F24" i="28" s="1"/>
  <c r="B3" i="28"/>
  <c r="B1" i="28"/>
  <c r="F164" i="28"/>
  <c r="H164" i="28"/>
  <c r="F12" i="28"/>
  <c r="H110" i="28"/>
  <c r="G110" i="28"/>
  <c r="G164" i="28"/>
  <c r="H11" i="28"/>
  <c r="F110" i="28"/>
  <c r="F67" i="28"/>
  <c r="F53" i="28" s="1"/>
  <c r="G67" i="28"/>
  <c r="G66" i="28" s="1"/>
  <c r="G52" i="28" s="1"/>
  <c r="G136" i="28"/>
  <c r="H67" i="28"/>
  <c r="AY9" i="34"/>
  <c r="AY8" i="34"/>
  <c r="AY20" i="34"/>
  <c r="AY16" i="34"/>
  <c r="AY10" i="34"/>
  <c r="AY18" i="34"/>
  <c r="AY11" i="34"/>
  <c r="AY14" i="34"/>
  <c r="AY15" i="34"/>
  <c r="AY12" i="34"/>
  <c r="AY17" i="34"/>
  <c r="AY13" i="34"/>
  <c r="AY19" i="34"/>
  <c r="AX8" i="34"/>
  <c r="AX9" i="34"/>
  <c r="AX18" i="34"/>
  <c r="AX14" i="34"/>
  <c r="AX10" i="34"/>
  <c r="AX16" i="34"/>
  <c r="AX11" i="34"/>
  <c r="AX20" i="34"/>
  <c r="AX12" i="34"/>
  <c r="AX15" i="34"/>
  <c r="AX13" i="34"/>
  <c r="AX17" i="34"/>
  <c r="AX19" i="34"/>
  <c r="AZ8" i="34"/>
  <c r="AZ9" i="34"/>
  <c r="AZ10" i="34"/>
  <c r="AZ15" i="34"/>
  <c r="AZ12" i="34"/>
  <c r="AZ18" i="34"/>
  <c r="AZ16" i="34"/>
  <c r="AZ11" i="34"/>
  <c r="AZ17" i="34"/>
  <c r="AZ13" i="34"/>
  <c r="AZ20" i="34"/>
  <c r="AZ14" i="34"/>
  <c r="AZ19" i="34"/>
  <c r="N247" i="41"/>
  <c r="J338" i="41"/>
  <c r="V94" i="43"/>
  <c r="Q93" i="45"/>
  <c r="Q76" i="45"/>
  <c r="V77" i="43"/>
  <c r="V60" i="43"/>
  <c r="AC93" i="45"/>
  <c r="AH94" i="43"/>
  <c r="Q94" i="45"/>
  <c r="Q97" i="45" s="1"/>
  <c r="V95" i="43"/>
  <c r="Q59" i="45"/>
  <c r="AC76" i="45"/>
  <c r="AH60" i="43"/>
  <c r="AH77" i="43"/>
  <c r="Q77" i="45"/>
  <c r="V78" i="43"/>
  <c r="V61" i="43"/>
  <c r="V247" i="43"/>
  <c r="J78" i="30"/>
  <c r="J64" i="30"/>
  <c r="Q108" i="45"/>
  <c r="V109" i="43"/>
  <c r="AC94" i="45"/>
  <c r="AC101" i="45" s="1"/>
  <c r="AH95" i="43"/>
  <c r="AC348" i="45"/>
  <c r="Q60" i="45"/>
  <c r="BR247" i="43"/>
  <c r="AH247" i="43"/>
  <c r="AC263" i="45"/>
  <c r="Q91" i="45"/>
  <c r="V92" i="43"/>
  <c r="V75" i="43"/>
  <c r="AH78" i="43"/>
  <c r="AH82" i="43" s="1"/>
  <c r="AC77" i="45"/>
  <c r="AC85" i="45" s="1"/>
  <c r="AH61" i="43"/>
  <c r="AC59" i="45"/>
  <c r="V248" i="43"/>
  <c r="V252" i="43" s="1"/>
  <c r="R78" i="30"/>
  <c r="J79" i="30"/>
  <c r="J65" i="30"/>
  <c r="J71" i="30" s="1"/>
  <c r="V262" i="43"/>
  <c r="R64" i="30"/>
  <c r="AC108" i="45"/>
  <c r="AH109" i="43"/>
  <c r="AH92" i="43"/>
  <c r="AH75" i="43"/>
  <c r="AC91" i="45"/>
  <c r="BR248" i="43"/>
  <c r="BR253" i="43" s="1"/>
  <c r="AH248" i="43"/>
  <c r="AH254" i="43" s="1"/>
  <c r="Q74" i="45"/>
  <c r="AC60" i="45"/>
  <c r="J76" i="30"/>
  <c r="R79" i="30"/>
  <c r="J90" i="30"/>
  <c r="BR262" i="43"/>
  <c r="AH262" i="43"/>
  <c r="AC349" i="45"/>
  <c r="AC361" i="45" s="1"/>
  <c r="J205" i="28"/>
  <c r="J205" i="30"/>
  <c r="J207" i="30" s="1"/>
  <c r="J204" i="30"/>
  <c r="J204" i="28"/>
  <c r="AC74" i="45"/>
  <c r="R90" i="30"/>
  <c r="R65" i="30"/>
  <c r="R71" i="30" s="1"/>
  <c r="R204" i="30"/>
  <c r="N204" i="28"/>
  <c r="AC363" i="45"/>
  <c r="R76" i="30"/>
  <c r="J216" i="30"/>
  <c r="J216" i="28"/>
  <c r="R205" i="30"/>
  <c r="R207" i="30" s="1"/>
  <c r="N205" i="28"/>
  <c r="N211" i="28" s="1"/>
  <c r="N216" i="28"/>
  <c r="R216" i="30"/>
  <c r="Y110" i="37"/>
  <c r="Y59" i="37"/>
  <c r="AA195" i="37"/>
  <c r="Z195" i="37"/>
  <c r="Y195" i="37"/>
  <c r="AA229" i="37"/>
  <c r="Z229" i="37"/>
  <c r="Y229" i="37"/>
  <c r="AA178" i="37"/>
  <c r="Z178" i="37"/>
  <c r="Y178" i="37"/>
  <c r="AA212" i="37"/>
  <c r="Z212" i="37"/>
  <c r="Y212" i="37"/>
  <c r="AA127" i="37"/>
  <c r="Z127" i="37"/>
  <c r="Y127" i="37"/>
  <c r="AA93" i="37"/>
  <c r="Z93" i="37"/>
  <c r="Y93" i="37"/>
  <c r="Z76" i="37"/>
  <c r="Y76" i="37"/>
  <c r="AA42" i="37"/>
  <c r="Z42" i="37"/>
  <c r="Y42" i="37"/>
  <c r="AA25" i="37"/>
  <c r="Z25" i="37"/>
  <c r="Y25" i="37"/>
  <c r="U59" i="37"/>
  <c r="W195" i="37"/>
  <c r="V195" i="37"/>
  <c r="U195" i="37"/>
  <c r="W229" i="37"/>
  <c r="V229" i="37"/>
  <c r="U229" i="37"/>
  <c r="W178" i="37"/>
  <c r="V178" i="37"/>
  <c r="U178" i="37"/>
  <c r="W212" i="37"/>
  <c r="V212" i="37"/>
  <c r="U212" i="37"/>
  <c r="W42" i="37"/>
  <c r="V42" i="37"/>
  <c r="U42" i="37"/>
  <c r="W25" i="37"/>
  <c r="V25" i="37"/>
  <c r="U25" i="37"/>
  <c r="S195" i="37"/>
  <c r="R195" i="37"/>
  <c r="Q195" i="37"/>
  <c r="S229" i="37"/>
  <c r="R229" i="37"/>
  <c r="Q229" i="37"/>
  <c r="S178" i="37"/>
  <c r="R178" i="37"/>
  <c r="Q178" i="37"/>
  <c r="S212" i="37"/>
  <c r="R212" i="37"/>
  <c r="Q212" i="37"/>
  <c r="S127" i="37"/>
  <c r="R127" i="37"/>
  <c r="Q127" i="37"/>
  <c r="S93" i="37"/>
  <c r="R93" i="37"/>
  <c r="Q93" i="37"/>
  <c r="S76" i="37"/>
  <c r="R76" i="37"/>
  <c r="Q76" i="37"/>
  <c r="S42" i="37"/>
  <c r="R42" i="37"/>
  <c r="Q42" i="37"/>
  <c r="S25" i="37"/>
  <c r="R25" i="37"/>
  <c r="Q25" i="37"/>
  <c r="O195" i="37"/>
  <c r="N195" i="37"/>
  <c r="M195" i="37"/>
  <c r="O229" i="37"/>
  <c r="N229" i="37"/>
  <c r="M229" i="37"/>
  <c r="O178" i="37"/>
  <c r="N178" i="37"/>
  <c r="M178" i="37"/>
  <c r="O212" i="37"/>
  <c r="N212" i="37"/>
  <c r="M212" i="37"/>
  <c r="O144" i="37"/>
  <c r="AI144" i="41" s="1"/>
  <c r="AQ144" i="41" s="1"/>
  <c r="N144" i="37"/>
  <c r="AH144" i="41" s="1"/>
  <c r="AP144" i="41" s="1"/>
  <c r="M144" i="37"/>
  <c r="AG144" i="41" s="1"/>
  <c r="AO144" i="41" s="1"/>
  <c r="O127" i="37"/>
  <c r="N127" i="37"/>
  <c r="M127" i="37"/>
  <c r="O93" i="37"/>
  <c r="N93" i="37"/>
  <c r="M93" i="37"/>
  <c r="O76" i="37"/>
  <c r="N76" i="37"/>
  <c r="M76" i="37"/>
  <c r="O42" i="37"/>
  <c r="N42" i="37"/>
  <c r="M42" i="37"/>
  <c r="O25" i="37"/>
  <c r="N25" i="37"/>
  <c r="M25" i="37"/>
  <c r="J263" i="37"/>
  <c r="K195" i="37"/>
  <c r="J195" i="37"/>
  <c r="I195" i="37"/>
  <c r="K229" i="37"/>
  <c r="J229" i="37"/>
  <c r="I229" i="37"/>
  <c r="K178" i="37"/>
  <c r="J178" i="37"/>
  <c r="I178" i="37"/>
  <c r="K212" i="37"/>
  <c r="J212" i="37"/>
  <c r="I212" i="37"/>
  <c r="K144" i="37"/>
  <c r="O144" i="41" s="1"/>
  <c r="J144" i="37"/>
  <c r="N144" i="41" s="1"/>
  <c r="I144" i="37"/>
  <c r="M144" i="41" s="1"/>
  <c r="K127" i="37"/>
  <c r="J127" i="37"/>
  <c r="I127" i="37"/>
  <c r="K93" i="37"/>
  <c r="J93" i="37"/>
  <c r="I93" i="37"/>
  <c r="K76" i="37"/>
  <c r="J76" i="37"/>
  <c r="I76" i="37"/>
  <c r="K42" i="37"/>
  <c r="J42" i="37"/>
  <c r="I42" i="37"/>
  <c r="K25" i="37"/>
  <c r="J25" i="37"/>
  <c r="I25" i="37"/>
  <c r="G263" i="37"/>
  <c r="G195" i="37"/>
  <c r="F195" i="37"/>
  <c r="E195" i="37"/>
  <c r="G229" i="37"/>
  <c r="F229" i="37"/>
  <c r="E229" i="37"/>
  <c r="G178" i="37"/>
  <c r="F178" i="37"/>
  <c r="E178" i="37"/>
  <c r="G212" i="37"/>
  <c r="F212" i="37"/>
  <c r="E212" i="37"/>
  <c r="G144" i="37"/>
  <c r="K144" i="41" s="1"/>
  <c r="F144" i="37"/>
  <c r="J144" i="41" s="1"/>
  <c r="E144" i="37"/>
  <c r="I144" i="41" s="1"/>
  <c r="G127" i="37"/>
  <c r="F127" i="37"/>
  <c r="E127" i="37"/>
  <c r="G93" i="37"/>
  <c r="F93" i="37"/>
  <c r="E93" i="37"/>
  <c r="G76" i="37"/>
  <c r="F76" i="37"/>
  <c r="E76" i="37"/>
  <c r="G42" i="37"/>
  <c r="F42" i="37"/>
  <c r="E42" i="37"/>
  <c r="G25" i="37"/>
  <c r="F25" i="37"/>
  <c r="E25" i="37"/>
  <c r="BM59" i="45"/>
  <c r="BN60" i="45"/>
  <c r="BN110" i="45"/>
  <c r="BN59" i="45"/>
  <c r="BN74" i="45"/>
  <c r="BO110" i="45"/>
  <c r="BO125" i="45"/>
  <c r="BM162" i="45"/>
  <c r="BM165" i="45" s="1"/>
  <c r="BO59" i="45"/>
  <c r="BO74" i="45"/>
  <c r="BM111" i="45"/>
  <c r="BM161" i="45"/>
  <c r="BN162" i="45"/>
  <c r="BN171" i="45" s="1"/>
  <c r="BM60" i="45"/>
  <c r="BM110" i="45"/>
  <c r="BN111" i="45"/>
  <c r="BN117" i="45" s="1"/>
  <c r="BN161" i="45"/>
  <c r="BN176" i="45"/>
  <c r="BO162" i="45"/>
  <c r="BO174" i="45" s="1"/>
  <c r="AF8" i="34"/>
  <c r="W76" i="37"/>
  <c r="U127" i="37"/>
  <c r="AL8" i="34"/>
  <c r="BO111" i="45"/>
  <c r="BO117" i="45" s="1"/>
  <c r="V76" i="37"/>
  <c r="AE8" i="34"/>
  <c r="W93" i="37"/>
  <c r="AJ8" i="34"/>
  <c r="BO60" i="45"/>
  <c r="U76" i="37"/>
  <c r="AD8" i="34"/>
  <c r="AI8" i="34"/>
  <c r="V93" i="37"/>
  <c r="AN8" i="34"/>
  <c r="W127" i="37"/>
  <c r="BN125" i="45"/>
  <c r="BO161" i="45"/>
  <c r="BO176" i="45"/>
  <c r="U93" i="37"/>
  <c r="AH8" i="34"/>
  <c r="AM8" i="34"/>
  <c r="V127" i="37"/>
  <c r="W230" i="37"/>
  <c r="W242" i="37" s="1"/>
  <c r="R230" i="37"/>
  <c r="R241" i="37" s="1"/>
  <c r="S179" i="37"/>
  <c r="S186" i="37" s="1"/>
  <c r="S128" i="37"/>
  <c r="S136" i="37" s="1"/>
  <c r="S77" i="37"/>
  <c r="O196" i="37"/>
  <c r="N179" i="37"/>
  <c r="N184" i="37" s="1"/>
  <c r="N213" i="37"/>
  <c r="N220" i="37" s="1"/>
  <c r="N77" i="37"/>
  <c r="N43" i="37"/>
  <c r="F179" i="37"/>
  <c r="R43" i="37"/>
  <c r="S213" i="37"/>
  <c r="S226" i="37" s="1"/>
  <c r="R196" i="37"/>
  <c r="R204" i="37" s="1"/>
  <c r="V230" i="37"/>
  <c r="W196" i="37"/>
  <c r="W201" i="37" s="1"/>
  <c r="Z77" i="37"/>
  <c r="Z85" i="37" s="1"/>
  <c r="AA94" i="37"/>
  <c r="AA99" i="37" s="1"/>
  <c r="Z213" i="37"/>
  <c r="Z225" i="37" s="1"/>
  <c r="AA179" i="37"/>
  <c r="R77" i="37"/>
  <c r="S94" i="37"/>
  <c r="R213" i="37"/>
  <c r="R224" i="37" s="1"/>
  <c r="N94" i="37"/>
  <c r="R94" i="37"/>
  <c r="R107" i="37" s="1"/>
  <c r="R179" i="37"/>
  <c r="S230" i="37"/>
  <c r="S239" i="37" s="1"/>
  <c r="V43" i="37"/>
  <c r="W43" i="37"/>
  <c r="W50" i="37" s="1"/>
  <c r="W213" i="37"/>
  <c r="V196" i="37"/>
  <c r="V203" i="37" s="1"/>
  <c r="V213" i="37"/>
  <c r="V221" i="37" s="1"/>
  <c r="W179" i="37"/>
  <c r="Z94" i="37"/>
  <c r="AA128" i="37"/>
  <c r="Z179" i="37"/>
  <c r="AA230" i="37"/>
  <c r="AA237" i="37" s="1"/>
  <c r="N230" i="37"/>
  <c r="S43" i="37"/>
  <c r="R128" i="37"/>
  <c r="S196" i="37"/>
  <c r="V179" i="37"/>
  <c r="V185" i="37" s="1"/>
  <c r="AA43" i="37"/>
  <c r="AA46" i="37" s="1"/>
  <c r="Z128" i="37"/>
  <c r="Z230" i="37"/>
  <c r="Z239" i="37" s="1"/>
  <c r="AA196" i="37"/>
  <c r="AA205" i="37" s="1"/>
  <c r="Z43" i="37"/>
  <c r="AA213" i="37"/>
  <c r="AA226" i="37" s="1"/>
  <c r="Z196" i="37"/>
  <c r="V26" i="37"/>
  <c r="V31" i="37" s="1"/>
  <c r="K246" i="31"/>
  <c r="BN331" i="45"/>
  <c r="V227" i="37"/>
  <c r="W26" i="37"/>
  <c r="K134" i="31"/>
  <c r="K120" i="31"/>
  <c r="W244" i="37"/>
  <c r="W210" i="37"/>
  <c r="Z244" i="37"/>
  <c r="AA26" i="37"/>
  <c r="Z26" i="37"/>
  <c r="Z33" i="37" s="1"/>
  <c r="R244" i="37"/>
  <c r="R91" i="37"/>
  <c r="S26" i="37"/>
  <c r="R26" i="37"/>
  <c r="R31" i="37" s="1"/>
  <c r="N227" i="37"/>
  <c r="N57" i="37"/>
  <c r="N26" i="37"/>
  <c r="J26" i="37"/>
  <c r="F26" i="37"/>
  <c r="F30" i="37" s="1"/>
  <c r="I145" i="37"/>
  <c r="I153" i="37" s="1"/>
  <c r="M145" i="37"/>
  <c r="M158" i="37" s="1"/>
  <c r="E145" i="37"/>
  <c r="E148" i="37" s="1"/>
  <c r="BM331" i="45"/>
  <c r="J246" i="31"/>
  <c r="J232" i="31"/>
  <c r="J134" i="31"/>
  <c r="J162" i="31"/>
  <c r="J120" i="31"/>
  <c r="M77" i="37"/>
  <c r="Q77" i="37"/>
  <c r="Q89" i="37" s="1"/>
  <c r="M128" i="37"/>
  <c r="M141" i="37" s="1"/>
  <c r="Y213" i="37"/>
  <c r="U26" i="37"/>
  <c r="I94" i="37"/>
  <c r="E77" i="37"/>
  <c r="E80" i="37" s="1"/>
  <c r="E179" i="37"/>
  <c r="E182" i="37" s="1"/>
  <c r="M213" i="37"/>
  <c r="M217" i="37" s="1"/>
  <c r="I43" i="37"/>
  <c r="I46" i="37" s="1"/>
  <c r="I213" i="37"/>
  <c r="I218" i="37" s="1"/>
  <c r="E196" i="37"/>
  <c r="E199" i="37" s="1"/>
  <c r="Q26" i="37"/>
  <c r="E213" i="37"/>
  <c r="E216" i="37" s="1"/>
  <c r="I179" i="37"/>
  <c r="Y77" i="37"/>
  <c r="Y83" i="37" s="1"/>
  <c r="Y26" i="37"/>
  <c r="Y37" i="37" s="1"/>
  <c r="Q213" i="37"/>
  <c r="Q221" i="37" s="1"/>
  <c r="E94" i="37"/>
  <c r="U213" i="37"/>
  <c r="I230" i="37"/>
  <c r="I235" i="37" s="1"/>
  <c r="I196" i="37"/>
  <c r="I199" i="37" s="1"/>
  <c r="I26" i="37"/>
  <c r="I31" i="37" s="1"/>
  <c r="E230" i="37"/>
  <c r="E43" i="37"/>
  <c r="E55" i="37" s="1"/>
  <c r="E26" i="37"/>
  <c r="U179" i="37"/>
  <c r="U184" i="37" s="1"/>
  <c r="Y196" i="37"/>
  <c r="Y205" i="37" s="1"/>
  <c r="Y94" i="37"/>
  <c r="Y43" i="37"/>
  <c r="U230" i="37"/>
  <c r="U238" i="37" s="1"/>
  <c r="Q94" i="37"/>
  <c r="Q101" i="37" s="1"/>
  <c r="Q43" i="37"/>
  <c r="Q51" i="37" s="1"/>
  <c r="U196" i="37"/>
  <c r="U199" i="37" s="1"/>
  <c r="E128" i="37"/>
  <c r="E131" i="37" s="1"/>
  <c r="Q230" i="37"/>
  <c r="Q237" i="37" s="1"/>
  <c r="U43" i="37"/>
  <c r="Y230" i="37"/>
  <c r="Y234" i="37" s="1"/>
  <c r="I128" i="37"/>
  <c r="I139" i="37" s="1"/>
  <c r="M179" i="37"/>
  <c r="Q196" i="37"/>
  <c r="M26" i="37"/>
  <c r="M94" i="37"/>
  <c r="M196" i="37"/>
  <c r="Q128" i="37"/>
  <c r="Q140" i="37" s="1"/>
  <c r="M230" i="37"/>
  <c r="M234" i="37" s="1"/>
  <c r="Q179" i="37"/>
  <c r="Q188" i="37" s="1"/>
  <c r="Y128" i="37"/>
  <c r="Y179" i="37"/>
  <c r="Y185" i="37" s="1"/>
  <c r="M43" i="37"/>
  <c r="Q91" i="37"/>
  <c r="I77" i="37"/>
  <c r="BM93" i="45"/>
  <c r="AC93" i="37"/>
  <c r="BR94" i="43"/>
  <c r="V8" i="34"/>
  <c r="BM195" i="45"/>
  <c r="AC195" i="37"/>
  <c r="BR230" i="43"/>
  <c r="R8" i="34"/>
  <c r="K8" i="34"/>
  <c r="W8" i="34"/>
  <c r="AD229" i="37"/>
  <c r="BS162" i="43"/>
  <c r="BN229" i="45"/>
  <c r="W94" i="37"/>
  <c r="W101" i="37" s="1"/>
  <c r="W128" i="37"/>
  <c r="BR111" i="43"/>
  <c r="BM127" i="45"/>
  <c r="AC127" i="37"/>
  <c r="J8" i="34"/>
  <c r="E8" i="37"/>
  <c r="BR77" i="43"/>
  <c r="BM76" i="45"/>
  <c r="BR60" i="43"/>
  <c r="AC76" i="37"/>
  <c r="BM314" i="45"/>
  <c r="BR298" i="43"/>
  <c r="AD195" i="37"/>
  <c r="BN195" i="45"/>
  <c r="BS230" i="43"/>
  <c r="BS179" i="43"/>
  <c r="BN144" i="45"/>
  <c r="AD144" i="37"/>
  <c r="V128" i="37"/>
  <c r="V137" i="37" s="1"/>
  <c r="BT230" i="43"/>
  <c r="AE195" i="37"/>
  <c r="BO195" i="45"/>
  <c r="AH9" i="34"/>
  <c r="AH18" i="34" s="1"/>
  <c r="U94" i="37"/>
  <c r="U99" i="37" s="1"/>
  <c r="U128" i="37"/>
  <c r="U132" i="37" s="1"/>
  <c r="AL9" i="34"/>
  <c r="AC178" i="37"/>
  <c r="BR196" i="43"/>
  <c r="BM178" i="45"/>
  <c r="N8" i="34"/>
  <c r="J148" i="31"/>
  <c r="O8" i="34"/>
  <c r="S8" i="34"/>
  <c r="AI9" i="34"/>
  <c r="AI14" i="34" s="1"/>
  <c r="V94" i="37"/>
  <c r="W77" i="37"/>
  <c r="W88" i="37" s="1"/>
  <c r="S131" i="37"/>
  <c r="AD9" i="34"/>
  <c r="AD11" i="34" s="1"/>
  <c r="U77" i="37"/>
  <c r="BR162" i="43"/>
  <c r="BM229" i="45"/>
  <c r="AC229" i="37"/>
  <c r="BR281" i="43"/>
  <c r="BR264" i="43"/>
  <c r="AC42" i="37"/>
  <c r="BR43" i="43"/>
  <c r="BM42" i="45"/>
  <c r="BR26" i="43"/>
  <c r="AC25" i="37"/>
  <c r="BM25" i="45"/>
  <c r="BR128" i="43"/>
  <c r="AC212" i="37"/>
  <c r="BR145" i="43"/>
  <c r="BM212" i="45"/>
  <c r="AC144" i="37"/>
  <c r="BR179" i="43"/>
  <c r="BM144" i="45"/>
  <c r="BN178" i="45"/>
  <c r="AD178" i="37"/>
  <c r="BS196" i="43"/>
  <c r="BN127" i="45"/>
  <c r="AD127" i="37"/>
  <c r="BS111" i="43"/>
  <c r="AE9" i="34"/>
  <c r="V77" i="37"/>
  <c r="O120" i="31"/>
  <c r="W40" i="37"/>
  <c r="S244" i="37"/>
  <c r="V244" i="37"/>
  <c r="AA244" i="37"/>
  <c r="Z193" i="37"/>
  <c r="V210" i="37"/>
  <c r="Z210" i="37"/>
  <c r="AA142" i="37"/>
  <c r="W227" i="37"/>
  <c r="N108" i="37"/>
  <c r="S227" i="37"/>
  <c r="Z91" i="37"/>
  <c r="Z57" i="37"/>
  <c r="W193" i="37"/>
  <c r="Z227" i="37"/>
  <c r="R57" i="37"/>
  <c r="AA108" i="37"/>
  <c r="S91" i="37"/>
  <c r="S142" i="37"/>
  <c r="S57" i="37"/>
  <c r="W57" i="37"/>
  <c r="F193" i="37"/>
  <c r="V57" i="37"/>
  <c r="BO8" i="34"/>
  <c r="K162" i="31"/>
  <c r="O246" i="31"/>
  <c r="K232" i="31"/>
  <c r="CE8" i="34"/>
  <c r="BW8" i="34"/>
  <c r="Q108" i="37"/>
  <c r="Y210" i="37"/>
  <c r="U210" i="37"/>
  <c r="AA227" i="37"/>
  <c r="AA210" i="37"/>
  <c r="R193" i="37"/>
  <c r="U40" i="37"/>
  <c r="K162" i="28"/>
  <c r="K134" i="28"/>
  <c r="O134" i="31"/>
  <c r="Y40" i="37"/>
  <c r="U57" i="37"/>
  <c r="Q40" i="37"/>
  <c r="Q210" i="37"/>
  <c r="S108" i="37"/>
  <c r="AA57" i="37"/>
  <c r="N244" i="37"/>
  <c r="AA193" i="37"/>
  <c r="R210" i="37"/>
  <c r="N193" i="37"/>
  <c r="S193" i="37"/>
  <c r="Z40" i="37"/>
  <c r="V193" i="37"/>
  <c r="R227" i="37"/>
  <c r="CF8" i="34"/>
  <c r="Z142" i="37"/>
  <c r="S210" i="37"/>
  <c r="K92" i="28"/>
  <c r="R108" i="37"/>
  <c r="R142" i="37"/>
  <c r="K78" i="31"/>
  <c r="BK8" i="34"/>
  <c r="BS8" i="34"/>
  <c r="CA8" i="34"/>
  <c r="U227" i="37"/>
  <c r="U193" i="37"/>
  <c r="Q227" i="37"/>
  <c r="Y108" i="37"/>
  <c r="BW9" i="34"/>
  <c r="K92" i="31"/>
  <c r="Z108" i="37"/>
  <c r="J36" i="28"/>
  <c r="BX8" i="34"/>
  <c r="Q142" i="37"/>
  <c r="U244" i="37"/>
  <c r="Y91" i="37"/>
  <c r="Y244" i="37"/>
  <c r="Y227" i="37"/>
  <c r="Q57" i="37"/>
  <c r="J64" i="28"/>
  <c r="N9" i="34"/>
  <c r="N40" i="37"/>
  <c r="R40" i="37"/>
  <c r="AA40" i="37"/>
  <c r="Y57" i="37"/>
  <c r="BM332" i="45"/>
  <c r="N134" i="31"/>
  <c r="J120" i="28"/>
  <c r="V40" i="37"/>
  <c r="Y193" i="37"/>
  <c r="Q244" i="37"/>
  <c r="Y142" i="37"/>
  <c r="Q193" i="37"/>
  <c r="CB8" i="34"/>
  <c r="J40" i="37"/>
  <c r="S40" i="37"/>
  <c r="F40" i="37"/>
  <c r="J78" i="31"/>
  <c r="J232" i="28"/>
  <c r="J162" i="28"/>
  <c r="BR315" i="43"/>
  <c r="BV8" i="34"/>
  <c r="BN8" i="34"/>
  <c r="BR8" i="34"/>
  <c r="BZ8" i="34"/>
  <c r="CD8" i="34"/>
  <c r="J78" i="28"/>
  <c r="J148" i="28"/>
  <c r="BJ8" i="34"/>
  <c r="J134" i="28"/>
  <c r="J92" i="28"/>
  <c r="J246" i="28"/>
  <c r="J22" i="28"/>
  <c r="N162" i="31"/>
  <c r="N120" i="31"/>
  <c r="F128" i="37"/>
  <c r="K78" i="28"/>
  <c r="K64" i="31"/>
  <c r="J145" i="37"/>
  <c r="J213" i="37"/>
  <c r="J230" i="37"/>
  <c r="J239" i="37" s="1"/>
  <c r="N145" i="37"/>
  <c r="AH145" i="41" s="1"/>
  <c r="F77" i="37"/>
  <c r="N128" i="37"/>
  <c r="N196" i="37"/>
  <c r="F43" i="37"/>
  <c r="F56" i="37" s="1"/>
  <c r="G145" i="37"/>
  <c r="G157" i="37" s="1"/>
  <c r="K145" i="37"/>
  <c r="J196" i="37"/>
  <c r="N246" i="31"/>
  <c r="J64" i="31"/>
  <c r="J92" i="31"/>
  <c r="F230" i="37"/>
  <c r="F235" i="37" s="1"/>
  <c r="G196" i="37"/>
  <c r="G205" i="37" s="1"/>
  <c r="N148" i="31"/>
  <c r="F94" i="37"/>
  <c r="F106" i="37" s="1"/>
  <c r="F145" i="37"/>
  <c r="F157" i="37" s="1"/>
  <c r="F196" i="37"/>
  <c r="F213" i="37"/>
  <c r="J94" i="37"/>
  <c r="J77" i="37"/>
  <c r="J43" i="37"/>
  <c r="J52" i="37" s="1"/>
  <c r="J128" i="37"/>
  <c r="J179" i="37"/>
  <c r="K196" i="37"/>
  <c r="BN179" i="45"/>
  <c r="BN191" i="45" s="1"/>
  <c r="BS197" i="43"/>
  <c r="BS210" i="43" s="1"/>
  <c r="AD179" i="37"/>
  <c r="AD183" i="37" s="1"/>
  <c r="BM94" i="45"/>
  <c r="BM97" i="45" s="1"/>
  <c r="AC94" i="37"/>
  <c r="AC98" i="37" s="1"/>
  <c r="BR95" i="43"/>
  <c r="BR102" i="43" s="1"/>
  <c r="BR163" i="43"/>
  <c r="BR168" i="43" s="1"/>
  <c r="BM230" i="45"/>
  <c r="BM235" i="45" s="1"/>
  <c r="AC230" i="37"/>
  <c r="AC238" i="37" s="1"/>
  <c r="BM77" i="45"/>
  <c r="BM80" i="45" s="1"/>
  <c r="BR61" i="43"/>
  <c r="AC77" i="37"/>
  <c r="AC86" i="37" s="1"/>
  <c r="BR78" i="43"/>
  <c r="U91" i="37"/>
  <c r="BM43" i="45"/>
  <c r="BR44" i="43"/>
  <c r="AC43" i="37"/>
  <c r="AC47" i="37" s="1"/>
  <c r="V9" i="34"/>
  <c r="V16" i="34" s="1"/>
  <c r="BR299" i="43"/>
  <c r="BR310" i="43" s="1"/>
  <c r="BM315" i="45"/>
  <c r="W142" i="37"/>
  <c r="N91" i="41"/>
  <c r="N91" i="37"/>
  <c r="AI20" i="34"/>
  <c r="V108" i="37"/>
  <c r="AM9" i="34"/>
  <c r="AM14" i="34" s="1"/>
  <c r="BN212" i="45"/>
  <c r="BS145" i="43"/>
  <c r="BS128" i="43"/>
  <c r="AD212" i="37"/>
  <c r="AD42" i="37"/>
  <c r="BS43" i="43"/>
  <c r="BN42" i="45"/>
  <c r="BN25" i="45"/>
  <c r="BS26" i="43"/>
  <c r="AD25" i="37"/>
  <c r="BR180" i="43"/>
  <c r="BM145" i="45"/>
  <c r="BM151" i="45" s="1"/>
  <c r="AC145" i="37"/>
  <c r="BR9" i="43"/>
  <c r="BM8" i="45"/>
  <c r="BR197" i="43"/>
  <c r="BR210" i="43" s="1"/>
  <c r="AC179" i="37"/>
  <c r="BM179" i="45"/>
  <c r="BM185" i="45" s="1"/>
  <c r="BS282" i="43"/>
  <c r="BS295" i="43" s="1"/>
  <c r="W108" i="37"/>
  <c r="AE20" i="34"/>
  <c r="V91" i="37"/>
  <c r="BN76" i="45"/>
  <c r="BS60" i="43"/>
  <c r="AD76" i="37"/>
  <c r="BS77" i="43"/>
  <c r="BM196" i="45"/>
  <c r="BM201" i="45" s="1"/>
  <c r="AC196" i="37"/>
  <c r="AC207" i="37" s="1"/>
  <c r="BR231" i="43"/>
  <c r="BR243" i="43" s="1"/>
  <c r="AC128" i="37"/>
  <c r="AC131" i="37" s="1"/>
  <c r="BM128" i="45"/>
  <c r="BM131" i="45" s="1"/>
  <c r="BR112" i="43"/>
  <c r="BR27" i="43"/>
  <c r="AC26" i="37"/>
  <c r="AC34" i="37" s="1"/>
  <c r="BM26" i="45"/>
  <c r="R9" i="34"/>
  <c r="J9" i="34"/>
  <c r="E9" i="37"/>
  <c r="K148" i="31"/>
  <c r="AT8" i="34"/>
  <c r="J260" i="31"/>
  <c r="BN314" i="45"/>
  <c r="BS298" i="43"/>
  <c r="BS94" i="43"/>
  <c r="BN93" i="45"/>
  <c r="AD93" i="37"/>
  <c r="BS281" i="43"/>
  <c r="BS264" i="43"/>
  <c r="U108" i="37"/>
  <c r="BR282" i="43"/>
  <c r="BR265" i="43"/>
  <c r="BR269" i="43" s="1"/>
  <c r="AC213" i="37"/>
  <c r="AC218" i="37" s="1"/>
  <c r="BR129" i="43"/>
  <c r="BR133" i="43" s="1"/>
  <c r="BM213" i="45"/>
  <c r="BR146" i="43"/>
  <c r="BR149" i="43" s="1"/>
  <c r="U142" i="37"/>
  <c r="V142" i="37"/>
  <c r="W91" i="37"/>
  <c r="O232" i="31"/>
  <c r="BR9" i="34"/>
  <c r="BR11" i="34" s="1"/>
  <c r="O148" i="31"/>
  <c r="N64" i="28"/>
  <c r="O162" i="31"/>
  <c r="O121" i="31"/>
  <c r="O124" i="31" s="1"/>
  <c r="K121" i="31"/>
  <c r="K233" i="31"/>
  <c r="K242" i="31" s="1"/>
  <c r="CB9" i="34"/>
  <c r="K135" i="31"/>
  <c r="K144" i="31" s="1"/>
  <c r="BJ9" i="34"/>
  <c r="BJ10" i="34" s="1"/>
  <c r="J233" i="31"/>
  <c r="J240" i="31" s="1"/>
  <c r="J65" i="31"/>
  <c r="J67" i="31" s="1"/>
  <c r="O134" i="28"/>
  <c r="BK20" i="34"/>
  <c r="J121" i="31"/>
  <c r="J122" i="31" s="1"/>
  <c r="BW20" i="34"/>
  <c r="O162" i="28"/>
  <c r="BV9" i="34"/>
  <c r="BX20" i="34"/>
  <c r="N92" i="28"/>
  <c r="K163" i="31"/>
  <c r="K172" i="31" s="1"/>
  <c r="CA9" i="34"/>
  <c r="J163" i="28"/>
  <c r="J164" i="28" s="1"/>
  <c r="N134" i="28"/>
  <c r="BS20" i="34"/>
  <c r="BS9" i="34"/>
  <c r="BS18" i="34" s="1"/>
  <c r="J8" i="28"/>
  <c r="N148" i="28"/>
  <c r="BN9" i="34"/>
  <c r="J93" i="28"/>
  <c r="J99" i="28" s="1"/>
  <c r="O92" i="28"/>
  <c r="O78" i="31"/>
  <c r="J65" i="28"/>
  <c r="J67" i="28" s="1"/>
  <c r="BO20" i="34"/>
  <c r="BO9" i="34"/>
  <c r="O135" i="31"/>
  <c r="O142" i="31" s="1"/>
  <c r="N135" i="31"/>
  <c r="N136" i="31" s="1"/>
  <c r="BR316" i="43"/>
  <c r="BR327" i="43" s="1"/>
  <c r="BV20" i="34"/>
  <c r="J247" i="28"/>
  <c r="N78" i="28"/>
  <c r="CB20" i="34"/>
  <c r="J79" i="31"/>
  <c r="N36" i="28"/>
  <c r="CH8" i="34"/>
  <c r="J135" i="28"/>
  <c r="J138" i="28" s="1"/>
  <c r="O92" i="31"/>
  <c r="J260" i="28"/>
  <c r="N22" i="28"/>
  <c r="J23" i="28"/>
  <c r="J24" i="28" s="1"/>
  <c r="N120" i="28"/>
  <c r="J247" i="31"/>
  <c r="CD20" i="34"/>
  <c r="N232" i="31"/>
  <c r="N247" i="31"/>
  <c r="N162" i="28"/>
  <c r="J233" i="28"/>
  <c r="BX9" i="34"/>
  <c r="BK9" i="34"/>
  <c r="N78" i="31"/>
  <c r="J135" i="31"/>
  <c r="J136" i="31" s="1"/>
  <c r="J93" i="31"/>
  <c r="J96" i="31" s="1"/>
  <c r="J121" i="28"/>
  <c r="CA20" i="34"/>
  <c r="CF9" i="34"/>
  <c r="CF20" i="34"/>
  <c r="J91" i="37"/>
  <c r="F244" i="37"/>
  <c r="N159" i="37"/>
  <c r="AH159" i="41" s="1"/>
  <c r="AP159" i="41" s="1"/>
  <c r="J193" i="37"/>
  <c r="J108" i="37"/>
  <c r="F91" i="37"/>
  <c r="J244" i="37"/>
  <c r="J159" i="37"/>
  <c r="N159" i="41" s="1"/>
  <c r="N92" i="31"/>
  <c r="N210" i="37"/>
  <c r="O64" i="31"/>
  <c r="F142" i="37"/>
  <c r="J142" i="37"/>
  <c r="N64" i="31"/>
  <c r="O78" i="28"/>
  <c r="N246" i="28"/>
  <c r="F210" i="37"/>
  <c r="F227" i="37"/>
  <c r="F159" i="37"/>
  <c r="J159" i="41" s="1"/>
  <c r="J210" i="37"/>
  <c r="F57" i="37"/>
  <c r="J227" i="37"/>
  <c r="CE9" i="34"/>
  <c r="CE12" i="34" s="1"/>
  <c r="CE20" i="34"/>
  <c r="J163" i="31"/>
  <c r="J165" i="31" s="1"/>
  <c r="BZ9" i="34"/>
  <c r="BZ20" i="34"/>
  <c r="AP8" i="34"/>
  <c r="K132" i="31"/>
  <c r="K233" i="28"/>
  <c r="K239" i="28" s="1"/>
  <c r="K246" i="28"/>
  <c r="BS315" i="43"/>
  <c r="J79" i="28"/>
  <c r="J80" i="28" s="1"/>
  <c r="CD9" i="34"/>
  <c r="K148" i="28"/>
  <c r="N142" i="37"/>
  <c r="K36" i="28"/>
  <c r="K247" i="31"/>
  <c r="K254" i="31" s="1"/>
  <c r="BN332" i="45"/>
  <c r="BN336" i="45" s="1"/>
  <c r="K93" i="31"/>
  <c r="K120" i="28"/>
  <c r="K64" i="28"/>
  <c r="N232" i="28"/>
  <c r="K163" i="28"/>
  <c r="K232" i="28"/>
  <c r="K22" i="28"/>
  <c r="AQ8" i="34"/>
  <c r="K65" i="31"/>
  <c r="K71" i="31" s="1"/>
  <c r="K79" i="31"/>
  <c r="K88" i="31" s="1"/>
  <c r="L148" i="28"/>
  <c r="F108" i="37"/>
  <c r="J57" i="37"/>
  <c r="J149" i="28"/>
  <c r="BN196" i="45"/>
  <c r="BN203" i="45" s="1"/>
  <c r="AD196" i="37"/>
  <c r="BS231" i="43"/>
  <c r="BS239" i="43" s="1"/>
  <c r="BO196" i="45"/>
  <c r="BO208" i="45" s="1"/>
  <c r="BT231" i="43"/>
  <c r="AE196" i="37"/>
  <c r="AE205" i="37" s="1"/>
  <c r="J29" i="28"/>
  <c r="AM20" i="34"/>
  <c r="W9" i="34"/>
  <c r="AD77" i="37"/>
  <c r="AD86" i="37" s="1"/>
  <c r="BS78" i="43"/>
  <c r="BS90" i="43" s="1"/>
  <c r="BN77" i="45"/>
  <c r="BN84" i="45" s="1"/>
  <c r="BS61" i="43"/>
  <c r="BS69" i="43" s="1"/>
  <c r="BS180" i="43"/>
  <c r="BN145" i="45"/>
  <c r="AD145" i="37"/>
  <c r="BS129" i="43"/>
  <c r="AD213" i="37"/>
  <c r="AD226" i="37" s="1"/>
  <c r="BN213" i="45"/>
  <c r="BN218" i="45" s="1"/>
  <c r="BS146" i="43"/>
  <c r="BS27" i="43"/>
  <c r="BS34" i="43" s="1"/>
  <c r="BN26" i="45"/>
  <c r="AD26" i="37"/>
  <c r="AD31" i="37" s="1"/>
  <c r="BN128" i="45"/>
  <c r="BN135" i="45" s="1"/>
  <c r="AD128" i="37"/>
  <c r="BS112" i="43"/>
  <c r="BN193" i="45"/>
  <c r="AD193" i="37"/>
  <c r="BS211" i="43"/>
  <c r="AU8" i="34"/>
  <c r="K260" i="31"/>
  <c r="J149" i="31"/>
  <c r="J154" i="31" s="1"/>
  <c r="BN8" i="45"/>
  <c r="BS9" i="43"/>
  <c r="F9" i="37"/>
  <c r="K9" i="34"/>
  <c r="K16" i="34" s="1"/>
  <c r="BS296" i="43"/>
  <c r="BS44" i="43"/>
  <c r="BN43" i="45"/>
  <c r="BN55" i="45" s="1"/>
  <c r="AD43" i="37"/>
  <c r="S9" i="34"/>
  <c r="O9" i="34"/>
  <c r="O12" i="34" s="1"/>
  <c r="BN94" i="45"/>
  <c r="AD94" i="37"/>
  <c r="AD102" i="37" s="1"/>
  <c r="BS95" i="43"/>
  <c r="BM9" i="45"/>
  <c r="BM13" i="45" s="1"/>
  <c r="BR10" i="43"/>
  <c r="BS163" i="43"/>
  <c r="BN230" i="45"/>
  <c r="AD230" i="37"/>
  <c r="AD237" i="37" s="1"/>
  <c r="BS299" i="43"/>
  <c r="BN315" i="45"/>
  <c r="BS265" i="43"/>
  <c r="BS278" i="43" s="1"/>
  <c r="K244" i="31"/>
  <c r="K174" i="31"/>
  <c r="O260" i="31"/>
  <c r="O93" i="28"/>
  <c r="O163" i="28"/>
  <c r="O165" i="28" s="1"/>
  <c r="O93" i="31"/>
  <c r="O94" i="31" s="1"/>
  <c r="N65" i="28"/>
  <c r="N68" i="28" s="1"/>
  <c r="N163" i="28"/>
  <c r="N169" i="28" s="1"/>
  <c r="N121" i="28"/>
  <c r="N127" i="28" s="1"/>
  <c r="N79" i="31"/>
  <c r="N81" i="31" s="1"/>
  <c r="N260" i="31"/>
  <c r="N8" i="28"/>
  <c r="N135" i="28"/>
  <c r="N136" i="28" s="1"/>
  <c r="CI8" i="34"/>
  <c r="N79" i="28"/>
  <c r="K93" i="28"/>
  <c r="K104" i="31"/>
  <c r="J261" i="28"/>
  <c r="J264" i="28" s="1"/>
  <c r="N121" i="31"/>
  <c r="N127" i="31" s="1"/>
  <c r="O233" i="31"/>
  <c r="N93" i="31"/>
  <c r="N95" i="31" s="1"/>
  <c r="BN346" i="45"/>
  <c r="N93" i="28"/>
  <c r="N96" i="28" s="1"/>
  <c r="N65" i="31"/>
  <c r="N68" i="31" s="1"/>
  <c r="N247" i="28"/>
  <c r="K76" i="31"/>
  <c r="N260" i="28"/>
  <c r="K258" i="31"/>
  <c r="O36" i="28"/>
  <c r="O64" i="28"/>
  <c r="O246" i="28"/>
  <c r="AP9" i="34"/>
  <c r="AP16" i="34" s="1"/>
  <c r="K90" i="31"/>
  <c r="O132" i="31"/>
  <c r="O120" i="28"/>
  <c r="O148" i="28"/>
  <c r="N233" i="31"/>
  <c r="N235" i="31" s="1"/>
  <c r="N163" i="31"/>
  <c r="N23" i="28"/>
  <c r="N37" i="28"/>
  <c r="N40" i="28" s="1"/>
  <c r="O233" i="28"/>
  <c r="K260" i="28"/>
  <c r="O232" i="28"/>
  <c r="K23" i="28"/>
  <c r="K121" i="28"/>
  <c r="K135" i="28"/>
  <c r="K140" i="28" s="1"/>
  <c r="K48" i="28"/>
  <c r="O247" i="31"/>
  <c r="K79" i="28"/>
  <c r="O79" i="28"/>
  <c r="O149" i="31"/>
  <c r="N233" i="28"/>
  <c r="K247" i="28"/>
  <c r="K174" i="28"/>
  <c r="BS316" i="43"/>
  <c r="BS329" i="43" s="1"/>
  <c r="K146" i="31"/>
  <c r="K65" i="28"/>
  <c r="O65" i="28"/>
  <c r="O72" i="28" s="1"/>
  <c r="K8" i="28"/>
  <c r="O22" i="28"/>
  <c r="O121" i="28"/>
  <c r="O124" i="28" s="1"/>
  <c r="K244" i="28"/>
  <c r="O163" i="31"/>
  <c r="N149" i="28"/>
  <c r="O65" i="31"/>
  <c r="O72" i="31" s="1"/>
  <c r="N149" i="31"/>
  <c r="O79" i="31"/>
  <c r="O81" i="31" s="1"/>
  <c r="P148" i="28"/>
  <c r="K149" i="28"/>
  <c r="K158" i="28" s="1"/>
  <c r="L149" i="28"/>
  <c r="L154" i="28" s="1"/>
  <c r="K149" i="31"/>
  <c r="K158" i="31" s="1"/>
  <c r="AD91" i="37"/>
  <c r="BS75" i="43"/>
  <c r="BS92" i="43"/>
  <c r="BN91" i="45"/>
  <c r="BS143" i="43"/>
  <c r="AD227" i="37"/>
  <c r="BS160" i="43"/>
  <c r="BN227" i="45"/>
  <c r="BN329" i="45"/>
  <c r="BS313" i="43"/>
  <c r="J37" i="28"/>
  <c r="J39" i="28" s="1"/>
  <c r="J9" i="28"/>
  <c r="K20" i="34"/>
  <c r="BS126" i="43"/>
  <c r="BN142" i="45"/>
  <c r="AD142" i="37"/>
  <c r="BN210" i="45"/>
  <c r="AD210" i="37"/>
  <c r="BS245" i="43"/>
  <c r="AD108" i="37"/>
  <c r="BN108" i="45"/>
  <c r="BS109" i="43"/>
  <c r="AD57" i="37"/>
  <c r="BS58" i="43"/>
  <c r="BN57" i="45"/>
  <c r="O20" i="34"/>
  <c r="W20" i="34"/>
  <c r="BN9" i="45"/>
  <c r="BN18" i="45" s="1"/>
  <c r="BS10" i="43"/>
  <c r="BS21" i="43" s="1"/>
  <c r="BN244" i="45"/>
  <c r="AD244" i="37"/>
  <c r="BS177" i="43"/>
  <c r="AU9" i="34"/>
  <c r="K261" i="31"/>
  <c r="BN40" i="45"/>
  <c r="BS41" i="43"/>
  <c r="AD40" i="37"/>
  <c r="CH9" i="34"/>
  <c r="CH15" i="34" s="1"/>
  <c r="BS279" i="43"/>
  <c r="AD159" i="37"/>
  <c r="BN159" i="45"/>
  <c r="BS194" i="43"/>
  <c r="AT9" i="34"/>
  <c r="AT11" i="34" s="1"/>
  <c r="J261" i="31"/>
  <c r="S20" i="34"/>
  <c r="O104" i="31"/>
  <c r="O174" i="28"/>
  <c r="K104" i="28"/>
  <c r="O244" i="31"/>
  <c r="BS330" i="43"/>
  <c r="O146" i="31"/>
  <c r="O37" i="28"/>
  <c r="O44" i="28" s="1"/>
  <c r="O90" i="31"/>
  <c r="K76" i="28"/>
  <c r="O8" i="28"/>
  <c r="N261" i="31"/>
  <c r="N266" i="31" s="1"/>
  <c r="N261" i="28"/>
  <c r="N262" i="28" s="1"/>
  <c r="O160" i="31"/>
  <c r="K132" i="28"/>
  <c r="K34" i="28"/>
  <c r="O174" i="31"/>
  <c r="K90" i="28"/>
  <c r="K146" i="28"/>
  <c r="O260" i="28"/>
  <c r="N9" i="28"/>
  <c r="CI9" i="34"/>
  <c r="K261" i="28"/>
  <c r="K258" i="28"/>
  <c r="O23" i="28"/>
  <c r="O90" i="28"/>
  <c r="O104" i="28"/>
  <c r="O244" i="28"/>
  <c r="O132" i="28"/>
  <c r="O76" i="28"/>
  <c r="O247" i="28"/>
  <c r="O256" i="28" s="1"/>
  <c r="O261" i="31"/>
  <c r="O258" i="31"/>
  <c r="O135" i="28"/>
  <c r="K160" i="28"/>
  <c r="CI20" i="34"/>
  <c r="O76" i="31"/>
  <c r="O149" i="28"/>
  <c r="O151" i="28" s="1"/>
  <c r="P149" i="28"/>
  <c r="K37" i="28"/>
  <c r="K9" i="28"/>
  <c r="K14" i="28" s="1"/>
  <c r="AU20" i="34"/>
  <c r="K272" i="31"/>
  <c r="BN23" i="45"/>
  <c r="BS24" i="43"/>
  <c r="K160" i="31"/>
  <c r="AQ9" i="34"/>
  <c r="K20" i="28"/>
  <c r="O48" i="28"/>
  <c r="O272" i="31"/>
  <c r="O146" i="28"/>
  <c r="O9" i="28"/>
  <c r="K272" i="28"/>
  <c r="O34" i="28"/>
  <c r="O261" i="28"/>
  <c r="O262" i="28" s="1"/>
  <c r="O258" i="28"/>
  <c r="O160" i="28"/>
  <c r="AQ20" i="34"/>
  <c r="O272" i="28"/>
  <c r="O20" i="28"/>
  <c r="G159" i="37"/>
  <c r="K159" i="41" s="1"/>
  <c r="K159" i="37"/>
  <c r="O159" i="41" s="1"/>
  <c r="AE144" i="37"/>
  <c r="BT179" i="43"/>
  <c r="BO144" i="45"/>
  <c r="L148" i="31"/>
  <c r="O145" i="37"/>
  <c r="L160" i="28"/>
  <c r="BO145" i="45"/>
  <c r="BO154" i="45" s="1"/>
  <c r="BT180" i="43"/>
  <c r="BT192" i="43" s="1"/>
  <c r="AE145" i="37"/>
  <c r="L149" i="31"/>
  <c r="L154" i="31" s="1"/>
  <c r="O159" i="37"/>
  <c r="AI159" i="41" s="1"/>
  <c r="AQ159" i="41" s="1"/>
  <c r="AE159" i="37"/>
  <c r="BO159" i="45"/>
  <c r="BT194" i="43"/>
  <c r="L160" i="31"/>
  <c r="G230" i="37"/>
  <c r="G77" i="37"/>
  <c r="G80" i="37" s="1"/>
  <c r="G26" i="37"/>
  <c r="O213" i="37"/>
  <c r="K230" i="37"/>
  <c r="K235" i="37" s="1"/>
  <c r="G94" i="37"/>
  <c r="G99" i="37" s="1"/>
  <c r="K77" i="37"/>
  <c r="K43" i="37"/>
  <c r="K94" i="37"/>
  <c r="K98" i="37" s="1"/>
  <c r="G43" i="37"/>
  <c r="G51" i="37" s="1"/>
  <c r="K26" i="37"/>
  <c r="K179" i="37"/>
  <c r="G213" i="37"/>
  <c r="K213" i="37"/>
  <c r="K222" i="37" s="1"/>
  <c r="O77" i="37"/>
  <c r="AF9" i="34"/>
  <c r="AF18" i="34" s="1"/>
  <c r="O128" i="37"/>
  <c r="O132" i="37" s="1"/>
  <c r="AN9" i="34"/>
  <c r="K210" i="37"/>
  <c r="K128" i="37"/>
  <c r="K141" i="37" s="1"/>
  <c r="O230" i="37"/>
  <c r="O26" i="37"/>
  <c r="O39" i="37" s="1"/>
  <c r="G210" i="37"/>
  <c r="G244" i="37"/>
  <c r="G108" i="37"/>
  <c r="O227" i="37"/>
  <c r="G128" i="37"/>
  <c r="G135" i="37" s="1"/>
  <c r="O210" i="37"/>
  <c r="K193" i="37"/>
  <c r="G179" i="37"/>
  <c r="G190" i="37" s="1"/>
  <c r="T8" i="34"/>
  <c r="G227" i="37"/>
  <c r="K108" i="37"/>
  <c r="O43" i="37"/>
  <c r="O49" i="37" s="1"/>
  <c r="K244" i="37"/>
  <c r="K227" i="37"/>
  <c r="T9" i="34"/>
  <c r="T12" i="34" s="1"/>
  <c r="O179" i="37"/>
  <c r="BO331" i="45"/>
  <c r="O91" i="37"/>
  <c r="O91" i="41"/>
  <c r="AF20" i="34"/>
  <c r="AE178" i="37"/>
  <c r="BT196" i="43"/>
  <c r="BO178" i="45"/>
  <c r="BO213" i="45"/>
  <c r="BO226" i="45" s="1"/>
  <c r="BT146" i="43"/>
  <c r="AE213" i="37"/>
  <c r="AE219" i="37" s="1"/>
  <c r="BO314" i="45"/>
  <c r="BT298" i="43"/>
  <c r="BT264" i="43"/>
  <c r="BT281" i="43"/>
  <c r="BT111" i="43"/>
  <c r="BO127" i="45"/>
  <c r="AE127" i="37"/>
  <c r="X8" i="34"/>
  <c r="O142" i="37"/>
  <c r="AN20" i="34"/>
  <c r="AE93" i="37"/>
  <c r="BO93" i="45"/>
  <c r="BT94" i="43"/>
  <c r="O94" i="37"/>
  <c r="AJ9" i="34"/>
  <c r="BO25" i="45"/>
  <c r="BT26" i="43"/>
  <c r="AE25" i="37"/>
  <c r="BT43" i="43"/>
  <c r="BO42" i="45"/>
  <c r="AE42" i="37"/>
  <c r="P8" i="34"/>
  <c r="AE76" i="37"/>
  <c r="BT77" i="43"/>
  <c r="BO76" i="45"/>
  <c r="BT60" i="43"/>
  <c r="BT145" i="43"/>
  <c r="BT128" i="43"/>
  <c r="BO212" i="45"/>
  <c r="AE212" i="37"/>
  <c r="L8" i="34"/>
  <c r="AE77" i="37"/>
  <c r="BT78" i="43"/>
  <c r="BO77" i="45"/>
  <c r="BO83" i="45" s="1"/>
  <c r="L9" i="34"/>
  <c r="G9" i="37"/>
  <c r="BO229" i="45"/>
  <c r="BT162" i="43"/>
  <c r="AE229" i="37"/>
  <c r="O40" i="37"/>
  <c r="O244" i="37"/>
  <c r="O193" i="37"/>
  <c r="G193" i="37"/>
  <c r="O57" i="37"/>
  <c r="L135" i="28"/>
  <c r="L141" i="28" s="1"/>
  <c r="L162" i="31"/>
  <c r="L134" i="28"/>
  <c r="L65" i="28"/>
  <c r="BO332" i="45"/>
  <c r="L36" i="28"/>
  <c r="L121" i="28"/>
  <c r="L130" i="28" s="1"/>
  <c r="L120" i="28"/>
  <c r="P9" i="34"/>
  <c r="L233" i="28"/>
  <c r="L234" i="28" s="1"/>
  <c r="L246" i="31"/>
  <c r="L232" i="31"/>
  <c r="L78" i="31"/>
  <c r="L22" i="28"/>
  <c r="L162" i="28"/>
  <c r="L79" i="28"/>
  <c r="BT61" i="43"/>
  <c r="BT67" i="43" s="1"/>
  <c r="L64" i="31"/>
  <c r="L93" i="31"/>
  <c r="L102" i="31" s="1"/>
  <c r="L232" i="28"/>
  <c r="L92" i="31"/>
  <c r="L65" i="31"/>
  <c r="L67" i="31" s="1"/>
  <c r="BT315" i="43"/>
  <c r="L247" i="28"/>
  <c r="L250" i="28" s="1"/>
  <c r="L78" i="28"/>
  <c r="L246" i="28"/>
  <c r="L92" i="28"/>
  <c r="L134" i="31"/>
  <c r="L64" i="28"/>
  <c r="AE43" i="37"/>
  <c r="BO43" i="45"/>
  <c r="BO46" i="45" s="1"/>
  <c r="BT44" i="43"/>
  <c r="BT265" i="43"/>
  <c r="BT278" i="43" s="1"/>
  <c r="BT282" i="43"/>
  <c r="BT160" i="43"/>
  <c r="AE227" i="37"/>
  <c r="BO227" i="45"/>
  <c r="O108" i="37"/>
  <c r="AJ20" i="34"/>
  <c r="L120" i="31"/>
  <c r="BO94" i="45"/>
  <c r="BT95" i="43"/>
  <c r="AE94" i="37"/>
  <c r="AE105" i="37" s="1"/>
  <c r="X9" i="34"/>
  <c r="X10" i="34" s="1"/>
  <c r="AE26" i="37"/>
  <c r="BO26" i="45"/>
  <c r="BO39" i="45" s="1"/>
  <c r="BT27" i="43"/>
  <c r="BT34" i="43" s="1"/>
  <c r="AE210" i="37"/>
  <c r="BO210" i="45"/>
  <c r="BT245" i="43"/>
  <c r="BT9" i="43"/>
  <c r="BO8" i="45"/>
  <c r="BT299" i="43"/>
  <c r="BO315" i="45"/>
  <c r="BO322" i="45" s="1"/>
  <c r="AE179" i="37"/>
  <c r="BO179" i="45"/>
  <c r="BO190" i="45" s="1"/>
  <c r="BT197" i="43"/>
  <c r="AE128" i="37"/>
  <c r="AE141" i="37" s="1"/>
  <c r="BO128" i="45"/>
  <c r="BT112" i="43"/>
  <c r="BT119" i="43" s="1"/>
  <c r="BO230" i="45"/>
  <c r="BO237" i="45" s="1"/>
  <c r="BT163" i="43"/>
  <c r="AE230" i="37"/>
  <c r="AE236" i="37" s="1"/>
  <c r="L121" i="31"/>
  <c r="L128" i="31" s="1"/>
  <c r="BT129" i="43"/>
  <c r="BT133" i="43" s="1"/>
  <c r="BO346" i="45"/>
  <c r="L163" i="28"/>
  <c r="BT316" i="43"/>
  <c r="BT329" i="43" s="1"/>
  <c r="L93" i="28"/>
  <c r="L98" i="28" s="1"/>
  <c r="L247" i="31"/>
  <c r="L253" i="31" s="1"/>
  <c r="L104" i="31"/>
  <c r="L260" i="28"/>
  <c r="L132" i="28"/>
  <c r="L233" i="31"/>
  <c r="AR8" i="34"/>
  <c r="L163" i="31"/>
  <c r="L8" i="28"/>
  <c r="L23" i="28"/>
  <c r="L32" i="28" s="1"/>
  <c r="L244" i="28"/>
  <c r="L79" i="31"/>
  <c r="L146" i="28"/>
  <c r="L76" i="31"/>
  <c r="L258" i="28"/>
  <c r="L90" i="28"/>
  <c r="L135" i="31"/>
  <c r="L132" i="31"/>
  <c r="AV8" i="34"/>
  <c r="L260" i="31"/>
  <c r="BO108" i="45"/>
  <c r="AE108" i="37"/>
  <c r="BT109" i="43"/>
  <c r="BT313" i="43"/>
  <c r="BO329" i="45"/>
  <c r="BO244" i="45"/>
  <c r="BT177" i="43"/>
  <c r="AE244" i="37"/>
  <c r="BO9" i="45"/>
  <c r="BO20" i="45" s="1"/>
  <c r="BT10" i="43"/>
  <c r="BT13" i="43" s="1"/>
  <c r="BT279" i="43"/>
  <c r="BT296" i="43"/>
  <c r="BO193" i="45"/>
  <c r="AE193" i="37"/>
  <c r="BT211" i="43"/>
  <c r="BT143" i="43"/>
  <c r="L244" i="31"/>
  <c r="L174" i="28"/>
  <c r="L258" i="31"/>
  <c r="L261" i="28"/>
  <c r="L174" i="31"/>
  <c r="BT330" i="43"/>
  <c r="L90" i="31"/>
  <c r="AR9" i="34"/>
  <c r="AR18" i="34" s="1"/>
  <c r="L272" i="28"/>
  <c r="L146" i="31"/>
  <c r="AV9" i="34"/>
  <c r="AV12" i="34" s="1"/>
  <c r="L261" i="31"/>
  <c r="L264" i="31" s="1"/>
  <c r="L9" i="28"/>
  <c r="L18" i="28" s="1"/>
  <c r="L37" i="28"/>
  <c r="AR20" i="34"/>
  <c r="L272" i="31"/>
  <c r="AV20" i="34"/>
  <c r="BL8" i="34"/>
  <c r="P246" i="28"/>
  <c r="P134" i="28"/>
  <c r="P92" i="31"/>
  <c r="P78" i="28"/>
  <c r="BP8" i="34"/>
  <c r="P246" i="31"/>
  <c r="P120" i="31"/>
  <c r="P120" i="28"/>
  <c r="P64" i="28"/>
  <c r="BT8" i="34"/>
  <c r="P162" i="28"/>
  <c r="P79" i="28"/>
  <c r="P85" i="28" s="1"/>
  <c r="P247" i="28"/>
  <c r="P250" i="28" s="1"/>
  <c r="BT9" i="34"/>
  <c r="P232" i="28"/>
  <c r="P135" i="28"/>
  <c r="P138" i="28" s="1"/>
  <c r="P36" i="28"/>
  <c r="BL9" i="34"/>
  <c r="BL10" i="34" s="1"/>
  <c r="P121" i="31"/>
  <c r="P22" i="28"/>
  <c r="BP9" i="34"/>
  <c r="P121" i="28"/>
  <c r="P123" i="28" s="1"/>
  <c r="P162" i="31"/>
  <c r="P163" i="28"/>
  <c r="P166" i="28" s="1"/>
  <c r="P92" i="28"/>
  <c r="P134" i="31"/>
  <c r="P247" i="31"/>
  <c r="P254" i="31" s="1"/>
  <c r="CJ8" i="34"/>
  <c r="P148" i="31"/>
  <c r="P64" i="31"/>
  <c r="P78" i="31"/>
  <c r="P93" i="31"/>
  <c r="P95" i="31" s="1"/>
  <c r="P260" i="28"/>
  <c r="P65" i="28"/>
  <c r="P71" i="28" s="1"/>
  <c r="P160" i="28"/>
  <c r="P8" i="28"/>
  <c r="P37" i="28"/>
  <c r="P40" i="28" s="1"/>
  <c r="P163" i="31"/>
  <c r="P232" i="31"/>
  <c r="CJ9" i="34"/>
  <c r="CJ11" i="34" s="1"/>
  <c r="P23" i="28"/>
  <c r="P29" i="28" s="1"/>
  <c r="P79" i="31"/>
  <c r="P88" i="31" s="1"/>
  <c r="BT20" i="34"/>
  <c r="P93" i="28"/>
  <c r="P149" i="31"/>
  <c r="P233" i="28"/>
  <c r="P238" i="28" s="1"/>
  <c r="P65" i="31"/>
  <c r="P135" i="31"/>
  <c r="P258" i="28"/>
  <c r="P132" i="28"/>
  <c r="P174" i="28"/>
  <c r="P260" i="31"/>
  <c r="P160" i="31"/>
  <c r="P9" i="28"/>
  <c r="P12" i="28" s="1"/>
  <c r="P258" i="31"/>
  <c r="P261" i="28"/>
  <c r="P266" i="28" s="1"/>
  <c r="P132" i="31"/>
  <c r="P90" i="31"/>
  <c r="P233" i="31"/>
  <c r="P90" i="28"/>
  <c r="P146" i="28"/>
  <c r="P244" i="28"/>
  <c r="P146" i="31"/>
  <c r="P174" i="31"/>
  <c r="P104" i="31"/>
  <c r="P261" i="31"/>
  <c r="P244" i="31"/>
  <c r="P272" i="28"/>
  <c r="P76" i="31"/>
  <c r="P272" i="31"/>
  <c r="K57" i="37"/>
  <c r="K91" i="37"/>
  <c r="K40" i="37"/>
  <c r="K142" i="37"/>
  <c r="BP20" i="34"/>
  <c r="T20" i="34"/>
  <c r="X20" i="34"/>
  <c r="G40" i="37"/>
  <c r="G57" i="37"/>
  <c r="G142" i="37"/>
  <c r="G91" i="37"/>
  <c r="BT41" i="43"/>
  <c r="AE40" i="37"/>
  <c r="BO40" i="45"/>
  <c r="L20" i="34"/>
  <c r="P20" i="34"/>
  <c r="BO57" i="45"/>
  <c r="BT58" i="43"/>
  <c r="AE57" i="37"/>
  <c r="L48" i="28"/>
  <c r="L34" i="28"/>
  <c r="BL20" i="34"/>
  <c r="BO23" i="45"/>
  <c r="BT24" i="43"/>
  <c r="BO142" i="45"/>
  <c r="BT126" i="43"/>
  <c r="AE142" i="37"/>
  <c r="BT92" i="43"/>
  <c r="BO91" i="45"/>
  <c r="BT75" i="43"/>
  <c r="AE91" i="37"/>
  <c r="L20" i="28"/>
  <c r="L76" i="28"/>
  <c r="CJ20" i="34"/>
  <c r="P34" i="28"/>
  <c r="L104" i="28"/>
  <c r="P76" i="28"/>
  <c r="P104" i="28"/>
  <c r="P48" i="28"/>
  <c r="P20" i="28"/>
  <c r="E159" i="37"/>
  <c r="I159" i="41" s="1"/>
  <c r="I159" i="37"/>
  <c r="M159" i="41" s="1"/>
  <c r="J160" i="28"/>
  <c r="N160" i="28"/>
  <c r="M193" i="37"/>
  <c r="M227" i="37"/>
  <c r="M57" i="37"/>
  <c r="E227" i="37"/>
  <c r="I210" i="37"/>
  <c r="M244" i="37"/>
  <c r="I244" i="37"/>
  <c r="I108" i="37"/>
  <c r="E193" i="37"/>
  <c r="I227" i="37"/>
  <c r="M210" i="37"/>
  <c r="E57" i="37"/>
  <c r="I193" i="37"/>
  <c r="E108" i="37"/>
  <c r="E244" i="37"/>
  <c r="E210" i="37"/>
  <c r="I57" i="37"/>
  <c r="BM346" i="45"/>
  <c r="BR279" i="43"/>
  <c r="BR296" i="43"/>
  <c r="AC244" i="37"/>
  <c r="BR177" i="43"/>
  <c r="BM244" i="45"/>
  <c r="BM193" i="45"/>
  <c r="AC193" i="37"/>
  <c r="BR211" i="43"/>
  <c r="AC210" i="37"/>
  <c r="BR245" i="43"/>
  <c r="BM210" i="45"/>
  <c r="BM57" i="45"/>
  <c r="AC57" i="37"/>
  <c r="BR58" i="43"/>
  <c r="BR160" i="43"/>
  <c r="AC227" i="37"/>
  <c r="BM227" i="45"/>
  <c r="BR313" i="43"/>
  <c r="BM329" i="45"/>
  <c r="J132" i="28"/>
  <c r="J174" i="31"/>
  <c r="J146" i="31"/>
  <c r="J48" i="28"/>
  <c r="J244" i="28"/>
  <c r="J90" i="28"/>
  <c r="J244" i="31"/>
  <c r="J132" i="31"/>
  <c r="J258" i="28"/>
  <c r="J258" i="31"/>
  <c r="J174" i="28"/>
  <c r="J146" i="28"/>
  <c r="BR330" i="43"/>
  <c r="N146" i="31"/>
  <c r="N90" i="28"/>
  <c r="N174" i="31"/>
  <c r="N132" i="31"/>
  <c r="N48" i="28"/>
  <c r="N258" i="31"/>
  <c r="N132" i="28"/>
  <c r="N174" i="28"/>
  <c r="N258" i="28"/>
  <c r="N146" i="28"/>
  <c r="J272" i="28"/>
  <c r="N244" i="31"/>
  <c r="N244" i="28"/>
  <c r="BM176" i="45"/>
  <c r="J272" i="31"/>
  <c r="AT20" i="34"/>
  <c r="N272" i="28"/>
  <c r="N272" i="31"/>
  <c r="M159" i="37"/>
  <c r="AG159" i="41" s="1"/>
  <c r="AO159" i="41" s="1"/>
  <c r="E91" i="37"/>
  <c r="E142" i="37"/>
  <c r="E40" i="37"/>
  <c r="I91" i="37"/>
  <c r="I142" i="37"/>
  <c r="M40" i="37"/>
  <c r="I40" i="37"/>
  <c r="M91" i="37"/>
  <c r="M91" i="41"/>
  <c r="AD20" i="34"/>
  <c r="M108" i="37"/>
  <c r="AH20" i="34"/>
  <c r="BM159" i="45"/>
  <c r="BR194" i="43"/>
  <c r="AC159" i="37"/>
  <c r="BR143" i="43"/>
  <c r="M142" i="37"/>
  <c r="AL20" i="34"/>
  <c r="BM91" i="45"/>
  <c r="BR92" i="43"/>
  <c r="BR75" i="43"/>
  <c r="AC91" i="37"/>
  <c r="J160" i="31"/>
  <c r="R20" i="34"/>
  <c r="J20" i="34"/>
  <c r="N20" i="34"/>
  <c r="BR41" i="43"/>
  <c r="AC40" i="37"/>
  <c r="BM40" i="45"/>
  <c r="BM108" i="45"/>
  <c r="AC108" i="37"/>
  <c r="BR109" i="43"/>
  <c r="BR126" i="43"/>
  <c r="BM142" i="45"/>
  <c r="AC142" i="37"/>
  <c r="V20" i="34"/>
  <c r="J90" i="31"/>
  <c r="J104" i="28"/>
  <c r="J76" i="28"/>
  <c r="J104" i="31"/>
  <c r="J76" i="31"/>
  <c r="J34" i="28"/>
  <c r="BM74" i="45"/>
  <c r="BM125" i="45"/>
  <c r="BM23" i="45"/>
  <c r="BR24" i="43"/>
  <c r="AP20" i="34"/>
  <c r="J20" i="28"/>
  <c r="BR20" i="34"/>
  <c r="BJ20" i="34"/>
  <c r="BN20" i="34"/>
  <c r="N160" i="31"/>
  <c r="CH20" i="34"/>
  <c r="N104" i="28"/>
  <c r="N90" i="31"/>
  <c r="N76" i="28"/>
  <c r="N104" i="31"/>
  <c r="N76" i="31"/>
  <c r="N34" i="28"/>
  <c r="N20" i="28"/>
  <c r="H136" i="31" l="1"/>
  <c r="G11" i="28"/>
  <c r="G194" i="33"/>
  <c r="G264" i="33" s="1"/>
  <c r="F122" i="31"/>
  <c r="P12" i="29"/>
  <c r="Q53" i="32"/>
  <c r="G24" i="31"/>
  <c r="F11" i="30"/>
  <c r="F12" i="31"/>
  <c r="F109" i="32"/>
  <c r="F108" i="32" s="1"/>
  <c r="N12" i="30"/>
  <c r="P194" i="29"/>
  <c r="P264" i="29" s="1"/>
  <c r="N66" i="33"/>
  <c r="N52" i="33" s="1"/>
  <c r="H109" i="28"/>
  <c r="H193" i="28" s="1"/>
  <c r="H66" i="33"/>
  <c r="G194" i="29"/>
  <c r="G264" i="29" s="1"/>
  <c r="H53" i="28"/>
  <c r="F11" i="28"/>
  <c r="H53" i="32"/>
  <c r="O109" i="29"/>
  <c r="O108" i="29" s="1"/>
  <c r="P53" i="33"/>
  <c r="Z136" i="45"/>
  <c r="N136" i="45"/>
  <c r="Z137" i="45"/>
  <c r="N141" i="45"/>
  <c r="AK151" i="45"/>
  <c r="AO51" i="45"/>
  <c r="AP149" i="45"/>
  <c r="AM30" i="45"/>
  <c r="AP157" i="45"/>
  <c r="BI85" i="45"/>
  <c r="AK171" i="45"/>
  <c r="Z131" i="45"/>
  <c r="N131" i="45"/>
  <c r="BI100" i="45"/>
  <c r="BI96" i="45" s="1"/>
  <c r="AP153" i="45"/>
  <c r="Z132" i="45"/>
  <c r="O194" i="30"/>
  <c r="O264" i="30" s="1"/>
  <c r="P80" i="33"/>
  <c r="F66" i="31"/>
  <c r="F52" i="31" s="1"/>
  <c r="G66" i="32"/>
  <c r="G52" i="32" s="1"/>
  <c r="F53" i="33"/>
  <c r="G109" i="28"/>
  <c r="G108" i="28" s="1"/>
  <c r="G12" i="31"/>
  <c r="P109" i="32"/>
  <c r="O66" i="29"/>
  <c r="O52" i="29" s="1"/>
  <c r="G53" i="31"/>
  <c r="H38" i="30"/>
  <c r="H10" i="30" s="1"/>
  <c r="H24" i="31"/>
  <c r="H10" i="31" s="1"/>
  <c r="F80" i="31"/>
  <c r="G53" i="29"/>
  <c r="H24" i="29"/>
  <c r="H10" i="29" s="1"/>
  <c r="H11" i="32"/>
  <c r="H193" i="31"/>
  <c r="O109" i="32"/>
  <c r="O108" i="32" s="1"/>
  <c r="F53" i="32"/>
  <c r="H12" i="28"/>
  <c r="F194" i="28"/>
  <c r="G53" i="33"/>
  <c r="H66" i="29"/>
  <c r="H52" i="29" s="1"/>
  <c r="G38" i="29"/>
  <c r="G10" i="29" s="1"/>
  <c r="P52" i="30"/>
  <c r="P66" i="32"/>
  <c r="F194" i="33"/>
  <c r="F264" i="33" s="1"/>
  <c r="O53" i="33"/>
  <c r="O193" i="33" s="1"/>
  <c r="O150" i="29"/>
  <c r="P109" i="29"/>
  <c r="G10" i="31"/>
  <c r="G66" i="29"/>
  <c r="G52" i="29" s="1"/>
  <c r="F38" i="30"/>
  <c r="F10" i="30" s="1"/>
  <c r="N53" i="30"/>
  <c r="G10" i="33"/>
  <c r="H66" i="31"/>
  <c r="H52" i="31" s="1"/>
  <c r="F66" i="30"/>
  <c r="F52" i="30" s="1"/>
  <c r="N109" i="33"/>
  <c r="N108" i="33" s="1"/>
  <c r="H66" i="28"/>
  <c r="H52" i="28" s="1"/>
  <c r="G11" i="29"/>
  <c r="O53" i="29"/>
  <c r="P194" i="30"/>
  <c r="P264" i="30" s="1"/>
  <c r="H109" i="32"/>
  <c r="H193" i="32" s="1"/>
  <c r="F24" i="33"/>
  <c r="F10" i="33" s="1"/>
  <c r="O10" i="30"/>
  <c r="P66" i="33"/>
  <c r="F108" i="31"/>
  <c r="F193" i="31"/>
  <c r="O24" i="29"/>
  <c r="O10" i="29" s="1"/>
  <c r="H194" i="28"/>
  <c r="F66" i="33"/>
  <c r="O11" i="30"/>
  <c r="F194" i="31"/>
  <c r="H11" i="33"/>
  <c r="Q194" i="29"/>
  <c r="Q264" i="29" s="1"/>
  <c r="F194" i="29"/>
  <c r="F264" i="29" s="1"/>
  <c r="Q109" i="29"/>
  <c r="Q193" i="29" s="1"/>
  <c r="H10" i="33"/>
  <c r="Q66" i="29"/>
  <c r="Q52" i="29" s="1"/>
  <c r="F66" i="29"/>
  <c r="F52" i="29" s="1"/>
  <c r="G24" i="30"/>
  <c r="G10" i="30" s="1"/>
  <c r="P66" i="29"/>
  <c r="P52" i="29" s="1"/>
  <c r="P52" i="32"/>
  <c r="G12" i="32"/>
  <c r="G194" i="32" s="1"/>
  <c r="G264" i="32" s="1"/>
  <c r="G109" i="33"/>
  <c r="F80" i="33"/>
  <c r="G53" i="30"/>
  <c r="G109" i="30"/>
  <c r="P10" i="29"/>
  <c r="O53" i="32"/>
  <c r="O66" i="33"/>
  <c r="O52" i="33" s="1"/>
  <c r="H109" i="30"/>
  <c r="H108" i="30" s="1"/>
  <c r="G109" i="31"/>
  <c r="G108" i="31" s="1"/>
  <c r="F10" i="32"/>
  <c r="H52" i="33"/>
  <c r="F109" i="28"/>
  <c r="F108" i="28" s="1"/>
  <c r="H52" i="30"/>
  <c r="N10" i="30"/>
  <c r="H12" i="33"/>
  <c r="H194" i="33" s="1"/>
  <c r="H264" i="33" s="1"/>
  <c r="N109" i="30"/>
  <c r="G53" i="28"/>
  <c r="F10" i="28"/>
  <c r="F38" i="29"/>
  <c r="F10" i="29" s="1"/>
  <c r="G53" i="32"/>
  <c r="G193" i="32" s="1"/>
  <c r="G52" i="33"/>
  <c r="N136" i="33"/>
  <c r="F136" i="32"/>
  <c r="F109" i="30"/>
  <c r="F108" i="30" s="1"/>
  <c r="P136" i="29"/>
  <c r="H109" i="33"/>
  <c r="F10" i="31"/>
  <c r="G66" i="31"/>
  <c r="G52" i="31" s="1"/>
  <c r="H10" i="32"/>
  <c r="G109" i="32"/>
  <c r="G108" i="32" s="1"/>
  <c r="G10" i="32"/>
  <c r="N194" i="30"/>
  <c r="N264" i="30" s="1"/>
  <c r="G194" i="31"/>
  <c r="G10" i="28"/>
  <c r="P53" i="30"/>
  <c r="G12" i="30"/>
  <c r="G194" i="30" s="1"/>
  <c r="G264" i="30" s="1"/>
  <c r="O66" i="30"/>
  <c r="O52" i="30" s="1"/>
  <c r="F194" i="30"/>
  <c r="F264" i="30" s="1"/>
  <c r="H10" i="28"/>
  <c r="H194" i="30"/>
  <c r="H264" i="30" s="1"/>
  <c r="H194" i="32"/>
  <c r="H264" i="32" s="1"/>
  <c r="G108" i="30"/>
  <c r="N108" i="30"/>
  <c r="N193" i="30"/>
  <c r="P108" i="29"/>
  <c r="H108" i="33"/>
  <c r="F66" i="32"/>
  <c r="F52" i="32" s="1"/>
  <c r="F66" i="28"/>
  <c r="F52" i="28" s="1"/>
  <c r="N66" i="30"/>
  <c r="N52" i="30" s="1"/>
  <c r="H53" i="33"/>
  <c r="N53" i="33"/>
  <c r="P53" i="29"/>
  <c r="O12" i="29"/>
  <c r="O194" i="29" s="1"/>
  <c r="O264" i="29" s="1"/>
  <c r="P54" i="33"/>
  <c r="P194" i="33" s="1"/>
  <c r="P264" i="33" s="1"/>
  <c r="G109" i="29"/>
  <c r="Q38" i="29"/>
  <c r="Q10" i="29" s="1"/>
  <c r="Q109" i="32"/>
  <c r="F53" i="30"/>
  <c r="G136" i="31"/>
  <c r="H136" i="28"/>
  <c r="F109" i="29"/>
  <c r="G12" i="28"/>
  <c r="G194" i="28" s="1"/>
  <c r="G108" i="33"/>
  <c r="P109" i="30"/>
  <c r="P24" i="30"/>
  <c r="P10" i="30" s="1"/>
  <c r="O94" i="32"/>
  <c r="H66" i="32"/>
  <c r="H52" i="32" s="1"/>
  <c r="H53" i="29"/>
  <c r="H193" i="29" s="1"/>
  <c r="O109" i="30"/>
  <c r="H53" i="30"/>
  <c r="P53" i="32"/>
  <c r="H54" i="29"/>
  <c r="H194" i="29" s="1"/>
  <c r="H264" i="29" s="1"/>
  <c r="F12" i="32"/>
  <c r="F194" i="32" s="1"/>
  <c r="F264" i="32" s="1"/>
  <c r="G66" i="30"/>
  <c r="G52" i="30" s="1"/>
  <c r="O66" i="32"/>
  <c r="O52" i="32" s="1"/>
  <c r="H136" i="30"/>
  <c r="H12" i="32"/>
  <c r="H12" i="31"/>
  <c r="H194" i="31" s="1"/>
  <c r="P109" i="33"/>
  <c r="F109" i="33"/>
  <c r="BB82" i="43"/>
  <c r="BK208" i="43"/>
  <c r="S127" i="32"/>
  <c r="L253" i="29"/>
  <c r="BN236" i="43"/>
  <c r="AZ289" i="43"/>
  <c r="AV223" i="43"/>
  <c r="BJ306" i="43"/>
  <c r="BC118" i="43"/>
  <c r="BD39" i="43"/>
  <c r="AQ323" i="45"/>
  <c r="BD238" i="43"/>
  <c r="AY134" i="43"/>
  <c r="BD239" i="43"/>
  <c r="AQ82" i="45"/>
  <c r="AM105" i="45"/>
  <c r="AZ125" i="43"/>
  <c r="AT140" i="45"/>
  <c r="AT133" i="45"/>
  <c r="N341" i="41"/>
  <c r="AQ89" i="45"/>
  <c r="AY140" i="43"/>
  <c r="BD36" i="43"/>
  <c r="AQ328" i="45"/>
  <c r="BD236" i="43"/>
  <c r="AY138" i="43"/>
  <c r="BD244" i="43"/>
  <c r="AQ83" i="45"/>
  <c r="AZ115" i="43"/>
  <c r="AT136" i="45"/>
  <c r="N336" i="41"/>
  <c r="AT135" i="45"/>
  <c r="N339" i="41"/>
  <c r="BC192" i="43"/>
  <c r="N332" i="41"/>
  <c r="AT134" i="45"/>
  <c r="AT130" i="45" s="1"/>
  <c r="AQ158" i="45"/>
  <c r="BD243" i="43"/>
  <c r="AQ90" i="45"/>
  <c r="AM335" i="45"/>
  <c r="AL52" i="45"/>
  <c r="AT132" i="45"/>
  <c r="BC187" i="43"/>
  <c r="BC120" i="43"/>
  <c r="O339" i="41"/>
  <c r="AU137" i="45"/>
  <c r="AQ339" i="45"/>
  <c r="AX239" i="43"/>
  <c r="BR220" i="43"/>
  <c r="BN243" i="43"/>
  <c r="BP289" i="43"/>
  <c r="S192" i="29"/>
  <c r="BB14" i="43"/>
  <c r="BN51" i="43"/>
  <c r="Z2" i="37"/>
  <c r="Z1" i="37" s="1"/>
  <c r="L207" i="28"/>
  <c r="AJ142" i="43"/>
  <c r="AJ210" i="43"/>
  <c r="I12" i="45"/>
  <c r="S124" i="32"/>
  <c r="S197" i="29"/>
  <c r="S199" i="29" s="1"/>
  <c r="BR218" i="43"/>
  <c r="BN321" i="43"/>
  <c r="BP295" i="43"/>
  <c r="AQ341" i="45"/>
  <c r="AO65" i="45"/>
  <c r="BN120" i="43"/>
  <c r="BN57" i="43"/>
  <c r="BJ302" i="43"/>
  <c r="I328" i="41"/>
  <c r="AM46" i="45"/>
  <c r="BP159" i="43"/>
  <c r="J315" i="41"/>
  <c r="K124" i="33"/>
  <c r="R74" i="33"/>
  <c r="K212" i="31"/>
  <c r="U151" i="45"/>
  <c r="L102" i="32"/>
  <c r="L256" i="29"/>
  <c r="BR225" i="43"/>
  <c r="T122" i="29"/>
  <c r="K32" i="29"/>
  <c r="K182" i="28"/>
  <c r="BN271" i="43"/>
  <c r="BO47" i="43"/>
  <c r="AT174" i="45"/>
  <c r="AY328" i="43"/>
  <c r="BN208" i="43"/>
  <c r="BN272" i="43"/>
  <c r="BN67" i="43"/>
  <c r="BN66" i="43"/>
  <c r="BN235" i="43"/>
  <c r="BC85" i="43"/>
  <c r="BC91" i="43"/>
  <c r="AQ102" i="45"/>
  <c r="BK151" i="43"/>
  <c r="AL21" i="45"/>
  <c r="BB83" i="43"/>
  <c r="AQ336" i="45"/>
  <c r="AO68" i="45"/>
  <c r="I336" i="41"/>
  <c r="BD193" i="43"/>
  <c r="AO63" i="45"/>
  <c r="AX191" i="43"/>
  <c r="BN119" i="43"/>
  <c r="BN47" i="43"/>
  <c r="AT31" i="45"/>
  <c r="BB243" i="43"/>
  <c r="AT168" i="45"/>
  <c r="BB172" i="43"/>
  <c r="BB239" i="43"/>
  <c r="I319" i="41"/>
  <c r="AT167" i="45"/>
  <c r="BB171" i="43"/>
  <c r="BN69" i="43"/>
  <c r="AT271" i="43"/>
  <c r="AS32" i="45"/>
  <c r="BB84" i="43"/>
  <c r="AX244" i="43"/>
  <c r="S122" i="33"/>
  <c r="K208" i="31"/>
  <c r="X84" i="43"/>
  <c r="S168" i="43"/>
  <c r="K150" i="30"/>
  <c r="L254" i="29"/>
  <c r="L99" i="32"/>
  <c r="S194" i="29"/>
  <c r="K178" i="28"/>
  <c r="K181" i="28" s="1"/>
  <c r="BB237" i="43"/>
  <c r="BN237" i="43"/>
  <c r="BC22" i="43"/>
  <c r="AY320" i="43"/>
  <c r="I321" i="41"/>
  <c r="BN210" i="43"/>
  <c r="BN270" i="43"/>
  <c r="BJ55" i="45"/>
  <c r="BC81" i="43"/>
  <c r="BK222" i="43"/>
  <c r="BJ40" i="43"/>
  <c r="BB18" i="43"/>
  <c r="AU115" i="43"/>
  <c r="BB90" i="43"/>
  <c r="AQ335" i="45"/>
  <c r="AQ334" i="45" s="1"/>
  <c r="AZ287" i="43"/>
  <c r="AT205" i="43"/>
  <c r="AY31" i="43"/>
  <c r="AO72" i="45"/>
  <c r="AX193" i="43"/>
  <c r="AL242" i="45"/>
  <c r="BP21" i="43"/>
  <c r="BB167" i="43"/>
  <c r="I322" i="41"/>
  <c r="AK324" i="45"/>
  <c r="AL156" i="45"/>
  <c r="W355" i="45"/>
  <c r="AF57" i="43"/>
  <c r="S204" i="45"/>
  <c r="S207" i="45"/>
  <c r="S206" i="45" s="1"/>
  <c r="X118" i="43"/>
  <c r="AJ324" i="43"/>
  <c r="W362" i="45"/>
  <c r="W353" i="45"/>
  <c r="S202" i="45"/>
  <c r="AB193" i="43"/>
  <c r="N255" i="41"/>
  <c r="R262" i="37"/>
  <c r="AF322" i="43"/>
  <c r="AB52" i="43"/>
  <c r="AB186" i="43"/>
  <c r="AF323" i="43"/>
  <c r="AF324" i="43"/>
  <c r="T328" i="43"/>
  <c r="AM341" i="45"/>
  <c r="AF319" i="43"/>
  <c r="AF329" i="43"/>
  <c r="O131" i="45"/>
  <c r="X124" i="43"/>
  <c r="AJ187" i="43"/>
  <c r="AF327" i="43"/>
  <c r="AF328" i="43"/>
  <c r="T123" i="43"/>
  <c r="X125" i="43"/>
  <c r="S208" i="45"/>
  <c r="AB56" i="43"/>
  <c r="G49" i="45"/>
  <c r="S209" i="45"/>
  <c r="AJ183" i="43"/>
  <c r="AJ185" i="43"/>
  <c r="AF49" i="43"/>
  <c r="AB49" i="43"/>
  <c r="AF47" i="43"/>
  <c r="P85" i="43"/>
  <c r="AF51" i="43"/>
  <c r="AB53" i="43"/>
  <c r="X119" i="43"/>
  <c r="W352" i="45"/>
  <c r="F262" i="37"/>
  <c r="AF48" i="43"/>
  <c r="X117" i="43"/>
  <c r="W361" i="45"/>
  <c r="W359" i="45" s="1"/>
  <c r="AM32" i="45"/>
  <c r="AK321" i="45"/>
  <c r="AO67" i="45"/>
  <c r="P82" i="43"/>
  <c r="BO52" i="43"/>
  <c r="BC86" i="43"/>
  <c r="M303" i="41"/>
  <c r="BB89" i="43"/>
  <c r="AY33" i="43"/>
  <c r="AX236" i="43"/>
  <c r="AL237" i="45"/>
  <c r="BN49" i="43"/>
  <c r="I323" i="41"/>
  <c r="BC21" i="43"/>
  <c r="T94" i="33"/>
  <c r="AX325" i="43"/>
  <c r="BB86" i="43"/>
  <c r="AH290" i="43"/>
  <c r="AO219" i="45"/>
  <c r="AT269" i="43"/>
  <c r="AH285" i="43"/>
  <c r="BN118" i="43"/>
  <c r="BN322" i="43"/>
  <c r="BC14" i="43"/>
  <c r="AY325" i="43"/>
  <c r="BB91" i="43"/>
  <c r="BN125" i="43"/>
  <c r="BN55" i="43"/>
  <c r="AT49" i="43"/>
  <c r="BO244" i="43"/>
  <c r="BB81" i="43"/>
  <c r="BN117" i="43"/>
  <c r="AJ157" i="43"/>
  <c r="AI137" i="43"/>
  <c r="K168" i="45"/>
  <c r="BC23" i="43"/>
  <c r="BB149" i="43"/>
  <c r="BB85" i="43"/>
  <c r="AL236" i="45"/>
  <c r="AO101" i="45"/>
  <c r="S119" i="43"/>
  <c r="J115" i="45"/>
  <c r="N202" i="45"/>
  <c r="S48" i="43"/>
  <c r="S121" i="43"/>
  <c r="S168" i="33"/>
  <c r="V150" i="43"/>
  <c r="AU169" i="45"/>
  <c r="AP46" i="45"/>
  <c r="K207" i="31"/>
  <c r="BN103" i="43"/>
  <c r="T25" i="29"/>
  <c r="AI286" i="43"/>
  <c r="M31" i="45"/>
  <c r="S169" i="33"/>
  <c r="M35" i="45"/>
  <c r="AT150" i="45"/>
  <c r="AY84" i="43"/>
  <c r="U39" i="29"/>
  <c r="BM81" i="45"/>
  <c r="S166" i="33"/>
  <c r="AD83" i="43"/>
  <c r="AH286" i="43"/>
  <c r="AT16" i="45"/>
  <c r="AY218" i="43"/>
  <c r="AT14" i="45"/>
  <c r="AC81" i="37"/>
  <c r="U186" i="45"/>
  <c r="M39" i="45"/>
  <c r="BJ341" i="45"/>
  <c r="BC138" i="43"/>
  <c r="AL247" i="41"/>
  <c r="AL252" i="41" s="1"/>
  <c r="AP252" i="41" s="1"/>
  <c r="K51" i="33"/>
  <c r="K53" i="33" s="1"/>
  <c r="S210" i="33"/>
  <c r="U184" i="45"/>
  <c r="T32" i="29"/>
  <c r="BJ337" i="45"/>
  <c r="T26" i="29"/>
  <c r="BK203" i="43"/>
  <c r="Z103" i="45"/>
  <c r="U183" i="45"/>
  <c r="T29" i="29"/>
  <c r="BN186" i="45"/>
  <c r="AI138" i="43"/>
  <c r="AI289" i="43"/>
  <c r="AI293" i="43"/>
  <c r="Z35" i="45"/>
  <c r="AE134" i="43"/>
  <c r="BI97" i="45"/>
  <c r="J50" i="29"/>
  <c r="AI287" i="43"/>
  <c r="Z39" i="45"/>
  <c r="AY86" i="43"/>
  <c r="AL224" i="45"/>
  <c r="AI133" i="43"/>
  <c r="AE17" i="43"/>
  <c r="Z225" i="45"/>
  <c r="K320" i="43"/>
  <c r="BN19" i="43"/>
  <c r="AY91" i="43"/>
  <c r="J260" i="41"/>
  <c r="AP55" i="45"/>
  <c r="K186" i="29"/>
  <c r="AL56" i="45"/>
  <c r="K206" i="31"/>
  <c r="AI135" i="43"/>
  <c r="BN22" i="43"/>
  <c r="BL295" i="43"/>
  <c r="BB192" i="43"/>
  <c r="AY69" i="43"/>
  <c r="AP49" i="45"/>
  <c r="K102" i="29"/>
  <c r="AT17" i="45"/>
  <c r="T212" i="33"/>
  <c r="R86" i="33"/>
  <c r="N212" i="31"/>
  <c r="Z31" i="45"/>
  <c r="R263" i="30"/>
  <c r="Z81" i="45"/>
  <c r="BJ182" i="45"/>
  <c r="BK46" i="45"/>
  <c r="BL288" i="43"/>
  <c r="BB188" i="43"/>
  <c r="AL221" i="45"/>
  <c r="T207" i="33"/>
  <c r="S212" i="33"/>
  <c r="AC50" i="45"/>
  <c r="U35" i="45"/>
  <c r="BJ186" i="45"/>
  <c r="BK54" i="45"/>
  <c r="BK53" i="45" s="1"/>
  <c r="BJ56" i="45"/>
  <c r="N66" i="28"/>
  <c r="AC199" i="37"/>
  <c r="BO205" i="45"/>
  <c r="AD139" i="45"/>
  <c r="U237" i="45"/>
  <c r="Y85" i="45"/>
  <c r="AB87" i="43"/>
  <c r="BI174" i="45"/>
  <c r="BI33" i="45"/>
  <c r="BK47" i="45"/>
  <c r="BJ46" i="45"/>
  <c r="AL50" i="45"/>
  <c r="J247" i="41"/>
  <c r="J72" i="33"/>
  <c r="AI290" i="43"/>
  <c r="AD132" i="45"/>
  <c r="AD130" i="45" s="1"/>
  <c r="AE149" i="43"/>
  <c r="Z101" i="45"/>
  <c r="Y90" i="45"/>
  <c r="BI98" i="45"/>
  <c r="BI38" i="45"/>
  <c r="BJ50" i="45"/>
  <c r="AL48" i="45"/>
  <c r="Z56" i="43"/>
  <c r="AI191" i="43"/>
  <c r="V88" i="45"/>
  <c r="V83" i="45"/>
  <c r="V79" i="45" s="1"/>
  <c r="Z133" i="45"/>
  <c r="V84" i="45"/>
  <c r="N133" i="45"/>
  <c r="N130" i="45" s="1"/>
  <c r="S116" i="43"/>
  <c r="L43" i="33"/>
  <c r="R95" i="30"/>
  <c r="AC186" i="45"/>
  <c r="AI184" i="43"/>
  <c r="AH31" i="43"/>
  <c r="U84" i="45"/>
  <c r="AA115" i="43"/>
  <c r="Z139" i="45"/>
  <c r="V82" i="45"/>
  <c r="W32" i="43"/>
  <c r="Q151" i="45"/>
  <c r="R102" i="30"/>
  <c r="T96" i="33"/>
  <c r="R94" i="30"/>
  <c r="AC187" i="45"/>
  <c r="AI188" i="43"/>
  <c r="BT252" i="43"/>
  <c r="AE53" i="43"/>
  <c r="U82" i="45"/>
  <c r="AA56" i="43"/>
  <c r="Z134" i="45"/>
  <c r="W115" i="43"/>
  <c r="N139" i="45"/>
  <c r="N138" i="45" s="1"/>
  <c r="S249" i="30"/>
  <c r="AH133" i="43"/>
  <c r="R99" i="30"/>
  <c r="AC192" i="45"/>
  <c r="V38" i="43"/>
  <c r="R172" i="30"/>
  <c r="AE56" i="43"/>
  <c r="AA185" i="43"/>
  <c r="Z141" i="45"/>
  <c r="S123" i="43"/>
  <c r="S253" i="30"/>
  <c r="T95" i="33"/>
  <c r="J71" i="33"/>
  <c r="S169" i="30"/>
  <c r="R169" i="30"/>
  <c r="AD186" i="45"/>
  <c r="AC33" i="45"/>
  <c r="BT255" i="43"/>
  <c r="AH186" i="43"/>
  <c r="Y89" i="45"/>
  <c r="R204" i="45"/>
  <c r="S115" i="43"/>
  <c r="N201" i="45"/>
  <c r="N140" i="45"/>
  <c r="J199" i="45"/>
  <c r="AE52" i="43"/>
  <c r="K63" i="45"/>
  <c r="R82" i="33"/>
  <c r="S98" i="30"/>
  <c r="AD184" i="45"/>
  <c r="AC31" i="45"/>
  <c r="AH36" i="43"/>
  <c r="S100" i="45"/>
  <c r="U192" i="45"/>
  <c r="Y139" i="45"/>
  <c r="R202" i="45"/>
  <c r="P237" i="43"/>
  <c r="S53" i="43"/>
  <c r="O137" i="45"/>
  <c r="N132" i="45"/>
  <c r="J99" i="45"/>
  <c r="AE49" i="43"/>
  <c r="R168" i="30"/>
  <c r="T211" i="33"/>
  <c r="S95" i="30"/>
  <c r="S96" i="30"/>
  <c r="AE156" i="45"/>
  <c r="AC132" i="45"/>
  <c r="Z51" i="43"/>
  <c r="R203" i="45"/>
  <c r="W40" i="43"/>
  <c r="S57" i="43"/>
  <c r="BT259" i="43"/>
  <c r="AE50" i="43"/>
  <c r="S26" i="33"/>
  <c r="S25" i="33"/>
  <c r="S32" i="33"/>
  <c r="S24" i="33"/>
  <c r="J150" i="30"/>
  <c r="AD253" i="43"/>
  <c r="U208" i="45"/>
  <c r="E241" i="45"/>
  <c r="E233" i="45"/>
  <c r="M185" i="45"/>
  <c r="M192" i="45"/>
  <c r="Z251" i="43"/>
  <c r="Z257" i="43"/>
  <c r="Z252" i="43"/>
  <c r="Z255" i="43"/>
  <c r="Z254" i="43"/>
  <c r="Z259" i="43"/>
  <c r="AD254" i="43"/>
  <c r="AD255" i="43"/>
  <c r="AD261" i="43"/>
  <c r="U135" i="45"/>
  <c r="AA102" i="43"/>
  <c r="AA106" i="43"/>
  <c r="AA108" i="43"/>
  <c r="AA103" i="43"/>
  <c r="AE261" i="43"/>
  <c r="AE256" i="43"/>
  <c r="AE251" i="43"/>
  <c r="AE254" i="43"/>
  <c r="AE259" i="43"/>
  <c r="Z183" i="45"/>
  <c r="Z187" i="45"/>
  <c r="Z190" i="45"/>
  <c r="Z191" i="45"/>
  <c r="S239" i="30"/>
  <c r="S240" i="30"/>
  <c r="S236" i="30"/>
  <c r="O135" i="43"/>
  <c r="T171" i="43"/>
  <c r="T172" i="43"/>
  <c r="J98" i="33"/>
  <c r="Z256" i="43"/>
  <c r="AD259" i="43"/>
  <c r="E171" i="45"/>
  <c r="Q39" i="45"/>
  <c r="Q31" i="45"/>
  <c r="Q34" i="45"/>
  <c r="AJ253" i="43"/>
  <c r="AJ254" i="43"/>
  <c r="R24" i="33"/>
  <c r="R32" i="33"/>
  <c r="I16" i="45"/>
  <c r="S98" i="43"/>
  <c r="S99" i="43"/>
  <c r="N184" i="45"/>
  <c r="N191" i="45"/>
  <c r="N188" i="45"/>
  <c r="R37" i="45"/>
  <c r="R30" i="45"/>
  <c r="V133" i="45"/>
  <c r="V136" i="45"/>
  <c r="V141" i="45"/>
  <c r="V134" i="45"/>
  <c r="V137" i="45"/>
  <c r="V139" i="45"/>
  <c r="K151" i="30"/>
  <c r="K158" i="30"/>
  <c r="K154" i="30"/>
  <c r="AD251" i="43"/>
  <c r="AA100" i="43"/>
  <c r="R252" i="43"/>
  <c r="S238" i="30"/>
  <c r="N142" i="43"/>
  <c r="N132" i="43"/>
  <c r="N133" i="43"/>
  <c r="I85" i="45"/>
  <c r="I82" i="45"/>
  <c r="I89" i="45"/>
  <c r="I154" i="45"/>
  <c r="I150" i="45"/>
  <c r="L68" i="30"/>
  <c r="L70" i="30"/>
  <c r="N114" i="45"/>
  <c r="N117" i="45"/>
  <c r="AI303" i="43"/>
  <c r="AI308" i="43"/>
  <c r="S30" i="33"/>
  <c r="K152" i="30"/>
  <c r="Z186" i="45"/>
  <c r="AA101" i="43"/>
  <c r="AD260" i="43"/>
  <c r="AA104" i="43"/>
  <c r="U139" i="45"/>
  <c r="U131" i="45"/>
  <c r="U137" i="45"/>
  <c r="U132" i="45"/>
  <c r="U133" i="45"/>
  <c r="U134" i="45"/>
  <c r="J154" i="30"/>
  <c r="J155" i="30"/>
  <c r="J156" i="30"/>
  <c r="J151" i="30"/>
  <c r="J158" i="30"/>
  <c r="J96" i="33"/>
  <c r="J99" i="33"/>
  <c r="J100" i="33"/>
  <c r="F238" i="45"/>
  <c r="F239" i="45"/>
  <c r="F233" i="45"/>
  <c r="F242" i="45"/>
  <c r="F236" i="45"/>
  <c r="AA31" i="43"/>
  <c r="AA32" i="43"/>
  <c r="AA38" i="43"/>
  <c r="V209" i="45"/>
  <c r="V200" i="45"/>
  <c r="V205" i="45"/>
  <c r="V207" i="45"/>
  <c r="V208" i="45"/>
  <c r="AE98" i="43"/>
  <c r="AE108" i="43"/>
  <c r="AE99" i="43"/>
  <c r="AE104" i="43"/>
  <c r="AE107" i="43"/>
  <c r="AE101" i="43"/>
  <c r="AE100" i="43"/>
  <c r="AE106" i="43"/>
  <c r="V132" i="45"/>
  <c r="Z35" i="43"/>
  <c r="Z261" i="43"/>
  <c r="AE260" i="43"/>
  <c r="AE103" i="43"/>
  <c r="N185" i="45"/>
  <c r="R29" i="33"/>
  <c r="AE253" i="43"/>
  <c r="AD257" i="43"/>
  <c r="AA36" i="43"/>
  <c r="AD252" i="43"/>
  <c r="Z260" i="43"/>
  <c r="Q37" i="45"/>
  <c r="S107" i="43"/>
  <c r="AE252" i="43"/>
  <c r="W140" i="45"/>
  <c r="K155" i="30"/>
  <c r="K157" i="30" s="1"/>
  <c r="Y136" i="45"/>
  <c r="W152" i="43"/>
  <c r="V35" i="43"/>
  <c r="AH35" i="43"/>
  <c r="AE152" i="43"/>
  <c r="Z192" i="43"/>
  <c r="Z34" i="45"/>
  <c r="W33" i="43"/>
  <c r="S50" i="43"/>
  <c r="S49" i="43"/>
  <c r="S44" i="30"/>
  <c r="AE243" i="45"/>
  <c r="S86" i="43"/>
  <c r="AE151" i="45"/>
  <c r="AH40" i="43"/>
  <c r="AE150" i="43"/>
  <c r="V118" i="43"/>
  <c r="AE21" i="43"/>
  <c r="Z33" i="45"/>
  <c r="J212" i="33"/>
  <c r="AE235" i="45"/>
  <c r="AJ154" i="43"/>
  <c r="AC191" i="45"/>
  <c r="S128" i="33"/>
  <c r="AC184" i="45"/>
  <c r="AJ152" i="43"/>
  <c r="AB154" i="43"/>
  <c r="K71" i="45"/>
  <c r="K70" i="45" s="1"/>
  <c r="S123" i="33"/>
  <c r="AC188" i="45"/>
  <c r="AI288" i="43"/>
  <c r="AJ149" i="43"/>
  <c r="AB159" i="43"/>
  <c r="V152" i="43"/>
  <c r="N135" i="45"/>
  <c r="V154" i="43"/>
  <c r="N134" i="45"/>
  <c r="AF155" i="43"/>
  <c r="V237" i="45"/>
  <c r="Q154" i="45"/>
  <c r="F50" i="45"/>
  <c r="L193" i="43"/>
  <c r="V238" i="45"/>
  <c r="AA140" i="43"/>
  <c r="K189" i="43"/>
  <c r="V243" i="45"/>
  <c r="T62" i="33"/>
  <c r="AA142" i="43"/>
  <c r="W233" i="45"/>
  <c r="AB136" i="43"/>
  <c r="X56" i="43"/>
  <c r="S70" i="43"/>
  <c r="I115" i="45"/>
  <c r="X53" i="43"/>
  <c r="AA141" i="43"/>
  <c r="S101" i="45"/>
  <c r="Z216" i="45"/>
  <c r="N166" i="43"/>
  <c r="K322" i="43"/>
  <c r="Z89" i="45"/>
  <c r="Z224" i="45"/>
  <c r="V35" i="45"/>
  <c r="I118" i="45"/>
  <c r="Z83" i="45"/>
  <c r="Z222" i="45"/>
  <c r="S72" i="43"/>
  <c r="I123" i="45"/>
  <c r="U241" i="45"/>
  <c r="AF320" i="43"/>
  <c r="T125" i="43"/>
  <c r="J119" i="45"/>
  <c r="X115" i="43"/>
  <c r="N123" i="45"/>
  <c r="O39" i="43"/>
  <c r="Z137" i="43"/>
  <c r="AY14" i="43"/>
  <c r="AU325" i="43"/>
  <c r="AT153" i="43"/>
  <c r="AY220" i="43"/>
  <c r="AA135" i="43"/>
  <c r="N115" i="45"/>
  <c r="AJ328" i="43"/>
  <c r="AA134" i="43"/>
  <c r="S203" i="45"/>
  <c r="BC134" i="43"/>
  <c r="AY23" i="43"/>
  <c r="AU320" i="43"/>
  <c r="AY219" i="43"/>
  <c r="O102" i="43"/>
  <c r="AT155" i="43"/>
  <c r="F217" i="45"/>
  <c r="N168" i="28"/>
  <c r="AL226" i="45"/>
  <c r="Z30" i="45"/>
  <c r="U242" i="45"/>
  <c r="O139" i="45"/>
  <c r="Q149" i="45"/>
  <c r="K39" i="33"/>
  <c r="AH142" i="43"/>
  <c r="Z140" i="43"/>
  <c r="F102" i="45"/>
  <c r="AY89" i="43"/>
  <c r="AF53" i="43"/>
  <c r="W354" i="45"/>
  <c r="S205" i="45"/>
  <c r="F98" i="45"/>
  <c r="BC141" i="43"/>
  <c r="BC137" i="43"/>
  <c r="W357" i="45"/>
  <c r="AI294" i="43"/>
  <c r="AE157" i="43"/>
  <c r="R151" i="45"/>
  <c r="Z38" i="45"/>
  <c r="Z36" i="45" s="1"/>
  <c r="K236" i="45"/>
  <c r="O132" i="45"/>
  <c r="S255" i="43"/>
  <c r="N172" i="43"/>
  <c r="K43" i="33"/>
  <c r="AB189" i="43"/>
  <c r="F237" i="45"/>
  <c r="AT154" i="45"/>
  <c r="AY22" i="43"/>
  <c r="AY217" i="43"/>
  <c r="K264" i="30"/>
  <c r="AY19" i="43"/>
  <c r="AY221" i="43"/>
  <c r="I134" i="45"/>
  <c r="I137" i="45"/>
  <c r="M37" i="45"/>
  <c r="M29" i="45"/>
  <c r="M34" i="45"/>
  <c r="M233" i="45"/>
  <c r="M239" i="45"/>
  <c r="Z81" i="43"/>
  <c r="Z85" i="43"/>
  <c r="AJ73" i="43"/>
  <c r="AJ69" i="43"/>
  <c r="AE69" i="45"/>
  <c r="AE65" i="45"/>
  <c r="AE99" i="45"/>
  <c r="AE107" i="45"/>
  <c r="AE106" i="45"/>
  <c r="AE101" i="45"/>
  <c r="AE97" i="45"/>
  <c r="AE103" i="45"/>
  <c r="R46" i="30"/>
  <c r="R39" i="30"/>
  <c r="R38" i="30"/>
  <c r="R42" i="30"/>
  <c r="R40" i="30"/>
  <c r="R43" i="30"/>
  <c r="R44" i="30"/>
  <c r="R141" i="30"/>
  <c r="R138" i="30"/>
  <c r="J206" i="31"/>
  <c r="J211" i="31"/>
  <c r="J208" i="31"/>
  <c r="J214" i="31"/>
  <c r="J39" i="33"/>
  <c r="J46" i="33"/>
  <c r="AT100" i="43"/>
  <c r="AT103" i="43"/>
  <c r="I309" i="41"/>
  <c r="I298" i="41"/>
  <c r="AX83" i="43"/>
  <c r="AX81" i="43"/>
  <c r="AX91" i="43"/>
  <c r="AO47" i="45"/>
  <c r="AO54" i="45"/>
  <c r="AO188" i="45"/>
  <c r="AO184" i="45"/>
  <c r="AO187" i="45"/>
  <c r="AO182" i="45"/>
  <c r="AS15" i="45"/>
  <c r="AS12" i="45"/>
  <c r="AS22" i="45"/>
  <c r="AS17" i="45"/>
  <c r="AS83" i="45"/>
  <c r="AS90" i="45"/>
  <c r="AS81" i="45"/>
  <c r="AS82" i="45"/>
  <c r="AS89" i="45"/>
  <c r="AS233" i="45"/>
  <c r="AS236" i="45"/>
  <c r="AS243" i="45"/>
  <c r="AK247" i="41"/>
  <c r="AK256" i="41" s="1"/>
  <c r="AO256" i="41" s="1"/>
  <c r="BJ73" i="43"/>
  <c r="BJ68" i="43"/>
  <c r="BJ210" i="43"/>
  <c r="BJ206" i="43"/>
  <c r="BJ201" i="43"/>
  <c r="S25" i="29"/>
  <c r="S26" i="29"/>
  <c r="S30" i="29"/>
  <c r="AE98" i="45"/>
  <c r="AE233" i="45"/>
  <c r="AE64" i="45"/>
  <c r="AE72" i="45"/>
  <c r="AB157" i="43"/>
  <c r="U187" i="45"/>
  <c r="V159" i="43"/>
  <c r="S191" i="45"/>
  <c r="L18" i="43"/>
  <c r="R137" i="30"/>
  <c r="M38" i="45"/>
  <c r="U46" i="29"/>
  <c r="AU234" i="45"/>
  <c r="F82" i="45"/>
  <c r="F79" i="45" s="1"/>
  <c r="F84" i="45"/>
  <c r="F80" i="45"/>
  <c r="F83" i="45"/>
  <c r="O48" i="43"/>
  <c r="O47" i="43"/>
  <c r="J66" i="45"/>
  <c r="J63" i="45"/>
  <c r="J64" i="45"/>
  <c r="J71" i="45"/>
  <c r="J139" i="45"/>
  <c r="J140" i="45"/>
  <c r="J135" i="45"/>
  <c r="J201" i="45"/>
  <c r="J198" i="45" s="1"/>
  <c r="J207" i="45"/>
  <c r="J206" i="45" s="1"/>
  <c r="J208" i="45"/>
  <c r="N238" i="45"/>
  <c r="N239" i="45"/>
  <c r="V188" i="45"/>
  <c r="V183" i="45"/>
  <c r="V191" i="45"/>
  <c r="T35" i="43"/>
  <c r="T40" i="43"/>
  <c r="W103" i="43"/>
  <c r="W99" i="43"/>
  <c r="W104" i="43"/>
  <c r="W107" i="43"/>
  <c r="AB253" i="43"/>
  <c r="AB251" i="43"/>
  <c r="AF100" i="43"/>
  <c r="AF99" i="43"/>
  <c r="AF107" i="43"/>
  <c r="AJ310" i="43"/>
  <c r="AJ304" i="43"/>
  <c r="AD66" i="45"/>
  <c r="AD68" i="45"/>
  <c r="AD64" i="45"/>
  <c r="W106" i="43"/>
  <c r="L151" i="30"/>
  <c r="L70" i="43"/>
  <c r="L73" i="43"/>
  <c r="P186" i="43"/>
  <c r="P191" i="43"/>
  <c r="O243" i="45"/>
  <c r="O234" i="45"/>
  <c r="AJ150" i="43"/>
  <c r="AJ158" i="43"/>
  <c r="AJ153" i="43"/>
  <c r="AJ289" i="43"/>
  <c r="AJ294" i="43"/>
  <c r="AJ295" i="43"/>
  <c r="AJ290" i="43"/>
  <c r="AJ286" i="43"/>
  <c r="AJ291" i="43"/>
  <c r="AE157" i="45"/>
  <c r="AE150" i="45"/>
  <c r="AE152" i="45"/>
  <c r="AE154" i="45"/>
  <c r="L206" i="31"/>
  <c r="L207" i="31"/>
  <c r="L88" i="33"/>
  <c r="L51" i="33"/>
  <c r="L58" i="33" s="1"/>
  <c r="T98" i="33"/>
  <c r="T102" i="33"/>
  <c r="T210" i="33"/>
  <c r="T214" i="33"/>
  <c r="AQ52" i="45"/>
  <c r="AQ49" i="45"/>
  <c r="AQ114" i="45"/>
  <c r="AQ117" i="45"/>
  <c r="BD140" i="43"/>
  <c r="BD134" i="43"/>
  <c r="BD133" i="43"/>
  <c r="AU80" i="45"/>
  <c r="AU86" i="45"/>
  <c r="AU84" i="45"/>
  <c r="AU83" i="45"/>
  <c r="AU81" i="45"/>
  <c r="AU85" i="45"/>
  <c r="AM247" i="41"/>
  <c r="AQ247" i="41" s="1"/>
  <c r="BL210" i="43"/>
  <c r="BL203" i="43"/>
  <c r="BK55" i="45"/>
  <c r="BK56" i="45"/>
  <c r="BK48" i="45"/>
  <c r="BK52" i="45"/>
  <c r="BK118" i="45"/>
  <c r="BK122" i="45"/>
  <c r="L98" i="32"/>
  <c r="L100" i="32"/>
  <c r="L95" i="32"/>
  <c r="AD69" i="45"/>
  <c r="AE73" i="45"/>
  <c r="W102" i="43"/>
  <c r="W101" i="43"/>
  <c r="W184" i="45"/>
  <c r="BJ202" i="43"/>
  <c r="AE241" i="45"/>
  <c r="AE238" i="45"/>
  <c r="AE234" i="45"/>
  <c r="AE239" i="45"/>
  <c r="AE236" i="45"/>
  <c r="M125" i="41"/>
  <c r="U125" i="41" s="1"/>
  <c r="G243" i="45"/>
  <c r="G234" i="45"/>
  <c r="G232" i="45" s="1"/>
  <c r="P137" i="43"/>
  <c r="P132" i="43"/>
  <c r="K22" i="45"/>
  <c r="K18" i="45"/>
  <c r="O48" i="45"/>
  <c r="O56" i="45"/>
  <c r="O52" i="45"/>
  <c r="O49" i="45"/>
  <c r="AB99" i="43"/>
  <c r="AB101" i="43"/>
  <c r="L39" i="30"/>
  <c r="L43" i="30"/>
  <c r="L42" i="30"/>
  <c r="L40" i="30"/>
  <c r="L38" i="30"/>
  <c r="L44" i="30"/>
  <c r="T155" i="30"/>
  <c r="T158" i="30"/>
  <c r="L198" i="33"/>
  <c r="L194" i="33"/>
  <c r="AM241" i="45"/>
  <c r="AM243" i="45"/>
  <c r="AM239" i="45"/>
  <c r="AM242" i="45"/>
  <c r="AZ174" i="43"/>
  <c r="AZ167" i="43"/>
  <c r="AZ166" i="43"/>
  <c r="AZ172" i="43"/>
  <c r="AZ176" i="43"/>
  <c r="AZ171" i="43"/>
  <c r="AZ175" i="43"/>
  <c r="AZ168" i="43"/>
  <c r="AQ136" i="45"/>
  <c r="AQ139" i="45"/>
  <c r="AQ137" i="45"/>
  <c r="AU100" i="45"/>
  <c r="AU107" i="45"/>
  <c r="AU170" i="45"/>
  <c r="AU167" i="45"/>
  <c r="BL91" i="43"/>
  <c r="BL86" i="43"/>
  <c r="BL82" i="43"/>
  <c r="BL89" i="43"/>
  <c r="BP52" i="43"/>
  <c r="BP48" i="43"/>
  <c r="BP53" i="43"/>
  <c r="BP56" i="43"/>
  <c r="BP118" i="43"/>
  <c r="BP125" i="43"/>
  <c r="BP117" i="43"/>
  <c r="BP116" i="43"/>
  <c r="BP123" i="43"/>
  <c r="BP193" i="43"/>
  <c r="BP183" i="43"/>
  <c r="U71" i="29"/>
  <c r="U68" i="29"/>
  <c r="U127" i="29"/>
  <c r="U124" i="29"/>
  <c r="U128" i="29"/>
  <c r="U126" i="29"/>
  <c r="O247" i="41"/>
  <c r="O253" i="41" s="1"/>
  <c r="AF104" i="43"/>
  <c r="W132" i="45"/>
  <c r="BL159" i="43"/>
  <c r="AD72" i="45"/>
  <c r="U40" i="29"/>
  <c r="L201" i="43"/>
  <c r="L205" i="43"/>
  <c r="L210" i="43"/>
  <c r="L206" i="43"/>
  <c r="G88" i="45"/>
  <c r="G86" i="45"/>
  <c r="P51" i="43"/>
  <c r="P53" i="43"/>
  <c r="P57" i="43"/>
  <c r="P52" i="43"/>
  <c r="K72" i="45"/>
  <c r="K68" i="45"/>
  <c r="K133" i="45"/>
  <c r="K130" i="45" s="1"/>
  <c r="K135" i="45"/>
  <c r="K132" i="45"/>
  <c r="O103" i="45"/>
  <c r="O106" i="45"/>
  <c r="W271" i="45"/>
  <c r="W276" i="45"/>
  <c r="AF15" i="43"/>
  <c r="AF19" i="43"/>
  <c r="AF154" i="43"/>
  <c r="AF153" i="43"/>
  <c r="AF157" i="43"/>
  <c r="AF149" i="43"/>
  <c r="AF159" i="43"/>
  <c r="AF152" i="43"/>
  <c r="J212" i="31"/>
  <c r="L208" i="31"/>
  <c r="AE242" i="45"/>
  <c r="AE149" i="45"/>
  <c r="AE147" i="45" s="1"/>
  <c r="AJ74" i="43"/>
  <c r="AB255" i="43"/>
  <c r="W98" i="43"/>
  <c r="P138" i="43"/>
  <c r="K131" i="45"/>
  <c r="K73" i="45"/>
  <c r="AE153" i="45"/>
  <c r="AE67" i="45"/>
  <c r="BS252" i="43"/>
  <c r="W100" i="43"/>
  <c r="BL83" i="43"/>
  <c r="L214" i="31"/>
  <c r="AE158" i="45"/>
  <c r="AE155" i="45" s="1"/>
  <c r="K220" i="45"/>
  <c r="U130" i="29"/>
  <c r="AX85" i="43"/>
  <c r="U51" i="29"/>
  <c r="U57" i="29" s="1"/>
  <c r="T99" i="33"/>
  <c r="J43" i="33"/>
  <c r="L270" i="30"/>
  <c r="BS261" i="43"/>
  <c r="Z83" i="43"/>
  <c r="K225" i="45"/>
  <c r="P48" i="43"/>
  <c r="J69" i="45"/>
  <c r="AS80" i="45"/>
  <c r="AO185" i="45"/>
  <c r="BD82" i="43"/>
  <c r="AQ219" i="45"/>
  <c r="U44" i="29"/>
  <c r="J186" i="37"/>
  <c r="J188" i="37"/>
  <c r="J88" i="33"/>
  <c r="L211" i="31"/>
  <c r="AH288" i="43"/>
  <c r="P136" i="43"/>
  <c r="BL90" i="43"/>
  <c r="BD135" i="43"/>
  <c r="AS241" i="45"/>
  <c r="L44" i="33"/>
  <c r="BS256" i="43"/>
  <c r="P56" i="43"/>
  <c r="BL87" i="43"/>
  <c r="AS234" i="45"/>
  <c r="T151" i="30"/>
  <c r="L46" i="33"/>
  <c r="J40" i="33"/>
  <c r="T156" i="30"/>
  <c r="Z87" i="43"/>
  <c r="J202" i="45"/>
  <c r="O51" i="43"/>
  <c r="AH294" i="43"/>
  <c r="J94" i="29"/>
  <c r="AS88" i="45"/>
  <c r="AO191" i="45"/>
  <c r="AO186" i="45"/>
  <c r="BD87" i="43"/>
  <c r="AQ221" i="45"/>
  <c r="L38" i="33"/>
  <c r="L263" i="30"/>
  <c r="W272" i="45"/>
  <c r="M32" i="45"/>
  <c r="M33" i="45"/>
  <c r="K139" i="45"/>
  <c r="J205" i="45"/>
  <c r="AH295" i="43"/>
  <c r="AH287" i="43"/>
  <c r="L96" i="32"/>
  <c r="BL155" i="43"/>
  <c r="BN101" i="43"/>
  <c r="AS85" i="45"/>
  <c r="AO183" i="45"/>
  <c r="AQ141" i="45"/>
  <c r="AQ218" i="45"/>
  <c r="AZ87" i="43"/>
  <c r="AU90" i="45"/>
  <c r="R85" i="33"/>
  <c r="R81" i="33"/>
  <c r="BT260" i="43"/>
  <c r="BT258" i="43" s="1"/>
  <c r="AC139" i="45"/>
  <c r="U29" i="45"/>
  <c r="AU139" i="45"/>
  <c r="AZ294" i="43"/>
  <c r="K321" i="43"/>
  <c r="K325" i="43"/>
  <c r="F132" i="45"/>
  <c r="F134" i="45"/>
  <c r="F136" i="45"/>
  <c r="O260" i="43"/>
  <c r="O259" i="43"/>
  <c r="N89" i="45"/>
  <c r="N85" i="45"/>
  <c r="V200" i="43"/>
  <c r="V203" i="43"/>
  <c r="Q150" i="45"/>
  <c r="Q157" i="45"/>
  <c r="Q148" i="45"/>
  <c r="Z133" i="43"/>
  <c r="Z132" i="43"/>
  <c r="Y80" i="45"/>
  <c r="Y81" i="45"/>
  <c r="AH137" i="43"/>
  <c r="AH136" i="43"/>
  <c r="AC47" i="45"/>
  <c r="AC46" i="45"/>
  <c r="J30" i="33"/>
  <c r="J29" i="33"/>
  <c r="J74" i="33"/>
  <c r="J67" i="33"/>
  <c r="AT152" i="43"/>
  <c r="AT151" i="43"/>
  <c r="AT158" i="43"/>
  <c r="AK50" i="45"/>
  <c r="AK52" i="45"/>
  <c r="AK46" i="45"/>
  <c r="AK55" i="45"/>
  <c r="AX134" i="43"/>
  <c r="AX136" i="43"/>
  <c r="AX289" i="43"/>
  <c r="AX290" i="43"/>
  <c r="AX295" i="43"/>
  <c r="AO107" i="45"/>
  <c r="AO100" i="45"/>
  <c r="BB186" i="43"/>
  <c r="BB184" i="43"/>
  <c r="BB185" i="43"/>
  <c r="BB193" i="43"/>
  <c r="BB191" i="43"/>
  <c r="BN15" i="43"/>
  <c r="BN18" i="43"/>
  <c r="BI29" i="45"/>
  <c r="BI37" i="45"/>
  <c r="BI39" i="45"/>
  <c r="BI103" i="45"/>
  <c r="BI107" i="45"/>
  <c r="BI106" i="45"/>
  <c r="J84" i="32"/>
  <c r="J81" i="32"/>
  <c r="J80" i="32"/>
  <c r="J85" i="32"/>
  <c r="J87" i="32" s="1"/>
  <c r="K230" i="41"/>
  <c r="R156" i="33"/>
  <c r="J68" i="33"/>
  <c r="R80" i="33"/>
  <c r="J32" i="33"/>
  <c r="Z136" i="43"/>
  <c r="BT254" i="43"/>
  <c r="AC133" i="45"/>
  <c r="U243" i="45"/>
  <c r="U33" i="45"/>
  <c r="Q153" i="45"/>
  <c r="Q158" i="45"/>
  <c r="N31" i="43"/>
  <c r="Z141" i="43"/>
  <c r="AS66" i="45"/>
  <c r="M336" i="41"/>
  <c r="BB183" i="43"/>
  <c r="AK186" i="45"/>
  <c r="K122" i="45"/>
  <c r="K120" i="45"/>
  <c r="K117" i="45"/>
  <c r="W101" i="45"/>
  <c r="W106" i="45"/>
  <c r="AE201" i="45"/>
  <c r="AE205" i="45"/>
  <c r="L214" i="28"/>
  <c r="L211" i="28"/>
  <c r="L71" i="33"/>
  <c r="L68" i="33"/>
  <c r="AM51" i="45"/>
  <c r="AM55" i="45"/>
  <c r="AM52" i="45"/>
  <c r="AQ107" i="45"/>
  <c r="AQ98" i="45"/>
  <c r="AQ338" i="45"/>
  <c r="AQ337" i="45"/>
  <c r="BD184" i="43"/>
  <c r="BD188" i="43"/>
  <c r="BD183" i="43"/>
  <c r="BD192" i="43"/>
  <c r="BD190" i="43" s="1"/>
  <c r="BD187" i="43"/>
  <c r="BL276" i="43"/>
  <c r="BL270" i="43"/>
  <c r="BL272" i="43"/>
  <c r="BP290" i="43"/>
  <c r="BP294" i="43"/>
  <c r="BP288" i="43"/>
  <c r="BK100" i="45"/>
  <c r="BK101" i="45"/>
  <c r="BK103" i="45"/>
  <c r="BK99" i="45"/>
  <c r="U94" i="29"/>
  <c r="U99" i="29"/>
  <c r="L252" i="29"/>
  <c r="L250" i="29"/>
  <c r="L249" i="29"/>
  <c r="J24" i="33"/>
  <c r="N211" i="31"/>
  <c r="AC137" i="45"/>
  <c r="BT256" i="43"/>
  <c r="AC141" i="45"/>
  <c r="U233" i="45"/>
  <c r="U238" i="45"/>
  <c r="U38" i="45"/>
  <c r="S217" i="45"/>
  <c r="V210" i="43"/>
  <c r="S149" i="45"/>
  <c r="V204" i="43"/>
  <c r="J26" i="33"/>
  <c r="BP291" i="43"/>
  <c r="BB189" i="43"/>
  <c r="BD185" i="43"/>
  <c r="AK184" i="45"/>
  <c r="J28" i="33"/>
  <c r="N207" i="31"/>
  <c r="F207" i="31" s="1"/>
  <c r="F263" i="31" s="1"/>
  <c r="BT253" i="43"/>
  <c r="U31" i="45"/>
  <c r="U28" i="45" s="1"/>
  <c r="M83" i="45"/>
  <c r="Y86" i="45"/>
  <c r="U32" i="45"/>
  <c r="U236" i="45"/>
  <c r="S220" i="45"/>
  <c r="X200" i="43"/>
  <c r="V209" i="43"/>
  <c r="BP286" i="43"/>
  <c r="BB118" i="43"/>
  <c r="BD189" i="43"/>
  <c r="AK183" i="45"/>
  <c r="J25" i="33"/>
  <c r="BT257" i="43"/>
  <c r="Y83" i="45"/>
  <c r="S225" i="45"/>
  <c r="X204" i="43"/>
  <c r="V202" i="43"/>
  <c r="N84" i="45"/>
  <c r="J320" i="43"/>
  <c r="BD186" i="43"/>
  <c r="AK187" i="45"/>
  <c r="K28" i="30"/>
  <c r="K25" i="30"/>
  <c r="K29" i="30"/>
  <c r="AY85" i="43"/>
  <c r="AY81" i="43"/>
  <c r="AY158" i="43"/>
  <c r="AY155" i="43"/>
  <c r="AY302" i="43"/>
  <c r="AY308" i="43"/>
  <c r="AT13" i="45"/>
  <c r="AT21" i="45"/>
  <c r="AT18" i="45"/>
  <c r="BK140" i="43"/>
  <c r="BK142" i="43"/>
  <c r="BO104" i="43"/>
  <c r="BO98" i="43"/>
  <c r="T30" i="29"/>
  <c r="T31" i="29" s="1"/>
  <c r="T24" i="29"/>
  <c r="Z82" i="45"/>
  <c r="Z85" i="45"/>
  <c r="AP30" i="45"/>
  <c r="AP29" i="45"/>
  <c r="AP33" i="45"/>
  <c r="AP100" i="45"/>
  <c r="AP97" i="45"/>
  <c r="BC184" i="43"/>
  <c r="BC183" i="43"/>
  <c r="BC189" i="43"/>
  <c r="AT139" i="45"/>
  <c r="AT141" i="45"/>
  <c r="BO155" i="43"/>
  <c r="BO149" i="43"/>
  <c r="BJ100" i="45"/>
  <c r="BJ97" i="45"/>
  <c r="BJ96" i="45" s="1"/>
  <c r="BJ98" i="45"/>
  <c r="K252" i="29"/>
  <c r="K248" i="29"/>
  <c r="K85" i="32"/>
  <c r="K86" i="32"/>
  <c r="AA133" i="43"/>
  <c r="Z37" i="45"/>
  <c r="S40" i="30"/>
  <c r="S38" i="30"/>
  <c r="AI140" i="43"/>
  <c r="AE138" i="43"/>
  <c r="AP56" i="45"/>
  <c r="AY223" i="43"/>
  <c r="AO15" i="45"/>
  <c r="AO16" i="45"/>
  <c r="M318" i="41"/>
  <c r="M321" i="41"/>
  <c r="M328" i="41"/>
  <c r="BB169" i="43"/>
  <c r="BB170" i="43"/>
  <c r="BB242" i="43"/>
  <c r="BB235" i="43"/>
  <c r="BB240" i="43"/>
  <c r="BN72" i="43"/>
  <c r="BN70" i="43"/>
  <c r="J238" i="29"/>
  <c r="J235" i="29"/>
  <c r="AD135" i="45"/>
  <c r="AI285" i="43"/>
  <c r="AI291" i="43"/>
  <c r="AA137" i="43"/>
  <c r="Z218" i="45"/>
  <c r="AL49" i="45"/>
  <c r="AP47" i="45"/>
  <c r="N340" i="41"/>
  <c r="BC193" i="43"/>
  <c r="AP339" i="45"/>
  <c r="AB188" i="43"/>
  <c r="R52" i="45"/>
  <c r="R48" i="45"/>
  <c r="AA192" i="43"/>
  <c r="AA186" i="43"/>
  <c r="AL100" i="45"/>
  <c r="AL105" i="45"/>
  <c r="AP151" i="45"/>
  <c r="AP148" i="45"/>
  <c r="BC237" i="43"/>
  <c r="BC234" i="43"/>
  <c r="BC239" i="43"/>
  <c r="BC236" i="43"/>
  <c r="AT56" i="45"/>
  <c r="AT50" i="45"/>
  <c r="AT55" i="45"/>
  <c r="BK31" i="43"/>
  <c r="BK39" i="43"/>
  <c r="BK322" i="43"/>
  <c r="BK321" i="43"/>
  <c r="BO271" i="43"/>
  <c r="BO268" i="43"/>
  <c r="P239" i="43"/>
  <c r="P238" i="43"/>
  <c r="K239" i="45"/>
  <c r="K237" i="45"/>
  <c r="X123" i="43"/>
  <c r="X116" i="43"/>
  <c r="AE119" i="45"/>
  <c r="AE116" i="45"/>
  <c r="T141" i="33"/>
  <c r="T126" i="29"/>
  <c r="T128" i="29"/>
  <c r="T129" i="29" s="1"/>
  <c r="AM107" i="45"/>
  <c r="AM99" i="45"/>
  <c r="AZ120" i="43"/>
  <c r="AZ117" i="43"/>
  <c r="AQ81" i="45"/>
  <c r="AQ88" i="45"/>
  <c r="BD33" i="43"/>
  <c r="BD34" i="43"/>
  <c r="BD31" i="43"/>
  <c r="BD237" i="43"/>
  <c r="BD235" i="43"/>
  <c r="J24" i="29"/>
  <c r="J32" i="29"/>
  <c r="BP226" i="43"/>
  <c r="BP223" i="43"/>
  <c r="BP271" i="43"/>
  <c r="BP270" i="43"/>
  <c r="R230" i="30"/>
  <c r="AA233" i="37"/>
  <c r="AA188" i="43"/>
  <c r="L219" i="29"/>
  <c r="BT251" i="43"/>
  <c r="AA193" i="43"/>
  <c r="BN82" i="45"/>
  <c r="BR202" i="43"/>
  <c r="BO328" i="45"/>
  <c r="T76" i="31"/>
  <c r="BO327" i="45"/>
  <c r="L150" i="32"/>
  <c r="P218" i="28"/>
  <c r="BN137" i="45"/>
  <c r="J142" i="41"/>
  <c r="M262" i="37"/>
  <c r="J219" i="29"/>
  <c r="AA76" i="41"/>
  <c r="BN81" i="45"/>
  <c r="N82" i="37"/>
  <c r="BN141" i="45"/>
  <c r="BN205" i="45"/>
  <c r="V144" i="41"/>
  <c r="AT144" i="41" s="1"/>
  <c r="BN139" i="45"/>
  <c r="J150" i="31"/>
  <c r="J155" i="31"/>
  <c r="N98" i="37"/>
  <c r="M81" i="37"/>
  <c r="M133" i="37"/>
  <c r="Z183" i="37"/>
  <c r="Z182" i="37"/>
  <c r="P62" i="28"/>
  <c r="AA91" i="41"/>
  <c r="AQ91" i="41" s="1"/>
  <c r="V279" i="37"/>
  <c r="O98" i="37"/>
  <c r="L254" i="28"/>
  <c r="K74" i="31"/>
  <c r="J182" i="37"/>
  <c r="AM217" i="45"/>
  <c r="AV39" i="43"/>
  <c r="BJ208" i="43"/>
  <c r="BD136" i="43"/>
  <c r="AO12" i="45"/>
  <c r="AL47" i="45"/>
  <c r="AB50" i="43"/>
  <c r="AX51" i="43"/>
  <c r="AI141" i="43"/>
  <c r="AF50" i="43"/>
  <c r="S200" i="45"/>
  <c r="K64" i="45"/>
  <c r="K134" i="45"/>
  <c r="K328" i="43"/>
  <c r="K116" i="45"/>
  <c r="T208" i="33"/>
  <c r="S94" i="30"/>
  <c r="AF55" i="43"/>
  <c r="AF54" i="43" s="1"/>
  <c r="P187" i="43"/>
  <c r="BP120" i="43"/>
  <c r="BK69" i="45"/>
  <c r="AM221" i="45"/>
  <c r="AT200" i="43"/>
  <c r="AK101" i="45"/>
  <c r="AO190" i="45"/>
  <c r="AO189" i="45" s="1"/>
  <c r="AV174" i="43"/>
  <c r="AU219" i="43"/>
  <c r="I254" i="41"/>
  <c r="AT202" i="43"/>
  <c r="BD132" i="43"/>
  <c r="I295" i="41"/>
  <c r="N246" i="41"/>
  <c r="U62" i="32"/>
  <c r="AX49" i="43"/>
  <c r="AM219" i="45"/>
  <c r="AX120" i="43"/>
  <c r="AU223" i="43"/>
  <c r="AT206" i="43"/>
  <c r="M320" i="41"/>
  <c r="AT209" i="43"/>
  <c r="T256" i="29"/>
  <c r="K324" i="43"/>
  <c r="K192" i="43"/>
  <c r="Z90" i="45"/>
  <c r="AE132" i="43"/>
  <c r="K184" i="43"/>
  <c r="AT106" i="43"/>
  <c r="I340" i="41"/>
  <c r="BD141" i="43"/>
  <c r="N261" i="41"/>
  <c r="V261" i="41" s="1"/>
  <c r="AT261" i="41" s="1"/>
  <c r="AU168" i="43"/>
  <c r="AU169" i="43"/>
  <c r="K219" i="29"/>
  <c r="T218" i="29"/>
  <c r="K62" i="29"/>
  <c r="K154" i="29"/>
  <c r="AU171" i="43"/>
  <c r="AZ136" i="43"/>
  <c r="AZ133" i="43"/>
  <c r="T62" i="29"/>
  <c r="J230" i="29"/>
  <c r="L10" i="29"/>
  <c r="J99" i="32"/>
  <c r="Y131" i="45"/>
  <c r="Y130" i="45" s="1"/>
  <c r="X209" i="43"/>
  <c r="S150" i="45"/>
  <c r="X48" i="43"/>
  <c r="K191" i="45"/>
  <c r="AJ209" i="43"/>
  <c r="K210" i="28"/>
  <c r="AC35" i="45"/>
  <c r="AE204" i="45"/>
  <c r="AE208" i="45"/>
  <c r="U355" i="45"/>
  <c r="U81" i="45"/>
  <c r="W241" i="45"/>
  <c r="Z187" i="43"/>
  <c r="Y135" i="45"/>
  <c r="S154" i="45"/>
  <c r="X52" i="43"/>
  <c r="X49" i="43"/>
  <c r="L188" i="43"/>
  <c r="R158" i="33"/>
  <c r="AE199" i="45"/>
  <c r="U85" i="45"/>
  <c r="W238" i="45"/>
  <c r="Z185" i="43"/>
  <c r="Y140" i="45"/>
  <c r="S148" i="45"/>
  <c r="X57" i="43"/>
  <c r="S151" i="45"/>
  <c r="V36" i="43"/>
  <c r="L186" i="43"/>
  <c r="J253" i="43"/>
  <c r="K208" i="28"/>
  <c r="K209" i="28" s="1"/>
  <c r="AJ141" i="43"/>
  <c r="AE203" i="45"/>
  <c r="Y141" i="45"/>
  <c r="U90" i="45"/>
  <c r="AB137" i="43"/>
  <c r="Q202" i="45"/>
  <c r="Z184" i="43"/>
  <c r="Z183" i="43"/>
  <c r="AB142" i="43"/>
  <c r="S152" i="45"/>
  <c r="Q55" i="45"/>
  <c r="O17" i="45"/>
  <c r="L184" i="43"/>
  <c r="R84" i="33"/>
  <c r="L210" i="28"/>
  <c r="L212" i="28"/>
  <c r="K211" i="28"/>
  <c r="AJ138" i="43"/>
  <c r="AJ200" i="43"/>
  <c r="Y137" i="45"/>
  <c r="AB135" i="43"/>
  <c r="W234" i="45"/>
  <c r="Z188" i="43"/>
  <c r="AB140" i="43"/>
  <c r="S157" i="45"/>
  <c r="S155" i="45" s="1"/>
  <c r="V30" i="43"/>
  <c r="K119" i="45"/>
  <c r="L185" i="43"/>
  <c r="P101" i="43"/>
  <c r="AJ203" i="43"/>
  <c r="AJ134" i="43"/>
  <c r="P40" i="43"/>
  <c r="W239" i="45"/>
  <c r="G352" i="45"/>
  <c r="W235" i="45"/>
  <c r="Z193" i="43"/>
  <c r="AB134" i="43"/>
  <c r="M137" i="45"/>
  <c r="Q51" i="45"/>
  <c r="L206" i="28"/>
  <c r="AJ137" i="43"/>
  <c r="AA219" i="45"/>
  <c r="AD186" i="43"/>
  <c r="Y134" i="45"/>
  <c r="W243" i="45"/>
  <c r="K72" i="33"/>
  <c r="K73" i="33" s="1"/>
  <c r="AA82" i="45"/>
  <c r="AC38" i="45"/>
  <c r="AH193" i="43"/>
  <c r="AH30" i="43"/>
  <c r="W97" i="45"/>
  <c r="Z189" i="43"/>
  <c r="W237" i="45"/>
  <c r="W98" i="45"/>
  <c r="S222" i="45"/>
  <c r="E188" i="45"/>
  <c r="G354" i="45"/>
  <c r="AA225" i="45"/>
  <c r="AC30" i="45"/>
  <c r="AH38" i="43"/>
  <c r="W242" i="45"/>
  <c r="Z47" i="43"/>
  <c r="Y132" i="45"/>
  <c r="S216" i="45"/>
  <c r="X50" i="43"/>
  <c r="T210" i="43"/>
  <c r="E114" i="45"/>
  <c r="F220" i="45"/>
  <c r="X203" i="43"/>
  <c r="L239" i="28"/>
  <c r="K235" i="31"/>
  <c r="BN233" i="43"/>
  <c r="BP87" i="43"/>
  <c r="L50" i="30"/>
  <c r="K235" i="28"/>
  <c r="K51" i="30"/>
  <c r="K242" i="28"/>
  <c r="S140" i="37"/>
  <c r="N74" i="41"/>
  <c r="BK98" i="45"/>
  <c r="K178" i="41"/>
  <c r="K234" i="28"/>
  <c r="J140" i="31"/>
  <c r="CH16" i="34"/>
  <c r="CH17" i="34" s="1"/>
  <c r="J26" i="28"/>
  <c r="K240" i="28"/>
  <c r="BN188" i="45"/>
  <c r="J191" i="37"/>
  <c r="S139" i="37"/>
  <c r="Z187" i="37"/>
  <c r="I76" i="41"/>
  <c r="L192" i="43"/>
  <c r="K319" i="43"/>
  <c r="BI336" i="45"/>
  <c r="U279" i="37"/>
  <c r="K217" i="37"/>
  <c r="BS84" i="43"/>
  <c r="R222" i="37"/>
  <c r="Z192" i="37"/>
  <c r="T87" i="29"/>
  <c r="BP285" i="43"/>
  <c r="J329" i="43"/>
  <c r="K230" i="29"/>
  <c r="T106" i="32"/>
  <c r="L240" i="28"/>
  <c r="N74" i="28"/>
  <c r="BO320" i="45"/>
  <c r="Q90" i="37"/>
  <c r="AP325" i="45"/>
  <c r="T83" i="29"/>
  <c r="L230" i="29"/>
  <c r="U50" i="32"/>
  <c r="U106" i="32"/>
  <c r="S255" i="29"/>
  <c r="J118" i="29"/>
  <c r="K218" i="29"/>
  <c r="U50" i="29"/>
  <c r="L218" i="29"/>
  <c r="AJ260" i="43"/>
  <c r="G50" i="45"/>
  <c r="R256" i="43"/>
  <c r="O158" i="43"/>
  <c r="G35" i="45"/>
  <c r="AJ256" i="43"/>
  <c r="X91" i="43"/>
  <c r="X47" i="43"/>
  <c r="AK280" i="41"/>
  <c r="AO280" i="41" s="1"/>
  <c r="R261" i="43"/>
  <c r="N239" i="43"/>
  <c r="S158" i="45"/>
  <c r="G29" i="45"/>
  <c r="G101" i="45"/>
  <c r="Q30" i="45"/>
  <c r="Q32" i="45"/>
  <c r="M183" i="45"/>
  <c r="S156" i="45"/>
  <c r="G98" i="45"/>
  <c r="AD185" i="43"/>
  <c r="N235" i="43"/>
  <c r="T205" i="43"/>
  <c r="M187" i="45"/>
  <c r="AD188" i="43"/>
  <c r="Q29" i="45"/>
  <c r="K183" i="43"/>
  <c r="AH32" i="43"/>
  <c r="J44" i="33"/>
  <c r="Q35" i="45"/>
  <c r="V32" i="43"/>
  <c r="M182" i="45"/>
  <c r="M188" i="45"/>
  <c r="R62" i="30"/>
  <c r="R171" i="43"/>
  <c r="F48" i="45"/>
  <c r="G233" i="45"/>
  <c r="R176" i="43"/>
  <c r="G31" i="45"/>
  <c r="G242" i="45"/>
  <c r="V124" i="43"/>
  <c r="AH89" i="43"/>
  <c r="AC356" i="45"/>
  <c r="AD192" i="43"/>
  <c r="V149" i="43"/>
  <c r="AL280" i="41"/>
  <c r="AP280" i="41" s="1"/>
  <c r="R55" i="43"/>
  <c r="AD187" i="43"/>
  <c r="V121" i="43"/>
  <c r="E170" i="45"/>
  <c r="X87" i="43"/>
  <c r="K295" i="41"/>
  <c r="S170" i="43"/>
  <c r="S253" i="43"/>
  <c r="J165" i="45"/>
  <c r="O57" i="43"/>
  <c r="J38" i="45"/>
  <c r="O50" i="43"/>
  <c r="K188" i="43"/>
  <c r="O56" i="43"/>
  <c r="F225" i="45"/>
  <c r="AH33" i="43"/>
  <c r="V116" i="43"/>
  <c r="P49" i="43"/>
  <c r="S257" i="43"/>
  <c r="J169" i="45"/>
  <c r="O49" i="43"/>
  <c r="J101" i="45"/>
  <c r="J35" i="45"/>
  <c r="K193" i="43"/>
  <c r="F86" i="45"/>
  <c r="AH291" i="43"/>
  <c r="U362" i="45"/>
  <c r="Z186" i="43"/>
  <c r="AA35" i="43"/>
  <c r="J174" i="45"/>
  <c r="U357" i="45"/>
  <c r="O50" i="45"/>
  <c r="J50" i="33"/>
  <c r="K50" i="33"/>
  <c r="J204" i="45"/>
  <c r="F219" i="45"/>
  <c r="L209" i="43"/>
  <c r="F89" i="45"/>
  <c r="U353" i="45"/>
  <c r="U191" i="45"/>
  <c r="S169" i="43"/>
  <c r="O51" i="45"/>
  <c r="O46" i="45"/>
  <c r="K186" i="43"/>
  <c r="J73" i="45"/>
  <c r="J68" i="45"/>
  <c r="T102" i="30"/>
  <c r="AH289" i="43"/>
  <c r="U80" i="45"/>
  <c r="T36" i="43"/>
  <c r="F85" i="45"/>
  <c r="J62" i="33"/>
  <c r="I149" i="37"/>
  <c r="AC35" i="37"/>
  <c r="G202" i="45"/>
  <c r="K257" i="43"/>
  <c r="N257" i="43"/>
  <c r="G133" i="45"/>
  <c r="R70" i="43"/>
  <c r="O255" i="43"/>
  <c r="N171" i="43"/>
  <c r="AA90" i="43"/>
  <c r="AP14" i="34"/>
  <c r="BM241" i="45"/>
  <c r="N106" i="28"/>
  <c r="N154" i="37"/>
  <c r="T149" i="43"/>
  <c r="J187" i="45"/>
  <c r="N251" i="43"/>
  <c r="G137" i="45"/>
  <c r="K102" i="43"/>
  <c r="T96" i="30"/>
  <c r="Z84" i="43"/>
  <c r="O251" i="43"/>
  <c r="BN136" i="45"/>
  <c r="K62" i="31"/>
  <c r="BM238" i="45"/>
  <c r="R239" i="37"/>
  <c r="T153" i="43"/>
  <c r="J183" i="45"/>
  <c r="N255" i="43"/>
  <c r="E118" i="45"/>
  <c r="N176" i="43"/>
  <c r="G361" i="45"/>
  <c r="E117" i="45"/>
  <c r="I116" i="45"/>
  <c r="O33" i="43"/>
  <c r="O257" i="43"/>
  <c r="O107" i="45"/>
  <c r="L50" i="33"/>
  <c r="AP23" i="34"/>
  <c r="AC99" i="37"/>
  <c r="BR150" i="43"/>
  <c r="BN131" i="45"/>
  <c r="BS244" i="43"/>
  <c r="BR328" i="43"/>
  <c r="K80" i="31"/>
  <c r="N218" i="31"/>
  <c r="E123" i="45"/>
  <c r="K104" i="43"/>
  <c r="N260" i="43"/>
  <c r="N167" i="43"/>
  <c r="G103" i="45"/>
  <c r="I120" i="45"/>
  <c r="S199" i="45"/>
  <c r="O261" i="43"/>
  <c r="J43" i="28"/>
  <c r="BN140" i="45"/>
  <c r="N168" i="43"/>
  <c r="E191" i="45"/>
  <c r="I124" i="45"/>
  <c r="N36" i="43"/>
  <c r="I114" i="45"/>
  <c r="AA184" i="43"/>
  <c r="AJ174" i="43"/>
  <c r="N280" i="41"/>
  <c r="AP18" i="34"/>
  <c r="L256" i="28"/>
  <c r="I236" i="37"/>
  <c r="O241" i="45"/>
  <c r="R167" i="43"/>
  <c r="O254" i="43"/>
  <c r="X121" i="43"/>
  <c r="I84" i="45"/>
  <c r="J252" i="43"/>
  <c r="O31" i="43"/>
  <c r="G100" i="45"/>
  <c r="G96" i="45" s="1"/>
  <c r="G237" i="45"/>
  <c r="T94" i="30"/>
  <c r="O236" i="45"/>
  <c r="O30" i="43"/>
  <c r="R174" i="43"/>
  <c r="Y31" i="45"/>
  <c r="Q224" i="45"/>
  <c r="J256" i="43"/>
  <c r="O35" i="43"/>
  <c r="Z86" i="43"/>
  <c r="O235" i="45"/>
  <c r="K10" i="28"/>
  <c r="BS89" i="43"/>
  <c r="M244" i="41"/>
  <c r="K193" i="41"/>
  <c r="V184" i="45"/>
  <c r="O239" i="45"/>
  <c r="O97" i="45"/>
  <c r="J254" i="43"/>
  <c r="G106" i="45"/>
  <c r="AD63" i="45"/>
  <c r="M80" i="45"/>
  <c r="AK295" i="41"/>
  <c r="AO295" i="41" s="1"/>
  <c r="K142" i="41"/>
  <c r="BN133" i="45"/>
  <c r="J106" i="28"/>
  <c r="AL193" i="41"/>
  <c r="AP193" i="41" s="1"/>
  <c r="Z185" i="37"/>
  <c r="O101" i="45"/>
  <c r="K255" i="43"/>
  <c r="N261" i="43"/>
  <c r="G357" i="45"/>
  <c r="T197" i="30"/>
  <c r="Z82" i="43"/>
  <c r="G131" i="45"/>
  <c r="G360" i="45"/>
  <c r="R23" i="34"/>
  <c r="N142" i="28"/>
  <c r="G204" i="45"/>
  <c r="K253" i="43"/>
  <c r="N253" i="43"/>
  <c r="G132" i="45"/>
  <c r="K107" i="43"/>
  <c r="J55" i="43"/>
  <c r="J50" i="43"/>
  <c r="J188" i="43"/>
  <c r="J185" i="43"/>
  <c r="AD99" i="37"/>
  <c r="BN207" i="45"/>
  <c r="J49" i="43"/>
  <c r="J193" i="43"/>
  <c r="S239" i="29"/>
  <c r="S240" i="29"/>
  <c r="AD100" i="37"/>
  <c r="G225" i="45"/>
  <c r="J186" i="43"/>
  <c r="S235" i="29"/>
  <c r="CH10" i="34"/>
  <c r="CH14" i="34"/>
  <c r="BJ15" i="34"/>
  <c r="K281" i="41"/>
  <c r="K284" i="41" s="1"/>
  <c r="N186" i="43"/>
  <c r="G222" i="45"/>
  <c r="J184" i="43"/>
  <c r="S234" i="29"/>
  <c r="AS117" i="45"/>
  <c r="AS115" i="45"/>
  <c r="AS118" i="45"/>
  <c r="AS183" i="45"/>
  <c r="AS182" i="45"/>
  <c r="BL294" i="43"/>
  <c r="BL291" i="43"/>
  <c r="BN106" i="43"/>
  <c r="BN107" i="43"/>
  <c r="BN102" i="43"/>
  <c r="BN172" i="43"/>
  <c r="BN175" i="43"/>
  <c r="BN167" i="43"/>
  <c r="BN166" i="43"/>
  <c r="BN176" i="43"/>
  <c r="BN169" i="43"/>
  <c r="BN310" i="43"/>
  <c r="BN307" i="43"/>
  <c r="BN311" i="43"/>
  <c r="BN306" i="43"/>
  <c r="BN304" i="43"/>
  <c r="BI51" i="45"/>
  <c r="BI46" i="45"/>
  <c r="BI52" i="45"/>
  <c r="BI54" i="45"/>
  <c r="BI56" i="45"/>
  <c r="BI48" i="45"/>
  <c r="BI47" i="45"/>
  <c r="BI55" i="45"/>
  <c r="BI50" i="45"/>
  <c r="BK139" i="45"/>
  <c r="BK131" i="45"/>
  <c r="BK141" i="45"/>
  <c r="BK134" i="45"/>
  <c r="BK132" i="45"/>
  <c r="K81" i="29"/>
  <c r="K84" i="29"/>
  <c r="J186" i="29"/>
  <c r="J180" i="29"/>
  <c r="J184" i="29"/>
  <c r="BM154" i="45"/>
  <c r="S236" i="29"/>
  <c r="J179" i="29"/>
  <c r="BK137" i="45"/>
  <c r="BL290" i="43"/>
  <c r="BN98" i="43"/>
  <c r="U252" i="29"/>
  <c r="R98" i="30"/>
  <c r="R100" i="30"/>
  <c r="AS39" i="45"/>
  <c r="AS38" i="45"/>
  <c r="AT191" i="45"/>
  <c r="AT186" i="45"/>
  <c r="AT190" i="45"/>
  <c r="BJ119" i="43"/>
  <c r="BJ121" i="43"/>
  <c r="BJ271" i="43"/>
  <c r="BJ269" i="43"/>
  <c r="BJ270" i="43"/>
  <c r="BJ274" i="43"/>
  <c r="BJ277" i="43"/>
  <c r="BJ273" i="43"/>
  <c r="BJ276" i="43"/>
  <c r="BJ268" i="43"/>
  <c r="BP34" i="43"/>
  <c r="BP33" i="43"/>
  <c r="BO176" i="43"/>
  <c r="BO168" i="43"/>
  <c r="U118" i="29"/>
  <c r="S230" i="29"/>
  <c r="BN90" i="45"/>
  <c r="BN89" i="45"/>
  <c r="F239" i="37"/>
  <c r="N118" i="43"/>
  <c r="J189" i="43"/>
  <c r="S242" i="29"/>
  <c r="BK133" i="45"/>
  <c r="BN23" i="43"/>
  <c r="BL287" i="43"/>
  <c r="AS34" i="45"/>
  <c r="AT187" i="45"/>
  <c r="AS29" i="45"/>
  <c r="K183" i="29"/>
  <c r="U248" i="29"/>
  <c r="L259" i="43"/>
  <c r="L251" i="43"/>
  <c r="L256" i="43"/>
  <c r="F187" i="45"/>
  <c r="F184" i="45"/>
  <c r="F191" i="45"/>
  <c r="F188" i="45"/>
  <c r="F190" i="45"/>
  <c r="F186" i="45"/>
  <c r="S69" i="43"/>
  <c r="S67" i="43"/>
  <c r="S68" i="43"/>
  <c r="S209" i="43"/>
  <c r="S203" i="43"/>
  <c r="N82" i="45"/>
  <c r="N80" i="45"/>
  <c r="W159" i="43"/>
  <c r="W150" i="43"/>
  <c r="W154" i="43"/>
  <c r="W149" i="43"/>
  <c r="W151" i="43"/>
  <c r="W157" i="43"/>
  <c r="W153" i="43"/>
  <c r="AF101" i="43"/>
  <c r="AF106" i="43"/>
  <c r="AF108" i="43"/>
  <c r="AI302" i="43"/>
  <c r="AI312" i="43"/>
  <c r="AT30" i="45"/>
  <c r="AT33" i="45"/>
  <c r="AT39" i="45"/>
  <c r="AU114" i="45"/>
  <c r="AU120" i="45"/>
  <c r="AU188" i="45"/>
  <c r="AU192" i="45"/>
  <c r="AU187" i="45"/>
  <c r="AU183" i="45"/>
  <c r="AU191" i="45"/>
  <c r="AU189" i="45" s="1"/>
  <c r="BO13" i="43"/>
  <c r="BO18" i="43"/>
  <c r="BP101" i="43"/>
  <c r="BP106" i="43"/>
  <c r="BP103" i="43"/>
  <c r="BP98" i="43"/>
  <c r="BP108" i="43"/>
  <c r="L81" i="29"/>
  <c r="L88" i="29"/>
  <c r="J106" i="29"/>
  <c r="T230" i="29"/>
  <c r="K244" i="41"/>
  <c r="K233" i="37"/>
  <c r="O123" i="28"/>
  <c r="BN83" i="45"/>
  <c r="K166" i="31"/>
  <c r="J86" i="28"/>
  <c r="J18" i="34"/>
  <c r="J14" i="34"/>
  <c r="G217" i="45"/>
  <c r="F192" i="45"/>
  <c r="J182" i="29"/>
  <c r="AU55" i="45"/>
  <c r="AT183" i="45"/>
  <c r="AS33" i="45"/>
  <c r="T240" i="29"/>
  <c r="T241" i="29" s="1"/>
  <c r="J81" i="43"/>
  <c r="J85" i="43"/>
  <c r="J83" i="43"/>
  <c r="G182" i="45"/>
  <c r="G188" i="45"/>
  <c r="G187" i="45"/>
  <c r="N234" i="43"/>
  <c r="N237" i="43"/>
  <c r="N242" i="43"/>
  <c r="I30" i="45"/>
  <c r="I34" i="45"/>
  <c r="I29" i="45"/>
  <c r="O22" i="45"/>
  <c r="O16" i="45"/>
  <c r="O81" i="45"/>
  <c r="O84" i="45"/>
  <c r="O86" i="45"/>
  <c r="S18" i="45"/>
  <c r="S22" i="45"/>
  <c r="S14" i="45"/>
  <c r="S13" i="45"/>
  <c r="S20" i="45"/>
  <c r="V185" i="45"/>
  <c r="V187" i="45"/>
  <c r="V186" i="45"/>
  <c r="V190" i="45"/>
  <c r="AD82" i="43"/>
  <c r="AD86" i="43"/>
  <c r="AD84" i="43"/>
  <c r="AD89" i="43"/>
  <c r="AD159" i="43"/>
  <c r="AD149" i="43"/>
  <c r="AD152" i="43"/>
  <c r="Y33" i="45"/>
  <c r="Y30" i="45"/>
  <c r="Y34" i="45"/>
  <c r="AJ307" i="43"/>
  <c r="AJ311" i="43"/>
  <c r="BD89" i="43"/>
  <c r="BD83" i="43"/>
  <c r="BD86" i="43"/>
  <c r="BD84" i="43"/>
  <c r="BD90" i="43"/>
  <c r="BD219" i="43"/>
  <c r="BD227" i="43"/>
  <c r="BL53" i="43"/>
  <c r="BL47" i="43"/>
  <c r="BL50" i="43"/>
  <c r="BL184" i="43"/>
  <c r="BL188" i="43"/>
  <c r="BL192" i="43"/>
  <c r="BP22" i="43"/>
  <c r="BP20" i="43" s="1"/>
  <c r="BP18" i="43"/>
  <c r="BN152" i="43"/>
  <c r="BN150" i="43"/>
  <c r="BN158" i="43"/>
  <c r="S165" i="29"/>
  <c r="S164" i="29"/>
  <c r="S169" i="29"/>
  <c r="S171" i="29" s="1"/>
  <c r="S172" i="29"/>
  <c r="S168" i="29"/>
  <c r="U230" i="29"/>
  <c r="BM199" i="45"/>
  <c r="BJ12" i="34"/>
  <c r="E217" i="37"/>
  <c r="BS91" i="43"/>
  <c r="O16" i="34"/>
  <c r="K150" i="28"/>
  <c r="BN88" i="45"/>
  <c r="E221" i="37"/>
  <c r="Q236" i="37"/>
  <c r="Y242" i="37"/>
  <c r="M30" i="37"/>
  <c r="M29" i="37"/>
  <c r="O210" i="28"/>
  <c r="AD73" i="45"/>
  <c r="AJ303" i="43"/>
  <c r="AD81" i="43"/>
  <c r="W158" i="43"/>
  <c r="S206" i="43"/>
  <c r="J87" i="43"/>
  <c r="J183" i="43"/>
  <c r="R18" i="45"/>
  <c r="G191" i="45"/>
  <c r="BI49" i="45"/>
  <c r="BP16" i="43"/>
  <c r="BO17" i="43"/>
  <c r="BJ278" i="43"/>
  <c r="AU52" i="45"/>
  <c r="BD220" i="43"/>
  <c r="AT185" i="45"/>
  <c r="BO166" i="43"/>
  <c r="F185" i="45"/>
  <c r="E165" i="45"/>
  <c r="E169" i="45"/>
  <c r="E173" i="45"/>
  <c r="J239" i="45"/>
  <c r="J238" i="45"/>
  <c r="J241" i="45"/>
  <c r="R56" i="43"/>
  <c r="R51" i="43"/>
  <c r="R120" i="43"/>
  <c r="R124" i="43"/>
  <c r="M208" i="45"/>
  <c r="M203" i="45"/>
  <c r="V208" i="43"/>
  <c r="V201" i="43"/>
  <c r="V205" i="43"/>
  <c r="V206" i="43"/>
  <c r="AB91" i="43"/>
  <c r="AB81" i="43"/>
  <c r="W183" i="45"/>
  <c r="W185" i="45"/>
  <c r="O280" i="41"/>
  <c r="BB74" i="43"/>
  <c r="BB69" i="43"/>
  <c r="BB72" i="43"/>
  <c r="BB142" i="43"/>
  <c r="BB137" i="43"/>
  <c r="BB133" i="43"/>
  <c r="J242" i="31"/>
  <c r="N138" i="31"/>
  <c r="BS87" i="43"/>
  <c r="O18" i="34"/>
  <c r="K152" i="28"/>
  <c r="BN86" i="45"/>
  <c r="BT239" i="43"/>
  <c r="BT234" i="43"/>
  <c r="N50" i="31"/>
  <c r="J25" i="28"/>
  <c r="J28" i="28"/>
  <c r="N196" i="41"/>
  <c r="E225" i="37"/>
  <c r="Y233" i="37"/>
  <c r="S237" i="37"/>
  <c r="S242" i="37"/>
  <c r="N178" i="41"/>
  <c r="AL229" i="41"/>
  <c r="AP229" i="41" s="1"/>
  <c r="AJ305" i="43"/>
  <c r="Q152" i="45"/>
  <c r="J168" i="45"/>
  <c r="N135" i="43"/>
  <c r="J243" i="45"/>
  <c r="J33" i="45"/>
  <c r="G97" i="45"/>
  <c r="M190" i="45"/>
  <c r="S96" i="29"/>
  <c r="BL271" i="43"/>
  <c r="BO175" i="43"/>
  <c r="BO15" i="43"/>
  <c r="BL208" i="43"/>
  <c r="AT38" i="45"/>
  <c r="BJ54" i="45"/>
  <c r="AT192" i="45"/>
  <c r="BD222" i="43"/>
  <c r="AT182" i="45"/>
  <c r="BN171" i="43"/>
  <c r="AS31" i="45"/>
  <c r="AS28" i="45" s="1"/>
  <c r="AS188" i="45"/>
  <c r="R175" i="43"/>
  <c r="G219" i="45"/>
  <c r="J191" i="43"/>
  <c r="F30" i="45"/>
  <c r="F38" i="45"/>
  <c r="F174" i="45"/>
  <c r="F166" i="45"/>
  <c r="F243" i="45"/>
  <c r="F235" i="45"/>
  <c r="F232" i="45" s="1"/>
  <c r="K167" i="45"/>
  <c r="K164" i="45" s="1"/>
  <c r="K174" i="45"/>
  <c r="K165" i="45"/>
  <c r="K233" i="45"/>
  <c r="K242" i="45"/>
  <c r="Z142" i="43"/>
  <c r="Z135" i="43"/>
  <c r="Z138" i="43"/>
  <c r="AO336" i="45"/>
  <c r="AO338" i="45"/>
  <c r="AD106" i="37"/>
  <c r="I125" i="41"/>
  <c r="J234" i="31"/>
  <c r="P15" i="28"/>
  <c r="AM244" i="41"/>
  <c r="AQ244" i="41" s="1"/>
  <c r="BS81" i="43"/>
  <c r="K156" i="28"/>
  <c r="BN85" i="45"/>
  <c r="M154" i="37"/>
  <c r="E224" i="37"/>
  <c r="AI305" i="43"/>
  <c r="AJ302" i="43"/>
  <c r="V56" i="45"/>
  <c r="T209" i="43"/>
  <c r="J48" i="43"/>
  <c r="J47" i="43"/>
  <c r="N184" i="43"/>
  <c r="S102" i="29"/>
  <c r="BO172" i="43"/>
  <c r="BO19" i="43"/>
  <c r="AT35" i="45"/>
  <c r="BJ51" i="45"/>
  <c r="AS35" i="45"/>
  <c r="BD223" i="43"/>
  <c r="G238" i="45"/>
  <c r="G235" i="45"/>
  <c r="G236" i="45"/>
  <c r="I18" i="45"/>
  <c r="I14" i="45"/>
  <c r="T183" i="43"/>
  <c r="T188" i="43"/>
  <c r="T325" i="43"/>
  <c r="T321" i="43"/>
  <c r="T319" i="43"/>
  <c r="T320" i="43"/>
  <c r="O140" i="45"/>
  <c r="O141" i="45"/>
  <c r="V33" i="43"/>
  <c r="V31" i="43"/>
  <c r="V39" i="43"/>
  <c r="V34" i="43"/>
  <c r="V123" i="43"/>
  <c r="X210" i="43"/>
  <c r="X208" i="43"/>
  <c r="X206" i="43"/>
  <c r="X202" i="43"/>
  <c r="X201" i="43"/>
  <c r="L152" i="30"/>
  <c r="L156" i="30"/>
  <c r="AD23" i="34"/>
  <c r="BS86" i="43"/>
  <c r="K154" i="28"/>
  <c r="J184" i="37"/>
  <c r="M153" i="37"/>
  <c r="E226" i="37"/>
  <c r="M127" i="41"/>
  <c r="M229" i="41"/>
  <c r="AH90" i="43"/>
  <c r="L107" i="32"/>
  <c r="AJ308" i="43"/>
  <c r="Y32" i="45"/>
  <c r="AJ306" i="43"/>
  <c r="AJ72" i="43"/>
  <c r="T136" i="43"/>
  <c r="T206" i="43"/>
  <c r="N86" i="45"/>
  <c r="I37" i="45"/>
  <c r="J51" i="43"/>
  <c r="U249" i="29"/>
  <c r="J183" i="29"/>
  <c r="BL186" i="43"/>
  <c r="BO167" i="43"/>
  <c r="BN174" i="43"/>
  <c r="AT34" i="45"/>
  <c r="BN170" i="43"/>
  <c r="BJ47" i="45"/>
  <c r="BD91" i="43"/>
  <c r="BO100" i="43"/>
  <c r="BP19" i="43"/>
  <c r="K204" i="43"/>
  <c r="K200" i="43"/>
  <c r="E218" i="45"/>
  <c r="E220" i="45"/>
  <c r="E222" i="45"/>
  <c r="E226" i="45"/>
  <c r="O140" i="43"/>
  <c r="O137" i="43"/>
  <c r="O133" i="43"/>
  <c r="J17" i="45"/>
  <c r="J14" i="45"/>
  <c r="R253" i="43"/>
  <c r="R251" i="43"/>
  <c r="W34" i="43"/>
  <c r="W36" i="43"/>
  <c r="W30" i="43"/>
  <c r="W39" i="43"/>
  <c r="W38" i="43"/>
  <c r="AZ67" i="43"/>
  <c r="AZ72" i="43"/>
  <c r="AZ66" i="43"/>
  <c r="AZ69" i="43"/>
  <c r="AZ142" i="43"/>
  <c r="AZ132" i="43"/>
  <c r="AZ295" i="43"/>
  <c r="AZ285" i="43"/>
  <c r="AQ99" i="45"/>
  <c r="AQ101" i="45"/>
  <c r="AH83" i="43"/>
  <c r="J185" i="37"/>
  <c r="AC55" i="37"/>
  <c r="AC48" i="37"/>
  <c r="E219" i="37"/>
  <c r="E42" i="41"/>
  <c r="AH85" i="43"/>
  <c r="AJ312" i="43"/>
  <c r="AJ65" i="43"/>
  <c r="V182" i="45"/>
  <c r="O82" i="45"/>
  <c r="I32" i="45"/>
  <c r="J56" i="43"/>
  <c r="L107" i="43"/>
  <c r="N236" i="43"/>
  <c r="J270" i="32"/>
  <c r="J178" i="29"/>
  <c r="BO171" i="43"/>
  <c r="BN168" i="43"/>
  <c r="BB66" i="43"/>
  <c r="BD85" i="43"/>
  <c r="AS184" i="45"/>
  <c r="S104" i="43"/>
  <c r="S106" i="43"/>
  <c r="S101" i="43"/>
  <c r="S103" i="43"/>
  <c r="S176" i="43"/>
  <c r="S172" i="43"/>
  <c r="S171" i="43"/>
  <c r="N190" i="45"/>
  <c r="N183" i="45"/>
  <c r="BC70" i="43"/>
  <c r="BC74" i="43"/>
  <c r="BC64" i="43"/>
  <c r="BC140" i="43"/>
  <c r="BC136" i="43"/>
  <c r="AS21" i="45"/>
  <c r="AS13" i="45"/>
  <c r="BJ171" i="43"/>
  <c r="BJ170" i="43"/>
  <c r="BJ176" i="43"/>
  <c r="T106" i="29"/>
  <c r="T172" i="29"/>
  <c r="T170" i="29"/>
  <c r="T171" i="29" s="1"/>
  <c r="J82" i="32"/>
  <c r="J88" i="32"/>
  <c r="K50" i="28"/>
  <c r="J241" i="29"/>
  <c r="J183" i="28"/>
  <c r="AQ151" i="45"/>
  <c r="T164" i="29"/>
  <c r="T167" i="29" s="1"/>
  <c r="J209" i="45"/>
  <c r="J203" i="45"/>
  <c r="AB183" i="43"/>
  <c r="AB187" i="43"/>
  <c r="V81" i="45"/>
  <c r="V90" i="45"/>
  <c r="AD183" i="43"/>
  <c r="AD184" i="43"/>
  <c r="K42" i="33"/>
  <c r="K38" i="33"/>
  <c r="AL165" i="45"/>
  <c r="AL174" i="45"/>
  <c r="AX274" i="43"/>
  <c r="AX272" i="43"/>
  <c r="AX277" i="43"/>
  <c r="AU97" i="45"/>
  <c r="AU101" i="45"/>
  <c r="BC65" i="43"/>
  <c r="BC142" i="43"/>
  <c r="BC135" i="43"/>
  <c r="AY183" i="43"/>
  <c r="AY184" i="43"/>
  <c r="AY192" i="43"/>
  <c r="AY190" i="43" s="1"/>
  <c r="AY189" i="43"/>
  <c r="AY272" i="43"/>
  <c r="AY274" i="43"/>
  <c r="N335" i="41"/>
  <c r="N338" i="41"/>
  <c r="BD138" i="43"/>
  <c r="BD142" i="43"/>
  <c r="AS237" i="45"/>
  <c r="AS238" i="45"/>
  <c r="AS239" i="45"/>
  <c r="BC67" i="43"/>
  <c r="BC132" i="43"/>
  <c r="AU116" i="43"/>
  <c r="AU119" i="43"/>
  <c r="AK322" i="45"/>
  <c r="AK328" i="45"/>
  <c r="AZ124" i="43"/>
  <c r="AZ116" i="43"/>
  <c r="AQ86" i="45"/>
  <c r="AQ80" i="45"/>
  <c r="AQ85" i="45"/>
  <c r="AQ150" i="45"/>
  <c r="AT234" i="45"/>
  <c r="AT235" i="45"/>
  <c r="BC69" i="43"/>
  <c r="BJ168" i="43"/>
  <c r="BC68" i="43"/>
  <c r="AM280" i="41"/>
  <c r="AQ280" i="41" s="1"/>
  <c r="AV118" i="43"/>
  <c r="AV117" i="43"/>
  <c r="AX243" i="43"/>
  <c r="AX240" i="43"/>
  <c r="AX238" i="43"/>
  <c r="N259" i="43"/>
  <c r="N258" i="43" s="1"/>
  <c r="N252" i="43"/>
  <c r="N170" i="43"/>
  <c r="N256" i="43"/>
  <c r="K99" i="43"/>
  <c r="BC88" i="43"/>
  <c r="O100" i="43"/>
  <c r="K170" i="30"/>
  <c r="R219" i="30"/>
  <c r="T50" i="33"/>
  <c r="J62" i="29"/>
  <c r="L62" i="29"/>
  <c r="U106" i="29"/>
  <c r="R50" i="33"/>
  <c r="AK220" i="45"/>
  <c r="AK226" i="45"/>
  <c r="AO224" i="45"/>
  <c r="AO220" i="45"/>
  <c r="BL85" i="43"/>
  <c r="BL81" i="43"/>
  <c r="BO49" i="43"/>
  <c r="BO46" i="43" s="1"/>
  <c r="BO51" i="43"/>
  <c r="S50" i="33"/>
  <c r="AA183" i="43"/>
  <c r="AA191" i="43"/>
  <c r="AL295" i="41"/>
  <c r="AP295" i="41" s="1"/>
  <c r="M295" i="41"/>
  <c r="U295" i="41" s="1"/>
  <c r="BK221" i="45"/>
  <c r="U72" i="29"/>
  <c r="U73" i="29" s="1"/>
  <c r="S62" i="29"/>
  <c r="K50" i="32"/>
  <c r="S62" i="30"/>
  <c r="K50" i="29"/>
  <c r="L50" i="32"/>
  <c r="BP293" i="43"/>
  <c r="BP292" i="43" s="1"/>
  <c r="BJ105" i="45"/>
  <c r="L50" i="29"/>
  <c r="U62" i="29"/>
  <c r="S200" i="29"/>
  <c r="J51" i="32"/>
  <c r="J53" i="32" s="1"/>
  <c r="V312" i="41"/>
  <c r="AT312" i="41" s="1"/>
  <c r="P154" i="31"/>
  <c r="P150" i="31"/>
  <c r="P155" i="31"/>
  <c r="K140" i="33"/>
  <c r="K137" i="33"/>
  <c r="K138" i="33"/>
  <c r="K141" i="33"/>
  <c r="K144" i="33"/>
  <c r="K136" i="33"/>
  <c r="AZ38" i="43"/>
  <c r="AZ33" i="43"/>
  <c r="AZ32" i="43"/>
  <c r="AZ30" i="43"/>
  <c r="AZ40" i="43"/>
  <c r="AZ35" i="43"/>
  <c r="AZ39" i="43"/>
  <c r="AZ31" i="43"/>
  <c r="AZ36" i="43"/>
  <c r="K212" i="30"/>
  <c r="K208" i="30"/>
  <c r="K206" i="30"/>
  <c r="K211" i="30"/>
  <c r="K214" i="30"/>
  <c r="AU36" i="43"/>
  <c r="AU30" i="43"/>
  <c r="AU35" i="43"/>
  <c r="AU32" i="43"/>
  <c r="AV191" i="43"/>
  <c r="AV183" i="43"/>
  <c r="AK16" i="45"/>
  <c r="AK18" i="45"/>
  <c r="AK22" i="45"/>
  <c r="O38" i="45"/>
  <c r="O33" i="45"/>
  <c r="O35" i="45"/>
  <c r="X34" i="43"/>
  <c r="X33" i="43"/>
  <c r="X36" i="43"/>
  <c r="X35" i="43"/>
  <c r="X32" i="43"/>
  <c r="X31" i="43"/>
  <c r="X39" i="43"/>
  <c r="AE131" i="45"/>
  <c r="AE141" i="45"/>
  <c r="AE132" i="45"/>
  <c r="AE139" i="45"/>
  <c r="AE140" i="45"/>
  <c r="AE136" i="45"/>
  <c r="AE137" i="45"/>
  <c r="AE134" i="45"/>
  <c r="AE133" i="45"/>
  <c r="S14" i="29"/>
  <c r="S18" i="29"/>
  <c r="S155" i="29"/>
  <c r="S154" i="29"/>
  <c r="S158" i="29"/>
  <c r="S152" i="29"/>
  <c r="S151" i="29"/>
  <c r="S150" i="29"/>
  <c r="S156" i="29"/>
  <c r="T90" i="31"/>
  <c r="K210" i="30"/>
  <c r="F115" i="45"/>
  <c r="F117" i="45"/>
  <c r="F120" i="45"/>
  <c r="F123" i="45"/>
  <c r="O124" i="43"/>
  <c r="O119" i="43"/>
  <c r="O115" i="43"/>
  <c r="T257" i="43"/>
  <c r="T259" i="43"/>
  <c r="T251" i="43"/>
  <c r="T260" i="43"/>
  <c r="T255" i="43"/>
  <c r="T252" i="43"/>
  <c r="T256" i="43"/>
  <c r="T254" i="43"/>
  <c r="O220" i="45"/>
  <c r="O217" i="45"/>
  <c r="O222" i="45"/>
  <c r="O225" i="45"/>
  <c r="O218" i="45"/>
  <c r="O224" i="45"/>
  <c r="O219" i="45"/>
  <c r="O221" i="45"/>
  <c r="O226" i="45"/>
  <c r="O216" i="45"/>
  <c r="Q16" i="45"/>
  <c r="Q12" i="45"/>
  <c r="Q17" i="45"/>
  <c r="Q21" i="45"/>
  <c r="Q13" i="45"/>
  <c r="Q15" i="45"/>
  <c r="AI84" i="43"/>
  <c r="AI83" i="43"/>
  <c r="AI87" i="43"/>
  <c r="AJ320" i="43"/>
  <c r="AJ321" i="43"/>
  <c r="AJ323" i="43"/>
  <c r="BJ67" i="45"/>
  <c r="BJ69" i="45"/>
  <c r="BJ73" i="45"/>
  <c r="BJ66" i="45"/>
  <c r="BJ63" i="45"/>
  <c r="BJ68" i="45"/>
  <c r="BJ117" i="45"/>
  <c r="BJ115" i="45"/>
  <c r="BJ120" i="45"/>
  <c r="BJ122" i="45"/>
  <c r="BJ118" i="45"/>
  <c r="BJ123" i="45"/>
  <c r="BJ116" i="45"/>
  <c r="BJ114" i="45"/>
  <c r="BJ175" i="45"/>
  <c r="BJ168" i="45"/>
  <c r="BJ170" i="45"/>
  <c r="BJ166" i="45"/>
  <c r="BJ173" i="45"/>
  <c r="BJ174" i="45"/>
  <c r="BJ165" i="45"/>
  <c r="T194" i="29"/>
  <c r="T196" i="29"/>
  <c r="T197" i="29"/>
  <c r="T200" i="29"/>
  <c r="T198" i="29"/>
  <c r="T193" i="29"/>
  <c r="T192" i="29"/>
  <c r="O118" i="31"/>
  <c r="F73" i="45"/>
  <c r="F68" i="45"/>
  <c r="F64" i="45"/>
  <c r="F66" i="45"/>
  <c r="F67" i="45"/>
  <c r="J107" i="45"/>
  <c r="J103" i="45"/>
  <c r="R89" i="43"/>
  <c r="R81" i="43"/>
  <c r="R87" i="43"/>
  <c r="R83" i="43"/>
  <c r="R85" i="43"/>
  <c r="W191" i="43"/>
  <c r="W193" i="43"/>
  <c r="W188" i="43"/>
  <c r="W185" i="43"/>
  <c r="W186" i="43"/>
  <c r="W189" i="43"/>
  <c r="R20" i="45"/>
  <c r="R21" i="45"/>
  <c r="R13" i="45"/>
  <c r="R15" i="45"/>
  <c r="S73" i="45"/>
  <c r="S72" i="45"/>
  <c r="S64" i="45"/>
  <c r="S68" i="45"/>
  <c r="S66" i="45"/>
  <c r="S71" i="45"/>
  <c r="AF238" i="43"/>
  <c r="AF235" i="43"/>
  <c r="AF239" i="43"/>
  <c r="AJ83" i="43"/>
  <c r="AJ82" i="43"/>
  <c r="AJ86" i="43"/>
  <c r="AE14" i="45"/>
  <c r="AE17" i="45"/>
  <c r="AE13" i="45"/>
  <c r="AE20" i="45"/>
  <c r="AE19" i="45" s="1"/>
  <c r="AE18" i="45"/>
  <c r="AE12" i="45"/>
  <c r="AE15" i="45"/>
  <c r="AE16" i="45"/>
  <c r="AC168" i="45"/>
  <c r="AC174" i="45"/>
  <c r="AC165" i="45"/>
  <c r="AC173" i="45"/>
  <c r="AC171" i="45"/>
  <c r="AC166" i="45"/>
  <c r="AC167" i="45"/>
  <c r="AC169" i="45"/>
  <c r="AC218" i="45"/>
  <c r="AC220" i="45"/>
  <c r="AC217" i="45"/>
  <c r="AC221" i="45"/>
  <c r="AC225" i="45"/>
  <c r="AC222" i="45"/>
  <c r="L71" i="30"/>
  <c r="L74" i="30"/>
  <c r="L96" i="30"/>
  <c r="L98" i="30"/>
  <c r="S152" i="30"/>
  <c r="S151" i="30"/>
  <c r="S154" i="30"/>
  <c r="BN82" i="43"/>
  <c r="BN81" i="43"/>
  <c r="BN83" i="43"/>
  <c r="BN90" i="43"/>
  <c r="BN84" i="43"/>
  <c r="BN138" i="43"/>
  <c r="BN141" i="43"/>
  <c r="BN132" i="43"/>
  <c r="K207" i="30"/>
  <c r="AJ322" i="43"/>
  <c r="AV192" i="43"/>
  <c r="M14" i="45"/>
  <c r="M17" i="45"/>
  <c r="M13" i="45"/>
  <c r="M18" i="45"/>
  <c r="M15" i="45"/>
  <c r="M21" i="45"/>
  <c r="V16" i="43"/>
  <c r="V23" i="43"/>
  <c r="V18" i="43"/>
  <c r="V15" i="43"/>
  <c r="V17" i="43"/>
  <c r="V14" i="43"/>
  <c r="S185" i="45"/>
  <c r="S192" i="45"/>
  <c r="S189" i="45" s="1"/>
  <c r="S182" i="45"/>
  <c r="S183" i="45"/>
  <c r="S187" i="45"/>
  <c r="S190" i="45"/>
  <c r="J15" i="30"/>
  <c r="J10" i="30"/>
  <c r="J16" i="30"/>
  <c r="J12" i="30"/>
  <c r="L16" i="34"/>
  <c r="L12" i="34"/>
  <c r="AJ51" i="43"/>
  <c r="N158" i="43"/>
  <c r="N151" i="43"/>
  <c r="N155" i="43"/>
  <c r="N152" i="43"/>
  <c r="N159" i="43"/>
  <c r="N157" i="43"/>
  <c r="N150" i="43"/>
  <c r="P329" i="43"/>
  <c r="P328" i="43"/>
  <c r="P321" i="43"/>
  <c r="I183" i="45"/>
  <c r="I192" i="45"/>
  <c r="I184" i="45"/>
  <c r="W21" i="43"/>
  <c r="W15" i="43"/>
  <c r="W17" i="43"/>
  <c r="W14" i="43"/>
  <c r="W19" i="43"/>
  <c r="W22" i="43"/>
  <c r="W13" i="43"/>
  <c r="AD18" i="43"/>
  <c r="AD14" i="43"/>
  <c r="AD15" i="43"/>
  <c r="AD17" i="43"/>
  <c r="AH310" i="43"/>
  <c r="AH311" i="43"/>
  <c r="AH308" i="43"/>
  <c r="AH302" i="43"/>
  <c r="AH306" i="43"/>
  <c r="AH303" i="43"/>
  <c r="AH305" i="43"/>
  <c r="AH304" i="43"/>
  <c r="AH312" i="43"/>
  <c r="AD90" i="45"/>
  <c r="AD82" i="45"/>
  <c r="AD85" i="45"/>
  <c r="AD81" i="45"/>
  <c r="K15" i="30"/>
  <c r="K16" i="30"/>
  <c r="K11" i="30"/>
  <c r="K14" i="30"/>
  <c r="K18" i="30"/>
  <c r="K12" i="30"/>
  <c r="K10" i="30"/>
  <c r="S188" i="45"/>
  <c r="R84" i="43"/>
  <c r="AD29" i="37"/>
  <c r="AD37" i="37"/>
  <c r="AD32" i="37"/>
  <c r="K203" i="37"/>
  <c r="K202" i="37"/>
  <c r="M205" i="37"/>
  <c r="M199" i="37"/>
  <c r="M200" i="37"/>
  <c r="M201" i="37"/>
  <c r="Y222" i="37"/>
  <c r="Y216" i="37"/>
  <c r="Y226" i="37"/>
  <c r="Y225" i="37"/>
  <c r="U268" i="45"/>
  <c r="AV132" i="43"/>
  <c r="S218" i="29"/>
  <c r="BO183" i="45"/>
  <c r="N138" i="28"/>
  <c r="N141" i="28"/>
  <c r="BS205" i="43"/>
  <c r="BR87" i="43"/>
  <c r="BR81" i="43"/>
  <c r="M99" i="37"/>
  <c r="M97" i="37"/>
  <c r="M102" i="37"/>
  <c r="BO122" i="45"/>
  <c r="BO120" i="45"/>
  <c r="BO116" i="45"/>
  <c r="BO119" i="45"/>
  <c r="BO114" i="45"/>
  <c r="S155" i="30"/>
  <c r="S157" i="30" s="1"/>
  <c r="U271" i="45"/>
  <c r="M116" i="45"/>
  <c r="P64" i="43"/>
  <c r="J242" i="45"/>
  <c r="L178" i="29"/>
  <c r="BJ171" i="45"/>
  <c r="AV136" i="43"/>
  <c r="K341" i="41"/>
  <c r="U169" i="32"/>
  <c r="U168" i="32"/>
  <c r="BJ64" i="43"/>
  <c r="BJ67" i="43"/>
  <c r="BJ70" i="43"/>
  <c r="K81" i="33"/>
  <c r="K88" i="33"/>
  <c r="AM115" i="45"/>
  <c r="AM117" i="45"/>
  <c r="AL340" i="45"/>
  <c r="AL338" i="45"/>
  <c r="AL344" i="45"/>
  <c r="N226" i="37"/>
  <c r="N225" i="45"/>
  <c r="N220" i="45"/>
  <c r="N216" i="45"/>
  <c r="N222" i="45"/>
  <c r="N224" i="45"/>
  <c r="N219" i="45"/>
  <c r="X106" i="43"/>
  <c r="X108" i="43"/>
  <c r="X99" i="43"/>
  <c r="X103" i="43"/>
  <c r="X107" i="43"/>
  <c r="X101" i="43"/>
  <c r="X102" i="43"/>
  <c r="Z168" i="43"/>
  <c r="Z170" i="43"/>
  <c r="J99" i="30"/>
  <c r="J98" i="30"/>
  <c r="O341" i="41"/>
  <c r="O338" i="41"/>
  <c r="O343" i="41"/>
  <c r="O340" i="41"/>
  <c r="O344" i="41"/>
  <c r="O332" i="41"/>
  <c r="W332" i="41" s="1"/>
  <c r="BI69" i="45"/>
  <c r="BI65" i="45"/>
  <c r="BI72" i="45"/>
  <c r="BI63" i="45"/>
  <c r="BI64" i="45"/>
  <c r="BI67" i="45"/>
  <c r="BI66" i="45"/>
  <c r="BI73" i="45"/>
  <c r="BI71" i="45"/>
  <c r="BI170" i="45"/>
  <c r="BI167" i="45"/>
  <c r="BI165" i="45"/>
  <c r="BI171" i="45"/>
  <c r="BI173" i="45"/>
  <c r="BI172" i="45" s="1"/>
  <c r="K72" i="29"/>
  <c r="K66" i="29"/>
  <c r="K74" i="29"/>
  <c r="K67" i="29"/>
  <c r="K68" i="29"/>
  <c r="K71" i="29"/>
  <c r="AV140" i="43"/>
  <c r="N66" i="43"/>
  <c r="N73" i="43"/>
  <c r="R134" i="43"/>
  <c r="R133" i="43"/>
  <c r="R137" i="43"/>
  <c r="R138" i="43"/>
  <c r="R141" i="43"/>
  <c r="R135" i="43"/>
  <c r="AB238" i="43"/>
  <c r="AB234" i="43"/>
  <c r="AB242" i="43"/>
  <c r="AB236" i="43"/>
  <c r="AB244" i="43"/>
  <c r="AB239" i="43"/>
  <c r="AB235" i="43"/>
  <c r="AB240" i="43"/>
  <c r="AB237" i="43"/>
  <c r="AB243" i="43"/>
  <c r="AE240" i="43"/>
  <c r="AE236" i="43"/>
  <c r="AE243" i="43"/>
  <c r="AE242" i="43"/>
  <c r="AE234" i="43"/>
  <c r="AE235" i="43"/>
  <c r="AE238" i="43"/>
  <c r="AE237" i="43"/>
  <c r="AE239" i="43"/>
  <c r="AE244" i="43"/>
  <c r="Z200" i="45"/>
  <c r="Z209" i="45"/>
  <c r="Z203" i="45"/>
  <c r="Z201" i="45"/>
  <c r="Z208" i="45"/>
  <c r="Z204" i="45"/>
  <c r="Z199" i="45"/>
  <c r="AI120" i="43"/>
  <c r="AI125" i="43"/>
  <c r="K68" i="30"/>
  <c r="K66" i="30"/>
  <c r="K72" i="30"/>
  <c r="T80" i="30"/>
  <c r="T86" i="30"/>
  <c r="T87" i="30" s="1"/>
  <c r="T81" i="30"/>
  <c r="T88" i="30"/>
  <c r="R151" i="30"/>
  <c r="R156" i="30"/>
  <c r="L80" i="33"/>
  <c r="L85" i="33"/>
  <c r="L84" i="33"/>
  <c r="L81" i="33"/>
  <c r="L86" i="33"/>
  <c r="BI14" i="45"/>
  <c r="BI22" i="45"/>
  <c r="BI16" i="45"/>
  <c r="BI15" i="45"/>
  <c r="BI13" i="45"/>
  <c r="BI20" i="45"/>
  <c r="BI21" i="45"/>
  <c r="BI18" i="45"/>
  <c r="BI12" i="45"/>
  <c r="BI17" i="45"/>
  <c r="BI243" i="45"/>
  <c r="BI238" i="45"/>
  <c r="BI237" i="45"/>
  <c r="J172" i="29"/>
  <c r="J166" i="29"/>
  <c r="J165" i="29"/>
  <c r="J170" i="29"/>
  <c r="J169" i="29"/>
  <c r="J164" i="29"/>
  <c r="J168" i="29"/>
  <c r="T154" i="29"/>
  <c r="T156" i="29"/>
  <c r="T151" i="29"/>
  <c r="T155" i="29"/>
  <c r="T152" i="29"/>
  <c r="T158" i="29"/>
  <c r="T107" i="29"/>
  <c r="BO224" i="45"/>
  <c r="BO225" i="45"/>
  <c r="BI68" i="45"/>
  <c r="J243" i="43"/>
  <c r="J242" i="43"/>
  <c r="J235" i="43"/>
  <c r="J236" i="43"/>
  <c r="S140" i="43"/>
  <c r="S133" i="43"/>
  <c r="S141" i="43"/>
  <c r="S136" i="43"/>
  <c r="S142" i="43"/>
  <c r="S135" i="43"/>
  <c r="S132" i="43"/>
  <c r="S137" i="43"/>
  <c r="S134" i="43"/>
  <c r="M64" i="45"/>
  <c r="M69" i="45"/>
  <c r="M72" i="45"/>
  <c r="M67" i="45"/>
  <c r="M68" i="45"/>
  <c r="M71" i="45"/>
  <c r="M63" i="45"/>
  <c r="R140" i="45"/>
  <c r="R135" i="45"/>
  <c r="R134" i="45"/>
  <c r="R136" i="45"/>
  <c r="R132" i="45"/>
  <c r="R139" i="45"/>
  <c r="R182" i="45"/>
  <c r="R183" i="45"/>
  <c r="R185" i="45"/>
  <c r="AD116" i="43"/>
  <c r="AD117" i="43"/>
  <c r="AD124" i="43"/>
  <c r="AD115" i="43"/>
  <c r="AD121" i="43"/>
  <c r="AE170" i="43"/>
  <c r="AE168" i="43"/>
  <c r="AE172" i="43"/>
  <c r="Z153" i="45"/>
  <c r="Z154" i="45"/>
  <c r="Z151" i="45"/>
  <c r="Z152" i="45"/>
  <c r="Z156" i="45"/>
  <c r="Z148" i="45"/>
  <c r="AJ278" i="43"/>
  <c r="AJ274" i="43"/>
  <c r="AJ277" i="43"/>
  <c r="AJ271" i="43"/>
  <c r="AJ273" i="43"/>
  <c r="AJ270" i="43"/>
  <c r="AJ268" i="43"/>
  <c r="AJ272" i="43"/>
  <c r="AJ269" i="43"/>
  <c r="AJ276" i="43"/>
  <c r="AE357" i="45"/>
  <c r="AE353" i="45"/>
  <c r="AE356" i="45"/>
  <c r="AE354" i="45"/>
  <c r="AE362" i="45"/>
  <c r="AE355" i="45"/>
  <c r="T23" i="34"/>
  <c r="K56" i="37"/>
  <c r="K55" i="37"/>
  <c r="K49" i="37"/>
  <c r="AE174" i="43"/>
  <c r="X186" i="43"/>
  <c r="X191" i="43"/>
  <c r="X184" i="43"/>
  <c r="X192" i="43"/>
  <c r="X183" i="43"/>
  <c r="X185" i="43"/>
  <c r="X188" i="43"/>
  <c r="X193" i="43"/>
  <c r="X189" i="43"/>
  <c r="AE117" i="43"/>
  <c r="AE121" i="43"/>
  <c r="AE118" i="43"/>
  <c r="AE115" i="43"/>
  <c r="AE116" i="43"/>
  <c r="AE123" i="43"/>
  <c r="AD225" i="45"/>
  <c r="AD220" i="45"/>
  <c r="L86" i="28"/>
  <c r="L80" i="28"/>
  <c r="L81" i="28"/>
  <c r="O77" i="41"/>
  <c r="L82" i="33"/>
  <c r="P13" i="43"/>
  <c r="P23" i="43"/>
  <c r="P18" i="43"/>
  <c r="P17" i="43"/>
  <c r="P22" i="43"/>
  <c r="K55" i="45"/>
  <c r="K50" i="45"/>
  <c r="K46" i="45"/>
  <c r="K54" i="45"/>
  <c r="K52" i="45"/>
  <c r="K51" i="45"/>
  <c r="R242" i="43"/>
  <c r="R235" i="43"/>
  <c r="R239" i="43"/>
  <c r="R236" i="43"/>
  <c r="R238" i="43"/>
  <c r="R240" i="43"/>
  <c r="AC54" i="45"/>
  <c r="AC49" i="45"/>
  <c r="AC56" i="45"/>
  <c r="AC52" i="45"/>
  <c r="AC55" i="45"/>
  <c r="AC51" i="45"/>
  <c r="AE184" i="37"/>
  <c r="AE185" i="37"/>
  <c r="AE187" i="37"/>
  <c r="BM47" i="45"/>
  <c r="BM55" i="45"/>
  <c r="BM51" i="45"/>
  <c r="BM54" i="45"/>
  <c r="BM56" i="45"/>
  <c r="BM50" i="45"/>
  <c r="BM48" i="45"/>
  <c r="L94" i="30"/>
  <c r="BW10" i="34"/>
  <c r="BW12" i="34"/>
  <c r="BW15" i="34"/>
  <c r="BW18" i="34"/>
  <c r="AC82" i="37"/>
  <c r="AC89" i="37"/>
  <c r="N18" i="34"/>
  <c r="N10" i="34"/>
  <c r="Y89" i="37"/>
  <c r="Y80" i="37"/>
  <c r="Q86" i="37"/>
  <c r="Q83" i="37"/>
  <c r="N103" i="37"/>
  <c r="N97" i="37"/>
  <c r="N102" i="37"/>
  <c r="N105" i="37"/>
  <c r="N106" i="37"/>
  <c r="N101" i="37"/>
  <c r="V85" i="43"/>
  <c r="V82" i="43"/>
  <c r="V89" i="43"/>
  <c r="AF237" i="43"/>
  <c r="AA205" i="45"/>
  <c r="U276" i="45"/>
  <c r="U277" i="45"/>
  <c r="N154" i="43"/>
  <c r="P68" i="43"/>
  <c r="J235" i="45"/>
  <c r="P65" i="43"/>
  <c r="BJ167" i="45"/>
  <c r="O337" i="41"/>
  <c r="AV141" i="43"/>
  <c r="AZ34" i="43"/>
  <c r="K338" i="41"/>
  <c r="U170" i="29"/>
  <c r="U169" i="29"/>
  <c r="U172" i="29"/>
  <c r="U166" i="29"/>
  <c r="U165" i="29"/>
  <c r="U164" i="29"/>
  <c r="AM174" i="45"/>
  <c r="AM165" i="45"/>
  <c r="AM171" i="45"/>
  <c r="AM167" i="45"/>
  <c r="AZ89" i="43"/>
  <c r="AZ85" i="43"/>
  <c r="AZ91" i="43"/>
  <c r="AZ82" i="43"/>
  <c r="BK121" i="43"/>
  <c r="BK117" i="43"/>
  <c r="BK120" i="43"/>
  <c r="BK118" i="43"/>
  <c r="BK116" i="43"/>
  <c r="L179" i="29"/>
  <c r="L182" i="29"/>
  <c r="L180" i="29"/>
  <c r="L184" i="29"/>
  <c r="L185" i="29" s="1"/>
  <c r="S85" i="33"/>
  <c r="S88" i="33"/>
  <c r="S82" i="33"/>
  <c r="L136" i="33"/>
  <c r="L138" i="33"/>
  <c r="S74" i="29"/>
  <c r="S68" i="29"/>
  <c r="S72" i="29"/>
  <c r="S71" i="29"/>
  <c r="K29" i="37"/>
  <c r="K34" i="37"/>
  <c r="K38" i="37"/>
  <c r="K33" i="37"/>
  <c r="M171" i="45"/>
  <c r="M167" i="45"/>
  <c r="M170" i="45"/>
  <c r="M165" i="45"/>
  <c r="M174" i="45"/>
  <c r="M169" i="45"/>
  <c r="AB40" i="43"/>
  <c r="AB33" i="43"/>
  <c r="V32" i="45"/>
  <c r="V33" i="45"/>
  <c r="V38" i="45"/>
  <c r="V30" i="45"/>
  <c r="V31" i="45"/>
  <c r="V39" i="45"/>
  <c r="V36" i="45" s="1"/>
  <c r="V34" i="45"/>
  <c r="V29" i="45"/>
  <c r="Y209" i="45"/>
  <c r="Y202" i="45"/>
  <c r="Y200" i="45"/>
  <c r="Y208" i="45"/>
  <c r="Y204" i="45"/>
  <c r="Y205" i="45"/>
  <c r="Y201" i="45"/>
  <c r="Y207" i="45"/>
  <c r="Y203" i="45"/>
  <c r="S81" i="30"/>
  <c r="S80" i="30"/>
  <c r="T32" i="33"/>
  <c r="T30" i="33"/>
  <c r="T28" i="33"/>
  <c r="Y199" i="45"/>
  <c r="O21" i="43"/>
  <c r="O22" i="43"/>
  <c r="O14" i="43"/>
  <c r="O16" i="43"/>
  <c r="O23" i="43"/>
  <c r="O19" i="43"/>
  <c r="O15" i="43"/>
  <c r="O17" i="43"/>
  <c r="O13" i="43"/>
  <c r="O18" i="43"/>
  <c r="K105" i="45"/>
  <c r="K102" i="45"/>
  <c r="K106" i="45"/>
  <c r="K101" i="45"/>
  <c r="K100" i="45"/>
  <c r="T142" i="43"/>
  <c r="T137" i="43"/>
  <c r="T133" i="43"/>
  <c r="T134" i="43"/>
  <c r="T138" i="43"/>
  <c r="T141" i="43"/>
  <c r="N67" i="45"/>
  <c r="N63" i="45"/>
  <c r="N71" i="45"/>
  <c r="N70" i="45" s="1"/>
  <c r="N69" i="45"/>
  <c r="N72" i="45"/>
  <c r="N68" i="45"/>
  <c r="N65" i="45"/>
  <c r="N66" i="45"/>
  <c r="N73" i="45"/>
  <c r="S133" i="45"/>
  <c r="S137" i="45"/>
  <c r="S131" i="45"/>
  <c r="S136" i="45"/>
  <c r="S141" i="45"/>
  <c r="S134" i="45"/>
  <c r="S139" i="45"/>
  <c r="AF172" i="43"/>
  <c r="AF168" i="43"/>
  <c r="Z105" i="45"/>
  <c r="Z106" i="45"/>
  <c r="Z99" i="45"/>
  <c r="AD107" i="37"/>
  <c r="AD103" i="37"/>
  <c r="J252" i="31"/>
  <c r="J248" i="31"/>
  <c r="L100" i="30"/>
  <c r="S184" i="45"/>
  <c r="T85" i="43"/>
  <c r="T82" i="43"/>
  <c r="T81" i="43"/>
  <c r="T87" i="43"/>
  <c r="T90" i="43"/>
  <c r="T83" i="43"/>
  <c r="N13" i="45"/>
  <c r="N21" i="45"/>
  <c r="N16" i="45"/>
  <c r="N12" i="45"/>
  <c r="N18" i="45"/>
  <c r="N22" i="45"/>
  <c r="N15" i="45"/>
  <c r="N14" i="45"/>
  <c r="M205" i="45"/>
  <c r="M207" i="45"/>
  <c r="AH208" i="43"/>
  <c r="AH202" i="43"/>
  <c r="AH201" i="43"/>
  <c r="AH209" i="43"/>
  <c r="AH204" i="43"/>
  <c r="AH200" i="43"/>
  <c r="AH203" i="43"/>
  <c r="AH210" i="43"/>
  <c r="AH205" i="43"/>
  <c r="AH206" i="43"/>
  <c r="AE226" i="45"/>
  <c r="AE224" i="45"/>
  <c r="AE220" i="45"/>
  <c r="BI235" i="45"/>
  <c r="AF119" i="43"/>
  <c r="S107" i="29"/>
  <c r="S114" i="29" s="1"/>
  <c r="S150" i="30"/>
  <c r="L99" i="30"/>
  <c r="L186" i="29"/>
  <c r="BR270" i="43"/>
  <c r="P70" i="28"/>
  <c r="P74" i="28"/>
  <c r="O128" i="28"/>
  <c r="BM46" i="45"/>
  <c r="I193" i="41"/>
  <c r="N137" i="28"/>
  <c r="AH12" i="34"/>
  <c r="AD85" i="37"/>
  <c r="BS149" i="43"/>
  <c r="BS159" i="43"/>
  <c r="BS155" i="43"/>
  <c r="BS152" i="43"/>
  <c r="BS153" i="43"/>
  <c r="BS150" i="43"/>
  <c r="BS151" i="43"/>
  <c r="BS157" i="43"/>
  <c r="BR69" i="43"/>
  <c r="BR70" i="43"/>
  <c r="BR64" i="43"/>
  <c r="Y203" i="37"/>
  <c r="Y208" i="37"/>
  <c r="Y199" i="37"/>
  <c r="Y202" i="37"/>
  <c r="Y209" i="37"/>
  <c r="Y204" i="37"/>
  <c r="I190" i="37"/>
  <c r="I183" i="37"/>
  <c r="I184" i="37"/>
  <c r="M86" i="37"/>
  <c r="M85" i="37"/>
  <c r="M89" i="37"/>
  <c r="Y77" i="41"/>
  <c r="AO77" i="41" s="1"/>
  <c r="Z209" i="37"/>
  <c r="Z199" i="37"/>
  <c r="R219" i="37"/>
  <c r="R217" i="37"/>
  <c r="R220" i="37"/>
  <c r="U273" i="45"/>
  <c r="T140" i="43"/>
  <c r="X100" i="43"/>
  <c r="AJ329" i="43"/>
  <c r="AB34" i="43"/>
  <c r="S193" i="29"/>
  <c r="BJ169" i="45"/>
  <c r="O345" i="41"/>
  <c r="AZ86" i="43"/>
  <c r="P102" i="28"/>
  <c r="P96" i="28"/>
  <c r="BM182" i="45"/>
  <c r="BM191" i="45"/>
  <c r="BM189" i="45" s="1"/>
  <c r="BM192" i="45"/>
  <c r="BM190" i="45"/>
  <c r="BM187" i="45"/>
  <c r="AV240" i="43"/>
  <c r="AV236" i="43"/>
  <c r="K344" i="41"/>
  <c r="K339" i="41"/>
  <c r="K337" i="41"/>
  <c r="K335" i="41"/>
  <c r="K336" i="41"/>
  <c r="K345" i="41"/>
  <c r="K340" i="41"/>
  <c r="BL175" i="43"/>
  <c r="BL170" i="43"/>
  <c r="AC187" i="37"/>
  <c r="AC184" i="37"/>
  <c r="AC190" i="37"/>
  <c r="U107" i="29"/>
  <c r="U113" i="29" s="1"/>
  <c r="T262" i="30"/>
  <c r="T270" i="30"/>
  <c r="AX171" i="43"/>
  <c r="AX175" i="43"/>
  <c r="BJ16" i="43"/>
  <c r="AA244" i="43"/>
  <c r="AA239" i="43"/>
  <c r="AA243" i="43"/>
  <c r="AA238" i="43"/>
  <c r="AA236" i="43"/>
  <c r="AA234" i="43"/>
  <c r="AT242" i="45"/>
  <c r="AT241" i="45"/>
  <c r="AT239" i="45"/>
  <c r="AT237" i="45"/>
  <c r="AT233" i="45"/>
  <c r="BI122" i="45"/>
  <c r="BI120" i="45"/>
  <c r="BI117" i="45"/>
  <c r="BI116" i="45"/>
  <c r="BI123" i="45"/>
  <c r="T74" i="29"/>
  <c r="T72" i="29"/>
  <c r="T51" i="29"/>
  <c r="S70" i="32"/>
  <c r="S66" i="32"/>
  <c r="K87" i="43"/>
  <c r="K83" i="43"/>
  <c r="G170" i="45"/>
  <c r="G171" i="45"/>
  <c r="G173" i="45"/>
  <c r="G166" i="45"/>
  <c r="P176" i="43"/>
  <c r="P166" i="43"/>
  <c r="P170" i="43"/>
  <c r="S192" i="43"/>
  <c r="S193" i="43"/>
  <c r="S188" i="43"/>
  <c r="S184" i="43"/>
  <c r="S189" i="43"/>
  <c r="S186" i="43"/>
  <c r="S185" i="43"/>
  <c r="M124" i="45"/>
  <c r="M119" i="45"/>
  <c r="M118" i="45"/>
  <c r="M122" i="45"/>
  <c r="R63" i="45"/>
  <c r="R68" i="45"/>
  <c r="R67" i="45"/>
  <c r="R72" i="45"/>
  <c r="Q190" i="45"/>
  <c r="Q192" i="45"/>
  <c r="Q187" i="45"/>
  <c r="Q191" i="45"/>
  <c r="Q186" i="45"/>
  <c r="Q183" i="45"/>
  <c r="AI276" i="43"/>
  <c r="AI272" i="43"/>
  <c r="AD18" i="45"/>
  <c r="AD21" i="45"/>
  <c r="AD16" i="45"/>
  <c r="AD12" i="45"/>
  <c r="AD22" i="45"/>
  <c r="AD14" i="45"/>
  <c r="AD20" i="45"/>
  <c r="AD17" i="45"/>
  <c r="AD13" i="45"/>
  <c r="BN290" i="43"/>
  <c r="BN285" i="43"/>
  <c r="BN287" i="43"/>
  <c r="BN288" i="43"/>
  <c r="BN293" i="43"/>
  <c r="BN286" i="43"/>
  <c r="BN295" i="43"/>
  <c r="BN294" i="43"/>
  <c r="BN289" i="43"/>
  <c r="K14" i="29"/>
  <c r="K18" i="29"/>
  <c r="K126" i="29"/>
  <c r="K122" i="29"/>
  <c r="K130" i="29"/>
  <c r="K124" i="29"/>
  <c r="K127" i="29"/>
  <c r="K123" i="29"/>
  <c r="K128" i="29"/>
  <c r="U118" i="32"/>
  <c r="BM183" i="45"/>
  <c r="AE34" i="37"/>
  <c r="AE38" i="37"/>
  <c r="AE39" i="37"/>
  <c r="AV137" i="43"/>
  <c r="L87" i="43"/>
  <c r="L85" i="43"/>
  <c r="L90" i="43"/>
  <c r="L82" i="43"/>
  <c r="L84" i="43"/>
  <c r="E13" i="45"/>
  <c r="E22" i="45"/>
  <c r="E16" i="45"/>
  <c r="E15" i="45"/>
  <c r="N327" i="43"/>
  <c r="N322" i="43"/>
  <c r="T187" i="43"/>
  <c r="T193" i="43"/>
  <c r="T191" i="43"/>
  <c r="T189" i="43"/>
  <c r="T185" i="43"/>
  <c r="T184" i="43"/>
  <c r="T186" i="43"/>
  <c r="T192" i="43"/>
  <c r="N120" i="45"/>
  <c r="N116" i="45"/>
  <c r="N118" i="45"/>
  <c r="N122" i="45"/>
  <c r="N124" i="45"/>
  <c r="Z68" i="43"/>
  <c r="Z70" i="43"/>
  <c r="Z67" i="43"/>
  <c r="AA119" i="43"/>
  <c r="AA120" i="43"/>
  <c r="AA123" i="43"/>
  <c r="AA116" i="43"/>
  <c r="AA121" i="43"/>
  <c r="AA124" i="43"/>
  <c r="AA117" i="43"/>
  <c r="U115" i="45"/>
  <c r="U119" i="45"/>
  <c r="AC217" i="37"/>
  <c r="BS107" i="43"/>
  <c r="BS98" i="43"/>
  <c r="L95" i="30"/>
  <c r="P70" i="43"/>
  <c r="P66" i="43"/>
  <c r="P67" i="43"/>
  <c r="P69" i="43"/>
  <c r="S82" i="43"/>
  <c r="S91" i="43"/>
  <c r="S85" i="43"/>
  <c r="S83" i="43"/>
  <c r="S89" i="43"/>
  <c r="S87" i="43"/>
  <c r="S84" i="43"/>
  <c r="S90" i="43"/>
  <c r="S21" i="45"/>
  <c r="S19" i="45" s="1"/>
  <c r="S15" i="45"/>
  <c r="S17" i="45"/>
  <c r="S16" i="45"/>
  <c r="M281" i="41"/>
  <c r="M290" i="41" s="1"/>
  <c r="AD65" i="43"/>
  <c r="AD73" i="43"/>
  <c r="K106" i="29"/>
  <c r="BR51" i="43"/>
  <c r="BR49" i="43"/>
  <c r="BR56" i="43"/>
  <c r="BR57" i="43"/>
  <c r="BR48" i="43"/>
  <c r="BR52" i="43"/>
  <c r="R83" i="33"/>
  <c r="J237" i="45"/>
  <c r="J233" i="45"/>
  <c r="J234" i="45"/>
  <c r="J236" i="45"/>
  <c r="U275" i="45"/>
  <c r="U270" i="45"/>
  <c r="U267" i="45"/>
  <c r="BN190" i="45"/>
  <c r="BN192" i="45"/>
  <c r="S158" i="30"/>
  <c r="T89" i="43"/>
  <c r="S12" i="45"/>
  <c r="L81" i="43"/>
  <c r="BN89" i="43"/>
  <c r="U168" i="29"/>
  <c r="O93" i="41"/>
  <c r="T86" i="43"/>
  <c r="T150" i="29"/>
  <c r="AC150" i="37"/>
  <c r="AC149" i="37"/>
  <c r="BR47" i="43"/>
  <c r="M108" i="41"/>
  <c r="M98" i="37"/>
  <c r="AU16" i="34"/>
  <c r="AU11" i="34"/>
  <c r="AD88" i="37"/>
  <c r="J156" i="31"/>
  <c r="J158" i="31"/>
  <c r="BN226" i="45"/>
  <c r="BN216" i="45"/>
  <c r="BN219" i="45"/>
  <c r="BR185" i="43"/>
  <c r="BR183" i="43"/>
  <c r="N107" i="37"/>
  <c r="Q85" i="37"/>
  <c r="AH100" i="43"/>
  <c r="AH99" i="43"/>
  <c r="AH102" i="43"/>
  <c r="AH98" i="43"/>
  <c r="AH108" i="43"/>
  <c r="L142" i="33"/>
  <c r="L143" i="33" s="1"/>
  <c r="AE22" i="45"/>
  <c r="Q134" i="45"/>
  <c r="U269" i="45"/>
  <c r="M204" i="45"/>
  <c r="S138" i="43"/>
  <c r="N119" i="45"/>
  <c r="T132" i="43"/>
  <c r="X104" i="43"/>
  <c r="N70" i="43"/>
  <c r="S86" i="33"/>
  <c r="Q141" i="45"/>
  <c r="AB36" i="43"/>
  <c r="T261" i="43"/>
  <c r="S196" i="29"/>
  <c r="BI169" i="45"/>
  <c r="BN291" i="43"/>
  <c r="BJ72" i="43"/>
  <c r="O335" i="41"/>
  <c r="AT238" i="45"/>
  <c r="AZ83" i="43"/>
  <c r="N103" i="43"/>
  <c r="N107" i="43"/>
  <c r="N102" i="43"/>
  <c r="AI209" i="43"/>
  <c r="AI204" i="43"/>
  <c r="AI200" i="43"/>
  <c r="AI210" i="43"/>
  <c r="BJ21" i="45"/>
  <c r="BJ22" i="45"/>
  <c r="BJ18" i="45"/>
  <c r="BJ14" i="45"/>
  <c r="BJ12" i="45"/>
  <c r="BJ16" i="45"/>
  <c r="BJ17" i="45"/>
  <c r="BJ20" i="45"/>
  <c r="BJ15" i="45"/>
  <c r="BJ13" i="45"/>
  <c r="G156" i="45"/>
  <c r="G155" i="45" s="1"/>
  <c r="G150" i="45"/>
  <c r="G158" i="45"/>
  <c r="G153" i="45"/>
  <c r="G149" i="45"/>
  <c r="I88" i="45"/>
  <c r="I90" i="45"/>
  <c r="I80" i="45"/>
  <c r="I81" i="45"/>
  <c r="I83" i="45"/>
  <c r="K186" i="45"/>
  <c r="K182" i="45"/>
  <c r="K190" i="45"/>
  <c r="Q123" i="45"/>
  <c r="Q118" i="45"/>
  <c r="BK52" i="43"/>
  <c r="BK53" i="43"/>
  <c r="BK49" i="43"/>
  <c r="BK50" i="43"/>
  <c r="BK51" i="43"/>
  <c r="BP141" i="43"/>
  <c r="BP136" i="43"/>
  <c r="BP132" i="43"/>
  <c r="BP142" i="43"/>
  <c r="BP138" i="43"/>
  <c r="BP134" i="43"/>
  <c r="BP133" i="43"/>
  <c r="BP137" i="43"/>
  <c r="BK14" i="45"/>
  <c r="BK15" i="45"/>
  <c r="BK22" i="45"/>
  <c r="K188" i="45"/>
  <c r="AE124" i="45"/>
  <c r="T188" i="31"/>
  <c r="J94" i="32"/>
  <c r="J98" i="32"/>
  <c r="E23" i="41"/>
  <c r="F100" i="45"/>
  <c r="Q120" i="45"/>
  <c r="O157" i="43"/>
  <c r="N182" i="28"/>
  <c r="BO84" i="43"/>
  <c r="BP39" i="43"/>
  <c r="BL243" i="43"/>
  <c r="BL238" i="43"/>
  <c r="BL239" i="43"/>
  <c r="BL244" i="43"/>
  <c r="BL242" i="43"/>
  <c r="T38" i="29"/>
  <c r="T39" i="29"/>
  <c r="T42" i="29"/>
  <c r="T44" i="29"/>
  <c r="T45" i="29" s="1"/>
  <c r="AI292" i="43"/>
  <c r="AE115" i="45"/>
  <c r="M153" i="45"/>
  <c r="M149" i="45"/>
  <c r="U158" i="29"/>
  <c r="Q23" i="41"/>
  <c r="Q278" i="41" s="1"/>
  <c r="Q363" i="41" s="1"/>
  <c r="M216" i="37"/>
  <c r="BR320" i="43"/>
  <c r="P86" i="31"/>
  <c r="AE137" i="37"/>
  <c r="O51" i="37"/>
  <c r="BR311" i="43"/>
  <c r="K141" i="31"/>
  <c r="V14" i="34"/>
  <c r="K50" i="31"/>
  <c r="AA102" i="37"/>
  <c r="AI203" i="43"/>
  <c r="AE327" i="43"/>
  <c r="AE105" i="43"/>
  <c r="O152" i="43"/>
  <c r="J134" i="45"/>
  <c r="N99" i="43"/>
  <c r="AI150" i="43"/>
  <c r="M150" i="45"/>
  <c r="L169" i="32"/>
  <c r="L122" i="29"/>
  <c r="BP188" i="43"/>
  <c r="L14" i="29"/>
  <c r="BK66" i="45"/>
  <c r="BP216" i="43"/>
  <c r="BO83" i="43"/>
  <c r="BK71" i="45"/>
  <c r="BJ136" i="43"/>
  <c r="K256" i="29"/>
  <c r="BK13" i="45"/>
  <c r="K94" i="33"/>
  <c r="K96" i="33"/>
  <c r="AX186" i="43"/>
  <c r="AX188" i="43"/>
  <c r="AX183" i="43"/>
  <c r="AX187" i="43"/>
  <c r="AX184" i="43"/>
  <c r="AX192" i="43"/>
  <c r="AX190" i="43" s="1"/>
  <c r="AY238" i="43"/>
  <c r="AY244" i="43"/>
  <c r="AY236" i="43"/>
  <c r="AO238" i="45"/>
  <c r="AO243" i="45"/>
  <c r="AO242" i="45"/>
  <c r="M298" i="41"/>
  <c r="U298" i="41" s="1"/>
  <c r="M304" i="41"/>
  <c r="BD323" i="43"/>
  <c r="BD319" i="43"/>
  <c r="BD329" i="43"/>
  <c r="BD321" i="43"/>
  <c r="BD320" i="43"/>
  <c r="BK97" i="45"/>
  <c r="BK102" i="45"/>
  <c r="BK105" i="45"/>
  <c r="AS87" i="45"/>
  <c r="J184" i="45"/>
  <c r="J192" i="45"/>
  <c r="J188" i="45"/>
  <c r="J182" i="45"/>
  <c r="J186" i="45"/>
  <c r="J190" i="45"/>
  <c r="O21" i="45"/>
  <c r="O14" i="45"/>
  <c r="U201" i="45"/>
  <c r="U200" i="45"/>
  <c r="U209" i="45"/>
  <c r="U203" i="45"/>
  <c r="U199" i="45"/>
  <c r="U202" i="45"/>
  <c r="U205" i="45"/>
  <c r="AA47" i="45"/>
  <c r="AA54" i="45"/>
  <c r="AA51" i="45"/>
  <c r="AA56" i="45"/>
  <c r="Z239" i="45"/>
  <c r="Z234" i="45"/>
  <c r="T34" i="43"/>
  <c r="F105" i="45"/>
  <c r="F103" i="45"/>
  <c r="F99" i="45"/>
  <c r="F107" i="45"/>
  <c r="O99" i="43"/>
  <c r="O103" i="43"/>
  <c r="AB200" i="43"/>
  <c r="AB208" i="43"/>
  <c r="AB202" i="43"/>
  <c r="AB201" i="43"/>
  <c r="V203" i="45"/>
  <c r="V199" i="45"/>
  <c r="V201" i="45"/>
  <c r="V202" i="45"/>
  <c r="T30" i="43"/>
  <c r="U45" i="29"/>
  <c r="BP32" i="43"/>
  <c r="BP31" i="43"/>
  <c r="J96" i="29"/>
  <c r="J97" i="29" s="1"/>
  <c r="J102" i="29"/>
  <c r="J99" i="29"/>
  <c r="I244" i="41"/>
  <c r="BR322" i="43"/>
  <c r="BO85" i="43"/>
  <c r="BK335" i="45"/>
  <c r="BK345" i="45"/>
  <c r="BK340" i="45"/>
  <c r="BK336" i="45"/>
  <c r="BK343" i="45"/>
  <c r="BM166" i="45"/>
  <c r="P84" i="31"/>
  <c r="O48" i="37"/>
  <c r="K51" i="28"/>
  <c r="K60" i="28" s="1"/>
  <c r="E56" i="37"/>
  <c r="L128" i="29"/>
  <c r="L18" i="29"/>
  <c r="BO86" i="43"/>
  <c r="AX237" i="43"/>
  <c r="AX235" i="43"/>
  <c r="AX242" i="43"/>
  <c r="AX241" i="43" s="1"/>
  <c r="J144" i="31"/>
  <c r="P85" i="31"/>
  <c r="O46" i="37"/>
  <c r="K140" i="31"/>
  <c r="V15" i="34"/>
  <c r="V17" i="34" s="1"/>
  <c r="AA106" i="37"/>
  <c r="O176" i="41"/>
  <c r="AE319" i="43"/>
  <c r="S175" i="43"/>
  <c r="S174" i="43"/>
  <c r="O101" i="43"/>
  <c r="O150" i="43"/>
  <c r="J133" i="45"/>
  <c r="G148" i="45"/>
  <c r="N100" i="43"/>
  <c r="G152" i="45"/>
  <c r="L11" i="29"/>
  <c r="BJ141" i="43"/>
  <c r="BK18" i="45"/>
  <c r="BK16" i="45"/>
  <c r="AM90" i="45"/>
  <c r="AM82" i="45"/>
  <c r="AO71" i="45"/>
  <c r="AO70" i="45" s="1"/>
  <c r="AO64" i="45"/>
  <c r="AO66" i="45"/>
  <c r="AO69" i="45"/>
  <c r="N301" i="41"/>
  <c r="N303" i="41"/>
  <c r="N307" i="41"/>
  <c r="AU51" i="45"/>
  <c r="AU47" i="45"/>
  <c r="AS192" i="45"/>
  <c r="AS186" i="45"/>
  <c r="AS190" i="45"/>
  <c r="AS191" i="45"/>
  <c r="AS187" i="45"/>
  <c r="AS185" i="45"/>
  <c r="BO222" i="43"/>
  <c r="BO218" i="43"/>
  <c r="BO226" i="43"/>
  <c r="BO225" i="43"/>
  <c r="BO223" i="43"/>
  <c r="BO221" i="43"/>
  <c r="BO227" i="43"/>
  <c r="BP321" i="43"/>
  <c r="BP323" i="43"/>
  <c r="BP327" i="43"/>
  <c r="BP319" i="43"/>
  <c r="BP329" i="43"/>
  <c r="BP322" i="43"/>
  <c r="BP324" i="43"/>
  <c r="BP320" i="43"/>
  <c r="BP328" i="43"/>
  <c r="AF73" i="43"/>
  <c r="AF68" i="43"/>
  <c r="BL152" i="43"/>
  <c r="BL154" i="43"/>
  <c r="BL151" i="43"/>
  <c r="BL150" i="43"/>
  <c r="BL157" i="43"/>
  <c r="BL149" i="43"/>
  <c r="BP185" i="43"/>
  <c r="BP186" i="43"/>
  <c r="BO289" i="43"/>
  <c r="BO286" i="43"/>
  <c r="BO291" i="43"/>
  <c r="BO294" i="43"/>
  <c r="U74" i="29"/>
  <c r="U70" i="29"/>
  <c r="U156" i="29"/>
  <c r="U157" i="29" s="1"/>
  <c r="U152" i="29"/>
  <c r="U154" i="29"/>
  <c r="U151" i="29"/>
  <c r="U192" i="29"/>
  <c r="U198" i="29"/>
  <c r="U196" i="29"/>
  <c r="U197" i="29"/>
  <c r="U200" i="29"/>
  <c r="T32" i="43"/>
  <c r="N55" i="43"/>
  <c r="N50" i="43"/>
  <c r="N56" i="43"/>
  <c r="AA150" i="43"/>
  <c r="AA152" i="43"/>
  <c r="W277" i="45"/>
  <c r="W270" i="45"/>
  <c r="W273" i="45"/>
  <c r="BJ240" i="43"/>
  <c r="BJ239" i="43"/>
  <c r="BJ243" i="43"/>
  <c r="BJ238" i="43"/>
  <c r="G154" i="45"/>
  <c r="S62" i="32"/>
  <c r="Q40" i="41"/>
  <c r="S237" i="43"/>
  <c r="O12" i="45"/>
  <c r="O11" i="45" s="1"/>
  <c r="M157" i="45"/>
  <c r="M154" i="45"/>
  <c r="L15" i="29"/>
  <c r="BK47" i="43"/>
  <c r="BB53" i="43"/>
  <c r="BB48" i="43"/>
  <c r="BB50" i="43"/>
  <c r="K99" i="29"/>
  <c r="K100" i="29"/>
  <c r="K95" i="29"/>
  <c r="K98" i="29"/>
  <c r="S99" i="29"/>
  <c r="S100" i="29"/>
  <c r="S95" i="29"/>
  <c r="S98" i="29"/>
  <c r="AP15" i="34"/>
  <c r="AP17" i="34" s="1"/>
  <c r="N209" i="45"/>
  <c r="J136" i="45"/>
  <c r="N108" i="43"/>
  <c r="O154" i="43"/>
  <c r="U150" i="29"/>
  <c r="BJ135" i="43"/>
  <c r="T140" i="33"/>
  <c r="T138" i="33"/>
  <c r="T139" i="33" s="1"/>
  <c r="AT51" i="43"/>
  <c r="AT53" i="43"/>
  <c r="N230" i="28"/>
  <c r="N130" i="28"/>
  <c r="O62" i="31"/>
  <c r="O202" i="31" s="1"/>
  <c r="K136" i="31"/>
  <c r="AA105" i="37"/>
  <c r="N110" i="41"/>
  <c r="AI127" i="41"/>
  <c r="AQ127" i="41" s="1"/>
  <c r="AL161" i="41"/>
  <c r="AL263" i="41" s="1"/>
  <c r="AL348" i="41" s="1"/>
  <c r="AC358" i="45"/>
  <c r="T219" i="29"/>
  <c r="T142" i="33"/>
  <c r="T143" i="33" s="1"/>
  <c r="AE323" i="43"/>
  <c r="Z103" i="43"/>
  <c r="T33" i="43"/>
  <c r="R169" i="43"/>
  <c r="R115" i="43"/>
  <c r="R170" i="43"/>
  <c r="J185" i="45"/>
  <c r="O18" i="45"/>
  <c r="J137" i="45"/>
  <c r="N104" i="43"/>
  <c r="G151" i="45"/>
  <c r="L101" i="32"/>
  <c r="J95" i="32"/>
  <c r="J150" i="29"/>
  <c r="J98" i="29"/>
  <c r="L16" i="29"/>
  <c r="BJ138" i="43"/>
  <c r="BK17" i="45"/>
  <c r="AD67" i="45"/>
  <c r="AD65" i="45"/>
  <c r="AD71" i="45"/>
  <c r="AD70" i="45" s="1"/>
  <c r="AC135" i="45"/>
  <c r="AC131" i="45"/>
  <c r="AC134" i="45"/>
  <c r="R30" i="33"/>
  <c r="R26" i="33"/>
  <c r="AU312" i="43"/>
  <c r="AU304" i="43"/>
  <c r="AU306" i="43"/>
  <c r="AU308" i="43"/>
  <c r="AK167" i="45"/>
  <c r="AK169" i="45"/>
  <c r="AX86" i="43"/>
  <c r="AX89" i="43"/>
  <c r="AX82" i="43"/>
  <c r="AX84" i="43"/>
  <c r="AX90" i="43"/>
  <c r="AY137" i="43"/>
  <c r="AY142" i="43"/>
  <c r="AY141" i="43"/>
  <c r="AY133" i="43"/>
  <c r="AY135" i="43"/>
  <c r="AQ243" i="45"/>
  <c r="AQ237" i="45"/>
  <c r="BN205" i="43"/>
  <c r="BN201" i="43"/>
  <c r="BN203" i="43"/>
  <c r="BN204" i="43"/>
  <c r="BN209" i="43"/>
  <c r="BP222" i="43"/>
  <c r="BN244" i="43"/>
  <c r="BN240" i="43"/>
  <c r="BN239" i="43"/>
  <c r="BN238" i="43"/>
  <c r="BN242" i="43"/>
  <c r="BT250" i="43"/>
  <c r="G203" i="45"/>
  <c r="G199" i="45"/>
  <c r="G205" i="45"/>
  <c r="G207" i="45"/>
  <c r="G201" i="45"/>
  <c r="G209" i="45"/>
  <c r="G206" i="45" s="1"/>
  <c r="G200" i="45"/>
  <c r="O159" i="43"/>
  <c r="O155" i="43"/>
  <c r="O151" i="43"/>
  <c r="P208" i="43"/>
  <c r="P209" i="43"/>
  <c r="I131" i="45"/>
  <c r="I139" i="45"/>
  <c r="I133" i="45"/>
  <c r="I132" i="45"/>
  <c r="I135" i="45"/>
  <c r="I141" i="45"/>
  <c r="K243" i="45"/>
  <c r="K235" i="45"/>
  <c r="K241" i="45"/>
  <c r="AI153" i="43"/>
  <c r="AI151" i="43"/>
  <c r="AI155" i="43"/>
  <c r="AI159" i="43"/>
  <c r="BK72" i="45"/>
  <c r="BK67" i="45"/>
  <c r="BK63" i="45"/>
  <c r="BK73" i="45"/>
  <c r="BK65" i="45"/>
  <c r="BK64" i="45"/>
  <c r="U14" i="29"/>
  <c r="U10" i="29"/>
  <c r="U18" i="29"/>
  <c r="L130" i="29"/>
  <c r="L123" i="29"/>
  <c r="L124" i="29"/>
  <c r="L126" i="29"/>
  <c r="Y185" i="45"/>
  <c r="U66" i="29"/>
  <c r="BL100" i="43"/>
  <c r="BL107" i="43"/>
  <c r="BL106" i="43"/>
  <c r="BL102" i="43"/>
  <c r="BL108" i="43"/>
  <c r="BL98" i="43"/>
  <c r="BL101" i="43"/>
  <c r="AM230" i="41"/>
  <c r="AQ230" i="41" s="1"/>
  <c r="O20" i="45"/>
  <c r="I86" i="45"/>
  <c r="AC108" i="41"/>
  <c r="AC74" i="41" s="1"/>
  <c r="AC278" i="41" s="1"/>
  <c r="AC363" i="41" s="1"/>
  <c r="Z237" i="45"/>
  <c r="N208" i="45"/>
  <c r="F101" i="45"/>
  <c r="U194" i="29"/>
  <c r="BO290" i="43"/>
  <c r="S57" i="41"/>
  <c r="AI152" i="43"/>
  <c r="U207" i="45"/>
  <c r="R121" i="43"/>
  <c r="T31" i="43"/>
  <c r="K96" i="29"/>
  <c r="BP40" i="43"/>
  <c r="BK12" i="45"/>
  <c r="AU103" i="43"/>
  <c r="AU99" i="43"/>
  <c r="AY304" i="43"/>
  <c r="AY306" i="43"/>
  <c r="BC106" i="43"/>
  <c r="BC102" i="43"/>
  <c r="BC99" i="43"/>
  <c r="BB152" i="43"/>
  <c r="BB158" i="43"/>
  <c r="BB153" i="43"/>
  <c r="K39" i="29"/>
  <c r="K38" i="29"/>
  <c r="K46" i="29"/>
  <c r="K40" i="29"/>
  <c r="K44" i="29"/>
  <c r="U42" i="29"/>
  <c r="U38" i="29"/>
  <c r="AK176" i="41"/>
  <c r="AK278" i="41" s="1"/>
  <c r="BM167" i="45"/>
  <c r="J12" i="34"/>
  <c r="AE199" i="37"/>
  <c r="O193" i="41"/>
  <c r="BR209" i="43"/>
  <c r="N76" i="41"/>
  <c r="K110" i="41"/>
  <c r="AE81" i="45"/>
  <c r="W275" i="45"/>
  <c r="S167" i="43"/>
  <c r="S165" i="43" s="1"/>
  <c r="R119" i="43"/>
  <c r="Q50" i="45"/>
  <c r="O13" i="45"/>
  <c r="O153" i="43"/>
  <c r="J131" i="45"/>
  <c r="N106" i="43"/>
  <c r="N98" i="43"/>
  <c r="AI154" i="43"/>
  <c r="K238" i="45"/>
  <c r="F106" i="45"/>
  <c r="J96" i="32"/>
  <c r="U193" i="29"/>
  <c r="K43" i="29"/>
  <c r="T125" i="29"/>
  <c r="J152" i="29"/>
  <c r="J100" i="29"/>
  <c r="BJ133" i="43"/>
  <c r="U67" i="29"/>
  <c r="BL158" i="43"/>
  <c r="AE68" i="45"/>
  <c r="AE63" i="45"/>
  <c r="AD141" i="45"/>
  <c r="AD136" i="45"/>
  <c r="AD191" i="45"/>
  <c r="AD182" i="45"/>
  <c r="AD187" i="45"/>
  <c r="K30" i="30"/>
  <c r="K31" i="30" s="1"/>
  <c r="K26" i="30"/>
  <c r="K24" i="30"/>
  <c r="K32" i="30"/>
  <c r="AU185" i="43"/>
  <c r="AU188" i="43"/>
  <c r="AK120" i="45"/>
  <c r="AK123" i="45"/>
  <c r="AM236" i="45"/>
  <c r="AM233" i="45"/>
  <c r="AY83" i="43"/>
  <c r="AY80" i="43" s="1"/>
  <c r="AY87" i="43"/>
  <c r="AY90" i="43"/>
  <c r="AY88" i="43" s="1"/>
  <c r="AZ140" i="43"/>
  <c r="AZ134" i="43"/>
  <c r="AZ131" i="43" s="1"/>
  <c r="AZ137" i="43"/>
  <c r="AZ141" i="43"/>
  <c r="AZ138" i="43"/>
  <c r="AX293" i="43"/>
  <c r="AX291" i="43"/>
  <c r="AX287" i="43"/>
  <c r="AX294" i="43"/>
  <c r="AX286" i="43"/>
  <c r="AX285" i="43"/>
  <c r="AX288" i="43"/>
  <c r="AQ173" i="45"/>
  <c r="AQ175" i="45"/>
  <c r="BK168" i="43"/>
  <c r="BK172" i="43"/>
  <c r="BL219" i="43"/>
  <c r="BL221" i="43"/>
  <c r="BL225" i="43"/>
  <c r="BL226" i="43"/>
  <c r="BN155" i="43"/>
  <c r="BN151" i="43"/>
  <c r="BN153" i="43"/>
  <c r="BN157" i="43"/>
  <c r="BN159" i="43"/>
  <c r="BN154" i="43"/>
  <c r="BO204" i="43"/>
  <c r="BO201" i="43"/>
  <c r="BO210" i="43"/>
  <c r="BI34" i="45"/>
  <c r="BI35" i="45"/>
  <c r="BI31" i="45"/>
  <c r="BI30" i="45"/>
  <c r="AH292" i="43"/>
  <c r="I33" i="45"/>
  <c r="I35" i="45"/>
  <c r="AO131" i="45"/>
  <c r="AO140" i="45"/>
  <c r="AO135" i="45"/>
  <c r="BB121" i="43"/>
  <c r="BB123" i="43"/>
  <c r="BB115" i="43"/>
  <c r="BB120" i="43"/>
  <c r="BB119" i="43"/>
  <c r="AS20" i="45"/>
  <c r="AS18" i="45"/>
  <c r="AS14" i="45"/>
  <c r="AS16" i="45"/>
  <c r="AS116" i="45"/>
  <c r="AS123" i="45"/>
  <c r="BN104" i="43"/>
  <c r="BN99" i="43"/>
  <c r="BO157" i="43"/>
  <c r="BO154" i="43"/>
  <c r="BO158" i="43"/>
  <c r="BO159" i="43"/>
  <c r="BP206" i="43"/>
  <c r="BP208" i="43"/>
  <c r="BP209" i="43"/>
  <c r="BP210" i="43"/>
  <c r="BR219" i="43"/>
  <c r="BR217" i="43"/>
  <c r="BR223" i="43"/>
  <c r="BO239" i="43"/>
  <c r="BO242" i="43"/>
  <c r="BN308" i="43"/>
  <c r="BN302" i="43"/>
  <c r="BN312" i="43"/>
  <c r="BN309" i="43" s="1"/>
  <c r="BN305" i="43"/>
  <c r="K208" i="43"/>
  <c r="K210" i="43"/>
  <c r="K327" i="43"/>
  <c r="K326" i="43" s="1"/>
  <c r="K323" i="43"/>
  <c r="G56" i="45"/>
  <c r="G52" i="45"/>
  <c r="G46" i="45"/>
  <c r="G55" i="45"/>
  <c r="G51" i="45"/>
  <c r="N188" i="43"/>
  <c r="N185" i="43"/>
  <c r="N295" i="41"/>
  <c r="L212" i="31"/>
  <c r="L213" i="31" s="1"/>
  <c r="L210" i="31"/>
  <c r="AV66" i="43"/>
  <c r="AV65" i="43"/>
  <c r="AX158" i="43"/>
  <c r="AX153" i="43"/>
  <c r="AO84" i="45"/>
  <c r="AO83" i="45"/>
  <c r="BB22" i="43"/>
  <c r="BB17" i="43"/>
  <c r="BB13" i="43"/>
  <c r="BB15" i="43"/>
  <c r="BB16" i="43"/>
  <c r="AT117" i="45"/>
  <c r="AT115" i="45"/>
  <c r="AT119" i="45"/>
  <c r="AT122" i="45"/>
  <c r="BJ205" i="43"/>
  <c r="BJ209" i="43"/>
  <c r="BJ207" i="43" s="1"/>
  <c r="BJ204" i="43"/>
  <c r="BJ200" i="43"/>
  <c r="BJ203" i="43"/>
  <c r="BK271" i="43"/>
  <c r="BK278" i="43"/>
  <c r="BO57" i="43"/>
  <c r="BO55" i="43"/>
  <c r="BO107" i="43"/>
  <c r="BO108" i="43"/>
  <c r="BO103" i="43"/>
  <c r="BO101" i="43"/>
  <c r="BO99" i="43"/>
  <c r="BO106" i="43"/>
  <c r="AB51" i="43"/>
  <c r="AB55" i="43"/>
  <c r="AB54" i="43" s="1"/>
  <c r="AB47" i="43"/>
  <c r="AB46" i="43" s="1"/>
  <c r="AF158" i="43"/>
  <c r="AF156" i="43" s="1"/>
  <c r="AF150" i="43"/>
  <c r="AF148" i="43" s="1"/>
  <c r="AT277" i="43"/>
  <c r="AT273" i="43"/>
  <c r="AU329" i="43"/>
  <c r="AU324" i="43"/>
  <c r="AX53" i="43"/>
  <c r="AX57" i="43"/>
  <c r="AX55" i="43"/>
  <c r="AX47" i="43"/>
  <c r="AX48" i="43"/>
  <c r="BK209" i="43"/>
  <c r="BK200" i="43"/>
  <c r="BL322" i="43"/>
  <c r="BL321" i="43"/>
  <c r="BL320" i="43"/>
  <c r="BL324" i="43"/>
  <c r="BL327" i="43"/>
  <c r="BL326" i="43" s="1"/>
  <c r="BP107" i="43"/>
  <c r="BP99" i="43"/>
  <c r="BP102" i="43"/>
  <c r="BK136" i="45"/>
  <c r="BK140" i="45"/>
  <c r="BK135" i="45"/>
  <c r="G183" i="45"/>
  <c r="G186" i="45"/>
  <c r="AT99" i="43"/>
  <c r="AT101" i="43"/>
  <c r="AT204" i="43"/>
  <c r="AT203" i="43"/>
  <c r="AT199" i="43" s="1"/>
  <c r="AV321" i="43"/>
  <c r="AV320" i="43"/>
  <c r="AV327" i="43"/>
  <c r="AY107" i="43"/>
  <c r="AY98" i="43"/>
  <c r="AY104" i="43"/>
  <c r="AZ153" i="43"/>
  <c r="AZ151" i="43"/>
  <c r="AX312" i="43"/>
  <c r="AX303" i="43"/>
  <c r="AQ133" i="45"/>
  <c r="AQ135" i="45"/>
  <c r="AQ140" i="45"/>
  <c r="AQ134" i="45"/>
  <c r="AQ131" i="45"/>
  <c r="BJ100" i="43"/>
  <c r="BJ108" i="43"/>
  <c r="BJ102" i="43"/>
  <c r="BJ106" i="43"/>
  <c r="BK154" i="43"/>
  <c r="BK155" i="43"/>
  <c r="K241" i="29"/>
  <c r="K184" i="28"/>
  <c r="J237" i="29"/>
  <c r="L225" i="29"/>
  <c r="L224" i="29"/>
  <c r="L222" i="29"/>
  <c r="W82" i="45"/>
  <c r="W83" i="45"/>
  <c r="W86" i="45"/>
  <c r="W80" i="45"/>
  <c r="W89" i="45"/>
  <c r="W84" i="45"/>
  <c r="W81" i="45"/>
  <c r="AJ21" i="43"/>
  <c r="AJ22" i="43"/>
  <c r="AJ23" i="43"/>
  <c r="AJ14" i="43"/>
  <c r="AJ18" i="43"/>
  <c r="N16" i="43"/>
  <c r="N23" i="43"/>
  <c r="N18" i="43"/>
  <c r="N14" i="43"/>
  <c r="N13" i="43"/>
  <c r="N21" i="43"/>
  <c r="V221" i="45"/>
  <c r="V220" i="45"/>
  <c r="V216" i="45"/>
  <c r="V226" i="45"/>
  <c r="V222" i="45"/>
  <c r="V224" i="45"/>
  <c r="V217" i="45"/>
  <c r="V225" i="45"/>
  <c r="V219" i="45"/>
  <c r="V218" i="45"/>
  <c r="J126" i="29"/>
  <c r="J130" i="29"/>
  <c r="J122" i="29"/>
  <c r="J124" i="29"/>
  <c r="J127" i="29"/>
  <c r="J107" i="29"/>
  <c r="J128" i="29"/>
  <c r="J123" i="29"/>
  <c r="AJ17" i="43"/>
  <c r="L38" i="43"/>
  <c r="L30" i="43"/>
  <c r="L34" i="43"/>
  <c r="L35" i="43"/>
  <c r="L36" i="43"/>
  <c r="L39" i="43"/>
  <c r="L31" i="43"/>
  <c r="L33" i="43"/>
  <c r="L32" i="43"/>
  <c r="L40" i="43"/>
  <c r="J174" i="43"/>
  <c r="J172" i="43"/>
  <c r="J175" i="43"/>
  <c r="J176" i="43"/>
  <c r="J169" i="43"/>
  <c r="J168" i="43"/>
  <c r="J166" i="43"/>
  <c r="J170" i="43"/>
  <c r="F22" i="45"/>
  <c r="F18" i="45"/>
  <c r="F15" i="45"/>
  <c r="F14" i="45"/>
  <c r="F17" i="45"/>
  <c r="F20" i="45"/>
  <c r="F12" i="45"/>
  <c r="F13" i="45"/>
  <c r="AF39" i="43"/>
  <c r="AF30" i="43"/>
  <c r="AF34" i="43"/>
  <c r="AF40" i="43"/>
  <c r="AF31" i="43"/>
  <c r="AF33" i="43"/>
  <c r="AF36" i="43"/>
  <c r="AF32" i="43"/>
  <c r="AF38" i="43"/>
  <c r="L70" i="29"/>
  <c r="L72" i="29"/>
  <c r="L71" i="29"/>
  <c r="L68" i="29"/>
  <c r="K176" i="43"/>
  <c r="K171" i="43"/>
  <c r="K168" i="43"/>
  <c r="K170" i="43"/>
  <c r="K167" i="43"/>
  <c r="K169" i="43"/>
  <c r="K174" i="43"/>
  <c r="K172" i="43"/>
  <c r="Z329" i="43"/>
  <c r="Z327" i="43"/>
  <c r="Z321" i="43"/>
  <c r="Z319" i="43"/>
  <c r="Z323" i="43"/>
  <c r="Z324" i="43"/>
  <c r="Z320" i="43"/>
  <c r="Z328" i="43"/>
  <c r="Z325" i="43"/>
  <c r="AV274" i="43"/>
  <c r="AV277" i="43"/>
  <c r="AV268" i="43"/>
  <c r="AV276" i="43"/>
  <c r="AV278" i="43"/>
  <c r="AV270" i="43"/>
  <c r="AV273" i="43"/>
  <c r="AV269" i="43"/>
  <c r="P182" i="28"/>
  <c r="P179" i="28"/>
  <c r="P186" i="28"/>
  <c r="P183" i="28"/>
  <c r="P180" i="28"/>
  <c r="P184" i="28"/>
  <c r="P178" i="28"/>
  <c r="P236" i="31"/>
  <c r="P234" i="31"/>
  <c r="BN11" i="34"/>
  <c r="BN12" i="34"/>
  <c r="BN10" i="34"/>
  <c r="S71" i="32"/>
  <c r="E107" i="45"/>
  <c r="E100" i="45"/>
  <c r="E105" i="45"/>
  <c r="E98" i="45"/>
  <c r="E102" i="45"/>
  <c r="E106" i="45"/>
  <c r="E97" i="45"/>
  <c r="E103" i="45"/>
  <c r="E99" i="45"/>
  <c r="E101" i="45"/>
  <c r="AA320" i="43"/>
  <c r="AA327" i="43"/>
  <c r="AA322" i="43"/>
  <c r="AA324" i="43"/>
  <c r="AA321" i="43"/>
  <c r="AA325" i="43"/>
  <c r="AA323" i="43"/>
  <c r="AU55" i="43"/>
  <c r="AU52" i="43"/>
  <c r="AU56" i="43"/>
  <c r="AU49" i="43"/>
  <c r="AU51" i="43"/>
  <c r="AU47" i="43"/>
  <c r="AU53" i="43"/>
  <c r="AU48" i="43"/>
  <c r="AV155" i="43"/>
  <c r="AV154" i="43"/>
  <c r="AV158" i="43"/>
  <c r="AV149" i="43"/>
  <c r="AV150" i="43"/>
  <c r="AV152" i="43"/>
  <c r="AV153" i="43"/>
  <c r="AV159" i="43"/>
  <c r="AV210" i="43"/>
  <c r="AV203" i="43"/>
  <c r="AV206" i="43"/>
  <c r="AV209" i="43"/>
  <c r="AV204" i="43"/>
  <c r="AV202" i="43"/>
  <c r="AV200" i="43"/>
  <c r="AV205" i="43"/>
  <c r="AV208" i="43"/>
  <c r="AV201" i="43"/>
  <c r="BP236" i="43"/>
  <c r="BP239" i="43"/>
  <c r="BP235" i="43"/>
  <c r="BP240" i="43"/>
  <c r="BP238" i="43"/>
  <c r="BP242" i="43"/>
  <c r="BP243" i="43"/>
  <c r="BJ131" i="45"/>
  <c r="BJ132" i="45"/>
  <c r="BJ137" i="45"/>
  <c r="BJ133" i="45"/>
  <c r="BJ135" i="45"/>
  <c r="BJ140" i="45"/>
  <c r="BJ134" i="45"/>
  <c r="BJ136" i="45"/>
  <c r="L71" i="32"/>
  <c r="L67" i="32"/>
  <c r="L66" i="32"/>
  <c r="L74" i="32"/>
  <c r="K13" i="43"/>
  <c r="K17" i="43"/>
  <c r="K15" i="43"/>
  <c r="K18" i="43"/>
  <c r="K21" i="43"/>
  <c r="K14" i="43"/>
  <c r="K23" i="43"/>
  <c r="K16" i="43"/>
  <c r="K19" i="43"/>
  <c r="K22" i="43"/>
  <c r="L123" i="43"/>
  <c r="L117" i="43"/>
  <c r="L120" i="43"/>
  <c r="L124" i="43"/>
  <c r="L115" i="43"/>
  <c r="L116" i="43"/>
  <c r="AB16" i="43"/>
  <c r="AB22" i="43"/>
  <c r="AB23" i="43"/>
  <c r="AB18" i="43"/>
  <c r="AB19" i="43"/>
  <c r="AB15" i="43"/>
  <c r="Z158" i="43"/>
  <c r="Z150" i="43"/>
  <c r="Z153" i="43"/>
  <c r="R197" i="33"/>
  <c r="R200" i="33"/>
  <c r="R194" i="33"/>
  <c r="R192" i="33"/>
  <c r="R193" i="33"/>
  <c r="R198" i="33"/>
  <c r="AV50" i="43"/>
  <c r="AV57" i="43"/>
  <c r="AV48" i="43"/>
  <c r="O328" i="41"/>
  <c r="O323" i="41"/>
  <c r="O324" i="41"/>
  <c r="O322" i="41"/>
  <c r="O320" i="41"/>
  <c r="O321" i="41"/>
  <c r="O327" i="41"/>
  <c r="O315" i="41"/>
  <c r="O319" i="41"/>
  <c r="O178" i="31"/>
  <c r="O179" i="31"/>
  <c r="O182" i="31"/>
  <c r="O183" i="31"/>
  <c r="O186" i="31"/>
  <c r="K168" i="32"/>
  <c r="K170" i="32"/>
  <c r="K166" i="32"/>
  <c r="K169" i="32"/>
  <c r="K172" i="32"/>
  <c r="S33" i="37"/>
  <c r="S38" i="37"/>
  <c r="S34" i="37"/>
  <c r="S29" i="37"/>
  <c r="G38" i="37"/>
  <c r="G39" i="37"/>
  <c r="G31" i="37"/>
  <c r="AJ15" i="43"/>
  <c r="Z200" i="43"/>
  <c r="J171" i="43"/>
  <c r="F131" i="37"/>
  <c r="F141" i="37"/>
  <c r="F135" i="37"/>
  <c r="F136" i="37"/>
  <c r="F137" i="37"/>
  <c r="F139" i="37"/>
  <c r="E99" i="37"/>
  <c r="E97" i="37"/>
  <c r="E98" i="37"/>
  <c r="G40" i="41"/>
  <c r="L249" i="28"/>
  <c r="L252" i="28"/>
  <c r="L248" i="28"/>
  <c r="L253" i="28"/>
  <c r="L255" i="28" s="1"/>
  <c r="L238" i="28"/>
  <c r="L219" i="28"/>
  <c r="L235" i="28"/>
  <c r="L242" i="28"/>
  <c r="BM318" i="45"/>
  <c r="BM322" i="45"/>
  <c r="BM321" i="45"/>
  <c r="BR67" i="43"/>
  <c r="BR68" i="43"/>
  <c r="BR65" i="43"/>
  <c r="BR66" i="43"/>
  <c r="AB13" i="43"/>
  <c r="AH168" i="43"/>
  <c r="AH170" i="43"/>
  <c r="AH172" i="43"/>
  <c r="AH176" i="43"/>
  <c r="AH174" i="43"/>
  <c r="AH169" i="43"/>
  <c r="AH166" i="43"/>
  <c r="AH175" i="43"/>
  <c r="L240" i="29"/>
  <c r="L242" i="29"/>
  <c r="L239" i="29"/>
  <c r="L236" i="29"/>
  <c r="L238" i="29"/>
  <c r="L235" i="29"/>
  <c r="L234" i="29"/>
  <c r="W292" i="45"/>
  <c r="W289" i="45"/>
  <c r="W294" i="45"/>
  <c r="W284" i="45"/>
  <c r="W285" i="45"/>
  <c r="W290" i="45"/>
  <c r="AE39" i="43"/>
  <c r="AE33" i="43"/>
  <c r="AE35" i="43"/>
  <c r="AE32" i="43"/>
  <c r="AE34" i="43"/>
  <c r="AE30" i="43"/>
  <c r="AE38" i="43"/>
  <c r="AE36" i="43"/>
  <c r="AH120" i="43"/>
  <c r="AH123" i="43"/>
  <c r="AH125" i="43"/>
  <c r="AH124" i="43"/>
  <c r="AH119" i="43"/>
  <c r="AH121" i="43"/>
  <c r="AH118" i="43"/>
  <c r="AH117" i="43"/>
  <c r="AH116" i="43"/>
  <c r="AH115" i="43"/>
  <c r="AI236" i="43"/>
  <c r="AI242" i="43"/>
  <c r="R96" i="33"/>
  <c r="R102" i="33"/>
  <c r="R99" i="33"/>
  <c r="R94" i="33"/>
  <c r="K239" i="43"/>
  <c r="K237" i="43"/>
  <c r="K244" i="43"/>
  <c r="K236" i="43"/>
  <c r="W222" i="45"/>
  <c r="W216" i="45"/>
  <c r="W218" i="45"/>
  <c r="W221" i="45"/>
  <c r="W217" i="45"/>
  <c r="W220" i="45"/>
  <c r="W224" i="45"/>
  <c r="W226" i="45"/>
  <c r="W219" i="45"/>
  <c r="W225" i="45"/>
  <c r="G16" i="45"/>
  <c r="G15" i="45"/>
  <c r="F207" i="45"/>
  <c r="F208" i="45"/>
  <c r="F202" i="45"/>
  <c r="F200" i="45"/>
  <c r="F199" i="45"/>
  <c r="F203" i="45"/>
  <c r="F205" i="45"/>
  <c r="F201" i="45"/>
  <c r="F209" i="45"/>
  <c r="F204" i="45"/>
  <c r="W174" i="45"/>
  <c r="W173" i="45"/>
  <c r="W168" i="45"/>
  <c r="W165" i="45"/>
  <c r="W171" i="45"/>
  <c r="W170" i="45"/>
  <c r="W167" i="45"/>
  <c r="W166" i="45"/>
  <c r="W175" i="45"/>
  <c r="W169" i="45"/>
  <c r="AU101" i="43"/>
  <c r="AU107" i="43"/>
  <c r="AU106" i="43"/>
  <c r="AU100" i="43"/>
  <c r="AU98" i="43"/>
  <c r="AU102" i="43"/>
  <c r="AU104" i="43"/>
  <c r="AU108" i="43"/>
  <c r="J306" i="41"/>
  <c r="J302" i="41"/>
  <c r="J309" i="41"/>
  <c r="J301" i="41"/>
  <c r="J305" i="41"/>
  <c r="J307" i="41"/>
  <c r="J298" i="41"/>
  <c r="J303" i="41"/>
  <c r="J311" i="41"/>
  <c r="BL64" i="43"/>
  <c r="BL69" i="43"/>
  <c r="BL72" i="43"/>
  <c r="BL70" i="43"/>
  <c r="BL66" i="43"/>
  <c r="BL68" i="43"/>
  <c r="BL73" i="43"/>
  <c r="BL67" i="43"/>
  <c r="BL65" i="43"/>
  <c r="BL74" i="43"/>
  <c r="BJ32" i="45"/>
  <c r="BJ37" i="45"/>
  <c r="BI328" i="45"/>
  <c r="BI319" i="45"/>
  <c r="BI321" i="45"/>
  <c r="BI318" i="45"/>
  <c r="BI324" i="45"/>
  <c r="BI320" i="45"/>
  <c r="BI326" i="45"/>
  <c r="BI327" i="45"/>
  <c r="BI322" i="45"/>
  <c r="J73" i="43"/>
  <c r="J67" i="43"/>
  <c r="AB69" i="43"/>
  <c r="AB65" i="43"/>
  <c r="AB70" i="43"/>
  <c r="AB72" i="43"/>
  <c r="AB73" i="43"/>
  <c r="AB64" i="43"/>
  <c r="AB68" i="43"/>
  <c r="AB67" i="43"/>
  <c r="AB66" i="43"/>
  <c r="N324" i="41"/>
  <c r="N320" i="41"/>
  <c r="N319" i="41"/>
  <c r="N323" i="41"/>
  <c r="N326" i="41"/>
  <c r="N315" i="41"/>
  <c r="AS222" i="45"/>
  <c r="AS218" i="45"/>
  <c r="AS226" i="45"/>
  <c r="AS224" i="45"/>
  <c r="AS216" i="45"/>
  <c r="AS217" i="45"/>
  <c r="BS217" i="43"/>
  <c r="BS219" i="43"/>
  <c r="BJ185" i="45"/>
  <c r="BJ183" i="45"/>
  <c r="BJ190" i="45"/>
  <c r="BJ188" i="45"/>
  <c r="BJ192" i="45"/>
  <c r="BJ184" i="45"/>
  <c r="S46" i="29"/>
  <c r="S44" i="29"/>
  <c r="S39" i="29"/>
  <c r="S40" i="29"/>
  <c r="S43" i="29"/>
  <c r="J130" i="28"/>
  <c r="J123" i="28"/>
  <c r="J128" i="28"/>
  <c r="J126" i="28"/>
  <c r="J122" i="28"/>
  <c r="Z206" i="43"/>
  <c r="BJ191" i="45"/>
  <c r="W73" i="45"/>
  <c r="W67" i="45"/>
  <c r="W63" i="45"/>
  <c r="W68" i="45"/>
  <c r="W66" i="45"/>
  <c r="W69" i="45"/>
  <c r="W65" i="45"/>
  <c r="U89" i="37"/>
  <c r="U90" i="37"/>
  <c r="AB74" i="43"/>
  <c r="V234" i="37"/>
  <c r="V241" i="37"/>
  <c r="W64" i="45"/>
  <c r="AB14" i="43"/>
  <c r="U220" i="37"/>
  <c r="U221" i="37"/>
  <c r="S200" i="37"/>
  <c r="S205" i="37"/>
  <c r="S203" i="37"/>
  <c r="W31" i="45"/>
  <c r="J133" i="37"/>
  <c r="J131" i="37"/>
  <c r="J137" i="37"/>
  <c r="J136" i="37"/>
  <c r="J132" i="37"/>
  <c r="U31" i="37"/>
  <c r="U37" i="37"/>
  <c r="Z322" i="43"/>
  <c r="F140" i="37"/>
  <c r="J200" i="37"/>
  <c r="BR312" i="43"/>
  <c r="BR302" i="43"/>
  <c r="BR307" i="43"/>
  <c r="BR304" i="43"/>
  <c r="BR305" i="43"/>
  <c r="BR306" i="43"/>
  <c r="BM82" i="45"/>
  <c r="BM90" i="45"/>
  <c r="BM84" i="45"/>
  <c r="BM83" i="45"/>
  <c r="BM86" i="45"/>
  <c r="J218" i="28"/>
  <c r="S209" i="37"/>
  <c r="AB17" i="43"/>
  <c r="F16" i="45"/>
  <c r="BR115" i="43"/>
  <c r="BR117" i="43"/>
  <c r="BM64" i="45"/>
  <c r="BM65" i="45"/>
  <c r="U226" i="45"/>
  <c r="U222" i="45"/>
  <c r="U220" i="45"/>
  <c r="U217" i="45"/>
  <c r="AF134" i="43"/>
  <c r="AF133" i="43"/>
  <c r="AF138" i="43"/>
  <c r="L235" i="31"/>
  <c r="L242" i="31"/>
  <c r="L236" i="31"/>
  <c r="L234" i="31"/>
  <c r="BS308" i="43"/>
  <c r="BS311" i="43"/>
  <c r="BS307" i="43"/>
  <c r="BS312" i="43"/>
  <c r="BS302" i="43"/>
  <c r="AJ13" i="43"/>
  <c r="P125" i="43"/>
  <c r="P117" i="43"/>
  <c r="P118" i="43"/>
  <c r="P119" i="43"/>
  <c r="P120" i="43"/>
  <c r="P123" i="43"/>
  <c r="AD244" i="43"/>
  <c r="AD239" i="43"/>
  <c r="AD235" i="43"/>
  <c r="AD237" i="43"/>
  <c r="E208" i="45"/>
  <c r="E203" i="45"/>
  <c r="E200" i="45"/>
  <c r="E199" i="45"/>
  <c r="E202" i="45"/>
  <c r="E204" i="45"/>
  <c r="E209" i="45"/>
  <c r="T219" i="30"/>
  <c r="T225" i="30" s="1"/>
  <c r="T236" i="30"/>
  <c r="T238" i="30"/>
  <c r="T234" i="30"/>
  <c r="T242" i="30"/>
  <c r="T240" i="30"/>
  <c r="T235" i="30"/>
  <c r="BK14" i="43"/>
  <c r="BK18" i="43"/>
  <c r="BK16" i="43"/>
  <c r="BK21" i="43"/>
  <c r="BK19" i="43"/>
  <c r="BK22" i="43"/>
  <c r="BK13" i="43"/>
  <c r="BK17" i="43"/>
  <c r="BK23" i="43"/>
  <c r="BK15" i="43"/>
  <c r="BL115" i="43"/>
  <c r="BL120" i="43"/>
  <c r="BL118" i="43"/>
  <c r="BL124" i="43"/>
  <c r="BL117" i="43"/>
  <c r="BL125" i="43"/>
  <c r="BL116" i="43"/>
  <c r="BI186" i="45"/>
  <c r="BI185" i="45"/>
  <c r="S193" i="32"/>
  <c r="S200" i="32"/>
  <c r="S196" i="32"/>
  <c r="S198" i="32"/>
  <c r="S194" i="32"/>
  <c r="S197" i="32"/>
  <c r="S192" i="32"/>
  <c r="K102" i="31"/>
  <c r="K98" i="31"/>
  <c r="K96" i="31"/>
  <c r="E157" i="45"/>
  <c r="E149" i="45"/>
  <c r="E158" i="45"/>
  <c r="E151" i="45"/>
  <c r="G275" i="45"/>
  <c r="G269" i="45"/>
  <c r="G270" i="45"/>
  <c r="AB121" i="43"/>
  <c r="AB116" i="43"/>
  <c r="AB115" i="43"/>
  <c r="AB118" i="43"/>
  <c r="AB125" i="43"/>
  <c r="AB124" i="43"/>
  <c r="AB123" i="43"/>
  <c r="AB117" i="43"/>
  <c r="AZ56" i="43"/>
  <c r="AZ51" i="43"/>
  <c r="BL23" i="43"/>
  <c r="BL13" i="43"/>
  <c r="BL16" i="43"/>
  <c r="BL15" i="43"/>
  <c r="BL18" i="43"/>
  <c r="BL14" i="43"/>
  <c r="BL21" i="43"/>
  <c r="T196" i="32"/>
  <c r="T193" i="32"/>
  <c r="T194" i="32"/>
  <c r="T198" i="32"/>
  <c r="T200" i="32"/>
  <c r="T197" i="32"/>
  <c r="J17" i="43"/>
  <c r="J22" i="43"/>
  <c r="J23" i="43"/>
  <c r="J14" i="43"/>
  <c r="J21" i="43"/>
  <c r="J18" i="43"/>
  <c r="J13" i="43"/>
  <c r="J16" i="43"/>
  <c r="J19" i="43"/>
  <c r="L168" i="43"/>
  <c r="L169" i="43"/>
  <c r="F158" i="45"/>
  <c r="F153" i="45"/>
  <c r="F157" i="45"/>
  <c r="F152" i="45"/>
  <c r="F151" i="45"/>
  <c r="F156" i="45"/>
  <c r="F150" i="45"/>
  <c r="F148" i="45"/>
  <c r="F149" i="45"/>
  <c r="F147" i="45" s="1"/>
  <c r="F154" i="45"/>
  <c r="W124" i="45"/>
  <c r="W117" i="45"/>
  <c r="W123" i="45"/>
  <c r="W118" i="45"/>
  <c r="W122" i="45"/>
  <c r="W120" i="45"/>
  <c r="W116" i="45"/>
  <c r="W115" i="45"/>
  <c r="W114" i="45"/>
  <c r="W119" i="45"/>
  <c r="BD18" i="43"/>
  <c r="BD13" i="43"/>
  <c r="BD21" i="43"/>
  <c r="BD19" i="43"/>
  <c r="BD15" i="43"/>
  <c r="BD17" i="43"/>
  <c r="BD16" i="43"/>
  <c r="BD14" i="43"/>
  <c r="BD22" i="43"/>
  <c r="BD176" i="43"/>
  <c r="BD171" i="43"/>
  <c r="BD167" i="43"/>
  <c r="BD172" i="43"/>
  <c r="BD175" i="43"/>
  <c r="AU65" i="45"/>
  <c r="AU71" i="45"/>
  <c r="AU68" i="45"/>
  <c r="AU63" i="45"/>
  <c r="AU66" i="45"/>
  <c r="AU67" i="45"/>
  <c r="AU72" i="45"/>
  <c r="BK88" i="45"/>
  <c r="BK83" i="45"/>
  <c r="BJ326" i="45"/>
  <c r="BJ320" i="45"/>
  <c r="BJ323" i="45"/>
  <c r="BJ319" i="45"/>
  <c r="BJ322" i="45"/>
  <c r="BJ318" i="45"/>
  <c r="BJ321" i="45"/>
  <c r="BJ324" i="45"/>
  <c r="BJ327" i="45"/>
  <c r="T266" i="29"/>
  <c r="T263" i="29"/>
  <c r="J123" i="32"/>
  <c r="J124" i="32"/>
  <c r="J164" i="32"/>
  <c r="J168" i="32"/>
  <c r="J170" i="32"/>
  <c r="J165" i="32"/>
  <c r="J172" i="32"/>
  <c r="J169" i="32"/>
  <c r="J166" i="32"/>
  <c r="J102" i="28"/>
  <c r="W288" i="45"/>
  <c r="N318" i="41"/>
  <c r="E49" i="45"/>
  <c r="E46" i="45"/>
  <c r="E54" i="45"/>
  <c r="E47" i="45"/>
  <c r="E56" i="45"/>
  <c r="E51" i="45"/>
  <c r="E52" i="45"/>
  <c r="E55" i="45"/>
  <c r="E48" i="45"/>
  <c r="AA204" i="43"/>
  <c r="AA208" i="43"/>
  <c r="AA206" i="43"/>
  <c r="AA203" i="43"/>
  <c r="AA205" i="43"/>
  <c r="AA209" i="43"/>
  <c r="AA210" i="43"/>
  <c r="AA201" i="43"/>
  <c r="S270" i="33"/>
  <c r="S262" i="33"/>
  <c r="S266" i="33"/>
  <c r="S263" i="33"/>
  <c r="S264" i="33"/>
  <c r="S267" i="33"/>
  <c r="S269" i="33" s="1"/>
  <c r="BB323" i="43"/>
  <c r="BB319" i="43"/>
  <c r="BB328" i="43"/>
  <c r="BB320" i="43"/>
  <c r="BB329" i="43"/>
  <c r="BB322" i="43"/>
  <c r="BB324" i="43"/>
  <c r="AS151" i="45"/>
  <c r="AS150" i="45"/>
  <c r="AS152" i="45"/>
  <c r="AS148" i="45"/>
  <c r="AS149" i="45"/>
  <c r="AS157" i="45"/>
  <c r="AS154" i="45"/>
  <c r="AS156" i="45"/>
  <c r="AS158" i="45"/>
  <c r="J256" i="31"/>
  <c r="J254" i="31"/>
  <c r="J249" i="31"/>
  <c r="J250" i="31"/>
  <c r="BR10" i="34"/>
  <c r="BR18" i="34"/>
  <c r="AJ19" i="43"/>
  <c r="W71" i="45"/>
  <c r="J167" i="43"/>
  <c r="BT19" i="43"/>
  <c r="E82" i="37"/>
  <c r="E81" i="37"/>
  <c r="P43" i="28"/>
  <c r="P39" i="28"/>
  <c r="P38" i="28"/>
  <c r="P46" i="28"/>
  <c r="J192" i="37"/>
  <c r="J187" i="37"/>
  <c r="J190" i="37"/>
  <c r="AB21" i="43"/>
  <c r="AC80" i="45"/>
  <c r="AC90" i="45"/>
  <c r="BS124" i="43"/>
  <c r="BS118" i="43"/>
  <c r="BS116" i="43"/>
  <c r="AC38" i="37"/>
  <c r="AC37" i="37"/>
  <c r="AC32" i="37"/>
  <c r="AC30" i="37"/>
  <c r="AC31" i="37"/>
  <c r="J205" i="37"/>
  <c r="L116" i="32"/>
  <c r="AF132" i="43"/>
  <c r="W287" i="45"/>
  <c r="W72" i="45"/>
  <c r="F21" i="45"/>
  <c r="U225" i="45"/>
  <c r="BD23" i="43"/>
  <c r="BR167" i="43"/>
  <c r="BR169" i="43"/>
  <c r="AE89" i="43"/>
  <c r="AE90" i="43"/>
  <c r="AE85" i="43"/>
  <c r="AE82" i="43"/>
  <c r="AE84" i="43"/>
  <c r="AE81" i="43"/>
  <c r="AE87" i="43"/>
  <c r="AE83" i="43"/>
  <c r="AE91" i="43"/>
  <c r="AE86" i="43"/>
  <c r="AH234" i="43"/>
  <c r="AH243" i="43"/>
  <c r="AH235" i="43"/>
  <c r="AH238" i="43"/>
  <c r="AH236" i="43"/>
  <c r="AH237" i="43"/>
  <c r="AH239" i="43"/>
  <c r="AH244" i="43"/>
  <c r="AH242" i="43"/>
  <c r="AH240" i="43"/>
  <c r="U242" i="29"/>
  <c r="U219" i="29"/>
  <c r="U239" i="29"/>
  <c r="U234" i="29"/>
  <c r="U240" i="29"/>
  <c r="U238" i="29"/>
  <c r="U236" i="29"/>
  <c r="U235" i="29"/>
  <c r="O66" i="43"/>
  <c r="O65" i="43"/>
  <c r="O64" i="43"/>
  <c r="O74" i="43"/>
  <c r="O68" i="43"/>
  <c r="O67" i="43"/>
  <c r="O73" i="43"/>
  <c r="O70" i="43"/>
  <c r="AF82" i="43"/>
  <c r="AF85" i="43"/>
  <c r="AF89" i="43"/>
  <c r="AF87" i="43"/>
  <c r="AF81" i="43"/>
  <c r="AF84" i="43"/>
  <c r="AF91" i="43"/>
  <c r="AF86" i="43"/>
  <c r="U120" i="45"/>
  <c r="U116" i="45"/>
  <c r="U122" i="45"/>
  <c r="U114" i="45"/>
  <c r="U118" i="45"/>
  <c r="U123" i="45"/>
  <c r="BK66" i="43"/>
  <c r="BK74" i="43"/>
  <c r="BK65" i="43"/>
  <c r="BK70" i="43"/>
  <c r="BK73" i="43"/>
  <c r="BK69" i="43"/>
  <c r="BK67" i="43"/>
  <c r="AY216" i="43"/>
  <c r="Z19" i="43"/>
  <c r="Z15" i="43"/>
  <c r="Z16" i="43"/>
  <c r="Z18" i="43"/>
  <c r="AU158" i="43"/>
  <c r="AU154" i="43"/>
  <c r="AU155" i="43"/>
  <c r="AU151" i="43"/>
  <c r="AU153" i="43"/>
  <c r="AU208" i="43"/>
  <c r="AU202" i="43"/>
  <c r="AU206" i="43"/>
  <c r="AU200" i="43"/>
  <c r="AU204" i="43"/>
  <c r="AU205" i="43"/>
  <c r="AU210" i="43"/>
  <c r="AU201" i="43"/>
  <c r="AU203" i="43"/>
  <c r="BI139" i="45"/>
  <c r="BI135" i="45"/>
  <c r="BI136" i="45"/>
  <c r="BI133" i="45"/>
  <c r="BI141" i="45"/>
  <c r="BI137" i="45"/>
  <c r="S151" i="32"/>
  <c r="S154" i="32"/>
  <c r="S158" i="32"/>
  <c r="S152" i="32"/>
  <c r="S156" i="32"/>
  <c r="AA21" i="43"/>
  <c r="AA18" i="43"/>
  <c r="AA23" i="43"/>
  <c r="AA16" i="43"/>
  <c r="AA13" i="43"/>
  <c r="AA15" i="43"/>
  <c r="Z210" i="43"/>
  <c r="Z205" i="43"/>
  <c r="Z201" i="43"/>
  <c r="Z203" i="43"/>
  <c r="Z202" i="43"/>
  <c r="Z209" i="43"/>
  <c r="Z208" i="43"/>
  <c r="AD360" i="45"/>
  <c r="AD354" i="45"/>
  <c r="AD361" i="45"/>
  <c r="AD356" i="45"/>
  <c r="AD353" i="45"/>
  <c r="AD352" i="45"/>
  <c r="AD358" i="45"/>
  <c r="R268" i="33"/>
  <c r="R267" i="33"/>
  <c r="R266" i="33"/>
  <c r="R264" i="33"/>
  <c r="R263" i="33"/>
  <c r="R270" i="33"/>
  <c r="AV102" i="43"/>
  <c r="AV99" i="43"/>
  <c r="AV106" i="43"/>
  <c r="AV98" i="43"/>
  <c r="AV107" i="43"/>
  <c r="AV103" i="43"/>
  <c r="AV108" i="43"/>
  <c r="AV101" i="43"/>
  <c r="AV104" i="43"/>
  <c r="AK30" i="45"/>
  <c r="AK29" i="45"/>
  <c r="AK35" i="45"/>
  <c r="AK31" i="45"/>
  <c r="AK33" i="45"/>
  <c r="AK37" i="45"/>
  <c r="AK32" i="45"/>
  <c r="AK34" i="45"/>
  <c r="AK38" i="45"/>
  <c r="AK39" i="45"/>
  <c r="AM139" i="45"/>
  <c r="AM135" i="45"/>
  <c r="AM131" i="45"/>
  <c r="BO302" i="43"/>
  <c r="BO305" i="43"/>
  <c r="BO303" i="43"/>
  <c r="BO307" i="43"/>
  <c r="N183" i="31"/>
  <c r="N182" i="31"/>
  <c r="N178" i="31"/>
  <c r="T155" i="32"/>
  <c r="T156" i="32"/>
  <c r="T151" i="32"/>
  <c r="T158" i="32"/>
  <c r="T150" i="32"/>
  <c r="T107" i="32"/>
  <c r="T109" i="32" s="1"/>
  <c r="T154" i="32"/>
  <c r="K69" i="43"/>
  <c r="K73" i="43"/>
  <c r="K68" i="43"/>
  <c r="K64" i="43"/>
  <c r="K66" i="43"/>
  <c r="K72" i="43"/>
  <c r="K74" i="43"/>
  <c r="K70" i="43"/>
  <c r="K67" i="43"/>
  <c r="K65" i="43"/>
  <c r="X23" i="43"/>
  <c r="X17" i="43"/>
  <c r="X15" i="43"/>
  <c r="X18" i="43"/>
  <c r="X21" i="43"/>
  <c r="AD328" i="43"/>
  <c r="AD320" i="43"/>
  <c r="R126" i="33"/>
  <c r="R124" i="33"/>
  <c r="R122" i="33"/>
  <c r="R130" i="33"/>
  <c r="R127" i="33"/>
  <c r="R123" i="33"/>
  <c r="R128" i="33"/>
  <c r="AT220" i="45"/>
  <c r="AT226" i="45"/>
  <c r="AT216" i="45"/>
  <c r="AT218" i="45"/>
  <c r="AT219" i="45"/>
  <c r="AT225" i="45"/>
  <c r="BN185" i="43"/>
  <c r="BN188" i="43"/>
  <c r="BN193" i="43"/>
  <c r="BN189" i="43"/>
  <c r="BT221" i="43"/>
  <c r="BT226" i="43"/>
  <c r="BT225" i="43"/>
  <c r="BT223" i="43"/>
  <c r="BT227" i="43"/>
  <c r="U267" i="29"/>
  <c r="U262" i="29"/>
  <c r="T74" i="32"/>
  <c r="T66" i="32"/>
  <c r="T68" i="32"/>
  <c r="T67" i="32"/>
  <c r="T71" i="32"/>
  <c r="T73" i="32" s="1"/>
  <c r="T70" i="32"/>
  <c r="T51" i="32"/>
  <c r="T58" i="32" s="1"/>
  <c r="K126" i="32"/>
  <c r="K130" i="32"/>
  <c r="K127" i="32"/>
  <c r="K124" i="32"/>
  <c r="K128" i="32"/>
  <c r="K123" i="32"/>
  <c r="K122" i="32"/>
  <c r="AR23" i="34"/>
  <c r="J252" i="28"/>
  <c r="J254" i="28"/>
  <c r="J250" i="28"/>
  <c r="J248" i="28"/>
  <c r="J256" i="28"/>
  <c r="S150" i="32"/>
  <c r="W48" i="37"/>
  <c r="W49" i="37"/>
  <c r="W47" i="37"/>
  <c r="W52" i="37"/>
  <c r="AH167" i="43"/>
  <c r="X16" i="43"/>
  <c r="S155" i="32"/>
  <c r="N327" i="41"/>
  <c r="AH171" i="43"/>
  <c r="Z17" i="43"/>
  <c r="E154" i="45"/>
  <c r="P44" i="28"/>
  <c r="AD158" i="37"/>
  <c r="AD151" i="37"/>
  <c r="AD154" i="37"/>
  <c r="AD148" i="37"/>
  <c r="AD150" i="37"/>
  <c r="Q99" i="37"/>
  <c r="Q103" i="37"/>
  <c r="AV100" i="43"/>
  <c r="BL121" i="43"/>
  <c r="J94" i="31"/>
  <c r="L236" i="28"/>
  <c r="J253" i="31"/>
  <c r="BM217" i="45"/>
  <c r="BM218" i="45"/>
  <c r="BR39" i="43"/>
  <c r="BR36" i="43"/>
  <c r="BR32" i="43"/>
  <c r="V18" i="34"/>
  <c r="V12" i="34"/>
  <c r="V10" i="34"/>
  <c r="V11" i="34"/>
  <c r="BM242" i="45"/>
  <c r="BM234" i="45"/>
  <c r="BM233" i="45"/>
  <c r="BM239" i="45"/>
  <c r="BM243" i="45"/>
  <c r="BM237" i="45"/>
  <c r="BM236" i="45"/>
  <c r="W293" i="45"/>
  <c r="AE31" i="43"/>
  <c r="U124" i="45"/>
  <c r="AV56" i="43"/>
  <c r="V167" i="43"/>
  <c r="V168" i="43"/>
  <c r="V169" i="43"/>
  <c r="V176" i="43"/>
  <c r="V175" i="43"/>
  <c r="V174" i="43"/>
  <c r="V170" i="43"/>
  <c r="V166" i="43"/>
  <c r="V172" i="43"/>
  <c r="V171" i="43"/>
  <c r="AA151" i="43"/>
  <c r="AA157" i="43"/>
  <c r="AA158" i="43"/>
  <c r="AB320" i="43"/>
  <c r="AB322" i="43"/>
  <c r="AB325" i="43"/>
  <c r="AB321" i="43"/>
  <c r="AB319" i="43"/>
  <c r="AB327" i="43"/>
  <c r="AB323" i="43"/>
  <c r="L141" i="31"/>
  <c r="L144" i="31"/>
  <c r="K72" i="28"/>
  <c r="BS174" i="43"/>
  <c r="BS169" i="43"/>
  <c r="BS176" i="43"/>
  <c r="BS166" i="43"/>
  <c r="BS171" i="43"/>
  <c r="BS170" i="43"/>
  <c r="N221" i="37"/>
  <c r="N213" i="31"/>
  <c r="AA155" i="43"/>
  <c r="L14" i="43"/>
  <c r="M280" i="41"/>
  <c r="T62" i="32"/>
  <c r="Q114" i="45"/>
  <c r="Q116" i="45"/>
  <c r="Q115" i="45"/>
  <c r="Q124" i="45"/>
  <c r="AB204" i="43"/>
  <c r="AB209" i="43"/>
  <c r="AB203" i="43"/>
  <c r="AB205" i="43"/>
  <c r="AB206" i="43"/>
  <c r="L142" i="31"/>
  <c r="K46" i="37"/>
  <c r="K51" i="37"/>
  <c r="O270" i="31"/>
  <c r="O266" i="31"/>
  <c r="O268" i="31"/>
  <c r="O264" i="31"/>
  <c r="K68" i="28"/>
  <c r="W15" i="34"/>
  <c r="W16" i="34"/>
  <c r="AA149" i="43"/>
  <c r="AB328" i="43"/>
  <c r="L22" i="43"/>
  <c r="L17" i="43"/>
  <c r="L23" i="43"/>
  <c r="L13" i="43"/>
  <c r="L15" i="43"/>
  <c r="L21" i="43"/>
  <c r="L19" i="43"/>
  <c r="W236" i="43"/>
  <c r="W243" i="43"/>
  <c r="W237" i="43"/>
  <c r="W238" i="43"/>
  <c r="W234" i="43"/>
  <c r="W244" i="43"/>
  <c r="W235" i="43"/>
  <c r="Z98" i="43"/>
  <c r="Z100" i="43"/>
  <c r="Z102" i="43"/>
  <c r="Z99" i="43"/>
  <c r="Z106" i="43"/>
  <c r="Z104" i="43"/>
  <c r="J72" i="31"/>
  <c r="J68" i="31"/>
  <c r="J71" i="31"/>
  <c r="Q119" i="45"/>
  <c r="J74" i="31"/>
  <c r="BM157" i="45"/>
  <c r="BM150" i="45"/>
  <c r="J138" i="31"/>
  <c r="P230" i="28"/>
  <c r="L137" i="31"/>
  <c r="K66" i="28"/>
  <c r="K127" i="28"/>
  <c r="K124" i="28"/>
  <c r="K122" i="28"/>
  <c r="K126" i="28"/>
  <c r="K130" i="28"/>
  <c r="N80" i="31"/>
  <c r="N85" i="31"/>
  <c r="N86" i="31"/>
  <c r="R83" i="37"/>
  <c r="R82" i="37"/>
  <c r="AA153" i="43"/>
  <c r="Q47" i="45"/>
  <c r="X122" i="43"/>
  <c r="AB324" i="43"/>
  <c r="Q48" i="45"/>
  <c r="AA154" i="43"/>
  <c r="R45" i="30"/>
  <c r="L72" i="43"/>
  <c r="L65" i="43"/>
  <c r="T240" i="43"/>
  <c r="T243" i="43"/>
  <c r="T239" i="43"/>
  <c r="T237" i="43"/>
  <c r="T238" i="43"/>
  <c r="T236" i="43"/>
  <c r="T234" i="43"/>
  <c r="T242" i="43"/>
  <c r="Q56" i="45"/>
  <c r="Q49" i="45"/>
  <c r="Q54" i="45"/>
  <c r="J14" i="28"/>
  <c r="J18" i="28"/>
  <c r="N124" i="28"/>
  <c r="N128" i="28"/>
  <c r="N129" i="28" s="1"/>
  <c r="N126" i="28"/>
  <c r="N123" i="28"/>
  <c r="N219" i="37"/>
  <c r="N216" i="37"/>
  <c r="N222" i="37"/>
  <c r="N225" i="37"/>
  <c r="I127" i="41"/>
  <c r="U127" i="41" s="1"/>
  <c r="M76" i="41"/>
  <c r="BM148" i="45"/>
  <c r="P68" i="28"/>
  <c r="J38" i="28"/>
  <c r="J44" i="28"/>
  <c r="J45" i="28" s="1"/>
  <c r="J40" i="28"/>
  <c r="O218" i="28"/>
  <c r="N102" i="31"/>
  <c r="N96" i="31"/>
  <c r="N164" i="28"/>
  <c r="N172" i="28"/>
  <c r="N166" i="28"/>
  <c r="M47" i="37"/>
  <c r="M46" i="37"/>
  <c r="N122" i="28"/>
  <c r="O50" i="37"/>
  <c r="K155" i="28"/>
  <c r="K157" i="28" s="1"/>
  <c r="K151" i="28"/>
  <c r="BM31" i="45"/>
  <c r="BM30" i="45"/>
  <c r="BM29" i="45"/>
  <c r="AH10" i="34"/>
  <c r="AH11" i="34"/>
  <c r="AH14" i="34"/>
  <c r="AH16" i="34"/>
  <c r="AH15" i="34"/>
  <c r="AB210" i="43"/>
  <c r="Q46" i="45"/>
  <c r="W87" i="43"/>
  <c r="W83" i="43"/>
  <c r="W85" i="43"/>
  <c r="W89" i="43"/>
  <c r="R217" i="45"/>
  <c r="R218" i="45"/>
  <c r="BB49" i="43"/>
  <c r="BB57" i="43"/>
  <c r="BB55" i="43"/>
  <c r="BB47" i="43"/>
  <c r="BB200" i="43"/>
  <c r="BB204" i="43"/>
  <c r="BB206" i="43"/>
  <c r="BB208" i="43"/>
  <c r="BN134" i="43"/>
  <c r="BN133" i="43"/>
  <c r="J155" i="29"/>
  <c r="J154" i="29"/>
  <c r="T267" i="33"/>
  <c r="T269" i="33" s="1"/>
  <c r="W91" i="43"/>
  <c r="V125" i="43"/>
  <c r="V122" i="43" s="1"/>
  <c r="O193" i="43"/>
  <c r="O187" i="43"/>
  <c r="O183" i="43"/>
  <c r="O189" i="43"/>
  <c r="O185" i="43"/>
  <c r="O186" i="43"/>
  <c r="O188" i="43"/>
  <c r="W117" i="43"/>
  <c r="W124" i="43"/>
  <c r="W125" i="43"/>
  <c r="W116" i="43"/>
  <c r="W121" i="43"/>
  <c r="R46" i="45"/>
  <c r="R56" i="45"/>
  <c r="R55" i="45"/>
  <c r="R50" i="45"/>
  <c r="R47" i="45"/>
  <c r="S116" i="45"/>
  <c r="S123" i="45"/>
  <c r="L211" i="30"/>
  <c r="L206" i="30"/>
  <c r="L210" i="30"/>
  <c r="L212" i="30"/>
  <c r="AT98" i="45"/>
  <c r="AT97" i="45"/>
  <c r="AT107" i="45"/>
  <c r="AT102" i="45"/>
  <c r="AT105" i="45"/>
  <c r="AT106" i="45"/>
  <c r="AT101" i="45"/>
  <c r="BJ237" i="43"/>
  <c r="BJ235" i="43"/>
  <c r="BJ236" i="43"/>
  <c r="BJ244" i="43"/>
  <c r="BJ242" i="43"/>
  <c r="BJ234" i="43"/>
  <c r="BO89" i="43"/>
  <c r="BO90" i="43"/>
  <c r="BO82" i="43"/>
  <c r="L218" i="28"/>
  <c r="W81" i="43"/>
  <c r="O184" i="43"/>
  <c r="V117" i="43"/>
  <c r="R88" i="45"/>
  <c r="BO193" i="43"/>
  <c r="BD139" i="43"/>
  <c r="AQ64" i="45"/>
  <c r="AQ69" i="45"/>
  <c r="AQ65" i="45"/>
  <c r="AQ68" i="45"/>
  <c r="AQ66" i="45"/>
  <c r="AQ67" i="45"/>
  <c r="AQ73" i="45"/>
  <c r="T178" i="29"/>
  <c r="T180" i="29"/>
  <c r="T179" i="29"/>
  <c r="T184" i="29"/>
  <c r="S252" i="29"/>
  <c r="S249" i="29"/>
  <c r="S251" i="29" s="1"/>
  <c r="S102" i="32"/>
  <c r="S94" i="32"/>
  <c r="S98" i="32"/>
  <c r="S95" i="32"/>
  <c r="S100" i="32"/>
  <c r="S101" i="32" s="1"/>
  <c r="S96" i="32"/>
  <c r="T251" i="30"/>
  <c r="BB201" i="43"/>
  <c r="L122" i="32"/>
  <c r="N305" i="41"/>
  <c r="N306" i="41"/>
  <c r="J30" i="29"/>
  <c r="J25" i="29"/>
  <c r="J26" i="29"/>
  <c r="J29" i="29"/>
  <c r="S29" i="29"/>
  <c r="S32" i="29"/>
  <c r="J84" i="29"/>
  <c r="J86" i="29"/>
  <c r="J81" i="29"/>
  <c r="J80" i="29"/>
  <c r="J85" i="29"/>
  <c r="J82" i="29"/>
  <c r="J88" i="29"/>
  <c r="L193" i="29"/>
  <c r="L194" i="29"/>
  <c r="U180" i="29"/>
  <c r="U179" i="29"/>
  <c r="U182" i="29"/>
  <c r="U183" i="29"/>
  <c r="U178" i="29"/>
  <c r="U186" i="29"/>
  <c r="T248" i="29"/>
  <c r="T250" i="29"/>
  <c r="K94" i="32"/>
  <c r="K95" i="32"/>
  <c r="K99" i="32"/>
  <c r="K100" i="32"/>
  <c r="K96" i="32"/>
  <c r="K102" i="32"/>
  <c r="AC97" i="37"/>
  <c r="N144" i="31"/>
  <c r="J235" i="31"/>
  <c r="BM184" i="45"/>
  <c r="E149" i="37"/>
  <c r="L62" i="28"/>
  <c r="P99" i="31"/>
  <c r="O103" i="37"/>
  <c r="O15" i="34"/>
  <c r="O137" i="31"/>
  <c r="AC100" i="37"/>
  <c r="N108" i="41"/>
  <c r="W233" i="37"/>
  <c r="Y38" i="37"/>
  <c r="J51" i="33"/>
  <c r="J54" i="33" s="1"/>
  <c r="S196" i="33"/>
  <c r="J81" i="33"/>
  <c r="L83" i="33"/>
  <c r="T29" i="33"/>
  <c r="AJ190" i="43"/>
  <c r="R219" i="45"/>
  <c r="R51" i="45"/>
  <c r="W174" i="43"/>
  <c r="W168" i="43"/>
  <c r="W90" i="43"/>
  <c r="I168" i="45"/>
  <c r="S170" i="33"/>
  <c r="S171" i="33" s="1"/>
  <c r="S165" i="33"/>
  <c r="AB100" i="43"/>
  <c r="T249" i="29"/>
  <c r="L150" i="29"/>
  <c r="L153" i="29" s="1"/>
  <c r="BB205" i="43"/>
  <c r="BN137" i="43"/>
  <c r="BJ137" i="43"/>
  <c r="AU216" i="45"/>
  <c r="J254" i="29"/>
  <c r="Y191" i="45"/>
  <c r="E216" i="45"/>
  <c r="E221" i="45"/>
  <c r="AC34" i="45"/>
  <c r="AC29" i="45"/>
  <c r="AC32" i="45"/>
  <c r="AC39" i="45"/>
  <c r="AC36" i="45" s="1"/>
  <c r="AL20" i="45"/>
  <c r="AL13" i="45"/>
  <c r="AM345" i="45"/>
  <c r="AM338" i="45"/>
  <c r="AM343" i="45"/>
  <c r="AM340" i="45"/>
  <c r="AM337" i="45"/>
  <c r="AM336" i="45"/>
  <c r="AX121" i="43"/>
  <c r="AX117" i="43"/>
  <c r="AX124" i="43"/>
  <c r="AX125" i="43"/>
  <c r="AX123" i="43"/>
  <c r="AY225" i="43"/>
  <c r="AY227" i="43"/>
  <c r="AY226" i="43"/>
  <c r="AZ293" i="43"/>
  <c r="AZ290" i="43"/>
  <c r="AZ288" i="43"/>
  <c r="AZ286" i="43"/>
  <c r="AO103" i="45"/>
  <c r="AO99" i="45"/>
  <c r="AO102" i="45"/>
  <c r="AO106" i="45"/>
  <c r="AO105" i="45"/>
  <c r="AO97" i="45"/>
  <c r="AO148" i="45"/>
  <c r="AO149" i="45"/>
  <c r="AO152" i="45"/>
  <c r="AO151" i="45"/>
  <c r="AO157" i="45"/>
  <c r="AO154" i="45"/>
  <c r="AO156" i="45"/>
  <c r="AO158" i="45"/>
  <c r="O307" i="41"/>
  <c r="O303" i="41"/>
  <c r="O306" i="41"/>
  <c r="BJ33" i="43"/>
  <c r="BJ38" i="43"/>
  <c r="BJ30" i="43"/>
  <c r="BJ36" i="43"/>
  <c r="BJ32" i="43"/>
  <c r="BJ39" i="43"/>
  <c r="BJ31" i="43"/>
  <c r="BK119" i="45"/>
  <c r="BK114" i="45"/>
  <c r="BK115" i="45"/>
  <c r="BK116" i="45"/>
  <c r="BK120" i="45"/>
  <c r="BK123" i="45"/>
  <c r="BK117" i="45"/>
  <c r="BK124" i="45"/>
  <c r="I218" i="45"/>
  <c r="I225" i="45"/>
  <c r="I220" i="45"/>
  <c r="I216" i="45"/>
  <c r="Z49" i="43"/>
  <c r="Z48" i="43"/>
  <c r="AB151" i="43"/>
  <c r="AB158" i="43"/>
  <c r="AB156" i="43" s="1"/>
  <c r="AB149" i="43"/>
  <c r="AB152" i="43"/>
  <c r="AB153" i="43"/>
  <c r="AE324" i="43"/>
  <c r="AE322" i="43"/>
  <c r="BB102" i="43"/>
  <c r="BB107" i="43"/>
  <c r="BB100" i="43"/>
  <c r="BB108" i="43"/>
  <c r="BB101" i="43"/>
  <c r="BN32" i="43"/>
  <c r="BN40" i="43"/>
  <c r="BN31" i="43"/>
  <c r="BN38" i="43"/>
  <c r="BN35" i="43"/>
  <c r="BN36" i="43"/>
  <c r="BN34" i="43"/>
  <c r="BN30" i="43"/>
  <c r="BN33" i="43"/>
  <c r="BN85" i="43"/>
  <c r="BN91" i="43"/>
  <c r="BN86" i="43"/>
  <c r="BN87" i="43"/>
  <c r="BO188" i="43"/>
  <c r="BO192" i="43"/>
  <c r="K34" i="45"/>
  <c r="K32" i="45"/>
  <c r="S66" i="43"/>
  <c r="S65" i="43"/>
  <c r="T117" i="43"/>
  <c r="T116" i="43"/>
  <c r="T118" i="43"/>
  <c r="S207" i="30"/>
  <c r="S212" i="30"/>
  <c r="S213" i="30" s="1"/>
  <c r="AP241" i="45"/>
  <c r="AP242" i="45"/>
  <c r="AP239" i="45"/>
  <c r="AP237" i="45"/>
  <c r="AP243" i="45"/>
  <c r="AP235" i="45"/>
  <c r="AP236" i="45"/>
  <c r="AP234" i="45"/>
  <c r="BJ311" i="43"/>
  <c r="BJ303" i="43"/>
  <c r="BJ307" i="43"/>
  <c r="BJ305" i="43"/>
  <c r="J192" i="29"/>
  <c r="J196" i="29"/>
  <c r="AG142" i="41"/>
  <c r="AO142" i="41" s="1"/>
  <c r="P158" i="31"/>
  <c r="P124" i="28"/>
  <c r="L230" i="28"/>
  <c r="E153" i="37"/>
  <c r="BC107" i="43"/>
  <c r="AQ238" i="45"/>
  <c r="AQ234" i="45"/>
  <c r="AQ241" i="45"/>
  <c r="AQ233" i="45"/>
  <c r="AQ236" i="45"/>
  <c r="BD102" i="43"/>
  <c r="BD101" i="43"/>
  <c r="BC153" i="43"/>
  <c r="BC155" i="43"/>
  <c r="BC158" i="43"/>
  <c r="BK305" i="43"/>
  <c r="BK306" i="43"/>
  <c r="BK302" i="43"/>
  <c r="BK312" i="43"/>
  <c r="BK304" i="43"/>
  <c r="Y220" i="37"/>
  <c r="R201" i="37"/>
  <c r="J82" i="33"/>
  <c r="W170" i="43"/>
  <c r="K29" i="45"/>
  <c r="BK308" i="43"/>
  <c r="BN135" i="43"/>
  <c r="J156" i="29"/>
  <c r="AX174" i="43"/>
  <c r="AX169" i="43"/>
  <c r="AX222" i="43"/>
  <c r="AX220" i="43"/>
  <c r="AX218" i="43"/>
  <c r="AX225" i="43"/>
  <c r="AX227" i="43"/>
  <c r="AX217" i="43"/>
  <c r="AY293" i="43"/>
  <c r="AY287" i="43"/>
  <c r="AY291" i="43"/>
  <c r="AY294" i="43"/>
  <c r="AQ165" i="45"/>
  <c r="AQ171" i="45"/>
  <c r="AQ166" i="45"/>
  <c r="AQ170" i="45"/>
  <c r="AU48" i="45"/>
  <c r="AU56" i="45"/>
  <c r="BK166" i="45"/>
  <c r="BK174" i="45"/>
  <c r="M150" i="37"/>
  <c r="M227" i="41"/>
  <c r="E150" i="37"/>
  <c r="O107" i="37"/>
  <c r="O10" i="34"/>
  <c r="AC49" i="37"/>
  <c r="O136" i="31"/>
  <c r="AC101" i="37"/>
  <c r="F98" i="37"/>
  <c r="K106" i="31"/>
  <c r="Z91" i="41"/>
  <c r="AP91" i="41" s="1"/>
  <c r="Q82" i="37"/>
  <c r="Z38" i="37"/>
  <c r="AE93" i="41"/>
  <c r="AQ93" i="41" s="1"/>
  <c r="S126" i="33"/>
  <c r="J80" i="33"/>
  <c r="J84" i="33"/>
  <c r="S208" i="30"/>
  <c r="T26" i="33"/>
  <c r="AH37" i="43"/>
  <c r="AA50" i="43"/>
  <c r="R54" i="45"/>
  <c r="I170" i="45"/>
  <c r="W167" i="43"/>
  <c r="W82" i="43"/>
  <c r="T124" i="43"/>
  <c r="T122" i="43" s="1"/>
  <c r="K30" i="45"/>
  <c r="L102" i="29"/>
  <c r="T254" i="29"/>
  <c r="T255" i="29" s="1"/>
  <c r="L155" i="29"/>
  <c r="BI36" i="45"/>
  <c r="BK307" i="43"/>
  <c r="BO186" i="43"/>
  <c r="BB210" i="43"/>
  <c r="AQ239" i="45"/>
  <c r="BN142" i="43"/>
  <c r="AQ168" i="45"/>
  <c r="BJ134" i="43"/>
  <c r="AU220" i="45"/>
  <c r="AU50" i="45"/>
  <c r="Z217" i="45"/>
  <c r="Z220" i="45"/>
  <c r="Z219" i="45"/>
  <c r="Z226" i="45"/>
  <c r="AT115" i="43"/>
  <c r="AT118" i="43"/>
  <c r="AU291" i="43"/>
  <c r="AU288" i="43"/>
  <c r="AM16" i="45"/>
  <c r="AM13" i="45"/>
  <c r="AM14" i="45"/>
  <c r="AL222" i="45"/>
  <c r="AL225" i="45"/>
  <c r="I327" i="41"/>
  <c r="I320" i="41"/>
  <c r="I324" i="41"/>
  <c r="AY16" i="43"/>
  <c r="AY13" i="43"/>
  <c r="AY17" i="43"/>
  <c r="AY15" i="43"/>
  <c r="AY21" i="43"/>
  <c r="AY67" i="43"/>
  <c r="AY65" i="43"/>
  <c r="AY72" i="43"/>
  <c r="AY64" i="43"/>
  <c r="AY125" i="43"/>
  <c r="AY118" i="43"/>
  <c r="AY171" i="43"/>
  <c r="AY174" i="43"/>
  <c r="AY170" i="43"/>
  <c r="AY166" i="43"/>
  <c r="AY169" i="43"/>
  <c r="AY167" i="43"/>
  <c r="AY175" i="43"/>
  <c r="AO55" i="45"/>
  <c r="AO46" i="45"/>
  <c r="AO52" i="45"/>
  <c r="AO48" i="45"/>
  <c r="AO50" i="45"/>
  <c r="AO49" i="45"/>
  <c r="AP158" i="45"/>
  <c r="AP156" i="45"/>
  <c r="AP150" i="45"/>
  <c r="AP154" i="45"/>
  <c r="AO337" i="45"/>
  <c r="AO345" i="45"/>
  <c r="AO343" i="45"/>
  <c r="AO335" i="45"/>
  <c r="AO340" i="45"/>
  <c r="AO344" i="45"/>
  <c r="AO339" i="45"/>
  <c r="R64" i="43"/>
  <c r="R67" i="43"/>
  <c r="R73" i="43"/>
  <c r="R80" i="45"/>
  <c r="R85" i="45"/>
  <c r="R81" i="45"/>
  <c r="R90" i="45"/>
  <c r="AA48" i="45"/>
  <c r="AA55" i="45"/>
  <c r="AA50" i="45"/>
  <c r="AA49" i="45"/>
  <c r="AA46" i="45"/>
  <c r="Y183" i="45"/>
  <c r="Y182" i="45"/>
  <c r="S28" i="33"/>
  <c r="S29" i="33"/>
  <c r="S31" i="33" s="1"/>
  <c r="AS47" i="45"/>
  <c r="AS51" i="45"/>
  <c r="AT153" i="45"/>
  <c r="AT149" i="45"/>
  <c r="P186" i="31"/>
  <c r="P178" i="31"/>
  <c r="P180" i="31"/>
  <c r="P184" i="31"/>
  <c r="P183" i="31"/>
  <c r="P182" i="31"/>
  <c r="U74" i="32"/>
  <c r="U68" i="32"/>
  <c r="U71" i="32"/>
  <c r="U73" i="32" s="1"/>
  <c r="U66" i="32"/>
  <c r="U70" i="32"/>
  <c r="L128" i="32"/>
  <c r="L130" i="32"/>
  <c r="L124" i="32"/>
  <c r="L123" i="32"/>
  <c r="L170" i="32"/>
  <c r="L171" i="32" s="1"/>
  <c r="L172" i="32"/>
  <c r="L166" i="32"/>
  <c r="L165" i="32"/>
  <c r="L168" i="32"/>
  <c r="T264" i="33"/>
  <c r="R16" i="43"/>
  <c r="R18" i="43"/>
  <c r="R17" i="43"/>
  <c r="X169" i="43"/>
  <c r="X166" i="43"/>
  <c r="AF22" i="43"/>
  <c r="AF23" i="43"/>
  <c r="AF21" i="43"/>
  <c r="AF14" i="43"/>
  <c r="K86" i="33"/>
  <c r="K85" i="33"/>
  <c r="K80" i="33"/>
  <c r="K83" i="33" s="1"/>
  <c r="J239" i="31"/>
  <c r="J241" i="31" s="1"/>
  <c r="T263" i="33"/>
  <c r="J86" i="33"/>
  <c r="J87" i="33" s="1"/>
  <c r="W351" i="45"/>
  <c r="AA52" i="43"/>
  <c r="S73" i="43"/>
  <c r="AB107" i="43"/>
  <c r="R158" i="30"/>
  <c r="R152" i="30"/>
  <c r="R155" i="30"/>
  <c r="M306" i="41"/>
  <c r="M305" i="41"/>
  <c r="M302" i="41"/>
  <c r="M307" i="41"/>
  <c r="BC50" i="43"/>
  <c r="BC48" i="43"/>
  <c r="BL55" i="43"/>
  <c r="BL49" i="43"/>
  <c r="BL52" i="43"/>
  <c r="BL56" i="43"/>
  <c r="BL51" i="43"/>
  <c r="BL57" i="43"/>
  <c r="BL48" i="43"/>
  <c r="BJ193" i="43"/>
  <c r="BJ188" i="43"/>
  <c r="BJ184" i="43"/>
  <c r="BJ189" i="43"/>
  <c r="BJ191" i="43"/>
  <c r="BJ183" i="43"/>
  <c r="BR98" i="43"/>
  <c r="O14" i="34"/>
  <c r="T262" i="33"/>
  <c r="T24" i="33"/>
  <c r="Z55" i="43"/>
  <c r="BO191" i="43"/>
  <c r="Y184" i="45"/>
  <c r="S14" i="30"/>
  <c r="S10" i="30"/>
  <c r="S16" i="30"/>
  <c r="M148" i="37"/>
  <c r="BR321" i="43"/>
  <c r="O97" i="37"/>
  <c r="O62" i="28"/>
  <c r="BN132" i="45"/>
  <c r="AC56" i="37"/>
  <c r="BR101" i="43"/>
  <c r="K84" i="31"/>
  <c r="F101" i="37"/>
  <c r="Y81" i="37"/>
  <c r="J51" i="29"/>
  <c r="J58" i="29" s="1"/>
  <c r="S219" i="29"/>
  <c r="S226" i="29" s="1"/>
  <c r="S198" i="33"/>
  <c r="S199" i="33" s="1"/>
  <c r="K142" i="33"/>
  <c r="S214" i="30"/>
  <c r="AA52" i="45"/>
  <c r="Z53" i="43"/>
  <c r="R49" i="45"/>
  <c r="O105" i="45"/>
  <c r="W171" i="43"/>
  <c r="T121" i="43"/>
  <c r="K33" i="45"/>
  <c r="U67" i="32"/>
  <c r="BK303" i="43"/>
  <c r="BJ53" i="45"/>
  <c r="BO183" i="43"/>
  <c r="BN140" i="43"/>
  <c r="AQ169" i="45"/>
  <c r="BJ142" i="43"/>
  <c r="BJ139" i="43" s="1"/>
  <c r="AP233" i="45"/>
  <c r="BO91" i="43"/>
  <c r="AS46" i="45"/>
  <c r="Y187" i="45"/>
  <c r="AQ63" i="45"/>
  <c r="AA224" i="45"/>
  <c r="AA217" i="45"/>
  <c r="AA222" i="45"/>
  <c r="AA216" i="45"/>
  <c r="AA226" i="45"/>
  <c r="AA218" i="45"/>
  <c r="AA221" i="45"/>
  <c r="AJ132" i="43"/>
  <c r="AJ135" i="43"/>
  <c r="AJ140" i="43"/>
  <c r="AJ139" i="43" s="1"/>
  <c r="AD98" i="45"/>
  <c r="AD102" i="45"/>
  <c r="AE200" i="45"/>
  <c r="AE209" i="45"/>
  <c r="AE207" i="45"/>
  <c r="AE202" i="45"/>
  <c r="AK107" i="45"/>
  <c r="AK97" i="45"/>
  <c r="AK103" i="45"/>
  <c r="AK99" i="45"/>
  <c r="AK98" i="45"/>
  <c r="AK100" i="45"/>
  <c r="AK102" i="45"/>
  <c r="AK106" i="45"/>
  <c r="AL158" i="45"/>
  <c r="AL151" i="45"/>
  <c r="AL157" i="45"/>
  <c r="AL152" i="45"/>
  <c r="AL148" i="45"/>
  <c r="AL154" i="45"/>
  <c r="AM225" i="45"/>
  <c r="AM216" i="45"/>
  <c r="AM226" i="45"/>
  <c r="AM222" i="45"/>
  <c r="AM218" i="45"/>
  <c r="I255" i="41"/>
  <c r="J322" i="41"/>
  <c r="J321" i="41"/>
  <c r="J328" i="41"/>
  <c r="J324" i="41"/>
  <c r="J320" i="41"/>
  <c r="J319" i="41"/>
  <c r="J323" i="41"/>
  <c r="AZ123" i="43"/>
  <c r="AZ122" i="43" s="1"/>
  <c r="AZ121" i="43"/>
  <c r="AZ118" i="43"/>
  <c r="AZ114" i="43" s="1"/>
  <c r="AX324" i="43"/>
  <c r="AX328" i="43"/>
  <c r="AX323" i="43"/>
  <c r="AX319" i="43"/>
  <c r="AX322" i="43"/>
  <c r="AX320" i="43"/>
  <c r="AX329" i="43"/>
  <c r="AX327" i="43"/>
  <c r="AP52" i="45"/>
  <c r="AP48" i="45"/>
  <c r="AP45" i="45" s="1"/>
  <c r="AP51" i="45"/>
  <c r="AP50" i="45"/>
  <c r="AQ105" i="45"/>
  <c r="AQ106" i="45"/>
  <c r="AP221" i="45"/>
  <c r="AP217" i="45"/>
  <c r="AP224" i="45"/>
  <c r="AP216" i="45"/>
  <c r="AP337" i="45"/>
  <c r="AP344" i="45"/>
  <c r="AP338" i="45"/>
  <c r="AU134" i="45"/>
  <c r="AU141" i="45"/>
  <c r="AU138" i="45" s="1"/>
  <c r="AU132" i="45"/>
  <c r="AU135" i="45"/>
  <c r="AU131" i="45"/>
  <c r="AU133" i="45"/>
  <c r="AU136" i="45"/>
  <c r="S125" i="43"/>
  <c r="S122" i="43" s="1"/>
  <c r="S118" i="43"/>
  <c r="S120" i="43"/>
  <c r="S117" i="43"/>
  <c r="AA99" i="43"/>
  <c r="AA98" i="43"/>
  <c r="AA107" i="43"/>
  <c r="AA105" i="43" s="1"/>
  <c r="BC329" i="43"/>
  <c r="BC319" i="43"/>
  <c r="T118" i="29"/>
  <c r="S164" i="33"/>
  <c r="T169" i="43"/>
  <c r="W84" i="43"/>
  <c r="Z131" i="43"/>
  <c r="V120" i="43"/>
  <c r="L127" i="32"/>
  <c r="I165" i="45"/>
  <c r="I169" i="45"/>
  <c r="I171" i="45"/>
  <c r="I174" i="45"/>
  <c r="M241" i="45"/>
  <c r="M242" i="45"/>
  <c r="M236" i="45"/>
  <c r="M238" i="45"/>
  <c r="M234" i="45"/>
  <c r="M243" i="45"/>
  <c r="X81" i="43"/>
  <c r="X86" i="43"/>
  <c r="X320" i="43"/>
  <c r="X324" i="43"/>
  <c r="X328" i="43"/>
  <c r="X327" i="43"/>
  <c r="AB106" i="43"/>
  <c r="AB98" i="43"/>
  <c r="AB104" i="43"/>
  <c r="AB102" i="43"/>
  <c r="AB108" i="43"/>
  <c r="AB103" i="43"/>
  <c r="AD154" i="43"/>
  <c r="AD155" i="43"/>
  <c r="BO35" i="43"/>
  <c r="BO31" i="43"/>
  <c r="BO36" i="43"/>
  <c r="BO39" i="43"/>
  <c r="K218" i="31"/>
  <c r="K84" i="33"/>
  <c r="W169" i="43"/>
  <c r="BO87" i="43"/>
  <c r="V115" i="43"/>
  <c r="AU106" i="45"/>
  <c r="AU103" i="45"/>
  <c r="AU102" i="45"/>
  <c r="AU105" i="45"/>
  <c r="AU98" i="45"/>
  <c r="AU99" i="45"/>
  <c r="BK239" i="43"/>
  <c r="BK237" i="43"/>
  <c r="T146" i="31"/>
  <c r="P126" i="28"/>
  <c r="F23" i="41"/>
  <c r="F278" i="41" s="1"/>
  <c r="F363" i="41" s="1"/>
  <c r="AA57" i="43"/>
  <c r="W172" i="43"/>
  <c r="W50" i="43"/>
  <c r="BD328" i="43"/>
  <c r="V23" i="34"/>
  <c r="N23" i="34"/>
  <c r="J32" i="28"/>
  <c r="P218" i="31"/>
  <c r="BN134" i="45"/>
  <c r="AD84" i="37"/>
  <c r="AM12" i="34"/>
  <c r="J30" i="28"/>
  <c r="J31" i="28" s="1"/>
  <c r="K81" i="31"/>
  <c r="N218" i="28"/>
  <c r="J244" i="41"/>
  <c r="AH127" i="41"/>
  <c r="AP127" i="41" s="1"/>
  <c r="S200" i="33"/>
  <c r="S130" i="33"/>
  <c r="AB155" i="43"/>
  <c r="AA49" i="43"/>
  <c r="M237" i="45"/>
  <c r="O102" i="45"/>
  <c r="I166" i="45"/>
  <c r="R15" i="43"/>
  <c r="S143" i="33"/>
  <c r="R14" i="43"/>
  <c r="S256" i="29"/>
  <c r="J100" i="32"/>
  <c r="J151" i="29"/>
  <c r="BK311" i="43"/>
  <c r="BP284" i="43"/>
  <c r="BO187" i="43"/>
  <c r="BN136" i="43"/>
  <c r="AT103" i="45"/>
  <c r="AQ174" i="45"/>
  <c r="BJ132" i="43"/>
  <c r="BB80" i="43"/>
  <c r="BK235" i="43"/>
  <c r="I175" i="45"/>
  <c r="Y190" i="45"/>
  <c r="N68" i="43"/>
  <c r="N69" i="43"/>
  <c r="O125" i="43"/>
  <c r="O116" i="43"/>
  <c r="O121" i="43"/>
  <c r="O117" i="43"/>
  <c r="O123" i="43"/>
  <c r="O118" i="43"/>
  <c r="O120" i="43"/>
  <c r="P172" i="43"/>
  <c r="P168" i="43"/>
  <c r="P175" i="43"/>
  <c r="P171" i="43"/>
  <c r="AD90" i="43"/>
  <c r="AD91" i="43"/>
  <c r="AD85" i="43"/>
  <c r="AE105" i="45"/>
  <c r="AE102" i="45"/>
  <c r="Y79" i="45"/>
  <c r="K191" i="43"/>
  <c r="K190" i="43" s="1"/>
  <c r="K187" i="43"/>
  <c r="G38" i="45"/>
  <c r="G33" i="45"/>
  <c r="E166" i="45"/>
  <c r="E174" i="45"/>
  <c r="F226" i="45"/>
  <c r="F216" i="45"/>
  <c r="G362" i="45"/>
  <c r="G359" i="45" s="1"/>
  <c r="G356" i="45"/>
  <c r="G355" i="45"/>
  <c r="G353" i="45"/>
  <c r="P134" i="43"/>
  <c r="P133" i="43"/>
  <c r="I13" i="45"/>
  <c r="I15" i="45"/>
  <c r="I119" i="45"/>
  <c r="I122" i="45"/>
  <c r="I121" i="45" s="1"/>
  <c r="J170" i="45"/>
  <c r="J171" i="45"/>
  <c r="J167" i="45"/>
  <c r="K221" i="45"/>
  <c r="K224" i="45"/>
  <c r="K219" i="45"/>
  <c r="K222" i="45"/>
  <c r="K226" i="45"/>
  <c r="K218" i="45"/>
  <c r="K217" i="45"/>
  <c r="O54" i="45"/>
  <c r="O53" i="45" s="1"/>
  <c r="O47" i="45"/>
  <c r="O45" i="45" s="1"/>
  <c r="M191" i="45"/>
  <c r="M189" i="45" s="1"/>
  <c r="M184" i="45"/>
  <c r="M181" i="45" s="1"/>
  <c r="M186" i="45"/>
  <c r="N242" i="45"/>
  <c r="N233" i="45"/>
  <c r="N236" i="45"/>
  <c r="AC175" i="45"/>
  <c r="AC170" i="45"/>
  <c r="AC224" i="45"/>
  <c r="AC226" i="45"/>
  <c r="AC216" i="45"/>
  <c r="S39" i="33"/>
  <c r="S46" i="33"/>
  <c r="AU22" i="43"/>
  <c r="AU19" i="43"/>
  <c r="AK49" i="45"/>
  <c r="AK54" i="45"/>
  <c r="AK56" i="45"/>
  <c r="AK51" i="45"/>
  <c r="AK47" i="45"/>
  <c r="AK48" i="45"/>
  <c r="AM151" i="45"/>
  <c r="AM154" i="45"/>
  <c r="AM158" i="45"/>
  <c r="AM153" i="45"/>
  <c r="AK318" i="45"/>
  <c r="AK320" i="45"/>
  <c r="AK319" i="45"/>
  <c r="AK327" i="45"/>
  <c r="J253" i="41"/>
  <c r="AX278" i="43"/>
  <c r="AX270" i="43"/>
  <c r="AX269" i="43"/>
  <c r="AQ216" i="45"/>
  <c r="AQ220" i="45"/>
  <c r="AQ226" i="45"/>
  <c r="AQ225" i="45"/>
  <c r="AQ217" i="45"/>
  <c r="AQ224" i="45"/>
  <c r="AQ340" i="45"/>
  <c r="AQ345" i="45"/>
  <c r="AQ343" i="45"/>
  <c r="AU89" i="45"/>
  <c r="AU88" i="45"/>
  <c r="AU82" i="45"/>
  <c r="BO169" i="43"/>
  <c r="BO165" i="43" s="1"/>
  <c r="BO174" i="43"/>
  <c r="BO170" i="43"/>
  <c r="BN278" i="43"/>
  <c r="BN273" i="43"/>
  <c r="BN269" i="43"/>
  <c r="BN277" i="43"/>
  <c r="BI105" i="45"/>
  <c r="BI104" i="45" s="1"/>
  <c r="BI102" i="45"/>
  <c r="K24" i="29"/>
  <c r="K27" i="29" s="1"/>
  <c r="K28" i="29"/>
  <c r="K29" i="29"/>
  <c r="K30" i="29"/>
  <c r="S127" i="29"/>
  <c r="S122" i="29"/>
  <c r="L255" i="29"/>
  <c r="BP224" i="43"/>
  <c r="L187" i="43"/>
  <c r="L191" i="43"/>
  <c r="L190" i="43" s="1"/>
  <c r="L189" i="43"/>
  <c r="E122" i="45"/>
  <c r="E120" i="45"/>
  <c r="G226" i="45"/>
  <c r="G221" i="45"/>
  <c r="O38" i="43"/>
  <c r="O32" i="43"/>
  <c r="O29" i="43" s="1"/>
  <c r="O40" i="43"/>
  <c r="N238" i="43"/>
  <c r="N243" i="43"/>
  <c r="N241" i="43" s="1"/>
  <c r="N240" i="43"/>
  <c r="S210" i="43"/>
  <c r="S201" i="43"/>
  <c r="S204" i="43"/>
  <c r="S200" i="43"/>
  <c r="S205" i="43"/>
  <c r="S202" i="43"/>
  <c r="S208" i="43"/>
  <c r="T322" i="43"/>
  <c r="T323" i="43"/>
  <c r="T327" i="43"/>
  <c r="T329" i="43"/>
  <c r="M134" i="45"/>
  <c r="M140" i="45"/>
  <c r="M139" i="45"/>
  <c r="M135" i="45"/>
  <c r="M131" i="45"/>
  <c r="N187" i="45"/>
  <c r="N182" i="45"/>
  <c r="N186" i="45"/>
  <c r="O242" i="45"/>
  <c r="O240" i="45" s="1"/>
  <c r="O237" i="45"/>
  <c r="O233" i="45"/>
  <c r="AI157" i="43"/>
  <c r="AI158" i="43"/>
  <c r="AI206" i="43"/>
  <c r="AI202" i="43"/>
  <c r="AI201" i="43"/>
  <c r="AI205" i="43"/>
  <c r="AI310" i="43"/>
  <c r="AI304" i="43"/>
  <c r="AI306" i="43"/>
  <c r="AI311" i="43"/>
  <c r="S84" i="30"/>
  <c r="S86" i="30"/>
  <c r="S87" i="30" s="1"/>
  <c r="S88" i="30"/>
  <c r="AV13" i="43"/>
  <c r="AV14" i="43"/>
  <c r="AV17" i="43"/>
  <c r="AV23" i="43"/>
  <c r="AV119" i="43"/>
  <c r="AV115" i="43"/>
  <c r="AV121" i="43"/>
  <c r="AV123" i="43"/>
  <c r="AV124" i="43"/>
  <c r="AV125" i="43"/>
  <c r="AV120" i="43"/>
  <c r="AV116" i="43"/>
  <c r="AT329" i="43"/>
  <c r="AT320" i="43"/>
  <c r="AT322" i="43"/>
  <c r="AT328" i="43"/>
  <c r="AT323" i="43"/>
  <c r="AT324" i="43"/>
  <c r="AT327" i="43"/>
  <c r="AT321" i="43"/>
  <c r="AT319" i="43"/>
  <c r="AT325" i="43"/>
  <c r="AM106" i="45"/>
  <c r="AM101" i="45"/>
  <c r="AM97" i="45"/>
  <c r="AM98" i="45"/>
  <c r="AM103" i="45"/>
  <c r="AM100" i="45"/>
  <c r="AX200" i="43"/>
  <c r="AX204" i="43"/>
  <c r="BO23" i="43"/>
  <c r="BO22" i="43"/>
  <c r="BO16" i="43"/>
  <c r="BO21" i="43"/>
  <c r="BO72" i="43"/>
  <c r="BO64" i="43"/>
  <c r="BO66" i="43"/>
  <c r="BO65" i="43"/>
  <c r="BO68" i="43"/>
  <c r="BO70" i="43"/>
  <c r="BO74" i="43"/>
  <c r="BO73" i="43"/>
  <c r="BP169" i="43"/>
  <c r="BP174" i="43"/>
  <c r="BP168" i="43"/>
  <c r="BP170" i="43"/>
  <c r="BN323" i="43"/>
  <c r="BN324" i="43"/>
  <c r="BN329" i="43"/>
  <c r="BN327" i="43"/>
  <c r="BN328" i="43"/>
  <c r="BN319" i="43"/>
  <c r="BN320" i="43"/>
  <c r="BJ52" i="45"/>
  <c r="BJ49" i="45"/>
  <c r="BJ45" i="45" s="1"/>
  <c r="J184" i="28"/>
  <c r="J185" i="28" s="1"/>
  <c r="J178" i="28"/>
  <c r="J182" i="28"/>
  <c r="J179" i="28"/>
  <c r="J186" i="28"/>
  <c r="L24" i="29"/>
  <c r="L25" i="29"/>
  <c r="S139" i="33"/>
  <c r="E73" i="45"/>
  <c r="E67" i="45"/>
  <c r="E64" i="45"/>
  <c r="E63" i="45"/>
  <c r="E66" i="45"/>
  <c r="E69" i="45"/>
  <c r="F122" i="45"/>
  <c r="F116" i="45"/>
  <c r="F118" i="45"/>
  <c r="G175" i="45"/>
  <c r="G174" i="45"/>
  <c r="G168" i="45"/>
  <c r="G167" i="45"/>
  <c r="G169" i="45"/>
  <c r="G165" i="45"/>
  <c r="J72" i="45"/>
  <c r="J67" i="45"/>
  <c r="K124" i="45"/>
  <c r="K123" i="45"/>
  <c r="K115" i="45"/>
  <c r="K118" i="45"/>
  <c r="K114" i="45"/>
  <c r="T204" i="43"/>
  <c r="T203" i="43"/>
  <c r="T200" i="43"/>
  <c r="T208" i="43"/>
  <c r="T202" i="43"/>
  <c r="M88" i="45"/>
  <c r="M81" i="45"/>
  <c r="M90" i="45"/>
  <c r="M85" i="45"/>
  <c r="AJ204" i="43"/>
  <c r="AJ205" i="43"/>
  <c r="AJ202" i="43"/>
  <c r="AJ201" i="43"/>
  <c r="AJ208" i="43"/>
  <c r="AT104" i="43"/>
  <c r="AT107" i="43"/>
  <c r="AT102" i="43"/>
  <c r="AT98" i="43"/>
  <c r="AT108" i="43"/>
  <c r="AU323" i="43"/>
  <c r="AU319" i="43"/>
  <c r="AM54" i="45"/>
  <c r="AM48" i="45"/>
  <c r="AM56" i="45"/>
  <c r="AM49" i="45"/>
  <c r="AM50" i="45"/>
  <c r="AK182" i="45"/>
  <c r="AK181" i="45" s="1"/>
  <c r="AK190" i="45"/>
  <c r="AK188" i="45"/>
  <c r="AK191" i="45"/>
  <c r="AX103" i="43"/>
  <c r="AX98" i="43"/>
  <c r="AZ278" i="43"/>
  <c r="AZ270" i="43"/>
  <c r="AZ277" i="43"/>
  <c r="BJ115" i="43"/>
  <c r="BJ118" i="43"/>
  <c r="BJ123" i="43"/>
  <c r="BJ124" i="43"/>
  <c r="BJ117" i="43"/>
  <c r="BK174" i="43"/>
  <c r="BK176" i="43"/>
  <c r="BK170" i="43"/>
  <c r="BK166" i="43"/>
  <c r="BK175" i="43"/>
  <c r="BK171" i="43"/>
  <c r="BP73" i="43"/>
  <c r="BP68" i="43"/>
  <c r="BP64" i="43"/>
  <c r="BP67" i="43"/>
  <c r="BO278" i="43"/>
  <c r="BO269" i="43"/>
  <c r="BO274" i="43"/>
  <c r="BO277" i="43"/>
  <c r="BO270" i="43"/>
  <c r="BO272" i="43"/>
  <c r="BO321" i="43"/>
  <c r="BO324" i="43"/>
  <c r="K30" i="43"/>
  <c r="K31" i="43"/>
  <c r="L91" i="43"/>
  <c r="L83" i="43"/>
  <c r="L80" i="43" s="1"/>
  <c r="E18" i="45"/>
  <c r="E20" i="45"/>
  <c r="E21" i="45"/>
  <c r="E14" i="45"/>
  <c r="F72" i="45"/>
  <c r="F65" i="45"/>
  <c r="F69" i="45"/>
  <c r="F63" i="45"/>
  <c r="K12" i="45"/>
  <c r="K20" i="45"/>
  <c r="K69" i="45"/>
  <c r="K65" i="45"/>
  <c r="K67" i="45"/>
  <c r="I202" i="45"/>
  <c r="I203" i="45"/>
  <c r="R47" i="43"/>
  <c r="R53" i="43"/>
  <c r="S100" i="43"/>
  <c r="S97" i="43" s="1"/>
  <c r="S108" i="43"/>
  <c r="S105" i="43" s="1"/>
  <c r="S102" i="43"/>
  <c r="T157" i="43"/>
  <c r="T152" i="43"/>
  <c r="T158" i="43"/>
  <c r="AD193" i="43"/>
  <c r="AD190" i="43" s="1"/>
  <c r="AD189" i="43"/>
  <c r="AT57" i="43"/>
  <c r="AT55" i="43"/>
  <c r="AT56" i="43"/>
  <c r="AT48" i="43"/>
  <c r="AT157" i="43"/>
  <c r="AT159" i="43"/>
  <c r="AT154" i="43"/>
  <c r="AT150" i="43"/>
  <c r="AT208" i="43"/>
  <c r="AT210" i="43"/>
  <c r="AU268" i="43"/>
  <c r="AU277" i="43"/>
  <c r="AU272" i="43"/>
  <c r="AU271" i="43"/>
  <c r="AU273" i="43"/>
  <c r="AU274" i="43"/>
  <c r="AU276" i="43"/>
  <c r="AU269" i="43"/>
  <c r="AU270" i="43"/>
  <c r="AV328" i="43"/>
  <c r="AV325" i="43"/>
  <c r="AV323" i="43"/>
  <c r="AV322" i="43"/>
  <c r="AV319" i="43"/>
  <c r="AV324" i="43"/>
  <c r="I310" i="41"/>
  <c r="I305" i="41"/>
  <c r="I301" i="41"/>
  <c r="I303" i="41"/>
  <c r="I302" i="41"/>
  <c r="I307" i="41"/>
  <c r="BJ74" i="43"/>
  <c r="BJ71" i="43" s="1"/>
  <c r="BJ66" i="43"/>
  <c r="BJ65" i="43"/>
  <c r="BJ69" i="43"/>
  <c r="BK115" i="43"/>
  <c r="BK119" i="43"/>
  <c r="BL166" i="43"/>
  <c r="BL176" i="43"/>
  <c r="BL217" i="43"/>
  <c r="BL220" i="43"/>
  <c r="BL227" i="43"/>
  <c r="BL222" i="43"/>
  <c r="BL218" i="43"/>
  <c r="BL223" i="43"/>
  <c r="BL286" i="43"/>
  <c r="BL293" i="43"/>
  <c r="BL292" i="43" s="1"/>
  <c r="BL285" i="43"/>
  <c r="BD88" i="43"/>
  <c r="L251" i="29"/>
  <c r="L140" i="33"/>
  <c r="L144" i="33"/>
  <c r="AT189" i="43"/>
  <c r="AT193" i="43"/>
  <c r="AT243" i="45"/>
  <c r="AT236" i="45"/>
  <c r="L51" i="29"/>
  <c r="L58" i="29" s="1"/>
  <c r="U254" i="29"/>
  <c r="U253" i="29"/>
  <c r="BK138" i="45"/>
  <c r="BD241" i="43"/>
  <c r="S243" i="43"/>
  <c r="F183" i="45"/>
  <c r="F182" i="45"/>
  <c r="G239" i="45"/>
  <c r="G241" i="45"/>
  <c r="M20" i="45"/>
  <c r="M22" i="45"/>
  <c r="O295" i="41"/>
  <c r="W295" i="41" s="1"/>
  <c r="AJ327" i="43"/>
  <c r="S39" i="30"/>
  <c r="S42" i="30"/>
  <c r="S43" i="30"/>
  <c r="J118" i="33"/>
  <c r="BB117" i="43"/>
  <c r="BB124" i="43"/>
  <c r="BB122" i="43" s="1"/>
  <c r="BB116" i="43"/>
  <c r="AS119" i="45"/>
  <c r="AS124" i="45"/>
  <c r="AS114" i="45"/>
  <c r="BP89" i="43"/>
  <c r="BP91" i="43"/>
  <c r="BP81" i="43"/>
  <c r="K178" i="29"/>
  <c r="K184" i="29"/>
  <c r="K185" i="29" s="1"/>
  <c r="BL97" i="43"/>
  <c r="AQ87" i="45"/>
  <c r="BD80" i="43"/>
  <c r="BB241" i="43"/>
  <c r="J295" i="41"/>
  <c r="P47" i="43"/>
  <c r="P50" i="43"/>
  <c r="M200" i="45"/>
  <c r="M202" i="45"/>
  <c r="M201" i="45"/>
  <c r="M209" i="45"/>
  <c r="V192" i="45"/>
  <c r="V189" i="45" s="1"/>
  <c r="AF103" i="43"/>
  <c r="AF102" i="43"/>
  <c r="AF98" i="43"/>
  <c r="AF97" i="43" s="1"/>
  <c r="AO17" i="45"/>
  <c r="AO21" i="45"/>
  <c r="AO241" i="45"/>
  <c r="BB21" i="43"/>
  <c r="BB23" i="43"/>
  <c r="BB70" i="43"/>
  <c r="BB64" i="43"/>
  <c r="BB73" i="43"/>
  <c r="BB67" i="43"/>
  <c r="BC119" i="43"/>
  <c r="BC121" i="43"/>
  <c r="BB168" i="43"/>
  <c r="BB175" i="43"/>
  <c r="BB173" i="43" s="1"/>
  <c r="AT20" i="45"/>
  <c r="AT15" i="45"/>
  <c r="AT11" i="45" s="1"/>
  <c r="AT22" i="45"/>
  <c r="AS68" i="45"/>
  <c r="AS67" i="45"/>
  <c r="AU173" i="45"/>
  <c r="AU174" i="45"/>
  <c r="AU165" i="45"/>
  <c r="BN13" i="43"/>
  <c r="BN21" i="43"/>
  <c r="BN20" i="43" s="1"/>
  <c r="BN16" i="43"/>
  <c r="BJ71" i="45"/>
  <c r="BJ65" i="45"/>
  <c r="BJ72" i="45"/>
  <c r="BJ64" i="45"/>
  <c r="BI114" i="45"/>
  <c r="BI119" i="45"/>
  <c r="BI115" i="45"/>
  <c r="BI124" i="45"/>
  <c r="BI118" i="45"/>
  <c r="BD37" i="43"/>
  <c r="BB88" i="43"/>
  <c r="BB79" i="43" s="1"/>
  <c r="Z73" i="43"/>
  <c r="Z74" i="43"/>
  <c r="V131" i="45"/>
  <c r="V130" i="45" s="1"/>
  <c r="V135" i="45"/>
  <c r="AL345" i="45"/>
  <c r="AL339" i="45"/>
  <c r="BC73" i="43"/>
  <c r="BC72" i="43"/>
  <c r="AU13" i="45"/>
  <c r="AU18" i="45"/>
  <c r="AU16" i="45"/>
  <c r="AU12" i="45"/>
  <c r="AU21" i="45"/>
  <c r="BN116" i="43"/>
  <c r="BN121" i="43"/>
  <c r="BN115" i="43"/>
  <c r="BN124" i="43"/>
  <c r="BN122" i="43" s="1"/>
  <c r="T66" i="29"/>
  <c r="T68" i="29"/>
  <c r="T71" i="29"/>
  <c r="T238" i="29"/>
  <c r="T235" i="29"/>
  <c r="T236" i="29"/>
  <c r="T242" i="29"/>
  <c r="BB190" i="43"/>
  <c r="AA190" i="43"/>
  <c r="K62" i="32"/>
  <c r="J106" i="32"/>
  <c r="T153" i="29"/>
  <c r="BD29" i="43"/>
  <c r="L118" i="30"/>
  <c r="R118" i="30"/>
  <c r="T230" i="30"/>
  <c r="S107" i="33"/>
  <c r="S112" i="33" s="1"/>
  <c r="L62" i="32"/>
  <c r="K106" i="32"/>
  <c r="AZ29" i="43"/>
  <c r="BT295" i="43"/>
  <c r="BT294" i="43"/>
  <c r="BT286" i="43"/>
  <c r="BT287" i="43"/>
  <c r="N52" i="37"/>
  <c r="N50" i="37"/>
  <c r="N56" i="37"/>
  <c r="N54" i="37"/>
  <c r="J218" i="37"/>
  <c r="J220" i="37"/>
  <c r="AA135" i="37"/>
  <c r="AA140" i="37"/>
  <c r="BS200" i="43"/>
  <c r="BS209" i="43"/>
  <c r="BS201" i="43"/>
  <c r="BS203" i="43"/>
  <c r="BS204" i="43"/>
  <c r="J137" i="28"/>
  <c r="BS202" i="43"/>
  <c r="BS206" i="43"/>
  <c r="N248" i="31"/>
  <c r="N254" i="31"/>
  <c r="AC152" i="37"/>
  <c r="AC157" i="37"/>
  <c r="AC153" i="37"/>
  <c r="AC154" i="37"/>
  <c r="AC80" i="37"/>
  <c r="E200" i="37"/>
  <c r="AA183" i="37"/>
  <c r="AA191" i="37"/>
  <c r="AA188" i="37"/>
  <c r="O18" i="28"/>
  <c r="O16" i="28"/>
  <c r="N82" i="28"/>
  <c r="N86" i="28"/>
  <c r="N88" i="28"/>
  <c r="J219" i="37"/>
  <c r="Y236" i="37"/>
  <c r="Y186" i="37"/>
  <c r="Y188" i="37"/>
  <c r="BO63" i="45"/>
  <c r="BO65" i="45"/>
  <c r="BO71" i="45"/>
  <c r="BO73" i="45"/>
  <c r="S195" i="29"/>
  <c r="O106" i="28"/>
  <c r="Y139" i="37"/>
  <c r="Y136" i="37"/>
  <c r="M111" i="41"/>
  <c r="BC201" i="43"/>
  <c r="BC209" i="43"/>
  <c r="BC206" i="43"/>
  <c r="BC202" i="43"/>
  <c r="BC205" i="43"/>
  <c r="BC203" i="43"/>
  <c r="BC204" i="43"/>
  <c r="BC208" i="43"/>
  <c r="BC200" i="43"/>
  <c r="BC210" i="43"/>
  <c r="BK169" i="45"/>
  <c r="BK170" i="45"/>
  <c r="BK168" i="45"/>
  <c r="BK175" i="45"/>
  <c r="BK173" i="45"/>
  <c r="BK171" i="45"/>
  <c r="BK167" i="45"/>
  <c r="BK165" i="45"/>
  <c r="I59" i="41"/>
  <c r="J222" i="29"/>
  <c r="J220" i="29"/>
  <c r="J221" i="29"/>
  <c r="AY209" i="43"/>
  <c r="AY204" i="43"/>
  <c r="AY206" i="43"/>
  <c r="AY202" i="43"/>
  <c r="AY201" i="43"/>
  <c r="AY200" i="43"/>
  <c r="AY205" i="43"/>
  <c r="AY203" i="43"/>
  <c r="AU226" i="45"/>
  <c r="AU224" i="45"/>
  <c r="AU218" i="45"/>
  <c r="AU222" i="45"/>
  <c r="AU221" i="45"/>
  <c r="AU219" i="45"/>
  <c r="AU217" i="45"/>
  <c r="K266" i="31"/>
  <c r="K262" i="31"/>
  <c r="K264" i="31"/>
  <c r="T192" i="33"/>
  <c r="T196" i="33"/>
  <c r="T198" i="33"/>
  <c r="T197" i="33"/>
  <c r="T193" i="33"/>
  <c r="T194" i="33"/>
  <c r="T200" i="33"/>
  <c r="V331" i="41"/>
  <c r="AT331" i="41" s="1"/>
  <c r="AZ210" i="43"/>
  <c r="AZ202" i="43"/>
  <c r="AZ205" i="43"/>
  <c r="AZ204" i="43"/>
  <c r="AZ206" i="43"/>
  <c r="AZ209" i="43"/>
  <c r="AZ201" i="43"/>
  <c r="AZ200" i="43"/>
  <c r="AZ203" i="43"/>
  <c r="AZ208" i="43"/>
  <c r="J11" i="34"/>
  <c r="L136" i="28"/>
  <c r="BN154" i="45"/>
  <c r="BN157" i="45"/>
  <c r="BN153" i="45"/>
  <c r="BN148" i="45"/>
  <c r="J84" i="28"/>
  <c r="J81" i="28"/>
  <c r="AT142" i="43"/>
  <c r="AT137" i="43"/>
  <c r="AT140" i="43"/>
  <c r="AT133" i="43"/>
  <c r="AT138" i="43"/>
  <c r="AT132" i="43"/>
  <c r="AT136" i="43"/>
  <c r="AG125" i="41"/>
  <c r="AG278" i="41" s="1"/>
  <c r="AG363" i="41" s="1"/>
  <c r="AT23" i="34"/>
  <c r="P28" i="28"/>
  <c r="CJ16" i="34"/>
  <c r="CJ10" i="34"/>
  <c r="P122" i="28"/>
  <c r="L268" i="31"/>
  <c r="AE242" i="37"/>
  <c r="X14" i="34"/>
  <c r="L28" i="28"/>
  <c r="L165" i="31"/>
  <c r="L169" i="31"/>
  <c r="G29" i="37"/>
  <c r="O263" i="31"/>
  <c r="BN201" i="45"/>
  <c r="AC205" i="37"/>
  <c r="BR208" i="43"/>
  <c r="O140" i="31"/>
  <c r="O138" i="31"/>
  <c r="O144" i="31"/>
  <c r="O141" i="31"/>
  <c r="O143" i="31" s="1"/>
  <c r="J168" i="28"/>
  <c r="J172" i="28"/>
  <c r="J170" i="28"/>
  <c r="J166" i="28"/>
  <c r="J169" i="28"/>
  <c r="J165" i="28"/>
  <c r="W99" i="37"/>
  <c r="BM220" i="45"/>
  <c r="BM216" i="45"/>
  <c r="J49" i="37"/>
  <c r="Z224" i="37"/>
  <c r="Y183" i="37"/>
  <c r="AA190" i="37"/>
  <c r="N212" i="28"/>
  <c r="N213" i="28" s="1"/>
  <c r="L97" i="32"/>
  <c r="AZ269" i="43"/>
  <c r="AT141" i="43"/>
  <c r="AM240" i="45"/>
  <c r="BC20" i="43"/>
  <c r="P15" i="43"/>
  <c r="P16" i="43"/>
  <c r="P14" i="43"/>
  <c r="T55" i="43"/>
  <c r="T52" i="43"/>
  <c r="T49" i="43"/>
  <c r="T48" i="43"/>
  <c r="T53" i="43"/>
  <c r="T56" i="43"/>
  <c r="R254" i="43"/>
  <c r="R257" i="43"/>
  <c r="R259" i="43"/>
  <c r="R258" i="43" s="1"/>
  <c r="R255" i="43"/>
  <c r="N35" i="45"/>
  <c r="N34" i="45"/>
  <c r="N38" i="45"/>
  <c r="N29" i="45"/>
  <c r="N37" i="45"/>
  <c r="N39" i="45"/>
  <c r="N33" i="45"/>
  <c r="O80" i="45"/>
  <c r="O90" i="45"/>
  <c r="O85" i="45"/>
  <c r="O89" i="45"/>
  <c r="O83" i="45"/>
  <c r="M226" i="45"/>
  <c r="M221" i="45"/>
  <c r="M218" i="45"/>
  <c r="M216" i="45"/>
  <c r="M225" i="45"/>
  <c r="M224" i="45"/>
  <c r="M217" i="45"/>
  <c r="M220" i="45"/>
  <c r="M222" i="45"/>
  <c r="M219" i="45"/>
  <c r="AE175" i="43"/>
  <c r="AE166" i="43"/>
  <c r="AE169" i="43"/>
  <c r="AE176" i="43"/>
  <c r="AE171" i="43"/>
  <c r="AE167" i="43"/>
  <c r="AF240" i="43"/>
  <c r="AF234" i="43"/>
  <c r="AF244" i="43"/>
  <c r="AF236" i="43"/>
  <c r="Y157" i="45"/>
  <c r="Y148" i="45"/>
  <c r="Y154" i="45"/>
  <c r="Y152" i="45"/>
  <c r="Y151" i="45"/>
  <c r="Y156" i="45"/>
  <c r="Y153" i="45"/>
  <c r="Z207" i="45"/>
  <c r="Z205" i="45"/>
  <c r="Z202" i="45"/>
  <c r="AJ259" i="43"/>
  <c r="AJ251" i="43"/>
  <c r="AJ257" i="43"/>
  <c r="AJ252" i="43"/>
  <c r="AJ261" i="43"/>
  <c r="AJ255" i="43"/>
  <c r="AE54" i="45"/>
  <c r="AE52" i="45"/>
  <c r="AE47" i="45"/>
  <c r="AE55" i="45"/>
  <c r="AE50" i="45"/>
  <c r="AE48" i="45"/>
  <c r="AE46" i="45"/>
  <c r="AE56" i="45"/>
  <c r="AE51" i="45"/>
  <c r="AE49" i="45"/>
  <c r="AE122" i="45"/>
  <c r="AE120" i="45"/>
  <c r="AE114" i="45"/>
  <c r="AE123" i="45"/>
  <c r="AE117" i="45"/>
  <c r="AE118" i="45"/>
  <c r="AE225" i="45"/>
  <c r="AE216" i="45"/>
  <c r="AE221" i="45"/>
  <c r="AE222" i="45"/>
  <c r="AE217" i="45"/>
  <c r="S194" i="30"/>
  <c r="S195" i="30" s="1"/>
  <c r="S198" i="30"/>
  <c r="S199" i="30" s="1"/>
  <c r="J262" i="30"/>
  <c r="J270" i="30"/>
  <c r="J268" i="30"/>
  <c r="J269" i="30" s="1"/>
  <c r="J266" i="30"/>
  <c r="J264" i="30"/>
  <c r="S70" i="33"/>
  <c r="S71" i="33"/>
  <c r="K122" i="33"/>
  <c r="K107" i="33"/>
  <c r="K123" i="33"/>
  <c r="K130" i="33"/>
  <c r="R154" i="33"/>
  <c r="R152" i="33"/>
  <c r="R155" i="33"/>
  <c r="R157" i="33" s="1"/>
  <c r="R151" i="33"/>
  <c r="J206" i="33"/>
  <c r="J214" i="33"/>
  <c r="J211" i="33"/>
  <c r="J213" i="33" s="1"/>
  <c r="J210" i="33"/>
  <c r="J208" i="33"/>
  <c r="J266" i="33"/>
  <c r="J268" i="33"/>
  <c r="J262" i="33"/>
  <c r="J267" i="33"/>
  <c r="J270" i="33"/>
  <c r="J263" i="33"/>
  <c r="J264" i="33"/>
  <c r="AU34" i="43"/>
  <c r="AU31" i="43"/>
  <c r="AU39" i="43"/>
  <c r="AU33" i="43"/>
  <c r="AU38" i="43"/>
  <c r="AU40" i="43"/>
  <c r="AV89" i="43"/>
  <c r="AV91" i="43"/>
  <c r="AV86" i="43"/>
  <c r="AV90" i="43"/>
  <c r="AV83" i="43"/>
  <c r="AV82" i="43"/>
  <c r="AV87" i="43"/>
  <c r="AV85" i="43"/>
  <c r="AV81" i="43"/>
  <c r="AV84" i="43"/>
  <c r="AU136" i="43"/>
  <c r="AU141" i="43"/>
  <c r="AU138" i="43"/>
  <c r="AU133" i="43"/>
  <c r="AU137" i="43"/>
  <c r="AU132" i="43"/>
  <c r="AU140" i="43"/>
  <c r="AU142" i="43"/>
  <c r="AU134" i="43"/>
  <c r="AU135" i="43"/>
  <c r="AV238" i="43"/>
  <c r="AV242" i="43"/>
  <c r="AV235" i="43"/>
  <c r="AV243" i="43"/>
  <c r="AV244" i="43"/>
  <c r="AV237" i="43"/>
  <c r="AV239" i="43"/>
  <c r="AV234" i="43"/>
  <c r="AV307" i="43"/>
  <c r="AV302" i="43"/>
  <c r="AV303" i="43"/>
  <c r="AV306" i="43"/>
  <c r="AV312" i="43"/>
  <c r="AM37" i="45"/>
  <c r="AM38" i="45"/>
  <c r="AM34" i="45"/>
  <c r="AM31" i="45"/>
  <c r="AM33" i="45"/>
  <c r="AM29" i="45"/>
  <c r="AM35" i="45"/>
  <c r="AK165" i="45"/>
  <c r="AK168" i="45"/>
  <c r="AK170" i="45"/>
  <c r="AK173" i="45"/>
  <c r="AK174" i="45"/>
  <c r="AK175" i="45"/>
  <c r="AL243" i="45"/>
  <c r="AL233" i="45"/>
  <c r="AL239" i="45"/>
  <c r="AL234" i="45"/>
  <c r="AL241" i="45"/>
  <c r="I339" i="41"/>
  <c r="I341" i="41"/>
  <c r="I337" i="41"/>
  <c r="I332" i="41"/>
  <c r="U332" i="41" s="1"/>
  <c r="AX35" i="43"/>
  <c r="AX36" i="43"/>
  <c r="AX40" i="43"/>
  <c r="AX38" i="43"/>
  <c r="AX30" i="43"/>
  <c r="AX31" i="43"/>
  <c r="AX34" i="43"/>
  <c r="AX33" i="43"/>
  <c r="AX32" i="43"/>
  <c r="AQ39" i="45"/>
  <c r="AQ35" i="45"/>
  <c r="AQ30" i="45"/>
  <c r="AQ34" i="45"/>
  <c r="AQ37" i="45"/>
  <c r="AQ38" i="45"/>
  <c r="AQ33" i="45"/>
  <c r="AQ29" i="45"/>
  <c r="AQ31" i="45"/>
  <c r="AO326" i="45"/>
  <c r="AO327" i="45"/>
  <c r="AO323" i="45"/>
  <c r="AO328" i="45"/>
  <c r="AO319" i="45"/>
  <c r="AO322" i="45"/>
  <c r="AO320" i="45"/>
  <c r="AO318" i="45"/>
  <c r="AO321" i="45"/>
  <c r="M338" i="41"/>
  <c r="M340" i="41"/>
  <c r="M345" i="41"/>
  <c r="M339" i="41"/>
  <c r="BC40" i="43"/>
  <c r="BC31" i="43"/>
  <c r="BC38" i="43"/>
  <c r="BC35" i="43"/>
  <c r="BC32" i="43"/>
  <c r="BC36" i="43"/>
  <c r="BC30" i="43"/>
  <c r="BC33" i="43"/>
  <c r="BJ99" i="43"/>
  <c r="BJ101" i="43"/>
  <c r="BJ104" i="43"/>
  <c r="BK202" i="43"/>
  <c r="BK201" i="43"/>
  <c r="BK210" i="43"/>
  <c r="BK207" i="43" s="1"/>
  <c r="BK205" i="43"/>
  <c r="BK206" i="43"/>
  <c r="BK272" i="43"/>
  <c r="BK276" i="43"/>
  <c r="BK277" i="43"/>
  <c r="BK269" i="43"/>
  <c r="BK268" i="43"/>
  <c r="BJ216" i="45"/>
  <c r="BJ224" i="45"/>
  <c r="BJ340" i="45"/>
  <c r="BJ344" i="45"/>
  <c r="BJ339" i="45"/>
  <c r="BJ335" i="45"/>
  <c r="BJ343" i="45"/>
  <c r="BJ338" i="45"/>
  <c r="BJ345" i="45"/>
  <c r="T82" i="32"/>
  <c r="T88" i="32"/>
  <c r="S165" i="32"/>
  <c r="S168" i="32"/>
  <c r="K267" i="32"/>
  <c r="K268" i="32"/>
  <c r="BT269" i="43"/>
  <c r="BT271" i="43"/>
  <c r="BR23" i="43"/>
  <c r="BR13" i="43"/>
  <c r="BR19" i="43"/>
  <c r="J151" i="28"/>
  <c r="J158" i="28"/>
  <c r="E30" i="37"/>
  <c r="E29" i="37"/>
  <c r="N30" i="37"/>
  <c r="N39" i="37"/>
  <c r="N33" i="37"/>
  <c r="BR15" i="43"/>
  <c r="N122" i="31"/>
  <c r="G202" i="37"/>
  <c r="I84" i="37"/>
  <c r="I86" i="37"/>
  <c r="I89" i="37"/>
  <c r="I88" i="37"/>
  <c r="I80" i="37"/>
  <c r="I81" i="37"/>
  <c r="I82" i="37"/>
  <c r="E201" i="37"/>
  <c r="E203" i="37"/>
  <c r="E205" i="37"/>
  <c r="E207" i="37"/>
  <c r="R208" i="30"/>
  <c r="R211" i="30"/>
  <c r="R214" i="30"/>
  <c r="I91" i="41"/>
  <c r="U91" i="41" s="1"/>
  <c r="N250" i="31"/>
  <c r="P16" i="28"/>
  <c r="P17" i="28" s="1"/>
  <c r="K80" i="37"/>
  <c r="K83" i="37"/>
  <c r="J218" i="31"/>
  <c r="I30" i="37"/>
  <c r="K106" i="37"/>
  <c r="O71" i="31"/>
  <c r="O73" i="31" s="1"/>
  <c r="N249" i="28"/>
  <c r="N250" i="28"/>
  <c r="AD224" i="37"/>
  <c r="AD220" i="37"/>
  <c r="AD217" i="37"/>
  <c r="N46" i="37"/>
  <c r="N218" i="37"/>
  <c r="K54" i="33"/>
  <c r="I217" i="37"/>
  <c r="V207" i="37"/>
  <c r="U207" i="37"/>
  <c r="U204" i="37"/>
  <c r="U205" i="37"/>
  <c r="U209" i="37"/>
  <c r="W216" i="37"/>
  <c r="W217" i="37"/>
  <c r="N213" i="41"/>
  <c r="N55" i="37"/>
  <c r="I233" i="37"/>
  <c r="I242" i="37"/>
  <c r="S85" i="37"/>
  <c r="S83" i="37"/>
  <c r="AZ52" i="43"/>
  <c r="AZ47" i="43"/>
  <c r="AZ50" i="43"/>
  <c r="AZ55" i="43"/>
  <c r="AZ48" i="43"/>
  <c r="AZ57" i="43"/>
  <c r="AZ49" i="43"/>
  <c r="AZ53" i="43"/>
  <c r="BD56" i="43"/>
  <c r="BD51" i="43"/>
  <c r="BD50" i="43"/>
  <c r="BD48" i="43"/>
  <c r="BD47" i="43"/>
  <c r="BD327" i="43"/>
  <c r="BD325" i="43"/>
  <c r="AT54" i="45"/>
  <c r="AT53" i="45" s="1"/>
  <c r="AT52" i="45"/>
  <c r="AT48" i="45"/>
  <c r="AT47" i="45"/>
  <c r="AT51" i="45"/>
  <c r="BO236" i="45"/>
  <c r="L11" i="34"/>
  <c r="O263" i="28"/>
  <c r="AD221" i="37"/>
  <c r="Y237" i="37"/>
  <c r="Y187" i="37"/>
  <c r="I99" i="37"/>
  <c r="I98" i="37"/>
  <c r="I97" i="37"/>
  <c r="AT310" i="43"/>
  <c r="AT303" i="43"/>
  <c r="AT308" i="43"/>
  <c r="AT305" i="43"/>
  <c r="AT311" i="43"/>
  <c r="AT304" i="43"/>
  <c r="AT306" i="43"/>
  <c r="AT312" i="43"/>
  <c r="AT307" i="43"/>
  <c r="AO32" i="45"/>
  <c r="AO39" i="45"/>
  <c r="AO37" i="45"/>
  <c r="O310" i="41"/>
  <c r="O298" i="41"/>
  <c r="BD159" i="43"/>
  <c r="BD153" i="43"/>
  <c r="BD150" i="43"/>
  <c r="BD158" i="43"/>
  <c r="BD152" i="43"/>
  <c r="BD149" i="43"/>
  <c r="BD154" i="43"/>
  <c r="BD155" i="43"/>
  <c r="BD157" i="43"/>
  <c r="BD151" i="43"/>
  <c r="N62" i="31"/>
  <c r="BO103" i="45"/>
  <c r="BO102" i="45"/>
  <c r="BO100" i="45"/>
  <c r="BO101" i="45"/>
  <c r="N125" i="41"/>
  <c r="V101" i="43"/>
  <c r="V102" i="43"/>
  <c r="V103" i="43"/>
  <c r="BO148" i="43"/>
  <c r="J24" i="30"/>
  <c r="J32" i="30"/>
  <c r="J25" i="30"/>
  <c r="J29" i="30"/>
  <c r="J26" i="30"/>
  <c r="K70" i="33"/>
  <c r="K74" i="33"/>
  <c r="K67" i="33"/>
  <c r="K68" i="33"/>
  <c r="J130" i="33"/>
  <c r="J128" i="33"/>
  <c r="J122" i="33"/>
  <c r="J123" i="33"/>
  <c r="J124" i="33"/>
  <c r="J126" i="33"/>
  <c r="AX132" i="43"/>
  <c r="AX135" i="43"/>
  <c r="AX142" i="43"/>
  <c r="AX137" i="43"/>
  <c r="AX133" i="43"/>
  <c r="AX141" i="43"/>
  <c r="AX140" i="43"/>
  <c r="BJ319" i="43"/>
  <c r="BJ327" i="43"/>
  <c r="BJ320" i="43"/>
  <c r="BJ322" i="43"/>
  <c r="BJ324" i="43"/>
  <c r="BJ325" i="43"/>
  <c r="BJ321" i="43"/>
  <c r="BJ328" i="43"/>
  <c r="BJ329" i="43"/>
  <c r="J95" i="28"/>
  <c r="I29" i="37"/>
  <c r="AE239" i="37"/>
  <c r="O101" i="37"/>
  <c r="O262" i="31"/>
  <c r="BN158" i="45"/>
  <c r="BN200" i="45"/>
  <c r="AC209" i="37"/>
  <c r="BS121" i="43"/>
  <c r="BS115" i="43"/>
  <c r="BS120" i="43"/>
  <c r="BS125" i="43"/>
  <c r="W98" i="37"/>
  <c r="AC51" i="37"/>
  <c r="AC46" i="37"/>
  <c r="F201" i="37"/>
  <c r="F203" i="37"/>
  <c r="N141" i="37"/>
  <c r="N135" i="37"/>
  <c r="E49" i="37"/>
  <c r="AH256" i="43"/>
  <c r="J127" i="33"/>
  <c r="O258" i="43"/>
  <c r="O311" i="41"/>
  <c r="AZ273" i="43"/>
  <c r="AO31" i="45"/>
  <c r="AY210" i="43"/>
  <c r="AX138" i="43"/>
  <c r="AT302" i="43"/>
  <c r="L159" i="43"/>
  <c r="L157" i="43"/>
  <c r="L204" i="43"/>
  <c r="L203" i="43"/>
  <c r="L208" i="43"/>
  <c r="L207" i="43" s="1"/>
  <c r="L200" i="43"/>
  <c r="L202" i="43"/>
  <c r="L323" i="43"/>
  <c r="L328" i="43"/>
  <c r="L324" i="43"/>
  <c r="L322" i="43"/>
  <c r="E192" i="45"/>
  <c r="E187" i="45"/>
  <c r="E186" i="45"/>
  <c r="E190" i="45"/>
  <c r="E243" i="45"/>
  <c r="E239" i="45"/>
  <c r="E235" i="45"/>
  <c r="E242" i="45"/>
  <c r="E236" i="45"/>
  <c r="E238" i="45"/>
  <c r="E237" i="45"/>
  <c r="E234" i="45"/>
  <c r="J105" i="45"/>
  <c r="J104" i="45" s="1"/>
  <c r="J97" i="45"/>
  <c r="J98" i="45"/>
  <c r="J100" i="45"/>
  <c r="J102" i="45"/>
  <c r="K156" i="45"/>
  <c r="K157" i="45"/>
  <c r="K152" i="45"/>
  <c r="K153" i="45"/>
  <c r="K149" i="45"/>
  <c r="K148" i="45"/>
  <c r="K150" i="45"/>
  <c r="K154" i="45"/>
  <c r="R140" i="43"/>
  <c r="R136" i="43"/>
  <c r="R132" i="43"/>
  <c r="R142" i="43"/>
  <c r="S252" i="43"/>
  <c r="S259" i="43"/>
  <c r="S260" i="43"/>
  <c r="S261" i="43"/>
  <c r="S256" i="43"/>
  <c r="S254" i="43"/>
  <c r="O34" i="45"/>
  <c r="O31" i="45"/>
  <c r="O30" i="45"/>
  <c r="O32" i="45"/>
  <c r="O29" i="45"/>
  <c r="M166" i="45"/>
  <c r="M168" i="45"/>
  <c r="M175" i="45"/>
  <c r="M173" i="45"/>
  <c r="N226" i="45"/>
  <c r="N217" i="45"/>
  <c r="N221" i="45"/>
  <c r="AE68" i="43"/>
  <c r="AE74" i="43"/>
  <c r="AF121" i="43"/>
  <c r="AF124" i="43"/>
  <c r="AF115" i="43"/>
  <c r="AF125" i="43"/>
  <c r="AF120" i="43"/>
  <c r="AF116" i="43"/>
  <c r="AF118" i="43"/>
  <c r="AF171" i="43"/>
  <c r="AF167" i="43"/>
  <c r="AF169" i="43"/>
  <c r="AF175" i="43"/>
  <c r="AF176" i="43"/>
  <c r="AF174" i="43"/>
  <c r="AF166" i="43"/>
  <c r="AF170" i="43"/>
  <c r="Y103" i="45"/>
  <c r="Y105" i="45"/>
  <c r="Y102" i="45"/>
  <c r="Y107" i="45"/>
  <c r="Y106" i="45"/>
  <c r="Y101" i="45"/>
  <c r="Y97" i="45"/>
  <c r="Y99" i="45"/>
  <c r="Z158" i="45"/>
  <c r="Z150" i="45"/>
  <c r="Z157" i="45"/>
  <c r="Z149" i="45"/>
  <c r="AA209" i="45"/>
  <c r="AA200" i="45"/>
  <c r="AA208" i="45"/>
  <c r="AA203" i="45"/>
  <c r="AA204" i="45"/>
  <c r="AA207" i="45"/>
  <c r="AA199" i="45"/>
  <c r="AH140" i="43"/>
  <c r="AH139" i="43" s="1"/>
  <c r="AH135" i="43"/>
  <c r="AH134" i="43"/>
  <c r="AH132" i="43"/>
  <c r="AH188" i="43"/>
  <c r="AH192" i="43"/>
  <c r="AH187" i="43"/>
  <c r="AH185" i="43"/>
  <c r="AH184" i="43"/>
  <c r="AH191" i="43"/>
  <c r="AH189" i="43"/>
  <c r="BS255" i="43"/>
  <c r="BS260" i="43"/>
  <c r="BS258" i="43" s="1"/>
  <c r="BS251" i="43"/>
  <c r="BS254" i="43"/>
  <c r="BS253" i="43"/>
  <c r="BS257" i="43"/>
  <c r="R126" i="30"/>
  <c r="R122" i="30"/>
  <c r="T106" i="30"/>
  <c r="K266" i="30"/>
  <c r="K263" i="30"/>
  <c r="T74" i="33"/>
  <c r="T72" i="33"/>
  <c r="T73" i="33" s="1"/>
  <c r="T66" i="33"/>
  <c r="T69" i="33" s="1"/>
  <c r="K214" i="33"/>
  <c r="K212" i="33"/>
  <c r="K213" i="33" s="1"/>
  <c r="K208" i="33"/>
  <c r="K209" i="33" s="1"/>
  <c r="K210" i="33"/>
  <c r="AV35" i="43"/>
  <c r="AV30" i="43"/>
  <c r="AV34" i="43"/>
  <c r="AV33" i="43"/>
  <c r="AV36" i="43"/>
  <c r="AV32" i="43"/>
  <c r="AV40" i="43"/>
  <c r="AV38" i="43"/>
  <c r="AV135" i="43"/>
  <c r="AV134" i="43"/>
  <c r="AV133" i="43"/>
  <c r="AV138" i="43"/>
  <c r="AV185" i="43"/>
  <c r="AV187" i="43"/>
  <c r="AV193" i="43"/>
  <c r="AV188" i="43"/>
  <c r="AV184" i="43"/>
  <c r="AV189" i="43"/>
  <c r="AK122" i="45"/>
  <c r="AK124" i="45"/>
  <c r="AK119" i="45"/>
  <c r="AK114" i="45"/>
  <c r="AK115" i="45"/>
  <c r="AK117" i="45"/>
  <c r="AK118" i="45"/>
  <c r="AK116" i="45"/>
  <c r="AL173" i="45"/>
  <c r="AL167" i="45"/>
  <c r="AL169" i="45"/>
  <c r="AL170" i="45"/>
  <c r="AL166" i="45"/>
  <c r="AL175" i="45"/>
  <c r="AL171" i="45"/>
  <c r="AL168" i="45"/>
  <c r="AM237" i="45"/>
  <c r="AM235" i="45"/>
  <c r="AM238" i="45"/>
  <c r="AM234" i="45"/>
  <c r="J336" i="41"/>
  <c r="J337" i="41"/>
  <c r="J340" i="41"/>
  <c r="J341" i="41"/>
  <c r="J339" i="41"/>
  <c r="J344" i="41"/>
  <c r="J332" i="41"/>
  <c r="AY40" i="43"/>
  <c r="AY32" i="43"/>
  <c r="AY39" i="43"/>
  <c r="AY36" i="43"/>
  <c r="AY34" i="43"/>
  <c r="AY30" i="43"/>
  <c r="AY38" i="43"/>
  <c r="AP322" i="45"/>
  <c r="AP318" i="45"/>
  <c r="AP321" i="45"/>
  <c r="AP319" i="45"/>
  <c r="M247" i="41"/>
  <c r="M251" i="41" s="1"/>
  <c r="BJ57" i="43"/>
  <c r="BJ50" i="43"/>
  <c r="BJ51" i="43"/>
  <c r="BJ49" i="43"/>
  <c r="BK103" i="43"/>
  <c r="BK101" i="43"/>
  <c r="BK99" i="43"/>
  <c r="BK104" i="43"/>
  <c r="BK108" i="43"/>
  <c r="BK157" i="43"/>
  <c r="BK159" i="43"/>
  <c r="BK149" i="43"/>
  <c r="BK148" i="43" s="1"/>
  <c r="BK158" i="43"/>
  <c r="BK153" i="43"/>
  <c r="BL209" i="43"/>
  <c r="BL207" i="43" s="1"/>
  <c r="BL201" i="43"/>
  <c r="BL200" i="43"/>
  <c r="BL205" i="43"/>
  <c r="BL204" i="43"/>
  <c r="BL202" i="43"/>
  <c r="BL206" i="43"/>
  <c r="BK149" i="45"/>
  <c r="BK153" i="45"/>
  <c r="BK158" i="45"/>
  <c r="BK156" i="45"/>
  <c r="BK339" i="45"/>
  <c r="BK341" i="45"/>
  <c r="BK337" i="45"/>
  <c r="K178" i="31"/>
  <c r="K180" i="31"/>
  <c r="J74" i="32"/>
  <c r="J68" i="32"/>
  <c r="J72" i="32"/>
  <c r="U80" i="32"/>
  <c r="U51" i="32"/>
  <c r="U53" i="32" s="1"/>
  <c r="T130" i="32"/>
  <c r="T127" i="32"/>
  <c r="L262" i="32"/>
  <c r="L268" i="32"/>
  <c r="L269" i="32" s="1"/>
  <c r="L270" i="32"/>
  <c r="L264" i="32"/>
  <c r="L263" i="32"/>
  <c r="BS321" i="43"/>
  <c r="BR85" i="43"/>
  <c r="BR82" i="43"/>
  <c r="Q38" i="37"/>
  <c r="Q31" i="37"/>
  <c r="L263" i="28"/>
  <c r="L266" i="28"/>
  <c r="L270" i="28"/>
  <c r="O158" i="28"/>
  <c r="O150" i="28"/>
  <c r="O152" i="28"/>
  <c r="N83" i="37"/>
  <c r="N86" i="37"/>
  <c r="N80" i="37"/>
  <c r="N88" i="37"/>
  <c r="N85" i="37"/>
  <c r="BN120" i="45"/>
  <c r="BN119" i="45"/>
  <c r="BN122" i="45"/>
  <c r="BN116" i="45"/>
  <c r="E31" i="37"/>
  <c r="K101" i="37"/>
  <c r="G209" i="37"/>
  <c r="AA201" i="37"/>
  <c r="AA207" i="37"/>
  <c r="BC131" i="43"/>
  <c r="O142" i="41"/>
  <c r="BS208" i="43"/>
  <c r="Z236" i="37"/>
  <c r="Z243" i="37"/>
  <c r="BM115" i="45"/>
  <c r="BM116" i="45"/>
  <c r="I133" i="37"/>
  <c r="L230" i="31"/>
  <c r="BT69" i="43"/>
  <c r="BT64" i="43"/>
  <c r="K83" i="32"/>
  <c r="P14" i="28"/>
  <c r="BT273" i="43"/>
  <c r="BT66" i="43"/>
  <c r="K97" i="37"/>
  <c r="O266" i="28"/>
  <c r="AD225" i="37"/>
  <c r="K80" i="28"/>
  <c r="K84" i="28"/>
  <c r="N71" i="31"/>
  <c r="N67" i="31"/>
  <c r="R81" i="37"/>
  <c r="R34" i="37"/>
  <c r="R39" i="37"/>
  <c r="AA101" i="37"/>
  <c r="AA103" i="37"/>
  <c r="AA98" i="37"/>
  <c r="AA107" i="37"/>
  <c r="AA97" i="37"/>
  <c r="BM114" i="45"/>
  <c r="AD216" i="37"/>
  <c r="K148" i="37"/>
  <c r="K149" i="37"/>
  <c r="N311" i="41"/>
  <c r="N304" i="41"/>
  <c r="N298" i="41"/>
  <c r="BD99" i="43"/>
  <c r="BD106" i="43"/>
  <c r="BD98" i="43"/>
  <c r="BD108" i="43"/>
  <c r="BD100" i="43"/>
  <c r="BD103" i="43"/>
  <c r="BD107" i="43"/>
  <c r="BC151" i="43"/>
  <c r="BC152" i="43"/>
  <c r="BC159" i="43"/>
  <c r="BC154" i="43"/>
  <c r="BC150" i="43"/>
  <c r="BD202" i="43"/>
  <c r="BD209" i="43"/>
  <c r="BD201" i="43"/>
  <c r="BD200" i="43"/>
  <c r="BD204" i="43"/>
  <c r="BD206" i="43"/>
  <c r="BD203" i="43"/>
  <c r="BD208" i="43"/>
  <c r="BD205" i="43"/>
  <c r="BN220" i="43"/>
  <c r="BN225" i="43"/>
  <c r="BN221" i="43"/>
  <c r="BN217" i="43"/>
  <c r="BN226" i="43"/>
  <c r="BN218" i="43"/>
  <c r="J62" i="31"/>
  <c r="AC201" i="37"/>
  <c r="BT277" i="43"/>
  <c r="AC203" i="37"/>
  <c r="J222" i="37"/>
  <c r="J85" i="37"/>
  <c r="J81" i="37"/>
  <c r="J88" i="37"/>
  <c r="M239" i="37"/>
  <c r="M242" i="37"/>
  <c r="W207" i="37"/>
  <c r="W202" i="37"/>
  <c r="W204" i="37"/>
  <c r="AT191" i="43"/>
  <c r="AT186" i="43"/>
  <c r="AT185" i="43"/>
  <c r="AT183" i="43"/>
  <c r="AT184" i="43"/>
  <c r="AT187" i="43"/>
  <c r="AM141" i="45"/>
  <c r="AM133" i="45"/>
  <c r="AM134" i="45"/>
  <c r="AM132" i="45"/>
  <c r="AM136" i="45"/>
  <c r="AM140" i="45"/>
  <c r="AP135" i="45"/>
  <c r="AP134" i="45"/>
  <c r="AP139" i="45"/>
  <c r="AP132" i="45"/>
  <c r="AP137" i="45"/>
  <c r="AP140" i="45"/>
  <c r="AP133" i="45"/>
  <c r="AP141" i="45"/>
  <c r="AP131" i="45"/>
  <c r="AP136" i="45"/>
  <c r="J38" i="29"/>
  <c r="J40" i="29"/>
  <c r="J44" i="29"/>
  <c r="I234" i="37"/>
  <c r="L262" i="28"/>
  <c r="X16" i="34"/>
  <c r="O267" i="31"/>
  <c r="BR84" i="43"/>
  <c r="AC208" i="37"/>
  <c r="BJ11" i="34"/>
  <c r="BJ13" i="34" s="1"/>
  <c r="BJ18" i="34"/>
  <c r="R12" i="34"/>
  <c r="R10" i="34"/>
  <c r="BR204" i="43"/>
  <c r="BR206" i="43"/>
  <c r="BR205" i="43"/>
  <c r="BR203" i="43"/>
  <c r="BR201" i="43"/>
  <c r="AD46" i="45"/>
  <c r="AD55" i="45"/>
  <c r="AD51" i="45"/>
  <c r="AD52" i="45"/>
  <c r="AD54" i="45"/>
  <c r="AD48" i="45"/>
  <c r="AD50" i="45"/>
  <c r="AD216" i="45"/>
  <c r="AD222" i="45"/>
  <c r="AD217" i="45"/>
  <c r="AD219" i="45"/>
  <c r="R71" i="33"/>
  <c r="R73" i="33" s="1"/>
  <c r="R51" i="33"/>
  <c r="R53" i="33" s="1"/>
  <c r="R68" i="33"/>
  <c r="R67" i="33"/>
  <c r="R66" i="33"/>
  <c r="J170" i="33"/>
  <c r="J172" i="33"/>
  <c r="J168" i="33"/>
  <c r="J164" i="33"/>
  <c r="J165" i="33"/>
  <c r="J169" i="33"/>
  <c r="J166" i="33"/>
  <c r="AT38" i="43"/>
  <c r="AT34" i="43"/>
  <c r="AT30" i="43"/>
  <c r="AT31" i="43"/>
  <c r="AT40" i="43"/>
  <c r="AT33" i="43"/>
  <c r="AT35" i="43"/>
  <c r="AT32" i="43"/>
  <c r="AT36" i="43"/>
  <c r="AT39" i="43"/>
  <c r="AU192" i="43"/>
  <c r="AU187" i="43"/>
  <c r="AU189" i="43"/>
  <c r="AU184" i="43"/>
  <c r="AU186" i="43"/>
  <c r="AU183" i="43"/>
  <c r="AK234" i="45"/>
  <c r="AK242" i="45"/>
  <c r="AK235" i="45"/>
  <c r="AK238" i="45"/>
  <c r="AK243" i="45"/>
  <c r="AK239" i="45"/>
  <c r="AK236" i="45"/>
  <c r="AX304" i="43"/>
  <c r="AX310" i="43"/>
  <c r="AX311" i="43"/>
  <c r="AX308" i="43"/>
  <c r="AX302" i="43"/>
  <c r="AP82" i="45"/>
  <c r="AP81" i="45"/>
  <c r="AP85" i="45"/>
  <c r="AP88" i="45"/>
  <c r="AP84" i="45"/>
  <c r="AP80" i="45"/>
  <c r="AP90" i="45"/>
  <c r="BB39" i="43"/>
  <c r="BB32" i="43"/>
  <c r="BB33" i="43"/>
  <c r="BB136" i="43"/>
  <c r="BB141" i="43"/>
  <c r="BB140" i="43"/>
  <c r="BB132" i="43"/>
  <c r="BB134" i="43"/>
  <c r="BI340" i="45"/>
  <c r="BI335" i="45"/>
  <c r="BI337" i="45"/>
  <c r="BI345" i="45"/>
  <c r="BI343" i="45"/>
  <c r="BI344" i="45"/>
  <c r="I74" i="41"/>
  <c r="AC148" i="37"/>
  <c r="P26" i="28"/>
  <c r="L270" i="31"/>
  <c r="N66" i="31"/>
  <c r="J94" i="28"/>
  <c r="J88" i="28"/>
  <c r="E47" i="37"/>
  <c r="M235" i="37"/>
  <c r="CJ14" i="34"/>
  <c r="P99" i="28"/>
  <c r="P164" i="28"/>
  <c r="P169" i="28"/>
  <c r="L262" i="31"/>
  <c r="O237" i="37"/>
  <c r="O210" i="41"/>
  <c r="O14" i="28"/>
  <c r="AU15" i="34"/>
  <c r="BN156" i="45"/>
  <c r="O11" i="34"/>
  <c r="BN209" i="45"/>
  <c r="N100" i="31"/>
  <c r="N94" i="31"/>
  <c r="K238" i="28"/>
  <c r="K236" i="28"/>
  <c r="K237" i="28" s="1"/>
  <c r="W106" i="37"/>
  <c r="F52" i="37"/>
  <c r="N139" i="37"/>
  <c r="BR53" i="43"/>
  <c r="BR55" i="43"/>
  <c r="BR54" i="43" s="1"/>
  <c r="BR50" i="43"/>
  <c r="BR108" i="43"/>
  <c r="BR104" i="43"/>
  <c r="BR107" i="43"/>
  <c r="BR99" i="43"/>
  <c r="F86" i="37"/>
  <c r="F89" i="37"/>
  <c r="F82" i="37"/>
  <c r="AL244" i="41"/>
  <c r="AP244" i="41" s="1"/>
  <c r="BN124" i="45"/>
  <c r="AD16" i="34"/>
  <c r="AD18" i="34"/>
  <c r="AD10" i="34"/>
  <c r="E51" i="37"/>
  <c r="J84" i="30"/>
  <c r="J82" i="30"/>
  <c r="V104" i="43"/>
  <c r="V297" i="41"/>
  <c r="AT297" i="41" s="1"/>
  <c r="BI339" i="45"/>
  <c r="BJ275" i="43"/>
  <c r="AO35" i="45"/>
  <c r="AY208" i="43"/>
  <c r="AK237" i="45"/>
  <c r="AK233" i="45"/>
  <c r="AD187" i="37"/>
  <c r="AD186" i="37"/>
  <c r="AE94" i="41"/>
  <c r="O106" i="37"/>
  <c r="O102" i="37"/>
  <c r="O100" i="37"/>
  <c r="O105" i="37"/>
  <c r="BM12" i="45"/>
  <c r="BM22" i="45"/>
  <c r="BM18" i="45"/>
  <c r="BM15" i="45"/>
  <c r="BM20" i="45"/>
  <c r="AC88" i="37"/>
  <c r="AC90" i="37"/>
  <c r="AC84" i="37"/>
  <c r="AC83" i="37"/>
  <c r="Y235" i="37"/>
  <c r="Y241" i="37"/>
  <c r="Y239" i="37"/>
  <c r="Y243" i="37"/>
  <c r="Y238" i="37"/>
  <c r="N206" i="28"/>
  <c r="F206" i="28" s="1"/>
  <c r="N208" i="28"/>
  <c r="F208" i="28" s="1"/>
  <c r="F264" i="28" s="1"/>
  <c r="N214" i="28"/>
  <c r="BM14" i="45"/>
  <c r="J144" i="28"/>
  <c r="J88" i="31"/>
  <c r="J82" i="31"/>
  <c r="J81" i="31"/>
  <c r="AC204" i="37"/>
  <c r="AC202" i="37"/>
  <c r="AC200" i="37"/>
  <c r="N84" i="37"/>
  <c r="BR234" i="43"/>
  <c r="K99" i="37"/>
  <c r="J157" i="31"/>
  <c r="R86" i="37"/>
  <c r="I49" i="37"/>
  <c r="I56" i="37"/>
  <c r="I47" i="37"/>
  <c r="I54" i="37"/>
  <c r="I48" i="37"/>
  <c r="P11" i="28"/>
  <c r="BT270" i="43"/>
  <c r="BR21" i="43"/>
  <c r="AD105" i="37"/>
  <c r="E46" i="37"/>
  <c r="P249" i="28"/>
  <c r="P219" i="28"/>
  <c r="P221" i="28" s="1"/>
  <c r="K242" i="37"/>
  <c r="K239" i="37"/>
  <c r="K230" i="28"/>
  <c r="J217" i="37"/>
  <c r="N51" i="37"/>
  <c r="E192" i="37"/>
  <c r="E191" i="37"/>
  <c r="E190" i="37"/>
  <c r="E183" i="37"/>
  <c r="E184" i="37"/>
  <c r="AA55" i="37"/>
  <c r="AA47" i="37"/>
  <c r="AA56" i="37"/>
  <c r="AA50" i="37"/>
  <c r="O201" i="37"/>
  <c r="O199" i="37"/>
  <c r="BD233" i="43"/>
  <c r="AS105" i="45"/>
  <c r="AS97" i="45"/>
  <c r="AS107" i="45"/>
  <c r="AS99" i="45"/>
  <c r="AS98" i="45"/>
  <c r="AS106" i="45"/>
  <c r="AS101" i="45"/>
  <c r="AS103" i="45"/>
  <c r="AS100" i="45"/>
  <c r="K91" i="41"/>
  <c r="W91" i="41" s="1"/>
  <c r="P254" i="28"/>
  <c r="BO192" i="45"/>
  <c r="R30" i="37"/>
  <c r="W225" i="37"/>
  <c r="Y190" i="37"/>
  <c r="Z80" i="37"/>
  <c r="Z82" i="37"/>
  <c r="AC89" i="45"/>
  <c r="AC86" i="45"/>
  <c r="AS102" i="45"/>
  <c r="AZ101" i="43"/>
  <c r="AZ99" i="43"/>
  <c r="AZ106" i="43"/>
  <c r="AZ107" i="43"/>
  <c r="AZ98" i="43"/>
  <c r="AZ103" i="43"/>
  <c r="AZ104" i="43"/>
  <c r="AZ272" i="43"/>
  <c r="AZ268" i="43"/>
  <c r="AZ274" i="43"/>
  <c r="AZ276" i="43"/>
  <c r="AZ271" i="43"/>
  <c r="N249" i="31"/>
  <c r="N48" i="37"/>
  <c r="V202" i="37"/>
  <c r="V182" i="37"/>
  <c r="V187" i="37"/>
  <c r="V190" i="37"/>
  <c r="V186" i="37"/>
  <c r="V183" i="37"/>
  <c r="V191" i="37"/>
  <c r="V192" i="37"/>
  <c r="W54" i="37"/>
  <c r="W46" i="37"/>
  <c r="W56" i="37"/>
  <c r="W55" i="37"/>
  <c r="W51" i="37"/>
  <c r="T70" i="30"/>
  <c r="T51" i="30"/>
  <c r="T52" i="30" s="1"/>
  <c r="AT82" i="43"/>
  <c r="AT83" i="43"/>
  <c r="AT81" i="43"/>
  <c r="AT85" i="43"/>
  <c r="AT87" i="43"/>
  <c r="AT90" i="43"/>
  <c r="AT84" i="43"/>
  <c r="AT89" i="43"/>
  <c r="AT91" i="43"/>
  <c r="AT86" i="43"/>
  <c r="AT239" i="43"/>
  <c r="AT242" i="43"/>
  <c r="AT235" i="43"/>
  <c r="AT237" i="43"/>
  <c r="AT236" i="43"/>
  <c r="AT234" i="43"/>
  <c r="AT240" i="43"/>
  <c r="AT243" i="43"/>
  <c r="AT244" i="43"/>
  <c r="AT238" i="43"/>
  <c r="AL90" i="45"/>
  <c r="AL85" i="45"/>
  <c r="AL88" i="45"/>
  <c r="L29" i="28"/>
  <c r="AA100" i="37"/>
  <c r="Y182" i="37"/>
  <c r="AD88" i="45"/>
  <c r="AD89" i="45"/>
  <c r="AD83" i="45"/>
  <c r="AD84" i="45"/>
  <c r="AD80" i="45"/>
  <c r="AD86" i="45"/>
  <c r="AE352" i="45"/>
  <c r="AE361" i="45"/>
  <c r="AE360" i="45"/>
  <c r="AU91" i="43"/>
  <c r="AU82" i="43"/>
  <c r="AU84" i="43"/>
  <c r="AU85" i="43"/>
  <c r="AU90" i="43"/>
  <c r="AU86" i="43"/>
  <c r="AU83" i="43"/>
  <c r="AU87" i="43"/>
  <c r="AU244" i="43"/>
  <c r="AU239" i="43"/>
  <c r="AU235" i="43"/>
  <c r="AU237" i="43"/>
  <c r="AU234" i="43"/>
  <c r="AU240" i="43"/>
  <c r="AU243" i="43"/>
  <c r="AU242" i="43"/>
  <c r="AM85" i="45"/>
  <c r="AM81" i="45"/>
  <c r="AM86" i="45"/>
  <c r="AM80" i="45"/>
  <c r="AM89" i="45"/>
  <c r="AM88" i="45"/>
  <c r="J27" i="28"/>
  <c r="N256" i="31"/>
  <c r="J136" i="28"/>
  <c r="BR200" i="43"/>
  <c r="AK210" i="41"/>
  <c r="AO210" i="41" s="1"/>
  <c r="N236" i="31"/>
  <c r="BR14" i="43"/>
  <c r="E48" i="37"/>
  <c r="P94" i="28"/>
  <c r="P166" i="31"/>
  <c r="P169" i="31"/>
  <c r="P168" i="31"/>
  <c r="P165" i="28"/>
  <c r="L228" i="28"/>
  <c r="O99" i="37"/>
  <c r="O15" i="28"/>
  <c r="K154" i="31"/>
  <c r="O85" i="31"/>
  <c r="BN208" i="45"/>
  <c r="O235" i="31"/>
  <c r="O240" i="31"/>
  <c r="R15" i="34"/>
  <c r="AC85" i="37"/>
  <c r="J85" i="28"/>
  <c r="J87" i="28" s="1"/>
  <c r="BM52" i="45"/>
  <c r="BM49" i="45"/>
  <c r="AC103" i="37"/>
  <c r="AC105" i="37"/>
  <c r="AC107" i="37"/>
  <c r="AC102" i="37"/>
  <c r="AC106" i="37"/>
  <c r="F99" i="37"/>
  <c r="F100" i="37"/>
  <c r="N148" i="37"/>
  <c r="AH148" i="41" s="1"/>
  <c r="AP148" i="41" s="1"/>
  <c r="N152" i="37"/>
  <c r="AH152" i="41" s="1"/>
  <c r="AP152" i="41" s="1"/>
  <c r="N149" i="37"/>
  <c r="AH149" i="41" s="1"/>
  <c r="AP149" i="41" s="1"/>
  <c r="BN114" i="45"/>
  <c r="U217" i="37"/>
  <c r="N81" i="37"/>
  <c r="BN69" i="45"/>
  <c r="BN73" i="45"/>
  <c r="V107" i="43"/>
  <c r="J30" i="30"/>
  <c r="BI338" i="45"/>
  <c r="O305" i="41"/>
  <c r="BD324" i="43"/>
  <c r="AM137" i="45"/>
  <c r="J46" i="29"/>
  <c r="BC149" i="43"/>
  <c r="AT188" i="43"/>
  <c r="AK241" i="45"/>
  <c r="L129" i="29"/>
  <c r="L98" i="43"/>
  <c r="L103" i="43"/>
  <c r="L102" i="43"/>
  <c r="L106" i="43"/>
  <c r="E131" i="45"/>
  <c r="E140" i="45"/>
  <c r="E135" i="45"/>
  <c r="Z30" i="43"/>
  <c r="Z39" i="43"/>
  <c r="Z40" i="43"/>
  <c r="Z33" i="43"/>
  <c r="Z36" i="43"/>
  <c r="AF66" i="43"/>
  <c r="AF74" i="43"/>
  <c r="AF72" i="43"/>
  <c r="AF64" i="43"/>
  <c r="AF67" i="43"/>
  <c r="AF70" i="43"/>
  <c r="AF69" i="43"/>
  <c r="J96" i="30"/>
  <c r="J95" i="30"/>
  <c r="J100" i="30"/>
  <c r="J101" i="30" s="1"/>
  <c r="T194" i="30"/>
  <c r="T198" i="30"/>
  <c r="T199" i="30" s="1"/>
  <c r="T193" i="30"/>
  <c r="N208" i="31"/>
  <c r="F208" i="31" s="1"/>
  <c r="F264" i="31" s="1"/>
  <c r="N206" i="31"/>
  <c r="F206" i="31" s="1"/>
  <c r="N214" i="31"/>
  <c r="AK20" i="45"/>
  <c r="AK13" i="45"/>
  <c r="AK14" i="45"/>
  <c r="AK15" i="45"/>
  <c r="AK343" i="45"/>
  <c r="AK345" i="45"/>
  <c r="AK340" i="45"/>
  <c r="AK338" i="45"/>
  <c r="AQ320" i="45"/>
  <c r="AQ318" i="45"/>
  <c r="AQ322" i="45"/>
  <c r="AQ319" i="45"/>
  <c r="AQ324" i="45"/>
  <c r="AQ326" i="45"/>
  <c r="AQ327" i="45"/>
  <c r="BI80" i="45"/>
  <c r="BI90" i="45"/>
  <c r="BK219" i="45"/>
  <c r="BK217" i="45"/>
  <c r="BK224" i="45"/>
  <c r="BK226" i="45"/>
  <c r="BK225" i="45"/>
  <c r="K178" i="32"/>
  <c r="K182" i="32"/>
  <c r="P118" i="28"/>
  <c r="P202" i="28" s="1"/>
  <c r="L50" i="31"/>
  <c r="BM153" i="45"/>
  <c r="BM152" i="45"/>
  <c r="BM327" i="45"/>
  <c r="BM326" i="45"/>
  <c r="J157" i="37"/>
  <c r="J152" i="37"/>
  <c r="J151" i="37"/>
  <c r="Q107" i="37"/>
  <c r="Q106" i="37"/>
  <c r="Q97" i="37"/>
  <c r="R166" i="30"/>
  <c r="U172" i="32"/>
  <c r="K270" i="29"/>
  <c r="AF17" i="43"/>
  <c r="AF13" i="43"/>
  <c r="AF18" i="43"/>
  <c r="K108" i="41"/>
  <c r="BM328" i="45"/>
  <c r="AC39" i="37"/>
  <c r="AC33" i="37"/>
  <c r="K334" i="41"/>
  <c r="K213" i="28"/>
  <c r="AD153" i="43"/>
  <c r="Z102" i="45"/>
  <c r="Z34" i="43"/>
  <c r="J261" i="43"/>
  <c r="Z97" i="45"/>
  <c r="E86" i="45"/>
  <c r="K184" i="32"/>
  <c r="BK220" i="45"/>
  <c r="BO216" i="43"/>
  <c r="AP53" i="45"/>
  <c r="J133" i="43"/>
  <c r="J142" i="43"/>
  <c r="J192" i="43"/>
  <c r="J187" i="43"/>
  <c r="Q18" i="45"/>
  <c r="Q14" i="45"/>
  <c r="R69" i="45"/>
  <c r="R65" i="45"/>
  <c r="R66" i="45"/>
  <c r="Q132" i="45"/>
  <c r="Q135" i="45"/>
  <c r="Q131" i="45"/>
  <c r="Q137" i="45"/>
  <c r="Q185" i="45"/>
  <c r="Q182" i="45"/>
  <c r="Q188" i="45"/>
  <c r="Q184" i="45"/>
  <c r="AB32" i="43"/>
  <c r="AB30" i="43"/>
  <c r="AB39" i="43"/>
  <c r="AB31" i="43"/>
  <c r="AB38" i="43"/>
  <c r="U34" i="45"/>
  <c r="U39" i="45"/>
  <c r="U37" i="45"/>
  <c r="U182" i="45"/>
  <c r="U185" i="45"/>
  <c r="U239" i="45"/>
  <c r="U235" i="45"/>
  <c r="U352" i="45"/>
  <c r="U351" i="45" s="1"/>
  <c r="U360" i="45"/>
  <c r="U356" i="45"/>
  <c r="U358" i="45"/>
  <c r="U361" i="45"/>
  <c r="AE154" i="43"/>
  <c r="AE153" i="43"/>
  <c r="AE155" i="43"/>
  <c r="AE151" i="43"/>
  <c r="AE148" i="43" s="1"/>
  <c r="AE320" i="43"/>
  <c r="AE329" i="43"/>
  <c r="J14" i="30"/>
  <c r="J11" i="30"/>
  <c r="J18" i="30"/>
  <c r="L66" i="30"/>
  <c r="L72" i="30"/>
  <c r="L73" i="30" s="1"/>
  <c r="L51" i="30"/>
  <c r="L58" i="30" s="1"/>
  <c r="L67" i="30"/>
  <c r="T82" i="30"/>
  <c r="T84" i="30"/>
  <c r="S44" i="33"/>
  <c r="S45" i="33" s="1"/>
  <c r="S38" i="33"/>
  <c r="L62" i="33"/>
  <c r="J102" i="33"/>
  <c r="J94" i="33"/>
  <c r="J97" i="33" s="1"/>
  <c r="J197" i="33"/>
  <c r="J199" i="33" s="1"/>
  <c r="J193" i="33"/>
  <c r="AT16" i="43"/>
  <c r="AT23" i="43"/>
  <c r="AT18" i="43"/>
  <c r="AT14" i="43"/>
  <c r="AU174" i="43"/>
  <c r="AU170" i="43"/>
  <c r="AU172" i="43"/>
  <c r="AU175" i="43"/>
  <c r="AU166" i="43"/>
  <c r="AU167" i="43"/>
  <c r="AU218" i="43"/>
  <c r="AU225" i="43"/>
  <c r="AU226" i="43"/>
  <c r="AU227" i="43"/>
  <c r="AU220" i="43"/>
  <c r="AU221" i="43"/>
  <c r="AU217" i="43"/>
  <c r="AU293" i="43"/>
  <c r="AU285" i="43"/>
  <c r="AU289" i="43"/>
  <c r="AU287" i="43"/>
  <c r="AU290" i="43"/>
  <c r="AU286" i="43"/>
  <c r="AU295" i="43"/>
  <c r="AM20" i="45"/>
  <c r="AM12" i="45"/>
  <c r="AM18" i="45"/>
  <c r="AM21" i="45"/>
  <c r="AM22" i="45"/>
  <c r="AM15" i="45"/>
  <c r="AM17" i="45"/>
  <c r="AM69" i="45"/>
  <c r="AM72" i="45"/>
  <c r="AM63" i="45"/>
  <c r="AM73" i="45"/>
  <c r="AK217" i="45"/>
  <c r="AK219" i="45"/>
  <c r="AK225" i="45"/>
  <c r="AX18" i="43"/>
  <c r="AX15" i="43"/>
  <c r="AX23" i="43"/>
  <c r="AX17" i="43"/>
  <c r="AX13" i="43"/>
  <c r="AX16" i="43"/>
  <c r="AX21" i="43"/>
  <c r="AX14" i="43"/>
  <c r="AX19" i="43"/>
  <c r="AQ122" i="45"/>
  <c r="AQ118" i="45"/>
  <c r="AQ120" i="45"/>
  <c r="AQ115" i="45"/>
  <c r="AQ116" i="45"/>
  <c r="AQ124" i="45"/>
  <c r="AQ119" i="45"/>
  <c r="AP171" i="45"/>
  <c r="AP167" i="45"/>
  <c r="AP169" i="45"/>
  <c r="AP166" i="45"/>
  <c r="AP168" i="45"/>
  <c r="AP174" i="45"/>
  <c r="BN184" i="43"/>
  <c r="BN192" i="43"/>
  <c r="BN183" i="43"/>
  <c r="BN191" i="43"/>
  <c r="BN186" i="43"/>
  <c r="BN187" i="43"/>
  <c r="BT220" i="43"/>
  <c r="BT219" i="43"/>
  <c r="BT217" i="43"/>
  <c r="BT222" i="43"/>
  <c r="BT218" i="43"/>
  <c r="BK89" i="45"/>
  <c r="BK86" i="45"/>
  <c r="BK84" i="45"/>
  <c r="BK81" i="45"/>
  <c r="BK90" i="45"/>
  <c r="BI131" i="45"/>
  <c r="BI132" i="45"/>
  <c r="BI134" i="45"/>
  <c r="BI140" i="45"/>
  <c r="J200" i="29"/>
  <c r="J193" i="29"/>
  <c r="J194" i="29"/>
  <c r="J198" i="29"/>
  <c r="J197" i="29"/>
  <c r="U263" i="29"/>
  <c r="U264" i="29"/>
  <c r="U268" i="29"/>
  <c r="U266" i="29"/>
  <c r="U270" i="29"/>
  <c r="O184" i="31"/>
  <c r="O180" i="31"/>
  <c r="O181" i="31" s="1"/>
  <c r="J128" i="32"/>
  <c r="J127" i="32"/>
  <c r="J122" i="32"/>
  <c r="J130" i="32"/>
  <c r="L268" i="30"/>
  <c r="L266" i="30"/>
  <c r="L264" i="30"/>
  <c r="L265" i="30" s="1"/>
  <c r="AL123" i="45"/>
  <c r="AL115" i="45"/>
  <c r="AL122" i="45"/>
  <c r="AL124" i="45"/>
  <c r="AL120" i="45"/>
  <c r="AL116" i="45"/>
  <c r="AL114" i="45"/>
  <c r="AL119" i="45"/>
  <c r="AL117" i="45"/>
  <c r="K66" i="32"/>
  <c r="K68" i="32"/>
  <c r="K71" i="32"/>
  <c r="K74" i="32"/>
  <c r="K72" i="32"/>
  <c r="U165" i="32"/>
  <c r="AB84" i="43"/>
  <c r="AB82" i="43"/>
  <c r="AB90" i="43"/>
  <c r="AB86" i="43"/>
  <c r="AB85" i="43"/>
  <c r="AB89" i="43"/>
  <c r="AD323" i="43"/>
  <c r="AD329" i="43"/>
  <c r="AD322" i="43"/>
  <c r="AD324" i="43"/>
  <c r="AD321" i="43"/>
  <c r="Z50" i="45"/>
  <c r="Z56" i="45"/>
  <c r="Z49" i="45"/>
  <c r="K70" i="30"/>
  <c r="K71" i="30"/>
  <c r="S164" i="30"/>
  <c r="S170" i="30"/>
  <c r="S171" i="30" s="1"/>
  <c r="S165" i="30"/>
  <c r="R100" i="33"/>
  <c r="R95" i="33"/>
  <c r="AL66" i="45"/>
  <c r="AL73" i="45"/>
  <c r="AL68" i="45"/>
  <c r="AL71" i="45"/>
  <c r="AL63" i="45"/>
  <c r="AO174" i="45"/>
  <c r="AO169" i="45"/>
  <c r="AO170" i="45"/>
  <c r="AO171" i="45"/>
  <c r="AO167" i="45"/>
  <c r="AO175" i="45"/>
  <c r="AO173" i="45"/>
  <c r="AO166" i="45"/>
  <c r="AO168" i="45"/>
  <c r="BS220" i="43"/>
  <c r="BS226" i="43"/>
  <c r="BS227" i="43"/>
  <c r="BS225" i="43"/>
  <c r="BS218" i="43"/>
  <c r="BS221" i="43"/>
  <c r="BS223" i="43"/>
  <c r="BP234" i="43"/>
  <c r="BP237" i="43"/>
  <c r="BO312" i="43"/>
  <c r="BO304" i="43"/>
  <c r="BO311" i="43"/>
  <c r="BO308" i="43"/>
  <c r="BO310" i="43"/>
  <c r="BI190" i="45"/>
  <c r="BI191" i="45"/>
  <c r="BI183" i="45"/>
  <c r="T262" i="29"/>
  <c r="T264" i="29"/>
  <c r="T268" i="29"/>
  <c r="T267" i="29"/>
  <c r="T270" i="29"/>
  <c r="L72" i="32"/>
  <c r="L70" i="32"/>
  <c r="L68" i="32"/>
  <c r="S74" i="32"/>
  <c r="S68" i="32"/>
  <c r="S67" i="32"/>
  <c r="U126" i="32"/>
  <c r="U127" i="32"/>
  <c r="U122" i="32"/>
  <c r="U130" i="32"/>
  <c r="L183" i="32"/>
  <c r="L186" i="32"/>
  <c r="L180" i="32"/>
  <c r="L179" i="32"/>
  <c r="L182" i="32"/>
  <c r="L184" i="32"/>
  <c r="AE108" i="41"/>
  <c r="AE74" i="41" s="1"/>
  <c r="AI142" i="41"/>
  <c r="AQ142" i="41" s="1"/>
  <c r="K221" i="37"/>
  <c r="M176" i="41"/>
  <c r="I108" i="41"/>
  <c r="AK227" i="41"/>
  <c r="AO227" i="41" s="1"/>
  <c r="BR303" i="43"/>
  <c r="L138" i="31"/>
  <c r="L218" i="31"/>
  <c r="BR308" i="43"/>
  <c r="BR324" i="43"/>
  <c r="BM323" i="45"/>
  <c r="BM156" i="45"/>
  <c r="U239" i="37"/>
  <c r="Y32" i="37"/>
  <c r="Y31" i="37"/>
  <c r="R191" i="37"/>
  <c r="R187" i="37"/>
  <c r="R192" i="37"/>
  <c r="S242" i="30"/>
  <c r="L267" i="30"/>
  <c r="AD151" i="43"/>
  <c r="Z107" i="45"/>
  <c r="Z32" i="43"/>
  <c r="T192" i="30"/>
  <c r="AD319" i="43"/>
  <c r="U164" i="32"/>
  <c r="BL233" i="43"/>
  <c r="AK335" i="45"/>
  <c r="AL64" i="45"/>
  <c r="U128" i="32"/>
  <c r="BI188" i="45"/>
  <c r="AK17" i="45"/>
  <c r="G39" i="45"/>
  <c r="G34" i="45"/>
  <c r="G37" i="45"/>
  <c r="G30" i="45"/>
  <c r="G28" i="45" s="1"/>
  <c r="V21" i="43"/>
  <c r="V22" i="43"/>
  <c r="W184" i="43"/>
  <c r="W192" i="43"/>
  <c r="W187" i="43"/>
  <c r="W183" i="43"/>
  <c r="R141" i="45"/>
  <c r="R138" i="45" s="1"/>
  <c r="R131" i="45"/>
  <c r="R137" i="45"/>
  <c r="R133" i="45"/>
  <c r="R186" i="45"/>
  <c r="R184" i="45"/>
  <c r="R192" i="45"/>
  <c r="R187" i="45"/>
  <c r="R188" i="45"/>
  <c r="R191" i="45"/>
  <c r="AA242" i="43"/>
  <c r="AA235" i="43"/>
  <c r="AA237" i="43"/>
  <c r="U86" i="45"/>
  <c r="U83" i="45"/>
  <c r="U79" i="45" s="1"/>
  <c r="U88" i="45"/>
  <c r="V235" i="45"/>
  <c r="V241" i="45"/>
  <c r="V242" i="45"/>
  <c r="V236" i="45"/>
  <c r="AD57" i="43"/>
  <c r="AD49" i="43"/>
  <c r="Z182" i="45"/>
  <c r="Z188" i="45"/>
  <c r="R264" i="30"/>
  <c r="R262" i="30"/>
  <c r="R270" i="30"/>
  <c r="R268" i="30"/>
  <c r="R269" i="30" s="1"/>
  <c r="AU21" i="43"/>
  <c r="AU13" i="43"/>
  <c r="AU18" i="43"/>
  <c r="AV67" i="43"/>
  <c r="AV70" i="43"/>
  <c r="AU120" i="43"/>
  <c r="AU125" i="43"/>
  <c r="AU123" i="43"/>
  <c r="AU121" i="43"/>
  <c r="AU117" i="43"/>
  <c r="AU114" i="43" s="1"/>
  <c r="AV176" i="43"/>
  <c r="AV170" i="43"/>
  <c r="AV169" i="43"/>
  <c r="AV172" i="43"/>
  <c r="AV168" i="43"/>
  <c r="AV167" i="43"/>
  <c r="AV175" i="43"/>
  <c r="AV166" i="43"/>
  <c r="AV218" i="43"/>
  <c r="AV222" i="43"/>
  <c r="AV217" i="43"/>
  <c r="AV226" i="43"/>
  <c r="AV227" i="43"/>
  <c r="AV219" i="43"/>
  <c r="AV220" i="43"/>
  <c r="AV221" i="43"/>
  <c r="AV285" i="43"/>
  <c r="AV291" i="43"/>
  <c r="AV286" i="43"/>
  <c r="AV288" i="43"/>
  <c r="AV287" i="43"/>
  <c r="AV290" i="43"/>
  <c r="AV294" i="43"/>
  <c r="AV293" i="43"/>
  <c r="AV289" i="43"/>
  <c r="BO137" i="43"/>
  <c r="BO134" i="43"/>
  <c r="BO141" i="43"/>
  <c r="BO140" i="43"/>
  <c r="BO132" i="43"/>
  <c r="BO135" i="43"/>
  <c r="BO136" i="43"/>
  <c r="BO142" i="43"/>
  <c r="BO133" i="43"/>
  <c r="BO138" i="43"/>
  <c r="BO185" i="43"/>
  <c r="BO189" i="43"/>
  <c r="L28" i="29"/>
  <c r="L30" i="29"/>
  <c r="L26" i="29"/>
  <c r="L29" i="29"/>
  <c r="L32" i="29"/>
  <c r="K151" i="29"/>
  <c r="K150" i="29"/>
  <c r="K152" i="29"/>
  <c r="K155" i="29"/>
  <c r="K157" i="29" s="1"/>
  <c r="K158" i="29"/>
  <c r="T182" i="29"/>
  <c r="T186" i="29"/>
  <c r="T183" i="29"/>
  <c r="J256" i="29"/>
  <c r="J250" i="29"/>
  <c r="J249" i="29"/>
  <c r="J253" i="29"/>
  <c r="J255" i="29" s="1"/>
  <c r="Z138" i="45"/>
  <c r="AT138" i="45"/>
  <c r="AB132" i="43"/>
  <c r="AB133" i="43"/>
  <c r="AB141" i="43"/>
  <c r="AB139" i="43" s="1"/>
  <c r="AK67" i="45"/>
  <c r="AK63" i="45"/>
  <c r="AK68" i="45"/>
  <c r="AK69" i="45"/>
  <c r="AK71" i="45"/>
  <c r="AK72" i="45"/>
  <c r="AK73" i="45"/>
  <c r="AK65" i="45"/>
  <c r="AM175" i="45"/>
  <c r="AM173" i="45"/>
  <c r="AM166" i="45"/>
  <c r="AM168" i="45"/>
  <c r="AM170" i="45"/>
  <c r="AZ90" i="43"/>
  <c r="AZ81" i="43"/>
  <c r="K266" i="29"/>
  <c r="K267" i="29"/>
  <c r="K268" i="29"/>
  <c r="L182" i="31"/>
  <c r="L180" i="31"/>
  <c r="L178" i="31"/>
  <c r="L184" i="31"/>
  <c r="L179" i="31"/>
  <c r="L186" i="31"/>
  <c r="L183" i="31"/>
  <c r="P62" i="31"/>
  <c r="O50" i="31"/>
  <c r="S208" i="37"/>
  <c r="S201" i="37"/>
  <c r="V237" i="37"/>
  <c r="V239" i="37"/>
  <c r="V235" i="37"/>
  <c r="K179" i="32"/>
  <c r="BK216" i="45"/>
  <c r="AM169" i="45"/>
  <c r="AK66" i="45"/>
  <c r="J259" i="43"/>
  <c r="J251" i="43"/>
  <c r="J250" i="43" s="1"/>
  <c r="J255" i="43"/>
  <c r="W103" i="45"/>
  <c r="W105" i="45"/>
  <c r="W100" i="45"/>
  <c r="W99" i="45"/>
  <c r="W107" i="45"/>
  <c r="AT66" i="43"/>
  <c r="AT68" i="43"/>
  <c r="AT72" i="43"/>
  <c r="AT69" i="43"/>
  <c r="AT172" i="43"/>
  <c r="AT167" i="43"/>
  <c r="AT174" i="43"/>
  <c r="AT166" i="43"/>
  <c r="AT221" i="43"/>
  <c r="AT227" i="43"/>
  <c r="AT222" i="43"/>
  <c r="AT217" i="43"/>
  <c r="AT218" i="43"/>
  <c r="AT226" i="43"/>
  <c r="AT223" i="43"/>
  <c r="AT288" i="43"/>
  <c r="AT285" i="43"/>
  <c r="AT286" i="43"/>
  <c r="AT293" i="43"/>
  <c r="AT291" i="43"/>
  <c r="AT287" i="43"/>
  <c r="AT289" i="43"/>
  <c r="AL22" i="45"/>
  <c r="AL17" i="45"/>
  <c r="AL18" i="45"/>
  <c r="AL15" i="45"/>
  <c r="AL14" i="45"/>
  <c r="N184" i="31"/>
  <c r="N186" i="31"/>
  <c r="N179" i="31"/>
  <c r="N180" i="31"/>
  <c r="G57" i="41"/>
  <c r="BM158" i="45"/>
  <c r="AH23" i="34"/>
  <c r="E40" i="41"/>
  <c r="J230" i="28"/>
  <c r="BM319" i="45"/>
  <c r="P42" i="28"/>
  <c r="AE31" i="37"/>
  <c r="L62" i="31"/>
  <c r="W23" i="34"/>
  <c r="BR329" i="43"/>
  <c r="BR326" i="43" s="1"/>
  <c r="O218" i="31"/>
  <c r="F236" i="37"/>
  <c r="BM188" i="45"/>
  <c r="BM186" i="45"/>
  <c r="U32" i="37"/>
  <c r="BR261" i="43"/>
  <c r="S219" i="30"/>
  <c r="S228" i="30" s="1"/>
  <c r="T239" i="30"/>
  <c r="AD150" i="43"/>
  <c r="AA30" i="43"/>
  <c r="J257" i="43"/>
  <c r="AD325" i="43"/>
  <c r="K183" i="32"/>
  <c r="S72" i="32"/>
  <c r="BK218" i="45"/>
  <c r="AT219" i="43"/>
  <c r="U124" i="32"/>
  <c r="W102" i="45"/>
  <c r="K91" i="43"/>
  <c r="K82" i="43"/>
  <c r="K86" i="43"/>
  <c r="K90" i="43"/>
  <c r="N81" i="43"/>
  <c r="N87" i="43"/>
  <c r="N83" i="43"/>
  <c r="N90" i="43"/>
  <c r="O132" i="43"/>
  <c r="O134" i="43"/>
  <c r="O142" i="43"/>
  <c r="O139" i="43" s="1"/>
  <c r="O253" i="43"/>
  <c r="O252" i="43"/>
  <c r="O256" i="43"/>
  <c r="J39" i="45"/>
  <c r="J29" i="45"/>
  <c r="J30" i="45"/>
  <c r="J34" i="45"/>
  <c r="J32" i="45"/>
  <c r="K141" i="45"/>
  <c r="K136" i="45"/>
  <c r="K137" i="45"/>
  <c r="K140" i="45"/>
  <c r="N203" i="45"/>
  <c r="N207" i="45"/>
  <c r="N206" i="45" s="1"/>
  <c r="N204" i="45"/>
  <c r="N200" i="45"/>
  <c r="N198" i="45" s="1"/>
  <c r="N205" i="45"/>
  <c r="AM253" i="41"/>
  <c r="AQ253" i="41" s="1"/>
  <c r="AA89" i="43"/>
  <c r="AA85" i="43"/>
  <c r="AA83" i="43"/>
  <c r="AA82" i="43"/>
  <c r="AA81" i="43"/>
  <c r="Y46" i="45"/>
  <c r="Y47" i="45"/>
  <c r="Y54" i="45"/>
  <c r="Y51" i="45"/>
  <c r="Y56" i="45"/>
  <c r="Y48" i="45"/>
  <c r="Y50" i="45"/>
  <c r="R164" i="30"/>
  <c r="R170" i="30"/>
  <c r="R171" i="30" s="1"/>
  <c r="AZ234" i="43"/>
  <c r="AZ244" i="43"/>
  <c r="U166" i="32"/>
  <c r="U170" i="32"/>
  <c r="U171" i="32" s="1"/>
  <c r="V54" i="37"/>
  <c r="V48" i="37"/>
  <c r="Z98" i="45"/>
  <c r="M74" i="41"/>
  <c r="I142" i="41"/>
  <c r="N144" i="28"/>
  <c r="E57" i="41"/>
  <c r="BM149" i="45"/>
  <c r="K210" i="41"/>
  <c r="O23" i="34"/>
  <c r="F57" i="41"/>
  <c r="N244" i="41"/>
  <c r="F234" i="37"/>
  <c r="U80" i="37"/>
  <c r="U88" i="37"/>
  <c r="U84" i="37"/>
  <c r="Q222" i="37"/>
  <c r="AK212" i="41"/>
  <c r="AO212" i="41" s="1"/>
  <c r="S235" i="30"/>
  <c r="S237" i="30" s="1"/>
  <c r="T200" i="30"/>
  <c r="AF16" i="43"/>
  <c r="W274" i="45"/>
  <c r="AA34" i="43"/>
  <c r="Z31" i="43"/>
  <c r="S168" i="30"/>
  <c r="S82" i="30"/>
  <c r="S83" i="30" s="1"/>
  <c r="Z48" i="45"/>
  <c r="AD327" i="43"/>
  <c r="K180" i="32"/>
  <c r="BP114" i="43"/>
  <c r="BP244" i="43"/>
  <c r="BN207" i="43"/>
  <c r="AT225" i="43"/>
  <c r="AT64" i="43"/>
  <c r="BS222" i="43"/>
  <c r="BI182" i="45"/>
  <c r="AK12" i="45"/>
  <c r="AK21" i="45"/>
  <c r="Q133" i="45"/>
  <c r="O83" i="43"/>
  <c r="O84" i="43"/>
  <c r="P140" i="43"/>
  <c r="P141" i="43"/>
  <c r="O191" i="43"/>
  <c r="O192" i="43"/>
  <c r="K39" i="45"/>
  <c r="K37" i="45"/>
  <c r="K35" i="45"/>
  <c r="I226" i="45"/>
  <c r="I217" i="45"/>
  <c r="I221" i="45"/>
  <c r="I219" i="45"/>
  <c r="I224" i="45"/>
  <c r="BD217" i="43"/>
  <c r="BD225" i="43"/>
  <c r="BD226" i="43"/>
  <c r="BD218" i="43"/>
  <c r="AU20" i="45"/>
  <c r="AU17" i="45"/>
  <c r="AU22" i="45"/>
  <c r="AU15" i="45"/>
  <c r="AT71" i="45"/>
  <c r="AT67" i="45"/>
  <c r="AT72" i="45"/>
  <c r="AT73" i="45"/>
  <c r="AT64" i="45"/>
  <c r="AT66" i="45"/>
  <c r="AT175" i="45"/>
  <c r="AT170" i="45"/>
  <c r="AT166" i="45"/>
  <c r="AU235" i="45"/>
  <c r="AU241" i="45"/>
  <c r="AU243" i="45"/>
  <c r="AU233" i="45"/>
  <c r="AU238" i="45"/>
  <c r="AU237" i="45"/>
  <c r="AU239" i="45"/>
  <c r="BL191" i="43"/>
  <c r="BL187" i="43"/>
  <c r="BL185" i="43"/>
  <c r="BL303" i="43"/>
  <c r="BL310" i="43"/>
  <c r="BL302" i="43"/>
  <c r="BL311" i="43"/>
  <c r="BL307" i="43"/>
  <c r="BL306" i="43"/>
  <c r="BL304" i="43"/>
  <c r="BL305" i="43"/>
  <c r="BP135" i="43"/>
  <c r="BP140" i="43"/>
  <c r="BP139" i="43" s="1"/>
  <c r="BP187" i="43"/>
  <c r="BP184" i="43"/>
  <c r="BP191" i="43"/>
  <c r="BP189" i="43"/>
  <c r="BP192" i="43"/>
  <c r="L156" i="29"/>
  <c r="L158" i="29"/>
  <c r="S23" i="41"/>
  <c r="S278" i="41" s="1"/>
  <c r="S363" i="41" s="1"/>
  <c r="AH110" i="41"/>
  <c r="AP110" i="41" s="1"/>
  <c r="K59" i="41"/>
  <c r="AD93" i="41"/>
  <c r="AD59" i="41" s="1"/>
  <c r="AD263" i="41" s="1"/>
  <c r="AD348" i="41" s="1"/>
  <c r="R50" i="30"/>
  <c r="J209" i="31"/>
  <c r="AE130" i="45"/>
  <c r="U87" i="29"/>
  <c r="L196" i="29"/>
  <c r="K183" i="28"/>
  <c r="K185" i="28" s="1"/>
  <c r="AT124" i="45"/>
  <c r="AQ138" i="45"/>
  <c r="BL183" i="43"/>
  <c r="BB52" i="43"/>
  <c r="BB56" i="43"/>
  <c r="BB51" i="43"/>
  <c r="AU73" i="45"/>
  <c r="AU69" i="45"/>
  <c r="AU64" i="45"/>
  <c r="AU166" i="45"/>
  <c r="AU168" i="45"/>
  <c r="AU175" i="45"/>
  <c r="BP30" i="43"/>
  <c r="BP38" i="43"/>
  <c r="BP36" i="43"/>
  <c r="BP83" i="43"/>
  <c r="BP90" i="43"/>
  <c r="BP86" i="43"/>
  <c r="BP82" i="43"/>
  <c r="BP85" i="43"/>
  <c r="S85" i="29"/>
  <c r="S80" i="29"/>
  <c r="S128" i="29"/>
  <c r="S124" i="29"/>
  <c r="S123" i="29"/>
  <c r="S130" i="29"/>
  <c r="S126" i="29"/>
  <c r="K249" i="29"/>
  <c r="K251" i="29" s="1"/>
  <c r="K254" i="29"/>
  <c r="K255" i="29" s="1"/>
  <c r="AH142" i="41"/>
  <c r="AP142" i="41" s="1"/>
  <c r="N176" i="41"/>
  <c r="T213" i="33"/>
  <c r="U206" i="45"/>
  <c r="T139" i="43"/>
  <c r="U184" i="29"/>
  <c r="L198" i="29"/>
  <c r="K186" i="28"/>
  <c r="BN97" i="43"/>
  <c r="AT114" i="45"/>
  <c r="AT169" i="45"/>
  <c r="I207" i="45"/>
  <c r="I200" i="45"/>
  <c r="I208" i="45"/>
  <c r="R49" i="43"/>
  <c r="R57" i="43"/>
  <c r="R54" i="43" s="1"/>
  <c r="R48" i="43"/>
  <c r="R50" i="43"/>
  <c r="T150" i="43"/>
  <c r="T159" i="43"/>
  <c r="T154" i="43"/>
  <c r="T151" i="43"/>
  <c r="W48" i="43"/>
  <c r="W57" i="43"/>
  <c r="X89" i="43"/>
  <c r="X82" i="43"/>
  <c r="X83" i="43"/>
  <c r="X90" i="43"/>
  <c r="W175" i="43"/>
  <c r="W166" i="43"/>
  <c r="R82" i="45"/>
  <c r="R86" i="45"/>
  <c r="R89" i="45"/>
  <c r="R84" i="45"/>
  <c r="AY321" i="43"/>
  <c r="AY323" i="43"/>
  <c r="AY322" i="43"/>
  <c r="AY319" i="43"/>
  <c r="AY327" i="43"/>
  <c r="AY326" i="43" s="1"/>
  <c r="AQ54" i="45"/>
  <c r="AQ56" i="45"/>
  <c r="AQ48" i="45"/>
  <c r="AQ46" i="45"/>
  <c r="AQ47" i="45"/>
  <c r="AQ50" i="45"/>
  <c r="AQ51" i="45"/>
  <c r="AQ55" i="45"/>
  <c r="AQ103" i="45"/>
  <c r="AQ100" i="45"/>
  <c r="BB98" i="43"/>
  <c r="BB103" i="43"/>
  <c r="BB106" i="43"/>
  <c r="BB104" i="43"/>
  <c r="BB209" i="43"/>
  <c r="BB207" i="43" s="1"/>
  <c r="BB203" i="43"/>
  <c r="BB202" i="43"/>
  <c r="BB327" i="43"/>
  <c r="BB325" i="43"/>
  <c r="BB321" i="43"/>
  <c r="BJ221" i="43"/>
  <c r="BJ227" i="43"/>
  <c r="BJ223" i="43"/>
  <c r="BJ218" i="43"/>
  <c r="BJ219" i="43"/>
  <c r="BJ226" i="43"/>
  <c r="BI168" i="45"/>
  <c r="BI166" i="45"/>
  <c r="N193" i="41"/>
  <c r="I178" i="41"/>
  <c r="O195" i="41"/>
  <c r="O59" i="41"/>
  <c r="AC93" i="41"/>
  <c r="AM178" i="41"/>
  <c r="AQ178" i="41" s="1"/>
  <c r="K74" i="41"/>
  <c r="R87" i="33"/>
  <c r="R101" i="30"/>
  <c r="AI139" i="43"/>
  <c r="V87" i="45"/>
  <c r="X54" i="43"/>
  <c r="L197" i="29"/>
  <c r="BK130" i="45"/>
  <c r="BN105" i="43"/>
  <c r="AT118" i="45"/>
  <c r="BL308" i="43"/>
  <c r="AU242" i="45"/>
  <c r="P74" i="43"/>
  <c r="P72" i="43"/>
  <c r="S47" i="43"/>
  <c r="S46" i="43" s="1"/>
  <c r="S51" i="43"/>
  <c r="S55" i="43"/>
  <c r="S54" i="43" s="1"/>
  <c r="S221" i="45"/>
  <c r="S219" i="45"/>
  <c r="S215" i="45" s="1"/>
  <c r="AY108" i="43"/>
  <c r="AY100" i="43"/>
  <c r="AY99" i="43"/>
  <c r="AY103" i="43"/>
  <c r="AY101" i="43"/>
  <c r="AY106" i="43"/>
  <c r="AZ159" i="43"/>
  <c r="AZ150" i="43"/>
  <c r="AZ152" i="43"/>
  <c r="AZ158" i="43"/>
  <c r="AZ149" i="43"/>
  <c r="AZ154" i="43"/>
  <c r="AZ157" i="43"/>
  <c r="AZ155" i="43"/>
  <c r="AX206" i="43"/>
  <c r="AX209" i="43"/>
  <c r="AX203" i="43"/>
  <c r="AX202" i="43"/>
  <c r="AX210" i="43"/>
  <c r="AX205" i="43"/>
  <c r="AX201" i="43"/>
  <c r="AX208" i="43"/>
  <c r="AY271" i="43"/>
  <c r="AY267" i="43" s="1"/>
  <c r="AY273" i="43"/>
  <c r="AY276" i="43"/>
  <c r="AY277" i="43"/>
  <c r="AZ319" i="43"/>
  <c r="AZ329" i="43"/>
  <c r="AZ320" i="43"/>
  <c r="AZ327" i="43"/>
  <c r="AZ325" i="43"/>
  <c r="AZ321" i="43"/>
  <c r="AZ323" i="43"/>
  <c r="AP343" i="45"/>
  <c r="AP336" i="45"/>
  <c r="AP341" i="45"/>
  <c r="BC47" i="43"/>
  <c r="BC49" i="43"/>
  <c r="BC52" i="43"/>
  <c r="BC56" i="43"/>
  <c r="BC51" i="43"/>
  <c r="BC53" i="43"/>
  <c r="BC57" i="43"/>
  <c r="BC103" i="43"/>
  <c r="BC98" i="43"/>
  <c r="BC108" i="43"/>
  <c r="BC100" i="43"/>
  <c r="BC104" i="43"/>
  <c r="BC101" i="43"/>
  <c r="BB154" i="43"/>
  <c r="BB155" i="43"/>
  <c r="BB151" i="43"/>
  <c r="BB159" i="43"/>
  <c r="BB150" i="43"/>
  <c r="AS48" i="45"/>
  <c r="AS50" i="45"/>
  <c r="AS221" i="45"/>
  <c r="AS219" i="45"/>
  <c r="AS225" i="45"/>
  <c r="BJ17" i="43"/>
  <c r="BJ15" i="43"/>
  <c r="BJ13" i="43"/>
  <c r="BJ14" i="43"/>
  <c r="BJ125" i="43"/>
  <c r="BJ120" i="43"/>
  <c r="BJ116" i="43"/>
  <c r="BJ169" i="43"/>
  <c r="BJ175" i="43"/>
  <c r="BJ167" i="43"/>
  <c r="BJ174" i="43"/>
  <c r="BJ166" i="43"/>
  <c r="BJ124" i="45"/>
  <c r="BJ119" i="45"/>
  <c r="BI233" i="45"/>
  <c r="BI236" i="45"/>
  <c r="BI239" i="45"/>
  <c r="BI241" i="45"/>
  <c r="BI242" i="45"/>
  <c r="BJ104" i="45"/>
  <c r="BP199" i="43"/>
  <c r="BP105" i="43"/>
  <c r="BL88" i="43"/>
  <c r="G13" i="45"/>
  <c r="G20" i="45"/>
  <c r="Y84" i="45"/>
  <c r="Y88" i="45"/>
  <c r="Y87" i="45" s="1"/>
  <c r="L192" i="33"/>
  <c r="L193" i="33"/>
  <c r="AY74" i="43"/>
  <c r="AY73" i="43"/>
  <c r="AY68" i="43"/>
  <c r="AY70" i="43"/>
  <c r="AX226" i="43"/>
  <c r="AX223" i="43"/>
  <c r="AX221" i="43"/>
  <c r="AU186" i="45"/>
  <c r="AU182" i="45"/>
  <c r="AU184" i="45"/>
  <c r="AU185" i="45"/>
  <c r="BK55" i="43"/>
  <c r="BK57" i="43"/>
  <c r="BL269" i="43"/>
  <c r="BL274" i="43"/>
  <c r="BP49" i="43"/>
  <c r="BP50" i="43"/>
  <c r="BP104" i="43"/>
  <c r="BP100" i="43"/>
  <c r="BP97" i="43" s="1"/>
  <c r="BP149" i="43"/>
  <c r="BP155" i="43"/>
  <c r="BP151" i="43"/>
  <c r="BP150" i="43"/>
  <c r="BP154" i="43"/>
  <c r="BP158" i="43"/>
  <c r="BO200" i="43"/>
  <c r="BO199" i="43" s="1"/>
  <c r="BO208" i="43"/>
  <c r="BO207" i="43" s="1"/>
  <c r="BO206" i="43"/>
  <c r="BO205" i="43"/>
  <c r="BP276" i="43"/>
  <c r="BP269" i="43"/>
  <c r="BP268" i="43"/>
  <c r="BP278" i="43"/>
  <c r="BP274" i="43"/>
  <c r="BK49" i="45"/>
  <c r="BK45" i="45" s="1"/>
  <c r="BK50" i="45"/>
  <c r="E207" i="45"/>
  <c r="E205" i="45"/>
  <c r="O100" i="45"/>
  <c r="O98" i="45"/>
  <c r="Z21" i="43"/>
  <c r="Z14" i="43"/>
  <c r="L208" i="30"/>
  <c r="L214" i="30"/>
  <c r="AL107" i="45"/>
  <c r="AL101" i="45"/>
  <c r="AL98" i="45"/>
  <c r="AL96" i="45" s="1"/>
  <c r="AL106" i="45"/>
  <c r="AL102" i="45"/>
  <c r="AM148" i="45"/>
  <c r="AM152" i="45"/>
  <c r="AM150" i="45"/>
  <c r="AM157" i="45"/>
  <c r="AM156" i="45"/>
  <c r="U84" i="29"/>
  <c r="U81" i="29"/>
  <c r="U83" i="29" s="1"/>
  <c r="K182" i="29"/>
  <c r="K180" i="29"/>
  <c r="S183" i="32"/>
  <c r="S182" i="32"/>
  <c r="L13" i="29"/>
  <c r="AC190" i="45"/>
  <c r="AC185" i="45"/>
  <c r="AC182" i="45"/>
  <c r="AS235" i="45"/>
  <c r="AS242" i="45"/>
  <c r="AS240" i="45" s="1"/>
  <c r="BJ310" i="43"/>
  <c r="BJ304" i="43"/>
  <c r="BJ301" i="43" s="1"/>
  <c r="BJ308" i="43"/>
  <c r="BR227" i="43"/>
  <c r="BR221" i="43"/>
  <c r="BR226" i="43"/>
  <c r="BK106" i="45"/>
  <c r="BK107" i="45"/>
  <c r="U11" i="29"/>
  <c r="U15" i="29"/>
  <c r="U16" i="29"/>
  <c r="U12" i="29"/>
  <c r="S67" i="29"/>
  <c r="S66" i="29"/>
  <c r="U122" i="29"/>
  <c r="U123" i="29"/>
  <c r="BK56" i="43"/>
  <c r="M141" i="45"/>
  <c r="M136" i="45"/>
  <c r="M132" i="45"/>
  <c r="Q117" i="45"/>
  <c r="Q122" i="45"/>
  <c r="AA200" i="43"/>
  <c r="AA202" i="43"/>
  <c r="U224" i="45"/>
  <c r="U218" i="45"/>
  <c r="AA37" i="45"/>
  <c r="AA38" i="45"/>
  <c r="AO222" i="45"/>
  <c r="AO217" i="45"/>
  <c r="BD166" i="43"/>
  <c r="BD174" i="43"/>
  <c r="BD169" i="43"/>
  <c r="AS65" i="45"/>
  <c r="AS73" i="45"/>
  <c r="AS63" i="45"/>
  <c r="AS64" i="45"/>
  <c r="AS165" i="45"/>
  <c r="AS168" i="45"/>
  <c r="AM256" i="41"/>
  <c r="AQ256" i="41" s="1"/>
  <c r="AM250" i="41"/>
  <c r="AM252" i="41"/>
  <c r="AQ252" i="41" s="1"/>
  <c r="AM254" i="41"/>
  <c r="AQ254" i="41" s="1"/>
  <c r="BK242" i="43"/>
  <c r="BK234" i="43"/>
  <c r="BK238" i="43"/>
  <c r="BK244" i="43"/>
  <c r="BK236" i="43"/>
  <c r="BK243" i="43"/>
  <c r="BO240" i="43"/>
  <c r="BO238" i="43"/>
  <c r="BO243" i="43"/>
  <c r="BO236" i="43"/>
  <c r="BO233" i="43" s="1"/>
  <c r="L66" i="29"/>
  <c r="L74" i="29"/>
  <c r="L67" i="29"/>
  <c r="T70" i="29"/>
  <c r="T67" i="29"/>
  <c r="BC241" i="43"/>
  <c r="R91" i="43"/>
  <c r="R82" i="43"/>
  <c r="AT52" i="43"/>
  <c r="AT47" i="43"/>
  <c r="AL55" i="45"/>
  <c r="AL46" i="45"/>
  <c r="AL45" i="45" s="1"/>
  <c r="AL54" i="45"/>
  <c r="AY172" i="43"/>
  <c r="AY168" i="43"/>
  <c r="AO239" i="45"/>
  <c r="AO235" i="45"/>
  <c r="AO233" i="45"/>
  <c r="AO234" i="45"/>
  <c r="AO237" i="45"/>
  <c r="BK123" i="43"/>
  <c r="BK124" i="43"/>
  <c r="BK125" i="43"/>
  <c r="BN73" i="43"/>
  <c r="BN71" i="43" s="1"/>
  <c r="BN68" i="43"/>
  <c r="S106" i="32"/>
  <c r="U41" i="29"/>
  <c r="AZ64" i="43"/>
  <c r="AZ70" i="43"/>
  <c r="AZ169" i="43"/>
  <c r="AZ165" i="43" s="1"/>
  <c r="AZ170" i="43"/>
  <c r="AZ218" i="43"/>
  <c r="AZ217" i="43"/>
  <c r="BL22" i="43"/>
  <c r="BL19" i="43"/>
  <c r="G220" i="45"/>
  <c r="G224" i="45"/>
  <c r="R237" i="43"/>
  <c r="R234" i="43"/>
  <c r="AJ151" i="43"/>
  <c r="AJ148" i="43" s="1"/>
  <c r="AJ155" i="43"/>
  <c r="AQ242" i="45"/>
  <c r="AQ235" i="45"/>
  <c r="S28" i="29"/>
  <c r="S24" i="29"/>
  <c r="S27" i="29" s="1"/>
  <c r="S50" i="29"/>
  <c r="L118" i="29"/>
  <c r="AQ79" i="45"/>
  <c r="I39" i="45"/>
  <c r="I31" i="45"/>
  <c r="I38" i="45"/>
  <c r="S105" i="45"/>
  <c r="S99" i="45"/>
  <c r="AA138" i="43"/>
  <c r="AA136" i="43"/>
  <c r="AB185" i="43"/>
  <c r="AB182" i="43" s="1"/>
  <c r="AB191" i="43"/>
  <c r="AB192" i="43"/>
  <c r="AP99" i="45"/>
  <c r="AP101" i="45"/>
  <c r="AP105" i="45"/>
  <c r="AP103" i="45"/>
  <c r="AP106" i="45"/>
  <c r="AP102" i="45"/>
  <c r="AP98" i="45"/>
  <c r="AT188" i="45"/>
  <c r="AT184" i="45"/>
  <c r="S106" i="29"/>
  <c r="J218" i="29"/>
  <c r="J62" i="32"/>
  <c r="S50" i="32"/>
  <c r="T218" i="30"/>
  <c r="U218" i="29"/>
  <c r="J50" i="32"/>
  <c r="R210" i="43"/>
  <c r="AK326" i="45"/>
  <c r="L241" i="29"/>
  <c r="S118" i="32"/>
  <c r="K101" i="29"/>
  <c r="K118" i="29"/>
  <c r="L106" i="29"/>
  <c r="S118" i="29"/>
  <c r="L118" i="32"/>
  <c r="L106" i="32"/>
  <c r="J118" i="32"/>
  <c r="T118" i="32"/>
  <c r="U246" i="41"/>
  <c r="AS246" i="41" s="1"/>
  <c r="AM260" i="41"/>
  <c r="AQ260" i="41" s="1"/>
  <c r="U297" i="41"/>
  <c r="AS297" i="41" s="1"/>
  <c r="J256" i="41"/>
  <c r="W261" i="41"/>
  <c r="AU261" i="41" s="1"/>
  <c r="N258" i="41"/>
  <c r="AD37" i="45"/>
  <c r="AD30" i="45"/>
  <c r="AD31" i="45"/>
  <c r="AD33" i="45"/>
  <c r="AD38" i="45"/>
  <c r="AD39" i="45"/>
  <c r="AD29" i="45"/>
  <c r="AD32" i="45"/>
  <c r="U196" i="32"/>
  <c r="U194" i="32"/>
  <c r="U198" i="32"/>
  <c r="U197" i="32"/>
  <c r="U193" i="32"/>
  <c r="U192" i="32"/>
  <c r="I151" i="45"/>
  <c r="I148" i="45"/>
  <c r="I149" i="45"/>
  <c r="N98" i="45"/>
  <c r="N103" i="45"/>
  <c r="N107" i="45"/>
  <c r="N97" i="45"/>
  <c r="N101" i="45"/>
  <c r="N99" i="45"/>
  <c r="AA188" i="45"/>
  <c r="AA191" i="45"/>
  <c r="AA186" i="45"/>
  <c r="AA184" i="45"/>
  <c r="AA190" i="45"/>
  <c r="AA183" i="45"/>
  <c r="AA185" i="45"/>
  <c r="AE32" i="45"/>
  <c r="AE37" i="45"/>
  <c r="AE34" i="45"/>
  <c r="AE30" i="45"/>
  <c r="AE35" i="45"/>
  <c r="AE33" i="45"/>
  <c r="AE29" i="45"/>
  <c r="AE39" i="45"/>
  <c r="AD207" i="45"/>
  <c r="AD202" i="45"/>
  <c r="AD201" i="45"/>
  <c r="AD199" i="45"/>
  <c r="AD203" i="45"/>
  <c r="AD209" i="45"/>
  <c r="AD204" i="45"/>
  <c r="AD208" i="45"/>
  <c r="AS135" i="45"/>
  <c r="AS139" i="45"/>
  <c r="AS140" i="45"/>
  <c r="AS132" i="45"/>
  <c r="AS134" i="45"/>
  <c r="AS136" i="45"/>
  <c r="AS137" i="45"/>
  <c r="AS133" i="45"/>
  <c r="AS131" i="45"/>
  <c r="J226" i="29"/>
  <c r="J225" i="29"/>
  <c r="J224" i="29"/>
  <c r="J228" i="29"/>
  <c r="N281" i="41"/>
  <c r="R157" i="43"/>
  <c r="R155" i="43"/>
  <c r="R151" i="43"/>
  <c r="R153" i="43"/>
  <c r="R154" i="43"/>
  <c r="R152" i="43"/>
  <c r="O158" i="45"/>
  <c r="O153" i="45"/>
  <c r="O149" i="45"/>
  <c r="O148" i="45"/>
  <c r="O156" i="45"/>
  <c r="O154" i="45"/>
  <c r="O157" i="45"/>
  <c r="O150" i="45"/>
  <c r="O152" i="45"/>
  <c r="S33" i="45"/>
  <c r="S39" i="45"/>
  <c r="S31" i="45"/>
  <c r="S30" i="45"/>
  <c r="S34" i="45"/>
  <c r="S37" i="45"/>
  <c r="S38" i="45"/>
  <c r="S32" i="45"/>
  <c r="AA141" i="45"/>
  <c r="AA136" i="45"/>
  <c r="AA131" i="45"/>
  <c r="AA137" i="45"/>
  <c r="AA133" i="45"/>
  <c r="AA132" i="45"/>
  <c r="AA139" i="45"/>
  <c r="AA140" i="45"/>
  <c r="AA134" i="45"/>
  <c r="AH273" i="43"/>
  <c r="AH278" i="43"/>
  <c r="AH277" i="43"/>
  <c r="Q102" i="45"/>
  <c r="Q107" i="45"/>
  <c r="Q101" i="45"/>
  <c r="Q99" i="45"/>
  <c r="Q98" i="45"/>
  <c r="Q103" i="45"/>
  <c r="O204" i="43"/>
  <c r="O210" i="43"/>
  <c r="O202" i="43"/>
  <c r="O205" i="43"/>
  <c r="O200" i="43"/>
  <c r="O209" i="43"/>
  <c r="O201" i="43"/>
  <c r="O206" i="43"/>
  <c r="O208" i="43"/>
  <c r="P327" i="43"/>
  <c r="P326" i="43" s="1"/>
  <c r="P325" i="43"/>
  <c r="P319" i="43"/>
  <c r="P323" i="43"/>
  <c r="P324" i="43"/>
  <c r="P322" i="43"/>
  <c r="P320" i="43"/>
  <c r="S158" i="43"/>
  <c r="S153" i="43"/>
  <c r="S149" i="43"/>
  <c r="S152" i="43"/>
  <c r="AJ240" i="43"/>
  <c r="AJ243" i="43"/>
  <c r="AJ237" i="43"/>
  <c r="AJ238" i="43"/>
  <c r="AJ234" i="43"/>
  <c r="AJ244" i="43"/>
  <c r="AJ242" i="43"/>
  <c r="AJ236" i="43"/>
  <c r="AJ239" i="43"/>
  <c r="AJ235" i="43"/>
  <c r="AO119" i="45"/>
  <c r="AO115" i="45"/>
  <c r="AO123" i="45"/>
  <c r="AO120" i="45"/>
  <c r="AO122" i="45"/>
  <c r="AO124" i="45"/>
  <c r="AO114" i="45"/>
  <c r="AO117" i="45"/>
  <c r="AO118" i="45"/>
  <c r="AO116" i="45"/>
  <c r="BC220" i="43"/>
  <c r="BC227" i="43"/>
  <c r="BC222" i="43"/>
  <c r="BC218" i="43"/>
  <c r="BC225" i="43"/>
  <c r="BC217" i="43"/>
  <c r="BC223" i="43"/>
  <c r="BC226" i="43"/>
  <c r="BC221" i="43"/>
  <c r="AE156" i="43"/>
  <c r="T73" i="43"/>
  <c r="AP124" i="45"/>
  <c r="AP114" i="45"/>
  <c r="AP117" i="45"/>
  <c r="AP119" i="45"/>
  <c r="AP123" i="45"/>
  <c r="AP120" i="45"/>
  <c r="AP116" i="45"/>
  <c r="AP118" i="45"/>
  <c r="AP115" i="45"/>
  <c r="AP122" i="45"/>
  <c r="BI157" i="45"/>
  <c r="BI149" i="45"/>
  <c r="BI156" i="45"/>
  <c r="BI148" i="45"/>
  <c r="BI152" i="45"/>
  <c r="BI153" i="45"/>
  <c r="BI150" i="45"/>
  <c r="BI151" i="45"/>
  <c r="BI154" i="45"/>
  <c r="BI158" i="45"/>
  <c r="BJ238" i="45"/>
  <c r="BJ233" i="45"/>
  <c r="BJ243" i="45"/>
  <c r="BJ242" i="45"/>
  <c r="BJ236" i="45"/>
  <c r="BJ241" i="45"/>
  <c r="BJ234" i="45"/>
  <c r="AI190" i="43"/>
  <c r="N102" i="45"/>
  <c r="BK225" i="43"/>
  <c r="K252" i="41"/>
  <c r="N302" i="41"/>
  <c r="Q84" i="45"/>
  <c r="Q85" i="45"/>
  <c r="V329" i="41"/>
  <c r="AT329" i="41" s="1"/>
  <c r="AH272" i="43"/>
  <c r="AE31" i="45"/>
  <c r="P99" i="43"/>
  <c r="L165" i="29"/>
  <c r="M308" i="41"/>
  <c r="M310" i="41"/>
  <c r="AZ311" i="43"/>
  <c r="AZ304" i="43"/>
  <c r="AZ306" i="43"/>
  <c r="AZ312" i="43"/>
  <c r="AZ305" i="43"/>
  <c r="AZ302" i="43"/>
  <c r="AZ310" i="43"/>
  <c r="AZ308" i="43"/>
  <c r="AZ303" i="43"/>
  <c r="AZ307" i="43"/>
  <c r="BJ81" i="43"/>
  <c r="BJ82" i="43"/>
  <c r="BJ90" i="43"/>
  <c r="BJ87" i="43"/>
  <c r="BJ89" i="43"/>
  <c r="BJ83" i="43"/>
  <c r="BJ91" i="43"/>
  <c r="BJ84" i="43"/>
  <c r="AC209" i="45"/>
  <c r="AC208" i="45"/>
  <c r="AC201" i="45"/>
  <c r="AC205" i="45"/>
  <c r="AC203" i="45"/>
  <c r="AC199" i="45"/>
  <c r="AC207" i="45"/>
  <c r="AU148" i="45"/>
  <c r="AU154" i="45"/>
  <c r="AU156" i="45"/>
  <c r="AU150" i="45"/>
  <c r="AU152" i="45"/>
  <c r="AU158" i="45"/>
  <c r="AU153" i="45"/>
  <c r="AU157" i="45"/>
  <c r="AU149" i="45"/>
  <c r="AU151" i="45"/>
  <c r="BL132" i="43"/>
  <c r="BL136" i="43"/>
  <c r="BL142" i="43"/>
  <c r="BL138" i="43"/>
  <c r="BL134" i="43"/>
  <c r="BL137" i="43"/>
  <c r="BL135" i="43"/>
  <c r="BL141" i="43"/>
  <c r="BL133" i="43"/>
  <c r="BL140" i="43"/>
  <c r="I98" i="45"/>
  <c r="I97" i="45"/>
  <c r="I102" i="45"/>
  <c r="I101" i="45"/>
  <c r="I100" i="45"/>
  <c r="I105" i="45"/>
  <c r="W70" i="43"/>
  <c r="W68" i="43"/>
  <c r="W74" i="43"/>
  <c r="AX66" i="43"/>
  <c r="AX68" i="43"/>
  <c r="AX70" i="43"/>
  <c r="AX67" i="43"/>
  <c r="AX64" i="43"/>
  <c r="AX72" i="43"/>
  <c r="AX73" i="43"/>
  <c r="AX65" i="43"/>
  <c r="AX74" i="43"/>
  <c r="AX69" i="43"/>
  <c r="AZ193" i="43"/>
  <c r="AZ191" i="43"/>
  <c r="AZ187" i="43"/>
  <c r="AZ183" i="43"/>
  <c r="AZ186" i="43"/>
  <c r="AZ184" i="43"/>
  <c r="AZ185" i="43"/>
  <c r="AZ189" i="43"/>
  <c r="AZ192" i="43"/>
  <c r="R222" i="30"/>
  <c r="R220" i="30"/>
  <c r="R224" i="30"/>
  <c r="R228" i="30"/>
  <c r="R225" i="30"/>
  <c r="X74" i="43"/>
  <c r="X69" i="43"/>
  <c r="X72" i="43"/>
  <c r="X70" i="43"/>
  <c r="X73" i="43"/>
  <c r="X67" i="43"/>
  <c r="X64" i="43"/>
  <c r="X65" i="43"/>
  <c r="X66" i="43"/>
  <c r="X68" i="43"/>
  <c r="AE185" i="43"/>
  <c r="AE193" i="43"/>
  <c r="AE188" i="43"/>
  <c r="AE192" i="43"/>
  <c r="AE184" i="43"/>
  <c r="AE187" i="43"/>
  <c r="AE183" i="43"/>
  <c r="AE189" i="43"/>
  <c r="AT88" i="45"/>
  <c r="AT82" i="45"/>
  <c r="AT85" i="45"/>
  <c r="AT83" i="45"/>
  <c r="AT81" i="45"/>
  <c r="AT80" i="45"/>
  <c r="AT84" i="45"/>
  <c r="AT90" i="45"/>
  <c r="BK323" i="45"/>
  <c r="BK322" i="45"/>
  <c r="BK318" i="45"/>
  <c r="BK320" i="45"/>
  <c r="BK319" i="45"/>
  <c r="BK328" i="45"/>
  <c r="BK324" i="45"/>
  <c r="BK327" i="45"/>
  <c r="BK326" i="45"/>
  <c r="K166" i="29"/>
  <c r="K164" i="29"/>
  <c r="K169" i="29"/>
  <c r="K172" i="29"/>
  <c r="K170" i="29"/>
  <c r="K165" i="29"/>
  <c r="K168" i="29"/>
  <c r="K107" i="29"/>
  <c r="O281" i="41"/>
  <c r="W281" i="41" s="1"/>
  <c r="AH56" i="43"/>
  <c r="AH51" i="43"/>
  <c r="AH47" i="43"/>
  <c r="AH48" i="43"/>
  <c r="AH57" i="43"/>
  <c r="AH49" i="43"/>
  <c r="AI323" i="43"/>
  <c r="AI319" i="43"/>
  <c r="AI321" i="43"/>
  <c r="AI324" i="43"/>
  <c r="AI329" i="43"/>
  <c r="AI322" i="43"/>
  <c r="AI327" i="43"/>
  <c r="AI320" i="43"/>
  <c r="AI325" i="43"/>
  <c r="AL192" i="45"/>
  <c r="AL188" i="45"/>
  <c r="AL184" i="45"/>
  <c r="AL186" i="45"/>
  <c r="AL185" i="45"/>
  <c r="AL187" i="45"/>
  <c r="AL191" i="45"/>
  <c r="AL183" i="45"/>
  <c r="K254" i="41"/>
  <c r="K250" i="41"/>
  <c r="K259" i="41"/>
  <c r="K253" i="41"/>
  <c r="K258" i="41"/>
  <c r="K260" i="41"/>
  <c r="K255" i="41"/>
  <c r="K256" i="41"/>
  <c r="K328" i="41"/>
  <c r="K323" i="41"/>
  <c r="K319" i="41"/>
  <c r="K321" i="41"/>
  <c r="K327" i="41"/>
  <c r="K320" i="41"/>
  <c r="K322" i="41"/>
  <c r="K315" i="41"/>
  <c r="AP14" i="45"/>
  <c r="AP21" i="45"/>
  <c r="AP16" i="45"/>
  <c r="AP22" i="45"/>
  <c r="AP20" i="45"/>
  <c r="AP17" i="45"/>
  <c r="AP18" i="45"/>
  <c r="AP12" i="45"/>
  <c r="BD68" i="43"/>
  <c r="BD65" i="43"/>
  <c r="BD69" i="43"/>
  <c r="BD73" i="43"/>
  <c r="BD74" i="43"/>
  <c r="BD64" i="43"/>
  <c r="BD67" i="43"/>
  <c r="BD66" i="43"/>
  <c r="BC169" i="43"/>
  <c r="BC167" i="43"/>
  <c r="BC176" i="43"/>
  <c r="BC174" i="43"/>
  <c r="BC175" i="43"/>
  <c r="BC170" i="43"/>
  <c r="BC171" i="43"/>
  <c r="BC166" i="43"/>
  <c r="BC172" i="43"/>
  <c r="BC168" i="43"/>
  <c r="T99" i="29"/>
  <c r="T96" i="29"/>
  <c r="T95" i="29"/>
  <c r="T102" i="29"/>
  <c r="T94" i="29"/>
  <c r="BS242" i="43"/>
  <c r="BS243" i="43"/>
  <c r="BS234" i="43"/>
  <c r="BS240" i="43"/>
  <c r="V70" i="43"/>
  <c r="V68" i="43"/>
  <c r="V67" i="43"/>
  <c r="T266" i="32"/>
  <c r="T262" i="32"/>
  <c r="T268" i="32"/>
  <c r="T267" i="32"/>
  <c r="T263" i="32"/>
  <c r="T270" i="32"/>
  <c r="AH268" i="43"/>
  <c r="K153" i="30"/>
  <c r="K159" i="30" s="1"/>
  <c r="N106" i="45"/>
  <c r="AT86" i="45"/>
  <c r="AE38" i="45"/>
  <c r="BJ237" i="45"/>
  <c r="AL190" i="45"/>
  <c r="K118" i="32"/>
  <c r="AC357" i="45"/>
  <c r="AC362" i="45"/>
  <c r="W259" i="43"/>
  <c r="BS235" i="43"/>
  <c r="V66" i="43"/>
  <c r="R221" i="30"/>
  <c r="AI328" i="43"/>
  <c r="AA187" i="45"/>
  <c r="BJ239" i="45"/>
  <c r="K324" i="41"/>
  <c r="BJ288" i="43"/>
  <c r="AL182" i="45"/>
  <c r="V260" i="43"/>
  <c r="V253" i="43"/>
  <c r="V261" i="43"/>
  <c r="V255" i="43"/>
  <c r="V256" i="43"/>
  <c r="BK141" i="43"/>
  <c r="BK139" i="43" s="1"/>
  <c r="BK134" i="43"/>
  <c r="BK135" i="43"/>
  <c r="BK132" i="43"/>
  <c r="BK136" i="43"/>
  <c r="BK138" i="43"/>
  <c r="BK193" i="43"/>
  <c r="BK192" i="43"/>
  <c r="BK191" i="43"/>
  <c r="BK189" i="43"/>
  <c r="BK184" i="43"/>
  <c r="BK185" i="43"/>
  <c r="BK183" i="43"/>
  <c r="BK188" i="43"/>
  <c r="BK187" i="43"/>
  <c r="BK186" i="45"/>
  <c r="BK184" i="45"/>
  <c r="BK185" i="45"/>
  <c r="BK190" i="45"/>
  <c r="BK182" i="45"/>
  <c r="BK192" i="45"/>
  <c r="BK187" i="45"/>
  <c r="BK183" i="45"/>
  <c r="L40" i="29"/>
  <c r="L43" i="29"/>
  <c r="L39" i="29"/>
  <c r="L46" i="29"/>
  <c r="L42" i="29"/>
  <c r="L44" i="29"/>
  <c r="L38" i="29"/>
  <c r="K222" i="29"/>
  <c r="K226" i="29"/>
  <c r="T68" i="43"/>
  <c r="T66" i="43"/>
  <c r="T72" i="43"/>
  <c r="T74" i="43"/>
  <c r="T69" i="43"/>
  <c r="T65" i="43"/>
  <c r="T64" i="43"/>
  <c r="T67" i="43"/>
  <c r="N151" i="45"/>
  <c r="N156" i="45"/>
  <c r="N154" i="45"/>
  <c r="N150" i="45"/>
  <c r="N157" i="45"/>
  <c r="N152" i="45"/>
  <c r="N148" i="45"/>
  <c r="N158" i="45"/>
  <c r="N149" i="45"/>
  <c r="N153" i="45"/>
  <c r="X155" i="43"/>
  <c r="X151" i="43"/>
  <c r="X152" i="43"/>
  <c r="X157" i="43"/>
  <c r="X159" i="43"/>
  <c r="X154" i="43"/>
  <c r="X153" i="43"/>
  <c r="X158" i="43"/>
  <c r="X150" i="43"/>
  <c r="X149" i="43"/>
  <c r="AA241" i="45"/>
  <c r="AA243" i="45"/>
  <c r="AD152" i="45"/>
  <c r="AD149" i="45"/>
  <c r="AD154" i="45"/>
  <c r="AD148" i="45"/>
  <c r="AD156" i="45"/>
  <c r="AD158" i="45"/>
  <c r="AD150" i="45"/>
  <c r="AD153" i="45"/>
  <c r="BL31" i="43"/>
  <c r="BL35" i="43"/>
  <c r="BL38" i="43"/>
  <c r="BL39" i="43"/>
  <c r="BL34" i="43"/>
  <c r="BL33" i="43"/>
  <c r="BL30" i="43"/>
  <c r="BL32" i="43"/>
  <c r="BL40" i="43"/>
  <c r="AC202" i="45"/>
  <c r="AC204" i="45"/>
  <c r="T23" i="43"/>
  <c r="T21" i="43"/>
  <c r="T22" i="43"/>
  <c r="T13" i="43"/>
  <c r="T15" i="43"/>
  <c r="T18" i="43"/>
  <c r="T17" i="43"/>
  <c r="V142" i="43"/>
  <c r="V140" i="43"/>
  <c r="V137" i="43"/>
  <c r="V138" i="43"/>
  <c r="V134" i="43"/>
  <c r="V135" i="43"/>
  <c r="V136" i="43"/>
  <c r="R103" i="45"/>
  <c r="R99" i="45"/>
  <c r="R98" i="45"/>
  <c r="R100" i="45"/>
  <c r="R106" i="45"/>
  <c r="R101" i="45"/>
  <c r="BB225" i="43"/>
  <c r="BB222" i="43"/>
  <c r="BB219" i="43"/>
  <c r="BB218" i="43"/>
  <c r="BB220" i="43"/>
  <c r="BB223" i="43"/>
  <c r="BB227" i="43"/>
  <c r="BB217" i="43"/>
  <c r="BB226" i="43"/>
  <c r="BB221" i="43"/>
  <c r="AU29" i="45"/>
  <c r="AU35" i="45"/>
  <c r="AU34" i="45"/>
  <c r="AU31" i="45"/>
  <c r="AU30" i="45"/>
  <c r="AU39" i="45"/>
  <c r="AU32" i="45"/>
  <c r="AU37" i="45"/>
  <c r="AU33" i="45"/>
  <c r="T96" i="32"/>
  <c r="T100" i="32"/>
  <c r="T95" i="32"/>
  <c r="T99" i="32"/>
  <c r="T98" i="32"/>
  <c r="T19" i="43"/>
  <c r="AH270" i="43"/>
  <c r="R98" i="43"/>
  <c r="R108" i="43"/>
  <c r="R103" i="43"/>
  <c r="R99" i="43"/>
  <c r="R104" i="43"/>
  <c r="R100" i="43"/>
  <c r="R102" i="43"/>
  <c r="R106" i="43"/>
  <c r="AF183" i="43"/>
  <c r="AF189" i="43"/>
  <c r="AF192" i="43"/>
  <c r="AF188" i="43"/>
  <c r="AF184" i="43"/>
  <c r="AF187" i="43"/>
  <c r="AF185" i="43"/>
  <c r="AF193" i="43"/>
  <c r="AF186" i="43"/>
  <c r="AA30" i="45"/>
  <c r="AA32" i="45"/>
  <c r="AA34" i="45"/>
  <c r="AA35" i="45"/>
  <c r="AA33" i="45"/>
  <c r="AA31" i="45"/>
  <c r="AI91" i="43"/>
  <c r="AI86" i="43"/>
  <c r="AI82" i="43"/>
  <c r="AI89" i="43"/>
  <c r="AI81" i="43"/>
  <c r="AI85" i="43"/>
  <c r="AI90" i="43"/>
  <c r="BD116" i="43"/>
  <c r="BD117" i="43"/>
  <c r="BD118" i="43"/>
  <c r="BD120" i="43"/>
  <c r="BD121" i="43"/>
  <c r="BD123" i="43"/>
  <c r="BD119" i="43"/>
  <c r="BD115" i="43"/>
  <c r="BD125" i="43"/>
  <c r="J152" i="32"/>
  <c r="J156" i="32"/>
  <c r="J155" i="32"/>
  <c r="J150" i="32"/>
  <c r="J158" i="32"/>
  <c r="J151" i="32"/>
  <c r="J154" i="32"/>
  <c r="J107" i="32"/>
  <c r="J110" i="32" s="1"/>
  <c r="AH74" i="43"/>
  <c r="AH72" i="43"/>
  <c r="AH66" i="43"/>
  <c r="AH65" i="43"/>
  <c r="AD200" i="45"/>
  <c r="AH269" i="43"/>
  <c r="AA29" i="45"/>
  <c r="AD34" i="45"/>
  <c r="K251" i="41"/>
  <c r="P205" i="43"/>
  <c r="P201" i="43"/>
  <c r="P210" i="43"/>
  <c r="P204" i="43"/>
  <c r="P200" i="43"/>
  <c r="P206" i="43"/>
  <c r="P202" i="43"/>
  <c r="P203" i="43"/>
  <c r="I233" i="45"/>
  <c r="I236" i="45"/>
  <c r="I234" i="45"/>
  <c r="I241" i="45"/>
  <c r="I238" i="45"/>
  <c r="I237" i="45"/>
  <c r="I242" i="45"/>
  <c r="AJ87" i="43"/>
  <c r="AJ90" i="43"/>
  <c r="AJ85" i="43"/>
  <c r="AJ81" i="43"/>
  <c r="AJ91" i="43"/>
  <c r="AJ84" i="43"/>
  <c r="AJ89" i="43"/>
  <c r="K96" i="30"/>
  <c r="K98" i="30"/>
  <c r="K102" i="30"/>
  <c r="K95" i="30"/>
  <c r="K99" i="30"/>
  <c r="K100" i="30"/>
  <c r="K94" i="30"/>
  <c r="AL83" i="45"/>
  <c r="AL81" i="45"/>
  <c r="AL82" i="45"/>
  <c r="AL89" i="45"/>
  <c r="AL84" i="45"/>
  <c r="AL80" i="45"/>
  <c r="AL86" i="45"/>
  <c r="AL133" i="45"/>
  <c r="AL139" i="45"/>
  <c r="AL134" i="45"/>
  <c r="AL131" i="45"/>
  <c r="AL135" i="45"/>
  <c r="AL137" i="45"/>
  <c r="AL140" i="45"/>
  <c r="AL141" i="45"/>
  <c r="AL136" i="45"/>
  <c r="AL132" i="45"/>
  <c r="AM321" i="45"/>
  <c r="AM322" i="45"/>
  <c r="AM318" i="45"/>
  <c r="AM320" i="45"/>
  <c r="AM323" i="45"/>
  <c r="AM319" i="45"/>
  <c r="AM328" i="45"/>
  <c r="AM326" i="45"/>
  <c r="AM324" i="45"/>
  <c r="AM327" i="45"/>
  <c r="AQ22" i="45"/>
  <c r="AQ17" i="45"/>
  <c r="AQ13" i="45"/>
  <c r="AQ18" i="45"/>
  <c r="AQ21" i="45"/>
  <c r="AQ12" i="45"/>
  <c r="AQ16" i="45"/>
  <c r="U98" i="29"/>
  <c r="U96" i="29"/>
  <c r="U95" i="29"/>
  <c r="U100" i="29"/>
  <c r="U101" i="29" s="1"/>
  <c r="U102" i="29"/>
  <c r="K154" i="32"/>
  <c r="K155" i="32"/>
  <c r="K158" i="32"/>
  <c r="K156" i="32"/>
  <c r="K151" i="32"/>
  <c r="K107" i="32"/>
  <c r="T183" i="32"/>
  <c r="T180" i="32"/>
  <c r="T184" i="32"/>
  <c r="T182" i="32"/>
  <c r="T179" i="32"/>
  <c r="T186" i="32"/>
  <c r="AA235" i="45"/>
  <c r="O203" i="43"/>
  <c r="T178" i="32"/>
  <c r="AP13" i="45"/>
  <c r="AA239" i="45"/>
  <c r="AF191" i="43"/>
  <c r="N105" i="45"/>
  <c r="AE191" i="43"/>
  <c r="T50" i="32"/>
  <c r="L108" i="32"/>
  <c r="L109" i="32"/>
  <c r="T50" i="29"/>
  <c r="BS236" i="43"/>
  <c r="AH53" i="43"/>
  <c r="AA135" i="45"/>
  <c r="BJ235" i="45"/>
  <c r="BK188" i="45"/>
  <c r="BS238" i="43"/>
  <c r="R226" i="30"/>
  <c r="AA182" i="45"/>
  <c r="AA192" i="45"/>
  <c r="BK133" i="43"/>
  <c r="T264" i="32"/>
  <c r="AZ243" i="43"/>
  <c r="AZ236" i="43"/>
  <c r="AZ238" i="43"/>
  <c r="AZ239" i="43"/>
  <c r="AZ237" i="43"/>
  <c r="AZ242" i="43"/>
  <c r="AZ235" i="43"/>
  <c r="AZ240" i="43"/>
  <c r="BK91" i="43"/>
  <c r="BK89" i="43"/>
  <c r="BK90" i="43"/>
  <c r="BK85" i="43"/>
  <c r="BK83" i="43"/>
  <c r="BK81" i="43"/>
  <c r="BK84" i="43"/>
  <c r="BK87" i="43"/>
  <c r="BK82" i="43"/>
  <c r="BK86" i="43"/>
  <c r="U155" i="32"/>
  <c r="U152" i="32"/>
  <c r="U151" i="32"/>
  <c r="U150" i="32"/>
  <c r="U154" i="32"/>
  <c r="U156" i="32"/>
  <c r="U158" i="32"/>
  <c r="I49" i="45"/>
  <c r="I51" i="45"/>
  <c r="I52" i="45"/>
  <c r="I48" i="45"/>
  <c r="I47" i="45"/>
  <c r="I56" i="45"/>
  <c r="I54" i="45"/>
  <c r="I55" i="45"/>
  <c r="I50" i="45"/>
  <c r="I46" i="45"/>
  <c r="S17" i="43"/>
  <c r="S15" i="43"/>
  <c r="S14" i="43"/>
  <c r="S13" i="43"/>
  <c r="S21" i="43"/>
  <c r="S19" i="43"/>
  <c r="S23" i="43"/>
  <c r="S22" i="43"/>
  <c r="O207" i="45"/>
  <c r="O203" i="45"/>
  <c r="O199" i="45"/>
  <c r="O202" i="45"/>
  <c r="O208" i="45"/>
  <c r="O204" i="45"/>
  <c r="O209" i="45"/>
  <c r="W253" i="43"/>
  <c r="W257" i="43"/>
  <c r="W261" i="43"/>
  <c r="W255" i="43"/>
  <c r="W260" i="43"/>
  <c r="W251" i="43"/>
  <c r="W252" i="43"/>
  <c r="W256" i="43"/>
  <c r="R28" i="30"/>
  <c r="R25" i="30"/>
  <c r="R30" i="30"/>
  <c r="R32" i="30"/>
  <c r="R26" i="30"/>
  <c r="R29" i="30"/>
  <c r="R24" i="30"/>
  <c r="O327" i="43"/>
  <c r="O329" i="43"/>
  <c r="O320" i="43"/>
  <c r="O323" i="43"/>
  <c r="O319" i="43"/>
  <c r="O325" i="43"/>
  <c r="O321" i="43"/>
  <c r="O322" i="43"/>
  <c r="O324" i="43"/>
  <c r="O328" i="43"/>
  <c r="J48" i="45"/>
  <c r="J49" i="45"/>
  <c r="J47" i="45"/>
  <c r="J55" i="45"/>
  <c r="J54" i="45"/>
  <c r="J50" i="45"/>
  <c r="J56" i="45"/>
  <c r="J51" i="45"/>
  <c r="R205" i="43"/>
  <c r="R201" i="43"/>
  <c r="R204" i="43"/>
  <c r="R209" i="43"/>
  <c r="R203" i="43"/>
  <c r="R206" i="43"/>
  <c r="AF259" i="43"/>
  <c r="AF255" i="43"/>
  <c r="AF256" i="43"/>
  <c r="AF251" i="43"/>
  <c r="AF254" i="43"/>
  <c r="AF261" i="43"/>
  <c r="AF257" i="43"/>
  <c r="AF253" i="43"/>
  <c r="AI234" i="43"/>
  <c r="AI239" i="43"/>
  <c r="AI244" i="43"/>
  <c r="AI243" i="43"/>
  <c r="AI237" i="43"/>
  <c r="AI235" i="43"/>
  <c r="AI240" i="43"/>
  <c r="AI238" i="43"/>
  <c r="AH325" i="43"/>
  <c r="AH322" i="43"/>
  <c r="AH323" i="43"/>
  <c r="AH329" i="43"/>
  <c r="AH324" i="43"/>
  <c r="AH320" i="43"/>
  <c r="AH327" i="43"/>
  <c r="AH328" i="43"/>
  <c r="AH319" i="43"/>
  <c r="L29" i="30"/>
  <c r="L24" i="30"/>
  <c r="L30" i="30"/>
  <c r="L25" i="30"/>
  <c r="L28" i="30"/>
  <c r="L32" i="30"/>
  <c r="L26" i="30"/>
  <c r="AZ23" i="43"/>
  <c r="AZ14" i="43"/>
  <c r="AZ16" i="43"/>
  <c r="AZ22" i="43"/>
  <c r="AZ19" i="43"/>
  <c r="AZ13" i="43"/>
  <c r="AZ15" i="43"/>
  <c r="AZ18" i="43"/>
  <c r="AZ17" i="43"/>
  <c r="AZ21" i="43"/>
  <c r="AP192" i="45"/>
  <c r="AP190" i="45"/>
  <c r="AP183" i="45"/>
  <c r="AP191" i="45"/>
  <c r="AP182" i="45"/>
  <c r="AP186" i="45"/>
  <c r="AP188" i="45"/>
  <c r="AP184" i="45"/>
  <c r="AP187" i="45"/>
  <c r="AP185" i="45"/>
  <c r="S97" i="30"/>
  <c r="S103" i="30" s="1"/>
  <c r="AC200" i="45"/>
  <c r="AF260" i="43"/>
  <c r="BJ86" i="43"/>
  <c r="AA90" i="45"/>
  <c r="AA88" i="45"/>
  <c r="AA86" i="45"/>
  <c r="AA85" i="45"/>
  <c r="AA83" i="45"/>
  <c r="AA81" i="45"/>
  <c r="AA84" i="45"/>
  <c r="AA80" i="45"/>
  <c r="AI119" i="43"/>
  <c r="AI118" i="43"/>
  <c r="AI117" i="43"/>
  <c r="AI123" i="43"/>
  <c r="AI116" i="43"/>
  <c r="AI121" i="43"/>
  <c r="AI124" i="43"/>
  <c r="AI115" i="43"/>
  <c r="AI270" i="43"/>
  <c r="AI278" i="43"/>
  <c r="AI277" i="43"/>
  <c r="AI273" i="43"/>
  <c r="AI269" i="43"/>
  <c r="AI274" i="43"/>
  <c r="AK88" i="45"/>
  <c r="AK82" i="45"/>
  <c r="AK81" i="45"/>
  <c r="AK84" i="45"/>
  <c r="AK90" i="45"/>
  <c r="AK89" i="45"/>
  <c r="AK83" i="45"/>
  <c r="AK80" i="45"/>
  <c r="AK86" i="45"/>
  <c r="AK85" i="45"/>
  <c r="AK136" i="45"/>
  <c r="AK131" i="45"/>
  <c r="AK137" i="45"/>
  <c r="AK140" i="45"/>
  <c r="AK135" i="45"/>
  <c r="AK141" i="45"/>
  <c r="AK139" i="45"/>
  <c r="AK132" i="45"/>
  <c r="AK134" i="45"/>
  <c r="AL328" i="45"/>
  <c r="AL326" i="45"/>
  <c r="AL320" i="45"/>
  <c r="AL323" i="45"/>
  <c r="AL319" i="45"/>
  <c r="AL324" i="45"/>
  <c r="AL321" i="45"/>
  <c r="AL327" i="45"/>
  <c r="AL318" i="45"/>
  <c r="AL322" i="45"/>
  <c r="AQ190" i="45"/>
  <c r="AQ192" i="45"/>
  <c r="AQ182" i="45"/>
  <c r="AQ191" i="45"/>
  <c r="AQ183" i="45"/>
  <c r="AQ186" i="45"/>
  <c r="AQ188" i="45"/>
  <c r="AQ187" i="45"/>
  <c r="AQ184" i="45"/>
  <c r="AQ185" i="45"/>
  <c r="L94" i="29"/>
  <c r="L100" i="29"/>
  <c r="L96" i="29"/>
  <c r="L95" i="29"/>
  <c r="L99" i="29"/>
  <c r="L170" i="29"/>
  <c r="L169" i="29"/>
  <c r="L168" i="29"/>
  <c r="L107" i="29"/>
  <c r="L109" i="29" s="1"/>
  <c r="L172" i="29"/>
  <c r="L166" i="29"/>
  <c r="U94" i="32"/>
  <c r="U102" i="32"/>
  <c r="U96" i="32"/>
  <c r="U99" i="32"/>
  <c r="U100" i="32"/>
  <c r="U95" i="32"/>
  <c r="U98" i="32"/>
  <c r="J193" i="32"/>
  <c r="J196" i="32"/>
  <c r="J192" i="32"/>
  <c r="J197" i="32"/>
  <c r="J198" i="32"/>
  <c r="S180" i="32"/>
  <c r="S186" i="32"/>
  <c r="S179" i="32"/>
  <c r="S184" i="32"/>
  <c r="S178" i="32"/>
  <c r="S268" i="32"/>
  <c r="S270" i="32"/>
  <c r="S264" i="32"/>
  <c r="S266" i="32"/>
  <c r="S263" i="32"/>
  <c r="S267" i="32"/>
  <c r="AF252" i="43"/>
  <c r="S159" i="43"/>
  <c r="S29" i="45"/>
  <c r="G67" i="45"/>
  <c r="G69" i="45"/>
  <c r="G65" i="45"/>
  <c r="G64" i="45"/>
  <c r="G63" i="45"/>
  <c r="G72" i="45"/>
  <c r="G114" i="45"/>
  <c r="G122" i="45"/>
  <c r="G119" i="45"/>
  <c r="G116" i="45"/>
  <c r="G118" i="45"/>
  <c r="G123" i="45"/>
  <c r="G117" i="45"/>
  <c r="G124" i="45"/>
  <c r="G115" i="45"/>
  <c r="G120" i="45"/>
  <c r="P107" i="43"/>
  <c r="P102" i="43"/>
  <c r="P104" i="43"/>
  <c r="P100" i="43"/>
  <c r="P157" i="43"/>
  <c r="P158" i="43"/>
  <c r="P149" i="43"/>
  <c r="P153" i="43"/>
  <c r="P155" i="43"/>
  <c r="P159" i="43"/>
  <c r="P152" i="43"/>
  <c r="P150" i="43"/>
  <c r="AI56" i="43"/>
  <c r="AI57" i="43"/>
  <c r="AI49" i="43"/>
  <c r="AI52" i="43"/>
  <c r="AI47" i="43"/>
  <c r="AI51" i="43"/>
  <c r="AI53" i="43"/>
  <c r="AI48" i="43"/>
  <c r="AI55" i="43"/>
  <c r="AJ123" i="43"/>
  <c r="AJ124" i="43"/>
  <c r="AJ115" i="43"/>
  <c r="AJ120" i="43"/>
  <c r="AJ121" i="43"/>
  <c r="AJ116" i="43"/>
  <c r="AJ118" i="43"/>
  <c r="AJ119" i="43"/>
  <c r="AJ117" i="43"/>
  <c r="AJ166" i="43"/>
  <c r="AJ170" i="43"/>
  <c r="AJ169" i="43"/>
  <c r="AJ171" i="43"/>
  <c r="AJ175" i="43"/>
  <c r="AJ173" i="43" s="1"/>
  <c r="AJ168" i="43"/>
  <c r="AJ167" i="43"/>
  <c r="AJ172" i="43"/>
  <c r="J136" i="30"/>
  <c r="J144" i="30"/>
  <c r="J137" i="30"/>
  <c r="J141" i="30"/>
  <c r="J140" i="30"/>
  <c r="J142" i="30"/>
  <c r="J138" i="30"/>
  <c r="AL37" i="45"/>
  <c r="AL31" i="45"/>
  <c r="AL34" i="45"/>
  <c r="AL38" i="45"/>
  <c r="AL32" i="45"/>
  <c r="AL30" i="45"/>
  <c r="AL39" i="45"/>
  <c r="AL33" i="45"/>
  <c r="AL29" i="45"/>
  <c r="AM187" i="45"/>
  <c r="AM182" i="45"/>
  <c r="AM190" i="45"/>
  <c r="AM188" i="45"/>
  <c r="AM192" i="45"/>
  <c r="AM191" i="45"/>
  <c r="AM183" i="45"/>
  <c r="AM185" i="45"/>
  <c r="AM186" i="45"/>
  <c r="AP73" i="45"/>
  <c r="AP68" i="45"/>
  <c r="AP66" i="45"/>
  <c r="AP64" i="45"/>
  <c r="AP69" i="45"/>
  <c r="AP71" i="45"/>
  <c r="AP63" i="45"/>
  <c r="AP65" i="45"/>
  <c r="AP72" i="45"/>
  <c r="BK223" i="43"/>
  <c r="BK226" i="43"/>
  <c r="BK217" i="43"/>
  <c r="BK220" i="43"/>
  <c r="BK218" i="43"/>
  <c r="BK227" i="43"/>
  <c r="BK221" i="43"/>
  <c r="BJ290" i="43"/>
  <c r="BJ285" i="43"/>
  <c r="BJ295" i="43"/>
  <c r="BJ287" i="43"/>
  <c r="BJ286" i="43"/>
  <c r="BJ294" i="43"/>
  <c r="BJ289" i="43"/>
  <c r="BJ291" i="43"/>
  <c r="K194" i="32"/>
  <c r="K197" i="32"/>
  <c r="K193" i="32"/>
  <c r="K198" i="32"/>
  <c r="K200" i="32"/>
  <c r="K196" i="32"/>
  <c r="K192" i="32"/>
  <c r="AH271" i="43"/>
  <c r="AD157" i="45"/>
  <c r="Z190" i="43"/>
  <c r="O151" i="45"/>
  <c r="S154" i="43"/>
  <c r="BC219" i="43"/>
  <c r="M301" i="41"/>
  <c r="S18" i="43"/>
  <c r="O200" i="45"/>
  <c r="S151" i="43"/>
  <c r="J52" i="45"/>
  <c r="J194" i="32"/>
  <c r="Q65" i="45"/>
  <c r="Q68" i="45"/>
  <c r="Q72" i="45"/>
  <c r="Q69" i="45"/>
  <c r="Q67" i="45"/>
  <c r="Q73" i="45"/>
  <c r="O205" i="45"/>
  <c r="T102" i="32"/>
  <c r="AS141" i="45"/>
  <c r="T94" i="32"/>
  <c r="BK321" i="45"/>
  <c r="V73" i="43"/>
  <c r="L110" i="32"/>
  <c r="BS237" i="43"/>
  <c r="V259" i="43"/>
  <c r="U107" i="32"/>
  <c r="I152" i="45"/>
  <c r="AD35" i="45"/>
  <c r="BK137" i="43"/>
  <c r="BD124" i="43"/>
  <c r="AD68" i="43"/>
  <c r="AD70" i="43"/>
  <c r="AD66" i="43"/>
  <c r="AD69" i="43"/>
  <c r="AD67" i="43"/>
  <c r="AD123" i="43"/>
  <c r="AD119" i="43"/>
  <c r="AJ55" i="43"/>
  <c r="AJ48" i="43"/>
  <c r="AJ56" i="43"/>
  <c r="AJ53" i="43"/>
  <c r="AJ47" i="43"/>
  <c r="AJ49" i="43"/>
  <c r="AJ52" i="43"/>
  <c r="U29" i="29"/>
  <c r="U26" i="29"/>
  <c r="U28" i="29"/>
  <c r="U24" i="29"/>
  <c r="K85" i="29"/>
  <c r="K80" i="29"/>
  <c r="K88" i="29"/>
  <c r="K82" i="29"/>
  <c r="K86" i="29"/>
  <c r="L85" i="32"/>
  <c r="L84" i="32"/>
  <c r="L81" i="32"/>
  <c r="L86" i="32"/>
  <c r="L80" i="32"/>
  <c r="L88" i="32"/>
  <c r="L196" i="32"/>
  <c r="L197" i="32"/>
  <c r="L192" i="32"/>
  <c r="L200" i="32"/>
  <c r="U186" i="32"/>
  <c r="U182" i="32"/>
  <c r="U180" i="32"/>
  <c r="U184" i="32"/>
  <c r="U183" i="32"/>
  <c r="U179" i="32"/>
  <c r="U178" i="32"/>
  <c r="U25" i="29"/>
  <c r="AZ226" i="43"/>
  <c r="AD169" i="43"/>
  <c r="AD172" i="43"/>
  <c r="AD167" i="43"/>
  <c r="AD174" i="43"/>
  <c r="G12" i="45"/>
  <c r="Z176" i="43"/>
  <c r="Z175" i="43"/>
  <c r="Z171" i="43"/>
  <c r="Z167" i="43"/>
  <c r="Z166" i="43"/>
  <c r="Z174" i="43"/>
  <c r="Z172" i="43"/>
  <c r="Z169" i="43"/>
  <c r="V107" i="45"/>
  <c r="V101" i="45"/>
  <c r="S270" i="29"/>
  <c r="S266" i="29"/>
  <c r="S268" i="29"/>
  <c r="S267" i="29"/>
  <c r="K309" i="41"/>
  <c r="K307" i="41"/>
  <c r="K303" i="41"/>
  <c r="K302" i="41"/>
  <c r="K306" i="41"/>
  <c r="K305" i="41"/>
  <c r="K311" i="41"/>
  <c r="BD52" i="43"/>
  <c r="BD55" i="43"/>
  <c r="BD57" i="43"/>
  <c r="BP310" i="43"/>
  <c r="BP305" i="43"/>
  <c r="BP304" i="43"/>
  <c r="BP302" i="43"/>
  <c r="BP306" i="43"/>
  <c r="BP312" i="43"/>
  <c r="BP307" i="43"/>
  <c r="BP303" i="43"/>
  <c r="BP308" i="43"/>
  <c r="BP311" i="43"/>
  <c r="BK31" i="45"/>
  <c r="BK34" i="45"/>
  <c r="BK32" i="45"/>
  <c r="BK33" i="45"/>
  <c r="BK30" i="45"/>
  <c r="BK39" i="45"/>
  <c r="BK38" i="45"/>
  <c r="BK29" i="45"/>
  <c r="BK37" i="45"/>
  <c r="BJ80" i="45"/>
  <c r="BJ89" i="45"/>
  <c r="BJ83" i="45"/>
  <c r="BJ85" i="45"/>
  <c r="BJ82" i="45"/>
  <c r="BJ84" i="45"/>
  <c r="BJ90" i="45"/>
  <c r="BJ88" i="45"/>
  <c r="BJ81" i="45"/>
  <c r="BJ86" i="45"/>
  <c r="T11" i="29"/>
  <c r="T18" i="29"/>
  <c r="T12" i="29"/>
  <c r="T15" i="29"/>
  <c r="T17" i="29" s="1"/>
  <c r="T14" i="29"/>
  <c r="T10" i="29"/>
  <c r="J70" i="29"/>
  <c r="J74" i="29"/>
  <c r="J72" i="29"/>
  <c r="J68" i="29"/>
  <c r="J71" i="29"/>
  <c r="J67" i="29"/>
  <c r="S182" i="29"/>
  <c r="S178" i="29"/>
  <c r="S179" i="29"/>
  <c r="S184" i="29"/>
  <c r="S180" i="29"/>
  <c r="S183" i="29"/>
  <c r="L263" i="29"/>
  <c r="L270" i="29"/>
  <c r="L262" i="29"/>
  <c r="L264" i="29"/>
  <c r="L268" i="29"/>
  <c r="L266" i="29"/>
  <c r="L267" i="29"/>
  <c r="J70" i="32"/>
  <c r="J67" i="32"/>
  <c r="J71" i="32"/>
  <c r="J66" i="32"/>
  <c r="U84" i="32"/>
  <c r="U86" i="32"/>
  <c r="U82" i="32"/>
  <c r="U81" i="32"/>
  <c r="U85" i="32"/>
  <c r="U88" i="32"/>
  <c r="J179" i="32"/>
  <c r="J180" i="32"/>
  <c r="J182" i="32"/>
  <c r="J184" i="32"/>
  <c r="J185" i="32" s="1"/>
  <c r="J186" i="32"/>
  <c r="J178" i="32"/>
  <c r="T169" i="32"/>
  <c r="T170" i="32"/>
  <c r="T166" i="32"/>
  <c r="T168" i="32"/>
  <c r="J212" i="30"/>
  <c r="T89" i="29"/>
  <c r="AC53" i="45"/>
  <c r="AD11" i="45"/>
  <c r="V239" i="43"/>
  <c r="G22" i="45"/>
  <c r="S186" i="29"/>
  <c r="T172" i="32"/>
  <c r="AY53" i="43"/>
  <c r="AD238" i="43"/>
  <c r="AD243" i="43"/>
  <c r="AD236" i="43"/>
  <c r="AD240" i="43"/>
  <c r="AD234" i="43"/>
  <c r="BL171" i="43"/>
  <c r="BL168" i="43"/>
  <c r="BL169" i="43"/>
  <c r="BL172" i="43"/>
  <c r="BL174" i="43"/>
  <c r="BL167" i="43"/>
  <c r="BK291" i="43"/>
  <c r="BK286" i="43"/>
  <c r="BK293" i="43"/>
  <c r="BK285" i="43"/>
  <c r="BK294" i="43"/>
  <c r="BK287" i="43"/>
  <c r="BK295" i="43"/>
  <c r="BJ152" i="45"/>
  <c r="BJ148" i="45"/>
  <c r="BJ157" i="45"/>
  <c r="BJ158" i="45"/>
  <c r="BJ156" i="45"/>
  <c r="BJ149" i="45"/>
  <c r="BJ154" i="45"/>
  <c r="BJ150" i="45"/>
  <c r="BJ153" i="45"/>
  <c r="BJ151" i="45"/>
  <c r="J262" i="29"/>
  <c r="J264" i="29"/>
  <c r="J266" i="29"/>
  <c r="J263" i="29"/>
  <c r="J267" i="29"/>
  <c r="J268" i="29"/>
  <c r="J270" i="29"/>
  <c r="K57" i="43"/>
  <c r="K52" i="43"/>
  <c r="K48" i="43"/>
  <c r="AX157" i="43"/>
  <c r="AX151" i="43"/>
  <c r="AX155" i="43"/>
  <c r="AX159" i="43"/>
  <c r="AX154" i="43"/>
  <c r="AX149" i="43"/>
  <c r="AX152" i="43"/>
  <c r="AX150" i="43"/>
  <c r="BK235" i="45"/>
  <c r="BK234" i="45"/>
  <c r="BK241" i="45"/>
  <c r="BK243" i="45"/>
  <c r="BK237" i="45"/>
  <c r="BK242" i="45"/>
  <c r="BK239" i="45"/>
  <c r="BK238" i="45"/>
  <c r="BK236" i="45"/>
  <c r="L45" i="33"/>
  <c r="T190" i="43"/>
  <c r="U30" i="29"/>
  <c r="K206" i="43"/>
  <c r="K202" i="43"/>
  <c r="K209" i="43"/>
  <c r="K203" i="43"/>
  <c r="K205" i="43"/>
  <c r="K201" i="43"/>
  <c r="N91" i="43"/>
  <c r="N84" i="43"/>
  <c r="N89" i="43"/>
  <c r="N82" i="43"/>
  <c r="N86" i="43"/>
  <c r="N85" i="43"/>
  <c r="AY152" i="43"/>
  <c r="AY159" i="43"/>
  <c r="AY154" i="43"/>
  <c r="AY150" i="43"/>
  <c r="AY151" i="43"/>
  <c r="AY149" i="43"/>
  <c r="AY153" i="43"/>
  <c r="AS171" i="45"/>
  <c r="AS175" i="45"/>
  <c r="AS170" i="45"/>
  <c r="AS174" i="45"/>
  <c r="AS169" i="45"/>
  <c r="AS167" i="45"/>
  <c r="AS173" i="45"/>
  <c r="BJ154" i="43"/>
  <c r="BJ152" i="43"/>
  <c r="BJ149" i="43"/>
  <c r="BJ150" i="43"/>
  <c r="BJ155" i="43"/>
  <c r="BJ153" i="43"/>
  <c r="BJ158" i="43"/>
  <c r="BJ151" i="43"/>
  <c r="L82" i="29"/>
  <c r="L80" i="29"/>
  <c r="L85" i="29"/>
  <c r="L86" i="29"/>
  <c r="J186" i="31"/>
  <c r="J180" i="31"/>
  <c r="J179" i="31"/>
  <c r="J183" i="31"/>
  <c r="J185" i="31" s="1"/>
  <c r="J182" i="31"/>
  <c r="J178" i="31"/>
  <c r="J264" i="32"/>
  <c r="J266" i="32"/>
  <c r="J268" i="32"/>
  <c r="J267" i="32"/>
  <c r="J262" i="32"/>
  <c r="AD176" i="43"/>
  <c r="BO224" i="43"/>
  <c r="L104" i="43"/>
  <c r="L108" i="43"/>
  <c r="L99" i="43"/>
  <c r="L100" i="43"/>
  <c r="AU116" i="45"/>
  <c r="AU118" i="45"/>
  <c r="AU124" i="45"/>
  <c r="AU119" i="45"/>
  <c r="AU123" i="45"/>
  <c r="AU117" i="45"/>
  <c r="BO118" i="43"/>
  <c r="BO121" i="43"/>
  <c r="BO124" i="43"/>
  <c r="BO119" i="43"/>
  <c r="BO115" i="43"/>
  <c r="BO125" i="43"/>
  <c r="BO117" i="43"/>
  <c r="BO116" i="43"/>
  <c r="BO120" i="43"/>
  <c r="BJ217" i="45"/>
  <c r="BJ222" i="45"/>
  <c r="BJ221" i="45"/>
  <c r="BJ218" i="45"/>
  <c r="BJ226" i="45"/>
  <c r="BJ219" i="45"/>
  <c r="BJ220" i="45"/>
  <c r="O186" i="28"/>
  <c r="O180" i="28"/>
  <c r="O182" i="28"/>
  <c r="O179" i="28"/>
  <c r="O178" i="28"/>
  <c r="O184" i="28"/>
  <c r="O185" i="28" s="1"/>
  <c r="L192" i="29"/>
  <c r="L200" i="29"/>
  <c r="K186" i="31"/>
  <c r="K182" i="31"/>
  <c r="K179" i="31"/>
  <c r="K183" i="31"/>
  <c r="K184" i="31"/>
  <c r="T124" i="32"/>
  <c r="T128" i="32"/>
  <c r="T123" i="32"/>
  <c r="K264" i="32"/>
  <c r="K270" i="32"/>
  <c r="K262" i="32"/>
  <c r="K266" i="32"/>
  <c r="V246" i="41"/>
  <c r="AT246" i="41" s="1"/>
  <c r="U226" i="29"/>
  <c r="L51" i="32"/>
  <c r="K57" i="32"/>
  <c r="AH284" i="43"/>
  <c r="AH283" i="43" s="1"/>
  <c r="AD166" i="43"/>
  <c r="U263" i="32"/>
  <c r="S264" i="29"/>
  <c r="AU122" i="45"/>
  <c r="BK288" i="43"/>
  <c r="S263" i="29"/>
  <c r="AY157" i="43"/>
  <c r="J154" i="43"/>
  <c r="J159" i="43"/>
  <c r="J149" i="43"/>
  <c r="J152" i="43"/>
  <c r="J150" i="43"/>
  <c r="J157" i="43"/>
  <c r="J155" i="43"/>
  <c r="J158" i="43"/>
  <c r="J151" i="43"/>
  <c r="J153" i="43"/>
  <c r="AD13" i="43"/>
  <c r="AD22" i="43"/>
  <c r="AD23" i="43"/>
  <c r="U312" i="41"/>
  <c r="AS312" i="41" s="1"/>
  <c r="AD74" i="43"/>
  <c r="N140" i="43"/>
  <c r="N138" i="43"/>
  <c r="N137" i="43"/>
  <c r="N134" i="43"/>
  <c r="N131" i="43" s="1"/>
  <c r="N141" i="43"/>
  <c r="N136" i="43"/>
  <c r="AE18" i="43"/>
  <c r="AE13" i="43"/>
  <c r="AE14" i="43"/>
  <c r="AE16" i="43"/>
  <c r="AE19" i="43"/>
  <c r="AE15" i="43"/>
  <c r="AE23" i="43"/>
  <c r="AE20" i="43" s="1"/>
  <c r="AE124" i="43"/>
  <c r="AE119" i="43"/>
  <c r="AE120" i="43"/>
  <c r="AE125" i="43"/>
  <c r="AY47" i="43"/>
  <c r="AY55" i="43"/>
  <c r="AY49" i="43"/>
  <c r="AY57" i="43"/>
  <c r="AY56" i="43"/>
  <c r="AY52" i="43"/>
  <c r="S86" i="32"/>
  <c r="S82" i="32"/>
  <c r="S85" i="32"/>
  <c r="S80" i="32"/>
  <c r="S88" i="32"/>
  <c r="S81" i="32"/>
  <c r="S51" i="32"/>
  <c r="S56" i="32" s="1"/>
  <c r="S122" i="32"/>
  <c r="S123" i="32"/>
  <c r="S126" i="32"/>
  <c r="S128" i="32"/>
  <c r="S129" i="32" s="1"/>
  <c r="S107" i="32"/>
  <c r="S113" i="32" s="1"/>
  <c r="AD72" i="43"/>
  <c r="AZ222" i="43"/>
  <c r="N38" i="43"/>
  <c r="N35" i="43"/>
  <c r="N39" i="43"/>
  <c r="N34" i="43"/>
  <c r="N32" i="43"/>
  <c r="N40" i="43"/>
  <c r="W151" i="45"/>
  <c r="W148" i="45"/>
  <c r="W158" i="45"/>
  <c r="W153" i="45"/>
  <c r="W152" i="45"/>
  <c r="W149" i="45"/>
  <c r="W154" i="45"/>
  <c r="W157" i="45"/>
  <c r="W150" i="45"/>
  <c r="BJ38" i="45"/>
  <c r="BJ39" i="45"/>
  <c r="BJ34" i="45"/>
  <c r="BJ30" i="45"/>
  <c r="BJ29" i="45"/>
  <c r="BJ33" i="45"/>
  <c r="BJ31" i="45"/>
  <c r="BJ35" i="45"/>
  <c r="N184" i="28"/>
  <c r="N178" i="28"/>
  <c r="N180" i="28"/>
  <c r="N186" i="28"/>
  <c r="N183" i="28"/>
  <c r="T84" i="32"/>
  <c r="T81" i="32"/>
  <c r="T80" i="32"/>
  <c r="T86" i="32"/>
  <c r="AJ318" i="43"/>
  <c r="L48" i="43"/>
  <c r="L50" i="43"/>
  <c r="L53" i="43"/>
  <c r="L49" i="43"/>
  <c r="L55" i="43"/>
  <c r="L56" i="43"/>
  <c r="L57" i="43"/>
  <c r="L52" i="43"/>
  <c r="N210" i="28"/>
  <c r="AM259" i="41"/>
  <c r="AQ259" i="41" s="1"/>
  <c r="U225" i="29"/>
  <c r="K51" i="29"/>
  <c r="L87" i="33"/>
  <c r="R31" i="33"/>
  <c r="L167" i="30"/>
  <c r="AD170" i="43"/>
  <c r="L47" i="43"/>
  <c r="L198" i="32"/>
  <c r="S84" i="32"/>
  <c r="AU115" i="45"/>
  <c r="BK290" i="43"/>
  <c r="L194" i="32"/>
  <c r="AY48" i="43"/>
  <c r="J104" i="43"/>
  <c r="J106" i="43"/>
  <c r="J98" i="43"/>
  <c r="G21" i="45"/>
  <c r="G14" i="45"/>
  <c r="G18" i="45"/>
  <c r="AZ223" i="43"/>
  <c r="AZ219" i="43"/>
  <c r="AZ220" i="43"/>
  <c r="AZ221" i="43"/>
  <c r="AZ225" i="43"/>
  <c r="AZ227" i="43"/>
  <c r="U270" i="32"/>
  <c r="U264" i="32"/>
  <c r="U266" i="32"/>
  <c r="U267" i="32"/>
  <c r="U269" i="32" s="1"/>
  <c r="U262" i="32"/>
  <c r="AJ50" i="43"/>
  <c r="J321" i="43"/>
  <c r="J324" i="43"/>
  <c r="J327" i="43"/>
  <c r="J328" i="43"/>
  <c r="J319" i="43"/>
  <c r="J325" i="43"/>
  <c r="N189" i="43"/>
  <c r="N193" i="43"/>
  <c r="N191" i="43"/>
  <c r="BI216" i="45"/>
  <c r="BI220" i="45"/>
  <c r="BI224" i="45"/>
  <c r="BI221" i="45"/>
  <c r="BI219" i="45"/>
  <c r="BI226" i="45"/>
  <c r="BI225" i="45"/>
  <c r="BI217" i="45"/>
  <c r="L180" i="28"/>
  <c r="L178" i="28"/>
  <c r="L182" i="28"/>
  <c r="L183" i="28"/>
  <c r="L184" i="28"/>
  <c r="L186" i="28"/>
  <c r="J14" i="29"/>
  <c r="J11" i="29"/>
  <c r="J10" i="29"/>
  <c r="J18" i="29"/>
  <c r="J12" i="29"/>
  <c r="J15" i="29"/>
  <c r="J17" i="29" s="1"/>
  <c r="L151" i="32"/>
  <c r="L153" i="32" s="1"/>
  <c r="L158" i="32"/>
  <c r="L155" i="32"/>
  <c r="L156" i="32"/>
  <c r="AD168" i="43"/>
  <c r="V236" i="43"/>
  <c r="V237" i="43"/>
  <c r="V242" i="43"/>
  <c r="AX100" i="43"/>
  <c r="AX104" i="43"/>
  <c r="AX108" i="43"/>
  <c r="AX101" i="43"/>
  <c r="AX99" i="43"/>
  <c r="AX102" i="43"/>
  <c r="AX106" i="43"/>
  <c r="BI86" i="45"/>
  <c r="BI88" i="45"/>
  <c r="BI82" i="45"/>
  <c r="BI84" i="45"/>
  <c r="BI83" i="45"/>
  <c r="BK150" i="45"/>
  <c r="BK152" i="45"/>
  <c r="BK157" i="45"/>
  <c r="BK151" i="45"/>
  <c r="BK154" i="45"/>
  <c r="BK148" i="45"/>
  <c r="K11" i="29"/>
  <c r="K12" i="29"/>
  <c r="K16" i="29"/>
  <c r="K15" i="29"/>
  <c r="K10" i="29"/>
  <c r="S16" i="29"/>
  <c r="S10" i="29"/>
  <c r="S12" i="29"/>
  <c r="S15" i="29"/>
  <c r="S11" i="29"/>
  <c r="S82" i="29"/>
  <c r="S81" i="29"/>
  <c r="S86" i="29"/>
  <c r="S84" i="29"/>
  <c r="S51" i="29"/>
  <c r="S54" i="29" s="1"/>
  <c r="K196" i="29"/>
  <c r="K192" i="29"/>
  <c r="K198" i="29"/>
  <c r="K200" i="29"/>
  <c r="K194" i="29"/>
  <c r="K197" i="29"/>
  <c r="K264" i="29"/>
  <c r="K262" i="29"/>
  <c r="S172" i="32"/>
  <c r="S166" i="32"/>
  <c r="S169" i="32"/>
  <c r="S170" i="32"/>
  <c r="S164" i="32"/>
  <c r="G17" i="45"/>
  <c r="L154" i="43"/>
  <c r="L158" i="43"/>
  <c r="L151" i="43"/>
  <c r="L153" i="43"/>
  <c r="L149" i="43"/>
  <c r="L155" i="43"/>
  <c r="N207" i="28"/>
  <c r="F207" i="28" s="1"/>
  <c r="J50" i="30"/>
  <c r="W312" i="41"/>
  <c r="AU312" i="41" s="1"/>
  <c r="T116" i="29"/>
  <c r="K298" i="41"/>
  <c r="AD175" i="43"/>
  <c r="J322" i="43"/>
  <c r="K100" i="43"/>
  <c r="N33" i="43"/>
  <c r="L82" i="32"/>
  <c r="BI222" i="45"/>
  <c r="BI89" i="45"/>
  <c r="T122" i="32"/>
  <c r="BJ225" i="45"/>
  <c r="BD49" i="43"/>
  <c r="BD53" i="43"/>
  <c r="V346" i="41"/>
  <c r="AT346" i="41" s="1"/>
  <c r="AF326" i="43"/>
  <c r="V37" i="43"/>
  <c r="U130" i="45"/>
  <c r="L171" i="30"/>
  <c r="AF46" i="43"/>
  <c r="W156" i="43"/>
  <c r="T182" i="43"/>
  <c r="S131" i="43"/>
  <c r="X46" i="43"/>
  <c r="J40" i="43"/>
  <c r="J39" i="43"/>
  <c r="J35" i="43"/>
  <c r="J31" i="43"/>
  <c r="J34" i="43"/>
  <c r="R25" i="33"/>
  <c r="R28" i="33"/>
  <c r="K98" i="33"/>
  <c r="K102" i="33"/>
  <c r="K95" i="33"/>
  <c r="K100" i="33"/>
  <c r="K101" i="33" s="1"/>
  <c r="J196" i="33"/>
  <c r="J192" i="33"/>
  <c r="J194" i="33"/>
  <c r="J200" i="33"/>
  <c r="AT73" i="43"/>
  <c r="AT67" i="43"/>
  <c r="AT74" i="43"/>
  <c r="AT70" i="43"/>
  <c r="AT121" i="43"/>
  <c r="AT124" i="43"/>
  <c r="AT117" i="43"/>
  <c r="AT116" i="43"/>
  <c r="AT119" i="43"/>
  <c r="AT125" i="43"/>
  <c r="AT176" i="43"/>
  <c r="AT171" i="43"/>
  <c r="AT169" i="43"/>
  <c r="AT168" i="43"/>
  <c r="AT175" i="43"/>
  <c r="AT170" i="43"/>
  <c r="T101" i="33"/>
  <c r="K213" i="30"/>
  <c r="S198" i="45"/>
  <c r="J91" i="43"/>
  <c r="J89" i="43"/>
  <c r="J84" i="43"/>
  <c r="J86" i="43"/>
  <c r="J82" i="43"/>
  <c r="J90" i="43"/>
  <c r="E185" i="45"/>
  <c r="E184" i="45"/>
  <c r="E182" i="45"/>
  <c r="K129" i="33"/>
  <c r="J73" i="33"/>
  <c r="K209" i="31"/>
  <c r="T157" i="30"/>
  <c r="T45" i="33"/>
  <c r="L213" i="28"/>
  <c r="L41" i="30"/>
  <c r="E89" i="45"/>
  <c r="E82" i="45"/>
  <c r="E85" i="45"/>
  <c r="E84" i="45"/>
  <c r="E83" i="45"/>
  <c r="J213" i="31"/>
  <c r="T41" i="33"/>
  <c r="AI284" i="43"/>
  <c r="AI131" i="43"/>
  <c r="J46" i="43"/>
  <c r="O20" i="43"/>
  <c r="AE233" i="43"/>
  <c r="W29" i="43"/>
  <c r="X114" i="43"/>
  <c r="K31" i="29"/>
  <c r="AD226" i="45"/>
  <c r="AD221" i="45"/>
  <c r="AD218" i="45"/>
  <c r="AD224" i="45"/>
  <c r="AT17" i="43"/>
  <c r="AT13" i="43"/>
  <c r="AT19" i="43"/>
  <c r="AT21" i="43"/>
  <c r="AT22" i="43"/>
  <c r="AU72" i="43"/>
  <c r="AU64" i="43"/>
  <c r="AU68" i="43"/>
  <c r="AU66" i="43"/>
  <c r="AU65" i="43"/>
  <c r="AU74" i="43"/>
  <c r="AU70" i="43"/>
  <c r="AU67" i="43"/>
  <c r="AM65" i="45"/>
  <c r="AM64" i="45"/>
  <c r="AM66" i="45"/>
  <c r="AM68" i="45"/>
  <c r="AM118" i="45"/>
  <c r="AM120" i="45"/>
  <c r="AM124" i="45"/>
  <c r="AM119" i="45"/>
  <c r="AM123" i="45"/>
  <c r="AM116" i="45"/>
  <c r="M341" i="41"/>
  <c r="M337" i="41"/>
  <c r="M344" i="41"/>
  <c r="BC327" i="43"/>
  <c r="BC324" i="43"/>
  <c r="BC321" i="43"/>
  <c r="BC325" i="43"/>
  <c r="BC320" i="43"/>
  <c r="BC323" i="43"/>
  <c r="BC328" i="43"/>
  <c r="BC322" i="43"/>
  <c r="AS55" i="45"/>
  <c r="AS54" i="45"/>
  <c r="AS52" i="45"/>
  <c r="AS56" i="45"/>
  <c r="AS49" i="45"/>
  <c r="BJ52" i="43"/>
  <c r="BJ48" i="43"/>
  <c r="BJ47" i="43"/>
  <c r="BJ56" i="43"/>
  <c r="BJ53" i="43"/>
  <c r="N20" i="45"/>
  <c r="N17" i="45"/>
  <c r="Q33" i="45"/>
  <c r="Q38" i="45"/>
  <c r="Q36" i="45" s="1"/>
  <c r="W192" i="45"/>
  <c r="W191" i="45"/>
  <c r="W188" i="45"/>
  <c r="W190" i="45"/>
  <c r="W186" i="45"/>
  <c r="W182" i="45"/>
  <c r="W181" i="45" s="1"/>
  <c r="AE219" i="45"/>
  <c r="AE218" i="45"/>
  <c r="S210" i="30"/>
  <c r="S206" i="30"/>
  <c r="L197" i="33"/>
  <c r="L199" i="33" s="1"/>
  <c r="L196" i="33"/>
  <c r="L200" i="33"/>
  <c r="AU14" i="43"/>
  <c r="AU16" i="43"/>
  <c r="AU15" i="43"/>
  <c r="AU23" i="43"/>
  <c r="AU17" i="43"/>
  <c r="AV72" i="43"/>
  <c r="AV73" i="43"/>
  <c r="AK216" i="45"/>
  <c r="AK221" i="45"/>
  <c r="AK222" i="45"/>
  <c r="AK224" i="45"/>
  <c r="AK218" i="45"/>
  <c r="AK341" i="45"/>
  <c r="AK337" i="45"/>
  <c r="AK336" i="45"/>
  <c r="AK339" i="45"/>
  <c r="AK344" i="45"/>
  <c r="V138" i="45"/>
  <c r="BB233" i="43"/>
  <c r="AX284" i="43"/>
  <c r="R68" i="43"/>
  <c r="R72" i="43"/>
  <c r="R74" i="43"/>
  <c r="R69" i="43"/>
  <c r="T170" i="43"/>
  <c r="T166" i="43"/>
  <c r="T175" i="43"/>
  <c r="T167" i="43"/>
  <c r="S235" i="43"/>
  <c r="S244" i="43"/>
  <c r="Q209" i="45"/>
  <c r="Q200" i="45"/>
  <c r="Z57" i="43"/>
  <c r="Z50" i="43"/>
  <c r="T154" i="30"/>
  <c r="T152" i="30"/>
  <c r="T150" i="30"/>
  <c r="AV19" i="43"/>
  <c r="AV21" i="43"/>
  <c r="AV16" i="43"/>
  <c r="AV22" i="43"/>
  <c r="AV18" i="43"/>
  <c r="AK156" i="45"/>
  <c r="AK152" i="45"/>
  <c r="AK148" i="45"/>
  <c r="AK154" i="45"/>
  <c r="AK157" i="45"/>
  <c r="AK158" i="45"/>
  <c r="AK153" i="45"/>
  <c r="AK150" i="45"/>
  <c r="AL218" i="45"/>
  <c r="AL219" i="45"/>
  <c r="AL220" i="45"/>
  <c r="AL216" i="45"/>
  <c r="AL336" i="45"/>
  <c r="AL335" i="45"/>
  <c r="AL337" i="45"/>
  <c r="AL341" i="45"/>
  <c r="AO34" i="45"/>
  <c r="AO29" i="45"/>
  <c r="AO38" i="45"/>
  <c r="AO33" i="45"/>
  <c r="AO30" i="45"/>
  <c r="AO216" i="45"/>
  <c r="AO226" i="45"/>
  <c r="AO218" i="45"/>
  <c r="AO221" i="45"/>
  <c r="F124" i="45"/>
  <c r="F119" i="45"/>
  <c r="F114" i="45"/>
  <c r="O104" i="43"/>
  <c r="O108" i="43"/>
  <c r="O107" i="43"/>
  <c r="O98" i="43"/>
  <c r="I204" i="45"/>
  <c r="I201" i="45"/>
  <c r="R22" i="43"/>
  <c r="R21" i="43"/>
  <c r="T244" i="43"/>
  <c r="T235" i="43"/>
  <c r="X30" i="43"/>
  <c r="X40" i="43"/>
  <c r="X38" i="43"/>
  <c r="R200" i="45"/>
  <c r="R198" i="45" s="1"/>
  <c r="R209" i="45"/>
  <c r="AA51" i="43"/>
  <c r="AA47" i="43"/>
  <c r="AA55" i="43"/>
  <c r="AA54" i="43" s="1"/>
  <c r="AJ293" i="43"/>
  <c r="AJ292" i="43" s="1"/>
  <c r="AJ285" i="43"/>
  <c r="J42" i="33"/>
  <c r="J38" i="33"/>
  <c r="J41" i="33" s="1"/>
  <c r="AY237" i="43"/>
  <c r="AY240" i="43"/>
  <c r="AY239" i="43"/>
  <c r="AY235" i="43"/>
  <c r="AY242" i="43"/>
  <c r="AY234" i="43"/>
  <c r="AP37" i="45"/>
  <c r="AP31" i="45"/>
  <c r="AP34" i="45"/>
  <c r="AP39" i="45"/>
  <c r="AP38" i="45"/>
  <c r="AP35" i="45"/>
  <c r="AP32" i="45"/>
  <c r="AO133" i="45"/>
  <c r="AO139" i="45"/>
  <c r="AO138" i="45" s="1"/>
  <c r="AO134" i="45"/>
  <c r="AO132" i="45"/>
  <c r="AO137" i="45"/>
  <c r="AO136" i="45"/>
  <c r="AQ148" i="45"/>
  <c r="AQ152" i="45"/>
  <c r="AQ153" i="45"/>
  <c r="AQ149" i="45"/>
  <c r="AQ154" i="45"/>
  <c r="AQ157" i="45"/>
  <c r="AQ155" i="45" s="1"/>
  <c r="Z69" i="43"/>
  <c r="Z72" i="43"/>
  <c r="Z66" i="43"/>
  <c r="Z65" i="43"/>
  <c r="AU191" i="43"/>
  <c r="AU193" i="43"/>
  <c r="AU238" i="43"/>
  <c r="AU236" i="43"/>
  <c r="AU310" i="43"/>
  <c r="AU302" i="43"/>
  <c r="AU303" i="43"/>
  <c r="AU305" i="43"/>
  <c r="AU307" i="43"/>
  <c r="AU311" i="43"/>
  <c r="AM83" i="45"/>
  <c r="AM84" i="45"/>
  <c r="AX115" i="43"/>
  <c r="AX119" i="43"/>
  <c r="AX166" i="43"/>
  <c r="AX168" i="43"/>
  <c r="AX170" i="43"/>
  <c r="AX167" i="43"/>
  <c r="AX172" i="43"/>
  <c r="AX176" i="43"/>
  <c r="AO80" i="45"/>
  <c r="AO85" i="45"/>
  <c r="AO82" i="45"/>
  <c r="AO89" i="45"/>
  <c r="AO88" i="45"/>
  <c r="AO86" i="45"/>
  <c r="AO90" i="45"/>
  <c r="AP225" i="45"/>
  <c r="AP218" i="45"/>
  <c r="AP219" i="45"/>
  <c r="BP15" i="43"/>
  <c r="BP17" i="43"/>
  <c r="BP14" i="43"/>
  <c r="BP13" i="43"/>
  <c r="BP70" i="43"/>
  <c r="BP74" i="43"/>
  <c r="BP69" i="43"/>
  <c r="BP124" i="43"/>
  <c r="BP122" i="43" s="1"/>
  <c r="BP119" i="43"/>
  <c r="BP121" i="43"/>
  <c r="BK80" i="45"/>
  <c r="BK82" i="45"/>
  <c r="BK85" i="45"/>
  <c r="Z64" i="43"/>
  <c r="Z23" i="43"/>
  <c r="Z13" i="43"/>
  <c r="AB119" i="43"/>
  <c r="AB120" i="43"/>
  <c r="AV311" i="43"/>
  <c r="AV308" i="43"/>
  <c r="AV304" i="43"/>
  <c r="AY123" i="43"/>
  <c r="AY116" i="43"/>
  <c r="AY124" i="43"/>
  <c r="AY120" i="43"/>
  <c r="AY117" i="43"/>
  <c r="AY121" i="43"/>
  <c r="AP86" i="45"/>
  <c r="AP83" i="45"/>
  <c r="BC191" i="43"/>
  <c r="BC190" i="43" s="1"/>
  <c r="BC188" i="43"/>
  <c r="BP175" i="43"/>
  <c r="BP176" i="43"/>
  <c r="BP167" i="43"/>
  <c r="BP166" i="43"/>
  <c r="BP171" i="43"/>
  <c r="M73" i="45"/>
  <c r="M66" i="45"/>
  <c r="M65" i="45"/>
  <c r="M120" i="45"/>
  <c r="M123" i="45"/>
  <c r="N166" i="45"/>
  <c r="N173" i="45"/>
  <c r="N175" i="45"/>
  <c r="X323" i="43"/>
  <c r="X325" i="43"/>
  <c r="X319" i="43"/>
  <c r="X321" i="43"/>
  <c r="AA19" i="43"/>
  <c r="AA22" i="43"/>
  <c r="AA17" i="43"/>
  <c r="AA14" i="43"/>
  <c r="U141" i="45"/>
  <c r="U138" i="45" s="1"/>
  <c r="U136" i="45"/>
  <c r="V239" i="45"/>
  <c r="V234" i="45"/>
  <c r="Y149" i="45"/>
  <c r="Y158" i="45"/>
  <c r="I304" i="41"/>
  <c r="I306" i="41"/>
  <c r="AX56" i="43"/>
  <c r="AX52" i="43"/>
  <c r="AY290" i="43"/>
  <c r="AY286" i="43"/>
  <c r="AY285" i="43"/>
  <c r="AY289" i="43"/>
  <c r="AY295" i="43"/>
  <c r="AO22" i="45"/>
  <c r="AO14" i="45"/>
  <c r="AO20" i="45"/>
  <c r="AO18" i="45"/>
  <c r="AO13" i="45"/>
  <c r="AP335" i="45"/>
  <c r="AP340" i="45"/>
  <c r="AT224" i="45"/>
  <c r="AT222" i="45"/>
  <c r="AT221" i="45"/>
  <c r="AT217" i="45"/>
  <c r="BL268" i="43"/>
  <c r="BL273" i="43"/>
  <c r="BL277" i="43"/>
  <c r="BL275" i="43" s="1"/>
  <c r="BN222" i="43"/>
  <c r="BN223" i="43"/>
  <c r="BN219" i="43"/>
  <c r="BO293" i="43"/>
  <c r="BO292" i="43" s="1"/>
  <c r="BO285" i="43"/>
  <c r="BK338" i="45"/>
  <c r="BK344" i="45"/>
  <c r="AF123" i="43"/>
  <c r="AZ73" i="43"/>
  <c r="AZ65" i="43"/>
  <c r="AZ68" i="43"/>
  <c r="AZ74" i="43"/>
  <c r="M323" i="41"/>
  <c r="M324" i="41"/>
  <c r="M322" i="41"/>
  <c r="M327" i="41"/>
  <c r="AT37" i="45"/>
  <c r="AT36" i="45" s="1"/>
  <c r="AT32" i="45"/>
  <c r="AT28" i="45" s="1"/>
  <c r="AS84" i="45"/>
  <c r="AS86" i="45"/>
  <c r="BJ187" i="43"/>
  <c r="BJ186" i="43"/>
  <c r="BJ185" i="43"/>
  <c r="BK327" i="43"/>
  <c r="BK329" i="43"/>
  <c r="BK324" i="43"/>
  <c r="BK320" i="43"/>
  <c r="BK318" i="43" s="1"/>
  <c r="BK323" i="43"/>
  <c r="BK328" i="43"/>
  <c r="BK325" i="43"/>
  <c r="BN56" i="43"/>
  <c r="BN54" i="43" s="1"/>
  <c r="BN52" i="43"/>
  <c r="BN48" i="43"/>
  <c r="BN46" i="43" s="1"/>
  <c r="BN53" i="43"/>
  <c r="K166" i="43"/>
  <c r="Z135" i="45"/>
  <c r="I187" i="45"/>
  <c r="I185" i="45"/>
  <c r="S248" i="30"/>
  <c r="S250" i="30"/>
  <c r="S256" i="30"/>
  <c r="S254" i="30"/>
  <c r="S255" i="30" s="1"/>
  <c r="AT276" i="43"/>
  <c r="AT270" i="43"/>
  <c r="AT268" i="43"/>
  <c r="AT274" i="43"/>
  <c r="BD170" i="43"/>
  <c r="BD168" i="43"/>
  <c r="J252" i="29"/>
  <c r="J248" i="29"/>
  <c r="F37" i="45"/>
  <c r="F35" i="45"/>
  <c r="G139" i="45"/>
  <c r="L154" i="30"/>
  <c r="L158" i="30"/>
  <c r="L155" i="30"/>
  <c r="L157" i="30" s="1"/>
  <c r="R144" i="30"/>
  <c r="R136" i="30"/>
  <c r="R139" i="30" s="1"/>
  <c r="R142" i="30"/>
  <c r="R143" i="30" s="1"/>
  <c r="K40" i="33"/>
  <c r="K41" i="33" s="1"/>
  <c r="K44" i="33"/>
  <c r="K45" i="33" s="1"/>
  <c r="AU321" i="43"/>
  <c r="AU322" i="43"/>
  <c r="AU327" i="43"/>
  <c r="K175" i="43"/>
  <c r="G190" i="45"/>
  <c r="G192" i="45"/>
  <c r="G184" i="45"/>
  <c r="G181" i="45" s="1"/>
  <c r="Y39" i="45"/>
  <c r="Y35" i="45"/>
  <c r="Y29" i="45"/>
  <c r="Y28" i="45" s="1"/>
  <c r="Y38" i="45"/>
  <c r="Z184" i="45"/>
  <c r="Z185" i="45"/>
  <c r="Z192" i="45"/>
  <c r="Z189" i="45" s="1"/>
  <c r="R18" i="30"/>
  <c r="R106" i="30"/>
  <c r="L40" i="33"/>
  <c r="L41" i="33" s="1"/>
  <c r="L42" i="33"/>
  <c r="AV51" i="43"/>
  <c r="AV47" i="43"/>
  <c r="AU157" i="43"/>
  <c r="AU156" i="43" s="1"/>
  <c r="AU150" i="43"/>
  <c r="AU149" i="43"/>
  <c r="AU152" i="43"/>
  <c r="AS122" i="45"/>
  <c r="AS120" i="45"/>
  <c r="BO325" i="43"/>
  <c r="BO329" i="43"/>
  <c r="BO328" i="43"/>
  <c r="BO320" i="43"/>
  <c r="BO327" i="43"/>
  <c r="BO319" i="43"/>
  <c r="BO323" i="43"/>
  <c r="J42" i="29"/>
  <c r="J43" i="29"/>
  <c r="E17" i="45"/>
  <c r="E12" i="45"/>
  <c r="N124" i="43"/>
  <c r="N119" i="43"/>
  <c r="AF83" i="43"/>
  <c r="AF90" i="43"/>
  <c r="AE257" i="43"/>
  <c r="AE255" i="43"/>
  <c r="Z86" i="45"/>
  <c r="Z80" i="45"/>
  <c r="Z88" i="45"/>
  <c r="Z87" i="45" s="1"/>
  <c r="AI186" i="43"/>
  <c r="AI185" i="43"/>
  <c r="T107" i="30"/>
  <c r="T110" i="30" s="1"/>
  <c r="S106" i="30"/>
  <c r="AV157" i="43"/>
  <c r="AV151" i="43"/>
  <c r="O302" i="41"/>
  <c r="BL123" i="43"/>
  <c r="BL119" i="43"/>
  <c r="BO32" i="43"/>
  <c r="BO38" i="43"/>
  <c r="BO37" i="43" s="1"/>
  <c r="BO33" i="43"/>
  <c r="BO30" i="43"/>
  <c r="K70" i="32"/>
  <c r="K67" i="32"/>
  <c r="P121" i="43"/>
  <c r="P124" i="43"/>
  <c r="P115" i="43"/>
  <c r="Y98" i="45"/>
  <c r="Y100" i="45"/>
  <c r="AV271" i="43"/>
  <c r="AV272" i="43"/>
  <c r="AX276" i="43"/>
  <c r="AX268" i="43"/>
  <c r="AQ71" i="45"/>
  <c r="AQ72" i="45"/>
  <c r="AT173" i="45"/>
  <c r="AT165" i="45"/>
  <c r="BJ23" i="43"/>
  <c r="BJ22" i="43"/>
  <c r="BL189" i="43"/>
  <c r="BL193" i="43"/>
  <c r="BJ139" i="45"/>
  <c r="BJ141" i="45"/>
  <c r="I167" i="45"/>
  <c r="AA86" i="43"/>
  <c r="AA91" i="43"/>
  <c r="AU89" i="43"/>
  <c r="AU81" i="43"/>
  <c r="BC16" i="43"/>
  <c r="BC15" i="43"/>
  <c r="BC17" i="43"/>
  <c r="AS37" i="45"/>
  <c r="AS36" i="45" s="1"/>
  <c r="K62" i="30"/>
  <c r="AU54" i="45"/>
  <c r="AU46" i="45"/>
  <c r="AT99" i="45"/>
  <c r="AT100" i="45"/>
  <c r="BP157" i="43"/>
  <c r="BP153" i="43"/>
  <c r="BK20" i="45"/>
  <c r="BK21" i="45"/>
  <c r="Y192" i="45"/>
  <c r="Y188" i="45"/>
  <c r="AD137" i="45"/>
  <c r="AD140" i="45"/>
  <c r="L62" i="30"/>
  <c r="BK72" i="43"/>
  <c r="BK64" i="43"/>
  <c r="BK68" i="43"/>
  <c r="BJ225" i="43"/>
  <c r="BJ217" i="43"/>
  <c r="BJ222" i="43"/>
  <c r="L46" i="30"/>
  <c r="J106" i="30"/>
  <c r="S118" i="30"/>
  <c r="K62" i="33"/>
  <c r="R107" i="33"/>
  <c r="R110" i="33" s="1"/>
  <c r="AF242" i="43"/>
  <c r="T62" i="30"/>
  <c r="L106" i="30"/>
  <c r="R62" i="33"/>
  <c r="S50" i="30"/>
  <c r="J118" i="30"/>
  <c r="S62" i="33"/>
  <c r="R118" i="33"/>
  <c r="R106" i="33"/>
  <c r="I280" i="41"/>
  <c r="T50" i="30"/>
  <c r="K118" i="30"/>
  <c r="S118" i="33"/>
  <c r="AE204" i="37"/>
  <c r="BN49" i="45"/>
  <c r="K144" i="28"/>
  <c r="AC236" i="37"/>
  <c r="N12" i="34"/>
  <c r="Z9" i="34"/>
  <c r="Z16" i="34" s="1"/>
  <c r="I93" i="41"/>
  <c r="Q63" i="45"/>
  <c r="Q64" i="45"/>
  <c r="Q66" i="45"/>
  <c r="Q71" i="45"/>
  <c r="L88" i="31"/>
  <c r="L86" i="31"/>
  <c r="L80" i="31"/>
  <c r="L85" i="31"/>
  <c r="BO165" i="45"/>
  <c r="BO167" i="45"/>
  <c r="BO166" i="45"/>
  <c r="E17" i="37"/>
  <c r="BO173" i="45"/>
  <c r="E236" i="37"/>
  <c r="E239" i="37"/>
  <c r="E238" i="37"/>
  <c r="E233" i="37"/>
  <c r="J155" i="28"/>
  <c r="J156" i="28"/>
  <c r="J107" i="28"/>
  <c r="J108" i="28" s="1"/>
  <c r="J152" i="28"/>
  <c r="J150" i="28"/>
  <c r="J154" i="28"/>
  <c r="BO169" i="45"/>
  <c r="AJ182" i="43"/>
  <c r="P107" i="28"/>
  <c r="P109" i="28" s="1"/>
  <c r="BT289" i="43"/>
  <c r="BT291" i="43"/>
  <c r="BT290" i="43"/>
  <c r="BT293" i="43"/>
  <c r="G192" i="37"/>
  <c r="G188" i="37"/>
  <c r="K179" i="41"/>
  <c r="G184" i="37"/>
  <c r="G185" i="37"/>
  <c r="L155" i="31"/>
  <c r="L152" i="31"/>
  <c r="L158" i="31"/>
  <c r="BS183" i="43"/>
  <c r="BS187" i="43"/>
  <c r="BS193" i="43"/>
  <c r="BS189" i="43"/>
  <c r="BS192" i="43"/>
  <c r="BS191" i="43"/>
  <c r="BS188" i="43"/>
  <c r="BS186" i="43"/>
  <c r="J234" i="37"/>
  <c r="I204" i="37"/>
  <c r="I203" i="37"/>
  <c r="I200" i="37"/>
  <c r="I207" i="37"/>
  <c r="I208" i="37"/>
  <c r="BN170" i="45"/>
  <c r="BN168" i="45"/>
  <c r="BN174" i="45"/>
  <c r="BN167" i="45"/>
  <c r="N94" i="28"/>
  <c r="BO137" i="45"/>
  <c r="BO139" i="45"/>
  <c r="G191" i="37"/>
  <c r="O85" i="37"/>
  <c r="O80" i="37"/>
  <c r="G105" i="37"/>
  <c r="G97" i="37"/>
  <c r="G100" i="37"/>
  <c r="G98" i="37"/>
  <c r="K25" i="28"/>
  <c r="K32" i="28"/>
  <c r="K29" i="28"/>
  <c r="U58" i="29"/>
  <c r="U59" i="29" s="1"/>
  <c r="U52" i="29"/>
  <c r="U53" i="29"/>
  <c r="U56" i="29"/>
  <c r="U60" i="29"/>
  <c r="U54" i="29"/>
  <c r="E218" i="37"/>
  <c r="L16" i="28"/>
  <c r="L15" i="28"/>
  <c r="L12" i="28"/>
  <c r="L14" i="28"/>
  <c r="L11" i="28"/>
  <c r="G182" i="37"/>
  <c r="AM210" i="41"/>
  <c r="AQ210" i="41" s="1"/>
  <c r="J68" i="28"/>
  <c r="AC234" i="37"/>
  <c r="E235" i="37"/>
  <c r="BO136" i="45"/>
  <c r="S9" i="41"/>
  <c r="S264" i="41" s="1"/>
  <c r="S349" i="41" s="1"/>
  <c r="L239" i="31"/>
  <c r="L240" i="31"/>
  <c r="AE50" i="37"/>
  <c r="AE49" i="37"/>
  <c r="O238" i="37"/>
  <c r="K156" i="31"/>
  <c r="O252" i="28"/>
  <c r="AE207" i="37"/>
  <c r="BS268" i="43"/>
  <c r="O80" i="31"/>
  <c r="O84" i="31"/>
  <c r="O88" i="31"/>
  <c r="O239" i="31"/>
  <c r="O238" i="31"/>
  <c r="O236" i="31"/>
  <c r="N70" i="28"/>
  <c r="N67" i="28"/>
  <c r="N69" i="28" s="1"/>
  <c r="O100" i="31"/>
  <c r="O96" i="31"/>
  <c r="AC239" i="37"/>
  <c r="BR187" i="43"/>
  <c r="E16" i="37"/>
  <c r="AD80" i="37"/>
  <c r="AD82" i="37"/>
  <c r="AD81" i="37"/>
  <c r="BR287" i="43"/>
  <c r="BR286" i="43"/>
  <c r="J47" i="37"/>
  <c r="J51" i="37"/>
  <c r="J54" i="37"/>
  <c r="O145" i="41"/>
  <c r="K154" i="37"/>
  <c r="K152" i="37"/>
  <c r="K150" i="37"/>
  <c r="K151" i="37"/>
  <c r="J50" i="28"/>
  <c r="J190" i="28" s="1"/>
  <c r="K53" i="32"/>
  <c r="K60" i="32"/>
  <c r="K56" i="32"/>
  <c r="BR236" i="43"/>
  <c r="P23" i="34"/>
  <c r="X23" i="34"/>
  <c r="P270" i="28"/>
  <c r="P263" i="28"/>
  <c r="P268" i="28"/>
  <c r="P267" i="28"/>
  <c r="P262" i="28"/>
  <c r="P264" i="28"/>
  <c r="L225" i="28"/>
  <c r="L221" i="28"/>
  <c r="L224" i="28"/>
  <c r="AE200" i="37"/>
  <c r="BN15" i="45"/>
  <c r="K151" i="31"/>
  <c r="O253" i="28"/>
  <c r="O234" i="31"/>
  <c r="O82" i="31"/>
  <c r="BO203" i="45"/>
  <c r="AD90" i="37"/>
  <c r="BM103" i="45"/>
  <c r="BR193" i="43"/>
  <c r="E18" i="37"/>
  <c r="BM17" i="45"/>
  <c r="BM21" i="45"/>
  <c r="BM16" i="45"/>
  <c r="J152" i="31"/>
  <c r="J151" i="31"/>
  <c r="J82" i="37"/>
  <c r="J90" i="37"/>
  <c r="G149" i="37"/>
  <c r="G148" i="37"/>
  <c r="G150" i="37"/>
  <c r="G153" i="37"/>
  <c r="G152" i="37"/>
  <c r="K145" i="41"/>
  <c r="K157" i="41" s="1"/>
  <c r="E243" i="37"/>
  <c r="S182" i="37"/>
  <c r="S185" i="37"/>
  <c r="S183" i="37"/>
  <c r="K136" i="37"/>
  <c r="K139" i="37"/>
  <c r="K140" i="37"/>
  <c r="K126" i="31"/>
  <c r="K130" i="31"/>
  <c r="J238" i="37"/>
  <c r="J241" i="37"/>
  <c r="J236" i="37"/>
  <c r="R86" i="30"/>
  <c r="R88" i="30"/>
  <c r="R85" i="30"/>
  <c r="P50" i="31"/>
  <c r="BS270" i="43"/>
  <c r="BS272" i="43"/>
  <c r="BS277" i="43"/>
  <c r="BS271" i="43"/>
  <c r="BS269" i="43"/>
  <c r="BN50" i="45"/>
  <c r="BN54" i="45"/>
  <c r="BN48" i="45"/>
  <c r="BN47" i="45"/>
  <c r="J240" i="28"/>
  <c r="J235" i="28"/>
  <c r="J238" i="28"/>
  <c r="J219" i="28"/>
  <c r="J225" i="28" s="1"/>
  <c r="U46" i="37"/>
  <c r="U49" i="37"/>
  <c r="U54" i="37"/>
  <c r="U52" i="37"/>
  <c r="U50" i="37"/>
  <c r="G8" i="41"/>
  <c r="G263" i="41" s="1"/>
  <c r="G348" i="41" s="1"/>
  <c r="O74" i="28"/>
  <c r="O70" i="28"/>
  <c r="O68" i="28"/>
  <c r="O67" i="28"/>
  <c r="K137" i="28"/>
  <c r="K138" i="28"/>
  <c r="K142" i="28"/>
  <c r="K141" i="28"/>
  <c r="N100" i="28"/>
  <c r="N95" i="28"/>
  <c r="N98" i="28"/>
  <c r="N99" i="28"/>
  <c r="AI12" i="34"/>
  <c r="AI15" i="34"/>
  <c r="AI10" i="34"/>
  <c r="AI11" i="34"/>
  <c r="AI16" i="34"/>
  <c r="AI18" i="34"/>
  <c r="AL11" i="34"/>
  <c r="AL12" i="34"/>
  <c r="M52" i="37"/>
  <c r="M55" i="37"/>
  <c r="M48" i="37"/>
  <c r="M49" i="37"/>
  <c r="M50" i="37"/>
  <c r="M54" i="37"/>
  <c r="M56" i="37"/>
  <c r="M51" i="37"/>
  <c r="W232" i="45"/>
  <c r="S147" i="45"/>
  <c r="P170" i="31"/>
  <c r="P164" i="31"/>
  <c r="P165" i="31"/>
  <c r="K99" i="31"/>
  <c r="K95" i="31"/>
  <c r="K100" i="31"/>
  <c r="K94" i="31"/>
  <c r="U134" i="37"/>
  <c r="U135" i="37"/>
  <c r="E140" i="37"/>
  <c r="E134" i="37"/>
  <c r="E136" i="37"/>
  <c r="E132" i="37"/>
  <c r="E133" i="37"/>
  <c r="E139" i="37"/>
  <c r="M226" i="37"/>
  <c r="M221" i="37"/>
  <c r="M222" i="37"/>
  <c r="M220" i="37"/>
  <c r="M218" i="37"/>
  <c r="J207" i="28"/>
  <c r="J210" i="28"/>
  <c r="AE232" i="45"/>
  <c r="AJ156" i="43"/>
  <c r="I216" i="37"/>
  <c r="BT285" i="43"/>
  <c r="L156" i="28"/>
  <c r="L151" i="28"/>
  <c r="L152" i="28"/>
  <c r="L155" i="28"/>
  <c r="L150" i="28"/>
  <c r="AD136" i="37"/>
  <c r="AD133" i="37"/>
  <c r="AD135" i="37"/>
  <c r="AD137" i="37"/>
  <c r="AD134" i="37"/>
  <c r="AD132" i="37"/>
  <c r="W11" i="34"/>
  <c r="W12" i="34"/>
  <c r="W18" i="34"/>
  <c r="W10" i="34"/>
  <c r="W14" i="34"/>
  <c r="AE208" i="37"/>
  <c r="AE203" i="37"/>
  <c r="AE201" i="37"/>
  <c r="AE209" i="37"/>
  <c r="J164" i="31"/>
  <c r="J169" i="31"/>
  <c r="J166" i="31"/>
  <c r="AC243" i="37"/>
  <c r="AC235" i="37"/>
  <c r="AC233" i="37"/>
  <c r="J236" i="28"/>
  <c r="BM200" i="45"/>
  <c r="O235" i="37"/>
  <c r="AQ11" i="34"/>
  <c r="AQ18" i="34"/>
  <c r="AE202" i="37"/>
  <c r="AC237" i="37"/>
  <c r="J239" i="28"/>
  <c r="F18" i="37"/>
  <c r="F17" i="37"/>
  <c r="F9" i="41"/>
  <c r="F264" i="41" s="1"/>
  <c r="F349" i="41" s="1"/>
  <c r="BT242" i="43"/>
  <c r="BT236" i="43"/>
  <c r="BT243" i="43"/>
  <c r="BT244" i="43"/>
  <c r="BT240" i="43"/>
  <c r="BT238" i="43"/>
  <c r="BT237" i="43"/>
  <c r="J233" i="37"/>
  <c r="M219" i="37"/>
  <c r="R74" i="30"/>
  <c r="R70" i="30"/>
  <c r="R66" i="30"/>
  <c r="R68" i="30"/>
  <c r="R67" i="30"/>
  <c r="AC102" i="45"/>
  <c r="AC98" i="45"/>
  <c r="AC100" i="45"/>
  <c r="AC97" i="45"/>
  <c r="W346" i="41"/>
  <c r="AU346" i="41" s="1"/>
  <c r="J230" i="31"/>
  <c r="J242" i="28"/>
  <c r="E234" i="37"/>
  <c r="I201" i="37"/>
  <c r="L82" i="31"/>
  <c r="BM99" i="45"/>
  <c r="J74" i="28"/>
  <c r="P94" i="31"/>
  <c r="L118" i="28"/>
  <c r="L140" i="31"/>
  <c r="L136" i="31"/>
  <c r="K131" i="37"/>
  <c r="BO223" i="45"/>
  <c r="BT235" i="43"/>
  <c r="G234" i="37"/>
  <c r="G241" i="37"/>
  <c r="G235" i="37"/>
  <c r="G237" i="37"/>
  <c r="K237" i="41" s="1"/>
  <c r="G243" i="37"/>
  <c r="G238" i="37"/>
  <c r="G236" i="37"/>
  <c r="BN20" i="45"/>
  <c r="BS19" i="43"/>
  <c r="K155" i="31"/>
  <c r="O254" i="28"/>
  <c r="O66" i="28"/>
  <c r="K24" i="28"/>
  <c r="AC242" i="37"/>
  <c r="W84" i="37"/>
  <c r="U56" i="37"/>
  <c r="S217" i="37"/>
  <c r="S219" i="37"/>
  <c r="S224" i="37"/>
  <c r="S220" i="37"/>
  <c r="S221" i="37"/>
  <c r="S222" i="37"/>
  <c r="S218" i="37"/>
  <c r="V86" i="43"/>
  <c r="V91" i="43"/>
  <c r="V81" i="43"/>
  <c r="V83" i="43"/>
  <c r="J66" i="28"/>
  <c r="N11" i="34"/>
  <c r="N118" i="31"/>
  <c r="N102" i="28"/>
  <c r="J234" i="28"/>
  <c r="P172" i="31"/>
  <c r="P10" i="28"/>
  <c r="P18" i="28"/>
  <c r="P100" i="28"/>
  <c r="P95" i="28"/>
  <c r="P98" i="28"/>
  <c r="P100" i="31"/>
  <c r="P101" i="31" s="1"/>
  <c r="L238" i="31"/>
  <c r="L82" i="28"/>
  <c r="L84" i="28"/>
  <c r="G17" i="37"/>
  <c r="G16" i="37"/>
  <c r="K225" i="37"/>
  <c r="K224" i="37"/>
  <c r="O213" i="41"/>
  <c r="K226" i="37"/>
  <c r="K219" i="37"/>
  <c r="K218" i="37"/>
  <c r="L158" i="28"/>
  <c r="O230" i="28"/>
  <c r="BN21" i="45"/>
  <c r="K152" i="31"/>
  <c r="O250" i="28"/>
  <c r="O38" i="28"/>
  <c r="O42" i="28"/>
  <c r="O43" i="28"/>
  <c r="O45" i="28" s="1"/>
  <c r="O242" i="31"/>
  <c r="O86" i="31"/>
  <c r="AD140" i="37"/>
  <c r="O71" i="28"/>
  <c r="O73" i="28" s="1"/>
  <c r="BS184" i="43"/>
  <c r="J12" i="28"/>
  <c r="J10" i="28"/>
  <c r="J11" i="28"/>
  <c r="J15" i="28"/>
  <c r="J16" i="28"/>
  <c r="K30" i="28"/>
  <c r="K230" i="31"/>
  <c r="AC241" i="37"/>
  <c r="K124" i="31"/>
  <c r="BS158" i="43"/>
  <c r="BS156" i="43" s="1"/>
  <c r="BS154" i="43"/>
  <c r="I154" i="37"/>
  <c r="I158" i="37"/>
  <c r="I148" i="37"/>
  <c r="I152" i="37"/>
  <c r="M145" i="41"/>
  <c r="M153" i="41" s="1"/>
  <c r="I151" i="37"/>
  <c r="I157" i="37"/>
  <c r="I156" i="37"/>
  <c r="I150" i="37"/>
  <c r="R97" i="37"/>
  <c r="R103" i="37"/>
  <c r="R101" i="37"/>
  <c r="R105" i="37"/>
  <c r="R100" i="37"/>
  <c r="O76" i="41"/>
  <c r="AK162" i="41"/>
  <c r="K54" i="32"/>
  <c r="N62" i="28"/>
  <c r="T174" i="31"/>
  <c r="L256" i="31"/>
  <c r="L252" i="31"/>
  <c r="K150" i="31"/>
  <c r="AD131" i="37"/>
  <c r="BS185" i="43"/>
  <c r="J46" i="28"/>
  <c r="J42" i="28"/>
  <c r="K26" i="28"/>
  <c r="K164" i="31"/>
  <c r="BN99" i="45"/>
  <c r="BN105" i="45"/>
  <c r="BN101" i="45"/>
  <c r="BN224" i="45"/>
  <c r="BN222" i="45"/>
  <c r="BN221" i="45"/>
  <c r="BN225" i="45"/>
  <c r="BN220" i="45"/>
  <c r="BN217" i="45"/>
  <c r="BN215" i="45" s="1"/>
  <c r="M88" i="37"/>
  <c r="M82" i="37"/>
  <c r="M84" i="37"/>
  <c r="M83" i="37"/>
  <c r="M80" i="37"/>
  <c r="M90" i="37"/>
  <c r="N111" i="41"/>
  <c r="K58" i="32"/>
  <c r="O86" i="37"/>
  <c r="AD139" i="37"/>
  <c r="CH18" i="34"/>
  <c r="CH12" i="34"/>
  <c r="CH11" i="34"/>
  <c r="BN12" i="45"/>
  <c r="BN22" i="45"/>
  <c r="BN17" i="45"/>
  <c r="K28" i="28"/>
  <c r="AD222" i="37"/>
  <c r="AD218" i="37"/>
  <c r="AD219" i="37"/>
  <c r="E8" i="41"/>
  <c r="E263" i="41" s="1"/>
  <c r="E348" i="41" s="1"/>
  <c r="BN169" i="45"/>
  <c r="U186" i="37"/>
  <c r="U183" i="37"/>
  <c r="U191" i="37"/>
  <c r="U192" i="37"/>
  <c r="U182" i="37"/>
  <c r="U187" i="37"/>
  <c r="U185" i="37"/>
  <c r="E220" i="37"/>
  <c r="E222" i="37"/>
  <c r="J60" i="33"/>
  <c r="M142" i="41"/>
  <c r="P248" i="28"/>
  <c r="L102" i="28"/>
  <c r="L96" i="28"/>
  <c r="L94" i="28"/>
  <c r="L100" i="28"/>
  <c r="L99" i="28"/>
  <c r="L95" i="28"/>
  <c r="AL23" i="34"/>
  <c r="AL10" i="34"/>
  <c r="J172" i="31"/>
  <c r="AL18" i="34"/>
  <c r="P24" i="28"/>
  <c r="P32" i="28"/>
  <c r="P253" i="28"/>
  <c r="P98" i="31"/>
  <c r="P96" i="31"/>
  <c r="P102" i="31"/>
  <c r="BT288" i="43"/>
  <c r="BT325" i="43"/>
  <c r="BT321" i="43"/>
  <c r="BT320" i="43"/>
  <c r="BO35" i="45"/>
  <c r="BO30" i="45"/>
  <c r="BO34" i="45"/>
  <c r="BO31" i="45"/>
  <c r="O236" i="37"/>
  <c r="O233" i="37"/>
  <c r="O243" i="37"/>
  <c r="O239" i="37"/>
  <c r="O248" i="28"/>
  <c r="O249" i="28"/>
  <c r="AD141" i="37"/>
  <c r="S10" i="34"/>
  <c r="S16" i="34"/>
  <c r="S23" i="34"/>
  <c r="BS141" i="43"/>
  <c r="BS137" i="43"/>
  <c r="BS136" i="43"/>
  <c r="BS135" i="43"/>
  <c r="BS134" i="43"/>
  <c r="K240" i="31"/>
  <c r="K238" i="31"/>
  <c r="BR191" i="43"/>
  <c r="BR186" i="43"/>
  <c r="BR192" i="43"/>
  <c r="BR188" i="43"/>
  <c r="BR184" i="43"/>
  <c r="BR189" i="43"/>
  <c r="BO175" i="45"/>
  <c r="I140" i="37"/>
  <c r="I134" i="37"/>
  <c r="I137" i="37"/>
  <c r="I136" i="37"/>
  <c r="I135" i="37"/>
  <c r="I141" i="37"/>
  <c r="I131" i="37"/>
  <c r="I132" i="37"/>
  <c r="AA218" i="37"/>
  <c r="AA219" i="37"/>
  <c r="AA224" i="37"/>
  <c r="AA220" i="37"/>
  <c r="AA217" i="37"/>
  <c r="AA216" i="37"/>
  <c r="AA221" i="37"/>
  <c r="AA222" i="37"/>
  <c r="AA225" i="37"/>
  <c r="AA131" i="37"/>
  <c r="AA139" i="37"/>
  <c r="AA141" i="37"/>
  <c r="AA136" i="37"/>
  <c r="AA133" i="37"/>
  <c r="AA137" i="37"/>
  <c r="S100" i="37"/>
  <c r="S98" i="37"/>
  <c r="S101" i="37"/>
  <c r="W329" i="41"/>
  <c r="AU329" i="41" s="1"/>
  <c r="S125" i="33"/>
  <c r="J27" i="33"/>
  <c r="K209" i="30"/>
  <c r="AE96" i="45"/>
  <c r="BN80" i="45"/>
  <c r="BN79" i="45" s="1"/>
  <c r="BS167" i="43"/>
  <c r="AD33" i="37"/>
  <c r="K118" i="31"/>
  <c r="K202" i="31" s="1"/>
  <c r="BR121" i="43"/>
  <c r="AL210" i="41"/>
  <c r="AP210" i="41" s="1"/>
  <c r="J98" i="28"/>
  <c r="J100" i="28"/>
  <c r="J101" i="28" s="1"/>
  <c r="J15" i="34"/>
  <c r="J16" i="34"/>
  <c r="J10" i="34"/>
  <c r="BR91" i="43"/>
  <c r="BR90" i="43"/>
  <c r="BR83" i="43"/>
  <c r="BR89" i="43"/>
  <c r="AD182" i="37"/>
  <c r="AD192" i="37"/>
  <c r="AD190" i="37"/>
  <c r="M156" i="37"/>
  <c r="S137" i="37"/>
  <c r="Q88" i="37"/>
  <c r="Q87" i="37" s="1"/>
  <c r="U202" i="37"/>
  <c r="U201" i="37"/>
  <c r="U208" i="37"/>
  <c r="U200" i="37"/>
  <c r="S222" i="29"/>
  <c r="S228" i="29"/>
  <c r="AD203" i="37"/>
  <c r="AD209" i="37"/>
  <c r="AD202" i="37"/>
  <c r="R11" i="34"/>
  <c r="R16" i="34"/>
  <c r="Q80" i="37"/>
  <c r="V205" i="37"/>
  <c r="V209" i="37"/>
  <c r="V204" i="37"/>
  <c r="V201" i="37"/>
  <c r="V208" i="37"/>
  <c r="V199" i="37"/>
  <c r="Z222" i="37"/>
  <c r="Z216" i="37"/>
  <c r="Z219" i="37"/>
  <c r="BO66" i="45"/>
  <c r="BO67" i="45"/>
  <c r="BO64" i="45"/>
  <c r="BO68" i="45"/>
  <c r="BO69" i="45"/>
  <c r="BO72" i="45"/>
  <c r="K176" i="41"/>
  <c r="W176" i="41" s="1"/>
  <c r="N127" i="41"/>
  <c r="M195" i="41"/>
  <c r="E25" i="41"/>
  <c r="K127" i="41"/>
  <c r="J60" i="32"/>
  <c r="J57" i="32"/>
  <c r="J56" i="32"/>
  <c r="AE97" i="43"/>
  <c r="AP10" i="34"/>
  <c r="AP12" i="34" s="1"/>
  <c r="N88" i="31"/>
  <c r="I227" i="41"/>
  <c r="N82" i="31"/>
  <c r="P86" i="28"/>
  <c r="P87" i="28" s="1"/>
  <c r="P81" i="28"/>
  <c r="AR11" i="34"/>
  <c r="AR14" i="34"/>
  <c r="BO238" i="45"/>
  <c r="BO243" i="45"/>
  <c r="O230" i="31"/>
  <c r="N51" i="31"/>
  <c r="N74" i="31"/>
  <c r="N70" i="31"/>
  <c r="BR153" i="43"/>
  <c r="BR151" i="43"/>
  <c r="AC186" i="37"/>
  <c r="AC192" i="37"/>
  <c r="AC185" i="37"/>
  <c r="AC182" i="37"/>
  <c r="BR74" i="43"/>
  <c r="BR73" i="43"/>
  <c r="BR72" i="43"/>
  <c r="BN187" i="45"/>
  <c r="BN182" i="45"/>
  <c r="F154" i="37"/>
  <c r="F152" i="37"/>
  <c r="F151" i="37"/>
  <c r="J145" i="41"/>
  <c r="F150" i="37"/>
  <c r="F84" i="37"/>
  <c r="F90" i="37"/>
  <c r="J77" i="41"/>
  <c r="W102" i="37"/>
  <c r="W100" i="37"/>
  <c r="O94" i="41"/>
  <c r="M237" i="37"/>
  <c r="M243" i="37"/>
  <c r="M233" i="37"/>
  <c r="AK230" i="41"/>
  <c r="AP11" i="34"/>
  <c r="M31" i="37"/>
  <c r="N137" i="31"/>
  <c r="N139" i="31" s="1"/>
  <c r="AC183" i="37"/>
  <c r="M149" i="37"/>
  <c r="P118" i="31"/>
  <c r="K81" i="37"/>
  <c r="K85" i="37"/>
  <c r="O118" i="28"/>
  <c r="BS175" i="43"/>
  <c r="N139" i="28"/>
  <c r="BR86" i="43"/>
  <c r="AC188" i="37"/>
  <c r="BM324" i="45"/>
  <c r="R14" i="34"/>
  <c r="J141" i="31"/>
  <c r="J137" i="31"/>
  <c r="J253" i="28"/>
  <c r="J255" i="28" s="1"/>
  <c r="J249" i="28"/>
  <c r="BR15" i="34"/>
  <c r="BR12" i="34"/>
  <c r="BM85" i="45"/>
  <c r="BM88" i="45"/>
  <c r="BM89" i="45"/>
  <c r="F200" i="37"/>
  <c r="F97" i="37"/>
  <c r="F107" i="37"/>
  <c r="F105" i="37"/>
  <c r="J94" i="41"/>
  <c r="F102" i="37"/>
  <c r="N150" i="37"/>
  <c r="AH150" i="41" s="1"/>
  <c r="AP150" i="41" s="1"/>
  <c r="N151" i="37"/>
  <c r="AH151" i="41" s="1"/>
  <c r="AP151" i="41" s="1"/>
  <c r="N158" i="37"/>
  <c r="AH158" i="41" s="1"/>
  <c r="AP158" i="41" s="1"/>
  <c r="N157" i="37"/>
  <c r="AH157" i="41" s="1"/>
  <c r="AP157" i="41" s="1"/>
  <c r="N156" i="37"/>
  <c r="AH156" i="41" s="1"/>
  <c r="AP156" i="41" s="1"/>
  <c r="M152" i="37"/>
  <c r="Y141" i="37"/>
  <c r="S141" i="37"/>
  <c r="M236" i="37"/>
  <c r="U34" i="37"/>
  <c r="U33" i="37"/>
  <c r="U39" i="37"/>
  <c r="U38" i="37"/>
  <c r="U30" i="37"/>
  <c r="U29" i="37"/>
  <c r="U35" i="37"/>
  <c r="S35" i="37"/>
  <c r="S31" i="37"/>
  <c r="W33" i="37"/>
  <c r="W38" i="37"/>
  <c r="W29" i="37"/>
  <c r="N188" i="37"/>
  <c r="N191" i="37"/>
  <c r="N187" i="37"/>
  <c r="N186" i="37"/>
  <c r="R25" i="41"/>
  <c r="AM195" i="41"/>
  <c r="AQ195" i="41" s="1"/>
  <c r="AK161" i="41"/>
  <c r="J86" i="30"/>
  <c r="AC84" i="45"/>
  <c r="AC83" i="45"/>
  <c r="AC82" i="45"/>
  <c r="AC88" i="45"/>
  <c r="AC81" i="45"/>
  <c r="L221" i="29"/>
  <c r="J54" i="32"/>
  <c r="J243" i="29"/>
  <c r="S195" i="33"/>
  <c r="R18" i="34"/>
  <c r="AK193" i="41"/>
  <c r="AO193" i="41" s="1"/>
  <c r="J96" i="28"/>
  <c r="J124" i="28"/>
  <c r="BM320" i="45"/>
  <c r="P230" i="31"/>
  <c r="P84" i="28"/>
  <c r="BO319" i="45"/>
  <c r="BT18" i="43"/>
  <c r="BT22" i="43"/>
  <c r="AE131" i="37"/>
  <c r="AE135" i="37"/>
  <c r="BT272" i="43"/>
  <c r="BT268" i="43"/>
  <c r="BT276" i="43"/>
  <c r="BT274" i="43"/>
  <c r="L70" i="31"/>
  <c r="L51" i="31"/>
  <c r="L106" i="28"/>
  <c r="O47" i="37"/>
  <c r="K227" i="41"/>
  <c r="O29" i="37"/>
  <c r="O37" i="37"/>
  <c r="O32" i="37"/>
  <c r="O33" i="37"/>
  <c r="N140" i="28"/>
  <c r="N84" i="31"/>
  <c r="K74" i="28"/>
  <c r="K71" i="28"/>
  <c r="K67" i="28"/>
  <c r="K70" i="28"/>
  <c r="K123" i="28"/>
  <c r="K128" i="28"/>
  <c r="BN184" i="45"/>
  <c r="AC191" i="37"/>
  <c r="J127" i="28"/>
  <c r="J142" i="31"/>
  <c r="F103" i="37"/>
  <c r="N153" i="37"/>
  <c r="AH153" i="41" s="1"/>
  <c r="AP153" i="41" s="1"/>
  <c r="F80" i="37"/>
  <c r="G199" i="37"/>
  <c r="K196" i="41"/>
  <c r="G204" i="37"/>
  <c r="G200" i="37"/>
  <c r="G201" i="37"/>
  <c r="J224" i="37"/>
  <c r="J226" i="37"/>
  <c r="J225" i="37"/>
  <c r="J221" i="37"/>
  <c r="J216" i="37"/>
  <c r="Z226" i="37"/>
  <c r="V243" i="37"/>
  <c r="Y39" i="37"/>
  <c r="Y34" i="37"/>
  <c r="Y33" i="37"/>
  <c r="Y35" i="37"/>
  <c r="Y30" i="37"/>
  <c r="Y29" i="37"/>
  <c r="M135" i="37"/>
  <c r="M132" i="37"/>
  <c r="M131" i="37"/>
  <c r="E152" i="37"/>
  <c r="E151" i="37"/>
  <c r="E158" i="37"/>
  <c r="I145" i="41"/>
  <c r="E157" i="37"/>
  <c r="E154" i="37"/>
  <c r="E156" i="37"/>
  <c r="V46" i="37"/>
  <c r="V55" i="37"/>
  <c r="V56" i="37"/>
  <c r="V51" i="37"/>
  <c r="V49" i="37"/>
  <c r="V50" i="37"/>
  <c r="S82" i="37"/>
  <c r="J58" i="32"/>
  <c r="J113" i="29"/>
  <c r="BS172" i="43"/>
  <c r="BS168" i="43"/>
  <c r="AD34" i="37"/>
  <c r="AD38" i="37"/>
  <c r="AD39" i="37"/>
  <c r="BR118" i="43"/>
  <c r="BR123" i="43"/>
  <c r="BR124" i="43"/>
  <c r="BR116" i="43"/>
  <c r="BR171" i="43"/>
  <c r="BR170" i="43"/>
  <c r="BR166" i="43"/>
  <c r="Q84" i="37"/>
  <c r="Q81" i="37"/>
  <c r="M151" i="37"/>
  <c r="V238" i="37"/>
  <c r="V236" i="37"/>
  <c r="BR257" i="43"/>
  <c r="BR255" i="43"/>
  <c r="BR260" i="43"/>
  <c r="BR259" i="43"/>
  <c r="BR256" i="43"/>
  <c r="BR251" i="43"/>
  <c r="J88" i="30"/>
  <c r="J81" i="30"/>
  <c r="U331" i="41"/>
  <c r="AS331" i="41" s="1"/>
  <c r="L220" i="29"/>
  <c r="L228" i="29"/>
  <c r="L226" i="29"/>
  <c r="L227" i="29" s="1"/>
  <c r="Y207" i="37"/>
  <c r="Y201" i="37"/>
  <c r="Y200" i="37"/>
  <c r="M179" i="41"/>
  <c r="I182" i="37"/>
  <c r="R185" i="37"/>
  <c r="R190" i="37"/>
  <c r="R184" i="37"/>
  <c r="R182" i="37"/>
  <c r="R188" i="37"/>
  <c r="L209" i="28"/>
  <c r="AE258" i="43"/>
  <c r="K225" i="29"/>
  <c r="K221" i="29"/>
  <c r="K220" i="29"/>
  <c r="T97" i="33"/>
  <c r="AE70" i="45"/>
  <c r="K218" i="28"/>
  <c r="N210" i="41"/>
  <c r="J91" i="41"/>
  <c r="V91" i="41" s="1"/>
  <c r="J70" i="31"/>
  <c r="J51" i="31"/>
  <c r="J58" i="31" s="1"/>
  <c r="AC158" i="37"/>
  <c r="AC151" i="37"/>
  <c r="AL176" i="41"/>
  <c r="AL278" i="41" s="1"/>
  <c r="Q105" i="45"/>
  <c r="Q106" i="45"/>
  <c r="Q100" i="45"/>
  <c r="U346" i="41"/>
  <c r="AS346" i="41" s="1"/>
  <c r="S27" i="33"/>
  <c r="J66" i="31"/>
  <c r="AC29" i="37"/>
  <c r="M210" i="41"/>
  <c r="O10" i="28"/>
  <c r="O11" i="28"/>
  <c r="N170" i="28"/>
  <c r="N171" i="28" s="1"/>
  <c r="N165" i="28"/>
  <c r="AM18" i="34"/>
  <c r="BR323" i="43"/>
  <c r="BR325" i="43"/>
  <c r="BR319" i="43"/>
  <c r="J219" i="31"/>
  <c r="J238" i="31"/>
  <c r="J236" i="31"/>
  <c r="AD108" i="41"/>
  <c r="R8" i="41"/>
  <c r="R263" i="41" s="1"/>
  <c r="R348" i="41" s="1"/>
  <c r="E50" i="37"/>
  <c r="E52" i="37"/>
  <c r="E54" i="37"/>
  <c r="Z186" i="37"/>
  <c r="Z190" i="37"/>
  <c r="M59" i="41"/>
  <c r="AM161" i="41"/>
  <c r="AM263" i="41" s="1"/>
  <c r="K125" i="41"/>
  <c r="V74" i="43"/>
  <c r="V69" i="43"/>
  <c r="V72" i="43"/>
  <c r="S173" i="43"/>
  <c r="R129" i="33"/>
  <c r="T160" i="31"/>
  <c r="N118" i="28"/>
  <c r="M193" i="41"/>
  <c r="J82" i="28"/>
  <c r="S40" i="41"/>
  <c r="P106" i="28"/>
  <c r="L50" i="28"/>
  <c r="O12" i="28"/>
  <c r="K62" i="28"/>
  <c r="R23" i="41"/>
  <c r="R278" i="41" s="1"/>
  <c r="R363" i="41" s="1"/>
  <c r="K241" i="28"/>
  <c r="AC156" i="37"/>
  <c r="J210" i="41"/>
  <c r="BR106" i="43"/>
  <c r="BR103" i="43"/>
  <c r="BR100" i="43"/>
  <c r="J128" i="41"/>
  <c r="Z8" i="34"/>
  <c r="Y184" i="37"/>
  <c r="Y192" i="37"/>
  <c r="R212" i="30"/>
  <c r="R206" i="30"/>
  <c r="R210" i="30"/>
  <c r="AH70" i="43"/>
  <c r="AH64" i="43"/>
  <c r="AH67" i="43"/>
  <c r="K224" i="29"/>
  <c r="K228" i="29"/>
  <c r="J101" i="33"/>
  <c r="Z258" i="43"/>
  <c r="AA139" i="43"/>
  <c r="U240" i="45"/>
  <c r="J69" i="33"/>
  <c r="O138" i="45"/>
  <c r="T209" i="33"/>
  <c r="J157" i="30"/>
  <c r="W97" i="43"/>
  <c r="I77" i="41"/>
  <c r="BN115" i="45"/>
  <c r="BN118" i="45"/>
  <c r="G42" i="41"/>
  <c r="N229" i="41"/>
  <c r="AL212" i="41"/>
  <c r="AP212" i="41" s="1"/>
  <c r="K195" i="41"/>
  <c r="J181" i="45"/>
  <c r="AI301" i="43"/>
  <c r="I176" i="41"/>
  <c r="I210" i="41"/>
  <c r="AK244" i="41"/>
  <c r="AO244" i="41" s="1"/>
  <c r="G23" i="41"/>
  <c r="AM227" i="41"/>
  <c r="AQ227" i="41" s="1"/>
  <c r="J108" i="41"/>
  <c r="BN123" i="45"/>
  <c r="BO123" i="45"/>
  <c r="AA208" i="37"/>
  <c r="N217" i="37"/>
  <c r="N224" i="37"/>
  <c r="J110" i="41"/>
  <c r="Q25" i="41"/>
  <c r="O212" i="41"/>
  <c r="AL195" i="41"/>
  <c r="AP195" i="41" s="1"/>
  <c r="AH86" i="43"/>
  <c r="W246" i="41"/>
  <c r="AU246" i="41" s="1"/>
  <c r="AI23" i="34"/>
  <c r="N106" i="31"/>
  <c r="N190" i="31" s="1"/>
  <c r="E83" i="37"/>
  <c r="BO124" i="45"/>
  <c r="AA199" i="37"/>
  <c r="F8" i="41"/>
  <c r="F263" i="41" s="1"/>
  <c r="F348" i="41" s="1"/>
  <c r="V188" i="37"/>
  <c r="V184" i="37"/>
  <c r="J93" i="41"/>
  <c r="J178" i="41"/>
  <c r="J125" i="41"/>
  <c r="J62" i="30"/>
  <c r="AH255" i="43"/>
  <c r="AH260" i="43"/>
  <c r="U315" i="41"/>
  <c r="U261" i="41"/>
  <c r="AS261" i="41" s="1"/>
  <c r="AC138" i="45"/>
  <c r="AJ309" i="43"/>
  <c r="AJ71" i="43"/>
  <c r="Q155" i="45"/>
  <c r="AJ267" i="43"/>
  <c r="V206" i="45"/>
  <c r="X199" i="43"/>
  <c r="AF318" i="43"/>
  <c r="M28" i="45"/>
  <c r="AE46" i="43"/>
  <c r="K106" i="28"/>
  <c r="K190" i="28" s="1"/>
  <c r="N227" i="41"/>
  <c r="I110" i="41"/>
  <c r="Y76" i="41"/>
  <c r="Y59" i="41" s="1"/>
  <c r="AM176" i="41"/>
  <c r="AM278" i="41" s="1"/>
  <c r="AM229" i="41"/>
  <c r="AQ229" i="41" s="1"/>
  <c r="V251" i="43"/>
  <c r="V257" i="43"/>
  <c r="W37" i="43"/>
  <c r="N259" i="41"/>
  <c r="AA8" i="34"/>
  <c r="M93" i="41"/>
  <c r="T255" i="30"/>
  <c r="T257" i="30" s="1"/>
  <c r="Z250" i="43"/>
  <c r="Y138" i="45"/>
  <c r="O46" i="43"/>
  <c r="AD258" i="43"/>
  <c r="W148" i="43"/>
  <c r="I250" i="41"/>
  <c r="N90" i="45"/>
  <c r="N83" i="45"/>
  <c r="N81" i="45"/>
  <c r="S103" i="45"/>
  <c r="S107" i="45"/>
  <c r="AD19" i="43"/>
  <c r="AD21" i="43"/>
  <c r="AM220" i="45"/>
  <c r="AY310" i="43"/>
  <c r="AY312" i="43"/>
  <c r="AY307" i="43"/>
  <c r="BB34" i="43"/>
  <c r="BB31" i="43"/>
  <c r="BB36" i="43"/>
  <c r="BB35" i="43"/>
  <c r="BJ107" i="43"/>
  <c r="BJ103" i="43"/>
  <c r="F171" i="45"/>
  <c r="F170" i="45"/>
  <c r="F173" i="45"/>
  <c r="F169" i="45"/>
  <c r="F167" i="45"/>
  <c r="F165" i="45"/>
  <c r="O53" i="43"/>
  <c r="O55" i="43"/>
  <c r="O54" i="43" s="1"/>
  <c r="O52" i="43"/>
  <c r="J132" i="45"/>
  <c r="T38" i="43"/>
  <c r="T39" i="43"/>
  <c r="T84" i="43"/>
  <c r="T80" i="43" s="1"/>
  <c r="T91" i="43"/>
  <c r="T88" i="43" s="1"/>
  <c r="R17" i="45"/>
  <c r="R12" i="45"/>
  <c r="R22" i="45"/>
  <c r="R16" i="45"/>
  <c r="Z101" i="43"/>
  <c r="Z107" i="43"/>
  <c r="K155" i="33"/>
  <c r="K156" i="33"/>
  <c r="BK106" i="43"/>
  <c r="BK107" i="43"/>
  <c r="BK100" i="43"/>
  <c r="BK98" i="43"/>
  <c r="P55" i="43"/>
  <c r="P54" i="43" s="1"/>
  <c r="AS71" i="45"/>
  <c r="AS72" i="45"/>
  <c r="I256" i="41"/>
  <c r="I22" i="45"/>
  <c r="I20" i="45"/>
  <c r="I17" i="45"/>
  <c r="R66" i="43"/>
  <c r="R118" i="43"/>
  <c r="R125" i="43"/>
  <c r="R123" i="43"/>
  <c r="AT65" i="45"/>
  <c r="AT68" i="45"/>
  <c r="AT63" i="45"/>
  <c r="BK38" i="43"/>
  <c r="BK35" i="43"/>
  <c r="BK32" i="43"/>
  <c r="BK29" i="43" s="1"/>
  <c r="BK40" i="43"/>
  <c r="BK36" i="43"/>
  <c r="K89" i="43"/>
  <c r="K81" i="43"/>
  <c r="K85" i="43"/>
  <c r="F222" i="45"/>
  <c r="F218" i="45"/>
  <c r="F224" i="45"/>
  <c r="P242" i="43"/>
  <c r="P240" i="43"/>
  <c r="P235" i="43"/>
  <c r="P244" i="43"/>
  <c r="P236" i="43"/>
  <c r="P234" i="43"/>
  <c r="I71" i="45"/>
  <c r="I67" i="45"/>
  <c r="R23" i="43"/>
  <c r="R13" i="43"/>
  <c r="S140" i="45"/>
  <c r="S135" i="45"/>
  <c r="AD192" i="45"/>
  <c r="AD190" i="45"/>
  <c r="AD183" i="45"/>
  <c r="S84" i="33"/>
  <c r="S81" i="33"/>
  <c r="AV310" i="43"/>
  <c r="I260" i="41"/>
  <c r="L89" i="43"/>
  <c r="L86" i="43"/>
  <c r="T120" i="43"/>
  <c r="T119" i="43"/>
  <c r="W242" i="43"/>
  <c r="W239" i="43"/>
  <c r="AD47" i="43"/>
  <c r="AD53" i="43"/>
  <c r="AD158" i="43"/>
  <c r="AD157" i="43"/>
  <c r="AV74" i="43"/>
  <c r="AV68" i="43"/>
  <c r="AV69" i="43"/>
  <c r="J258" i="41"/>
  <c r="F55" i="45"/>
  <c r="F51" i="45"/>
  <c r="F47" i="45"/>
  <c r="P151" i="43"/>
  <c r="P154" i="43"/>
  <c r="AE57" i="43"/>
  <c r="AE55" i="43"/>
  <c r="AB241" i="43"/>
  <c r="V244" i="43"/>
  <c r="L153" i="30"/>
  <c r="G48" i="45"/>
  <c r="G54" i="45"/>
  <c r="G107" i="45"/>
  <c r="G102" i="45"/>
  <c r="G105" i="45"/>
  <c r="J173" i="45"/>
  <c r="J175" i="45"/>
  <c r="AH52" i="43"/>
  <c r="AH50" i="43"/>
  <c r="AT290" i="43"/>
  <c r="AT294" i="43"/>
  <c r="AM255" i="41"/>
  <c r="AQ255" i="41" s="1"/>
  <c r="N156" i="43"/>
  <c r="N253" i="41"/>
  <c r="AF35" i="43"/>
  <c r="AD16" i="43"/>
  <c r="E156" i="45"/>
  <c r="AY305" i="43"/>
  <c r="AY301" i="43" s="1"/>
  <c r="N183" i="43"/>
  <c r="S155" i="43"/>
  <c r="S150" i="43"/>
  <c r="S157" i="43"/>
  <c r="AU57" i="43"/>
  <c r="BC123" i="43"/>
  <c r="BC116" i="43"/>
  <c r="BC125" i="43"/>
  <c r="BC124" i="43"/>
  <c r="BC117" i="43"/>
  <c r="O138" i="43"/>
  <c r="O136" i="43"/>
  <c r="M156" i="45"/>
  <c r="M158" i="45"/>
  <c r="M148" i="45"/>
  <c r="M152" i="45"/>
  <c r="AQ14" i="45"/>
  <c r="AQ15" i="45"/>
  <c r="AQ20" i="45"/>
  <c r="BD72" i="43"/>
  <c r="BD70" i="43"/>
  <c r="BP51" i="43"/>
  <c r="BP47" i="43"/>
  <c r="BP55" i="43"/>
  <c r="BP54" i="43" s="1"/>
  <c r="K213" i="31"/>
  <c r="W105" i="43"/>
  <c r="L182" i="43"/>
  <c r="L45" i="30"/>
  <c r="AV64" i="43"/>
  <c r="BB40" i="43"/>
  <c r="N187" i="43"/>
  <c r="AF65" i="43"/>
  <c r="AZ328" i="43"/>
  <c r="AY311" i="43"/>
  <c r="P142" i="43"/>
  <c r="P135" i="43"/>
  <c r="T57" i="43"/>
  <c r="T51" i="43"/>
  <c r="AV49" i="43"/>
  <c r="AV52" i="43"/>
  <c r="AV55" i="43"/>
  <c r="J141" i="45"/>
  <c r="J138" i="45" s="1"/>
  <c r="F34" i="45"/>
  <c r="F29" i="45"/>
  <c r="F33" i="45"/>
  <c r="F39" i="45"/>
  <c r="F31" i="45"/>
  <c r="I209" i="45"/>
  <c r="I199" i="45"/>
  <c r="I205" i="45"/>
  <c r="W66" i="43"/>
  <c r="W69" i="43"/>
  <c r="X207" i="43"/>
  <c r="AT156" i="45"/>
  <c r="AT158" i="45"/>
  <c r="AT148" i="45"/>
  <c r="AT151" i="45"/>
  <c r="AT157" i="45"/>
  <c r="N120" i="43"/>
  <c r="N115" i="43"/>
  <c r="N125" i="43"/>
  <c r="V19" i="43"/>
  <c r="V13" i="43"/>
  <c r="AM295" i="41"/>
  <c r="AQ295" i="41" s="1"/>
  <c r="AD242" i="43"/>
  <c r="N241" i="45"/>
  <c r="N237" i="45"/>
  <c r="N234" i="45"/>
  <c r="N235" i="45"/>
  <c r="N243" i="45"/>
  <c r="AX305" i="43"/>
  <c r="AX306" i="43"/>
  <c r="AZ324" i="43"/>
  <c r="AZ322" i="43"/>
  <c r="BB38" i="43"/>
  <c r="BJ157" i="43"/>
  <c r="BJ159" i="43"/>
  <c r="AH29" i="43"/>
  <c r="AA131" i="43"/>
  <c r="K165" i="32"/>
  <c r="BO34" i="43"/>
  <c r="I140" i="45"/>
  <c r="I138" i="45" s="1"/>
  <c r="I136" i="45"/>
  <c r="T98" i="29"/>
  <c r="K152" i="32"/>
  <c r="K150" i="32"/>
  <c r="S45" i="30"/>
  <c r="G218" i="45"/>
  <c r="G215" i="45" s="1"/>
  <c r="X329" i="43"/>
  <c r="J280" i="41"/>
  <c r="AH158" i="43"/>
  <c r="J106" i="33"/>
  <c r="BN268" i="43"/>
  <c r="BN276" i="43"/>
  <c r="AL65" i="45"/>
  <c r="S38" i="29"/>
  <c r="K280" i="41"/>
  <c r="K242" i="29"/>
  <c r="K234" i="29"/>
  <c r="K237" i="29" s="1"/>
  <c r="AT134" i="43"/>
  <c r="AX87" i="43"/>
  <c r="BB138" i="43"/>
  <c r="AL72" i="45"/>
  <c r="T100" i="29"/>
  <c r="T85" i="32"/>
  <c r="BO287" i="43"/>
  <c r="X51" i="43"/>
  <c r="U117" i="45"/>
  <c r="Z22" i="43"/>
  <c r="BL17" i="43"/>
  <c r="AT278" i="43"/>
  <c r="AF243" i="43"/>
  <c r="O99" i="45"/>
  <c r="AP175" i="45"/>
  <c r="AU73" i="43"/>
  <c r="I239" i="45"/>
  <c r="I235" i="45"/>
  <c r="M12" i="45"/>
  <c r="M16" i="45"/>
  <c r="N192" i="45"/>
  <c r="AE240" i="45"/>
  <c r="AZ100" i="43"/>
  <c r="BJ21" i="43"/>
  <c r="BJ18" i="43"/>
  <c r="AU209" i="43"/>
  <c r="AO153" i="45"/>
  <c r="S42" i="33"/>
  <c r="R168" i="33"/>
  <c r="AP173" i="45"/>
  <c r="AP165" i="45"/>
  <c r="AP170" i="45"/>
  <c r="BC157" i="43"/>
  <c r="R218" i="30"/>
  <c r="J252" i="41"/>
  <c r="BC84" i="43"/>
  <c r="BC83" i="43"/>
  <c r="G267" i="45"/>
  <c r="AT135" i="43"/>
  <c r="BL103" i="43"/>
  <c r="O34" i="43"/>
  <c r="J37" i="45"/>
  <c r="AZ102" i="43"/>
  <c r="N218" i="45"/>
  <c r="J53" i="43"/>
  <c r="J57" i="43"/>
  <c r="J54" i="43" s="1"/>
  <c r="F71" i="45"/>
  <c r="R200" i="43"/>
  <c r="R202" i="43"/>
  <c r="S218" i="30"/>
  <c r="S106" i="33"/>
  <c r="AM67" i="45"/>
  <c r="AM71" i="45"/>
  <c r="AL67" i="45"/>
  <c r="BL104" i="43"/>
  <c r="P21" i="43"/>
  <c r="P19" i="43"/>
  <c r="W123" i="43"/>
  <c r="W120" i="43"/>
  <c r="S224" i="45"/>
  <c r="S226" i="45"/>
  <c r="T118" i="30"/>
  <c r="BI184" i="45"/>
  <c r="BI192" i="45"/>
  <c r="BI187" i="45"/>
  <c r="R90" i="43"/>
  <c r="R86" i="43"/>
  <c r="AE186" i="43"/>
  <c r="K106" i="30"/>
  <c r="T138" i="30"/>
  <c r="AM122" i="45"/>
  <c r="AM114" i="45"/>
  <c r="T165" i="32"/>
  <c r="T164" i="32"/>
  <c r="E168" i="45"/>
  <c r="E175" i="45"/>
  <c r="O72" i="43"/>
  <c r="O69" i="43"/>
  <c r="K158" i="45"/>
  <c r="K151" i="45"/>
  <c r="Q22" i="45"/>
  <c r="Q20" i="45"/>
  <c r="AD125" i="43"/>
  <c r="AD120" i="43"/>
  <c r="AT123" i="43"/>
  <c r="AT120" i="43"/>
  <c r="K164" i="32"/>
  <c r="K50" i="30"/>
  <c r="Q140" i="45"/>
  <c r="AA87" i="43"/>
  <c r="S230" i="30"/>
  <c r="K139" i="33"/>
  <c r="R207" i="45"/>
  <c r="Q139" i="45"/>
  <c r="AL343" i="45"/>
  <c r="AH321" i="43"/>
  <c r="AA202" i="45"/>
  <c r="K118" i="33"/>
  <c r="S129" i="33"/>
  <c r="L118" i="33"/>
  <c r="U314" i="41"/>
  <c r="AS314" i="41" s="1"/>
  <c r="V314" i="41"/>
  <c r="AT314" i="41" s="1"/>
  <c r="W314" i="41"/>
  <c r="AU314" i="41" s="1"/>
  <c r="W331" i="41"/>
  <c r="AU331" i="41" s="1"/>
  <c r="U329" i="41"/>
  <c r="AS329" i="41" s="1"/>
  <c r="Y60" i="41"/>
  <c r="Y264" i="41" s="1"/>
  <c r="Y349" i="41" s="1"/>
  <c r="U144" i="41"/>
  <c r="AS144" i="41" s="1"/>
  <c r="E223" i="37"/>
  <c r="O140" i="28"/>
  <c r="O137" i="28"/>
  <c r="O138" i="28"/>
  <c r="O136" i="28"/>
  <c r="O144" i="28"/>
  <c r="O141" i="28"/>
  <c r="O142" i="28"/>
  <c r="N150" i="28"/>
  <c r="N156" i="28"/>
  <c r="N158" i="28"/>
  <c r="N155" i="28"/>
  <c r="N154" i="28"/>
  <c r="N152" i="28"/>
  <c r="N29" i="28"/>
  <c r="N30" i="28"/>
  <c r="N24" i="28"/>
  <c r="N28" i="28"/>
  <c r="N26" i="28"/>
  <c r="N25" i="28"/>
  <c r="P256" i="31"/>
  <c r="P248" i="31"/>
  <c r="BT16" i="34"/>
  <c r="BT18" i="34"/>
  <c r="BT11" i="34"/>
  <c r="O168" i="31"/>
  <c r="O165" i="31"/>
  <c r="O172" i="31"/>
  <c r="O164" i="31"/>
  <c r="O166" i="31"/>
  <c r="O169" i="31"/>
  <c r="O170" i="31"/>
  <c r="O156" i="31"/>
  <c r="O152" i="31"/>
  <c r="O155" i="31"/>
  <c r="O150" i="31"/>
  <c r="O154" i="31"/>
  <c r="O158" i="31"/>
  <c r="O151" i="31"/>
  <c r="O107" i="31"/>
  <c r="N168" i="31"/>
  <c r="N170" i="31"/>
  <c r="N169" i="31"/>
  <c r="N164" i="31"/>
  <c r="N166" i="31"/>
  <c r="BN39" i="45"/>
  <c r="BN38" i="45"/>
  <c r="BN34" i="45"/>
  <c r="BN37" i="45"/>
  <c r="BN35" i="45"/>
  <c r="BN31" i="45"/>
  <c r="BN29" i="45"/>
  <c r="BN33" i="45"/>
  <c r="BN32" i="45"/>
  <c r="AP145" i="41"/>
  <c r="AH154" i="41"/>
  <c r="AP154" i="41" s="1"/>
  <c r="AM258" i="41"/>
  <c r="N238" i="28"/>
  <c r="N239" i="28"/>
  <c r="N219" i="28"/>
  <c r="N242" i="28"/>
  <c r="N240" i="28"/>
  <c r="N236" i="28"/>
  <c r="N234" i="28"/>
  <c r="P253" i="31"/>
  <c r="P255" i="31" s="1"/>
  <c r="K168" i="28"/>
  <c r="K166" i="28"/>
  <c r="K169" i="28"/>
  <c r="K107" i="28"/>
  <c r="K165" i="28"/>
  <c r="P252" i="31"/>
  <c r="AD52" i="37"/>
  <c r="AD56" i="37"/>
  <c r="AD55" i="37"/>
  <c r="AD51" i="37"/>
  <c r="AD48" i="37"/>
  <c r="AD54" i="37"/>
  <c r="AD46" i="37"/>
  <c r="AD49" i="37"/>
  <c r="AD47" i="37"/>
  <c r="AD50" i="37"/>
  <c r="F221" i="37"/>
  <c r="J213" i="41"/>
  <c r="F220" i="37"/>
  <c r="F219" i="37"/>
  <c r="F224" i="37"/>
  <c r="F222" i="37"/>
  <c r="F216" i="37"/>
  <c r="N209" i="37"/>
  <c r="N205" i="37"/>
  <c r="AL196" i="41"/>
  <c r="AP196" i="41" s="1"/>
  <c r="N203" i="37"/>
  <c r="N204" i="37"/>
  <c r="N201" i="37"/>
  <c r="P249" i="31"/>
  <c r="O252" i="31"/>
  <c r="O249" i="31"/>
  <c r="O248" i="31"/>
  <c r="O256" i="31"/>
  <c r="O253" i="31"/>
  <c r="O250" i="31"/>
  <c r="O254" i="31"/>
  <c r="O219" i="31"/>
  <c r="K170" i="28"/>
  <c r="W137" i="37"/>
  <c r="W136" i="37"/>
  <c r="W140" i="37"/>
  <c r="W131" i="37"/>
  <c r="W139" i="37"/>
  <c r="W132" i="37"/>
  <c r="W133" i="37"/>
  <c r="W141" i="37"/>
  <c r="W135" i="37"/>
  <c r="W134" i="37"/>
  <c r="I259" i="41"/>
  <c r="P140" i="31"/>
  <c r="P136" i="31"/>
  <c r="P142" i="31"/>
  <c r="P141" i="31"/>
  <c r="P138" i="31"/>
  <c r="P144" i="31"/>
  <c r="P137" i="31"/>
  <c r="P250" i="31"/>
  <c r="K172" i="28"/>
  <c r="BM339" i="45"/>
  <c r="BM340" i="45"/>
  <c r="BM341" i="45"/>
  <c r="BM338" i="45"/>
  <c r="BM345" i="45"/>
  <c r="BM343" i="45"/>
  <c r="BM344" i="45"/>
  <c r="BM335" i="45"/>
  <c r="BM336" i="45"/>
  <c r="BM337" i="45"/>
  <c r="N235" i="28"/>
  <c r="BT202" i="43"/>
  <c r="BT201" i="43"/>
  <c r="BT204" i="43"/>
  <c r="BT203" i="43"/>
  <c r="BT208" i="43"/>
  <c r="BT200" i="43"/>
  <c r="BT209" i="43"/>
  <c r="BT205" i="43"/>
  <c r="BT210" i="43"/>
  <c r="K164" i="28"/>
  <c r="M185" i="37"/>
  <c r="M192" i="37"/>
  <c r="M191" i="37"/>
  <c r="M190" i="37"/>
  <c r="M186" i="37"/>
  <c r="M182" i="37"/>
  <c r="M188" i="37"/>
  <c r="M184" i="37"/>
  <c r="M183" i="37"/>
  <c r="M187" i="37"/>
  <c r="W185" i="37"/>
  <c r="W190" i="37"/>
  <c r="W182" i="37"/>
  <c r="W187" i="37"/>
  <c r="W186" i="37"/>
  <c r="W188" i="37"/>
  <c r="W183" i="37"/>
  <c r="W191" i="37"/>
  <c r="W184" i="37"/>
  <c r="W192" i="37"/>
  <c r="P71" i="31"/>
  <c r="P74" i="31"/>
  <c r="P70" i="31"/>
  <c r="P67" i="31"/>
  <c r="P66" i="31"/>
  <c r="P72" i="31"/>
  <c r="P51" i="31"/>
  <c r="P68" i="31"/>
  <c r="P219" i="31"/>
  <c r="BT206" i="43"/>
  <c r="L137" i="28"/>
  <c r="L138" i="28"/>
  <c r="L142" i="28"/>
  <c r="L143" i="28" s="1"/>
  <c r="L144" i="28"/>
  <c r="L140" i="28"/>
  <c r="J268" i="31"/>
  <c r="J264" i="31"/>
  <c r="J267" i="31"/>
  <c r="J270" i="31"/>
  <c r="J266" i="31"/>
  <c r="K56" i="28"/>
  <c r="K53" i="28"/>
  <c r="K54" i="28"/>
  <c r="K58" i="28"/>
  <c r="K52" i="28"/>
  <c r="K57" i="28"/>
  <c r="N172" i="31"/>
  <c r="BO85" i="45"/>
  <c r="BO86" i="45"/>
  <c r="BO88" i="45"/>
  <c r="BO90" i="45"/>
  <c r="BO84" i="45"/>
  <c r="BO80" i="45"/>
  <c r="BO89" i="45"/>
  <c r="BO82" i="45"/>
  <c r="BO81" i="45"/>
  <c r="AT10" i="34"/>
  <c r="AT12" i="34"/>
  <c r="AT18" i="34"/>
  <c r="AT14" i="34"/>
  <c r="AT16" i="34"/>
  <c r="AT15" i="34"/>
  <c r="BN30" i="45"/>
  <c r="BN242" i="45"/>
  <c r="BN236" i="45"/>
  <c r="BN235" i="45"/>
  <c r="BN237" i="45"/>
  <c r="BN234" i="45"/>
  <c r="BR142" i="43"/>
  <c r="BR141" i="43"/>
  <c r="BR137" i="43"/>
  <c r="BR140" i="43"/>
  <c r="BR136" i="43"/>
  <c r="BR135" i="43"/>
  <c r="BR132" i="43"/>
  <c r="BR134" i="43"/>
  <c r="T132" i="31"/>
  <c r="J118" i="31"/>
  <c r="N267" i="31"/>
  <c r="N262" i="31"/>
  <c r="N268" i="31"/>
  <c r="N270" i="31"/>
  <c r="N263" i="31"/>
  <c r="N264" i="31"/>
  <c r="BS88" i="43"/>
  <c r="BR274" i="43"/>
  <c r="BR271" i="43"/>
  <c r="BR277" i="43"/>
  <c r="BR268" i="43"/>
  <c r="J262" i="31"/>
  <c r="N32" i="28"/>
  <c r="N151" i="28"/>
  <c r="BT100" i="43"/>
  <c r="BT104" i="43"/>
  <c r="BT99" i="43"/>
  <c r="BT101" i="43"/>
  <c r="BT102" i="43"/>
  <c r="BT107" i="43"/>
  <c r="BT106" i="43"/>
  <c r="BT98" i="43"/>
  <c r="BT108" i="43"/>
  <c r="BT103" i="43"/>
  <c r="L106" i="31"/>
  <c r="K264" i="28"/>
  <c r="K270" i="28"/>
  <c r="K267" i="28"/>
  <c r="K262" i="28"/>
  <c r="K263" i="28"/>
  <c r="K266" i="28"/>
  <c r="K268" i="28"/>
  <c r="J118" i="28"/>
  <c r="N165" i="31"/>
  <c r="AV18" i="34"/>
  <c r="AV16" i="34"/>
  <c r="AV15" i="34"/>
  <c r="AV14" i="34"/>
  <c r="AV10" i="34"/>
  <c r="AV11" i="34"/>
  <c r="K38" i="28"/>
  <c r="K39" i="28"/>
  <c r="K40" i="28"/>
  <c r="K43" i="28"/>
  <c r="K44" i="28"/>
  <c r="K46" i="28"/>
  <c r="K42" i="28"/>
  <c r="N107" i="28"/>
  <c r="N154" i="31"/>
  <c r="N158" i="31"/>
  <c r="N151" i="31"/>
  <c r="N150" i="31"/>
  <c r="N155" i="31"/>
  <c r="N152" i="31"/>
  <c r="N156" i="31"/>
  <c r="O238" i="28"/>
  <c r="O240" i="28"/>
  <c r="O234" i="28"/>
  <c r="O235" i="28"/>
  <c r="O239" i="28"/>
  <c r="O236" i="28"/>
  <c r="O242" i="28"/>
  <c r="O219" i="28"/>
  <c r="N128" i="31"/>
  <c r="N129" i="31" s="1"/>
  <c r="N130" i="31"/>
  <c r="N124" i="31"/>
  <c r="N123" i="31"/>
  <c r="N107" i="31"/>
  <c r="N126" i="31"/>
  <c r="O166" i="28"/>
  <c r="O168" i="28"/>
  <c r="O164" i="28"/>
  <c r="O170" i="28"/>
  <c r="O169" i="28"/>
  <c r="O172" i="28"/>
  <c r="J263" i="31"/>
  <c r="P11" i="34"/>
  <c r="P18" i="34"/>
  <c r="P16" i="34"/>
  <c r="P15" i="34"/>
  <c r="P12" i="34"/>
  <c r="P14" i="34"/>
  <c r="P10" i="34"/>
  <c r="N16" i="28"/>
  <c r="N18" i="28"/>
  <c r="N11" i="28"/>
  <c r="N14" i="28"/>
  <c r="N10" i="28"/>
  <c r="N12" i="28"/>
  <c r="N15" i="28"/>
  <c r="O67" i="31"/>
  <c r="O74" i="31"/>
  <c r="O70" i="31"/>
  <c r="O68" i="31"/>
  <c r="O51" i="31"/>
  <c r="O66" i="31"/>
  <c r="K256" i="28"/>
  <c r="K250" i="28"/>
  <c r="K249" i="28"/>
  <c r="K254" i="28"/>
  <c r="K253" i="28"/>
  <c r="K248" i="28"/>
  <c r="K252" i="28"/>
  <c r="K219" i="28"/>
  <c r="N44" i="28"/>
  <c r="N43" i="28"/>
  <c r="N39" i="28"/>
  <c r="N38" i="28"/>
  <c r="N42" i="28"/>
  <c r="N46" i="28"/>
  <c r="J266" i="28"/>
  <c r="J268" i="28"/>
  <c r="J267" i="28"/>
  <c r="J263" i="28"/>
  <c r="J262" i="28"/>
  <c r="J270" i="28"/>
  <c r="O99" i="28"/>
  <c r="O95" i="28"/>
  <c r="O96" i="28"/>
  <c r="O102" i="28"/>
  <c r="O100" i="28"/>
  <c r="O98" i="28"/>
  <c r="O94" i="28"/>
  <c r="BN16" i="34"/>
  <c r="BN15" i="34"/>
  <c r="BN14" i="34"/>
  <c r="BN18" i="34"/>
  <c r="J126" i="31"/>
  <c r="J107" i="31"/>
  <c r="J124" i="31"/>
  <c r="J123" i="31"/>
  <c r="J128" i="31"/>
  <c r="J127" i="31"/>
  <c r="J130" i="31"/>
  <c r="BR235" i="43"/>
  <c r="BR238" i="43"/>
  <c r="K236" i="37"/>
  <c r="K234" i="37"/>
  <c r="O80" i="28"/>
  <c r="O88" i="28"/>
  <c r="O86" i="28"/>
  <c r="J99" i="31"/>
  <c r="J98" i="31"/>
  <c r="J100" i="31"/>
  <c r="BM137" i="45"/>
  <c r="BM140" i="45"/>
  <c r="BM136" i="45"/>
  <c r="BM139" i="45"/>
  <c r="BM141" i="45"/>
  <c r="BM134" i="45"/>
  <c r="BM135" i="45"/>
  <c r="BM133" i="45"/>
  <c r="BM132" i="45"/>
  <c r="BT83" i="43"/>
  <c r="BT90" i="43"/>
  <c r="BT86" i="43"/>
  <c r="BT91" i="43"/>
  <c r="BT82" i="43"/>
  <c r="BT81" i="43"/>
  <c r="N239" i="31"/>
  <c r="N219" i="31"/>
  <c r="N240" i="31"/>
  <c r="N242" i="31"/>
  <c r="N238" i="31"/>
  <c r="K94" i="28"/>
  <c r="K98" i="28"/>
  <c r="K100" i="28"/>
  <c r="K96" i="28"/>
  <c r="K99" i="28"/>
  <c r="K102" i="28"/>
  <c r="K95" i="28"/>
  <c r="P234" i="28"/>
  <c r="P242" i="28"/>
  <c r="P236" i="28"/>
  <c r="P235" i="28"/>
  <c r="AE84" i="37"/>
  <c r="AE86" i="37"/>
  <c r="AE82" i="37"/>
  <c r="AE81" i="37"/>
  <c r="AE83" i="37"/>
  <c r="AF12" i="34"/>
  <c r="AF16" i="34"/>
  <c r="AF15" i="34"/>
  <c r="AF14" i="34"/>
  <c r="K241" i="37"/>
  <c r="O127" i="28"/>
  <c r="O129" i="28" s="1"/>
  <c r="O126" i="28"/>
  <c r="O130" i="28"/>
  <c r="O122" i="28"/>
  <c r="O125" i="28" s="1"/>
  <c r="O107" i="28"/>
  <c r="K82" i="28"/>
  <c r="K86" i="28"/>
  <c r="K88" i="28"/>
  <c r="K81" i="28"/>
  <c r="K85" i="28"/>
  <c r="N254" i="28"/>
  <c r="N256" i="28"/>
  <c r="N252" i="28"/>
  <c r="N253" i="28"/>
  <c r="N248" i="28"/>
  <c r="N84" i="28"/>
  <c r="N81" i="28"/>
  <c r="N85" i="28"/>
  <c r="CD10" i="34"/>
  <c r="CD18" i="34"/>
  <c r="CD11" i="34"/>
  <c r="AC139" i="37"/>
  <c r="AC140" i="37"/>
  <c r="AC136" i="37"/>
  <c r="AC141" i="37"/>
  <c r="AC137" i="37"/>
  <c r="AC135" i="37"/>
  <c r="AC133" i="37"/>
  <c r="AC134" i="37"/>
  <c r="AC132" i="37"/>
  <c r="Q200" i="37"/>
  <c r="Q203" i="37"/>
  <c r="Q208" i="37"/>
  <c r="Q199" i="37"/>
  <c r="Y98" i="37"/>
  <c r="Y105" i="37"/>
  <c r="Y103" i="37"/>
  <c r="Y101" i="37"/>
  <c r="Y97" i="37"/>
  <c r="Y106" i="37"/>
  <c r="Y100" i="37"/>
  <c r="Y102" i="37"/>
  <c r="Y107" i="37"/>
  <c r="I213" i="41"/>
  <c r="Q219" i="37"/>
  <c r="Q216" i="37"/>
  <c r="Z98" i="37"/>
  <c r="Z99" i="37"/>
  <c r="Z105" i="37"/>
  <c r="Z106" i="37"/>
  <c r="Z100" i="37"/>
  <c r="Z107" i="37"/>
  <c r="Z101" i="37"/>
  <c r="Z103" i="37"/>
  <c r="Z97" i="37"/>
  <c r="Z102" i="37"/>
  <c r="AD94" i="41"/>
  <c r="P263" i="31"/>
  <c r="P270" i="31"/>
  <c r="P267" i="31"/>
  <c r="P239" i="28"/>
  <c r="P106" i="31"/>
  <c r="L10" i="28"/>
  <c r="L248" i="31"/>
  <c r="L254" i="31"/>
  <c r="L255" i="31" s="1"/>
  <c r="L250" i="31"/>
  <c r="L249" i="31"/>
  <c r="L219" i="31"/>
  <c r="BT57" i="43"/>
  <c r="BT55" i="43"/>
  <c r="BT49" i="43"/>
  <c r="BT48" i="43"/>
  <c r="BT56" i="43"/>
  <c r="BT53" i="43"/>
  <c r="BT51" i="43"/>
  <c r="BT50" i="43"/>
  <c r="BT52" i="43"/>
  <c r="L123" i="28"/>
  <c r="L128" i="28"/>
  <c r="L122" i="28"/>
  <c r="L127" i="28"/>
  <c r="L107" i="28"/>
  <c r="L124" i="28"/>
  <c r="O186" i="37"/>
  <c r="O190" i="37"/>
  <c r="O187" i="37"/>
  <c r="AM179" i="41"/>
  <c r="AQ179" i="41" s="1"/>
  <c r="O182" i="37"/>
  <c r="O183" i="37"/>
  <c r="O184" i="37"/>
  <c r="O51" i="28"/>
  <c r="K11" i="34"/>
  <c r="BM102" i="45"/>
  <c r="BM101" i="45"/>
  <c r="BM100" i="45"/>
  <c r="BM98" i="45"/>
  <c r="AO125" i="41"/>
  <c r="N80" i="28"/>
  <c r="J102" i="31"/>
  <c r="BT47" i="43"/>
  <c r="P268" i="31"/>
  <c r="P240" i="28"/>
  <c r="BO16" i="45"/>
  <c r="BO21" i="45"/>
  <c r="BO17" i="45"/>
  <c r="BO15" i="45"/>
  <c r="BO12" i="45"/>
  <c r="L118" i="31"/>
  <c r="L202" i="31" s="1"/>
  <c r="L126" i="28"/>
  <c r="L66" i="31"/>
  <c r="AE85" i="37"/>
  <c r="O192" i="37"/>
  <c r="T10" i="34"/>
  <c r="T16" i="34"/>
  <c r="T11" i="34"/>
  <c r="T18" i="34"/>
  <c r="T14" i="34"/>
  <c r="T15" i="34"/>
  <c r="G136" i="37"/>
  <c r="G133" i="37"/>
  <c r="BT184" i="43"/>
  <c r="BT183" i="43"/>
  <c r="O82" i="28"/>
  <c r="T104" i="31"/>
  <c r="K12" i="34"/>
  <c r="AE80" i="37"/>
  <c r="P264" i="31"/>
  <c r="BT115" i="43"/>
  <c r="BT123" i="43"/>
  <c r="BT124" i="43"/>
  <c r="BT125" i="43"/>
  <c r="BT118" i="43"/>
  <c r="L72" i="31"/>
  <c r="AE90" i="37"/>
  <c r="AE52" i="37"/>
  <c r="AE51" i="37"/>
  <c r="AE55" i="37"/>
  <c r="AE47" i="37"/>
  <c r="AE46" i="37"/>
  <c r="AE54" i="37"/>
  <c r="AE56" i="37"/>
  <c r="AE48" i="37"/>
  <c r="L94" i="31"/>
  <c r="L95" i="31"/>
  <c r="L100" i="31"/>
  <c r="L98" i="31"/>
  <c r="L96" i="31"/>
  <c r="L99" i="31"/>
  <c r="BO338" i="45"/>
  <c r="BO343" i="45"/>
  <c r="BO341" i="45"/>
  <c r="BO345" i="45"/>
  <c r="BO337" i="45"/>
  <c r="O227" i="41"/>
  <c r="G221" i="37"/>
  <c r="K213" i="41"/>
  <c r="G219" i="37"/>
  <c r="G218" i="37"/>
  <c r="G217" i="37"/>
  <c r="G226" i="37"/>
  <c r="G222" i="37"/>
  <c r="K118" i="28"/>
  <c r="BN155" i="45"/>
  <c r="O81" i="28"/>
  <c r="BK11" i="34"/>
  <c r="BK12" i="34"/>
  <c r="BO14" i="34"/>
  <c r="BO12" i="34"/>
  <c r="BO18" i="34"/>
  <c r="V82" i="37"/>
  <c r="V85" i="37"/>
  <c r="V89" i="37"/>
  <c r="V84" i="37"/>
  <c r="V80" i="37"/>
  <c r="V86" i="37"/>
  <c r="J95" i="31"/>
  <c r="N230" i="31"/>
  <c r="L38" i="28"/>
  <c r="L42" i="28"/>
  <c r="L44" i="28"/>
  <c r="L40" i="28"/>
  <c r="L39" i="28"/>
  <c r="L43" i="28"/>
  <c r="L46" i="28"/>
  <c r="L151" i="31"/>
  <c r="L150" i="31"/>
  <c r="L156" i="31"/>
  <c r="AQ16" i="34"/>
  <c r="AQ14" i="34"/>
  <c r="AQ15" i="34"/>
  <c r="AQ10" i="34"/>
  <c r="N234" i="31"/>
  <c r="P239" i="31"/>
  <c r="P240" i="31"/>
  <c r="P235" i="31"/>
  <c r="P238" i="31"/>
  <c r="P242" i="31"/>
  <c r="L74" i="31"/>
  <c r="W159" i="41"/>
  <c r="AU159" i="41" s="1"/>
  <c r="P262" i="31"/>
  <c r="L164" i="28"/>
  <c r="L168" i="28"/>
  <c r="L169" i="28"/>
  <c r="L170" i="28"/>
  <c r="L166" i="28"/>
  <c r="L165" i="28"/>
  <c r="L172" i="28"/>
  <c r="BO132" i="45"/>
  <c r="BO133" i="45"/>
  <c r="BO135" i="45"/>
  <c r="BO131" i="45"/>
  <c r="L71" i="31"/>
  <c r="AE88" i="37"/>
  <c r="O244" i="41"/>
  <c r="P150" i="28"/>
  <c r="P158" i="28"/>
  <c r="P156" i="28"/>
  <c r="P155" i="28"/>
  <c r="P154" i="28"/>
  <c r="P151" i="28"/>
  <c r="P152" i="28"/>
  <c r="O25" i="28"/>
  <c r="O32" i="28"/>
  <c r="O30" i="28"/>
  <c r="O29" i="28"/>
  <c r="O28" i="28"/>
  <c r="O26" i="28"/>
  <c r="O24" i="28"/>
  <c r="O84" i="28"/>
  <c r="AE18" i="34"/>
  <c r="AE14" i="34"/>
  <c r="AE12" i="34"/>
  <c r="J62" i="28"/>
  <c r="AB20" i="34"/>
  <c r="AZ25" i="34" s="1"/>
  <c r="P266" i="31"/>
  <c r="P137" i="28"/>
  <c r="P136" i="28"/>
  <c r="P144" i="28"/>
  <c r="P140" i="28"/>
  <c r="P142" i="28"/>
  <c r="P141" i="28"/>
  <c r="L68" i="31"/>
  <c r="AE89" i="37"/>
  <c r="O55" i="37"/>
  <c r="O56" i="37"/>
  <c r="O52" i="37"/>
  <c r="O54" i="37"/>
  <c r="AQ23" i="34"/>
  <c r="K16" i="28"/>
  <c r="K11" i="28"/>
  <c r="K12" i="28"/>
  <c r="K15" i="28"/>
  <c r="K18" i="28"/>
  <c r="O154" i="28"/>
  <c r="O155" i="28"/>
  <c r="O156" i="28"/>
  <c r="N268" i="28"/>
  <c r="N270" i="28"/>
  <c r="N263" i="28"/>
  <c r="N264" i="28"/>
  <c r="N267" i="28"/>
  <c r="N266" i="28"/>
  <c r="O85" i="28"/>
  <c r="BS72" i="43"/>
  <c r="BS67" i="43"/>
  <c r="BS68" i="43"/>
  <c r="BS65" i="43"/>
  <c r="BS66" i="43"/>
  <c r="BS64" i="43"/>
  <c r="BS70" i="43"/>
  <c r="BS74" i="43"/>
  <c r="BS73" i="43"/>
  <c r="J100" i="37"/>
  <c r="J103" i="37"/>
  <c r="J102" i="37"/>
  <c r="J106" i="37"/>
  <c r="J99" i="37"/>
  <c r="J101" i="37"/>
  <c r="F46" i="37"/>
  <c r="F47" i="37"/>
  <c r="F43" i="41"/>
  <c r="F54" i="37"/>
  <c r="F55" i="37"/>
  <c r="F50" i="37"/>
  <c r="F49" i="37"/>
  <c r="Q57" i="41"/>
  <c r="U159" i="41"/>
  <c r="AS159" i="41" s="1"/>
  <c r="P156" i="31"/>
  <c r="P157" i="31" s="1"/>
  <c r="P151" i="31"/>
  <c r="P152" i="31"/>
  <c r="P66" i="28"/>
  <c r="P72" i="28"/>
  <c r="P73" i="28" s="1"/>
  <c r="P67" i="28"/>
  <c r="P51" i="28"/>
  <c r="L66" i="28"/>
  <c r="L67" i="28"/>
  <c r="L70" i="28"/>
  <c r="L72" i="28"/>
  <c r="L68" i="28"/>
  <c r="L71" i="28"/>
  <c r="L74" i="28"/>
  <c r="L51" i="28"/>
  <c r="AJ15" i="34"/>
  <c r="AJ11" i="34"/>
  <c r="O179" i="41"/>
  <c r="K182" i="37"/>
  <c r="K186" i="37"/>
  <c r="O267" i="28"/>
  <c r="O270" i="28"/>
  <c r="O264" i="28"/>
  <c r="O268" i="28"/>
  <c r="BS104" i="43"/>
  <c r="BS103" i="43"/>
  <c r="BS108" i="43"/>
  <c r="BS99" i="43"/>
  <c r="BS40" i="43"/>
  <c r="BS39" i="43"/>
  <c r="V131" i="37"/>
  <c r="V136" i="37"/>
  <c r="V141" i="37"/>
  <c r="V135" i="37"/>
  <c r="V132" i="37"/>
  <c r="V140" i="37"/>
  <c r="V139" i="37"/>
  <c r="V133" i="37"/>
  <c r="V134" i="37"/>
  <c r="Z132" i="37"/>
  <c r="Z139" i="37"/>
  <c r="Z135" i="37"/>
  <c r="Z140" i="37"/>
  <c r="Z134" i="37"/>
  <c r="Z133" i="37"/>
  <c r="Z136" i="37"/>
  <c r="Z131" i="37"/>
  <c r="Z141" i="37"/>
  <c r="Z137" i="37"/>
  <c r="P128" i="28"/>
  <c r="P127" i="28"/>
  <c r="P130" i="28"/>
  <c r="P50" i="28"/>
  <c r="AR15" i="34"/>
  <c r="AR16" i="34"/>
  <c r="BT322" i="43"/>
  <c r="K32" i="37"/>
  <c r="K30" i="37"/>
  <c r="K39" i="37"/>
  <c r="K35" i="37"/>
  <c r="K37" i="37"/>
  <c r="K31" i="37"/>
  <c r="L263" i="31"/>
  <c r="L266" i="31"/>
  <c r="L267" i="31"/>
  <c r="AR10" i="34"/>
  <c r="L84" i="31"/>
  <c r="L81" i="31"/>
  <c r="L123" i="31"/>
  <c r="L124" i="31"/>
  <c r="L126" i="31"/>
  <c r="L122" i="31"/>
  <c r="L130" i="31"/>
  <c r="L107" i="31"/>
  <c r="L127" i="31"/>
  <c r="L129" i="31" s="1"/>
  <c r="AE103" i="37"/>
  <c r="AE107" i="37"/>
  <c r="AE100" i="37"/>
  <c r="AE101" i="37"/>
  <c r="L88" i="28"/>
  <c r="L85" i="28"/>
  <c r="L87" i="28" s="1"/>
  <c r="AE225" i="37"/>
  <c r="AE218" i="37"/>
  <c r="O148" i="37"/>
  <c r="O156" i="37"/>
  <c r="O157" i="37"/>
  <c r="O150" i="37"/>
  <c r="O153" i="37"/>
  <c r="O158" i="37"/>
  <c r="O149" i="37"/>
  <c r="O151" i="37"/>
  <c r="AU23" i="34"/>
  <c r="AU10" i="34"/>
  <c r="AU14" i="34"/>
  <c r="AU12" i="34"/>
  <c r="AU18" i="34"/>
  <c r="BM67" i="45"/>
  <c r="BM66" i="45"/>
  <c r="BM63" i="45"/>
  <c r="P127" i="31"/>
  <c r="P107" i="31"/>
  <c r="P128" i="31"/>
  <c r="P130" i="31"/>
  <c r="P126" i="31"/>
  <c r="P124" i="31"/>
  <c r="P123" i="31"/>
  <c r="P122" i="31"/>
  <c r="AE102" i="37"/>
  <c r="BT15" i="43"/>
  <c r="BT17" i="43"/>
  <c r="BT21" i="43"/>
  <c r="L26" i="28"/>
  <c r="L25" i="28"/>
  <c r="L24" i="28"/>
  <c r="L30" i="28"/>
  <c r="BO235" i="45"/>
  <c r="BO239" i="45"/>
  <c r="BO107" i="45"/>
  <c r="BO105" i="45"/>
  <c r="BO99" i="45"/>
  <c r="BO98" i="45"/>
  <c r="BO106" i="45"/>
  <c r="BO97" i="45"/>
  <c r="BO217" i="45"/>
  <c r="BO218" i="45"/>
  <c r="K132" i="37"/>
  <c r="K135" i="37"/>
  <c r="K133" i="37"/>
  <c r="K134" i="37"/>
  <c r="BO200" i="45"/>
  <c r="BO201" i="45"/>
  <c r="J86" i="31"/>
  <c r="J84" i="31"/>
  <c r="J85" i="31"/>
  <c r="J80" i="31"/>
  <c r="N50" i="28"/>
  <c r="N190" i="28" s="1"/>
  <c r="AC219" i="37"/>
  <c r="AC222" i="37"/>
  <c r="AC224" i="37"/>
  <c r="AC220" i="37"/>
  <c r="AC225" i="37"/>
  <c r="AC226" i="37"/>
  <c r="AC216" i="37"/>
  <c r="BS310" i="43"/>
  <c r="BS305" i="43"/>
  <c r="BS306" i="43"/>
  <c r="BS303" i="43"/>
  <c r="BN341" i="45"/>
  <c r="BN340" i="45"/>
  <c r="BN335" i="45"/>
  <c r="BN345" i="45"/>
  <c r="BN339" i="45"/>
  <c r="BX11" i="34"/>
  <c r="BX15" i="34"/>
  <c r="K168" i="31"/>
  <c r="K170" i="31"/>
  <c r="K165" i="31"/>
  <c r="K169" i="31"/>
  <c r="P252" i="28"/>
  <c r="P256" i="28"/>
  <c r="L172" i="31"/>
  <c r="O34" i="37"/>
  <c r="K82" i="37"/>
  <c r="K103" i="37"/>
  <c r="K105" i="37"/>
  <c r="O40" i="28"/>
  <c r="BR22" i="43"/>
  <c r="BN13" i="45"/>
  <c r="BN16" i="45"/>
  <c r="BN14" i="45"/>
  <c r="BS123" i="43"/>
  <c r="BN338" i="45"/>
  <c r="K86" i="31"/>
  <c r="K82" i="31"/>
  <c r="K85" i="31"/>
  <c r="K253" i="31"/>
  <c r="K255" i="31" s="1"/>
  <c r="K248" i="31"/>
  <c r="K249" i="31"/>
  <c r="K250" i="31"/>
  <c r="K256" i="31"/>
  <c r="K252" i="31"/>
  <c r="N142" i="41"/>
  <c r="J72" i="28"/>
  <c r="J51" i="28"/>
  <c r="J70" i="28"/>
  <c r="J71" i="28"/>
  <c r="K123" i="31"/>
  <c r="K127" i="31"/>
  <c r="K128" i="31"/>
  <c r="K122" i="31"/>
  <c r="K107" i="31"/>
  <c r="AD12" i="34"/>
  <c r="P80" i="28"/>
  <c r="P88" i="28"/>
  <c r="BT132" i="43"/>
  <c r="BT138" i="43"/>
  <c r="BT134" i="43"/>
  <c r="BO29" i="45"/>
  <c r="BO32" i="45"/>
  <c r="BO33" i="45"/>
  <c r="O35" i="37"/>
  <c r="O39" i="28"/>
  <c r="BN337" i="45"/>
  <c r="K51" i="31"/>
  <c r="K68" i="31"/>
  <c r="K70" i="31"/>
  <c r="K66" i="31"/>
  <c r="K67" i="31"/>
  <c r="K72" i="31"/>
  <c r="K73" i="31" s="1"/>
  <c r="J168" i="31"/>
  <c r="J170" i="31"/>
  <c r="J141" i="28"/>
  <c r="J142" i="28"/>
  <c r="J140" i="28"/>
  <c r="O122" i="31"/>
  <c r="O123" i="31"/>
  <c r="O128" i="31"/>
  <c r="O130" i="31"/>
  <c r="O126" i="31"/>
  <c r="O127" i="31"/>
  <c r="J50" i="31"/>
  <c r="K236" i="31"/>
  <c r="K239" i="31"/>
  <c r="K219" i="31"/>
  <c r="K234" i="31"/>
  <c r="BR293" i="43"/>
  <c r="BR288" i="43"/>
  <c r="P81" i="31"/>
  <c r="P82" i="31"/>
  <c r="P80" i="31"/>
  <c r="P168" i="28"/>
  <c r="P170" i="28"/>
  <c r="P172" i="28"/>
  <c r="L268" i="28"/>
  <c r="L267" i="28"/>
  <c r="L170" i="31"/>
  <c r="L166" i="31"/>
  <c r="L164" i="31"/>
  <c r="L168" i="31"/>
  <c r="BO318" i="45"/>
  <c r="BO324" i="45"/>
  <c r="BO323" i="45"/>
  <c r="BO326" i="45"/>
  <c r="K90" i="37"/>
  <c r="K88" i="37"/>
  <c r="K89" i="37"/>
  <c r="K84" i="37"/>
  <c r="O46" i="28"/>
  <c r="BN344" i="45"/>
  <c r="BR17" i="43"/>
  <c r="BR16" i="43"/>
  <c r="BS117" i="43"/>
  <c r="BS114" i="43" s="1"/>
  <c r="BS119" i="43"/>
  <c r="AD149" i="37"/>
  <c r="AD152" i="37"/>
  <c r="AD157" i="37"/>
  <c r="AD153" i="37"/>
  <c r="AD156" i="37"/>
  <c r="BV15" i="34"/>
  <c r="BV10" i="34"/>
  <c r="R48" i="37"/>
  <c r="R46" i="37"/>
  <c r="R54" i="37"/>
  <c r="R50" i="37"/>
  <c r="R49" i="37"/>
  <c r="R52" i="37"/>
  <c r="R55" i="37"/>
  <c r="R56" i="37"/>
  <c r="R47" i="37"/>
  <c r="R51" i="37"/>
  <c r="R235" i="37"/>
  <c r="R237" i="37"/>
  <c r="R243" i="37"/>
  <c r="Y91" i="41"/>
  <c r="BR285" i="43"/>
  <c r="P25" i="28"/>
  <c r="P30" i="28"/>
  <c r="P31" i="28" s="1"/>
  <c r="P82" i="28"/>
  <c r="AV23" i="34"/>
  <c r="L264" i="28"/>
  <c r="BO321" i="45"/>
  <c r="BT310" i="43"/>
  <c r="BT303" i="43"/>
  <c r="BT304" i="43"/>
  <c r="AM193" i="41"/>
  <c r="AQ193" i="41" s="1"/>
  <c r="K86" i="37"/>
  <c r="G107" i="37"/>
  <c r="G106" i="37"/>
  <c r="K94" i="41"/>
  <c r="G103" i="37"/>
  <c r="BR18" i="43"/>
  <c r="BN87" i="45"/>
  <c r="K263" i="31"/>
  <c r="K267" i="31"/>
  <c r="K268" i="31"/>
  <c r="K270" i="31"/>
  <c r="BS304" i="43"/>
  <c r="O50" i="28"/>
  <c r="N72" i="28"/>
  <c r="N51" i="28"/>
  <c r="N71" i="28"/>
  <c r="O102" i="31"/>
  <c r="O99" i="31"/>
  <c r="O95" i="31"/>
  <c r="O98" i="31"/>
  <c r="BS276" i="43"/>
  <c r="BS274" i="43"/>
  <c r="BS273" i="43"/>
  <c r="BN343" i="45"/>
  <c r="BN150" i="45"/>
  <c r="BN151" i="45"/>
  <c r="BN149" i="45"/>
  <c r="BN152" i="45"/>
  <c r="CE18" i="34"/>
  <c r="CE11" i="34"/>
  <c r="CE16" i="34"/>
  <c r="CE10" i="34"/>
  <c r="CF10" i="34"/>
  <c r="CF18" i="34"/>
  <c r="CF14" i="34"/>
  <c r="CF16" i="34"/>
  <c r="CF11" i="34"/>
  <c r="N252" i="31"/>
  <c r="N253" i="31"/>
  <c r="M32" i="37"/>
  <c r="M35" i="37"/>
  <c r="M34" i="37"/>
  <c r="M37" i="37"/>
  <c r="Y47" i="37"/>
  <c r="Y54" i="37"/>
  <c r="Y55" i="37"/>
  <c r="Y51" i="37"/>
  <c r="Y52" i="37"/>
  <c r="Y48" i="37"/>
  <c r="Y56" i="37"/>
  <c r="Y50" i="37"/>
  <c r="I106" i="37"/>
  <c r="I103" i="37"/>
  <c r="Z47" i="37"/>
  <c r="Z49" i="37"/>
  <c r="Z51" i="37"/>
  <c r="R226" i="37"/>
  <c r="R225" i="37"/>
  <c r="R216" i="37"/>
  <c r="R221" i="37"/>
  <c r="R218" i="37"/>
  <c r="F184" i="37"/>
  <c r="F191" i="37"/>
  <c r="F183" i="37"/>
  <c r="O108" i="41"/>
  <c r="AD97" i="37"/>
  <c r="AD101" i="37"/>
  <c r="AD98" i="37"/>
  <c r="F16" i="37"/>
  <c r="W103" i="37"/>
  <c r="W107" i="37"/>
  <c r="W97" i="37"/>
  <c r="W105" i="37"/>
  <c r="BN106" i="45"/>
  <c r="BN100" i="45"/>
  <c r="BR207" i="43"/>
  <c r="R132" i="37"/>
  <c r="R134" i="37"/>
  <c r="R133" i="37"/>
  <c r="R139" i="37"/>
  <c r="R136" i="37"/>
  <c r="R137" i="37"/>
  <c r="W208" i="37"/>
  <c r="W203" i="37"/>
  <c r="W209" i="37"/>
  <c r="W199" i="37"/>
  <c r="W200" i="37"/>
  <c r="W205" i="37"/>
  <c r="O205" i="37"/>
  <c r="O208" i="37"/>
  <c r="O204" i="37"/>
  <c r="O209" i="37"/>
  <c r="O203" i="37"/>
  <c r="O202" i="37"/>
  <c r="F238" i="37"/>
  <c r="F242" i="37"/>
  <c r="F241" i="37"/>
  <c r="F233" i="37"/>
  <c r="J154" i="37"/>
  <c r="J148" i="37"/>
  <c r="J153" i="37"/>
  <c r="J150" i="37"/>
  <c r="AL15" i="34"/>
  <c r="AL16" i="34"/>
  <c r="AL14" i="34"/>
  <c r="O127" i="41"/>
  <c r="N60" i="41"/>
  <c r="M162" i="41"/>
  <c r="S8" i="41"/>
  <c r="S263" i="41" s="1"/>
  <c r="S348" i="41" s="1"/>
  <c r="N99" i="31"/>
  <c r="N98" i="31"/>
  <c r="BM226" i="45"/>
  <c r="BM222" i="45"/>
  <c r="BM219" i="45"/>
  <c r="BM221" i="45"/>
  <c r="BM225" i="45"/>
  <c r="BM224" i="45"/>
  <c r="U131" i="37"/>
  <c r="U140" i="37"/>
  <c r="U137" i="37"/>
  <c r="U141" i="37"/>
  <c r="M128" i="41"/>
  <c r="U136" i="37"/>
  <c r="U139" i="37"/>
  <c r="U133" i="37"/>
  <c r="AQ76" i="41"/>
  <c r="AA59" i="41"/>
  <c r="K60" i="41"/>
  <c r="AI111" i="41"/>
  <c r="I251" i="41"/>
  <c r="I252" i="41"/>
  <c r="AM10" i="34"/>
  <c r="AM15" i="34"/>
  <c r="AM16" i="34"/>
  <c r="AM11" i="34"/>
  <c r="F37" i="37"/>
  <c r="F29" i="37"/>
  <c r="F32" i="37"/>
  <c r="F31" i="37"/>
  <c r="F35" i="37"/>
  <c r="F38" i="37"/>
  <c r="F33" i="37"/>
  <c r="F39" i="37"/>
  <c r="F34" i="37"/>
  <c r="Z37" i="37"/>
  <c r="Z32" i="37"/>
  <c r="Z31" i="37"/>
  <c r="Z39" i="37"/>
  <c r="Z34" i="37"/>
  <c r="Z35" i="37"/>
  <c r="Z30" i="37"/>
  <c r="S56" i="37"/>
  <c r="S52" i="37"/>
  <c r="S55" i="37"/>
  <c r="S54" i="37"/>
  <c r="S51" i="37"/>
  <c r="S46" i="37"/>
  <c r="S241" i="37"/>
  <c r="S238" i="37"/>
  <c r="J135" i="37"/>
  <c r="J139" i="37"/>
  <c r="N128" i="41"/>
  <c r="J199" i="37"/>
  <c r="J207" i="37"/>
  <c r="J204" i="37"/>
  <c r="J201" i="37"/>
  <c r="M225" i="37"/>
  <c r="M224" i="37"/>
  <c r="AK213" i="41"/>
  <c r="AA39" i="37"/>
  <c r="AA32" i="37"/>
  <c r="N250" i="41"/>
  <c r="J250" i="41"/>
  <c r="K136" i="28"/>
  <c r="N72" i="31"/>
  <c r="AM23" i="34"/>
  <c r="N142" i="31"/>
  <c r="N140" i="31"/>
  <c r="N141" i="31"/>
  <c r="BJ14" i="34"/>
  <c r="BJ16" i="34"/>
  <c r="BJ17" i="34" s="1"/>
  <c r="R9" i="41"/>
  <c r="R264" i="41" s="1"/>
  <c r="R349" i="41" s="1"/>
  <c r="BN183" i="45"/>
  <c r="BN185" i="45"/>
  <c r="J46" i="37"/>
  <c r="J55" i="37"/>
  <c r="J56" i="37"/>
  <c r="J50" i="37"/>
  <c r="J48" i="37"/>
  <c r="K153" i="37"/>
  <c r="K158" i="37"/>
  <c r="K156" i="37"/>
  <c r="K157" i="37"/>
  <c r="R40" i="41"/>
  <c r="O106" i="31"/>
  <c r="S233" i="37"/>
  <c r="M207" i="37"/>
  <c r="AK196" i="41"/>
  <c r="M208" i="37"/>
  <c r="M202" i="37"/>
  <c r="M204" i="37"/>
  <c r="Q105" i="37"/>
  <c r="Q102" i="37"/>
  <c r="Q100" i="37"/>
  <c r="Q98" i="37"/>
  <c r="M230" i="41"/>
  <c r="I241" i="37"/>
  <c r="I239" i="37"/>
  <c r="I237" i="37"/>
  <c r="I238" i="37"/>
  <c r="I243" i="37"/>
  <c r="E186" i="37"/>
  <c r="E185" i="37"/>
  <c r="E188" i="37"/>
  <c r="I179" i="41"/>
  <c r="E187" i="37"/>
  <c r="Z200" i="37"/>
  <c r="Z201" i="37"/>
  <c r="Z202" i="37"/>
  <c r="Z207" i="37"/>
  <c r="K137" i="31"/>
  <c r="K138" i="31"/>
  <c r="K142" i="31"/>
  <c r="K143" i="31" s="1"/>
  <c r="J86" i="37"/>
  <c r="J89" i="37"/>
  <c r="J80" i="37"/>
  <c r="J84" i="37"/>
  <c r="J83" i="37"/>
  <c r="G158" i="37"/>
  <c r="G154" i="37"/>
  <c r="G156" i="37"/>
  <c r="G151" i="37"/>
  <c r="S49" i="37"/>
  <c r="J106" i="31"/>
  <c r="Z29" i="37"/>
  <c r="AC94" i="41"/>
  <c r="M105" i="37"/>
  <c r="U236" i="37"/>
  <c r="U235" i="37"/>
  <c r="U243" i="37"/>
  <c r="U242" i="37"/>
  <c r="U241" i="37"/>
  <c r="U234" i="37"/>
  <c r="U219" i="37"/>
  <c r="U218" i="37"/>
  <c r="U222" i="37"/>
  <c r="U225" i="37"/>
  <c r="U216" i="37"/>
  <c r="N37" i="37"/>
  <c r="N35" i="37"/>
  <c r="N29" i="37"/>
  <c r="N38" i="37"/>
  <c r="N34" i="37"/>
  <c r="N31" i="37"/>
  <c r="N32" i="37"/>
  <c r="Y217" i="37"/>
  <c r="Y219" i="37"/>
  <c r="Y218" i="37"/>
  <c r="Y221" i="37"/>
  <c r="Y224" i="37"/>
  <c r="S107" i="37"/>
  <c r="S97" i="37"/>
  <c r="S99" i="37"/>
  <c r="S106" i="37"/>
  <c r="BO115" i="45"/>
  <c r="BO118" i="45"/>
  <c r="J251" i="41"/>
  <c r="J255" i="41"/>
  <c r="V247" i="41"/>
  <c r="I253" i="41"/>
  <c r="J254" i="41"/>
  <c r="W31" i="37"/>
  <c r="W37" i="37"/>
  <c r="W35" i="37"/>
  <c r="W30" i="37"/>
  <c r="W32" i="37"/>
  <c r="W39" i="37"/>
  <c r="W34" i="37"/>
  <c r="O196" i="41"/>
  <c r="K209" i="37"/>
  <c r="K208" i="37"/>
  <c r="K205" i="37"/>
  <c r="K207" i="37"/>
  <c r="J212" i="41"/>
  <c r="K162" i="41"/>
  <c r="S42" i="41"/>
  <c r="AM162" i="41"/>
  <c r="Z76" i="41"/>
  <c r="J227" i="41"/>
  <c r="N179" i="41"/>
  <c r="J183" i="37"/>
  <c r="F134" i="37"/>
  <c r="F133" i="37"/>
  <c r="F132" i="37"/>
  <c r="Z220" i="37"/>
  <c r="Z217" i="37"/>
  <c r="Z218" i="37"/>
  <c r="Z221" i="37"/>
  <c r="AL213" i="41"/>
  <c r="I111" i="41"/>
  <c r="I115" i="41" s="1"/>
  <c r="M161" i="41"/>
  <c r="AG111" i="41"/>
  <c r="O60" i="41"/>
  <c r="N161" i="41"/>
  <c r="N251" i="41"/>
  <c r="N260" i="41"/>
  <c r="F40" i="41"/>
  <c r="R57" i="41"/>
  <c r="Q187" i="37"/>
  <c r="Q191" i="37"/>
  <c r="E135" i="37"/>
  <c r="E137" i="37"/>
  <c r="U203" i="37"/>
  <c r="E209" i="37"/>
  <c r="E204" i="37"/>
  <c r="I196" i="41"/>
  <c r="M157" i="37"/>
  <c r="AG145" i="41"/>
  <c r="V200" i="37"/>
  <c r="N49" i="37"/>
  <c r="N47" i="37"/>
  <c r="M238" i="37"/>
  <c r="M241" i="37"/>
  <c r="S199" i="37"/>
  <c r="S204" i="37"/>
  <c r="S202" i="37"/>
  <c r="S207" i="37"/>
  <c r="AA182" i="37"/>
  <c r="AA192" i="37"/>
  <c r="J59" i="41"/>
  <c r="I161" i="41"/>
  <c r="N212" i="41"/>
  <c r="E141" i="37"/>
  <c r="M196" i="41"/>
  <c r="I205" i="37"/>
  <c r="N89" i="37"/>
  <c r="N90" i="37"/>
  <c r="Z184" i="37"/>
  <c r="Z191" i="37"/>
  <c r="Z188" i="37"/>
  <c r="R186" i="37"/>
  <c r="R183" i="37"/>
  <c r="F25" i="41"/>
  <c r="I195" i="41"/>
  <c r="Y85" i="37"/>
  <c r="U188" i="37"/>
  <c r="U190" i="37"/>
  <c r="AA132" i="37"/>
  <c r="AA134" i="37"/>
  <c r="V233" i="37"/>
  <c r="V242" i="37"/>
  <c r="G25" i="41"/>
  <c r="AG110" i="41"/>
  <c r="W297" i="41"/>
  <c r="AU297" i="41" s="1"/>
  <c r="N99" i="37"/>
  <c r="N100" i="37"/>
  <c r="N195" i="41"/>
  <c r="R42" i="41"/>
  <c r="K93" i="41"/>
  <c r="W93" i="41" s="1"/>
  <c r="AK229" i="41"/>
  <c r="AO229" i="41" s="1"/>
  <c r="AI110" i="41"/>
  <c r="K212" i="41"/>
  <c r="K111" i="41"/>
  <c r="W144" i="41"/>
  <c r="AU144" i="41" s="1"/>
  <c r="O161" i="41"/>
  <c r="J127" i="41"/>
  <c r="I60" i="41"/>
  <c r="M212" i="41"/>
  <c r="M110" i="41"/>
  <c r="AG127" i="41"/>
  <c r="AO127" i="41" s="1"/>
  <c r="J195" i="41"/>
  <c r="J161" i="41"/>
  <c r="M178" i="41"/>
  <c r="AI125" i="41"/>
  <c r="AQ125" i="41" s="1"/>
  <c r="F42" i="41"/>
  <c r="S25" i="41"/>
  <c r="AK195" i="41"/>
  <c r="AO195" i="41" s="1"/>
  <c r="J176" i="41"/>
  <c r="N93" i="41"/>
  <c r="O178" i="41"/>
  <c r="W178" i="41" s="1"/>
  <c r="J76" i="41"/>
  <c r="I229" i="41"/>
  <c r="AM212" i="41"/>
  <c r="AQ212" i="41" s="1"/>
  <c r="K161" i="41"/>
  <c r="K76" i="41"/>
  <c r="J229" i="41"/>
  <c r="Q42" i="41"/>
  <c r="U42" i="41" s="1"/>
  <c r="AS42" i="41" s="1"/>
  <c r="AK178" i="41"/>
  <c r="AO178" i="41" s="1"/>
  <c r="N200" i="43"/>
  <c r="N203" i="43"/>
  <c r="N205" i="43"/>
  <c r="N210" i="43"/>
  <c r="N208" i="43"/>
  <c r="N201" i="43"/>
  <c r="N204" i="43"/>
  <c r="N206" i="43"/>
  <c r="N202" i="43"/>
  <c r="N209" i="43"/>
  <c r="U56" i="45"/>
  <c r="U52" i="45"/>
  <c r="U51" i="45"/>
  <c r="U54" i="45"/>
  <c r="U50" i="45"/>
  <c r="U48" i="45"/>
  <c r="U55" i="45"/>
  <c r="U46" i="45"/>
  <c r="U47" i="45"/>
  <c r="U49" i="45"/>
  <c r="L29" i="33"/>
  <c r="L24" i="33"/>
  <c r="L30" i="33"/>
  <c r="L26" i="33"/>
  <c r="L25" i="33"/>
  <c r="L28" i="33"/>
  <c r="L32" i="33"/>
  <c r="V327" i="43"/>
  <c r="V324" i="43"/>
  <c r="V321" i="43"/>
  <c r="V328" i="43"/>
  <c r="V322" i="43"/>
  <c r="V329" i="43"/>
  <c r="V323" i="43"/>
  <c r="V320" i="43"/>
  <c r="V325" i="43"/>
  <c r="V319" i="43"/>
  <c r="AD108" i="43"/>
  <c r="AD100" i="43"/>
  <c r="AD99" i="43"/>
  <c r="AD104" i="43"/>
  <c r="AD103" i="43"/>
  <c r="AD101" i="43"/>
  <c r="AD107" i="43"/>
  <c r="AD102" i="43"/>
  <c r="AD98" i="43"/>
  <c r="AA105" i="45"/>
  <c r="AA100" i="45"/>
  <c r="AA102" i="45"/>
  <c r="AA107" i="45"/>
  <c r="AA101" i="45"/>
  <c r="AA97" i="45"/>
  <c r="AA103" i="45"/>
  <c r="AA99" i="45"/>
  <c r="AA98" i="45"/>
  <c r="AA106" i="45"/>
  <c r="AA150" i="45"/>
  <c r="AA154" i="45"/>
  <c r="AA157" i="45"/>
  <c r="AA148" i="45"/>
  <c r="AA156" i="45"/>
  <c r="AA152" i="45"/>
  <c r="AA153" i="45"/>
  <c r="AA149" i="45"/>
  <c r="AA151" i="45"/>
  <c r="AA158" i="45"/>
  <c r="AK281" i="41"/>
  <c r="AO281" i="41" s="1"/>
  <c r="V52" i="43"/>
  <c r="V57" i="43"/>
  <c r="V49" i="43"/>
  <c r="V51" i="43"/>
  <c r="V48" i="43"/>
  <c r="V56" i="43"/>
  <c r="V47" i="43"/>
  <c r="V50" i="43"/>
  <c r="V55" i="43"/>
  <c r="W325" i="43"/>
  <c r="W321" i="43"/>
  <c r="W322" i="43"/>
  <c r="W320" i="43"/>
  <c r="W324" i="43"/>
  <c r="W319" i="43"/>
  <c r="W327" i="43"/>
  <c r="W329" i="43"/>
  <c r="W328" i="43"/>
  <c r="W323" i="43"/>
  <c r="K29" i="33"/>
  <c r="K24" i="33"/>
  <c r="K26" i="33"/>
  <c r="K28" i="33"/>
  <c r="K25" i="33"/>
  <c r="K32" i="33"/>
  <c r="K30" i="33"/>
  <c r="L127" i="33"/>
  <c r="L122" i="33"/>
  <c r="L128" i="33"/>
  <c r="L123" i="33"/>
  <c r="L124" i="33"/>
  <c r="L130" i="33"/>
  <c r="T127" i="33"/>
  <c r="T122" i="33"/>
  <c r="T123" i="33"/>
  <c r="T124" i="33"/>
  <c r="T128" i="33"/>
  <c r="T130" i="33"/>
  <c r="T107" i="33"/>
  <c r="T126" i="33"/>
  <c r="AA251" i="43"/>
  <c r="AA255" i="43"/>
  <c r="AA259" i="43"/>
  <c r="AA252" i="43"/>
  <c r="AA257" i="43"/>
  <c r="AA260" i="43"/>
  <c r="AA256" i="43"/>
  <c r="AA254" i="43"/>
  <c r="AA261" i="43"/>
  <c r="AA253" i="43"/>
  <c r="O212" i="31"/>
  <c r="O210" i="31"/>
  <c r="O207" i="31"/>
  <c r="G207" i="31" s="1"/>
  <c r="O214" i="31"/>
  <c r="O211" i="31"/>
  <c r="O208" i="31"/>
  <c r="G208" i="31" s="1"/>
  <c r="O206" i="31"/>
  <c r="K60" i="30"/>
  <c r="K56" i="30"/>
  <c r="K54" i="30"/>
  <c r="K57" i="30"/>
  <c r="K52" i="30"/>
  <c r="K58" i="30"/>
  <c r="K53" i="30"/>
  <c r="AC63" i="45"/>
  <c r="AC67" i="45"/>
  <c r="AC65" i="45"/>
  <c r="AC64" i="45"/>
  <c r="AC69" i="45"/>
  <c r="AC66" i="45"/>
  <c r="AC73" i="45"/>
  <c r="AC71" i="45"/>
  <c r="AC68" i="45"/>
  <c r="AC72" i="45"/>
  <c r="Q80" i="45"/>
  <c r="Q81" i="45"/>
  <c r="Q89" i="45"/>
  <c r="Q90" i="45"/>
  <c r="Q83" i="45"/>
  <c r="Q82" i="45"/>
  <c r="Q86" i="45"/>
  <c r="Q88" i="45"/>
  <c r="J153" i="30"/>
  <c r="J62" i="45"/>
  <c r="P257" i="43"/>
  <c r="P253" i="43"/>
  <c r="P260" i="43"/>
  <c r="P256" i="43"/>
  <c r="P255" i="43"/>
  <c r="P254" i="43"/>
  <c r="P261" i="43"/>
  <c r="P251" i="43"/>
  <c r="P252" i="43"/>
  <c r="P259" i="43"/>
  <c r="L99" i="33"/>
  <c r="L94" i="33"/>
  <c r="L100" i="33"/>
  <c r="L96" i="33"/>
  <c r="L102" i="33"/>
  <c r="L98" i="33"/>
  <c r="L95" i="33"/>
  <c r="O244" i="43"/>
  <c r="O237" i="43"/>
  <c r="O240" i="43"/>
  <c r="O236" i="43"/>
  <c r="O243" i="43"/>
  <c r="O238" i="43"/>
  <c r="O242" i="43"/>
  <c r="O234" i="43"/>
  <c r="O235" i="43"/>
  <c r="O239" i="43"/>
  <c r="X244" i="43"/>
  <c r="X240" i="43"/>
  <c r="X238" i="43"/>
  <c r="X235" i="43"/>
  <c r="X242" i="43"/>
  <c r="X243" i="43"/>
  <c r="X234" i="43"/>
  <c r="X237" i="43"/>
  <c r="X236" i="43"/>
  <c r="X239" i="43"/>
  <c r="AD38" i="43"/>
  <c r="AD35" i="43"/>
  <c r="AD31" i="43"/>
  <c r="AD33" i="43"/>
  <c r="AD40" i="43"/>
  <c r="AD39" i="43"/>
  <c r="AD34" i="43"/>
  <c r="AD30" i="43"/>
  <c r="AD36" i="43"/>
  <c r="S94" i="33"/>
  <c r="S102" i="33"/>
  <c r="S96" i="33"/>
  <c r="S99" i="33"/>
  <c r="S100" i="33"/>
  <c r="S98" i="33"/>
  <c r="L54" i="33"/>
  <c r="L57" i="33"/>
  <c r="L59" i="33" s="1"/>
  <c r="L52" i="33"/>
  <c r="L53" i="33"/>
  <c r="L56" i="33"/>
  <c r="L60" i="33"/>
  <c r="O190" i="45"/>
  <c r="O191" i="45"/>
  <c r="O183" i="45"/>
  <c r="O192" i="45"/>
  <c r="O184" i="45"/>
  <c r="O186" i="45"/>
  <c r="O182" i="45"/>
  <c r="O187" i="45"/>
  <c r="O185" i="45"/>
  <c r="J196" i="30"/>
  <c r="J192" i="30"/>
  <c r="J193" i="30"/>
  <c r="J197" i="30"/>
  <c r="J198" i="30"/>
  <c r="J194" i="30"/>
  <c r="J200" i="30"/>
  <c r="S263" i="30"/>
  <c r="S270" i="30"/>
  <c r="S268" i="30"/>
  <c r="S266" i="30"/>
  <c r="S262" i="30"/>
  <c r="S267" i="30"/>
  <c r="S264" i="30"/>
  <c r="L211" i="33"/>
  <c r="L214" i="33"/>
  <c r="L206" i="33"/>
  <c r="L208" i="33"/>
  <c r="L207" i="33"/>
  <c r="L212" i="33"/>
  <c r="AD106" i="43"/>
  <c r="L107" i="33"/>
  <c r="J74" i="30"/>
  <c r="J67" i="30"/>
  <c r="J70" i="30"/>
  <c r="J68" i="30"/>
  <c r="J72" i="30"/>
  <c r="J73" i="30" s="1"/>
  <c r="J51" i="30"/>
  <c r="J66" i="30"/>
  <c r="H206" i="31"/>
  <c r="V53" i="43"/>
  <c r="W138" i="43"/>
  <c r="W132" i="43"/>
  <c r="W133" i="43"/>
  <c r="W141" i="43"/>
  <c r="W142" i="43"/>
  <c r="W136" i="43"/>
  <c r="W135" i="43"/>
  <c r="W137" i="43"/>
  <c r="W140" i="43"/>
  <c r="W200" i="43"/>
  <c r="W201" i="43"/>
  <c r="W209" i="43"/>
  <c r="W202" i="43"/>
  <c r="W210" i="43"/>
  <c r="W206" i="43"/>
  <c r="W204" i="43"/>
  <c r="W208" i="43"/>
  <c r="W203" i="43"/>
  <c r="Z116" i="43"/>
  <c r="Z118" i="43"/>
  <c r="Z124" i="43"/>
  <c r="Z119" i="43"/>
  <c r="Z115" i="43"/>
  <c r="Z123" i="43"/>
  <c r="Z121" i="43"/>
  <c r="Z117" i="43"/>
  <c r="Z125" i="43"/>
  <c r="Z120" i="43"/>
  <c r="S142" i="30"/>
  <c r="S137" i="30"/>
  <c r="S136" i="30"/>
  <c r="S141" i="30"/>
  <c r="S140" i="30"/>
  <c r="S144" i="30"/>
  <c r="S138" i="30"/>
  <c r="K194" i="33"/>
  <c r="K200" i="33"/>
  <c r="K193" i="33"/>
  <c r="K198" i="33"/>
  <c r="K199" i="33" s="1"/>
  <c r="K196" i="33"/>
  <c r="K192" i="33"/>
  <c r="Z182" i="43"/>
  <c r="E34" i="45"/>
  <c r="E39" i="45"/>
  <c r="E37" i="45"/>
  <c r="E30" i="45"/>
  <c r="E33" i="45"/>
  <c r="E38" i="45"/>
  <c r="E32" i="45"/>
  <c r="E29" i="45"/>
  <c r="E35" i="45"/>
  <c r="E31" i="45"/>
  <c r="AL281" i="41"/>
  <c r="AP281" i="41" s="1"/>
  <c r="W52" i="43"/>
  <c r="W55" i="43"/>
  <c r="W53" i="43"/>
  <c r="W49" i="43"/>
  <c r="W51" i="43"/>
  <c r="W47" i="43"/>
  <c r="V191" i="43"/>
  <c r="V188" i="43"/>
  <c r="V193" i="43"/>
  <c r="V187" i="43"/>
  <c r="V189" i="43"/>
  <c r="V184" i="43"/>
  <c r="V183" i="43"/>
  <c r="V186" i="43"/>
  <c r="L244" i="43"/>
  <c r="L240" i="43"/>
  <c r="L242" i="43"/>
  <c r="L235" i="43"/>
  <c r="L239" i="43"/>
  <c r="L236" i="43"/>
  <c r="L243" i="43"/>
  <c r="L238" i="43"/>
  <c r="L234" i="43"/>
  <c r="S40" i="43"/>
  <c r="S33" i="43"/>
  <c r="S30" i="43"/>
  <c r="S31" i="43"/>
  <c r="S38" i="43"/>
  <c r="S32" i="43"/>
  <c r="S34" i="43"/>
  <c r="S39" i="43"/>
  <c r="S35" i="43"/>
  <c r="M48" i="45"/>
  <c r="M50" i="45"/>
  <c r="M49" i="45"/>
  <c r="M54" i="45"/>
  <c r="M52" i="45"/>
  <c r="M55" i="45"/>
  <c r="M51" i="45"/>
  <c r="M46" i="45"/>
  <c r="M56" i="45"/>
  <c r="O115" i="45"/>
  <c r="O123" i="45"/>
  <c r="O116" i="45"/>
  <c r="O114" i="45"/>
  <c r="O117" i="45"/>
  <c r="O122" i="45"/>
  <c r="O120" i="45"/>
  <c r="O118" i="45"/>
  <c r="O119" i="45"/>
  <c r="AM281" i="41"/>
  <c r="AQ281" i="41" s="1"/>
  <c r="AD115" i="45"/>
  <c r="AD122" i="45"/>
  <c r="AD118" i="45"/>
  <c r="AD124" i="45"/>
  <c r="AD114" i="45"/>
  <c r="K85" i="30"/>
  <c r="K87" i="30" s="1"/>
  <c r="K80" i="30"/>
  <c r="K81" i="30"/>
  <c r="K84" i="30"/>
  <c r="K88" i="30"/>
  <c r="K82" i="30"/>
  <c r="R127" i="30"/>
  <c r="R129" i="30" s="1"/>
  <c r="R123" i="30"/>
  <c r="R130" i="30"/>
  <c r="R124" i="30"/>
  <c r="J20" i="45"/>
  <c r="J21" i="45"/>
  <c r="J16" i="45"/>
  <c r="J12" i="45"/>
  <c r="J22" i="45"/>
  <c r="J18" i="45"/>
  <c r="J13" i="45"/>
  <c r="J15" i="45"/>
  <c r="S319" i="43"/>
  <c r="S327" i="43"/>
  <c r="S329" i="43"/>
  <c r="S322" i="43"/>
  <c r="S323" i="43"/>
  <c r="S324" i="43"/>
  <c r="S320" i="43"/>
  <c r="S325" i="43"/>
  <c r="S321" i="43"/>
  <c r="S328" i="43"/>
  <c r="R120" i="45"/>
  <c r="R124" i="45"/>
  <c r="R116" i="45"/>
  <c r="R119" i="45"/>
  <c r="R114" i="45"/>
  <c r="R123" i="45"/>
  <c r="R117" i="45"/>
  <c r="R122" i="45"/>
  <c r="R118" i="45"/>
  <c r="R238" i="45"/>
  <c r="R234" i="45"/>
  <c r="R236" i="45"/>
  <c r="R241" i="45"/>
  <c r="R239" i="45"/>
  <c r="R243" i="45"/>
  <c r="R235" i="45"/>
  <c r="R242" i="45"/>
  <c r="R237" i="45"/>
  <c r="R233" i="45"/>
  <c r="Z238" i="43"/>
  <c r="Z234" i="43"/>
  <c r="Z242" i="43"/>
  <c r="Z236" i="43"/>
  <c r="Z243" i="43"/>
  <c r="Z240" i="43"/>
  <c r="Z237" i="43"/>
  <c r="Z239" i="43"/>
  <c r="Z235" i="43"/>
  <c r="L88" i="30"/>
  <c r="L86" i="30"/>
  <c r="L81" i="30"/>
  <c r="L82" i="30"/>
  <c r="L85" i="30"/>
  <c r="L80" i="30"/>
  <c r="L84" i="30"/>
  <c r="L192" i="30"/>
  <c r="L197" i="30"/>
  <c r="L198" i="30"/>
  <c r="L193" i="30"/>
  <c r="L200" i="30"/>
  <c r="L196" i="30"/>
  <c r="L194" i="30"/>
  <c r="R249" i="30"/>
  <c r="R254" i="30"/>
  <c r="R255" i="30" s="1"/>
  <c r="R248" i="30"/>
  <c r="R252" i="30"/>
  <c r="R256" i="30"/>
  <c r="R250" i="30"/>
  <c r="L164" i="33"/>
  <c r="L166" i="33"/>
  <c r="L169" i="33"/>
  <c r="L172" i="33"/>
  <c r="L165" i="33"/>
  <c r="L170" i="33"/>
  <c r="J214" i="30"/>
  <c r="AD123" i="45"/>
  <c r="J208" i="43"/>
  <c r="J204" i="43"/>
  <c r="J201" i="43"/>
  <c r="J210" i="43"/>
  <c r="J209" i="43"/>
  <c r="J200" i="43"/>
  <c r="J202" i="43"/>
  <c r="J205" i="43"/>
  <c r="J203" i="43"/>
  <c r="J206" i="43"/>
  <c r="R193" i="43"/>
  <c r="R188" i="43"/>
  <c r="R186" i="43"/>
  <c r="R191" i="43"/>
  <c r="R185" i="43"/>
  <c r="R192" i="43"/>
  <c r="R187" i="43"/>
  <c r="R183" i="43"/>
  <c r="R184" i="43"/>
  <c r="N51" i="45"/>
  <c r="N55" i="45"/>
  <c r="N46" i="45"/>
  <c r="N47" i="45"/>
  <c r="N52" i="45"/>
  <c r="N54" i="45"/>
  <c r="N48" i="45"/>
  <c r="N49" i="45"/>
  <c r="N50" i="45"/>
  <c r="S56" i="45"/>
  <c r="S55" i="45"/>
  <c r="S50" i="45"/>
  <c r="S51" i="45"/>
  <c r="S46" i="45"/>
  <c r="S49" i="45"/>
  <c r="S47" i="45"/>
  <c r="S52" i="45"/>
  <c r="S48" i="45"/>
  <c r="S124" i="45"/>
  <c r="S119" i="45"/>
  <c r="S117" i="45"/>
  <c r="S115" i="45"/>
  <c r="S118" i="45"/>
  <c r="S114" i="45"/>
  <c r="S122" i="45"/>
  <c r="S120" i="45"/>
  <c r="Q175" i="45"/>
  <c r="Q174" i="45"/>
  <c r="Q171" i="45"/>
  <c r="Q165" i="45"/>
  <c r="Q167" i="45"/>
  <c r="Q169" i="45"/>
  <c r="Q173" i="45"/>
  <c r="Q166" i="45"/>
  <c r="Q170" i="45"/>
  <c r="Q168" i="45"/>
  <c r="S241" i="45"/>
  <c r="S242" i="45"/>
  <c r="S233" i="45"/>
  <c r="S243" i="45"/>
  <c r="S234" i="45"/>
  <c r="S238" i="45"/>
  <c r="S236" i="45"/>
  <c r="S239" i="45"/>
  <c r="S237" i="45"/>
  <c r="S235" i="45"/>
  <c r="AD204" i="43"/>
  <c r="AD209" i="43"/>
  <c r="AD202" i="43"/>
  <c r="AD205" i="43"/>
  <c r="AD203" i="43"/>
  <c r="AD208" i="43"/>
  <c r="AD201" i="43"/>
  <c r="AD206" i="43"/>
  <c r="AD210" i="43"/>
  <c r="AI99" i="43"/>
  <c r="AI106" i="43"/>
  <c r="AI107" i="43"/>
  <c r="AI98" i="43"/>
  <c r="AI104" i="43"/>
  <c r="AI108" i="43"/>
  <c r="AI101" i="43"/>
  <c r="S11" i="30"/>
  <c r="S18" i="30"/>
  <c r="S15" i="30"/>
  <c r="J127" i="30"/>
  <c r="J122" i="30"/>
  <c r="J128" i="30"/>
  <c r="J123" i="30"/>
  <c r="J130" i="30"/>
  <c r="J124" i="30"/>
  <c r="J107" i="30"/>
  <c r="S122" i="30"/>
  <c r="S127" i="30"/>
  <c r="S129" i="30" s="1"/>
  <c r="S126" i="30"/>
  <c r="S124" i="30"/>
  <c r="S130" i="30"/>
  <c r="S107" i="30"/>
  <c r="L70" i="33"/>
  <c r="L74" i="33"/>
  <c r="L67" i="33"/>
  <c r="L72" i="33"/>
  <c r="L73" i="33" s="1"/>
  <c r="T85" i="33"/>
  <c r="T88" i="33"/>
  <c r="T81" i="33"/>
  <c r="T86" i="33"/>
  <c r="T80" i="33"/>
  <c r="T84" i="33"/>
  <c r="T82" i="33"/>
  <c r="T51" i="33"/>
  <c r="T168" i="33"/>
  <c r="T164" i="33"/>
  <c r="T166" i="33"/>
  <c r="T169" i="33"/>
  <c r="T165" i="33"/>
  <c r="T170" i="33"/>
  <c r="T172" i="33"/>
  <c r="J214" i="28"/>
  <c r="R97" i="30"/>
  <c r="R103" i="30" s="1"/>
  <c r="S36" i="43"/>
  <c r="S12" i="30"/>
  <c r="L136" i="43"/>
  <c r="L133" i="43"/>
  <c r="L141" i="43"/>
  <c r="L138" i="43"/>
  <c r="L142" i="43"/>
  <c r="L137" i="43"/>
  <c r="L135" i="43"/>
  <c r="L140" i="43"/>
  <c r="AE137" i="43"/>
  <c r="AE142" i="43"/>
  <c r="AE133" i="43"/>
  <c r="AE135" i="43"/>
  <c r="AE140" i="43"/>
  <c r="AE141" i="43"/>
  <c r="Z242" i="45"/>
  <c r="Z243" i="45"/>
  <c r="Z238" i="45"/>
  <c r="Z236" i="45"/>
  <c r="Z241" i="45"/>
  <c r="Z233" i="45"/>
  <c r="AH261" i="43"/>
  <c r="R72" i="30"/>
  <c r="R73" i="30" s="1"/>
  <c r="V98" i="43"/>
  <c r="V106" i="43"/>
  <c r="V100" i="43"/>
  <c r="V99" i="43"/>
  <c r="J206" i="30"/>
  <c r="J211" i="28"/>
  <c r="R80" i="30"/>
  <c r="R84" i="30"/>
  <c r="R81" i="30"/>
  <c r="R82" i="30"/>
  <c r="J85" i="30"/>
  <c r="V108" i="43"/>
  <c r="AC243" i="45"/>
  <c r="AD120" i="45"/>
  <c r="V98" i="45"/>
  <c r="AB172" i="43"/>
  <c r="S54" i="45"/>
  <c r="R189" i="43"/>
  <c r="J157" i="45"/>
  <c r="J156" i="45"/>
  <c r="J149" i="45"/>
  <c r="J158" i="45"/>
  <c r="J154" i="45"/>
  <c r="J153" i="45"/>
  <c r="J150" i="45"/>
  <c r="J151" i="45"/>
  <c r="J152" i="45"/>
  <c r="J148" i="45"/>
  <c r="X134" i="43"/>
  <c r="X142" i="43"/>
  <c r="X138" i="43"/>
  <c r="X137" i="43"/>
  <c r="X141" i="43"/>
  <c r="X136" i="43"/>
  <c r="X132" i="43"/>
  <c r="X140" i="43"/>
  <c r="X133" i="43"/>
  <c r="U105" i="45"/>
  <c r="U100" i="45"/>
  <c r="U98" i="45"/>
  <c r="U106" i="45"/>
  <c r="U107" i="45"/>
  <c r="U99" i="45"/>
  <c r="U101" i="45"/>
  <c r="U102" i="45"/>
  <c r="U97" i="45"/>
  <c r="U152" i="45"/>
  <c r="U158" i="45"/>
  <c r="U150" i="45"/>
  <c r="U156" i="45"/>
  <c r="U148" i="45"/>
  <c r="U154" i="45"/>
  <c r="U157" i="45"/>
  <c r="K140" i="30"/>
  <c r="K144" i="30"/>
  <c r="K138" i="30"/>
  <c r="K137" i="30"/>
  <c r="K142" i="30"/>
  <c r="K141" i="30"/>
  <c r="P207" i="31"/>
  <c r="H207" i="31" s="1"/>
  <c r="H263" i="31" s="1"/>
  <c r="P212" i="31"/>
  <c r="P211" i="31"/>
  <c r="P210" i="31"/>
  <c r="P208" i="31"/>
  <c r="H208" i="31" s="1"/>
  <c r="J281" i="41"/>
  <c r="R320" i="43"/>
  <c r="R321" i="43"/>
  <c r="R324" i="43"/>
  <c r="R325" i="43"/>
  <c r="R328" i="43"/>
  <c r="R327" i="43"/>
  <c r="R323" i="43"/>
  <c r="R329" i="43"/>
  <c r="R319" i="43"/>
  <c r="W46" i="45"/>
  <c r="W55" i="45"/>
  <c r="W51" i="45"/>
  <c r="W47" i="45"/>
  <c r="W48" i="45"/>
  <c r="W49" i="45"/>
  <c r="W50" i="45"/>
  <c r="V156" i="45"/>
  <c r="V158" i="45"/>
  <c r="V150" i="45"/>
  <c r="V149" i="45"/>
  <c r="V151" i="45"/>
  <c r="V157" i="45"/>
  <c r="V152" i="45"/>
  <c r="V153" i="45"/>
  <c r="AI40" i="43"/>
  <c r="AI38" i="43"/>
  <c r="AI36" i="43"/>
  <c r="AI32" i="43"/>
  <c r="AI39" i="43"/>
  <c r="AI35" i="43"/>
  <c r="AI33" i="43"/>
  <c r="AI31" i="43"/>
  <c r="AI174" i="43"/>
  <c r="AI176" i="43"/>
  <c r="AI166" i="43"/>
  <c r="AI170" i="43"/>
  <c r="AI169" i="43"/>
  <c r="AI167" i="43"/>
  <c r="AI175" i="43"/>
  <c r="AI172" i="43"/>
  <c r="AI168" i="43"/>
  <c r="AI171" i="43"/>
  <c r="AE82" i="45"/>
  <c r="AE90" i="45"/>
  <c r="AE85" i="45"/>
  <c r="AE86" i="45"/>
  <c r="AE89" i="45"/>
  <c r="AE80" i="45"/>
  <c r="AE84" i="45"/>
  <c r="AE83" i="45"/>
  <c r="R15" i="30"/>
  <c r="R17" i="30" s="1"/>
  <c r="R10" i="30"/>
  <c r="R14" i="30"/>
  <c r="R11" i="30"/>
  <c r="R12" i="30"/>
  <c r="T141" i="30"/>
  <c r="T140" i="30"/>
  <c r="T136" i="30"/>
  <c r="T137" i="30"/>
  <c r="T144" i="30"/>
  <c r="T118" i="33"/>
  <c r="J210" i="30"/>
  <c r="L66" i="33"/>
  <c r="J120" i="43"/>
  <c r="J123" i="43"/>
  <c r="J121" i="43"/>
  <c r="J117" i="43"/>
  <c r="J119" i="43"/>
  <c r="J115" i="43"/>
  <c r="J118" i="43"/>
  <c r="J116" i="43"/>
  <c r="J124" i="43"/>
  <c r="AJ106" i="43"/>
  <c r="AJ104" i="43"/>
  <c r="AJ98" i="43"/>
  <c r="AJ102" i="43"/>
  <c r="AJ108" i="43"/>
  <c r="AJ100" i="43"/>
  <c r="AJ103" i="43"/>
  <c r="AJ107" i="43"/>
  <c r="AJ101" i="43"/>
  <c r="AJ99" i="43"/>
  <c r="R210" i="33"/>
  <c r="R214" i="33"/>
  <c r="R208" i="33"/>
  <c r="R206" i="33"/>
  <c r="R207" i="33"/>
  <c r="R211" i="33"/>
  <c r="R213" i="33" s="1"/>
  <c r="J80" i="30"/>
  <c r="AH81" i="43"/>
  <c r="AH91" i="43"/>
  <c r="AH88" i="43" s="1"/>
  <c r="AH84" i="43"/>
  <c r="AH87" i="43"/>
  <c r="R44" i="33"/>
  <c r="V64" i="43"/>
  <c r="V65" i="43"/>
  <c r="R107" i="30"/>
  <c r="K136" i="30"/>
  <c r="Z130" i="45"/>
  <c r="W52" i="45"/>
  <c r="AD250" i="43"/>
  <c r="V102" i="45"/>
  <c r="AB166" i="43"/>
  <c r="R38" i="43"/>
  <c r="R39" i="43"/>
  <c r="R36" i="43"/>
  <c r="R30" i="43"/>
  <c r="R32" i="43"/>
  <c r="R34" i="43"/>
  <c r="R33" i="43"/>
  <c r="R40" i="43"/>
  <c r="R35" i="43"/>
  <c r="O73" i="45"/>
  <c r="O67" i="45"/>
  <c r="O66" i="45"/>
  <c r="O71" i="45"/>
  <c r="O68" i="45"/>
  <c r="O69" i="45"/>
  <c r="O65" i="45"/>
  <c r="O64" i="45"/>
  <c r="O63" i="45"/>
  <c r="O72" i="45"/>
  <c r="AA170" i="43"/>
  <c r="AA166" i="43"/>
  <c r="AA174" i="43"/>
  <c r="AA168" i="43"/>
  <c r="AA171" i="43"/>
  <c r="AA172" i="43"/>
  <c r="AA167" i="43"/>
  <c r="AA176" i="43"/>
  <c r="AA175" i="43"/>
  <c r="AA169" i="43"/>
  <c r="V48" i="45"/>
  <c r="V52" i="45"/>
  <c r="V47" i="45"/>
  <c r="V51" i="45"/>
  <c r="V49" i="45"/>
  <c r="V54" i="45"/>
  <c r="V53" i="45" s="1"/>
  <c r="V46" i="45"/>
  <c r="U153" i="45"/>
  <c r="AE190" i="45"/>
  <c r="AE183" i="45"/>
  <c r="AE182" i="45"/>
  <c r="AE187" i="45"/>
  <c r="AE184" i="45"/>
  <c r="AE192" i="45"/>
  <c r="AE186" i="45"/>
  <c r="AE188" i="45"/>
  <c r="AE191" i="45"/>
  <c r="AE185" i="45"/>
  <c r="L10" i="30"/>
  <c r="L15" i="30"/>
  <c r="L14" i="30"/>
  <c r="L11" i="30"/>
  <c r="L16" i="30"/>
  <c r="L12" i="30"/>
  <c r="T44" i="30"/>
  <c r="T39" i="30"/>
  <c r="T46" i="30"/>
  <c r="T40" i="30"/>
  <c r="T43" i="30"/>
  <c r="T38" i="30"/>
  <c r="T267" i="30"/>
  <c r="T264" i="30"/>
  <c r="T263" i="30"/>
  <c r="T266" i="30"/>
  <c r="T268" i="30"/>
  <c r="J212" i="28"/>
  <c r="J206" i="28"/>
  <c r="V97" i="45"/>
  <c r="K136" i="43"/>
  <c r="K132" i="43"/>
  <c r="K133" i="43"/>
  <c r="K137" i="43"/>
  <c r="K138" i="43"/>
  <c r="K135" i="43"/>
  <c r="K140" i="43"/>
  <c r="K142" i="43"/>
  <c r="K141" i="43"/>
  <c r="K134" i="43"/>
  <c r="K90" i="45"/>
  <c r="K89" i="45"/>
  <c r="K83" i="45"/>
  <c r="K84" i="45"/>
  <c r="K88" i="45"/>
  <c r="K80" i="45"/>
  <c r="K86" i="45"/>
  <c r="K82" i="45"/>
  <c r="K81" i="45"/>
  <c r="AC16" i="45"/>
  <c r="AC20" i="45"/>
  <c r="AC12" i="45"/>
  <c r="AC22" i="45"/>
  <c r="AC21" i="45"/>
  <c r="AC15" i="45"/>
  <c r="AC17" i="45"/>
  <c r="AC13" i="45"/>
  <c r="AC14" i="45"/>
  <c r="AC18" i="45"/>
  <c r="P212" i="28"/>
  <c r="P207" i="28"/>
  <c r="H207" i="28" s="1"/>
  <c r="P214" i="28"/>
  <c r="P211" i="28"/>
  <c r="P206" i="28"/>
  <c r="P208" i="28"/>
  <c r="H208" i="28" s="1"/>
  <c r="L144" i="30"/>
  <c r="L138" i="30"/>
  <c r="L141" i="30"/>
  <c r="L137" i="30"/>
  <c r="L136" i="30"/>
  <c r="L142" i="30"/>
  <c r="R196" i="30"/>
  <c r="R192" i="30"/>
  <c r="R197" i="30"/>
  <c r="R194" i="30"/>
  <c r="R193" i="30"/>
  <c r="R198" i="30"/>
  <c r="R38" i="33"/>
  <c r="R46" i="33"/>
  <c r="R40" i="33"/>
  <c r="J154" i="33"/>
  <c r="J150" i="33"/>
  <c r="J155" i="33"/>
  <c r="J158" i="33"/>
  <c r="J151" i="33"/>
  <c r="J156" i="33"/>
  <c r="J152" i="33"/>
  <c r="K267" i="33"/>
  <c r="K264" i="33"/>
  <c r="K263" i="33"/>
  <c r="K268" i="33"/>
  <c r="K262" i="33"/>
  <c r="I63" i="45"/>
  <c r="I73" i="45"/>
  <c r="I68" i="45"/>
  <c r="I64" i="45"/>
  <c r="I65" i="45"/>
  <c r="I66" i="45"/>
  <c r="I69" i="45"/>
  <c r="AD141" i="43"/>
  <c r="AD140" i="43"/>
  <c r="AD133" i="43"/>
  <c r="AD142" i="43"/>
  <c r="AD137" i="43"/>
  <c r="AD135" i="43"/>
  <c r="AD132" i="43"/>
  <c r="AD173" i="45"/>
  <c r="AD166" i="45"/>
  <c r="AD174" i="45"/>
  <c r="AD171" i="45"/>
  <c r="AD175" i="45"/>
  <c r="AD165" i="45"/>
  <c r="AD168" i="45"/>
  <c r="AD170" i="45"/>
  <c r="AD169" i="45"/>
  <c r="AD238" i="45"/>
  <c r="AD242" i="45"/>
  <c r="AD235" i="45"/>
  <c r="AD243" i="45"/>
  <c r="AD233" i="45"/>
  <c r="AD237" i="45"/>
  <c r="AD236" i="45"/>
  <c r="AD239" i="45"/>
  <c r="AD234" i="45"/>
  <c r="J43" i="30"/>
  <c r="J42" i="30"/>
  <c r="J40" i="30"/>
  <c r="J46" i="30"/>
  <c r="J38" i="30"/>
  <c r="J44" i="30"/>
  <c r="J39" i="30"/>
  <c r="T25" i="30"/>
  <c r="T30" i="30"/>
  <c r="T24" i="30"/>
  <c r="T29" i="30"/>
  <c r="T26" i="30"/>
  <c r="T28" i="30"/>
  <c r="L266" i="33"/>
  <c r="L270" i="33"/>
  <c r="L267" i="33"/>
  <c r="L264" i="33"/>
  <c r="L263" i="33"/>
  <c r="L268" i="33"/>
  <c r="L262" i="33"/>
  <c r="J208" i="28"/>
  <c r="R39" i="33"/>
  <c r="AD117" i="45"/>
  <c r="V192" i="43"/>
  <c r="AE202" i="43"/>
  <c r="AE209" i="43"/>
  <c r="AE200" i="43"/>
  <c r="AE206" i="43"/>
  <c r="AE203" i="43"/>
  <c r="AE201" i="43"/>
  <c r="AE204" i="43"/>
  <c r="AE208" i="43"/>
  <c r="AE205" i="43"/>
  <c r="AE210" i="43"/>
  <c r="AH13" i="43"/>
  <c r="AH14" i="43"/>
  <c r="AH16" i="43"/>
  <c r="AH17" i="43"/>
  <c r="AH22" i="43"/>
  <c r="AH19" i="43"/>
  <c r="AH15" i="43"/>
  <c r="AH23" i="43"/>
  <c r="AH21" i="43"/>
  <c r="AH154" i="43"/>
  <c r="AH159" i="43"/>
  <c r="AH157" i="43"/>
  <c r="AH149" i="43"/>
  <c r="AH150" i="43"/>
  <c r="AH152" i="43"/>
  <c r="AH155" i="43"/>
  <c r="AH151" i="43"/>
  <c r="S66" i="30"/>
  <c r="S71" i="30"/>
  <c r="S73" i="30" s="1"/>
  <c r="S68" i="30"/>
  <c r="S74" i="30"/>
  <c r="S67" i="30"/>
  <c r="S70" i="30"/>
  <c r="S51" i="30"/>
  <c r="K128" i="30"/>
  <c r="K122" i="30"/>
  <c r="K127" i="30"/>
  <c r="K124" i="30"/>
  <c r="K130" i="30"/>
  <c r="K123" i="30"/>
  <c r="K107" i="30"/>
  <c r="K126" i="30"/>
  <c r="J168" i="30"/>
  <c r="J164" i="30"/>
  <c r="J172" i="30"/>
  <c r="J169" i="30"/>
  <c r="J166" i="30"/>
  <c r="J170" i="30"/>
  <c r="J165" i="30"/>
  <c r="J211" i="30"/>
  <c r="S123" i="30"/>
  <c r="AI102" i="43"/>
  <c r="V106" i="45"/>
  <c r="AI100" i="43"/>
  <c r="AD116" i="45"/>
  <c r="AI34" i="43"/>
  <c r="AH104" i="43"/>
  <c r="AH106" i="43"/>
  <c r="AH107" i="43"/>
  <c r="AH103" i="43"/>
  <c r="AH101" i="43"/>
  <c r="V154" i="45"/>
  <c r="AD200" i="43"/>
  <c r="W56" i="45"/>
  <c r="L132" i="43"/>
  <c r="AD167" i="45"/>
  <c r="J217" i="45"/>
  <c r="J221" i="45"/>
  <c r="J216" i="45"/>
  <c r="J220" i="45"/>
  <c r="J222" i="45"/>
  <c r="J224" i="45"/>
  <c r="J226" i="45"/>
  <c r="J218" i="45"/>
  <c r="J225" i="45"/>
  <c r="J219" i="45"/>
  <c r="AA74" i="43"/>
  <c r="AA65" i="43"/>
  <c r="AA68" i="43"/>
  <c r="AA72" i="43"/>
  <c r="AA66" i="43"/>
  <c r="AA64" i="43"/>
  <c r="AA70" i="43"/>
  <c r="AA69" i="43"/>
  <c r="AB261" i="43"/>
  <c r="AB252" i="43"/>
  <c r="AB256" i="43"/>
  <c r="AB254" i="43"/>
  <c r="AB257" i="43"/>
  <c r="AB259" i="43"/>
  <c r="AI251" i="43"/>
  <c r="AI260" i="43"/>
  <c r="AI252" i="43"/>
  <c r="AI259" i="43"/>
  <c r="AI256" i="43"/>
  <c r="AI257" i="43"/>
  <c r="AI253" i="43"/>
  <c r="AI254" i="43"/>
  <c r="AI255" i="43"/>
  <c r="AI261" i="43"/>
  <c r="AC116" i="45"/>
  <c r="AC123" i="45"/>
  <c r="AC117" i="45"/>
  <c r="AC118" i="45"/>
  <c r="AC120" i="45"/>
  <c r="AC119" i="45"/>
  <c r="AC115" i="45"/>
  <c r="AC122" i="45"/>
  <c r="AC114" i="45"/>
  <c r="AC124" i="45"/>
  <c r="O212" i="28"/>
  <c r="O211" i="28"/>
  <c r="O206" i="28"/>
  <c r="O214" i="28"/>
  <c r="O208" i="28"/>
  <c r="G208" i="28" s="1"/>
  <c r="T210" i="30"/>
  <c r="T212" i="30"/>
  <c r="T211" i="30"/>
  <c r="T208" i="30"/>
  <c r="T214" i="30"/>
  <c r="T207" i="30"/>
  <c r="K172" i="33"/>
  <c r="K165" i="33"/>
  <c r="K170" i="33"/>
  <c r="K164" i="33"/>
  <c r="K168" i="33"/>
  <c r="K169" i="33"/>
  <c r="K166" i="33"/>
  <c r="R170" i="33"/>
  <c r="R172" i="33"/>
  <c r="R164" i="33"/>
  <c r="R169" i="33"/>
  <c r="R166" i="33"/>
  <c r="R165" i="33"/>
  <c r="AB260" i="43"/>
  <c r="J81" i="45"/>
  <c r="J85" i="45"/>
  <c r="J84" i="45"/>
  <c r="J90" i="45"/>
  <c r="J89" i="45"/>
  <c r="J80" i="45"/>
  <c r="J88" i="45"/>
  <c r="J82" i="45"/>
  <c r="J86" i="45"/>
  <c r="J83" i="45"/>
  <c r="N171" i="45"/>
  <c r="N167" i="45"/>
  <c r="N165" i="45"/>
  <c r="N174" i="45"/>
  <c r="N170" i="45"/>
  <c r="N168" i="45"/>
  <c r="N169" i="45"/>
  <c r="Q233" i="45"/>
  <c r="Q242" i="45"/>
  <c r="Q243" i="45"/>
  <c r="Q235" i="45"/>
  <c r="Q234" i="45"/>
  <c r="Q237" i="45"/>
  <c r="Q239" i="45"/>
  <c r="Q238" i="45"/>
  <c r="Q236" i="45"/>
  <c r="Q241" i="45"/>
  <c r="AB171" i="43"/>
  <c r="AB174" i="43"/>
  <c r="AB175" i="43"/>
  <c r="AB169" i="43"/>
  <c r="AB168" i="43"/>
  <c r="AB176" i="43"/>
  <c r="AB167" i="43"/>
  <c r="V105" i="45"/>
  <c r="V100" i="45"/>
  <c r="AC237" i="45"/>
  <c r="AC234" i="45"/>
  <c r="AC242" i="45"/>
  <c r="AC241" i="45"/>
  <c r="AC233" i="45"/>
  <c r="AC238" i="45"/>
  <c r="AC236" i="45"/>
  <c r="AC239" i="45"/>
  <c r="S32" i="30"/>
  <c r="S26" i="30"/>
  <c r="S29" i="30"/>
  <c r="S30" i="30"/>
  <c r="S25" i="30"/>
  <c r="K193" i="30"/>
  <c r="K195" i="30" s="1"/>
  <c r="K200" i="30"/>
  <c r="K198" i="30"/>
  <c r="K199" i="30" s="1"/>
  <c r="K196" i="30"/>
  <c r="T106" i="33"/>
  <c r="V99" i="45"/>
  <c r="S24" i="30"/>
  <c r="M107" i="45"/>
  <c r="M106" i="45"/>
  <c r="M100" i="45"/>
  <c r="M98" i="45"/>
  <c r="M97" i="45"/>
  <c r="M102" i="45"/>
  <c r="M105" i="45"/>
  <c r="M99" i="45"/>
  <c r="M101" i="45"/>
  <c r="O166" i="45"/>
  <c r="O175" i="45"/>
  <c r="O173" i="45"/>
  <c r="O168" i="45"/>
  <c r="O170" i="45"/>
  <c r="O167" i="45"/>
  <c r="O171" i="45"/>
  <c r="O169" i="45"/>
  <c r="O165" i="45"/>
  <c r="S85" i="45"/>
  <c r="S83" i="45"/>
  <c r="S89" i="45"/>
  <c r="S84" i="45"/>
  <c r="S80" i="45"/>
  <c r="S88" i="45"/>
  <c r="S86" i="45"/>
  <c r="S90" i="45"/>
  <c r="S82" i="45"/>
  <c r="S81" i="45"/>
  <c r="Y238" i="45"/>
  <c r="Y241" i="45"/>
  <c r="Y243" i="45"/>
  <c r="Y234" i="45"/>
  <c r="Y235" i="45"/>
  <c r="Y242" i="45"/>
  <c r="Y237" i="45"/>
  <c r="Y233" i="45"/>
  <c r="Y239" i="45"/>
  <c r="AJ40" i="43"/>
  <c r="AJ31" i="43"/>
  <c r="AJ34" i="43"/>
  <c r="AJ39" i="43"/>
  <c r="AJ36" i="43"/>
  <c r="AJ30" i="43"/>
  <c r="AJ32" i="43"/>
  <c r="AJ38" i="43"/>
  <c r="AJ33" i="43"/>
  <c r="AJ35" i="43"/>
  <c r="R43" i="33"/>
  <c r="V50" i="45"/>
  <c r="AC352" i="45"/>
  <c r="AC355" i="45"/>
  <c r="AC360" i="45"/>
  <c r="AC354" i="45"/>
  <c r="AC353" i="45"/>
  <c r="AH259" i="43"/>
  <c r="AH251" i="43"/>
  <c r="AH253" i="43"/>
  <c r="AH257" i="43"/>
  <c r="AH252" i="43"/>
  <c r="K270" i="33"/>
  <c r="AD136" i="43"/>
  <c r="K15" i="45"/>
  <c r="K17" i="45"/>
  <c r="K21" i="45"/>
  <c r="K16" i="45"/>
  <c r="K14" i="45"/>
  <c r="K13" i="45"/>
  <c r="R171" i="45"/>
  <c r="R167" i="45"/>
  <c r="R174" i="45"/>
  <c r="R169" i="45"/>
  <c r="R170" i="45"/>
  <c r="R173" i="45"/>
  <c r="R165" i="45"/>
  <c r="R166" i="45"/>
  <c r="R168" i="45"/>
  <c r="W209" i="45"/>
  <c r="W202" i="45"/>
  <c r="W203" i="45"/>
  <c r="W199" i="45"/>
  <c r="W207" i="45"/>
  <c r="W208" i="45"/>
  <c r="W205" i="45"/>
  <c r="W201" i="45"/>
  <c r="W204" i="45"/>
  <c r="W200" i="45"/>
  <c r="AI73" i="43"/>
  <c r="AI74" i="43"/>
  <c r="AI66" i="43"/>
  <c r="AI65" i="43"/>
  <c r="AI70" i="43"/>
  <c r="AI68" i="43"/>
  <c r="AI64" i="43"/>
  <c r="AI69" i="43"/>
  <c r="AI72" i="43"/>
  <c r="K158" i="33"/>
  <c r="K152" i="33"/>
  <c r="K151" i="33"/>
  <c r="K154" i="33"/>
  <c r="K150" i="33"/>
  <c r="S155" i="33"/>
  <c r="S151" i="33"/>
  <c r="S156" i="33"/>
  <c r="S152" i="33"/>
  <c r="S154" i="33"/>
  <c r="S158" i="33"/>
  <c r="S150" i="33"/>
  <c r="J208" i="30"/>
  <c r="J107" i="33"/>
  <c r="AD119" i="45"/>
  <c r="K106" i="33"/>
  <c r="AD138" i="43"/>
  <c r="V103" i="45"/>
  <c r="R175" i="45"/>
  <c r="I72" i="45"/>
  <c r="R51" i="30"/>
  <c r="AC99" i="45"/>
  <c r="AC105" i="45"/>
  <c r="AC106" i="45"/>
  <c r="AC107" i="45"/>
  <c r="AC103" i="45"/>
  <c r="V84" i="43"/>
  <c r="V90" i="43"/>
  <c r="V87" i="43"/>
  <c r="K58" i="33"/>
  <c r="K60" i="33"/>
  <c r="K56" i="33"/>
  <c r="K57" i="33"/>
  <c r="K52" i="33"/>
  <c r="P214" i="31"/>
  <c r="T142" i="30"/>
  <c r="V148" i="45"/>
  <c r="AA73" i="43"/>
  <c r="X135" i="43"/>
  <c r="P34" i="43"/>
  <c r="P33" i="43"/>
  <c r="P35" i="43"/>
  <c r="P30" i="43"/>
  <c r="P36" i="43"/>
  <c r="P32" i="43"/>
  <c r="P39" i="43"/>
  <c r="P37" i="43" s="1"/>
  <c r="K38" i="30"/>
  <c r="K44" i="30"/>
  <c r="K43" i="30"/>
  <c r="K39" i="30"/>
  <c r="K46" i="30"/>
  <c r="K40" i="30"/>
  <c r="S72" i="33"/>
  <c r="S74" i="33"/>
  <c r="S66" i="33"/>
  <c r="S68" i="33"/>
  <c r="S67" i="33"/>
  <c r="S51" i="33"/>
  <c r="P31" i="43"/>
  <c r="BR252" i="43"/>
  <c r="BR254" i="43"/>
  <c r="AH69" i="43"/>
  <c r="Q217" i="45"/>
  <c r="K55" i="43"/>
  <c r="K51" i="43"/>
  <c r="K49" i="43"/>
  <c r="K53" i="43"/>
  <c r="K56" i="43"/>
  <c r="K50" i="43"/>
  <c r="K47" i="43"/>
  <c r="S174" i="45"/>
  <c r="S167" i="45"/>
  <c r="S173" i="45"/>
  <c r="S165" i="45"/>
  <c r="S169" i="45"/>
  <c r="S166" i="45"/>
  <c r="S170" i="45"/>
  <c r="S171" i="45"/>
  <c r="S168" i="45"/>
  <c r="AF202" i="43"/>
  <c r="AF210" i="43"/>
  <c r="AF208" i="43"/>
  <c r="AF200" i="43"/>
  <c r="AF201" i="43"/>
  <c r="AF206" i="43"/>
  <c r="AF205" i="43"/>
  <c r="AF203" i="43"/>
  <c r="AA242" i="45"/>
  <c r="AA236" i="45"/>
  <c r="AA237" i="45"/>
  <c r="AA238" i="45"/>
  <c r="AA233" i="45"/>
  <c r="AC156" i="45"/>
  <c r="AC157" i="45"/>
  <c r="AC158" i="45"/>
  <c r="AC149" i="45"/>
  <c r="AC150" i="45"/>
  <c r="AC148" i="45"/>
  <c r="AC152" i="45"/>
  <c r="AC151" i="45"/>
  <c r="AC153" i="45"/>
  <c r="T130" i="30"/>
  <c r="T126" i="30"/>
  <c r="T124" i="30"/>
  <c r="T127" i="30"/>
  <c r="T128" i="30"/>
  <c r="T123" i="30"/>
  <c r="Z28" i="45"/>
  <c r="J100" i="43"/>
  <c r="J108" i="43"/>
  <c r="J103" i="43"/>
  <c r="J99" i="43"/>
  <c r="J102" i="43"/>
  <c r="J101" i="43"/>
  <c r="K117" i="43"/>
  <c r="K119" i="43"/>
  <c r="K121" i="43"/>
  <c r="K115" i="43"/>
  <c r="K124" i="43"/>
  <c r="K125" i="43"/>
  <c r="K120" i="43"/>
  <c r="K116" i="43"/>
  <c r="K118" i="43"/>
  <c r="E141" i="45"/>
  <c r="E136" i="45"/>
  <c r="E133" i="45"/>
  <c r="E139" i="45"/>
  <c r="P189" i="43"/>
  <c r="P185" i="43"/>
  <c r="P192" i="43"/>
  <c r="P193" i="43"/>
  <c r="P184" i="43"/>
  <c r="P188" i="43"/>
  <c r="P183" i="43"/>
  <c r="K201" i="45"/>
  <c r="K203" i="45"/>
  <c r="K205" i="45"/>
  <c r="K199" i="45"/>
  <c r="K200" i="45"/>
  <c r="K204" i="45"/>
  <c r="K202" i="45"/>
  <c r="K207" i="45"/>
  <c r="R221" i="45"/>
  <c r="R225" i="45"/>
  <c r="R224" i="45"/>
  <c r="R226" i="45"/>
  <c r="R222" i="45"/>
  <c r="R220" i="45"/>
  <c r="AE70" i="43"/>
  <c r="AE66" i="43"/>
  <c r="AE69" i="43"/>
  <c r="AE64" i="43"/>
  <c r="AE73" i="43"/>
  <c r="AE65" i="43"/>
  <c r="AE72" i="43"/>
  <c r="AE67" i="43"/>
  <c r="T164" i="30"/>
  <c r="T168" i="30"/>
  <c r="T170" i="30"/>
  <c r="T165" i="30"/>
  <c r="T172" i="30"/>
  <c r="T166" i="30"/>
  <c r="T169" i="30"/>
  <c r="R238" i="30"/>
  <c r="R242" i="30"/>
  <c r="R239" i="30"/>
  <c r="R234" i="30"/>
  <c r="R236" i="30"/>
  <c r="R240" i="30"/>
  <c r="AH73" i="43"/>
  <c r="Q216" i="45"/>
  <c r="E134" i="45"/>
  <c r="R216" i="45"/>
  <c r="N320" i="43"/>
  <c r="N329" i="43"/>
  <c r="N324" i="43"/>
  <c r="N328" i="43"/>
  <c r="N319" i="43"/>
  <c r="N321" i="43"/>
  <c r="N323" i="43"/>
  <c r="N325" i="43"/>
  <c r="X256" i="43"/>
  <c r="X261" i="43"/>
  <c r="X251" i="43"/>
  <c r="X252" i="43"/>
  <c r="X259" i="43"/>
  <c r="X255" i="43"/>
  <c r="X257" i="43"/>
  <c r="X253" i="43"/>
  <c r="X260" i="43"/>
  <c r="Y225" i="45"/>
  <c r="Y224" i="45"/>
  <c r="Y222" i="45"/>
  <c r="Y218" i="45"/>
  <c r="Y220" i="45"/>
  <c r="Y226" i="45"/>
  <c r="Y221" i="45"/>
  <c r="Y217" i="45"/>
  <c r="Y216" i="45"/>
  <c r="Y219" i="45"/>
  <c r="AJ70" i="43"/>
  <c r="AJ64" i="43"/>
  <c r="AJ67" i="43"/>
  <c r="AJ66" i="43"/>
  <c r="AJ68" i="43"/>
  <c r="AE166" i="45"/>
  <c r="AE171" i="45"/>
  <c r="AE174" i="45"/>
  <c r="AE165" i="45"/>
  <c r="AE175" i="45"/>
  <c r="AE167" i="45"/>
  <c r="AE173" i="45"/>
  <c r="AE169" i="45"/>
  <c r="AE170" i="45"/>
  <c r="T12" i="30"/>
  <c r="T15" i="30"/>
  <c r="T10" i="30"/>
  <c r="T16" i="30"/>
  <c r="T11" i="30"/>
  <c r="J142" i="33"/>
  <c r="J138" i="33"/>
  <c r="J137" i="33"/>
  <c r="J140" i="33"/>
  <c r="J136" i="33"/>
  <c r="J141" i="33"/>
  <c r="X174" i="43"/>
  <c r="X172" i="43"/>
  <c r="X171" i="43"/>
  <c r="X168" i="43"/>
  <c r="X175" i="43"/>
  <c r="X167" i="43"/>
  <c r="X170" i="43"/>
  <c r="X176" i="43"/>
  <c r="W33" i="45"/>
  <c r="W30" i="45"/>
  <c r="W39" i="45"/>
  <c r="W38" i="45"/>
  <c r="W37" i="45"/>
  <c r="W35" i="45"/>
  <c r="W32" i="45"/>
  <c r="W34" i="45"/>
  <c r="W131" i="45"/>
  <c r="W137" i="45"/>
  <c r="W139" i="45"/>
  <c r="W141" i="45"/>
  <c r="W134" i="45"/>
  <c r="W136" i="45"/>
  <c r="W135" i="45"/>
  <c r="AF140" i="43"/>
  <c r="AF137" i="43"/>
  <c r="AF142" i="43"/>
  <c r="AF135" i="43"/>
  <c r="AF141" i="43"/>
  <c r="AF136" i="43"/>
  <c r="AI17" i="43"/>
  <c r="AI15" i="43"/>
  <c r="AI22" i="43"/>
  <c r="AI23" i="43"/>
  <c r="AI13" i="43"/>
  <c r="AI14" i="43"/>
  <c r="AI18" i="43"/>
  <c r="AI19" i="43"/>
  <c r="AD99" i="45"/>
  <c r="AD97" i="45"/>
  <c r="AD101" i="45"/>
  <c r="AD107" i="45"/>
  <c r="AD105" i="45"/>
  <c r="AD106" i="45"/>
  <c r="AD103" i="45"/>
  <c r="T71" i="30"/>
  <c r="T66" i="30"/>
  <c r="T74" i="30"/>
  <c r="T67" i="30"/>
  <c r="T72" i="30"/>
  <c r="T68" i="30"/>
  <c r="L122" i="30"/>
  <c r="L127" i="30"/>
  <c r="L124" i="30"/>
  <c r="L107" i="30"/>
  <c r="L123" i="30"/>
  <c r="L128" i="30"/>
  <c r="K166" i="30"/>
  <c r="K168" i="30"/>
  <c r="K172" i="30"/>
  <c r="K169" i="30"/>
  <c r="K171" i="30" s="1"/>
  <c r="K165" i="30"/>
  <c r="L106" i="33"/>
  <c r="L155" i="33"/>
  <c r="L150" i="33"/>
  <c r="L152" i="33"/>
  <c r="L154" i="33"/>
  <c r="L156" i="33"/>
  <c r="L151" i="33"/>
  <c r="T151" i="33"/>
  <c r="T150" i="33"/>
  <c r="T155" i="33"/>
  <c r="V254" i="43"/>
  <c r="AH68" i="43"/>
  <c r="T18" i="30"/>
  <c r="X254" i="43"/>
  <c r="E132" i="45"/>
  <c r="R235" i="30"/>
  <c r="R31" i="45"/>
  <c r="R38" i="45"/>
  <c r="R34" i="45"/>
  <c r="R33" i="45"/>
  <c r="R29" i="45"/>
  <c r="R32" i="45"/>
  <c r="R39" i="45"/>
  <c r="R35" i="45"/>
  <c r="Q221" i="45"/>
  <c r="Q222" i="45"/>
  <c r="Q218" i="45"/>
  <c r="Q219" i="45"/>
  <c r="Q226" i="45"/>
  <c r="R142" i="33"/>
  <c r="R136" i="33"/>
  <c r="R144" i="33"/>
  <c r="R137" i="33"/>
  <c r="R140" i="33"/>
  <c r="R141" i="33"/>
  <c r="R138" i="33"/>
  <c r="S214" i="33"/>
  <c r="S207" i="33"/>
  <c r="S208" i="33"/>
  <c r="S211" i="33"/>
  <c r="S213" i="33" s="1"/>
  <c r="I281" i="41"/>
  <c r="AD100" i="45"/>
  <c r="AI16" i="43"/>
  <c r="AA234" i="45"/>
  <c r="AE250" i="43"/>
  <c r="Q225" i="45"/>
  <c r="E137" i="45"/>
  <c r="K318" i="43"/>
  <c r="T152" i="33"/>
  <c r="T156" i="33"/>
  <c r="L130" i="30"/>
  <c r="K209" i="45"/>
  <c r="T158" i="33"/>
  <c r="J38" i="43"/>
  <c r="J30" i="43"/>
  <c r="J33" i="43"/>
  <c r="J36" i="43"/>
  <c r="E68" i="45"/>
  <c r="E71" i="45"/>
  <c r="E70" i="45" s="1"/>
  <c r="E65" i="45"/>
  <c r="F139" i="45"/>
  <c r="F133" i="45"/>
  <c r="F131" i="45"/>
  <c r="F137" i="45"/>
  <c r="F140" i="45"/>
  <c r="F135" i="45"/>
  <c r="F141" i="45"/>
  <c r="N19" i="43"/>
  <c r="N22" i="43"/>
  <c r="N15" i="43"/>
  <c r="N17" i="43"/>
  <c r="N169" i="43"/>
  <c r="N165" i="43" s="1"/>
  <c r="N174" i="43"/>
  <c r="N173" i="43" s="1"/>
  <c r="K98" i="43"/>
  <c r="K103" i="43"/>
  <c r="K101" i="43"/>
  <c r="K108" i="43"/>
  <c r="K105" i="43" s="1"/>
  <c r="L119" i="43"/>
  <c r="L121" i="43"/>
  <c r="L118" i="43"/>
  <c r="L125" i="43"/>
  <c r="G83" i="45"/>
  <c r="G84" i="45"/>
  <c r="G80" i="45"/>
  <c r="G82" i="45"/>
  <c r="G90" i="45"/>
  <c r="G85" i="45"/>
  <c r="G81" i="45"/>
  <c r="G89" i="45"/>
  <c r="P108" i="43"/>
  <c r="P98" i="43"/>
  <c r="P106" i="43"/>
  <c r="O176" i="43"/>
  <c r="O172" i="43"/>
  <c r="O170" i="43"/>
  <c r="O166" i="43"/>
  <c r="O168" i="43"/>
  <c r="O169" i="43"/>
  <c r="O167" i="43"/>
  <c r="O174" i="43"/>
  <c r="O171" i="43"/>
  <c r="K39" i="43"/>
  <c r="K33" i="43"/>
  <c r="K35" i="43"/>
  <c r="K38" i="43"/>
  <c r="K36" i="43"/>
  <c r="K32" i="43"/>
  <c r="K34" i="43"/>
  <c r="L329" i="43"/>
  <c r="L320" i="43"/>
  <c r="L327" i="43"/>
  <c r="L319" i="43"/>
  <c r="L325" i="43"/>
  <c r="L321" i="43"/>
  <c r="G135" i="45"/>
  <c r="G140" i="45"/>
  <c r="G134" i="45"/>
  <c r="G130" i="45" s="1"/>
  <c r="G136" i="45"/>
  <c r="O89" i="43"/>
  <c r="O91" i="43"/>
  <c r="O87" i="43"/>
  <c r="O90" i="43"/>
  <c r="O85" i="43"/>
  <c r="O81" i="43"/>
  <c r="O82" i="43"/>
  <c r="P169" i="43"/>
  <c r="P167" i="43"/>
  <c r="P174" i="43"/>
  <c r="P173" i="43" s="1"/>
  <c r="K261" i="43"/>
  <c r="K251" i="43"/>
  <c r="K256" i="43"/>
  <c r="K252" i="43"/>
  <c r="K259" i="43"/>
  <c r="K260" i="43"/>
  <c r="L166" i="43"/>
  <c r="L170" i="43"/>
  <c r="L171" i="43"/>
  <c r="L172" i="43"/>
  <c r="L167" i="43"/>
  <c r="L175" i="43"/>
  <c r="L174" i="43"/>
  <c r="L176" i="43"/>
  <c r="N72" i="43"/>
  <c r="N64" i="43"/>
  <c r="N74" i="43"/>
  <c r="N65" i="43"/>
  <c r="N67" i="43"/>
  <c r="N149" i="43"/>
  <c r="N148" i="43" s="1"/>
  <c r="N153" i="43"/>
  <c r="I190" i="45"/>
  <c r="I191" i="45"/>
  <c r="I186" i="45"/>
  <c r="I182" i="45"/>
  <c r="I188" i="45"/>
  <c r="V158" i="43"/>
  <c r="V157" i="43"/>
  <c r="V151" i="43"/>
  <c r="V153" i="43"/>
  <c r="K294" i="41"/>
  <c r="K151" i="43"/>
  <c r="K149" i="43"/>
  <c r="K154" i="43"/>
  <c r="K158" i="43"/>
  <c r="K153" i="43"/>
  <c r="K155" i="43"/>
  <c r="K157" i="43"/>
  <c r="K150" i="43"/>
  <c r="K159" i="43"/>
  <c r="J244" i="43"/>
  <c r="J241" i="43" s="1"/>
  <c r="J238" i="43"/>
  <c r="J237" i="43"/>
  <c r="J239" i="43"/>
  <c r="J234" i="43"/>
  <c r="J240" i="43"/>
  <c r="L261" i="43"/>
  <c r="L257" i="43"/>
  <c r="L255" i="43"/>
  <c r="L252" i="43"/>
  <c r="L260" i="43"/>
  <c r="L253" i="43"/>
  <c r="G73" i="45"/>
  <c r="G71" i="45"/>
  <c r="G66" i="45"/>
  <c r="G68" i="45"/>
  <c r="E124" i="45"/>
  <c r="E119" i="45"/>
  <c r="E115" i="45"/>
  <c r="E113" i="45" s="1"/>
  <c r="P81" i="43"/>
  <c r="P86" i="43"/>
  <c r="P90" i="43"/>
  <c r="P87" i="43"/>
  <c r="P83" i="43"/>
  <c r="P91" i="43"/>
  <c r="P84" i="43"/>
  <c r="J124" i="45"/>
  <c r="J123" i="45"/>
  <c r="J116" i="45"/>
  <c r="J117" i="45"/>
  <c r="J120" i="45"/>
  <c r="J122" i="45"/>
  <c r="J114" i="45"/>
  <c r="O37" i="45"/>
  <c r="O39" i="45"/>
  <c r="J141" i="43"/>
  <c r="J140" i="43"/>
  <c r="J136" i="43"/>
  <c r="J134" i="43"/>
  <c r="J132" i="43"/>
  <c r="J138" i="43"/>
  <c r="J137" i="43"/>
  <c r="K234" i="43"/>
  <c r="K235" i="43"/>
  <c r="K242" i="43"/>
  <c r="K238" i="43"/>
  <c r="K240" i="43"/>
  <c r="K243" i="43"/>
  <c r="F46" i="45"/>
  <c r="F49" i="45"/>
  <c r="F54" i="45"/>
  <c r="F52" i="45"/>
  <c r="K56" i="45"/>
  <c r="K53" i="45" s="1"/>
  <c r="K47" i="45"/>
  <c r="K49" i="45"/>
  <c r="I107" i="45"/>
  <c r="I99" i="45"/>
  <c r="I106" i="45"/>
  <c r="I103" i="45"/>
  <c r="L67" i="43"/>
  <c r="L68" i="43"/>
  <c r="L64" i="43"/>
  <c r="L66" i="43"/>
  <c r="L74" i="43"/>
  <c r="L69" i="43"/>
  <c r="L152" i="43"/>
  <c r="L150" i="43"/>
  <c r="N48" i="43"/>
  <c r="N51" i="43"/>
  <c r="N53" i="43"/>
  <c r="N47" i="43"/>
  <c r="N57" i="43"/>
  <c r="N49" i="43"/>
  <c r="T168" i="43"/>
  <c r="T174" i="43"/>
  <c r="T176" i="43"/>
  <c r="W23" i="43"/>
  <c r="W16" i="43"/>
  <c r="W18" i="43"/>
  <c r="R105" i="45"/>
  <c r="R102" i="45"/>
  <c r="R107" i="45"/>
  <c r="W88" i="45"/>
  <c r="W90" i="45"/>
  <c r="W85" i="45"/>
  <c r="N117" i="43"/>
  <c r="N116" i="43"/>
  <c r="N123" i="43"/>
  <c r="R149" i="43"/>
  <c r="R150" i="43"/>
  <c r="R159" i="43"/>
  <c r="R158" i="43"/>
  <c r="S240" i="43"/>
  <c r="S239" i="43"/>
  <c r="S238" i="43"/>
  <c r="S236" i="43"/>
  <c r="S242" i="43"/>
  <c r="O134" i="45"/>
  <c r="O130" i="45" s="1"/>
  <c r="O135" i="45"/>
  <c r="O136" i="45"/>
  <c r="X22" i="43"/>
  <c r="X14" i="43"/>
  <c r="X13" i="43"/>
  <c r="X19" i="43"/>
  <c r="W73" i="43"/>
  <c r="W72" i="43"/>
  <c r="W65" i="43"/>
  <c r="W64" i="43"/>
  <c r="V234" i="43"/>
  <c r="V243" i="43"/>
  <c r="V238" i="43"/>
  <c r="V240" i="43"/>
  <c r="R152" i="45"/>
  <c r="R153" i="45"/>
  <c r="R149" i="45"/>
  <c r="R148" i="45"/>
  <c r="R156" i="45"/>
  <c r="R158" i="45"/>
  <c r="R150" i="45"/>
  <c r="R157" i="45"/>
  <c r="Z90" i="43"/>
  <c r="Z91" i="43"/>
  <c r="Z89" i="43"/>
  <c r="AA329" i="43"/>
  <c r="AA328" i="43"/>
  <c r="AA319" i="43"/>
  <c r="J74" i="43"/>
  <c r="J64" i="43"/>
  <c r="J72" i="43"/>
  <c r="J65" i="43"/>
  <c r="J70" i="43"/>
  <c r="J68" i="43"/>
  <c r="J66" i="43"/>
  <c r="J69" i="43"/>
  <c r="I153" i="45"/>
  <c r="I156" i="45"/>
  <c r="I158" i="45"/>
  <c r="T106" i="43"/>
  <c r="T102" i="43"/>
  <c r="T98" i="43"/>
  <c r="T99" i="43"/>
  <c r="T103" i="43"/>
  <c r="T100" i="43"/>
  <c r="T107" i="43"/>
  <c r="T104" i="43"/>
  <c r="T108" i="43"/>
  <c r="M117" i="45"/>
  <c r="M114" i="45"/>
  <c r="R71" i="45"/>
  <c r="R73" i="45"/>
  <c r="S97" i="45"/>
  <c r="S98" i="45"/>
  <c r="S102" i="45"/>
  <c r="Q199" i="45"/>
  <c r="Q207" i="45"/>
  <c r="Q203" i="45"/>
  <c r="Q201" i="45"/>
  <c r="Q208" i="45"/>
  <c r="Q204" i="45"/>
  <c r="F90" i="45"/>
  <c r="F88" i="45"/>
  <c r="K170" i="45"/>
  <c r="K173" i="45"/>
  <c r="K175" i="45"/>
  <c r="K171" i="45"/>
  <c r="V132" i="43"/>
  <c r="V141" i="43"/>
  <c r="V133" i="43"/>
  <c r="S65" i="45"/>
  <c r="S69" i="45"/>
  <c r="S67" i="45"/>
  <c r="S63" i="45"/>
  <c r="S187" i="43"/>
  <c r="S191" i="43"/>
  <c r="S190" i="43" s="1"/>
  <c r="S183" i="43"/>
  <c r="AA33" i="43"/>
  <c r="AA40" i="43"/>
  <c r="AA37" i="43" s="1"/>
  <c r="AD51" i="43"/>
  <c r="AD55" i="43"/>
  <c r="AD56" i="43"/>
  <c r="AD52" i="43"/>
  <c r="AD48" i="43"/>
  <c r="AH276" i="43"/>
  <c r="AH274" i="43"/>
  <c r="AJ288" i="43"/>
  <c r="AJ287" i="43"/>
  <c r="F241" i="45"/>
  <c r="F240" i="45" s="1"/>
  <c r="G272" i="45"/>
  <c r="G268" i="45"/>
  <c r="G271" i="45"/>
  <c r="G273" i="45"/>
  <c r="G276" i="45"/>
  <c r="G277" i="45"/>
  <c r="K31" i="45"/>
  <c r="K185" i="45"/>
  <c r="K192" i="45"/>
  <c r="K187" i="45"/>
  <c r="K183" i="45"/>
  <c r="I243" i="45"/>
  <c r="S74" i="43"/>
  <c r="R116" i="43"/>
  <c r="R117" i="43"/>
  <c r="AE325" i="43"/>
  <c r="AE321" i="43"/>
  <c r="Y55" i="45"/>
  <c r="Y49" i="45"/>
  <c r="AI268" i="43"/>
  <c r="AI271" i="43"/>
  <c r="K74" i="30"/>
  <c r="K67" i="30"/>
  <c r="K69" i="30" s="1"/>
  <c r="J102" i="30"/>
  <c r="J94" i="30"/>
  <c r="E153" i="45"/>
  <c r="E152" i="45"/>
  <c r="E150" i="45"/>
  <c r="E148" i="45"/>
  <c r="T14" i="43"/>
  <c r="T16" i="43"/>
  <c r="U221" i="45"/>
  <c r="U216" i="45"/>
  <c r="Z55" i="45"/>
  <c r="Z52" i="45"/>
  <c r="Z47" i="45"/>
  <c r="Z54" i="45"/>
  <c r="Z51" i="45"/>
  <c r="AD357" i="45"/>
  <c r="AD362" i="45"/>
  <c r="AD355" i="45"/>
  <c r="T99" i="30"/>
  <c r="T101" i="30" s="1"/>
  <c r="T95" i="30"/>
  <c r="T97" i="30" s="1"/>
  <c r="E225" i="45"/>
  <c r="E224" i="45"/>
  <c r="E217" i="45"/>
  <c r="K99" i="45"/>
  <c r="K107" i="45"/>
  <c r="K103" i="45"/>
  <c r="K97" i="45"/>
  <c r="M86" i="45"/>
  <c r="M89" i="45"/>
  <c r="M84" i="45"/>
  <c r="R172" i="43"/>
  <c r="R166" i="43"/>
  <c r="R165" i="43" s="1"/>
  <c r="Z149" i="43"/>
  <c r="Z155" i="43"/>
  <c r="Z157" i="43"/>
  <c r="Z154" i="43"/>
  <c r="Z151" i="43"/>
  <c r="Z159" i="43"/>
  <c r="AD56" i="45"/>
  <c r="AD49" i="45"/>
  <c r="AD47" i="45"/>
  <c r="F175" i="45"/>
  <c r="T50" i="43"/>
  <c r="T47" i="43"/>
  <c r="R101" i="43"/>
  <c r="R107" i="43"/>
  <c r="N31" i="45"/>
  <c r="N30" i="45"/>
  <c r="U190" i="45"/>
  <c r="E88" i="45"/>
  <c r="E80" i="45"/>
  <c r="E81" i="45"/>
  <c r="R243" i="43"/>
  <c r="R244" i="43"/>
  <c r="W269" i="45"/>
  <c r="W267" i="45"/>
  <c r="R154" i="30"/>
  <c r="R150" i="30"/>
  <c r="R153" i="30" s="1"/>
  <c r="K270" i="30"/>
  <c r="K262" i="30"/>
  <c r="K267" i="30"/>
  <c r="K269" i="30" s="1"/>
  <c r="G43" i="41"/>
  <c r="G50" i="37"/>
  <c r="G48" i="37"/>
  <c r="G54" i="37"/>
  <c r="G49" i="37"/>
  <c r="G52" i="37"/>
  <c r="G56" i="37"/>
  <c r="G46" i="37"/>
  <c r="G47" i="37"/>
  <c r="G55" i="37"/>
  <c r="J23" i="34"/>
  <c r="Z20" i="34"/>
  <c r="BT172" i="43"/>
  <c r="BT166" i="43"/>
  <c r="BT175" i="43"/>
  <c r="BT167" i="43"/>
  <c r="BT169" i="43"/>
  <c r="BT174" i="43"/>
  <c r="BT176" i="43"/>
  <c r="BT171" i="43"/>
  <c r="BT168" i="43"/>
  <c r="BT170" i="43"/>
  <c r="AE150" i="37"/>
  <c r="AE148" i="37"/>
  <c r="AE154" i="37"/>
  <c r="AE152" i="37"/>
  <c r="AE149" i="37"/>
  <c r="AE157" i="37"/>
  <c r="AE153" i="37"/>
  <c r="AE156" i="37"/>
  <c r="AE158" i="37"/>
  <c r="AE151" i="37"/>
  <c r="BP16" i="34"/>
  <c r="BP12" i="34"/>
  <c r="BP11" i="34"/>
  <c r="BP18" i="34"/>
  <c r="BP15" i="34"/>
  <c r="BP14" i="34"/>
  <c r="BP10" i="34"/>
  <c r="AM213" i="41"/>
  <c r="AQ213" i="41" s="1"/>
  <c r="O221" i="37"/>
  <c r="O224" i="37"/>
  <c r="O216" i="37"/>
  <c r="O217" i="37"/>
  <c r="O220" i="37"/>
  <c r="O219" i="37"/>
  <c r="O225" i="37"/>
  <c r="O222" i="37"/>
  <c r="O226" i="37"/>
  <c r="O218" i="37"/>
  <c r="O135" i="37"/>
  <c r="O131" i="37"/>
  <c r="O136" i="37"/>
  <c r="O137" i="37"/>
  <c r="O139" i="37"/>
  <c r="O134" i="37"/>
  <c r="AI128" i="41"/>
  <c r="AQ128" i="41" s="1"/>
  <c r="O141" i="37"/>
  <c r="O140" i="37"/>
  <c r="O133" i="37"/>
  <c r="BL15" i="34"/>
  <c r="BL14" i="34"/>
  <c r="BL18" i="34"/>
  <c r="BL11" i="34"/>
  <c r="BL16" i="34"/>
  <c r="BL12" i="34"/>
  <c r="CI18" i="34"/>
  <c r="CI10" i="34"/>
  <c r="CI14" i="34"/>
  <c r="CI12" i="34"/>
  <c r="CI11" i="34"/>
  <c r="CI15" i="34"/>
  <c r="CI16" i="34"/>
  <c r="AE29" i="37"/>
  <c r="AE32" i="37"/>
  <c r="BT137" i="43"/>
  <c r="BT136" i="43"/>
  <c r="BT135" i="43"/>
  <c r="BT142" i="43"/>
  <c r="BO191" i="45"/>
  <c r="BO184" i="45"/>
  <c r="BO186" i="45"/>
  <c r="BO188" i="45"/>
  <c r="BO187" i="45"/>
  <c r="BO185" i="45"/>
  <c r="O88" i="37"/>
  <c r="G140" i="37"/>
  <c r="G132" i="37"/>
  <c r="G131" i="37"/>
  <c r="G141" i="37"/>
  <c r="G139" i="37"/>
  <c r="G134" i="37"/>
  <c r="BO150" i="45"/>
  <c r="AE190" i="37"/>
  <c r="AE192" i="37"/>
  <c r="AE188" i="37"/>
  <c r="AE183" i="37"/>
  <c r="AE191" i="37"/>
  <c r="AE182" i="37"/>
  <c r="AE186" i="37"/>
  <c r="G18" i="37"/>
  <c r="G9" i="41"/>
  <c r="BT15" i="34"/>
  <c r="BT311" i="43"/>
  <c r="BT305" i="43"/>
  <c r="BT306" i="43"/>
  <c r="BT14" i="34"/>
  <c r="AE238" i="37"/>
  <c r="AE235" i="37"/>
  <c r="AE237" i="37"/>
  <c r="AE233" i="37"/>
  <c r="AE234" i="37"/>
  <c r="BT33" i="43"/>
  <c r="BT36" i="43"/>
  <c r="BT31" i="43"/>
  <c r="BT38" i="43"/>
  <c r="AJ18" i="34"/>
  <c r="AJ14" i="34"/>
  <c r="AJ16" i="34"/>
  <c r="AJ12" i="34"/>
  <c r="AJ10" i="34"/>
  <c r="AN12" i="34"/>
  <c r="AN18" i="34"/>
  <c r="AN15" i="34"/>
  <c r="AN11" i="34"/>
  <c r="AE241" i="37"/>
  <c r="BO233" i="45"/>
  <c r="BO241" i="45"/>
  <c r="BO242" i="45"/>
  <c r="BO234" i="45"/>
  <c r="AE33" i="37"/>
  <c r="AE35" i="37"/>
  <c r="AE37" i="37"/>
  <c r="AE36" i="37" s="1"/>
  <c r="AE30" i="37"/>
  <c r="AE216" i="37"/>
  <c r="AE222" i="37"/>
  <c r="AE226" i="37"/>
  <c r="AE217" i="37"/>
  <c r="AE221" i="37"/>
  <c r="AE224" i="37"/>
  <c r="AE220" i="37"/>
  <c r="O82" i="37"/>
  <c r="O83" i="37"/>
  <c r="O89" i="37"/>
  <c r="O84" i="37"/>
  <c r="O81" i="37"/>
  <c r="O90" i="37"/>
  <c r="AA77" i="41"/>
  <c r="BT189" i="43"/>
  <c r="BT188" i="43"/>
  <c r="BT185" i="43"/>
  <c r="BT193" i="43"/>
  <c r="BT187" i="43"/>
  <c r="BN326" i="45"/>
  <c r="BN327" i="45"/>
  <c r="BN324" i="45"/>
  <c r="BN321" i="45"/>
  <c r="BN319" i="45"/>
  <c r="BN328" i="45"/>
  <c r="BN318" i="45"/>
  <c r="BN322" i="45"/>
  <c r="BN320" i="45"/>
  <c r="BN323" i="45"/>
  <c r="BT10" i="34"/>
  <c r="BT12" i="34"/>
  <c r="BO55" i="45"/>
  <c r="BO48" i="45"/>
  <c r="BO49" i="45"/>
  <c r="BO47" i="45"/>
  <c r="BO56" i="45"/>
  <c r="BT158" i="43"/>
  <c r="BT151" i="43"/>
  <c r="BT150" i="43"/>
  <c r="BT152" i="43"/>
  <c r="BT154" i="43"/>
  <c r="BT159" i="43"/>
  <c r="BT153" i="43"/>
  <c r="K77" i="41"/>
  <c r="G84" i="37"/>
  <c r="G83" i="37"/>
  <c r="G86" i="37"/>
  <c r="G81" i="37"/>
  <c r="G82" i="37"/>
  <c r="G85" i="37"/>
  <c r="G90" i="37"/>
  <c r="G89" i="37"/>
  <c r="BO151" i="45"/>
  <c r="BO157" i="45"/>
  <c r="BO153" i="45"/>
  <c r="BO152" i="45"/>
  <c r="BO148" i="45"/>
  <c r="BO149" i="45"/>
  <c r="BO158" i="45"/>
  <c r="BO156" i="45"/>
  <c r="AE243" i="37"/>
  <c r="BT308" i="43"/>
  <c r="BT140" i="43"/>
  <c r="BO182" i="45"/>
  <c r="BT32" i="43"/>
  <c r="BO134" i="45"/>
  <c r="BO140" i="45"/>
  <c r="BO141" i="45"/>
  <c r="AN16" i="34"/>
  <c r="AB8" i="34"/>
  <c r="K128" i="41"/>
  <c r="BO220" i="45"/>
  <c r="BO219" i="45"/>
  <c r="BO221" i="45"/>
  <c r="BO222" i="45"/>
  <c r="BO216" i="45"/>
  <c r="G88" i="37"/>
  <c r="BS55" i="43"/>
  <c r="BS53" i="43"/>
  <c r="BS47" i="43"/>
  <c r="BS52" i="43"/>
  <c r="BS48" i="43"/>
  <c r="BS49" i="43"/>
  <c r="BS56" i="43"/>
  <c r="BS51" i="43"/>
  <c r="BS57" i="43"/>
  <c r="BS50" i="43"/>
  <c r="BO50" i="45"/>
  <c r="BT312" i="43"/>
  <c r="BT141" i="43"/>
  <c r="BT35" i="43"/>
  <c r="AE133" i="37"/>
  <c r="AE134" i="37"/>
  <c r="AE140" i="37"/>
  <c r="AE136" i="37"/>
  <c r="AE132" i="37"/>
  <c r="BT72" i="43"/>
  <c r="BT74" i="43"/>
  <c r="BT70" i="43"/>
  <c r="BT68" i="43"/>
  <c r="AN10" i="34"/>
  <c r="AN23" i="34"/>
  <c r="G137" i="37"/>
  <c r="AD242" i="37"/>
  <c r="AD241" i="37"/>
  <c r="AD243" i="37"/>
  <c r="AD233" i="37"/>
  <c r="AD234" i="37"/>
  <c r="AD235" i="37"/>
  <c r="AD238" i="37"/>
  <c r="AD239" i="37"/>
  <c r="AD236" i="37"/>
  <c r="CJ15" i="34"/>
  <c r="CJ18" i="34"/>
  <c r="BO51" i="45"/>
  <c r="BT302" i="43"/>
  <c r="BT16" i="43"/>
  <c r="BT14" i="43"/>
  <c r="BT23" i="43"/>
  <c r="BT40" i="43"/>
  <c r="BT327" i="43"/>
  <c r="BT319" i="43"/>
  <c r="BT324" i="43"/>
  <c r="BT323" i="43"/>
  <c r="BT155" i="43"/>
  <c r="BT65" i="43"/>
  <c r="AN14" i="34"/>
  <c r="BT186" i="43"/>
  <c r="BN138" i="45"/>
  <c r="BT30" i="43"/>
  <c r="BO52" i="45"/>
  <c r="BT39" i="43"/>
  <c r="BT149" i="43"/>
  <c r="AJ23" i="34"/>
  <c r="K190" i="37"/>
  <c r="K185" i="37"/>
  <c r="K184" i="37"/>
  <c r="K192" i="37"/>
  <c r="K187" i="37"/>
  <c r="K183" i="37"/>
  <c r="K191" i="37"/>
  <c r="K188" i="37"/>
  <c r="CJ12" i="34"/>
  <c r="CJ13" i="34" s="1"/>
  <c r="BT328" i="43"/>
  <c r="BO54" i="45"/>
  <c r="BT307" i="43"/>
  <c r="BO22" i="45"/>
  <c r="BO13" i="45"/>
  <c r="BO18" i="45"/>
  <c r="BO14" i="45"/>
  <c r="AE139" i="37"/>
  <c r="BT157" i="43"/>
  <c r="BT73" i="43"/>
  <c r="BT191" i="43"/>
  <c r="BS17" i="43"/>
  <c r="BS14" i="43"/>
  <c r="BS16" i="43"/>
  <c r="BS15" i="43"/>
  <c r="BS18" i="43"/>
  <c r="BS22" i="43"/>
  <c r="BS13" i="43"/>
  <c r="BS23" i="43"/>
  <c r="X12" i="34"/>
  <c r="X18" i="34"/>
  <c r="X15" i="34"/>
  <c r="X11" i="34"/>
  <c r="L14" i="34"/>
  <c r="L10" i="34"/>
  <c r="L18" i="34"/>
  <c r="L15" i="34"/>
  <c r="L17" i="34" s="1"/>
  <c r="AB9" i="34"/>
  <c r="L23" i="34"/>
  <c r="AE97" i="37"/>
  <c r="AE99" i="37"/>
  <c r="AE98" i="37"/>
  <c r="AE106" i="37"/>
  <c r="G37" i="37"/>
  <c r="G30" i="37"/>
  <c r="G33" i="37"/>
  <c r="G32" i="37"/>
  <c r="G26" i="41"/>
  <c r="G34" i="37"/>
  <c r="G35" i="37"/>
  <c r="BS325" i="43"/>
  <c r="BS327" i="43"/>
  <c r="BS319" i="43"/>
  <c r="BS323" i="43"/>
  <c r="BS320" i="43"/>
  <c r="BS324" i="43"/>
  <c r="BS322" i="43"/>
  <c r="BS328" i="43"/>
  <c r="V97" i="37"/>
  <c r="V107" i="37"/>
  <c r="V106" i="37"/>
  <c r="V102" i="37"/>
  <c r="V101" i="37"/>
  <c r="V99" i="37"/>
  <c r="V100" i="37"/>
  <c r="V105" i="37"/>
  <c r="V103" i="37"/>
  <c r="V98" i="37"/>
  <c r="BO340" i="45"/>
  <c r="O230" i="41"/>
  <c r="K238" i="37"/>
  <c r="K237" i="37"/>
  <c r="K243" i="37"/>
  <c r="AI145" i="41"/>
  <c r="O152" i="37"/>
  <c r="O154" i="37"/>
  <c r="O17" i="34"/>
  <c r="BS32" i="43"/>
  <c r="BS31" i="43"/>
  <c r="BS33" i="43"/>
  <c r="BS35" i="43"/>
  <c r="BS30" i="43"/>
  <c r="BS36" i="43"/>
  <c r="BS38" i="43"/>
  <c r="BR159" i="43"/>
  <c r="BR155" i="43"/>
  <c r="BR157" i="43"/>
  <c r="BR154" i="43"/>
  <c r="BR158" i="43"/>
  <c r="BR152" i="43"/>
  <c r="BT120" i="43"/>
  <c r="BT117" i="43"/>
  <c r="BT116" i="43"/>
  <c r="BO38" i="45"/>
  <c r="BO37" i="45"/>
  <c r="BT84" i="43"/>
  <c r="BT87" i="43"/>
  <c r="BT89" i="43"/>
  <c r="BT85" i="43"/>
  <c r="AF11" i="34"/>
  <c r="AF23" i="34"/>
  <c r="AF10" i="34"/>
  <c r="G225" i="37"/>
  <c r="G220" i="37"/>
  <c r="G224" i="37"/>
  <c r="G216" i="37"/>
  <c r="AD204" i="37"/>
  <c r="AD208" i="37"/>
  <c r="AD205" i="37"/>
  <c r="AD207" i="37"/>
  <c r="AD199" i="37"/>
  <c r="AD200" i="37"/>
  <c r="AD201" i="37"/>
  <c r="BT121" i="43"/>
  <c r="BO336" i="45"/>
  <c r="K100" i="37"/>
  <c r="K107" i="37"/>
  <c r="K102" i="37"/>
  <c r="BO339" i="45"/>
  <c r="BO335" i="45"/>
  <c r="G187" i="37"/>
  <c r="G186" i="37"/>
  <c r="G183" i="37"/>
  <c r="S26" i="41"/>
  <c r="O38" i="37"/>
  <c r="O30" i="37"/>
  <c r="O31" i="37"/>
  <c r="K47" i="37"/>
  <c r="S43" i="41"/>
  <c r="K52" i="37"/>
  <c r="K48" i="37"/>
  <c r="K50" i="37"/>
  <c r="BO344" i="45"/>
  <c r="O185" i="37"/>
  <c r="O191" i="37"/>
  <c r="O188" i="37"/>
  <c r="K54" i="37"/>
  <c r="G102" i="37"/>
  <c r="G101" i="37"/>
  <c r="K23" i="34"/>
  <c r="AA20" i="34"/>
  <c r="BR291" i="43"/>
  <c r="BR295" i="43"/>
  <c r="BR294" i="43"/>
  <c r="BR289" i="43"/>
  <c r="BR290" i="43"/>
  <c r="J60" i="41"/>
  <c r="I162" i="41"/>
  <c r="BO209" i="45"/>
  <c r="BO204" i="45"/>
  <c r="BO202" i="45"/>
  <c r="BO207" i="45"/>
  <c r="BO199" i="45"/>
  <c r="BX16" i="34"/>
  <c r="BX12" i="34"/>
  <c r="BX10" i="34"/>
  <c r="BX18" i="34"/>
  <c r="BX14" i="34"/>
  <c r="BO11" i="34"/>
  <c r="BO10" i="34"/>
  <c r="BO16" i="34"/>
  <c r="BO15" i="34"/>
  <c r="CA12" i="34"/>
  <c r="CA18" i="34"/>
  <c r="CA11" i="34"/>
  <c r="CA10" i="34"/>
  <c r="CA14" i="34"/>
  <c r="CA16" i="34"/>
  <c r="CA15" i="34"/>
  <c r="CB15" i="34"/>
  <c r="CB10" i="34"/>
  <c r="CB14" i="34"/>
  <c r="CB12" i="34"/>
  <c r="CB11" i="34"/>
  <c r="CB16" i="34"/>
  <c r="BR33" i="43"/>
  <c r="BR35" i="43"/>
  <c r="BR34" i="43"/>
  <c r="BR38" i="43"/>
  <c r="BR40" i="43"/>
  <c r="BM203" i="45"/>
  <c r="BM207" i="45"/>
  <c r="BM202" i="45"/>
  <c r="BM209" i="45"/>
  <c r="BM205" i="45"/>
  <c r="BM208" i="45"/>
  <c r="BM204" i="45"/>
  <c r="O234" i="37"/>
  <c r="O242" i="37"/>
  <c r="G233" i="37"/>
  <c r="G239" i="37"/>
  <c r="K239" i="41" s="1"/>
  <c r="CB18" i="34"/>
  <c r="O128" i="41"/>
  <c r="K137" i="37"/>
  <c r="G242" i="37"/>
  <c r="K242" i="41" s="1"/>
  <c r="K216" i="37"/>
  <c r="K220" i="37"/>
  <c r="BN102" i="45"/>
  <c r="BN107" i="45"/>
  <c r="BN98" i="45"/>
  <c r="BN97" i="45"/>
  <c r="BN103" i="45"/>
  <c r="BR176" i="43"/>
  <c r="BR175" i="43"/>
  <c r="BR174" i="43"/>
  <c r="BR172" i="43"/>
  <c r="BR30" i="43"/>
  <c r="BR31" i="43"/>
  <c r="O241" i="37"/>
  <c r="S15" i="34"/>
  <c r="S18" i="34"/>
  <c r="S14" i="34"/>
  <c r="S11" i="34"/>
  <c r="S12" i="34"/>
  <c r="V159" i="41"/>
  <c r="AT159" i="41" s="1"/>
  <c r="BS294" i="43"/>
  <c r="BS286" i="43"/>
  <c r="BS288" i="43"/>
  <c r="BS293" i="43"/>
  <c r="BS289" i="43"/>
  <c r="BS287" i="43"/>
  <c r="BS290" i="43"/>
  <c r="W80" i="37"/>
  <c r="W86" i="37"/>
  <c r="W85" i="37"/>
  <c r="W83" i="37"/>
  <c r="W89" i="37"/>
  <c r="W82" i="37"/>
  <c r="W81" i="37"/>
  <c r="W90" i="37"/>
  <c r="BS285" i="43"/>
  <c r="AD15" i="34"/>
  <c r="AD14" i="34"/>
  <c r="N237" i="37"/>
  <c r="N239" i="37"/>
  <c r="N233" i="37"/>
  <c r="N241" i="37"/>
  <c r="N238" i="37"/>
  <c r="N234" i="37"/>
  <c r="N235" i="37"/>
  <c r="N242" i="37"/>
  <c r="N243" i="37"/>
  <c r="AL230" i="41"/>
  <c r="AP230" i="41" s="1"/>
  <c r="N236" i="37"/>
  <c r="BS291" i="43"/>
  <c r="BS15" i="34"/>
  <c r="BS10" i="34"/>
  <c r="BS16" i="34"/>
  <c r="BS14" i="34"/>
  <c r="BS11" i="34"/>
  <c r="BS12" i="34"/>
  <c r="BR14" i="34"/>
  <c r="BR16" i="34"/>
  <c r="BS140" i="43"/>
  <c r="BS138" i="43"/>
  <c r="BS142" i="43"/>
  <c r="BS132" i="43"/>
  <c r="BS133" i="43"/>
  <c r="BS83" i="43"/>
  <c r="BS82" i="43"/>
  <c r="BS85" i="43"/>
  <c r="AD184" i="37"/>
  <c r="AD188" i="37"/>
  <c r="AD185" i="37"/>
  <c r="AD191" i="37"/>
  <c r="BM37" i="45"/>
  <c r="BM32" i="45"/>
  <c r="BM35" i="45"/>
  <c r="BM34" i="45"/>
  <c r="BM38" i="45"/>
  <c r="BM39" i="45"/>
  <c r="BM33" i="45"/>
  <c r="BR237" i="43"/>
  <c r="BR244" i="43"/>
  <c r="BR239" i="43"/>
  <c r="BR240" i="43"/>
  <c r="J193" i="41"/>
  <c r="V222" i="37"/>
  <c r="V226" i="37"/>
  <c r="V216" i="37"/>
  <c r="V224" i="37"/>
  <c r="V219" i="37"/>
  <c r="V225" i="37"/>
  <c r="V218" i="37"/>
  <c r="V220" i="37"/>
  <c r="V217" i="37"/>
  <c r="BN202" i="45"/>
  <c r="BN199" i="45"/>
  <c r="BN204" i="45"/>
  <c r="BK14" i="34"/>
  <c r="BK15" i="34"/>
  <c r="BK16" i="34"/>
  <c r="BK18" i="34"/>
  <c r="BK10" i="34"/>
  <c r="BR242" i="43"/>
  <c r="BM175" i="45"/>
  <c r="BM174" i="45"/>
  <c r="BM169" i="45"/>
  <c r="BM173" i="45"/>
  <c r="BM168" i="45"/>
  <c r="BM164" i="45" s="1"/>
  <c r="BM171" i="45"/>
  <c r="BM170" i="45"/>
  <c r="BS100" i="43"/>
  <c r="BS102" i="43"/>
  <c r="BS106" i="43"/>
  <c r="BS101" i="43"/>
  <c r="AA9" i="34"/>
  <c r="K15" i="34"/>
  <c r="K17" i="34" s="1"/>
  <c r="K10" i="34"/>
  <c r="K18" i="34"/>
  <c r="K14" i="34"/>
  <c r="BN56" i="45"/>
  <c r="AD30" i="37"/>
  <c r="AD35" i="37"/>
  <c r="AD83" i="37"/>
  <c r="AD89" i="37"/>
  <c r="BZ15" i="34"/>
  <c r="BZ18" i="34"/>
  <c r="BZ14" i="34"/>
  <c r="BZ11" i="34"/>
  <c r="Q9" i="41"/>
  <c r="Q264" i="41" s="1"/>
  <c r="Q349" i="41" s="1"/>
  <c r="BN239" i="45"/>
  <c r="BN241" i="45"/>
  <c r="U97" i="37"/>
  <c r="U105" i="37"/>
  <c r="U106" i="37"/>
  <c r="U100" i="37"/>
  <c r="U102" i="37"/>
  <c r="U103" i="37"/>
  <c r="U101" i="37"/>
  <c r="BN52" i="45"/>
  <c r="BN238" i="45"/>
  <c r="CE14" i="34"/>
  <c r="BZ12" i="34"/>
  <c r="U98" i="37"/>
  <c r="F199" i="37"/>
  <c r="F209" i="37"/>
  <c r="F207" i="37"/>
  <c r="F204" i="37"/>
  <c r="F202" i="37"/>
  <c r="F208" i="37"/>
  <c r="J196" i="41"/>
  <c r="F205" i="37"/>
  <c r="N131" i="37"/>
  <c r="AH128" i="41"/>
  <c r="N140" i="37"/>
  <c r="N133" i="37"/>
  <c r="N132" i="37"/>
  <c r="N136" i="37"/>
  <c r="N134" i="37"/>
  <c r="N137" i="37"/>
  <c r="E9" i="41"/>
  <c r="BN51" i="45"/>
  <c r="BN233" i="45"/>
  <c r="CE15" i="34"/>
  <c r="BZ10" i="34"/>
  <c r="BN46" i="45"/>
  <c r="BN243" i="45"/>
  <c r="BZ16" i="34"/>
  <c r="CD14" i="34"/>
  <c r="CD16" i="34"/>
  <c r="CD12" i="34"/>
  <c r="CD15" i="34"/>
  <c r="CF12" i="34"/>
  <c r="CF15" i="34"/>
  <c r="BV11" i="34"/>
  <c r="BV14" i="34"/>
  <c r="BV16" i="34"/>
  <c r="BV18" i="34"/>
  <c r="BV12" i="34"/>
  <c r="U107" i="37"/>
  <c r="BR120" i="43"/>
  <c r="BR119" i="43"/>
  <c r="BR125" i="43"/>
  <c r="AC54" i="37"/>
  <c r="AC50" i="37"/>
  <c r="AC52" i="37"/>
  <c r="BM106" i="45"/>
  <c r="BM105" i="45"/>
  <c r="BM107" i="45"/>
  <c r="N14" i="34"/>
  <c r="N16" i="34"/>
  <c r="N15" i="34"/>
  <c r="F186" i="37"/>
  <c r="F188" i="37"/>
  <c r="J179" i="41"/>
  <c r="F182" i="37"/>
  <c r="F190" i="37"/>
  <c r="F187" i="37"/>
  <c r="F185" i="37"/>
  <c r="W235" i="37"/>
  <c r="W241" i="37"/>
  <c r="W243" i="37"/>
  <c r="W236" i="37"/>
  <c r="W234" i="37"/>
  <c r="W237" i="37"/>
  <c r="W238" i="37"/>
  <c r="F148" i="37"/>
  <c r="F158" i="37"/>
  <c r="F149" i="37"/>
  <c r="F156" i="37"/>
  <c r="F83" i="37"/>
  <c r="F88" i="37"/>
  <c r="F85" i="37"/>
  <c r="F81" i="37"/>
  <c r="E100" i="37"/>
  <c r="E101" i="37"/>
  <c r="E103" i="37"/>
  <c r="E105" i="37"/>
  <c r="I94" i="41"/>
  <c r="E107" i="37"/>
  <c r="E106" i="37"/>
  <c r="E102" i="37"/>
  <c r="I100" i="37"/>
  <c r="I105" i="37"/>
  <c r="I107" i="37"/>
  <c r="I101" i="37"/>
  <c r="M94" i="41"/>
  <c r="I102" i="37"/>
  <c r="J37" i="37"/>
  <c r="J38" i="37"/>
  <c r="R26" i="41"/>
  <c r="J34" i="37"/>
  <c r="J32" i="37"/>
  <c r="J33" i="37"/>
  <c r="J31" i="37"/>
  <c r="J35" i="37"/>
  <c r="J29" i="37"/>
  <c r="J39" i="37"/>
  <c r="J30" i="37"/>
  <c r="AA35" i="37"/>
  <c r="AA37" i="37"/>
  <c r="AA31" i="37"/>
  <c r="AA34" i="37"/>
  <c r="AA29" i="37"/>
  <c r="AA33" i="37"/>
  <c r="V29" i="37"/>
  <c r="V32" i="37"/>
  <c r="V37" i="37"/>
  <c r="V35" i="37"/>
  <c r="V30" i="37"/>
  <c r="V39" i="37"/>
  <c r="V34" i="37"/>
  <c r="V33" i="37"/>
  <c r="V38" i="37"/>
  <c r="I186" i="37"/>
  <c r="I191" i="37"/>
  <c r="I188" i="37"/>
  <c r="I185" i="37"/>
  <c r="I192" i="37"/>
  <c r="I187" i="37"/>
  <c r="AL227" i="41"/>
  <c r="AP227" i="41" s="1"/>
  <c r="AA243" i="37"/>
  <c r="AA236" i="37"/>
  <c r="AA234" i="37"/>
  <c r="AA238" i="37"/>
  <c r="AA241" i="37"/>
  <c r="AA239" i="37"/>
  <c r="AA235" i="37"/>
  <c r="AA242" i="37"/>
  <c r="Z81" i="37"/>
  <c r="Z88" i="37"/>
  <c r="Z89" i="37"/>
  <c r="Z84" i="37"/>
  <c r="Z83" i="37"/>
  <c r="Z90" i="37"/>
  <c r="Z86" i="37"/>
  <c r="K201" i="37"/>
  <c r="K204" i="37"/>
  <c r="K200" i="37"/>
  <c r="K199" i="37"/>
  <c r="V88" i="37"/>
  <c r="V90" i="37"/>
  <c r="V81" i="37"/>
  <c r="N77" i="41"/>
  <c r="V83" i="37"/>
  <c r="Y134" i="37"/>
  <c r="Y131" i="37"/>
  <c r="Y137" i="37"/>
  <c r="Y133" i="37"/>
  <c r="Y132" i="37"/>
  <c r="Y135" i="37"/>
  <c r="Y140" i="37"/>
  <c r="Q234" i="37"/>
  <c r="Q235" i="37"/>
  <c r="Q233" i="37"/>
  <c r="Q243" i="37"/>
  <c r="Q238" i="37"/>
  <c r="Q242" i="37"/>
  <c r="I230" i="41"/>
  <c r="Q241" i="37"/>
  <c r="Q239" i="37"/>
  <c r="E38" i="37"/>
  <c r="E26" i="41"/>
  <c r="E37" i="37"/>
  <c r="E35" i="37"/>
  <c r="E34" i="37"/>
  <c r="E33" i="37"/>
  <c r="E32" i="37"/>
  <c r="E39" i="37"/>
  <c r="AG128" i="41"/>
  <c r="AO128" i="41" s="1"/>
  <c r="M136" i="37"/>
  <c r="M139" i="37"/>
  <c r="M137" i="37"/>
  <c r="M134" i="37"/>
  <c r="Z48" i="37"/>
  <c r="Z52" i="37"/>
  <c r="Z46" i="37"/>
  <c r="Z56" i="37"/>
  <c r="Z50" i="37"/>
  <c r="Z55" i="37"/>
  <c r="Z54" i="37"/>
  <c r="R43" i="41"/>
  <c r="BR273" i="43"/>
  <c r="BR276" i="43"/>
  <c r="BR278" i="43"/>
  <c r="BR272" i="43"/>
  <c r="AE15" i="34"/>
  <c r="AE10" i="34"/>
  <c r="AE23" i="34"/>
  <c r="AE11" i="34"/>
  <c r="U81" i="37"/>
  <c r="U85" i="37"/>
  <c r="U83" i="37"/>
  <c r="U86" i="37"/>
  <c r="M77" i="41"/>
  <c r="AC221" i="37"/>
  <c r="BR138" i="43"/>
  <c r="U82" i="37"/>
  <c r="F153" i="37"/>
  <c r="AE16" i="34"/>
  <c r="W239" i="37"/>
  <c r="Z77" i="41"/>
  <c r="F192" i="37"/>
  <c r="M140" i="37"/>
  <c r="AA30" i="37"/>
  <c r="AA38" i="37"/>
  <c r="J242" i="37"/>
  <c r="J237" i="37"/>
  <c r="J235" i="37"/>
  <c r="J243" i="37"/>
  <c r="N230" i="41"/>
  <c r="I35" i="37"/>
  <c r="Q26" i="41"/>
  <c r="I33" i="37"/>
  <c r="I32" i="37"/>
  <c r="I39" i="37"/>
  <c r="I34" i="37"/>
  <c r="I37" i="37"/>
  <c r="I38" i="37"/>
  <c r="I221" i="37"/>
  <c r="I222" i="37"/>
  <c r="I219" i="37"/>
  <c r="I224" i="37"/>
  <c r="M213" i="41"/>
  <c r="I220" i="37"/>
  <c r="I225" i="37"/>
  <c r="I226" i="37"/>
  <c r="E85" i="37"/>
  <c r="E86" i="37"/>
  <c r="E84" i="37"/>
  <c r="E89" i="37"/>
  <c r="E90" i="37"/>
  <c r="E88" i="37"/>
  <c r="R242" i="37"/>
  <c r="R234" i="37"/>
  <c r="R233" i="37"/>
  <c r="R238" i="37"/>
  <c r="R236" i="37"/>
  <c r="J230" i="41"/>
  <c r="J134" i="37"/>
  <c r="J141" i="37"/>
  <c r="J140" i="37"/>
  <c r="J208" i="37"/>
  <c r="J209" i="37"/>
  <c r="J203" i="37"/>
  <c r="J202" i="37"/>
  <c r="BM117" i="45"/>
  <c r="BM118" i="45"/>
  <c r="BM119" i="45"/>
  <c r="BM120" i="45"/>
  <c r="BM122" i="45"/>
  <c r="BM123" i="45"/>
  <c r="BM124" i="45"/>
  <c r="J97" i="37"/>
  <c r="J107" i="37"/>
  <c r="J105" i="37"/>
  <c r="J98" i="37"/>
  <c r="F48" i="37"/>
  <c r="F51" i="37"/>
  <c r="BW11" i="34"/>
  <c r="BW14" i="34"/>
  <c r="BM72" i="45"/>
  <c r="BM69" i="45"/>
  <c r="BM73" i="45"/>
  <c r="BM68" i="45"/>
  <c r="BM71" i="45"/>
  <c r="N94" i="41"/>
  <c r="BW16" i="34"/>
  <c r="BW17" i="34" s="1"/>
  <c r="F226" i="37"/>
  <c r="F225" i="37"/>
  <c r="F217" i="37"/>
  <c r="F218" i="37"/>
  <c r="N202" i="37"/>
  <c r="N200" i="37"/>
  <c r="N208" i="37"/>
  <c r="N207" i="37"/>
  <c r="N199" i="37"/>
  <c r="M107" i="37"/>
  <c r="M101" i="37"/>
  <c r="M103" i="37"/>
  <c r="M100" i="37"/>
  <c r="M106" i="37"/>
  <c r="G208" i="37"/>
  <c r="G207" i="37"/>
  <c r="G203" i="37"/>
  <c r="BN64" i="45"/>
  <c r="BN65" i="45"/>
  <c r="BN67" i="45"/>
  <c r="BN66" i="45"/>
  <c r="BN63" i="45"/>
  <c r="BN68" i="45"/>
  <c r="BN72" i="45"/>
  <c r="BN71" i="45"/>
  <c r="F237" i="37"/>
  <c r="F243" i="37"/>
  <c r="N145" i="41"/>
  <c r="J158" i="37"/>
  <c r="J156" i="37"/>
  <c r="J149" i="37"/>
  <c r="W224" i="37"/>
  <c r="W222" i="37"/>
  <c r="W220" i="37"/>
  <c r="W226" i="37"/>
  <c r="W219" i="37"/>
  <c r="W218" i="37"/>
  <c r="W221" i="37"/>
  <c r="Q186" i="37"/>
  <c r="Q182" i="37"/>
  <c r="Q184" i="37"/>
  <c r="Q185" i="37"/>
  <c r="Q190" i="37"/>
  <c r="Q183" i="37"/>
  <c r="Q192" i="37"/>
  <c r="Q30" i="37"/>
  <c r="Q34" i="37"/>
  <c r="Q35" i="37"/>
  <c r="Q37" i="37"/>
  <c r="Q32" i="37"/>
  <c r="Q33" i="37"/>
  <c r="R32" i="37"/>
  <c r="R33" i="37"/>
  <c r="R37" i="37"/>
  <c r="R38" i="37"/>
  <c r="R35" i="37"/>
  <c r="R29" i="37"/>
  <c r="F26" i="41"/>
  <c r="AA202" i="37"/>
  <c r="AA203" i="37"/>
  <c r="AA200" i="37"/>
  <c r="AA209" i="37"/>
  <c r="AA204" i="37"/>
  <c r="S236" i="37"/>
  <c r="S234" i="37"/>
  <c r="S243" i="37"/>
  <c r="S235" i="37"/>
  <c r="N185" i="37"/>
  <c r="N192" i="37"/>
  <c r="AL179" i="41"/>
  <c r="N190" i="37"/>
  <c r="N183" i="37"/>
  <c r="N182" i="37"/>
  <c r="J111" i="41"/>
  <c r="Q29" i="37"/>
  <c r="Q135" i="37"/>
  <c r="Q137" i="37"/>
  <c r="Q136" i="37"/>
  <c r="Q131" i="37"/>
  <c r="Q132" i="37"/>
  <c r="Q139" i="37"/>
  <c r="I128" i="41"/>
  <c r="Q133" i="37"/>
  <c r="Q141" i="37"/>
  <c r="Q134" i="37"/>
  <c r="Q46" i="37"/>
  <c r="Q52" i="37"/>
  <c r="Q54" i="37"/>
  <c r="Q56" i="37"/>
  <c r="Q50" i="37"/>
  <c r="Q48" i="37"/>
  <c r="Q49" i="37"/>
  <c r="E43" i="41"/>
  <c r="Q55" i="37"/>
  <c r="Q47" i="37"/>
  <c r="I202" i="37"/>
  <c r="I209" i="37"/>
  <c r="I52" i="37"/>
  <c r="I51" i="37"/>
  <c r="I55" i="37"/>
  <c r="I50" i="37"/>
  <c r="Q43" i="41"/>
  <c r="R200" i="37"/>
  <c r="R205" i="37"/>
  <c r="R209" i="37"/>
  <c r="R208" i="37"/>
  <c r="R207" i="37"/>
  <c r="R199" i="37"/>
  <c r="R203" i="37"/>
  <c r="R202" i="37"/>
  <c r="S88" i="37"/>
  <c r="S90" i="37"/>
  <c r="S86" i="37"/>
  <c r="S81" i="37"/>
  <c r="S84" i="37"/>
  <c r="S89" i="37"/>
  <c r="S80" i="37"/>
  <c r="Q39" i="37"/>
  <c r="O162" i="41"/>
  <c r="AL162" i="41"/>
  <c r="AL173" i="41" s="1"/>
  <c r="Q226" i="37"/>
  <c r="Q224" i="37"/>
  <c r="Q225" i="37"/>
  <c r="Q217" i="37"/>
  <c r="Q218" i="37"/>
  <c r="Q220" i="37"/>
  <c r="R88" i="37"/>
  <c r="R80" i="37"/>
  <c r="R84" i="37"/>
  <c r="R90" i="37"/>
  <c r="R89" i="37"/>
  <c r="R85" i="37"/>
  <c r="I90" i="37"/>
  <c r="I85" i="37"/>
  <c r="I83" i="37"/>
  <c r="Z204" i="37"/>
  <c r="Z205" i="37"/>
  <c r="Z203" i="37"/>
  <c r="Z208" i="37"/>
  <c r="R135" i="37"/>
  <c r="R140" i="37"/>
  <c r="R131" i="37"/>
  <c r="R141" i="37"/>
  <c r="AA187" i="37"/>
  <c r="AA185" i="37"/>
  <c r="AA184" i="37"/>
  <c r="AA186" i="37"/>
  <c r="BN165" i="45"/>
  <c r="BN175" i="45"/>
  <c r="BN166" i="45"/>
  <c r="BN173" i="45"/>
  <c r="N162" i="41"/>
  <c r="E202" i="37"/>
  <c r="E208" i="37"/>
  <c r="S32" i="37"/>
  <c r="S39" i="37"/>
  <c r="S37" i="37"/>
  <c r="S30" i="37"/>
  <c r="Z241" i="37"/>
  <c r="Z233" i="37"/>
  <c r="Z235" i="37"/>
  <c r="Z238" i="37"/>
  <c r="Z237" i="37"/>
  <c r="Z242" i="37"/>
  <c r="Z234" i="37"/>
  <c r="AL178" i="41"/>
  <c r="AP178" i="41" s="1"/>
  <c r="M38" i="37"/>
  <c r="M39" i="37"/>
  <c r="M33" i="37"/>
  <c r="U237" i="37"/>
  <c r="U233" i="37"/>
  <c r="AA48" i="37"/>
  <c r="AA52" i="37"/>
  <c r="AA51" i="37"/>
  <c r="AA49" i="37"/>
  <c r="AA54" i="37"/>
  <c r="S225" i="37"/>
  <c r="S216" i="37"/>
  <c r="S134" i="37"/>
  <c r="S133" i="37"/>
  <c r="S132" i="37"/>
  <c r="S135" i="37"/>
  <c r="M60" i="41"/>
  <c r="O125" i="41"/>
  <c r="Q205" i="37"/>
  <c r="Q207" i="37"/>
  <c r="Q201" i="37"/>
  <c r="Q209" i="37"/>
  <c r="Q202" i="37"/>
  <c r="Q204" i="37"/>
  <c r="S191" i="37"/>
  <c r="S188" i="37"/>
  <c r="S190" i="37"/>
  <c r="S192" i="37"/>
  <c r="S187" i="37"/>
  <c r="S184" i="37"/>
  <c r="O229" i="41"/>
  <c r="N59" i="41"/>
  <c r="O111" i="41"/>
  <c r="U47" i="37"/>
  <c r="U55" i="37"/>
  <c r="U48" i="37"/>
  <c r="Y88" i="37"/>
  <c r="Y82" i="37"/>
  <c r="Y84" i="37"/>
  <c r="Y86" i="37"/>
  <c r="Q8" i="41"/>
  <c r="S47" i="37"/>
  <c r="S50" i="37"/>
  <c r="S48" i="37"/>
  <c r="Y90" i="37"/>
  <c r="U51" i="37"/>
  <c r="R102" i="37"/>
  <c r="R99" i="37"/>
  <c r="R98" i="37"/>
  <c r="R106" i="37"/>
  <c r="O74" i="41"/>
  <c r="O200" i="37"/>
  <c r="AM196" i="41"/>
  <c r="O207" i="37"/>
  <c r="BO168" i="45"/>
  <c r="BO170" i="45"/>
  <c r="BO171" i="45"/>
  <c r="M209" i="37"/>
  <c r="M203" i="37"/>
  <c r="E237" i="37"/>
  <c r="E242" i="37"/>
  <c r="E241" i="37"/>
  <c r="S105" i="37"/>
  <c r="S103" i="37"/>
  <c r="S102" i="37"/>
  <c r="Y46" i="37"/>
  <c r="Y49" i="37"/>
  <c r="Y99" i="37"/>
  <c r="V52" i="37"/>
  <c r="V47" i="37"/>
  <c r="Y191" i="37"/>
  <c r="AK179" i="41"/>
  <c r="U226" i="37"/>
  <c r="U224" i="37"/>
  <c r="I212" i="41"/>
  <c r="J74" i="41"/>
  <c r="AH111" i="41"/>
  <c r="AH125" i="41"/>
  <c r="J162" i="41"/>
  <c r="O110" i="41"/>
  <c r="K229" i="41"/>
  <c r="O193" i="32" l="1"/>
  <c r="H263" i="28"/>
  <c r="F193" i="32"/>
  <c r="F263" i="32" s="1"/>
  <c r="F262" i="32" s="1"/>
  <c r="H192" i="31"/>
  <c r="P193" i="29"/>
  <c r="H108" i="28"/>
  <c r="O193" i="29"/>
  <c r="O263" i="29" s="1"/>
  <c r="P193" i="32"/>
  <c r="P192" i="32" s="1"/>
  <c r="Q108" i="29"/>
  <c r="H108" i="32"/>
  <c r="AQ96" i="45"/>
  <c r="AU79" i="45"/>
  <c r="AC189" i="45"/>
  <c r="M206" i="45"/>
  <c r="O232" i="45"/>
  <c r="O231" i="45" s="1"/>
  <c r="AP147" i="45"/>
  <c r="BK96" i="45"/>
  <c r="AO223" i="45"/>
  <c r="G240" i="45"/>
  <c r="G231" i="45" s="1"/>
  <c r="AT181" i="45"/>
  <c r="N87" i="45"/>
  <c r="N181" i="45"/>
  <c r="U189" i="45"/>
  <c r="Z79" i="45"/>
  <c r="K62" i="45"/>
  <c r="O104" i="45"/>
  <c r="G45" i="45"/>
  <c r="I28" i="45"/>
  <c r="AS232" i="45"/>
  <c r="AS231" i="45" s="1"/>
  <c r="BO325" i="45"/>
  <c r="BJ95" i="45"/>
  <c r="AM104" i="45"/>
  <c r="AE62" i="45"/>
  <c r="N189" i="45"/>
  <c r="M147" i="45"/>
  <c r="S138" i="45"/>
  <c r="V332" i="41"/>
  <c r="AT332" i="41" s="1"/>
  <c r="W315" i="41"/>
  <c r="W280" i="41"/>
  <c r="AL260" i="41"/>
  <c r="AP260" i="41" s="1"/>
  <c r="AL251" i="41"/>
  <c r="AP251" i="41" s="1"/>
  <c r="AL259" i="41"/>
  <c r="AP259" i="41" s="1"/>
  <c r="AL253" i="41"/>
  <c r="AP253" i="41" s="1"/>
  <c r="AL255" i="41"/>
  <c r="AP255" i="41" s="1"/>
  <c r="AP247" i="41"/>
  <c r="AL256" i="41"/>
  <c r="AP256" i="41" s="1"/>
  <c r="AM251" i="41"/>
  <c r="AQ251" i="41" s="1"/>
  <c r="M285" i="41"/>
  <c r="O45" i="37"/>
  <c r="E53" i="37"/>
  <c r="AC53" i="37"/>
  <c r="M289" i="41"/>
  <c r="W247" i="41"/>
  <c r="W255" i="41" s="1"/>
  <c r="V142" i="41"/>
  <c r="AT142" i="41" s="1"/>
  <c r="AL363" i="41"/>
  <c r="Q177" i="37"/>
  <c r="R177" i="37" s="1"/>
  <c r="O254" i="41"/>
  <c r="AM348" i="41"/>
  <c r="U76" i="41"/>
  <c r="K290" i="41"/>
  <c r="K287" i="41"/>
  <c r="O255" i="41"/>
  <c r="O256" i="41"/>
  <c r="V315" i="41"/>
  <c r="V323" i="41" s="1"/>
  <c r="AT323" i="41" s="1"/>
  <c r="O252" i="41"/>
  <c r="K285" i="41"/>
  <c r="O250" i="41"/>
  <c r="W250" i="41" s="1"/>
  <c r="O259" i="41"/>
  <c r="O260" i="41"/>
  <c r="AL254" i="41"/>
  <c r="AP254" i="41" s="1"/>
  <c r="E215" i="37"/>
  <c r="H192" i="32"/>
  <c r="H263" i="32"/>
  <c r="H262" i="32" s="1"/>
  <c r="G193" i="33"/>
  <c r="G192" i="33" s="1"/>
  <c r="N193" i="33"/>
  <c r="G193" i="28"/>
  <c r="G263" i="28" s="1"/>
  <c r="P108" i="32"/>
  <c r="H193" i="30"/>
  <c r="H263" i="30" s="1"/>
  <c r="H262" i="30" s="1"/>
  <c r="P52" i="33"/>
  <c r="H264" i="28"/>
  <c r="G193" i="31"/>
  <c r="G192" i="31" s="1"/>
  <c r="G264" i="31"/>
  <c r="G193" i="30"/>
  <c r="G263" i="30" s="1"/>
  <c r="G262" i="30" s="1"/>
  <c r="H193" i="33"/>
  <c r="H263" i="33" s="1"/>
  <c r="H262" i="33" s="1"/>
  <c r="F52" i="33"/>
  <c r="F262" i="31"/>
  <c r="G263" i="33"/>
  <c r="G262" i="33" s="1"/>
  <c r="F193" i="28"/>
  <c r="F192" i="28" s="1"/>
  <c r="F263" i="28"/>
  <c r="F262" i="28" s="1"/>
  <c r="F193" i="30"/>
  <c r="F263" i="30" s="1"/>
  <c r="F262" i="30" s="1"/>
  <c r="H192" i="28"/>
  <c r="F192" i="31"/>
  <c r="H192" i="30"/>
  <c r="G264" i="28"/>
  <c r="P263" i="29"/>
  <c r="P262" i="29" s="1"/>
  <c r="P192" i="29"/>
  <c r="O263" i="33"/>
  <c r="O262" i="33" s="1"/>
  <c r="O192" i="33"/>
  <c r="F108" i="33"/>
  <c r="F193" i="33"/>
  <c r="H263" i="29"/>
  <c r="H262" i="29" s="1"/>
  <c r="H192" i="29"/>
  <c r="Q193" i="32"/>
  <c r="Q108" i="32"/>
  <c r="Q192" i="29"/>
  <c r="Q263" i="29"/>
  <c r="Q262" i="29" s="1"/>
  <c r="H264" i="31"/>
  <c r="P108" i="33"/>
  <c r="P193" i="33"/>
  <c r="G108" i="29"/>
  <c r="G193" i="29"/>
  <c r="O263" i="32"/>
  <c r="O262" i="32" s="1"/>
  <c r="O192" i="32"/>
  <c r="P193" i="30"/>
  <c r="P108" i="30"/>
  <c r="O262" i="29"/>
  <c r="N263" i="30"/>
  <c r="N262" i="30" s="1"/>
  <c r="N192" i="30"/>
  <c r="O193" i="30"/>
  <c r="O108" i="30"/>
  <c r="N192" i="33"/>
  <c r="N263" i="33"/>
  <c r="N262" i="33" s="1"/>
  <c r="G263" i="32"/>
  <c r="G262" i="32" s="1"/>
  <c r="G192" i="32"/>
  <c r="P263" i="32"/>
  <c r="P262" i="32" s="1"/>
  <c r="F108" i="29"/>
  <c r="F193" i="29"/>
  <c r="J69" i="31"/>
  <c r="K69" i="28"/>
  <c r="O202" i="28"/>
  <c r="AS79" i="45"/>
  <c r="BN63" i="43"/>
  <c r="BN62" i="43" s="1"/>
  <c r="Q279" i="37"/>
  <c r="R279" i="37" s="1"/>
  <c r="BI325" i="45"/>
  <c r="T157" i="29"/>
  <c r="J185" i="29"/>
  <c r="W70" i="45"/>
  <c r="O37" i="43"/>
  <c r="AD182" i="43"/>
  <c r="BD182" i="43"/>
  <c r="P226" i="28"/>
  <c r="AU207" i="43"/>
  <c r="S41" i="29"/>
  <c r="K125" i="28"/>
  <c r="L56" i="30"/>
  <c r="P228" i="28"/>
  <c r="BN113" i="45"/>
  <c r="S209" i="30"/>
  <c r="T73" i="29"/>
  <c r="P181" i="31"/>
  <c r="AO53" i="45"/>
  <c r="Q75" i="37"/>
  <c r="R75" i="37" s="1"/>
  <c r="P222" i="28"/>
  <c r="AT292" i="43"/>
  <c r="T52" i="32"/>
  <c r="P255" i="28"/>
  <c r="Q24" i="37"/>
  <c r="R24" i="37" s="1"/>
  <c r="T56" i="32"/>
  <c r="BC63" i="43"/>
  <c r="L112" i="32"/>
  <c r="L114" i="32"/>
  <c r="Q126" i="37"/>
  <c r="R126" i="37" s="1"/>
  <c r="BJ267" i="43"/>
  <c r="F3" i="37"/>
  <c r="E3" i="37"/>
  <c r="T108" i="29"/>
  <c r="T110" i="29"/>
  <c r="AT97" i="43"/>
  <c r="AJ207" i="43"/>
  <c r="J70" i="45"/>
  <c r="BO12" i="43"/>
  <c r="AC215" i="45"/>
  <c r="J164" i="45"/>
  <c r="AE104" i="45"/>
  <c r="AE95" i="45" s="1"/>
  <c r="J101" i="32"/>
  <c r="AY20" i="43"/>
  <c r="AL223" i="45"/>
  <c r="Z223" i="45"/>
  <c r="K190" i="31"/>
  <c r="R125" i="33"/>
  <c r="AS19" i="45"/>
  <c r="W193" i="41"/>
  <c r="AK363" i="41"/>
  <c r="AS181" i="45"/>
  <c r="L241" i="28"/>
  <c r="N113" i="45"/>
  <c r="L73" i="29"/>
  <c r="R173" i="43"/>
  <c r="BK165" i="43"/>
  <c r="S145" i="33"/>
  <c r="U251" i="29"/>
  <c r="AX122" i="43"/>
  <c r="BN189" i="45"/>
  <c r="U167" i="29"/>
  <c r="S167" i="29"/>
  <c r="S173" i="29" s="1"/>
  <c r="BI45" i="45"/>
  <c r="U69" i="29"/>
  <c r="U75" i="29" s="1"/>
  <c r="BJ172" i="45"/>
  <c r="AJ301" i="43"/>
  <c r="AJ300" i="43" s="1"/>
  <c r="AZ173" i="43"/>
  <c r="AX233" i="43"/>
  <c r="BD131" i="43"/>
  <c r="BD130" i="43" s="1"/>
  <c r="T173" i="29"/>
  <c r="AF105" i="43"/>
  <c r="V181" i="45"/>
  <c r="V180" i="45" s="1"/>
  <c r="Q28" i="45"/>
  <c r="Q27" i="45" s="1"/>
  <c r="BB182" i="43"/>
  <c r="BB181" i="43" s="1"/>
  <c r="Z80" i="43"/>
  <c r="AX292" i="43"/>
  <c r="J190" i="43"/>
  <c r="AU104" i="45"/>
  <c r="AT121" i="45"/>
  <c r="S41" i="30"/>
  <c r="AV326" i="43"/>
  <c r="AT148" i="43"/>
  <c r="U129" i="29"/>
  <c r="L202" i="28"/>
  <c r="P207" i="43"/>
  <c r="U87" i="45"/>
  <c r="U78" i="45" s="1"/>
  <c r="U232" i="45"/>
  <c r="S31" i="29"/>
  <c r="S33" i="29" s="1"/>
  <c r="U112" i="29"/>
  <c r="AD80" i="43"/>
  <c r="J52" i="33"/>
  <c r="T54" i="32"/>
  <c r="BO173" i="43"/>
  <c r="BO164" i="43" s="1"/>
  <c r="K129" i="28"/>
  <c r="P251" i="28"/>
  <c r="J56" i="33"/>
  <c r="BB165" i="43"/>
  <c r="BB164" i="43" s="1"/>
  <c r="T207" i="43"/>
  <c r="L113" i="32"/>
  <c r="L115" i="32" s="1"/>
  <c r="O251" i="41"/>
  <c r="O249" i="41" s="1"/>
  <c r="AC45" i="45"/>
  <c r="AC44" i="45" s="1"/>
  <c r="P185" i="31"/>
  <c r="P187" i="31" s="1"/>
  <c r="BN148" i="43"/>
  <c r="BN199" i="43"/>
  <c r="BK46" i="43"/>
  <c r="T27" i="29"/>
  <c r="T33" i="29" s="1"/>
  <c r="M36" i="45"/>
  <c r="M27" i="45" s="1"/>
  <c r="J83" i="32"/>
  <c r="BI53" i="45"/>
  <c r="BC182" i="43"/>
  <c r="BC181" i="43" s="1"/>
  <c r="L209" i="31"/>
  <c r="L215" i="31" s="1"/>
  <c r="L31" i="28"/>
  <c r="BP46" i="43"/>
  <c r="L89" i="33"/>
  <c r="U108" i="29"/>
  <c r="K232" i="45"/>
  <c r="S97" i="29"/>
  <c r="K293" i="41"/>
  <c r="AX283" i="43"/>
  <c r="T131" i="29"/>
  <c r="N202" i="31"/>
  <c r="O185" i="31"/>
  <c r="L37" i="43"/>
  <c r="BJ44" i="45"/>
  <c r="AB233" i="43"/>
  <c r="AB232" i="43" s="1"/>
  <c r="BL80" i="43"/>
  <c r="BL79" i="43" s="1"/>
  <c r="BN173" i="43"/>
  <c r="J182" i="43"/>
  <c r="BB71" i="43"/>
  <c r="BN37" i="43"/>
  <c r="AZ292" i="43"/>
  <c r="V298" i="41"/>
  <c r="AT298" i="41" s="1"/>
  <c r="J52" i="32"/>
  <c r="J55" i="32" s="1"/>
  <c r="BK114" i="43"/>
  <c r="AU87" i="45"/>
  <c r="AU78" i="45" s="1"/>
  <c r="AM70" i="45"/>
  <c r="T31" i="33"/>
  <c r="AO181" i="45"/>
  <c r="AO180" i="45" s="1"/>
  <c r="BO241" i="43"/>
  <c r="BO232" i="43" s="1"/>
  <c r="BJ309" i="43"/>
  <c r="T318" i="43"/>
  <c r="N143" i="28"/>
  <c r="N145" i="28" s="1"/>
  <c r="U87" i="37"/>
  <c r="K288" i="41"/>
  <c r="BC233" i="43"/>
  <c r="BC232" i="43" s="1"/>
  <c r="AQ232" i="45"/>
  <c r="W142" i="41"/>
  <c r="AU142" i="41" s="1"/>
  <c r="L103" i="32"/>
  <c r="M293" i="41"/>
  <c r="BP283" i="43"/>
  <c r="AF96" i="43"/>
  <c r="O190" i="31"/>
  <c r="BD326" i="43"/>
  <c r="K153" i="28"/>
  <c r="AS11" i="45"/>
  <c r="G223" i="45"/>
  <c r="G214" i="45" s="1"/>
  <c r="AE107" i="41"/>
  <c r="AQ107" i="41" s="1"/>
  <c r="T251" i="29"/>
  <c r="T257" i="29" s="1"/>
  <c r="BO80" i="43"/>
  <c r="AE59" i="41"/>
  <c r="AE263" i="41" s="1"/>
  <c r="AE348" i="41" s="1"/>
  <c r="F20" i="41"/>
  <c r="AH263" i="41"/>
  <c r="AH348" i="41" s="1"/>
  <c r="W244" i="41"/>
  <c r="AU244" i="41" s="1"/>
  <c r="V280" i="41"/>
  <c r="AT280" i="41" s="1"/>
  <c r="N203" i="41"/>
  <c r="V213" i="41"/>
  <c r="AO176" i="41"/>
  <c r="AK260" i="41"/>
  <c r="AO260" i="41" s="1"/>
  <c r="AK254" i="41"/>
  <c r="AO254" i="41" s="1"/>
  <c r="AK252" i="41"/>
  <c r="AO252" i="41" s="1"/>
  <c r="AO247" i="41"/>
  <c r="AK253" i="41"/>
  <c r="AO253" i="41" s="1"/>
  <c r="AK251" i="41"/>
  <c r="AO251" i="41" s="1"/>
  <c r="AK259" i="41"/>
  <c r="AO259" i="41" s="1"/>
  <c r="AK255" i="41"/>
  <c r="AO255" i="41" s="1"/>
  <c r="AM237" i="41"/>
  <c r="AQ237" i="41" s="1"/>
  <c r="V178" i="41"/>
  <c r="AT178" i="41" s="1"/>
  <c r="AM233" i="41"/>
  <c r="AQ233" i="41" s="1"/>
  <c r="M184" i="41"/>
  <c r="Z181" i="37"/>
  <c r="U229" i="41"/>
  <c r="AS229" i="41" s="1"/>
  <c r="E147" i="37"/>
  <c r="S138" i="37"/>
  <c r="AU91" i="41"/>
  <c r="AA74" i="41"/>
  <c r="AA278" i="41" s="1"/>
  <c r="AA363" i="41" s="1"/>
  <c r="P190" i="31"/>
  <c r="E11" i="45"/>
  <c r="BD181" i="43"/>
  <c r="BC139" i="43"/>
  <c r="BC130" i="43" s="1"/>
  <c r="AE206" i="45"/>
  <c r="K182" i="43"/>
  <c r="K181" i="43" s="1"/>
  <c r="BR148" i="43"/>
  <c r="N254" i="41"/>
  <c r="V254" i="41" s="1"/>
  <c r="L20" i="43"/>
  <c r="N256" i="41"/>
  <c r="V256" i="41" s="1"/>
  <c r="N185" i="31"/>
  <c r="O17" i="28"/>
  <c r="AY182" i="43"/>
  <c r="AY181" i="43" s="1"/>
  <c r="BO97" i="43"/>
  <c r="K240" i="45"/>
  <c r="N62" i="45"/>
  <c r="S241" i="30"/>
  <c r="S243" i="30" s="1"/>
  <c r="AJ181" i="43"/>
  <c r="G53" i="45"/>
  <c r="AI283" i="43"/>
  <c r="W240" i="45"/>
  <c r="W231" i="45" s="1"/>
  <c r="R41" i="30"/>
  <c r="R47" i="30" s="1"/>
  <c r="Z46" i="43"/>
  <c r="R157" i="30"/>
  <c r="R159" i="30" s="1"/>
  <c r="AD62" i="45"/>
  <c r="W241" i="43"/>
  <c r="T233" i="43"/>
  <c r="AE351" i="45"/>
  <c r="Z139" i="43"/>
  <c r="Z130" i="43" s="1"/>
  <c r="N250" i="43"/>
  <c r="N249" i="43" s="1"/>
  <c r="Q147" i="45"/>
  <c r="Q146" i="45" s="1"/>
  <c r="AJ199" i="43"/>
  <c r="N233" i="43"/>
  <c r="N232" i="43" s="1"/>
  <c r="I113" i="45"/>
  <c r="I112" i="45" s="1"/>
  <c r="K155" i="45"/>
  <c r="K289" i="41"/>
  <c r="V199" i="43"/>
  <c r="R250" i="43"/>
  <c r="J31" i="33"/>
  <c r="J33" i="33" s="1"/>
  <c r="O156" i="43"/>
  <c r="F223" i="45"/>
  <c r="U244" i="41"/>
  <c r="Z14" i="34"/>
  <c r="V207" i="43"/>
  <c r="J45" i="33"/>
  <c r="J47" i="33" s="1"/>
  <c r="K87" i="32"/>
  <c r="K89" i="32" s="1"/>
  <c r="BN292" i="43"/>
  <c r="BV17" i="34"/>
  <c r="BK309" i="43"/>
  <c r="T69" i="32"/>
  <c r="T75" i="32" s="1"/>
  <c r="P110" i="28"/>
  <c r="AY139" i="43"/>
  <c r="L167" i="32"/>
  <c r="L173" i="32" s="1"/>
  <c r="J255" i="31"/>
  <c r="V212" i="41"/>
  <c r="AT212" i="41" s="1"/>
  <c r="P224" i="28"/>
  <c r="BN190" i="43"/>
  <c r="AT139" i="43"/>
  <c r="BL46" i="43"/>
  <c r="F17" i="41"/>
  <c r="F272" i="41" s="1"/>
  <c r="L156" i="43"/>
  <c r="AT189" i="45"/>
  <c r="AT180" i="45" s="1"/>
  <c r="BN130" i="45"/>
  <c r="BN129" i="45" s="1"/>
  <c r="T153" i="32"/>
  <c r="S199" i="32"/>
  <c r="F21" i="41"/>
  <c r="F276" i="41" s="1"/>
  <c r="V156" i="43"/>
  <c r="O269" i="31"/>
  <c r="BN165" i="43"/>
  <c r="BJ240" i="45"/>
  <c r="BI28" i="45"/>
  <c r="BI27" i="45" s="1"/>
  <c r="L83" i="29"/>
  <c r="K279" i="37"/>
  <c r="AY131" i="43"/>
  <c r="BJ19" i="45"/>
  <c r="V127" i="41"/>
  <c r="AT127" i="41" s="1"/>
  <c r="BS275" i="43"/>
  <c r="AY63" i="43"/>
  <c r="BR309" i="43"/>
  <c r="V29" i="43"/>
  <c r="V28" i="43" s="1"/>
  <c r="BO267" i="43"/>
  <c r="AM215" i="45"/>
  <c r="AQ62" i="45"/>
  <c r="Y181" i="45"/>
  <c r="AQ130" i="45"/>
  <c r="AQ129" i="45" s="1"/>
  <c r="BJ199" i="43"/>
  <c r="BJ198" i="43" s="1"/>
  <c r="BK70" i="45"/>
  <c r="AV114" i="43"/>
  <c r="K129" i="29"/>
  <c r="K59" i="32"/>
  <c r="AF45" i="43"/>
  <c r="BN206" i="45"/>
  <c r="K27" i="30"/>
  <c r="K33" i="30" s="1"/>
  <c r="BL156" i="43"/>
  <c r="AX80" i="43"/>
  <c r="S237" i="29"/>
  <c r="R164" i="43"/>
  <c r="F130" i="45"/>
  <c r="Y80" i="41"/>
  <c r="Y63" i="41" s="1"/>
  <c r="W96" i="45"/>
  <c r="AU280" i="41"/>
  <c r="M79" i="45"/>
  <c r="M164" i="45"/>
  <c r="AS113" i="45"/>
  <c r="M11" i="45"/>
  <c r="AS295" i="41"/>
  <c r="BB114" i="43"/>
  <c r="BB113" i="43" s="1"/>
  <c r="V148" i="43"/>
  <c r="BJ334" i="45"/>
  <c r="AZ284" i="43"/>
  <c r="S101" i="29"/>
  <c r="S73" i="29"/>
  <c r="J89" i="32"/>
  <c r="AY105" i="43"/>
  <c r="AT62" i="45"/>
  <c r="AK342" i="45"/>
  <c r="BJ266" i="43"/>
  <c r="AY29" i="43"/>
  <c r="AX46" i="43"/>
  <c r="BN156" i="43"/>
  <c r="BN147" i="43" s="1"/>
  <c r="K97" i="29"/>
  <c r="K103" i="29" s="1"/>
  <c r="BI155" i="45"/>
  <c r="AK223" i="45"/>
  <c r="U181" i="32"/>
  <c r="J157" i="32"/>
  <c r="AL53" i="45"/>
  <c r="AL44" i="45" s="1"/>
  <c r="L157" i="29"/>
  <c r="AU165" i="43"/>
  <c r="AV37" i="43"/>
  <c r="W298" i="41"/>
  <c r="T101" i="32"/>
  <c r="BR88" i="43"/>
  <c r="BP267" i="43"/>
  <c r="BJ318" i="43"/>
  <c r="U171" i="29"/>
  <c r="U173" i="29" s="1"/>
  <c r="I87" i="45"/>
  <c r="AH199" i="43"/>
  <c r="N11" i="45"/>
  <c r="X182" i="43"/>
  <c r="K129" i="30"/>
  <c r="N129" i="45"/>
  <c r="K215" i="28"/>
  <c r="R88" i="43"/>
  <c r="AE173" i="43"/>
  <c r="AA182" i="43"/>
  <c r="AA181" i="43" s="1"/>
  <c r="U199" i="32"/>
  <c r="K257" i="29"/>
  <c r="O187" i="31"/>
  <c r="AV122" i="43"/>
  <c r="K129" i="32"/>
  <c r="K69" i="29"/>
  <c r="BK199" i="43"/>
  <c r="BK198" i="43" s="1"/>
  <c r="AD19" i="45"/>
  <c r="AD10" i="45" s="1"/>
  <c r="U97" i="29"/>
  <c r="U103" i="29" s="1"/>
  <c r="AI309" i="43"/>
  <c r="AU199" i="43"/>
  <c r="AU198" i="43" s="1"/>
  <c r="K187" i="28"/>
  <c r="AU275" i="43"/>
  <c r="AE98" i="41"/>
  <c r="AQ98" i="41" s="1"/>
  <c r="P12" i="43"/>
  <c r="BB12" i="43"/>
  <c r="BP207" i="43"/>
  <c r="BP198" i="43" s="1"/>
  <c r="U199" i="29"/>
  <c r="BO164" i="45"/>
  <c r="AK175" i="41"/>
  <c r="AO175" i="41" s="1"/>
  <c r="AU178" i="41"/>
  <c r="P157" i="28"/>
  <c r="T17" i="34"/>
  <c r="J228" i="28"/>
  <c r="AV63" i="43"/>
  <c r="Q130" i="45"/>
  <c r="BN318" i="43"/>
  <c r="AQ342" i="45"/>
  <c r="AQ333" i="45" s="1"/>
  <c r="AQ104" i="45"/>
  <c r="AQ95" i="45" s="1"/>
  <c r="AZ139" i="43"/>
  <c r="AZ130" i="43" s="1"/>
  <c r="J222" i="28"/>
  <c r="P101" i="28"/>
  <c r="E189" i="45"/>
  <c r="BD28" i="43"/>
  <c r="AT105" i="43"/>
  <c r="J226" i="28"/>
  <c r="J227" i="28" s="1"/>
  <c r="K139" i="28"/>
  <c r="J220" i="28"/>
  <c r="O68" i="41"/>
  <c r="J83" i="31"/>
  <c r="P202" i="31"/>
  <c r="BL224" i="43"/>
  <c r="BL241" i="43"/>
  <c r="BL232" i="43" s="1"/>
  <c r="S153" i="30"/>
  <c r="S159" i="30" s="1"/>
  <c r="J167" i="29"/>
  <c r="V233" i="43"/>
  <c r="BL267" i="43"/>
  <c r="BL266" i="43" s="1"/>
  <c r="AX224" i="43"/>
  <c r="BO182" i="43"/>
  <c r="AV292" i="43"/>
  <c r="BC71" i="43"/>
  <c r="U241" i="29"/>
  <c r="BL318" i="43"/>
  <c r="BL317" i="43" s="1"/>
  <c r="BM53" i="45"/>
  <c r="S22" i="41"/>
  <c r="S277" i="41" s="1"/>
  <c r="S362" i="41" s="1"/>
  <c r="L237" i="29"/>
  <c r="L243" i="29" s="1"/>
  <c r="L185" i="31"/>
  <c r="BP165" i="43"/>
  <c r="O181" i="28"/>
  <c r="O187" i="28" s="1"/>
  <c r="BK215" i="45"/>
  <c r="BO20" i="43"/>
  <c r="T195" i="32"/>
  <c r="BO54" i="43"/>
  <c r="BO45" i="43" s="1"/>
  <c r="BM45" i="45"/>
  <c r="S226" i="30"/>
  <c r="AE96" i="43"/>
  <c r="AB88" i="43"/>
  <c r="W104" i="45"/>
  <c r="AA97" i="43"/>
  <c r="AA96" i="43" s="1"/>
  <c r="AH173" i="43"/>
  <c r="F104" i="45"/>
  <c r="K143" i="30"/>
  <c r="R207" i="43"/>
  <c r="V114" i="43"/>
  <c r="V113" i="43" s="1"/>
  <c r="AA122" i="43"/>
  <c r="AH71" i="43"/>
  <c r="AH114" i="43"/>
  <c r="I79" i="45"/>
  <c r="S251" i="30"/>
  <c r="S257" i="30" s="1"/>
  <c r="AI199" i="43"/>
  <c r="AD12" i="43"/>
  <c r="S224" i="30"/>
  <c r="W350" i="45"/>
  <c r="K113" i="45"/>
  <c r="J197" i="45"/>
  <c r="G172" i="45"/>
  <c r="AD181" i="45"/>
  <c r="T60" i="30"/>
  <c r="P139" i="43"/>
  <c r="L69" i="30"/>
  <c r="I172" i="45"/>
  <c r="I130" i="45"/>
  <c r="I129" i="45" s="1"/>
  <c r="U359" i="45"/>
  <c r="U350" i="45" s="1"/>
  <c r="N97" i="43"/>
  <c r="AH207" i="43"/>
  <c r="AE326" i="43"/>
  <c r="U198" i="45"/>
  <c r="U197" i="45" s="1"/>
  <c r="Y206" i="45"/>
  <c r="AD79" i="45"/>
  <c r="F96" i="45"/>
  <c r="N121" i="45"/>
  <c r="J45" i="45"/>
  <c r="I36" i="45"/>
  <c r="I27" i="45" s="1"/>
  <c r="R233" i="43"/>
  <c r="P71" i="43"/>
  <c r="AB97" i="43"/>
  <c r="AE54" i="43"/>
  <c r="AE45" i="43" s="1"/>
  <c r="AA53" i="45"/>
  <c r="W291" i="45"/>
  <c r="J240" i="45"/>
  <c r="W266" i="45"/>
  <c r="W265" i="45" s="1"/>
  <c r="T153" i="30"/>
  <c r="T159" i="30" s="1"/>
  <c r="R53" i="45"/>
  <c r="S70" i="45"/>
  <c r="R97" i="33"/>
  <c r="J13" i="30"/>
  <c r="AC198" i="37"/>
  <c r="S11" i="45"/>
  <c r="O147" i="45"/>
  <c r="U23" i="41"/>
  <c r="AS23" i="41" s="1"/>
  <c r="O250" i="43"/>
  <c r="O249" i="43" s="1"/>
  <c r="V173" i="43"/>
  <c r="N105" i="43"/>
  <c r="G198" i="45"/>
  <c r="G197" i="45" s="1"/>
  <c r="S88" i="43"/>
  <c r="S201" i="30"/>
  <c r="J171" i="28"/>
  <c r="AE241" i="43"/>
  <c r="AE232" i="43" s="1"/>
  <c r="P269" i="28"/>
  <c r="J153" i="28"/>
  <c r="J326" i="43"/>
  <c r="AI241" i="43"/>
  <c r="AJ241" i="43"/>
  <c r="K138" i="45"/>
  <c r="K129" i="45" s="1"/>
  <c r="AB29" i="43"/>
  <c r="AJ250" i="43"/>
  <c r="F181" i="45"/>
  <c r="G351" i="45"/>
  <c r="G350" i="45" s="1"/>
  <c r="AE37" i="43"/>
  <c r="S80" i="43"/>
  <c r="S130" i="45"/>
  <c r="S129" i="45" s="1"/>
  <c r="K232" i="37"/>
  <c r="R87" i="30"/>
  <c r="J156" i="43"/>
  <c r="BM19" i="45"/>
  <c r="AD198" i="45"/>
  <c r="AH301" i="43"/>
  <c r="BM198" i="45"/>
  <c r="N123" i="41"/>
  <c r="X37" i="43"/>
  <c r="K69" i="33"/>
  <c r="K75" i="33" s="1"/>
  <c r="N36" i="45"/>
  <c r="AD88" i="43"/>
  <c r="K87" i="33"/>
  <c r="K89" i="33" s="1"/>
  <c r="AB148" i="43"/>
  <c r="AB147" i="43" s="1"/>
  <c r="K63" i="43"/>
  <c r="K20" i="43"/>
  <c r="BJ223" i="45"/>
  <c r="N190" i="43"/>
  <c r="N29" i="43"/>
  <c r="BK190" i="43"/>
  <c r="BK122" i="43"/>
  <c r="S69" i="32"/>
  <c r="AQ113" i="45"/>
  <c r="J31" i="30"/>
  <c r="T199" i="33"/>
  <c r="BO275" i="43"/>
  <c r="AT326" i="43"/>
  <c r="R79" i="45"/>
  <c r="AO45" i="45"/>
  <c r="AO104" i="45"/>
  <c r="U269" i="29"/>
  <c r="BD173" i="43"/>
  <c r="W283" i="45"/>
  <c r="V295" i="41"/>
  <c r="AT295" i="41" s="1"/>
  <c r="AC130" i="45"/>
  <c r="AC129" i="45" s="1"/>
  <c r="AE106" i="41"/>
  <c r="AQ106" i="41" s="1"/>
  <c r="AB199" i="43"/>
  <c r="X105" i="43"/>
  <c r="BJ164" i="45"/>
  <c r="AE138" i="45"/>
  <c r="AE129" i="45" s="1"/>
  <c r="Z88" i="43"/>
  <c r="Z79" i="43" s="1"/>
  <c r="E240" i="45"/>
  <c r="S114" i="43"/>
  <c r="S113" i="43" s="1"/>
  <c r="AL147" i="45"/>
  <c r="BJ131" i="43"/>
  <c r="BJ130" i="43" s="1"/>
  <c r="R45" i="45"/>
  <c r="W88" i="43"/>
  <c r="O63" i="43"/>
  <c r="Z199" i="43"/>
  <c r="BJ130" i="45"/>
  <c r="U153" i="29"/>
  <c r="U159" i="29" s="1"/>
  <c r="U40" i="41"/>
  <c r="AS40" i="41" s="1"/>
  <c r="J101" i="29"/>
  <c r="J103" i="29" s="1"/>
  <c r="T29" i="43"/>
  <c r="BP131" i="43"/>
  <c r="BP130" i="43" s="1"/>
  <c r="BI70" i="45"/>
  <c r="J17" i="30"/>
  <c r="O223" i="45"/>
  <c r="E55" i="41"/>
  <c r="N158" i="41"/>
  <c r="AA71" i="43"/>
  <c r="Q19" i="45"/>
  <c r="I157" i="41"/>
  <c r="J171" i="31"/>
  <c r="K143" i="28"/>
  <c r="G189" i="37"/>
  <c r="K265" i="32"/>
  <c r="AU36" i="45"/>
  <c r="AH182" i="43"/>
  <c r="J96" i="45"/>
  <c r="J95" i="45" s="1"/>
  <c r="O265" i="31"/>
  <c r="O271" i="31" s="1"/>
  <c r="J125" i="33"/>
  <c r="BD46" i="43"/>
  <c r="AU215" i="45"/>
  <c r="BD79" i="43"/>
  <c r="T27" i="33"/>
  <c r="S153" i="32"/>
  <c r="J189" i="37"/>
  <c r="W121" i="45"/>
  <c r="S195" i="32"/>
  <c r="E198" i="45"/>
  <c r="BN13" i="34"/>
  <c r="BK334" i="45"/>
  <c r="AI207" i="43"/>
  <c r="J181" i="29"/>
  <c r="J187" i="29" s="1"/>
  <c r="Z249" i="43"/>
  <c r="K200" i="41"/>
  <c r="BR190" i="43"/>
  <c r="AF250" i="43"/>
  <c r="P199" i="43"/>
  <c r="AC181" i="45"/>
  <c r="AK70" i="45"/>
  <c r="AU122" i="43"/>
  <c r="AU113" i="43" s="1"/>
  <c r="AE147" i="43"/>
  <c r="AU223" i="45"/>
  <c r="AK104" i="45"/>
  <c r="P125" i="28"/>
  <c r="AM342" i="45"/>
  <c r="W173" i="43"/>
  <c r="AH241" i="43"/>
  <c r="BP318" i="43"/>
  <c r="T41" i="29"/>
  <c r="T47" i="29" s="1"/>
  <c r="AJ326" i="43"/>
  <c r="AJ317" i="43" s="1"/>
  <c r="Y89" i="41"/>
  <c r="AO89" i="41" s="1"/>
  <c r="AH13" i="34"/>
  <c r="L101" i="30"/>
  <c r="J251" i="31"/>
  <c r="N104" i="37"/>
  <c r="L97" i="30"/>
  <c r="K17" i="30"/>
  <c r="T250" i="43"/>
  <c r="S241" i="29"/>
  <c r="AU11" i="45"/>
  <c r="AY79" i="43"/>
  <c r="U47" i="29"/>
  <c r="BP326" i="43"/>
  <c r="P87" i="31"/>
  <c r="Q189" i="45"/>
  <c r="T258" i="43"/>
  <c r="F189" i="45"/>
  <c r="AD233" i="43"/>
  <c r="AD148" i="43"/>
  <c r="W210" i="41"/>
  <c r="AU210" i="41" s="1"/>
  <c r="R69" i="33"/>
  <c r="R75" i="33" s="1"/>
  <c r="AY199" i="43"/>
  <c r="BJ62" i="45"/>
  <c r="AX318" i="43"/>
  <c r="AA223" i="45"/>
  <c r="J83" i="33"/>
  <c r="J89" i="33" s="1"/>
  <c r="AB326" i="43"/>
  <c r="L29" i="43"/>
  <c r="AF147" i="43"/>
  <c r="BL148" i="43"/>
  <c r="BP215" i="43"/>
  <c r="AE102" i="41"/>
  <c r="AE68" i="41" s="1"/>
  <c r="AE272" i="41" s="1"/>
  <c r="AE357" i="41" s="1"/>
  <c r="AE114" i="43"/>
  <c r="S153" i="29"/>
  <c r="J131" i="43"/>
  <c r="N73" i="28"/>
  <c r="N75" i="28" s="1"/>
  <c r="E181" i="45"/>
  <c r="AL104" i="45"/>
  <c r="AL95" i="45" s="1"/>
  <c r="AX20" i="43"/>
  <c r="U36" i="45"/>
  <c r="U27" i="45" s="1"/>
  <c r="J99" i="41"/>
  <c r="BN224" i="43"/>
  <c r="AD223" i="37"/>
  <c r="M198" i="45"/>
  <c r="M197" i="45" s="1"/>
  <c r="N97" i="31"/>
  <c r="L12" i="43"/>
  <c r="L11" i="43" s="1"/>
  <c r="AB63" i="43"/>
  <c r="Z318" i="43"/>
  <c r="BL105" i="43"/>
  <c r="BT249" i="43"/>
  <c r="BD318" i="43"/>
  <c r="BK62" i="45"/>
  <c r="AC223" i="45"/>
  <c r="AC214" i="45" s="1"/>
  <c r="AC164" i="45"/>
  <c r="S60" i="29"/>
  <c r="BO122" i="43"/>
  <c r="AI114" i="43"/>
  <c r="AH131" i="43"/>
  <c r="AH130" i="43" s="1"/>
  <c r="AF173" i="43"/>
  <c r="O87" i="45"/>
  <c r="BJ190" i="43"/>
  <c r="K71" i="43"/>
  <c r="BM79" i="45"/>
  <c r="AV207" i="43"/>
  <c r="BN241" i="43"/>
  <c r="BN232" i="43" s="1"/>
  <c r="R89" i="33"/>
  <c r="AT240" i="45"/>
  <c r="T131" i="43"/>
  <c r="T130" i="43" s="1"/>
  <c r="R80" i="43"/>
  <c r="BS80" i="43"/>
  <c r="BS79" i="43" s="1"/>
  <c r="P165" i="43"/>
  <c r="P164" i="43" s="1"/>
  <c r="K171" i="33"/>
  <c r="L101" i="31"/>
  <c r="S52" i="29"/>
  <c r="AD223" i="45"/>
  <c r="W155" i="45"/>
  <c r="AI122" i="43"/>
  <c r="J53" i="45"/>
  <c r="N293" i="41"/>
  <c r="V240" i="45"/>
  <c r="BB139" i="43"/>
  <c r="BJ326" i="43"/>
  <c r="AT45" i="45"/>
  <c r="AT44" i="45" s="1"/>
  <c r="AJ258" i="43"/>
  <c r="AQ223" i="45"/>
  <c r="I11" i="45"/>
  <c r="S167" i="33"/>
  <c r="S173" i="33" s="1"/>
  <c r="AO334" i="45"/>
  <c r="AP240" i="45"/>
  <c r="AC28" i="45"/>
  <c r="AC27" i="45" s="1"/>
  <c r="T199" i="32"/>
  <c r="S45" i="29"/>
  <c r="AH122" i="43"/>
  <c r="L251" i="28"/>
  <c r="L257" i="28" s="1"/>
  <c r="V223" i="45"/>
  <c r="AB45" i="43"/>
  <c r="BR216" i="43"/>
  <c r="BS148" i="43"/>
  <c r="BS147" i="43" s="1"/>
  <c r="J171" i="29"/>
  <c r="S157" i="29"/>
  <c r="AD189" i="45"/>
  <c r="S53" i="29"/>
  <c r="E130" i="37"/>
  <c r="O207" i="43"/>
  <c r="L190" i="31"/>
  <c r="AX37" i="43"/>
  <c r="BN114" i="43"/>
  <c r="BN113" i="43" s="1"/>
  <c r="P46" i="43"/>
  <c r="P45" i="43" s="1"/>
  <c r="AZ113" i="43"/>
  <c r="AX173" i="43"/>
  <c r="S63" i="43"/>
  <c r="W233" i="43"/>
  <c r="AB207" i="43"/>
  <c r="F198" i="45"/>
  <c r="E96" i="45"/>
  <c r="V215" i="45"/>
  <c r="O148" i="43"/>
  <c r="BJ11" i="45"/>
  <c r="BJ10" i="45" s="1"/>
  <c r="M288" i="41"/>
  <c r="O12" i="43"/>
  <c r="O11" i="43" s="1"/>
  <c r="V28" i="45"/>
  <c r="V27" i="45" s="1"/>
  <c r="BI11" i="45"/>
  <c r="L181" i="28"/>
  <c r="K36" i="45"/>
  <c r="M223" i="45"/>
  <c r="AP155" i="45"/>
  <c r="AH17" i="34"/>
  <c r="L143" i="31"/>
  <c r="BM232" i="45"/>
  <c r="BJ325" i="45"/>
  <c r="E104" i="45"/>
  <c r="W79" i="45"/>
  <c r="J189" i="45"/>
  <c r="J180" i="45" s="1"/>
  <c r="U266" i="45"/>
  <c r="AV139" i="43"/>
  <c r="K13" i="30"/>
  <c r="S47" i="30"/>
  <c r="BS165" i="43"/>
  <c r="J215" i="31"/>
  <c r="BN131" i="43"/>
  <c r="AO79" i="45"/>
  <c r="R62" i="45"/>
  <c r="AD114" i="43"/>
  <c r="K73" i="29"/>
  <c r="K75" i="29" s="1"/>
  <c r="AQ176" i="41"/>
  <c r="AU176" i="41" s="1"/>
  <c r="AD104" i="37"/>
  <c r="K147" i="37"/>
  <c r="N200" i="41"/>
  <c r="M149" i="41"/>
  <c r="AE101" i="41"/>
  <c r="AC28" i="37"/>
  <c r="E278" i="41"/>
  <c r="E363" i="41" s="1"/>
  <c r="V176" i="41"/>
  <c r="O258" i="41"/>
  <c r="AC45" i="37"/>
  <c r="AC44" i="37" s="1"/>
  <c r="U303" i="41"/>
  <c r="AS303" i="41" s="1"/>
  <c r="O96" i="37"/>
  <c r="Y223" i="37"/>
  <c r="K205" i="41"/>
  <c r="AG116" i="41"/>
  <c r="AO116" i="41" s="1"/>
  <c r="AC206" i="37"/>
  <c r="Y90" i="41"/>
  <c r="Y73" i="41" s="1"/>
  <c r="J100" i="41"/>
  <c r="K209" i="41"/>
  <c r="N218" i="41"/>
  <c r="M79" i="37"/>
  <c r="E181" i="37"/>
  <c r="U227" i="41"/>
  <c r="AS227" i="41" s="1"/>
  <c r="N53" i="37"/>
  <c r="Z189" i="37"/>
  <c r="U36" i="37"/>
  <c r="U108" i="41"/>
  <c r="J86" i="41"/>
  <c r="N220" i="41"/>
  <c r="N278" i="41"/>
  <c r="N363" i="41" s="1"/>
  <c r="K208" i="41"/>
  <c r="AC147" i="37"/>
  <c r="N154" i="41"/>
  <c r="N190" i="41"/>
  <c r="M232" i="37"/>
  <c r="K159" i="28"/>
  <c r="AC359" i="45"/>
  <c r="AK258" i="41"/>
  <c r="AO258" i="41" s="1"/>
  <c r="AJ131" i="43"/>
  <c r="AJ130" i="43" s="1"/>
  <c r="K207" i="43"/>
  <c r="M232" i="45"/>
  <c r="BJ181" i="45"/>
  <c r="AS45" i="45"/>
  <c r="Z215" i="45"/>
  <c r="T224" i="29"/>
  <c r="T221" i="29"/>
  <c r="T226" i="29"/>
  <c r="T228" i="29"/>
  <c r="T222" i="29"/>
  <c r="T220" i="29"/>
  <c r="BI19" i="45"/>
  <c r="K153" i="41"/>
  <c r="V198" i="45"/>
  <c r="V197" i="45" s="1"/>
  <c r="T83" i="30"/>
  <c r="T89" i="30" s="1"/>
  <c r="BN80" i="43"/>
  <c r="O100" i="41"/>
  <c r="BR165" i="43"/>
  <c r="P63" i="43"/>
  <c r="R87" i="45"/>
  <c r="AF165" i="43"/>
  <c r="S199" i="43"/>
  <c r="AD13" i="34"/>
  <c r="S33" i="33"/>
  <c r="AT20" i="43"/>
  <c r="N61" i="45"/>
  <c r="J33" i="28"/>
  <c r="BD232" i="43"/>
  <c r="AV182" i="43"/>
  <c r="K41" i="29"/>
  <c r="BN284" i="43"/>
  <c r="BN283" i="43" s="1"/>
  <c r="X97" i="43"/>
  <c r="X96" i="43" s="1"/>
  <c r="AL17" i="34"/>
  <c r="J232" i="45"/>
  <c r="BK121" i="45"/>
  <c r="BM240" i="45"/>
  <c r="S121" i="45"/>
  <c r="AP13" i="34"/>
  <c r="AP19" i="34" s="1"/>
  <c r="AJ80" i="43"/>
  <c r="BB20" i="43"/>
  <c r="J41" i="28"/>
  <c r="J47" i="28" s="1"/>
  <c r="AE97" i="41"/>
  <c r="AQ97" i="41" s="1"/>
  <c r="O19" i="45"/>
  <c r="O10" i="45" s="1"/>
  <c r="AV190" i="43"/>
  <c r="AB20" i="43"/>
  <c r="AI148" i="43"/>
  <c r="BR318" i="43"/>
  <c r="BR317" i="43" s="1"/>
  <c r="BK342" i="45"/>
  <c r="O98" i="41"/>
  <c r="BN88" i="43"/>
  <c r="T52" i="29"/>
  <c r="T58" i="29"/>
  <c r="T56" i="29"/>
  <c r="T54" i="29"/>
  <c r="T53" i="29"/>
  <c r="T60" i="29"/>
  <c r="T57" i="29"/>
  <c r="X190" i="43"/>
  <c r="S139" i="43"/>
  <c r="S130" i="43" s="1"/>
  <c r="Y198" i="37"/>
  <c r="P114" i="43"/>
  <c r="T185" i="29"/>
  <c r="I311" i="41"/>
  <c r="U311" i="41" s="1"/>
  <c r="AS311" i="41" s="1"/>
  <c r="I308" i="41"/>
  <c r="T221" i="30"/>
  <c r="T228" i="30"/>
  <c r="T224" i="30"/>
  <c r="AC96" i="37"/>
  <c r="M292" i="41"/>
  <c r="Y206" i="37"/>
  <c r="AK263" i="41"/>
  <c r="AK348" i="41" s="1"/>
  <c r="AO161" i="41"/>
  <c r="M154" i="41"/>
  <c r="J13" i="28"/>
  <c r="T225" i="29"/>
  <c r="Y78" i="45"/>
  <c r="BI164" i="45"/>
  <c r="BI163" i="45" s="1"/>
  <c r="AX232" i="43"/>
  <c r="Q11" i="45"/>
  <c r="K185" i="32"/>
  <c r="E189" i="37"/>
  <c r="AL232" i="45"/>
  <c r="N325" i="41"/>
  <c r="N328" i="41"/>
  <c r="J262" i="37"/>
  <c r="N252" i="41"/>
  <c r="N249" i="41" s="1"/>
  <c r="BK11" i="45"/>
  <c r="BR46" i="43"/>
  <c r="BR45" i="43" s="1"/>
  <c r="S181" i="45"/>
  <c r="S180" i="45" s="1"/>
  <c r="AQ110" i="41"/>
  <c r="AI263" i="41"/>
  <c r="AI348" i="41" s="1"/>
  <c r="BB63" i="43"/>
  <c r="BB62" i="43" s="1"/>
  <c r="J223" i="29"/>
  <c r="S116" i="33"/>
  <c r="S109" i="33"/>
  <c r="K286" i="41"/>
  <c r="AI124" i="41"/>
  <c r="AQ124" i="41" s="1"/>
  <c r="T199" i="29"/>
  <c r="AK237" i="41"/>
  <c r="AO237" i="41" s="1"/>
  <c r="K110" i="32"/>
  <c r="K108" i="32"/>
  <c r="AB80" i="43"/>
  <c r="AJ20" i="43"/>
  <c r="U274" i="45"/>
  <c r="AH309" i="43"/>
  <c r="AE11" i="45"/>
  <c r="AE10" i="45" s="1"/>
  <c r="K342" i="41"/>
  <c r="K343" i="41"/>
  <c r="W343" i="41" s="1"/>
  <c r="AU343" i="41" s="1"/>
  <c r="O199" i="43"/>
  <c r="K220" i="41"/>
  <c r="W179" i="41"/>
  <c r="BO215" i="43"/>
  <c r="AI278" i="41"/>
  <c r="AI363" i="41" s="1"/>
  <c r="S206" i="37"/>
  <c r="P83" i="31"/>
  <c r="BM62" i="45"/>
  <c r="S164" i="43"/>
  <c r="K69" i="32"/>
  <c r="AP223" i="45"/>
  <c r="R58" i="33"/>
  <c r="R56" i="33"/>
  <c r="R60" i="33"/>
  <c r="BO105" i="43"/>
  <c r="K45" i="29"/>
  <c r="G164" i="45"/>
  <c r="E215" i="45"/>
  <c r="BR301" i="43"/>
  <c r="G147" i="45"/>
  <c r="G146" i="45" s="1"/>
  <c r="V12" i="43"/>
  <c r="J28" i="45"/>
  <c r="E19" i="45"/>
  <c r="M53" i="37"/>
  <c r="T181" i="29"/>
  <c r="O266" i="45"/>
  <c r="O265" i="45" s="1"/>
  <c r="J36" i="45"/>
  <c r="Z155" i="45"/>
  <c r="U114" i="29"/>
  <c r="U115" i="29" s="1"/>
  <c r="U109" i="29"/>
  <c r="U110" i="29"/>
  <c r="U116" i="29"/>
  <c r="J259" i="41"/>
  <c r="V259" i="41" s="1"/>
  <c r="L139" i="33"/>
  <c r="L145" i="33" s="1"/>
  <c r="S108" i="33"/>
  <c r="AB12" i="43"/>
  <c r="O114" i="43"/>
  <c r="O215" i="45"/>
  <c r="BW13" i="34"/>
  <c r="BW19" i="34" s="1"/>
  <c r="L139" i="30"/>
  <c r="K59" i="28"/>
  <c r="U57" i="32"/>
  <c r="AX54" i="43"/>
  <c r="L269" i="29"/>
  <c r="J73" i="29"/>
  <c r="T220" i="30"/>
  <c r="BB156" i="43"/>
  <c r="AU17" i="34"/>
  <c r="O217" i="41"/>
  <c r="J265" i="33"/>
  <c r="K109" i="33"/>
  <c r="K112" i="33"/>
  <c r="AF233" i="43"/>
  <c r="AA215" i="45"/>
  <c r="W45" i="37"/>
  <c r="BR63" i="43"/>
  <c r="M284" i="41"/>
  <c r="AA114" i="43"/>
  <c r="S73" i="32"/>
  <c r="U195" i="29"/>
  <c r="F215" i="45"/>
  <c r="AF317" i="43"/>
  <c r="M121" i="45"/>
  <c r="O342" i="41"/>
  <c r="AC36" i="37"/>
  <c r="K125" i="33"/>
  <c r="K131" i="33" s="1"/>
  <c r="M287" i="41"/>
  <c r="S110" i="29"/>
  <c r="P97" i="31"/>
  <c r="P103" i="31" s="1"/>
  <c r="AV131" i="43"/>
  <c r="Q45" i="45"/>
  <c r="K12" i="43"/>
  <c r="BO156" i="43"/>
  <c r="BO147" i="43" s="1"/>
  <c r="L125" i="29"/>
  <c r="L131" i="29" s="1"/>
  <c r="AP176" i="41"/>
  <c r="AH97" i="43"/>
  <c r="Y85" i="41"/>
  <c r="Y68" i="41" s="1"/>
  <c r="AF88" i="43"/>
  <c r="BI232" i="45"/>
  <c r="W108" i="41"/>
  <c r="AO240" i="45"/>
  <c r="BK20" i="43"/>
  <c r="K104" i="45"/>
  <c r="J87" i="30"/>
  <c r="U176" i="41"/>
  <c r="U59" i="41"/>
  <c r="BP156" i="43"/>
  <c r="K97" i="33"/>
  <c r="K103" i="33" s="1"/>
  <c r="AM325" i="45"/>
  <c r="BP37" i="43"/>
  <c r="T112" i="29"/>
  <c r="BK172" i="45"/>
  <c r="AD79" i="37"/>
  <c r="BM28" i="45"/>
  <c r="S182" i="43"/>
  <c r="S181" i="43" s="1"/>
  <c r="L326" i="43"/>
  <c r="BM215" i="45"/>
  <c r="AP93" i="41"/>
  <c r="F232" i="37"/>
  <c r="O71" i="43"/>
  <c r="P20" i="43"/>
  <c r="P11" i="43" s="1"/>
  <c r="BN267" i="43"/>
  <c r="K88" i="43"/>
  <c r="S113" i="29"/>
  <c r="S115" i="29" s="1"/>
  <c r="U145" i="41"/>
  <c r="BM317" i="45"/>
  <c r="J251" i="28"/>
  <c r="J257" i="28" s="1"/>
  <c r="J116" i="32"/>
  <c r="Y83" i="41"/>
  <c r="AO83" i="41" s="1"/>
  <c r="I147" i="37"/>
  <c r="J53" i="33"/>
  <c r="J55" i="33" s="1"/>
  <c r="O255" i="28"/>
  <c r="O149" i="41"/>
  <c r="U280" i="41"/>
  <c r="AS280" i="41" s="1"/>
  <c r="AO19" i="45"/>
  <c r="M70" i="45"/>
  <c r="BB216" i="43"/>
  <c r="BR224" i="43"/>
  <c r="BP29" i="43"/>
  <c r="AU62" i="45"/>
  <c r="BD216" i="43"/>
  <c r="M278" i="41"/>
  <c r="M363" i="41" s="1"/>
  <c r="AM164" i="45"/>
  <c r="V20" i="43"/>
  <c r="L69" i="32"/>
  <c r="BO301" i="43"/>
  <c r="AF12" i="43"/>
  <c r="R17" i="34"/>
  <c r="E45" i="37"/>
  <c r="E44" i="37" s="1"/>
  <c r="AU241" i="43"/>
  <c r="BS250" i="43"/>
  <c r="BS249" i="43" s="1"/>
  <c r="N223" i="45"/>
  <c r="S258" i="43"/>
  <c r="AQ78" i="45"/>
  <c r="AT232" i="45"/>
  <c r="AT156" i="43"/>
  <c r="AX326" i="43"/>
  <c r="AM334" i="45"/>
  <c r="BJ241" i="43"/>
  <c r="W17" i="34"/>
  <c r="R265" i="33"/>
  <c r="AX182" i="43"/>
  <c r="AX181" i="43" s="1"/>
  <c r="J97" i="32"/>
  <c r="U212" i="41"/>
  <c r="AS212" i="41" s="1"/>
  <c r="Y86" i="41"/>
  <c r="AO86" i="41" s="1"/>
  <c r="I63" i="41"/>
  <c r="W12" i="43"/>
  <c r="BR114" i="43"/>
  <c r="BS173" i="43"/>
  <c r="AX114" i="43"/>
  <c r="AX113" i="43" s="1"/>
  <c r="E206" i="45"/>
  <c r="AE223" i="45"/>
  <c r="AT207" i="43"/>
  <c r="AT198" i="43" s="1"/>
  <c r="AB318" i="43"/>
  <c r="K19" i="45"/>
  <c r="J13" i="34"/>
  <c r="O225" i="41"/>
  <c r="T181" i="43"/>
  <c r="K121" i="45"/>
  <c r="U121" i="45"/>
  <c r="F19" i="45"/>
  <c r="S87" i="33"/>
  <c r="AJ275" i="43"/>
  <c r="AJ266" i="43" s="1"/>
  <c r="W77" i="41"/>
  <c r="O73" i="41"/>
  <c r="T57" i="32"/>
  <c r="T59" i="32" s="1"/>
  <c r="T159" i="29"/>
  <c r="W59" i="41"/>
  <c r="M294" i="41"/>
  <c r="T199" i="43"/>
  <c r="T198" i="43" s="1"/>
  <c r="K143" i="33"/>
  <c r="K145" i="33" s="1"/>
  <c r="BD12" i="43"/>
  <c r="T109" i="29"/>
  <c r="T114" i="29"/>
  <c r="O226" i="41"/>
  <c r="O97" i="41"/>
  <c r="BN275" i="43"/>
  <c r="N167" i="28"/>
  <c r="N173" i="28" s="1"/>
  <c r="L190" i="28"/>
  <c r="J114" i="32"/>
  <c r="BP71" i="43"/>
  <c r="BI95" i="45"/>
  <c r="AC206" i="45"/>
  <c r="AS27" i="45"/>
  <c r="AV233" i="43"/>
  <c r="BN12" i="43"/>
  <c r="BN11" i="43" s="1"/>
  <c r="F62" i="45"/>
  <c r="BN301" i="43"/>
  <c r="BN300" i="43" s="1"/>
  <c r="U60" i="41"/>
  <c r="AK173" i="41"/>
  <c r="AO173" i="41" s="1"/>
  <c r="O222" i="41"/>
  <c r="AM235" i="41"/>
  <c r="AQ235" i="41" s="1"/>
  <c r="J83" i="41"/>
  <c r="V76" i="41"/>
  <c r="AU93" i="41"/>
  <c r="P269" i="31"/>
  <c r="AL342" i="45"/>
  <c r="E172" i="45"/>
  <c r="N182" i="43"/>
  <c r="X198" i="43"/>
  <c r="BR105" i="43"/>
  <c r="U193" i="41"/>
  <c r="AS193" i="41" s="1"/>
  <c r="S109" i="29"/>
  <c r="K73" i="28"/>
  <c r="K75" i="28" s="1"/>
  <c r="J125" i="28"/>
  <c r="J108" i="32"/>
  <c r="J154" i="41"/>
  <c r="J57" i="33"/>
  <c r="J153" i="31"/>
  <c r="J159" i="31" s="1"/>
  <c r="AV148" i="43"/>
  <c r="J251" i="29"/>
  <c r="J257" i="29" s="1"/>
  <c r="BP12" i="43"/>
  <c r="BP11" i="43" s="1"/>
  <c r="X29" i="43"/>
  <c r="X28" i="43" s="1"/>
  <c r="BK155" i="45"/>
  <c r="N185" i="28"/>
  <c r="L171" i="29"/>
  <c r="AA181" i="45"/>
  <c r="AL138" i="45"/>
  <c r="N300" i="41"/>
  <c r="M138" i="45"/>
  <c r="U13" i="29"/>
  <c r="BJ121" i="45"/>
  <c r="BK129" i="45"/>
  <c r="X88" i="43"/>
  <c r="Z104" i="45"/>
  <c r="AE99" i="41"/>
  <c r="AE65" i="41" s="1"/>
  <c r="AE269" i="41" s="1"/>
  <c r="AE354" i="41" s="1"/>
  <c r="M172" i="45"/>
  <c r="S250" i="43"/>
  <c r="J129" i="33"/>
  <c r="BK267" i="43"/>
  <c r="Y155" i="45"/>
  <c r="S207" i="43"/>
  <c r="O122" i="43"/>
  <c r="U181" i="29"/>
  <c r="S97" i="32"/>
  <c r="S103" i="32" s="1"/>
  <c r="O182" i="43"/>
  <c r="L213" i="30"/>
  <c r="W114" i="43"/>
  <c r="E45" i="45"/>
  <c r="F155" i="45"/>
  <c r="F146" i="45" s="1"/>
  <c r="AX88" i="43"/>
  <c r="K125" i="29"/>
  <c r="AZ37" i="43"/>
  <c r="AZ28" i="43" s="1"/>
  <c r="BS199" i="43"/>
  <c r="AP232" i="45"/>
  <c r="AV97" i="43"/>
  <c r="AF29" i="43"/>
  <c r="O36" i="37"/>
  <c r="E121" i="45"/>
  <c r="E112" i="45" s="1"/>
  <c r="AU233" i="43"/>
  <c r="O289" i="41"/>
  <c r="BL173" i="43"/>
  <c r="AZ80" i="43"/>
  <c r="L159" i="29"/>
  <c r="BK173" i="43"/>
  <c r="Y81" i="41"/>
  <c r="Y64" i="41" s="1"/>
  <c r="Y268" i="41" s="1"/>
  <c r="Y353" i="41" s="1"/>
  <c r="Q53" i="45"/>
  <c r="AP161" i="41"/>
  <c r="K147" i="45"/>
  <c r="AY241" i="43"/>
  <c r="T47" i="33"/>
  <c r="AP342" i="45"/>
  <c r="AT113" i="45"/>
  <c r="AT112" i="45" s="1"/>
  <c r="AZ88" i="43"/>
  <c r="AA233" i="43"/>
  <c r="Z198" i="45"/>
  <c r="O219" i="41"/>
  <c r="K154" i="41"/>
  <c r="L157" i="31"/>
  <c r="K191" i="28"/>
  <c r="K200" i="28" s="1"/>
  <c r="S108" i="29"/>
  <c r="P13" i="28"/>
  <c r="P19" i="28" s="1"/>
  <c r="AE122" i="43"/>
  <c r="W57" i="41"/>
  <c r="AU57" i="41" s="1"/>
  <c r="AA241" i="43"/>
  <c r="AO62" i="45"/>
  <c r="AO61" i="45" s="1"/>
  <c r="N219" i="41"/>
  <c r="O85" i="41"/>
  <c r="K317" i="43"/>
  <c r="K46" i="43"/>
  <c r="K80" i="43"/>
  <c r="J130" i="45"/>
  <c r="J129" i="45" s="1"/>
  <c r="W40" i="41"/>
  <c r="AU40" i="41" s="1"/>
  <c r="AF80" i="43"/>
  <c r="AU326" i="43"/>
  <c r="T113" i="29"/>
  <c r="K97" i="30"/>
  <c r="AD147" i="45"/>
  <c r="O131" i="43"/>
  <c r="O130" i="43" s="1"/>
  <c r="AA104" i="37"/>
  <c r="BB46" i="43"/>
  <c r="AA156" i="43"/>
  <c r="L181" i="29"/>
  <c r="L187" i="29" s="1"/>
  <c r="S223" i="37"/>
  <c r="E30" i="41"/>
  <c r="AM239" i="41"/>
  <c r="AQ239" i="41" s="1"/>
  <c r="AD28" i="37"/>
  <c r="AO108" i="41"/>
  <c r="P190" i="43"/>
  <c r="AE87" i="45"/>
  <c r="J159" i="30"/>
  <c r="J97" i="31"/>
  <c r="AT122" i="43"/>
  <c r="E164" i="45"/>
  <c r="AD241" i="43"/>
  <c r="R63" i="43"/>
  <c r="R19" i="45"/>
  <c r="N223" i="37"/>
  <c r="AI300" i="43"/>
  <c r="S112" i="29"/>
  <c r="J139" i="31"/>
  <c r="J112" i="32"/>
  <c r="J58" i="33"/>
  <c r="K98" i="41"/>
  <c r="AD138" i="45"/>
  <c r="AD129" i="45" s="1"/>
  <c r="AV156" i="43"/>
  <c r="AS121" i="45"/>
  <c r="AX156" i="43"/>
  <c r="J73" i="32"/>
  <c r="AF182" i="43"/>
  <c r="O288" i="41"/>
  <c r="BO198" i="43"/>
  <c r="BB326" i="43"/>
  <c r="AY318" i="43"/>
  <c r="AY317" i="43" s="1"/>
  <c r="L199" i="29"/>
  <c r="BP182" i="43"/>
  <c r="AM172" i="45"/>
  <c r="R189" i="45"/>
  <c r="G36" i="45"/>
  <c r="G27" i="45" s="1"/>
  <c r="K73" i="30"/>
  <c r="K75" i="30" s="1"/>
  <c r="AE359" i="45"/>
  <c r="V339" i="41"/>
  <c r="AT339" i="41" s="1"/>
  <c r="AM28" i="45"/>
  <c r="K33" i="29"/>
  <c r="AC172" i="45"/>
  <c r="AY12" i="43"/>
  <c r="BC105" i="43"/>
  <c r="BM181" i="45"/>
  <c r="BM180" i="45" s="1"/>
  <c r="W80" i="43"/>
  <c r="AH233" i="43"/>
  <c r="W113" i="45"/>
  <c r="BL12" i="43"/>
  <c r="AB114" i="43"/>
  <c r="AS189" i="45"/>
  <c r="AS180" i="45" s="1"/>
  <c r="Y198" i="45"/>
  <c r="BI62" i="45"/>
  <c r="N87" i="31"/>
  <c r="N120" i="41"/>
  <c r="BJ105" i="43"/>
  <c r="K223" i="37"/>
  <c r="Z181" i="45"/>
  <c r="Z180" i="45" s="1"/>
  <c r="W165" i="43"/>
  <c r="AB131" i="43"/>
  <c r="AB130" i="43" s="1"/>
  <c r="AD87" i="45"/>
  <c r="BM11" i="45"/>
  <c r="O106" i="41"/>
  <c r="BJ70" i="45"/>
  <c r="J153" i="29"/>
  <c r="F11" i="45"/>
  <c r="W20" i="43"/>
  <c r="BB232" i="43"/>
  <c r="W190" i="43"/>
  <c r="AT318" i="43"/>
  <c r="N225" i="41"/>
  <c r="O83" i="41"/>
  <c r="V88" i="43"/>
  <c r="K118" i="41"/>
  <c r="L167" i="31"/>
  <c r="L88" i="43"/>
  <c r="L79" i="43" s="1"/>
  <c r="U210" i="41"/>
  <c r="AS210" i="41" s="1"/>
  <c r="Y36" i="37"/>
  <c r="BR13" i="34"/>
  <c r="BO62" i="45"/>
  <c r="AV267" i="43"/>
  <c r="M62" i="45"/>
  <c r="O97" i="43"/>
  <c r="S41" i="33"/>
  <c r="S47" i="33" s="1"/>
  <c r="F206" i="45"/>
  <c r="L17" i="29"/>
  <c r="L19" i="29" s="1"/>
  <c r="M99" i="41"/>
  <c r="AD87" i="37"/>
  <c r="K189" i="45"/>
  <c r="N54" i="43"/>
  <c r="V80" i="43"/>
  <c r="W196" i="41"/>
  <c r="L269" i="31"/>
  <c r="V110" i="41"/>
  <c r="AT110" i="41" s="1"/>
  <c r="S116" i="29"/>
  <c r="V232" i="45"/>
  <c r="AL130" i="45"/>
  <c r="Z29" i="43"/>
  <c r="I232" i="37"/>
  <c r="Z206" i="45"/>
  <c r="AQ172" i="45"/>
  <c r="I205" i="41"/>
  <c r="AA53" i="37"/>
  <c r="N222" i="41"/>
  <c r="X13" i="34"/>
  <c r="V93" i="41"/>
  <c r="AS127" i="41"/>
  <c r="V57" i="41"/>
  <c r="AT57" i="41" s="1"/>
  <c r="BO113" i="45"/>
  <c r="K83" i="28"/>
  <c r="U113" i="45"/>
  <c r="E155" i="45"/>
  <c r="AD156" i="43"/>
  <c r="S83" i="33"/>
  <c r="R11" i="45"/>
  <c r="L215" i="28"/>
  <c r="R189" i="37"/>
  <c r="N221" i="41"/>
  <c r="J103" i="41"/>
  <c r="M151" i="41"/>
  <c r="L83" i="28"/>
  <c r="L89" i="28" s="1"/>
  <c r="N13" i="34"/>
  <c r="N19" i="45"/>
  <c r="R27" i="33"/>
  <c r="R33" i="33" s="1"/>
  <c r="K265" i="29"/>
  <c r="S17" i="29"/>
  <c r="L195" i="29"/>
  <c r="S269" i="29"/>
  <c r="L57" i="29"/>
  <c r="L59" i="29" s="1"/>
  <c r="U153" i="32"/>
  <c r="AF190" i="43"/>
  <c r="BB199" i="43"/>
  <c r="BB198" i="43" s="1"/>
  <c r="R46" i="43"/>
  <c r="R45" i="43" s="1"/>
  <c r="BI44" i="45"/>
  <c r="AA80" i="43"/>
  <c r="AK62" i="45"/>
  <c r="L31" i="29"/>
  <c r="R181" i="45"/>
  <c r="L181" i="32"/>
  <c r="J125" i="32"/>
  <c r="AF71" i="43"/>
  <c r="R131" i="43"/>
  <c r="BI121" i="45"/>
  <c r="AQ215" i="45"/>
  <c r="K215" i="45"/>
  <c r="AX216" i="43"/>
  <c r="S257" i="29"/>
  <c r="R269" i="33"/>
  <c r="I82" i="41"/>
  <c r="AA199" i="43"/>
  <c r="BJ317" i="45"/>
  <c r="BL20" i="43"/>
  <c r="AB122" i="43"/>
  <c r="L237" i="31"/>
  <c r="T195" i="29"/>
  <c r="BJ113" i="45"/>
  <c r="L56" i="31"/>
  <c r="L58" i="31"/>
  <c r="L60" i="31"/>
  <c r="L52" i="31"/>
  <c r="L54" i="31"/>
  <c r="L53" i="31"/>
  <c r="U74" i="41"/>
  <c r="S17" i="30"/>
  <c r="K292" i="41"/>
  <c r="K291" i="41" s="1"/>
  <c r="BI342" i="45"/>
  <c r="N202" i="41"/>
  <c r="O64" i="41"/>
  <c r="BN78" i="45"/>
  <c r="AZ105" i="43"/>
  <c r="AQ240" i="45"/>
  <c r="AD215" i="45"/>
  <c r="BT80" i="43"/>
  <c r="AD351" i="45"/>
  <c r="T57" i="30"/>
  <c r="AE28" i="45"/>
  <c r="O190" i="43"/>
  <c r="J31" i="29"/>
  <c r="AE88" i="43"/>
  <c r="R195" i="33"/>
  <c r="S113" i="33"/>
  <c r="J167" i="31"/>
  <c r="T241" i="43"/>
  <c r="AK174" i="41"/>
  <c r="AO174" i="41" s="1"/>
  <c r="G29" i="41"/>
  <c r="T116" i="32"/>
  <c r="T108" i="32"/>
  <c r="N79" i="37"/>
  <c r="J109" i="29"/>
  <c r="J110" i="29"/>
  <c r="J112" i="29"/>
  <c r="N201" i="41"/>
  <c r="BJ54" i="43"/>
  <c r="M299" i="41"/>
  <c r="U101" i="32"/>
  <c r="X156" i="43"/>
  <c r="Q96" i="45"/>
  <c r="T112" i="32"/>
  <c r="AQ250" i="41"/>
  <c r="AO93" i="41"/>
  <c r="AC59" i="41"/>
  <c r="AC263" i="41" s="1"/>
  <c r="AC348" i="41" s="1"/>
  <c r="R167" i="30"/>
  <c r="R173" i="30" s="1"/>
  <c r="L27" i="29"/>
  <c r="J258" i="43"/>
  <c r="J249" i="43" s="1"/>
  <c r="AU172" i="45"/>
  <c r="BN326" i="43"/>
  <c r="AO155" i="45"/>
  <c r="AB71" i="43"/>
  <c r="AE29" i="43"/>
  <c r="L237" i="28"/>
  <c r="R199" i="33"/>
  <c r="AV199" i="43"/>
  <c r="J129" i="29"/>
  <c r="M286" i="41"/>
  <c r="I318" i="41"/>
  <c r="U318" i="41" s="1"/>
  <c r="AS318" i="41" s="1"/>
  <c r="S71" i="43"/>
  <c r="J116" i="28"/>
  <c r="BS190" i="43"/>
  <c r="R131" i="33"/>
  <c r="AM96" i="45"/>
  <c r="T237" i="30"/>
  <c r="S45" i="37"/>
  <c r="S15" i="41"/>
  <c r="S270" i="41" s="1"/>
  <c r="S355" i="41" s="1"/>
  <c r="AL250" i="41"/>
  <c r="AL249" i="41" s="1"/>
  <c r="V13" i="34"/>
  <c r="V19" i="34" s="1"/>
  <c r="J237" i="31"/>
  <c r="J243" i="31" s="1"/>
  <c r="S201" i="33"/>
  <c r="BT284" i="43"/>
  <c r="T114" i="32"/>
  <c r="AU164" i="45"/>
  <c r="AE198" i="45"/>
  <c r="T114" i="43"/>
  <c r="T113" i="43" s="1"/>
  <c r="AC232" i="37"/>
  <c r="AA130" i="45"/>
  <c r="AK53" i="45"/>
  <c r="BJ189" i="45"/>
  <c r="V129" i="45"/>
  <c r="J108" i="29"/>
  <c r="V23" i="41"/>
  <c r="AT23" i="41" s="1"/>
  <c r="X17" i="34"/>
  <c r="N204" i="41"/>
  <c r="L57" i="31"/>
  <c r="AL258" i="41"/>
  <c r="AL257" i="41" s="1"/>
  <c r="AP257" i="41" s="1"/>
  <c r="Y181" i="37"/>
  <c r="J114" i="29"/>
  <c r="J115" i="29" s="1"/>
  <c r="AK165" i="41"/>
  <c r="AO165" i="41" s="1"/>
  <c r="AK264" i="41"/>
  <c r="AK349" i="41" s="1"/>
  <c r="AO162" i="41"/>
  <c r="Z71" i="43"/>
  <c r="AA46" i="43"/>
  <c r="AA45" i="43" s="1"/>
  <c r="J265" i="32"/>
  <c r="BJ155" i="45"/>
  <c r="AJ122" i="43"/>
  <c r="S181" i="32"/>
  <c r="T110" i="32"/>
  <c r="K116" i="29"/>
  <c r="K112" i="29"/>
  <c r="K110" i="29"/>
  <c r="K109" i="29"/>
  <c r="K114" i="29"/>
  <c r="K108" i="29"/>
  <c r="K113" i="29"/>
  <c r="AU147" i="45"/>
  <c r="T113" i="32"/>
  <c r="M130" i="45"/>
  <c r="U125" i="29"/>
  <c r="U131" i="29" s="1"/>
  <c r="BB148" i="43"/>
  <c r="AU70" i="45"/>
  <c r="AL11" i="45"/>
  <c r="U167" i="32"/>
  <c r="U173" i="32" s="1"/>
  <c r="L57" i="30"/>
  <c r="L59" i="30" s="1"/>
  <c r="L53" i="30"/>
  <c r="L60" i="30"/>
  <c r="L54" i="30"/>
  <c r="L52" i="30"/>
  <c r="AM232" i="45"/>
  <c r="AM231" i="45" s="1"/>
  <c r="BO63" i="43"/>
  <c r="K223" i="45"/>
  <c r="AY173" i="43"/>
  <c r="BN29" i="43"/>
  <c r="P45" i="28"/>
  <c r="AS147" i="45"/>
  <c r="J20" i="43"/>
  <c r="W62" i="45"/>
  <c r="N321" i="41"/>
  <c r="W164" i="45"/>
  <c r="R101" i="33"/>
  <c r="L220" i="28"/>
  <c r="L222" i="28"/>
  <c r="L226" i="28"/>
  <c r="L227" i="28" s="1"/>
  <c r="AZ164" i="43"/>
  <c r="K113" i="33"/>
  <c r="K110" i="33"/>
  <c r="K108" i="33"/>
  <c r="AA207" i="43"/>
  <c r="L241" i="31"/>
  <c r="AM130" i="45"/>
  <c r="AD181" i="43"/>
  <c r="J326" i="41"/>
  <c r="J325" i="41"/>
  <c r="AE80" i="43"/>
  <c r="I190" i="41"/>
  <c r="AD147" i="37"/>
  <c r="BL122" i="43"/>
  <c r="E53" i="45"/>
  <c r="L71" i="43"/>
  <c r="R12" i="43"/>
  <c r="E79" i="37"/>
  <c r="BJ97" i="43"/>
  <c r="BT292" i="43"/>
  <c r="AU96" i="45"/>
  <c r="AU95" i="45" s="1"/>
  <c r="R125" i="30"/>
  <c r="R131" i="30" s="1"/>
  <c r="X326" i="43"/>
  <c r="N215" i="37"/>
  <c r="M215" i="37"/>
  <c r="W53" i="37"/>
  <c r="O104" i="37"/>
  <c r="L13" i="34"/>
  <c r="L19" i="34" s="1"/>
  <c r="R112" i="33"/>
  <c r="BR284" i="43"/>
  <c r="M45" i="37"/>
  <c r="AA138" i="45"/>
  <c r="Y232" i="37"/>
  <c r="L199" i="43"/>
  <c r="L198" i="43" s="1"/>
  <c r="F138" i="37"/>
  <c r="W122" i="43"/>
  <c r="BO121" i="45"/>
  <c r="BJ88" i="43"/>
  <c r="J97" i="28"/>
  <c r="J103" i="28" s="1"/>
  <c r="O44" i="45"/>
  <c r="AJ12" i="43"/>
  <c r="E62" i="45"/>
  <c r="E61" i="45" s="1"/>
  <c r="K114" i="33"/>
  <c r="P129" i="28"/>
  <c r="O265" i="28"/>
  <c r="F12" i="41"/>
  <c r="F267" i="41" s="1"/>
  <c r="F352" i="41" s="1"/>
  <c r="J116" i="29"/>
  <c r="P171" i="31"/>
  <c r="AL13" i="34"/>
  <c r="Z54" i="43"/>
  <c r="Z45" i="43" s="1"/>
  <c r="S185" i="32"/>
  <c r="AY71" i="43"/>
  <c r="BJ122" i="43"/>
  <c r="S45" i="43"/>
  <c r="U185" i="29"/>
  <c r="N197" i="45"/>
  <c r="J129" i="32"/>
  <c r="I45" i="37"/>
  <c r="U255" i="29"/>
  <c r="U257" i="29" s="1"/>
  <c r="L257" i="29"/>
  <c r="BL284" i="43"/>
  <c r="BL283" i="43" s="1"/>
  <c r="BJ63" i="43"/>
  <c r="BJ62" i="43" s="1"/>
  <c r="AV318" i="43"/>
  <c r="AV317" i="43" s="1"/>
  <c r="AK189" i="45"/>
  <c r="AK180" i="45" s="1"/>
  <c r="J181" i="28"/>
  <c r="J187" i="28" s="1"/>
  <c r="AI156" i="43"/>
  <c r="AQ164" i="45"/>
  <c r="BK113" i="45"/>
  <c r="AH165" i="43"/>
  <c r="K125" i="32"/>
  <c r="S265" i="33"/>
  <c r="S271" i="33" s="1"/>
  <c r="J12" i="43"/>
  <c r="Z326" i="43"/>
  <c r="L52" i="29"/>
  <c r="L60" i="29"/>
  <c r="L56" i="29"/>
  <c r="J109" i="28"/>
  <c r="J110" i="28"/>
  <c r="J113" i="28"/>
  <c r="J114" i="28"/>
  <c r="T54" i="30"/>
  <c r="T56" i="30"/>
  <c r="T326" i="43"/>
  <c r="I258" i="41"/>
  <c r="I257" i="41" s="1"/>
  <c r="BT224" i="43"/>
  <c r="T103" i="33"/>
  <c r="AM45" i="45"/>
  <c r="BO189" i="45"/>
  <c r="G138" i="45"/>
  <c r="G129" i="45" s="1"/>
  <c r="J61" i="45"/>
  <c r="J112" i="28"/>
  <c r="P167" i="28"/>
  <c r="BS182" i="43"/>
  <c r="AV301" i="43"/>
  <c r="AU113" i="45"/>
  <c r="T171" i="32"/>
  <c r="L54" i="29"/>
  <c r="BJ342" i="45"/>
  <c r="S114" i="33"/>
  <c r="S110" i="33"/>
  <c r="AK45" i="45"/>
  <c r="M180" i="45"/>
  <c r="AU130" i="45"/>
  <c r="AU129" i="45" s="1"/>
  <c r="AK96" i="45"/>
  <c r="J27" i="29"/>
  <c r="AV275" i="43"/>
  <c r="P131" i="43"/>
  <c r="G96" i="37"/>
  <c r="AM147" i="45"/>
  <c r="Y240" i="37"/>
  <c r="BS207" i="43"/>
  <c r="M19" i="45"/>
  <c r="M10" i="45" s="1"/>
  <c r="BL301" i="43"/>
  <c r="BO139" i="43"/>
  <c r="BI113" i="45"/>
  <c r="BO131" i="43"/>
  <c r="AF37" i="43"/>
  <c r="J173" i="43"/>
  <c r="CE17" i="34"/>
  <c r="S215" i="30"/>
  <c r="O167" i="41"/>
  <c r="L114" i="43"/>
  <c r="J87" i="45"/>
  <c r="K116" i="33"/>
  <c r="L265" i="31"/>
  <c r="AV17" i="34"/>
  <c r="N147" i="37"/>
  <c r="CH13" i="34"/>
  <c r="CH19" i="34" s="1"/>
  <c r="N116" i="41"/>
  <c r="AX105" i="43"/>
  <c r="L53" i="29"/>
  <c r="BP96" i="43"/>
  <c r="BB105" i="43"/>
  <c r="BI138" i="45"/>
  <c r="AM87" i="45"/>
  <c r="BD199" i="43"/>
  <c r="U247" i="41"/>
  <c r="M258" i="41"/>
  <c r="J167" i="28"/>
  <c r="BO190" i="43"/>
  <c r="T265" i="33"/>
  <c r="T271" i="33" s="1"/>
  <c r="L125" i="32"/>
  <c r="AA45" i="45"/>
  <c r="Q113" i="45"/>
  <c r="U228" i="29"/>
  <c r="U224" i="29"/>
  <c r="U222" i="29"/>
  <c r="U221" i="29"/>
  <c r="U220" i="29"/>
  <c r="BK12" i="43"/>
  <c r="W223" i="45"/>
  <c r="P139" i="31"/>
  <c r="BN121" i="45"/>
  <c r="AD36" i="37"/>
  <c r="N205" i="41"/>
  <c r="BN19" i="45"/>
  <c r="I164" i="45"/>
  <c r="K47" i="33"/>
  <c r="AY292" i="43"/>
  <c r="BB54" i="43"/>
  <c r="S167" i="30"/>
  <c r="S173" i="30" s="1"/>
  <c r="AM19" i="45"/>
  <c r="BK223" i="45"/>
  <c r="W172" i="45"/>
  <c r="N28" i="45"/>
  <c r="AD359" i="45"/>
  <c r="G62" i="45"/>
  <c r="O173" i="43"/>
  <c r="S73" i="33"/>
  <c r="BS309" i="43"/>
  <c r="AL70" i="45"/>
  <c r="AZ326" i="43"/>
  <c r="S89" i="30"/>
  <c r="AC189" i="37"/>
  <c r="AT88" i="43"/>
  <c r="N251" i="31"/>
  <c r="BC29" i="43"/>
  <c r="AT54" i="43"/>
  <c r="AM53" i="45"/>
  <c r="AM223" i="45"/>
  <c r="I325" i="41"/>
  <c r="I326" i="41"/>
  <c r="K101" i="32"/>
  <c r="V165" i="43"/>
  <c r="J171" i="32"/>
  <c r="BL114" i="43"/>
  <c r="J125" i="29"/>
  <c r="K61" i="45"/>
  <c r="U142" i="41"/>
  <c r="AS142" i="41" s="1"/>
  <c r="AY165" i="43"/>
  <c r="U28" i="37"/>
  <c r="S201" i="29"/>
  <c r="AO342" i="45"/>
  <c r="J157" i="29"/>
  <c r="BL63" i="43"/>
  <c r="T105" i="43"/>
  <c r="L165" i="43"/>
  <c r="X165" i="43"/>
  <c r="J105" i="43"/>
  <c r="P153" i="31"/>
  <c r="P159" i="31" s="1"/>
  <c r="Z105" i="43"/>
  <c r="S225" i="29"/>
  <c r="S227" i="29" s="1"/>
  <c r="K152" i="41"/>
  <c r="BJ36" i="45"/>
  <c r="BK233" i="43"/>
  <c r="V244" i="41"/>
  <c r="AT244" i="41" s="1"/>
  <c r="L73" i="32"/>
  <c r="R215" i="45"/>
  <c r="K167" i="31"/>
  <c r="AF63" i="43"/>
  <c r="S104" i="45"/>
  <c r="K201" i="41"/>
  <c r="M114" i="41"/>
  <c r="BI189" i="45"/>
  <c r="M123" i="41"/>
  <c r="J129" i="28"/>
  <c r="I130" i="37"/>
  <c r="AA12" i="43"/>
  <c r="BJ46" i="43"/>
  <c r="S69" i="29"/>
  <c r="K181" i="29"/>
  <c r="K187" i="29" s="1"/>
  <c r="AE100" i="41"/>
  <c r="AQ100" i="41" s="1"/>
  <c r="AK164" i="45"/>
  <c r="L129" i="32"/>
  <c r="AV105" i="43"/>
  <c r="N115" i="41"/>
  <c r="J89" i="41"/>
  <c r="Q38" i="41"/>
  <c r="AA130" i="43"/>
  <c r="AU54" i="43"/>
  <c r="M122" i="41"/>
  <c r="Q79" i="37"/>
  <c r="Q78" i="37" s="1"/>
  <c r="AU45" i="45"/>
  <c r="X318" i="43"/>
  <c r="AE215" i="45"/>
  <c r="AL87" i="45"/>
  <c r="N117" i="41"/>
  <c r="J90" i="41"/>
  <c r="Y45" i="45"/>
  <c r="AA29" i="43"/>
  <c r="AA28" i="43" s="1"/>
  <c r="M116" i="41"/>
  <c r="L199" i="32"/>
  <c r="U223" i="45"/>
  <c r="BP190" i="43"/>
  <c r="AP138" i="45"/>
  <c r="T237" i="29"/>
  <c r="T243" i="29" s="1"/>
  <c r="AF20" i="43"/>
  <c r="AK36" i="45"/>
  <c r="M115" i="41"/>
  <c r="J84" i="41"/>
  <c r="O221" i="41"/>
  <c r="F22" i="41"/>
  <c r="F277" i="41" s="1"/>
  <c r="V193" i="41"/>
  <c r="AT193" i="41" s="1"/>
  <c r="Y53" i="45"/>
  <c r="S233" i="43"/>
  <c r="AF131" i="43"/>
  <c r="K55" i="33"/>
  <c r="AD249" i="43"/>
  <c r="O241" i="43"/>
  <c r="N255" i="31"/>
  <c r="P237" i="31"/>
  <c r="BN28" i="45"/>
  <c r="L139" i="28"/>
  <c r="L145" i="28" s="1"/>
  <c r="K167" i="28"/>
  <c r="G198" i="37"/>
  <c r="W195" i="41"/>
  <c r="AU195" i="41" s="1"/>
  <c r="T60" i="32"/>
  <c r="J56" i="29"/>
  <c r="J151" i="41"/>
  <c r="S220" i="29"/>
  <c r="K215" i="30"/>
  <c r="BK63" i="43"/>
  <c r="J45" i="29"/>
  <c r="BJ182" i="43"/>
  <c r="AT215" i="45"/>
  <c r="F113" i="45"/>
  <c r="AT63" i="43"/>
  <c r="L173" i="30"/>
  <c r="BK232" i="45"/>
  <c r="Z165" i="43"/>
  <c r="AL317" i="45"/>
  <c r="AA79" i="45"/>
  <c r="S12" i="43"/>
  <c r="AL189" i="45"/>
  <c r="T265" i="32"/>
  <c r="K167" i="29"/>
  <c r="AT79" i="45"/>
  <c r="AP96" i="45"/>
  <c r="L209" i="30"/>
  <c r="AS215" i="45"/>
  <c r="AZ156" i="43"/>
  <c r="AD318" i="43"/>
  <c r="BK87" i="45"/>
  <c r="BM325" i="45"/>
  <c r="V189" i="37"/>
  <c r="BB131" i="43"/>
  <c r="AA96" i="37"/>
  <c r="AL172" i="45"/>
  <c r="AH190" i="43"/>
  <c r="R153" i="33"/>
  <c r="R159" i="33" s="1"/>
  <c r="AE45" i="45"/>
  <c r="AT19" i="45"/>
  <c r="AT10" i="45" s="1"/>
  <c r="J318" i="41"/>
  <c r="BK301" i="43"/>
  <c r="BK300" i="43" s="1"/>
  <c r="BJ29" i="43"/>
  <c r="AO147" i="45"/>
  <c r="K97" i="32"/>
  <c r="T157" i="32"/>
  <c r="Z207" i="43"/>
  <c r="Z198" i="43" s="1"/>
  <c r="AS155" i="45"/>
  <c r="J167" i="32"/>
  <c r="BI317" i="45"/>
  <c r="BI316" i="45" s="1"/>
  <c r="F11" i="37"/>
  <c r="BR20" i="43"/>
  <c r="K72" i="41"/>
  <c r="AV12" i="43"/>
  <c r="BB97" i="43"/>
  <c r="BM155" i="45"/>
  <c r="L265" i="32"/>
  <c r="L271" i="32" s="1"/>
  <c r="AO325" i="45"/>
  <c r="AT104" i="45"/>
  <c r="BR122" i="43"/>
  <c r="R147" i="45"/>
  <c r="K158" i="41"/>
  <c r="J137" i="41"/>
  <c r="M120" i="41"/>
  <c r="S10" i="45"/>
  <c r="M147" i="37"/>
  <c r="J69" i="28"/>
  <c r="T241" i="30"/>
  <c r="K181" i="32"/>
  <c r="L269" i="30"/>
  <c r="L271" i="30" s="1"/>
  <c r="O72" i="41"/>
  <c r="X20" i="43"/>
  <c r="S241" i="43"/>
  <c r="G70" i="45"/>
  <c r="O190" i="28"/>
  <c r="K241" i="31"/>
  <c r="J202" i="28"/>
  <c r="F70" i="45"/>
  <c r="AH28" i="43"/>
  <c r="Z97" i="43"/>
  <c r="AD61" i="45"/>
  <c r="V181" i="37"/>
  <c r="V108" i="41"/>
  <c r="J57" i="29"/>
  <c r="J59" i="29" s="1"/>
  <c r="Y28" i="37"/>
  <c r="S221" i="29"/>
  <c r="K27" i="28"/>
  <c r="K185" i="41"/>
  <c r="Y189" i="45"/>
  <c r="AU53" i="45"/>
  <c r="P122" i="43"/>
  <c r="AA20" i="43"/>
  <c r="AK334" i="45"/>
  <c r="AT71" i="43"/>
  <c r="S265" i="29"/>
  <c r="K199" i="43"/>
  <c r="T71" i="43"/>
  <c r="T69" i="29"/>
  <c r="T75" i="29" s="1"/>
  <c r="AL19" i="45"/>
  <c r="AC87" i="37"/>
  <c r="BL54" i="43"/>
  <c r="AY224" i="43"/>
  <c r="AY215" i="43" s="1"/>
  <c r="O326" i="41"/>
  <c r="O325" i="41"/>
  <c r="I209" i="41"/>
  <c r="BR292" i="43"/>
  <c r="Z74" i="41"/>
  <c r="Z278" i="41" s="1"/>
  <c r="Z53" i="45"/>
  <c r="AE318" i="43"/>
  <c r="AE317" i="43" s="1"/>
  <c r="K28" i="45"/>
  <c r="I181" i="45"/>
  <c r="O213" i="31"/>
  <c r="Q104" i="37"/>
  <c r="U57" i="41"/>
  <c r="AS57" i="41" s="1"/>
  <c r="N255" i="28"/>
  <c r="AT17" i="34"/>
  <c r="M260" i="41"/>
  <c r="AV54" i="43"/>
  <c r="J53" i="29"/>
  <c r="K79" i="37"/>
  <c r="J152" i="41"/>
  <c r="S224" i="29"/>
  <c r="BR182" i="43"/>
  <c r="M87" i="37"/>
  <c r="R69" i="30"/>
  <c r="R75" i="30" s="1"/>
  <c r="L87" i="31"/>
  <c r="BK71" i="43"/>
  <c r="AX267" i="43"/>
  <c r="Z12" i="43"/>
  <c r="X113" i="43"/>
  <c r="U87" i="32"/>
  <c r="T13" i="29"/>
  <c r="T19" i="29" s="1"/>
  <c r="BJ292" i="43"/>
  <c r="J52" i="29"/>
  <c r="L111" i="32"/>
  <c r="AK325" i="45"/>
  <c r="BJ173" i="43"/>
  <c r="S125" i="29"/>
  <c r="BP80" i="43"/>
  <c r="BP241" i="43"/>
  <c r="BT216" i="43"/>
  <c r="J139" i="28"/>
  <c r="AZ275" i="43"/>
  <c r="R139" i="43"/>
  <c r="U206" i="37"/>
  <c r="AQ36" i="45"/>
  <c r="AL240" i="45"/>
  <c r="BO71" i="43"/>
  <c r="M240" i="45"/>
  <c r="BN139" i="43"/>
  <c r="AO96" i="45"/>
  <c r="J83" i="29"/>
  <c r="J73" i="31"/>
  <c r="J75" i="31" s="1"/>
  <c r="AK28" i="45"/>
  <c r="T222" i="30"/>
  <c r="T226" i="30"/>
  <c r="T227" i="30" s="1"/>
  <c r="AU97" i="43"/>
  <c r="S20" i="43"/>
  <c r="AS223" i="45"/>
  <c r="J171" i="33"/>
  <c r="BP63" i="43"/>
  <c r="AK317" i="45"/>
  <c r="BL71" i="43"/>
  <c r="AU46" i="43"/>
  <c r="U53" i="37"/>
  <c r="K236" i="41"/>
  <c r="I97" i="41"/>
  <c r="Q13" i="41"/>
  <c r="Q268" i="41" s="1"/>
  <c r="Q353" i="41" s="1"/>
  <c r="BS37" i="43"/>
  <c r="BT63" i="43"/>
  <c r="T46" i="43"/>
  <c r="Z45" i="45"/>
  <c r="M113" i="45"/>
  <c r="AA318" i="43"/>
  <c r="L258" i="43"/>
  <c r="N12" i="43"/>
  <c r="AA189" i="37"/>
  <c r="N143" i="31"/>
  <c r="S18" i="41"/>
  <c r="S273" i="41" s="1"/>
  <c r="S358" i="41" s="1"/>
  <c r="L45" i="28"/>
  <c r="P241" i="28"/>
  <c r="I199" i="41"/>
  <c r="M250" i="41"/>
  <c r="N215" i="45"/>
  <c r="I206" i="45"/>
  <c r="S96" i="43"/>
  <c r="T53" i="32"/>
  <c r="T55" i="32" s="1"/>
  <c r="AK235" i="41"/>
  <c r="AO235" i="41" s="1"/>
  <c r="K149" i="41"/>
  <c r="O152" i="41"/>
  <c r="AX275" i="43"/>
  <c r="K165" i="43"/>
  <c r="F121" i="45"/>
  <c r="AY148" i="43"/>
  <c r="N80" i="43"/>
  <c r="J54" i="29"/>
  <c r="J60" i="29"/>
  <c r="BL37" i="43"/>
  <c r="X148" i="43"/>
  <c r="AT46" i="43"/>
  <c r="Q121" i="45"/>
  <c r="G19" i="45"/>
  <c r="AZ148" i="43"/>
  <c r="BB318" i="43"/>
  <c r="X80" i="43"/>
  <c r="BP113" i="43"/>
  <c r="AA88" i="43"/>
  <c r="W182" i="43"/>
  <c r="L139" i="31"/>
  <c r="BS216" i="43"/>
  <c r="AK19" i="45"/>
  <c r="O13" i="34"/>
  <c r="O19" i="34" s="1"/>
  <c r="AP87" i="45"/>
  <c r="AT190" i="43"/>
  <c r="E232" i="45"/>
  <c r="V206" i="37"/>
  <c r="BC37" i="43"/>
  <c r="O139" i="31"/>
  <c r="O145" i="31" s="1"/>
  <c r="BK164" i="45"/>
  <c r="AL155" i="45"/>
  <c r="J87" i="29"/>
  <c r="BO88" i="43"/>
  <c r="BO79" i="43" s="1"/>
  <c r="S157" i="32"/>
  <c r="W215" i="45"/>
  <c r="P181" i="28"/>
  <c r="L105" i="43"/>
  <c r="BL216" i="43"/>
  <c r="U69" i="32"/>
  <c r="U75" i="32" s="1"/>
  <c r="BN198" i="45"/>
  <c r="AD17" i="34"/>
  <c r="K133" i="41"/>
  <c r="K265" i="30"/>
  <c r="K271" i="30" s="1"/>
  <c r="M87" i="45"/>
  <c r="AJ284" i="43"/>
  <c r="AJ283" i="43" s="1"/>
  <c r="AA326" i="43"/>
  <c r="L122" i="43"/>
  <c r="N20" i="43"/>
  <c r="T113" i="30"/>
  <c r="U178" i="41"/>
  <c r="AS178" i="41" s="1"/>
  <c r="P171" i="28"/>
  <c r="K83" i="31"/>
  <c r="P190" i="28"/>
  <c r="Q138" i="45"/>
  <c r="K243" i="29"/>
  <c r="AH46" i="43"/>
  <c r="W28" i="43"/>
  <c r="V210" i="41"/>
  <c r="AT210" i="41" s="1"/>
  <c r="AK236" i="41"/>
  <c r="AO236" i="41" s="1"/>
  <c r="F96" i="37"/>
  <c r="N83" i="31"/>
  <c r="U25" i="41"/>
  <c r="AS25" i="41" s="1"/>
  <c r="S131" i="33"/>
  <c r="I138" i="37"/>
  <c r="L101" i="28"/>
  <c r="J87" i="37"/>
  <c r="O154" i="41"/>
  <c r="E11" i="37"/>
  <c r="BO29" i="43"/>
  <c r="BO28" i="43" s="1"/>
  <c r="BO318" i="43"/>
  <c r="K173" i="43"/>
  <c r="BD165" i="43"/>
  <c r="BD164" i="43" s="1"/>
  <c r="AT223" i="45"/>
  <c r="Y147" i="45"/>
  <c r="AU20" i="43"/>
  <c r="AM62" i="45"/>
  <c r="AM61" i="45" s="1"/>
  <c r="AT12" i="43"/>
  <c r="AT11" i="43" s="1"/>
  <c r="S87" i="29"/>
  <c r="U265" i="32"/>
  <c r="U271" i="32" s="1"/>
  <c r="K181" i="31"/>
  <c r="N88" i="43"/>
  <c r="S265" i="32"/>
  <c r="L101" i="29"/>
  <c r="N155" i="45"/>
  <c r="L41" i="29"/>
  <c r="BK182" i="43"/>
  <c r="L69" i="29"/>
  <c r="L75" i="29" s="1"/>
  <c r="AM155" i="45"/>
  <c r="BK44" i="45"/>
  <c r="BJ114" i="43"/>
  <c r="T156" i="43"/>
  <c r="S129" i="29"/>
  <c r="BP88" i="43"/>
  <c r="BM147" i="45"/>
  <c r="AT129" i="45"/>
  <c r="AK169" i="41"/>
  <c r="AP44" i="45"/>
  <c r="BR80" i="43"/>
  <c r="BR79" i="43" s="1"/>
  <c r="U340" i="41"/>
  <c r="AS340" i="41" s="1"/>
  <c r="AU267" i="43"/>
  <c r="AB105" i="43"/>
  <c r="BJ37" i="43"/>
  <c r="BJ233" i="43"/>
  <c r="N125" i="28"/>
  <c r="N131" i="28" s="1"/>
  <c r="AA148" i="43"/>
  <c r="U237" i="29"/>
  <c r="P41" i="28"/>
  <c r="BD20" i="43"/>
  <c r="AU105" i="43"/>
  <c r="K171" i="32"/>
  <c r="O318" i="41"/>
  <c r="P185" i="28"/>
  <c r="J165" i="43"/>
  <c r="J241" i="28"/>
  <c r="S125" i="32"/>
  <c r="S131" i="32" s="1"/>
  <c r="W340" i="41"/>
  <c r="AU340" i="41" s="1"/>
  <c r="AR17" i="34"/>
  <c r="S223" i="45"/>
  <c r="S214" i="45" s="1"/>
  <c r="AT131" i="43"/>
  <c r="BD224" i="43"/>
  <c r="O41" i="28"/>
  <c r="O47" i="28" s="1"/>
  <c r="Y129" i="45"/>
  <c r="I147" i="45"/>
  <c r="AO230" i="41"/>
  <c r="I80" i="41"/>
  <c r="N60" i="31"/>
  <c r="N54" i="31"/>
  <c r="N52" i="31"/>
  <c r="N56" i="31"/>
  <c r="N286" i="41"/>
  <c r="AC104" i="37"/>
  <c r="AK243" i="41"/>
  <c r="AO243" i="41" s="1"/>
  <c r="J310" i="41"/>
  <c r="J308" i="41"/>
  <c r="BO130" i="45"/>
  <c r="N237" i="28"/>
  <c r="AZ318" i="43"/>
  <c r="K153" i="31"/>
  <c r="AP79" i="45"/>
  <c r="M186" i="41"/>
  <c r="J157" i="41"/>
  <c r="P27" i="28"/>
  <c r="P33" i="28" s="1"/>
  <c r="AI326" i="43"/>
  <c r="J41" i="29"/>
  <c r="AF114" i="43"/>
  <c r="BS54" i="43"/>
  <c r="AK250" i="41"/>
  <c r="AO250" i="41" s="1"/>
  <c r="AU71" i="43"/>
  <c r="AV71" i="43"/>
  <c r="AS78" i="45"/>
  <c r="R249" i="43"/>
  <c r="AD63" i="43"/>
  <c r="BI240" i="45"/>
  <c r="O140" i="41"/>
  <c r="W42" i="41"/>
  <c r="AU42" i="41" s="1"/>
  <c r="M242" i="41"/>
  <c r="N191" i="31"/>
  <c r="J75" i="33"/>
  <c r="U58" i="32"/>
  <c r="BP275" i="43"/>
  <c r="AT301" i="43"/>
  <c r="BK275" i="43"/>
  <c r="AQ28" i="45"/>
  <c r="AE121" i="45"/>
  <c r="AD45" i="45"/>
  <c r="P97" i="43"/>
  <c r="N53" i="45"/>
  <c r="M45" i="45"/>
  <c r="W207" i="43"/>
  <c r="BJ19" i="34"/>
  <c r="N191" i="28"/>
  <c r="N200" i="28" s="1"/>
  <c r="BR12" i="43"/>
  <c r="N269" i="28"/>
  <c r="O53" i="37"/>
  <c r="O44" i="37" s="1"/>
  <c r="P108" i="28"/>
  <c r="BB29" i="43"/>
  <c r="AC87" i="45"/>
  <c r="U56" i="32"/>
  <c r="BJ138" i="45"/>
  <c r="BJ129" i="45" s="1"/>
  <c r="BK79" i="45"/>
  <c r="AP215" i="45"/>
  <c r="AX165" i="43"/>
  <c r="AX164" i="43" s="1"/>
  <c r="AU301" i="43"/>
  <c r="AP28" i="45"/>
  <c r="AO28" i="45"/>
  <c r="BC318" i="43"/>
  <c r="AE12" i="43"/>
  <c r="AE11" i="43" s="1"/>
  <c r="U83" i="32"/>
  <c r="U31" i="29"/>
  <c r="U17" i="29"/>
  <c r="J199" i="29"/>
  <c r="AE60" i="41"/>
  <c r="AE264" i="41" s="1"/>
  <c r="AE349" i="41" s="1"/>
  <c r="AQ94" i="41"/>
  <c r="AE103" i="41"/>
  <c r="AE105" i="41"/>
  <c r="AK232" i="45"/>
  <c r="AT29" i="43"/>
  <c r="J335" i="41"/>
  <c r="V335" i="41" s="1"/>
  <c r="AT335" i="41" s="1"/>
  <c r="Y104" i="45"/>
  <c r="AU29" i="43"/>
  <c r="J265" i="30"/>
  <c r="J271" i="30" s="1"/>
  <c r="K202" i="28"/>
  <c r="O237" i="31"/>
  <c r="K101" i="31"/>
  <c r="AQ53" i="45"/>
  <c r="N207" i="41"/>
  <c r="N27" i="28"/>
  <c r="BT318" i="43"/>
  <c r="L269" i="33"/>
  <c r="U321" i="41"/>
  <c r="AS321" i="41" s="1"/>
  <c r="U324" i="41"/>
  <c r="AS324" i="41" s="1"/>
  <c r="AK233" i="41"/>
  <c r="AO233" i="41" s="1"/>
  <c r="BN198" i="43"/>
  <c r="J45" i="30"/>
  <c r="AA28" i="45"/>
  <c r="BK156" i="43"/>
  <c r="BK147" i="43" s="1"/>
  <c r="R213" i="30"/>
  <c r="BM87" i="45"/>
  <c r="BM78" i="45" s="1"/>
  <c r="BN216" i="43"/>
  <c r="T148" i="43"/>
  <c r="U215" i="45"/>
  <c r="S27" i="30"/>
  <c r="AU181" i="45"/>
  <c r="AU180" i="45" s="1"/>
  <c r="AK242" i="41"/>
  <c r="AO242" i="41" s="1"/>
  <c r="AX29" i="43"/>
  <c r="AU37" i="43"/>
  <c r="J153" i="41"/>
  <c r="N138" i="37"/>
  <c r="G266" i="45"/>
  <c r="U195" i="41"/>
  <c r="AS195" i="41" s="1"/>
  <c r="R109" i="33"/>
  <c r="R114" i="33"/>
  <c r="R71" i="43"/>
  <c r="L97" i="43"/>
  <c r="W145" i="41"/>
  <c r="W54" i="43"/>
  <c r="P113" i="28"/>
  <c r="AC155" i="37"/>
  <c r="AP334" i="45"/>
  <c r="AD165" i="43"/>
  <c r="L195" i="33"/>
  <c r="L201" i="33" s="1"/>
  <c r="AK240" i="45"/>
  <c r="R54" i="33"/>
  <c r="R57" i="33"/>
  <c r="I120" i="41"/>
  <c r="W125" i="41"/>
  <c r="AU125" i="41" s="1"/>
  <c r="N174" i="41"/>
  <c r="I64" i="41"/>
  <c r="I192" i="41"/>
  <c r="AK239" i="41"/>
  <c r="AO239" i="41" s="1"/>
  <c r="I86" i="41"/>
  <c r="Q32" i="41"/>
  <c r="J149" i="41"/>
  <c r="CD13" i="34"/>
  <c r="S17" i="34"/>
  <c r="F53" i="45"/>
  <c r="R52" i="33"/>
  <c r="R181" i="37"/>
  <c r="U179" i="41"/>
  <c r="P114" i="28"/>
  <c r="W147" i="43"/>
  <c r="V71" i="43"/>
  <c r="V53" i="37"/>
  <c r="O87" i="31"/>
  <c r="J221" i="28"/>
  <c r="J224" i="28"/>
  <c r="U52" i="32"/>
  <c r="AU80" i="43"/>
  <c r="BL190" i="43"/>
  <c r="AF122" i="43"/>
  <c r="AU309" i="43"/>
  <c r="AP36" i="45"/>
  <c r="AK147" i="45"/>
  <c r="J88" i="43"/>
  <c r="AT114" i="43"/>
  <c r="U227" i="29"/>
  <c r="N139" i="43"/>
  <c r="N130" i="43" s="1"/>
  <c r="S185" i="29"/>
  <c r="L83" i="32"/>
  <c r="N104" i="45"/>
  <c r="AD36" i="45"/>
  <c r="AZ216" i="43"/>
  <c r="AU232" i="45"/>
  <c r="AL113" i="45"/>
  <c r="U181" i="45"/>
  <c r="U180" i="45" s="1"/>
  <c r="AT233" i="43"/>
  <c r="AT80" i="43"/>
  <c r="M253" i="41"/>
  <c r="AV80" i="43"/>
  <c r="AL121" i="45"/>
  <c r="AJ147" i="43"/>
  <c r="AO232" i="45"/>
  <c r="K73" i="32"/>
  <c r="AQ108" i="41"/>
  <c r="BP233" i="43"/>
  <c r="J17" i="28"/>
  <c r="AY275" i="43"/>
  <c r="AY266" i="43" s="1"/>
  <c r="O157" i="41"/>
  <c r="BN223" i="45"/>
  <c r="BN214" i="45" s="1"/>
  <c r="J157" i="28"/>
  <c r="R223" i="30"/>
  <c r="BR199" i="43"/>
  <c r="BR198" i="43" s="1"/>
  <c r="M191" i="41"/>
  <c r="M259" i="41"/>
  <c r="AX63" i="43"/>
  <c r="AV216" i="43"/>
  <c r="M252" i="41"/>
  <c r="Y138" i="37"/>
  <c r="N53" i="31"/>
  <c r="O99" i="41"/>
  <c r="K153" i="29"/>
  <c r="K159" i="29" s="1"/>
  <c r="AE113" i="45"/>
  <c r="M256" i="41"/>
  <c r="N237" i="31"/>
  <c r="J223" i="37"/>
  <c r="AI130" i="43"/>
  <c r="X63" i="43"/>
  <c r="U265" i="29"/>
  <c r="I68" i="41"/>
  <c r="I89" i="41"/>
  <c r="BT131" i="43"/>
  <c r="K195" i="33"/>
  <c r="K201" i="33" s="1"/>
  <c r="AI54" i="43"/>
  <c r="BK104" i="45"/>
  <c r="N181" i="31"/>
  <c r="N187" i="31" s="1"/>
  <c r="AX12" i="43"/>
  <c r="R13" i="34"/>
  <c r="M254" i="41"/>
  <c r="I72" i="41"/>
  <c r="M68" i="41"/>
  <c r="S215" i="37"/>
  <c r="I153" i="41"/>
  <c r="I85" i="41"/>
  <c r="J158" i="41"/>
  <c r="BS105" i="43"/>
  <c r="O81" i="41"/>
  <c r="J66" i="41"/>
  <c r="BS326" i="43"/>
  <c r="G15" i="41"/>
  <c r="G270" i="41" s="1"/>
  <c r="BL13" i="34"/>
  <c r="E87" i="45"/>
  <c r="AD53" i="45"/>
  <c r="T12" i="43"/>
  <c r="I240" i="45"/>
  <c r="AD54" i="43"/>
  <c r="N122" i="43"/>
  <c r="T265" i="30"/>
  <c r="AH80" i="43"/>
  <c r="AH79" i="43" s="1"/>
  <c r="J122" i="43"/>
  <c r="R232" i="45"/>
  <c r="R108" i="33"/>
  <c r="AQ161" i="41"/>
  <c r="M28" i="37"/>
  <c r="O101" i="41"/>
  <c r="BS71" i="43"/>
  <c r="P112" i="28"/>
  <c r="P153" i="28"/>
  <c r="I216" i="41"/>
  <c r="I203" i="41"/>
  <c r="AF17" i="34"/>
  <c r="J202" i="31"/>
  <c r="V78" i="45"/>
  <c r="T145" i="33"/>
  <c r="J103" i="33"/>
  <c r="L112" i="29"/>
  <c r="AK166" i="41"/>
  <c r="AO166" i="41" s="1"/>
  <c r="U54" i="32"/>
  <c r="U60" i="32"/>
  <c r="AU88" i="43"/>
  <c r="Y96" i="45"/>
  <c r="Y36" i="45"/>
  <c r="Y27" i="45" s="1"/>
  <c r="U327" i="41"/>
  <c r="AS327" i="41" s="1"/>
  <c r="AY114" i="43"/>
  <c r="Z63" i="43"/>
  <c r="AQ147" i="45"/>
  <c r="AQ146" i="45" s="1"/>
  <c r="AY233" i="43"/>
  <c r="J80" i="43"/>
  <c r="AA189" i="45"/>
  <c r="BL309" i="43"/>
  <c r="I215" i="45"/>
  <c r="AK11" i="45"/>
  <c r="AD326" i="43"/>
  <c r="AO164" i="45"/>
  <c r="J195" i="29"/>
  <c r="AM138" i="45"/>
  <c r="M255" i="41"/>
  <c r="J27" i="30"/>
  <c r="AT309" i="43"/>
  <c r="I342" i="41"/>
  <c r="I343" i="41"/>
  <c r="J17" i="34"/>
  <c r="T215" i="33"/>
  <c r="S171" i="32"/>
  <c r="N96" i="45"/>
  <c r="AS62" i="45"/>
  <c r="S83" i="29"/>
  <c r="AC79" i="37"/>
  <c r="Q223" i="45"/>
  <c r="F18" i="41"/>
  <c r="F273" i="41" s="1"/>
  <c r="F358" i="41" s="1"/>
  <c r="BJ215" i="45"/>
  <c r="J304" i="41"/>
  <c r="AT216" i="43"/>
  <c r="BN53" i="45"/>
  <c r="I232" i="45"/>
  <c r="AD130" i="37"/>
  <c r="AM79" i="45"/>
  <c r="BP148" i="43"/>
  <c r="AV224" i="43"/>
  <c r="N172" i="45"/>
  <c r="BT267" i="43"/>
  <c r="G189" i="45"/>
  <c r="G180" i="45" s="1"/>
  <c r="BC54" i="43"/>
  <c r="AT182" i="43"/>
  <c r="J97" i="30"/>
  <c r="J103" i="30" s="1"/>
  <c r="O101" i="31"/>
  <c r="BR71" i="43"/>
  <c r="BR62" i="43" s="1"/>
  <c r="AZ63" i="43"/>
  <c r="AZ46" i="43"/>
  <c r="I90" i="41"/>
  <c r="CF17" i="34"/>
  <c r="AK238" i="41"/>
  <c r="AO238" i="41" s="1"/>
  <c r="N269" i="31"/>
  <c r="N57" i="31"/>
  <c r="O28" i="43"/>
  <c r="J56" i="31"/>
  <c r="J57" i="31"/>
  <c r="J59" i="31" s="1"/>
  <c r="J54" i="31"/>
  <c r="J53" i="31"/>
  <c r="AK113" i="45"/>
  <c r="AZ54" i="43"/>
  <c r="Q34" i="41"/>
  <c r="N217" i="41"/>
  <c r="AI141" i="41"/>
  <c r="AQ141" i="41" s="1"/>
  <c r="V25" i="41"/>
  <c r="AT25" i="41" s="1"/>
  <c r="AC98" i="41"/>
  <c r="AC64" i="41" s="1"/>
  <c r="N58" i="31"/>
  <c r="Q70" i="45"/>
  <c r="BK19" i="45"/>
  <c r="AO36" i="45"/>
  <c r="AQ325" i="45"/>
  <c r="J209" i="33"/>
  <c r="J215" i="33" s="1"/>
  <c r="W111" i="41"/>
  <c r="Q29" i="41"/>
  <c r="AM236" i="41"/>
  <c r="AQ236" i="41" s="1"/>
  <c r="BR17" i="34"/>
  <c r="CJ17" i="34"/>
  <c r="CJ19" i="34" s="1"/>
  <c r="J83" i="30"/>
  <c r="V240" i="37"/>
  <c r="N45" i="37"/>
  <c r="I122" i="41"/>
  <c r="P116" i="28"/>
  <c r="I219" i="41"/>
  <c r="I200" i="41"/>
  <c r="N171" i="31"/>
  <c r="AZ97" i="43"/>
  <c r="K215" i="33"/>
  <c r="J150" i="41"/>
  <c r="BO70" i="45"/>
  <c r="U198" i="37"/>
  <c r="N114" i="41"/>
  <c r="K55" i="32"/>
  <c r="U93" i="41"/>
  <c r="U322" i="41"/>
  <c r="AS322" i="41" s="1"/>
  <c r="AO11" i="45"/>
  <c r="T83" i="32"/>
  <c r="AJ46" i="43"/>
  <c r="W258" i="43"/>
  <c r="AU240" i="45"/>
  <c r="AU19" i="45"/>
  <c r="BJ300" i="43"/>
  <c r="BO309" i="43"/>
  <c r="AO172" i="45"/>
  <c r="AU284" i="43"/>
  <c r="AU173" i="43"/>
  <c r="Q181" i="45"/>
  <c r="T58" i="30"/>
  <c r="T53" i="30"/>
  <c r="AX139" i="43"/>
  <c r="O79" i="45"/>
  <c r="J269" i="32"/>
  <c r="Z173" i="43"/>
  <c r="G11" i="45"/>
  <c r="O206" i="45"/>
  <c r="AP121" i="45"/>
  <c r="BC216" i="43"/>
  <c r="O155" i="45"/>
  <c r="N290" i="41"/>
  <c r="AD206" i="45"/>
  <c r="AE36" i="45"/>
  <c r="AB190" i="43"/>
  <c r="AB181" i="43" s="1"/>
  <c r="BJ12" i="43"/>
  <c r="BC46" i="43"/>
  <c r="BL182" i="43"/>
  <c r="AV165" i="43"/>
  <c r="T269" i="29"/>
  <c r="AU292" i="43"/>
  <c r="AT241" i="43"/>
  <c r="P225" i="28"/>
  <c r="P227" i="28" s="1"/>
  <c r="P220" i="28"/>
  <c r="P223" i="28" s="1"/>
  <c r="AU182" i="43"/>
  <c r="AP130" i="45"/>
  <c r="AK121" i="45"/>
  <c r="AA206" i="45"/>
  <c r="AO317" i="45"/>
  <c r="AV241" i="43"/>
  <c r="L97" i="29"/>
  <c r="AL325" i="45"/>
  <c r="N292" i="41"/>
  <c r="AP104" i="45"/>
  <c r="AV173" i="43"/>
  <c r="AU216" i="43"/>
  <c r="AZ267" i="43"/>
  <c r="AS96" i="45"/>
  <c r="AT37" i="43"/>
  <c r="BL199" i="43"/>
  <c r="BL198" i="43" s="1"/>
  <c r="AY37" i="43"/>
  <c r="AY28" i="43" s="1"/>
  <c r="AX131" i="43"/>
  <c r="BD156" i="43"/>
  <c r="J181" i="32"/>
  <c r="J187" i="32" s="1"/>
  <c r="G113" i="45"/>
  <c r="AZ20" i="43"/>
  <c r="O198" i="45"/>
  <c r="N289" i="41"/>
  <c r="BK241" i="43"/>
  <c r="BN96" i="43"/>
  <c r="L185" i="32"/>
  <c r="T195" i="30"/>
  <c r="T201" i="30" s="1"/>
  <c r="AS104" i="45"/>
  <c r="AX309" i="43"/>
  <c r="J343" i="41"/>
  <c r="J342" i="41"/>
  <c r="AL164" i="45"/>
  <c r="AM36" i="45"/>
  <c r="T195" i="33"/>
  <c r="BC199" i="43"/>
  <c r="K202" i="41"/>
  <c r="K167" i="41"/>
  <c r="J45" i="37"/>
  <c r="AI118" i="41"/>
  <c r="AI271" i="41" s="1"/>
  <c r="AI356" i="41" s="1"/>
  <c r="W127" i="41"/>
  <c r="AU127" i="41" s="1"/>
  <c r="K265" i="31"/>
  <c r="N87" i="28"/>
  <c r="J101" i="31"/>
  <c r="J129" i="31"/>
  <c r="BT207" i="43"/>
  <c r="K171" i="28"/>
  <c r="AD122" i="43"/>
  <c r="BO284" i="43"/>
  <c r="BO283" i="43" s="1"/>
  <c r="V125" i="41"/>
  <c r="I278" i="41"/>
  <c r="I363" i="41" s="1"/>
  <c r="AC180" i="45"/>
  <c r="I81" i="41"/>
  <c r="Z223" i="37"/>
  <c r="AC181" i="37"/>
  <c r="AA215" i="37"/>
  <c r="L47" i="33"/>
  <c r="AK155" i="45"/>
  <c r="AT173" i="43"/>
  <c r="AX97" i="43"/>
  <c r="T129" i="32"/>
  <c r="AS164" i="45"/>
  <c r="J69" i="29"/>
  <c r="BP309" i="43"/>
  <c r="AD173" i="43"/>
  <c r="U185" i="32"/>
  <c r="AJ54" i="43"/>
  <c r="L27" i="30"/>
  <c r="BS241" i="43"/>
  <c r="L167" i="29"/>
  <c r="N294" i="41"/>
  <c r="BK54" i="43"/>
  <c r="BK45" i="43" s="1"/>
  <c r="AX199" i="43"/>
  <c r="AY97" i="43"/>
  <c r="L181" i="31"/>
  <c r="T265" i="29"/>
  <c r="BS224" i="43"/>
  <c r="BI130" i="45"/>
  <c r="BN182" i="43"/>
  <c r="BN181" i="43" s="1"/>
  <c r="AB37" i="43"/>
  <c r="AQ317" i="45"/>
  <c r="Z37" i="43"/>
  <c r="BD207" i="43"/>
  <c r="O153" i="28"/>
  <c r="AV29" i="43"/>
  <c r="Z147" i="45"/>
  <c r="J269" i="33"/>
  <c r="K204" i="41"/>
  <c r="K238" i="41"/>
  <c r="Z36" i="37"/>
  <c r="L83" i="31"/>
  <c r="O269" i="28"/>
  <c r="BL96" i="43"/>
  <c r="BC156" i="43"/>
  <c r="O96" i="45"/>
  <c r="O95" i="45" s="1"/>
  <c r="S156" i="43"/>
  <c r="R20" i="43"/>
  <c r="O13" i="28"/>
  <c r="O19" i="28" s="1"/>
  <c r="K112" i="32"/>
  <c r="J215" i="37"/>
  <c r="J82" i="41"/>
  <c r="W13" i="34"/>
  <c r="S146" i="45"/>
  <c r="K182" i="41"/>
  <c r="BJ216" i="43"/>
  <c r="AT164" i="45"/>
  <c r="AT165" i="43"/>
  <c r="K199" i="29"/>
  <c r="L31" i="30"/>
  <c r="O326" i="43"/>
  <c r="BK131" i="43"/>
  <c r="BK130" i="43" s="1"/>
  <c r="T97" i="29"/>
  <c r="N337" i="41"/>
  <c r="V337" i="41" s="1"/>
  <c r="AT337" i="41" s="1"/>
  <c r="AX207" i="43"/>
  <c r="U89" i="29"/>
  <c r="AT284" i="43"/>
  <c r="R130" i="45"/>
  <c r="R129" i="45" s="1"/>
  <c r="U125" i="32"/>
  <c r="AQ121" i="45"/>
  <c r="AQ112" i="45" s="1"/>
  <c r="AY207" i="43"/>
  <c r="BI334" i="45"/>
  <c r="N310" i="41"/>
  <c r="N308" i="41"/>
  <c r="AP317" i="45"/>
  <c r="AP316" i="45" s="1"/>
  <c r="BD148" i="43"/>
  <c r="K269" i="32"/>
  <c r="I335" i="41"/>
  <c r="AV88" i="43"/>
  <c r="AE53" i="45"/>
  <c r="M215" i="45"/>
  <c r="AZ207" i="43"/>
  <c r="BC207" i="43"/>
  <c r="BM113" i="45"/>
  <c r="F14" i="41"/>
  <c r="BN45" i="45"/>
  <c r="N226" i="41"/>
  <c r="J37" i="43"/>
  <c r="K122" i="43"/>
  <c r="J213" i="30"/>
  <c r="K263" i="41"/>
  <c r="K348" i="41" s="1"/>
  <c r="K199" i="41"/>
  <c r="N101" i="31"/>
  <c r="W206" i="37"/>
  <c r="L265" i="28"/>
  <c r="O84" i="41"/>
  <c r="L171" i="31"/>
  <c r="BS122" i="43"/>
  <c r="BS113" i="43" s="1"/>
  <c r="AU13" i="34"/>
  <c r="O186" i="41"/>
  <c r="L73" i="31"/>
  <c r="J269" i="31"/>
  <c r="AA198" i="45"/>
  <c r="AM113" i="45"/>
  <c r="BI181" i="45"/>
  <c r="AF241" i="43"/>
  <c r="AX301" i="43"/>
  <c r="AQ19" i="45"/>
  <c r="BR97" i="43"/>
  <c r="BR258" i="43"/>
  <c r="I152" i="41"/>
  <c r="J105" i="41"/>
  <c r="O241" i="31"/>
  <c r="BJ224" i="43"/>
  <c r="AT172" i="45"/>
  <c r="AO130" i="45"/>
  <c r="AO129" i="45" s="1"/>
  <c r="O105" i="43"/>
  <c r="N209" i="31"/>
  <c r="N215" i="31" s="1"/>
  <c r="BL165" i="43"/>
  <c r="BL164" i="43" s="1"/>
  <c r="BJ87" i="45"/>
  <c r="AD155" i="45"/>
  <c r="J139" i="30"/>
  <c r="AK138" i="45"/>
  <c r="W250" i="43"/>
  <c r="BB224" i="43"/>
  <c r="BS233" i="43"/>
  <c r="P318" i="43"/>
  <c r="P317" i="43" s="1"/>
  <c r="N343" i="41"/>
  <c r="N342" i="41"/>
  <c r="BJ165" i="43"/>
  <c r="AQ45" i="45"/>
  <c r="AT224" i="43"/>
  <c r="S222" i="30"/>
  <c r="S220" i="30"/>
  <c r="S221" i="30"/>
  <c r="S225" i="30"/>
  <c r="S227" i="30" s="1"/>
  <c r="AV284" i="43"/>
  <c r="AV283" i="43" s="1"/>
  <c r="U129" i="32"/>
  <c r="Z96" i="45"/>
  <c r="N69" i="31"/>
  <c r="J167" i="33"/>
  <c r="BD105" i="43"/>
  <c r="AU139" i="43"/>
  <c r="N73" i="31"/>
  <c r="M166" i="41"/>
  <c r="CE13" i="34"/>
  <c r="O97" i="31"/>
  <c r="L269" i="28"/>
  <c r="O182" i="41"/>
  <c r="O31" i="28"/>
  <c r="L13" i="28"/>
  <c r="N251" i="28"/>
  <c r="BM130" i="45"/>
  <c r="N41" i="28"/>
  <c r="O157" i="31"/>
  <c r="AM121" i="45"/>
  <c r="AP164" i="45"/>
  <c r="AL62" i="45"/>
  <c r="T54" i="43"/>
  <c r="R209" i="30"/>
  <c r="J83" i="28"/>
  <c r="J89" i="28" s="1"/>
  <c r="K117" i="41"/>
  <c r="BT275" i="43"/>
  <c r="F104" i="37"/>
  <c r="U181" i="37"/>
  <c r="P97" i="28"/>
  <c r="P103" i="28" s="1"/>
  <c r="K157" i="31"/>
  <c r="AI17" i="34"/>
  <c r="K138" i="37"/>
  <c r="AI182" i="43"/>
  <c r="AI181" i="43" s="1"/>
  <c r="R145" i="30"/>
  <c r="AY284" i="43"/>
  <c r="AL215" i="45"/>
  <c r="AE146" i="45"/>
  <c r="S197" i="45"/>
  <c r="T125" i="32"/>
  <c r="K13" i="29"/>
  <c r="BI87" i="45"/>
  <c r="K185" i="31"/>
  <c r="AZ233" i="43"/>
  <c r="K101" i="30"/>
  <c r="AI80" i="43"/>
  <c r="N147" i="45"/>
  <c r="AU155" i="45"/>
  <c r="J227" i="29"/>
  <c r="AD28" i="45"/>
  <c r="AA36" i="45"/>
  <c r="BC97" i="43"/>
  <c r="AT70" i="45"/>
  <c r="AT61" i="45" s="1"/>
  <c r="I223" i="45"/>
  <c r="K269" i="29"/>
  <c r="R265" i="30"/>
  <c r="R271" i="30" s="1"/>
  <c r="AM11" i="45"/>
  <c r="AU224" i="43"/>
  <c r="BC148" i="43"/>
  <c r="BD97" i="43"/>
  <c r="O28" i="45"/>
  <c r="AK172" i="45"/>
  <c r="AU131" i="43"/>
  <c r="AE165" i="43"/>
  <c r="AZ199" i="43"/>
  <c r="O66" i="41"/>
  <c r="O63" i="41"/>
  <c r="AO91" i="41"/>
  <c r="AS91" i="41" s="1"/>
  <c r="Y74" i="41"/>
  <c r="Y278" i="41" s="1"/>
  <c r="O69" i="41"/>
  <c r="O150" i="41"/>
  <c r="O151" i="41"/>
  <c r="AK222" i="41"/>
  <c r="AO222" i="41" s="1"/>
  <c r="M136" i="41"/>
  <c r="I148" i="41"/>
  <c r="I156" i="41"/>
  <c r="I150" i="41"/>
  <c r="I149" i="41"/>
  <c r="M152" i="41"/>
  <c r="AE206" i="37"/>
  <c r="AE198" i="37"/>
  <c r="E232" i="37"/>
  <c r="O169" i="41"/>
  <c r="O166" i="41"/>
  <c r="O65" i="41"/>
  <c r="I155" i="37"/>
  <c r="M157" i="41"/>
  <c r="AD215" i="37"/>
  <c r="W227" i="41"/>
  <c r="AU227" i="41" s="1"/>
  <c r="I158" i="41"/>
  <c r="M148" i="41"/>
  <c r="K124" i="41"/>
  <c r="O67" i="41"/>
  <c r="O148" i="41"/>
  <c r="N73" i="41"/>
  <c r="M158" i="41"/>
  <c r="AM174" i="41"/>
  <c r="AQ174" i="41" s="1"/>
  <c r="M118" i="41"/>
  <c r="S181" i="37"/>
  <c r="AD189" i="37"/>
  <c r="V229" i="41"/>
  <c r="AT229" i="41" s="1"/>
  <c r="O156" i="41"/>
  <c r="K192" i="41"/>
  <c r="K170" i="41"/>
  <c r="AM243" i="41"/>
  <c r="AQ243" i="41" s="1"/>
  <c r="K137" i="41"/>
  <c r="M155" i="37"/>
  <c r="O292" i="41"/>
  <c r="AO76" i="41"/>
  <c r="AS76" i="41" s="1"/>
  <c r="V77" i="41"/>
  <c r="N124" i="41"/>
  <c r="AC223" i="37"/>
  <c r="N284" i="41"/>
  <c r="AK185" i="41"/>
  <c r="AO185" i="41" s="1"/>
  <c r="K191" i="41"/>
  <c r="AK171" i="41"/>
  <c r="AO171" i="41" s="1"/>
  <c r="K235" i="41"/>
  <c r="V94" i="41"/>
  <c r="M187" i="41"/>
  <c r="W212" i="41"/>
  <c r="AU212" i="41" s="1"/>
  <c r="K65" i="41"/>
  <c r="J139" i="41"/>
  <c r="M119" i="41"/>
  <c r="AU295" i="41"/>
  <c r="O287" i="41"/>
  <c r="N288" i="41"/>
  <c r="U301" i="41"/>
  <c r="AS301" i="41" s="1"/>
  <c r="N238" i="41"/>
  <c r="V198" i="37"/>
  <c r="O203" i="41"/>
  <c r="Y84" i="41"/>
  <c r="Y67" i="41" s="1"/>
  <c r="W76" i="41"/>
  <c r="AU76" i="41" s="1"/>
  <c r="V258" i="41"/>
  <c r="AS244" i="41"/>
  <c r="J169" i="41"/>
  <c r="K188" i="41"/>
  <c r="J136" i="41"/>
  <c r="J102" i="41"/>
  <c r="I204" i="41"/>
  <c r="AK170" i="41"/>
  <c r="J135" i="41"/>
  <c r="O168" i="41"/>
  <c r="V111" i="41"/>
  <c r="N209" i="41"/>
  <c r="R240" i="37"/>
  <c r="Z81" i="41"/>
  <c r="AP81" i="41" s="1"/>
  <c r="M192" i="41"/>
  <c r="O232" i="37"/>
  <c r="J68" i="41"/>
  <c r="K100" i="41"/>
  <c r="M150" i="41"/>
  <c r="O285" i="41"/>
  <c r="W285" i="41" s="1"/>
  <c r="K241" i="41"/>
  <c r="I220" i="41"/>
  <c r="AM238" i="41"/>
  <c r="AQ238" i="41" s="1"/>
  <c r="K130" i="37"/>
  <c r="I218" i="41"/>
  <c r="K186" i="41"/>
  <c r="J107" i="41"/>
  <c r="AA223" i="37"/>
  <c r="O158" i="41"/>
  <c r="W96" i="37"/>
  <c r="J97" i="41"/>
  <c r="J141" i="41"/>
  <c r="AD181" i="37"/>
  <c r="O153" i="41"/>
  <c r="N67" i="41"/>
  <c r="W104" i="37"/>
  <c r="K278" i="41"/>
  <c r="K363" i="41" s="1"/>
  <c r="AA85" i="41"/>
  <c r="AA68" i="41" s="1"/>
  <c r="I69" i="41"/>
  <c r="M185" i="41"/>
  <c r="O102" i="41"/>
  <c r="I65" i="41"/>
  <c r="E138" i="37"/>
  <c r="AL219" i="41"/>
  <c r="AP219" i="41" s="1"/>
  <c r="M156" i="41"/>
  <c r="O286" i="41"/>
  <c r="N285" i="41"/>
  <c r="U129" i="45"/>
  <c r="Z78" i="45"/>
  <c r="K52" i="29"/>
  <c r="K54" i="29"/>
  <c r="K56" i="29"/>
  <c r="K53" i="29"/>
  <c r="K301" i="41"/>
  <c r="K300" i="41"/>
  <c r="K57" i="29"/>
  <c r="U55" i="29"/>
  <c r="U61" i="29" s="1"/>
  <c r="AX71" i="43"/>
  <c r="AI267" i="43"/>
  <c r="L63" i="43"/>
  <c r="BK216" i="43"/>
  <c r="L54" i="32"/>
  <c r="L52" i="32"/>
  <c r="L57" i="32"/>
  <c r="L58" i="32"/>
  <c r="S45" i="45"/>
  <c r="AO121" i="45"/>
  <c r="R139" i="33"/>
  <c r="AA240" i="45"/>
  <c r="L60" i="32"/>
  <c r="K79" i="43"/>
  <c r="U97" i="32"/>
  <c r="I53" i="45"/>
  <c r="J153" i="32"/>
  <c r="J159" i="32" s="1"/>
  <c r="N232" i="45"/>
  <c r="M326" i="41"/>
  <c r="AL334" i="45"/>
  <c r="AI318" i="43"/>
  <c r="AC198" i="45"/>
  <c r="AH258" i="43"/>
  <c r="BC165" i="43"/>
  <c r="AT96" i="45"/>
  <c r="S13" i="29"/>
  <c r="AU28" i="45"/>
  <c r="R97" i="43"/>
  <c r="U53" i="45"/>
  <c r="V338" i="41"/>
  <c r="AT338" i="41" s="1"/>
  <c r="BJ156" i="43"/>
  <c r="BD71" i="43"/>
  <c r="BJ147" i="45"/>
  <c r="AQ189" i="45"/>
  <c r="BK88" i="43"/>
  <c r="L31" i="33"/>
  <c r="N287" i="41"/>
  <c r="AY54" i="43"/>
  <c r="BJ148" i="43"/>
  <c r="AJ233" i="43"/>
  <c r="I96" i="45"/>
  <c r="S112" i="32"/>
  <c r="AQ70" i="45"/>
  <c r="AQ61" i="45" s="1"/>
  <c r="AV20" i="43"/>
  <c r="J13" i="29"/>
  <c r="J19" i="29" s="1"/>
  <c r="AY46" i="43"/>
  <c r="J199" i="32"/>
  <c r="AZ182" i="43"/>
  <c r="S28" i="45"/>
  <c r="V336" i="41"/>
  <c r="AT336" i="41" s="1"/>
  <c r="V345" i="41"/>
  <c r="AT345" i="41" s="1"/>
  <c r="BJ20" i="43"/>
  <c r="AJ198" i="43"/>
  <c r="L116" i="29"/>
  <c r="K195" i="29"/>
  <c r="AP70" i="45"/>
  <c r="J195" i="32"/>
  <c r="T185" i="32"/>
  <c r="V344" i="41"/>
  <c r="AT344" i="41" s="1"/>
  <c r="P148" i="43"/>
  <c r="AE61" i="45"/>
  <c r="AH63" i="43"/>
  <c r="S110" i="32"/>
  <c r="AH275" i="43"/>
  <c r="W63" i="43"/>
  <c r="K45" i="45"/>
  <c r="K44" i="45" s="1"/>
  <c r="K29" i="43"/>
  <c r="K167" i="30"/>
  <c r="K173" i="30" s="1"/>
  <c r="T209" i="30"/>
  <c r="AB250" i="43"/>
  <c r="W139" i="43"/>
  <c r="V341" i="41"/>
  <c r="AT341" i="41" s="1"/>
  <c r="AE182" i="43"/>
  <c r="AT275" i="43"/>
  <c r="T101" i="29"/>
  <c r="P233" i="43"/>
  <c r="S58" i="32"/>
  <c r="S109" i="32"/>
  <c r="L113" i="29"/>
  <c r="AO215" i="45"/>
  <c r="AK215" i="45"/>
  <c r="AK214" i="45" s="1"/>
  <c r="M335" i="41"/>
  <c r="AU63" i="43"/>
  <c r="S57" i="29"/>
  <c r="S56" i="29"/>
  <c r="S58" i="29"/>
  <c r="L46" i="43"/>
  <c r="AX148" i="43"/>
  <c r="J265" i="29"/>
  <c r="BK284" i="43"/>
  <c r="BJ284" i="43"/>
  <c r="AP181" i="45"/>
  <c r="BD122" i="43"/>
  <c r="T63" i="43"/>
  <c r="L45" i="29"/>
  <c r="AL181" i="45"/>
  <c r="AE190" i="43"/>
  <c r="AZ301" i="43"/>
  <c r="U195" i="32"/>
  <c r="U201" i="32" s="1"/>
  <c r="T112" i="30"/>
  <c r="AI233" i="43"/>
  <c r="AI232" i="43" s="1"/>
  <c r="L114" i="29"/>
  <c r="L87" i="32"/>
  <c r="AP62" i="45"/>
  <c r="T181" i="32"/>
  <c r="V258" i="43"/>
  <c r="AT87" i="45"/>
  <c r="BK224" i="43"/>
  <c r="BT233" i="43"/>
  <c r="N37" i="43"/>
  <c r="AU121" i="45"/>
  <c r="O318" i="43"/>
  <c r="V281" i="41"/>
  <c r="AT281" i="41" s="1"/>
  <c r="S13" i="30"/>
  <c r="AP172" i="45"/>
  <c r="T87" i="32"/>
  <c r="Q104" i="45"/>
  <c r="J148" i="43"/>
  <c r="S269" i="32"/>
  <c r="AK130" i="45"/>
  <c r="U157" i="32"/>
  <c r="AZ190" i="43"/>
  <c r="AZ309" i="43"/>
  <c r="F172" i="45"/>
  <c r="AD46" i="43"/>
  <c r="T69" i="30"/>
  <c r="AI20" i="43"/>
  <c r="N326" i="43"/>
  <c r="AC11" i="45"/>
  <c r="T269" i="30"/>
  <c r="Z129" i="45"/>
  <c r="T75" i="33"/>
  <c r="S139" i="30"/>
  <c r="AD29" i="43"/>
  <c r="U345" i="41"/>
  <c r="AS345" i="41" s="1"/>
  <c r="N257" i="41"/>
  <c r="S60" i="32"/>
  <c r="L110" i="29"/>
  <c r="R113" i="33"/>
  <c r="R116" i="33"/>
  <c r="BO326" i="43"/>
  <c r="AU148" i="43"/>
  <c r="AU147" i="43" s="1"/>
  <c r="BN45" i="43"/>
  <c r="AZ71" i="43"/>
  <c r="AS53" i="45"/>
  <c r="M342" i="41"/>
  <c r="M343" i="41"/>
  <c r="S167" i="32"/>
  <c r="BK147" i="45"/>
  <c r="N181" i="28"/>
  <c r="W147" i="45"/>
  <c r="S83" i="32"/>
  <c r="J181" i="31"/>
  <c r="J187" i="31" s="1"/>
  <c r="BK292" i="43"/>
  <c r="S181" i="29"/>
  <c r="BJ79" i="45"/>
  <c r="K83" i="29"/>
  <c r="K195" i="32"/>
  <c r="AJ114" i="43"/>
  <c r="AI275" i="43"/>
  <c r="R27" i="30"/>
  <c r="T97" i="32"/>
  <c r="T103" i="32" s="1"/>
  <c r="AH54" i="43"/>
  <c r="BK325" i="45"/>
  <c r="BL139" i="43"/>
  <c r="AP113" i="45"/>
  <c r="AS130" i="45"/>
  <c r="BK80" i="43"/>
  <c r="O293" i="41"/>
  <c r="W293" i="41" s="1"/>
  <c r="U323" i="41"/>
  <c r="AS323" i="41" s="1"/>
  <c r="L47" i="30"/>
  <c r="K60" i="29"/>
  <c r="AF258" i="43"/>
  <c r="AF249" i="43" s="1"/>
  <c r="BC114" i="43"/>
  <c r="K157" i="33"/>
  <c r="AU12" i="43"/>
  <c r="BJ28" i="45"/>
  <c r="AL36" i="45"/>
  <c r="R105" i="43"/>
  <c r="U231" i="45"/>
  <c r="O294" i="41"/>
  <c r="W294" i="41" s="1"/>
  <c r="O290" i="41"/>
  <c r="AS315" i="41"/>
  <c r="L87" i="29"/>
  <c r="G121" i="45"/>
  <c r="AS138" i="45"/>
  <c r="X45" i="43"/>
  <c r="L159" i="30"/>
  <c r="T37" i="43"/>
  <c r="O301" i="41"/>
  <c r="AU190" i="43"/>
  <c r="BK240" i="45"/>
  <c r="U112" i="32"/>
  <c r="U116" i="32"/>
  <c r="U108" i="32"/>
  <c r="U109" i="32"/>
  <c r="BJ80" i="43"/>
  <c r="BC224" i="43"/>
  <c r="V340" i="41"/>
  <c r="AT340" i="41" s="1"/>
  <c r="O284" i="41"/>
  <c r="W284" i="41" s="1"/>
  <c r="U328" i="41"/>
  <c r="AS328" i="41" s="1"/>
  <c r="S116" i="32"/>
  <c r="BK326" i="43"/>
  <c r="BK317" i="43" s="1"/>
  <c r="BC326" i="43"/>
  <c r="J195" i="33"/>
  <c r="J201" i="33" s="1"/>
  <c r="AH326" i="43"/>
  <c r="AM317" i="45"/>
  <c r="BL131" i="43"/>
  <c r="T165" i="43"/>
  <c r="T108" i="30"/>
  <c r="U320" i="41"/>
  <c r="AS320" i="41" s="1"/>
  <c r="L265" i="29"/>
  <c r="J143" i="30"/>
  <c r="BC173" i="43"/>
  <c r="X71" i="43"/>
  <c r="W138" i="45"/>
  <c r="S148" i="43"/>
  <c r="U113" i="32"/>
  <c r="BP173" i="43"/>
  <c r="BP164" i="43" s="1"/>
  <c r="BD114" i="43"/>
  <c r="R96" i="45"/>
  <c r="AM363" i="41"/>
  <c r="V139" i="43"/>
  <c r="N164" i="43"/>
  <c r="W327" i="41"/>
  <c r="AU327" i="41" s="1"/>
  <c r="I198" i="45"/>
  <c r="S54" i="32"/>
  <c r="L108" i="29"/>
  <c r="BI215" i="45"/>
  <c r="AZ224" i="43"/>
  <c r="L54" i="43"/>
  <c r="AS172" i="45"/>
  <c r="BD54" i="43"/>
  <c r="AL28" i="45"/>
  <c r="P156" i="43"/>
  <c r="AZ241" i="43"/>
  <c r="K116" i="32"/>
  <c r="K114" i="32"/>
  <c r="K113" i="32"/>
  <c r="AL79" i="45"/>
  <c r="L75" i="30"/>
  <c r="AP19" i="45"/>
  <c r="R227" i="30"/>
  <c r="S36" i="45"/>
  <c r="F231" i="45"/>
  <c r="W71" i="43"/>
  <c r="J233" i="43"/>
  <c r="J232" i="43" s="1"/>
  <c r="T73" i="30"/>
  <c r="AC19" i="45"/>
  <c r="J69" i="30"/>
  <c r="J75" i="30" s="1"/>
  <c r="R206" i="45"/>
  <c r="R197" i="45" s="1"/>
  <c r="J45" i="43"/>
  <c r="F36" i="45"/>
  <c r="AV46" i="43"/>
  <c r="L56" i="32"/>
  <c r="S57" i="32"/>
  <c r="BC12" i="43"/>
  <c r="BC11" i="43" s="1"/>
  <c r="AT27" i="45"/>
  <c r="L185" i="28"/>
  <c r="AD71" i="43"/>
  <c r="S87" i="32"/>
  <c r="BK36" i="45"/>
  <c r="K87" i="29"/>
  <c r="R31" i="30"/>
  <c r="AI88" i="43"/>
  <c r="BK181" i="45"/>
  <c r="M317" i="41"/>
  <c r="M319" i="41"/>
  <c r="U319" i="41" s="1"/>
  <c r="AS319" i="41" s="1"/>
  <c r="AT155" i="45"/>
  <c r="AY309" i="43"/>
  <c r="AY300" i="43" s="1"/>
  <c r="L157" i="32"/>
  <c r="L159" i="32" s="1"/>
  <c r="AL129" i="45"/>
  <c r="O129" i="45"/>
  <c r="AH105" i="43"/>
  <c r="AU318" i="43"/>
  <c r="AY122" i="43"/>
  <c r="K199" i="32"/>
  <c r="BK317" i="45"/>
  <c r="L53" i="32"/>
  <c r="S114" i="32"/>
  <c r="S115" i="32" s="1"/>
  <c r="S108" i="32"/>
  <c r="AQ181" i="45"/>
  <c r="K318" i="41"/>
  <c r="AO87" i="45"/>
  <c r="AI46" i="43"/>
  <c r="K325" i="41"/>
  <c r="K326" i="41"/>
  <c r="N209" i="28"/>
  <c r="N215" i="28" s="1"/>
  <c r="T109" i="30"/>
  <c r="T116" i="30"/>
  <c r="T114" i="30"/>
  <c r="BI79" i="45"/>
  <c r="AZ12" i="43"/>
  <c r="I45" i="45"/>
  <c r="AP11" i="45"/>
  <c r="BJ232" i="45"/>
  <c r="I104" i="45"/>
  <c r="AI71" i="43"/>
  <c r="AV309" i="43"/>
  <c r="U110" i="32"/>
  <c r="J269" i="29"/>
  <c r="AM189" i="45"/>
  <c r="AK87" i="45"/>
  <c r="AH267" i="43"/>
  <c r="T125" i="33"/>
  <c r="AH318" i="43"/>
  <c r="U114" i="32"/>
  <c r="O308" i="41"/>
  <c r="O309" i="41"/>
  <c r="BI223" i="45"/>
  <c r="AM181" i="45"/>
  <c r="AJ88" i="43"/>
  <c r="AJ79" i="43" s="1"/>
  <c r="R241" i="43"/>
  <c r="V241" i="43"/>
  <c r="V232" i="43" s="1"/>
  <c r="AC104" i="45"/>
  <c r="R199" i="43"/>
  <c r="R198" i="43" s="1"/>
  <c r="J318" i="43"/>
  <c r="K17" i="29"/>
  <c r="S53" i="32"/>
  <c r="S52" i="32"/>
  <c r="BO114" i="43"/>
  <c r="BO113" i="43" s="1"/>
  <c r="T20" i="43"/>
  <c r="S209" i="33"/>
  <c r="S215" i="33" s="1"/>
  <c r="AC96" i="45"/>
  <c r="AD20" i="43"/>
  <c r="AD11" i="43" s="1"/>
  <c r="AE249" i="43"/>
  <c r="E130" i="45"/>
  <c r="V250" i="43"/>
  <c r="O172" i="45"/>
  <c r="R171" i="33"/>
  <c r="T213" i="30"/>
  <c r="T45" i="30"/>
  <c r="S37" i="43"/>
  <c r="Z181" i="43"/>
  <c r="Z20" i="43"/>
  <c r="K215" i="31"/>
  <c r="G104" i="45"/>
  <c r="G95" i="45" s="1"/>
  <c r="K58" i="29"/>
  <c r="K109" i="32"/>
  <c r="K227" i="29"/>
  <c r="J59" i="32"/>
  <c r="AT267" i="43"/>
  <c r="W189" i="45"/>
  <c r="W180" i="45" s="1"/>
  <c r="AY156" i="43"/>
  <c r="J69" i="32"/>
  <c r="BK28" i="45"/>
  <c r="BP301" i="43"/>
  <c r="L195" i="32"/>
  <c r="U27" i="29"/>
  <c r="AJ165" i="43"/>
  <c r="AJ164" i="43" s="1"/>
  <c r="AK79" i="45"/>
  <c r="AA87" i="45"/>
  <c r="AP189" i="45"/>
  <c r="K157" i="32"/>
  <c r="J109" i="32"/>
  <c r="J113" i="32"/>
  <c r="BL29" i="43"/>
  <c r="BK189" i="45"/>
  <c r="T269" i="32"/>
  <c r="BD63" i="43"/>
  <c r="K171" i="29"/>
  <c r="BI147" i="45"/>
  <c r="AO113" i="45"/>
  <c r="S143" i="30"/>
  <c r="Z114" i="43"/>
  <c r="AI151" i="41"/>
  <c r="AQ151" i="41" s="1"/>
  <c r="I106" i="41"/>
  <c r="BO198" i="45"/>
  <c r="BT326" i="43"/>
  <c r="G87" i="45"/>
  <c r="BR250" i="43"/>
  <c r="AH20" i="43"/>
  <c r="AD131" i="43"/>
  <c r="CD17" i="34"/>
  <c r="CA13" i="34"/>
  <c r="BO206" i="45"/>
  <c r="AF13" i="34"/>
  <c r="S62" i="45"/>
  <c r="S61" i="45" s="1"/>
  <c r="R28" i="45"/>
  <c r="W36" i="45"/>
  <c r="T171" i="30"/>
  <c r="AE71" i="43"/>
  <c r="Y232" i="45"/>
  <c r="Z232" i="45"/>
  <c r="R251" i="30"/>
  <c r="R257" i="30" s="1"/>
  <c r="AM289" i="41"/>
  <c r="AQ289" i="41" s="1"/>
  <c r="AL288" i="41"/>
  <c r="AP288" i="41" s="1"/>
  <c r="K31" i="33"/>
  <c r="L27" i="33"/>
  <c r="AG117" i="41"/>
  <c r="AG270" i="41" s="1"/>
  <c r="AG355" i="41" s="1"/>
  <c r="W335" i="41"/>
  <c r="AU335" i="41" s="1"/>
  <c r="W345" i="41"/>
  <c r="AU345" i="41" s="1"/>
  <c r="AG115" i="41"/>
  <c r="AO115" i="41" s="1"/>
  <c r="K171" i="31"/>
  <c r="L27" i="28"/>
  <c r="L33" i="28" s="1"/>
  <c r="E147" i="45"/>
  <c r="E146" i="45" s="1"/>
  <c r="F87" i="45"/>
  <c r="F78" i="45" s="1"/>
  <c r="S318" i="43"/>
  <c r="AL286" i="41"/>
  <c r="AP286" i="41" s="1"/>
  <c r="AK208" i="41"/>
  <c r="AO208" i="41" s="1"/>
  <c r="R36" i="45"/>
  <c r="W28" i="45"/>
  <c r="J125" i="30"/>
  <c r="AD113" i="45"/>
  <c r="K59" i="30"/>
  <c r="M243" i="41"/>
  <c r="J265" i="28"/>
  <c r="K255" i="28"/>
  <c r="J175" i="41"/>
  <c r="Q232" i="37"/>
  <c r="R156" i="43"/>
  <c r="S164" i="45"/>
  <c r="U147" i="45"/>
  <c r="K123" i="41"/>
  <c r="M205" i="41"/>
  <c r="T79" i="43"/>
  <c r="S113" i="45"/>
  <c r="L233" i="43"/>
  <c r="W318" i="43"/>
  <c r="AG158" i="41"/>
  <c r="AO158" i="41" s="1"/>
  <c r="AG150" i="41"/>
  <c r="AO150" i="41" s="1"/>
  <c r="K174" i="41"/>
  <c r="K237" i="31"/>
  <c r="AL201" i="41"/>
  <c r="AP201" i="41" s="1"/>
  <c r="AL168" i="41"/>
  <c r="AP168" i="41" s="1"/>
  <c r="BN70" i="45"/>
  <c r="Z53" i="37"/>
  <c r="M102" i="41"/>
  <c r="BO13" i="34"/>
  <c r="I175" i="41"/>
  <c r="BL17" i="34"/>
  <c r="T167" i="30"/>
  <c r="K206" i="45"/>
  <c r="L13" i="30"/>
  <c r="N233" i="41"/>
  <c r="L73" i="28"/>
  <c r="J243" i="41"/>
  <c r="AL169" i="41"/>
  <c r="AP169" i="41" s="1"/>
  <c r="BT148" i="43"/>
  <c r="E223" i="45"/>
  <c r="J71" i="43"/>
  <c r="L148" i="43"/>
  <c r="L147" i="43" s="1"/>
  <c r="E138" i="45"/>
  <c r="T125" i="30"/>
  <c r="S87" i="45"/>
  <c r="O70" i="45"/>
  <c r="U240" i="37"/>
  <c r="N264" i="41"/>
  <c r="N349" i="41" s="1"/>
  <c r="N69" i="41"/>
  <c r="AG153" i="41"/>
  <c r="AO153" i="41" s="1"/>
  <c r="BN147" i="45"/>
  <c r="BN146" i="45" s="1"/>
  <c r="AU193" i="41"/>
  <c r="J73" i="28"/>
  <c r="P125" i="31"/>
  <c r="AM183" i="41"/>
  <c r="AQ183" i="41" s="1"/>
  <c r="Q240" i="45"/>
  <c r="AC113" i="45"/>
  <c r="AL236" i="41"/>
  <c r="AP236" i="41" s="1"/>
  <c r="T103" i="30"/>
  <c r="J139" i="43"/>
  <c r="J130" i="43" s="1"/>
  <c r="I285" i="41"/>
  <c r="I70" i="45"/>
  <c r="AI258" i="43"/>
  <c r="U96" i="45"/>
  <c r="AE131" i="43"/>
  <c r="K119" i="41"/>
  <c r="Q96" i="37"/>
  <c r="K155" i="37"/>
  <c r="K226" i="41"/>
  <c r="BR173" i="43"/>
  <c r="CB17" i="34"/>
  <c r="W130" i="45"/>
  <c r="AE172" i="45"/>
  <c r="AF207" i="43"/>
  <c r="K45" i="30"/>
  <c r="M104" i="45"/>
  <c r="AH156" i="43"/>
  <c r="AE207" i="43"/>
  <c r="Q87" i="45"/>
  <c r="BN104" i="45"/>
  <c r="CA17" i="34"/>
  <c r="AM221" i="41"/>
  <c r="AQ221" i="41" s="1"/>
  <c r="Y223" i="45"/>
  <c r="R318" i="43"/>
  <c r="W322" i="41"/>
  <c r="AU322" i="41" s="1"/>
  <c r="K36" i="37"/>
  <c r="AM17" i="34"/>
  <c r="O129" i="31"/>
  <c r="P265" i="31"/>
  <c r="BT105" i="43"/>
  <c r="O255" i="31"/>
  <c r="K243" i="28"/>
  <c r="I151" i="41"/>
  <c r="M183" i="41"/>
  <c r="K148" i="41"/>
  <c r="S153" i="33"/>
  <c r="AI63" i="43"/>
  <c r="O213" i="28"/>
  <c r="K269" i="33"/>
  <c r="R199" i="30"/>
  <c r="V96" i="45"/>
  <c r="T41" i="30"/>
  <c r="AK293" i="41"/>
  <c r="AO293" i="41" s="1"/>
  <c r="AG118" i="41"/>
  <c r="AO118" i="41" s="1"/>
  <c r="J190" i="31"/>
  <c r="BS301" i="43"/>
  <c r="J87" i="31"/>
  <c r="J89" i="31" s="1"/>
  <c r="N13" i="28"/>
  <c r="N125" i="31"/>
  <c r="N131" i="31" s="1"/>
  <c r="M189" i="37"/>
  <c r="P143" i="31"/>
  <c r="K167" i="32"/>
  <c r="M155" i="45"/>
  <c r="M146" i="45" s="1"/>
  <c r="P241" i="43"/>
  <c r="BK37" i="43"/>
  <c r="BK28" i="43" s="1"/>
  <c r="I19" i="45"/>
  <c r="BK105" i="43"/>
  <c r="O45" i="43"/>
  <c r="L223" i="29"/>
  <c r="L229" i="29" s="1"/>
  <c r="AC79" i="45"/>
  <c r="AD138" i="37"/>
  <c r="K97" i="31"/>
  <c r="BS267" i="43"/>
  <c r="BS266" i="43" s="1"/>
  <c r="K153" i="32"/>
  <c r="K223" i="29"/>
  <c r="L157" i="28"/>
  <c r="AE231" i="45"/>
  <c r="N101" i="28"/>
  <c r="K31" i="28"/>
  <c r="Z12" i="34"/>
  <c r="Z10" i="34"/>
  <c r="Z15" i="34"/>
  <c r="Z17" i="34" s="1"/>
  <c r="Z18" i="34"/>
  <c r="Z11" i="34"/>
  <c r="AK167" i="41"/>
  <c r="AO167" i="41" s="1"/>
  <c r="O27" i="28"/>
  <c r="J269" i="28"/>
  <c r="AV13" i="34"/>
  <c r="N166" i="41"/>
  <c r="O153" i="31"/>
  <c r="P251" i="31"/>
  <c r="P257" i="31" s="1"/>
  <c r="K310" i="41"/>
  <c r="BC80" i="43"/>
  <c r="BC79" i="43" s="1"/>
  <c r="BB37" i="43"/>
  <c r="N240" i="45"/>
  <c r="BP45" i="43"/>
  <c r="AS70" i="45"/>
  <c r="F164" i="45"/>
  <c r="N79" i="45"/>
  <c r="N155" i="37"/>
  <c r="L153" i="28"/>
  <c r="N97" i="28"/>
  <c r="BO172" i="45"/>
  <c r="BO163" i="45" s="1"/>
  <c r="J220" i="41"/>
  <c r="T167" i="32"/>
  <c r="BC122" i="43"/>
  <c r="L97" i="28"/>
  <c r="P265" i="28"/>
  <c r="N136" i="41"/>
  <c r="K87" i="28"/>
  <c r="M124" i="41"/>
  <c r="AD74" i="41"/>
  <c r="AD278" i="41" s="1"/>
  <c r="AD363" i="41" s="1"/>
  <c r="AP108" i="41"/>
  <c r="AK234" i="41"/>
  <c r="P167" i="31"/>
  <c r="S16" i="41"/>
  <c r="S271" i="41" s="1"/>
  <c r="S356" i="41" s="1"/>
  <c r="S172" i="45"/>
  <c r="K59" i="33"/>
  <c r="T31" i="30"/>
  <c r="AI37" i="43"/>
  <c r="S265" i="30"/>
  <c r="AA155" i="45"/>
  <c r="AA104" i="45"/>
  <c r="K99" i="41"/>
  <c r="I249" i="41"/>
  <c r="O103" i="41"/>
  <c r="BT20" i="43"/>
  <c r="O69" i="31"/>
  <c r="O75" i="31" s="1"/>
  <c r="P13" i="34"/>
  <c r="BR267" i="43"/>
  <c r="BR139" i="43"/>
  <c r="V8" i="41"/>
  <c r="AT8" i="41" s="1"/>
  <c r="N157" i="28"/>
  <c r="AT147" i="45"/>
  <c r="L181" i="43"/>
  <c r="J172" i="45"/>
  <c r="J163" i="45" s="1"/>
  <c r="G278" i="41"/>
  <c r="G363" i="41" s="1"/>
  <c r="W23" i="41"/>
  <c r="AU23" i="41" s="1"/>
  <c r="O251" i="28"/>
  <c r="AI13" i="34"/>
  <c r="AD240" i="45"/>
  <c r="J209" i="28"/>
  <c r="W53" i="45"/>
  <c r="J147" i="45"/>
  <c r="J213" i="28"/>
  <c r="AA147" i="45"/>
  <c r="AD97" i="43"/>
  <c r="K166" i="41"/>
  <c r="K97" i="41"/>
  <c r="M234" i="41"/>
  <c r="M239" i="41"/>
  <c r="K87" i="31"/>
  <c r="O87" i="28"/>
  <c r="K13" i="28"/>
  <c r="P139" i="28"/>
  <c r="AQ17" i="34"/>
  <c r="BM96" i="45"/>
  <c r="AD101" i="41"/>
  <c r="AP101" i="41" s="1"/>
  <c r="J125" i="31"/>
  <c r="O171" i="28"/>
  <c r="O241" i="28"/>
  <c r="M117" i="41"/>
  <c r="O139" i="28"/>
  <c r="F28" i="45"/>
  <c r="I83" i="41"/>
  <c r="W96" i="43"/>
  <c r="N119" i="41"/>
  <c r="N202" i="28"/>
  <c r="J237" i="28"/>
  <c r="O334" i="41"/>
  <c r="J226" i="31"/>
  <c r="J221" i="31"/>
  <c r="J220" i="31"/>
  <c r="J224" i="31"/>
  <c r="J225" i="31"/>
  <c r="J222" i="31"/>
  <c r="J228" i="31"/>
  <c r="E155" i="37"/>
  <c r="J143" i="31"/>
  <c r="BT241" i="43"/>
  <c r="J97" i="43"/>
  <c r="K11" i="45"/>
  <c r="S79" i="45"/>
  <c r="AA63" i="43"/>
  <c r="Z233" i="43"/>
  <c r="AM294" i="41"/>
  <c r="AQ294" i="41" s="1"/>
  <c r="P258" i="43"/>
  <c r="T129" i="33"/>
  <c r="V227" i="41"/>
  <c r="AT227" i="41" s="1"/>
  <c r="G104" i="37"/>
  <c r="K101" i="28"/>
  <c r="P17" i="34"/>
  <c r="O167" i="28"/>
  <c r="K55" i="28"/>
  <c r="AL204" i="41"/>
  <c r="AP204" i="41" s="1"/>
  <c r="AQ11" i="45"/>
  <c r="R122" i="43"/>
  <c r="M182" i="41"/>
  <c r="I154" i="41"/>
  <c r="J101" i="41"/>
  <c r="N122" i="41"/>
  <c r="AC240" i="37"/>
  <c r="O69" i="28"/>
  <c r="O75" i="28" s="1"/>
  <c r="Q62" i="45"/>
  <c r="L129" i="28"/>
  <c r="N45" i="28"/>
  <c r="AA138" i="37"/>
  <c r="N118" i="41"/>
  <c r="AD53" i="37"/>
  <c r="BK97" i="43"/>
  <c r="J60" i="31"/>
  <c r="J52" i="31"/>
  <c r="N180" i="45"/>
  <c r="O83" i="31"/>
  <c r="L17" i="28"/>
  <c r="T62" i="31"/>
  <c r="I117" i="41"/>
  <c r="K67" i="41"/>
  <c r="W8" i="41"/>
  <c r="AU8" i="41" s="1"/>
  <c r="O239" i="41"/>
  <c r="U310" i="41"/>
  <c r="AS310" i="41" s="1"/>
  <c r="AM175" i="41"/>
  <c r="AQ175" i="41" s="1"/>
  <c r="J120" i="41"/>
  <c r="AK287" i="41"/>
  <c r="AO287" i="41" s="1"/>
  <c r="M169" i="41"/>
  <c r="W337" i="41"/>
  <c r="AU337" i="41" s="1"/>
  <c r="AK219" i="41"/>
  <c r="AO219" i="41" s="1"/>
  <c r="K73" i="41"/>
  <c r="K69" i="41"/>
  <c r="R18" i="41"/>
  <c r="R273" i="41" s="1"/>
  <c r="R358" i="41" s="1"/>
  <c r="G14" i="41"/>
  <c r="G269" i="41" s="1"/>
  <c r="AE72" i="41"/>
  <c r="AE276" i="41" s="1"/>
  <c r="AE361" i="41" s="1"/>
  <c r="AK288" i="41"/>
  <c r="AO288" i="41" s="1"/>
  <c r="M168" i="41"/>
  <c r="AL202" i="41"/>
  <c r="AP202" i="41" s="1"/>
  <c r="M175" i="41"/>
  <c r="J123" i="41"/>
  <c r="AK294" i="41"/>
  <c r="AO294" i="41" s="1"/>
  <c r="AM170" i="41"/>
  <c r="AQ170" i="41" s="1"/>
  <c r="K168" i="41"/>
  <c r="M165" i="41"/>
  <c r="I73" i="41"/>
  <c r="I124" i="41"/>
  <c r="M174" i="41"/>
  <c r="O123" i="41"/>
  <c r="I123" i="41"/>
  <c r="O278" i="41"/>
  <c r="O363" i="41" s="1"/>
  <c r="I119" i="41"/>
  <c r="O118" i="41"/>
  <c r="S51" i="41"/>
  <c r="K64" i="41"/>
  <c r="J284" i="41"/>
  <c r="AK221" i="41"/>
  <c r="AO221" i="41" s="1"/>
  <c r="M90" i="41"/>
  <c r="AK286" i="41"/>
  <c r="AO286" i="41" s="1"/>
  <c r="AK218" i="41"/>
  <c r="AO218" i="41" s="1"/>
  <c r="M235" i="41"/>
  <c r="K68" i="41"/>
  <c r="I135" i="41"/>
  <c r="R21" i="41"/>
  <c r="R276" i="41" s="1"/>
  <c r="R361" i="41" s="1"/>
  <c r="AK290" i="41"/>
  <c r="AO290" i="41" s="1"/>
  <c r="K175" i="41"/>
  <c r="AL200" i="41"/>
  <c r="AP200" i="41" s="1"/>
  <c r="M167" i="41"/>
  <c r="V253" i="41"/>
  <c r="AM166" i="41"/>
  <c r="AQ166" i="41" s="1"/>
  <c r="AL218" i="41"/>
  <c r="AP218" i="41" s="1"/>
  <c r="J293" i="41"/>
  <c r="K135" i="41"/>
  <c r="J118" i="41"/>
  <c r="N103" i="41"/>
  <c r="K169" i="41"/>
  <c r="N68" i="41"/>
  <c r="M170" i="41"/>
  <c r="F56" i="41"/>
  <c r="F50" i="41"/>
  <c r="R16" i="41"/>
  <c r="R271" i="41" s="1"/>
  <c r="R356" i="41" s="1"/>
  <c r="AU281" i="41"/>
  <c r="AM168" i="41"/>
  <c r="AQ168" i="41" s="1"/>
  <c r="AI123" i="41"/>
  <c r="AQ123" i="41" s="1"/>
  <c r="I134" i="41"/>
  <c r="M220" i="41"/>
  <c r="I67" i="41"/>
  <c r="K101" i="41"/>
  <c r="AK285" i="41"/>
  <c r="AO285" i="41" s="1"/>
  <c r="AG123" i="41"/>
  <c r="AG276" i="41" s="1"/>
  <c r="AG361" i="41" s="1"/>
  <c r="W339" i="41"/>
  <c r="AU339" i="41" s="1"/>
  <c r="I118" i="41"/>
  <c r="AC102" i="41"/>
  <c r="AC68" i="41" s="1"/>
  <c r="AC272" i="41" s="1"/>
  <c r="AC357" i="41" s="1"/>
  <c r="U336" i="41"/>
  <c r="AS336" i="41" s="1"/>
  <c r="U339" i="41"/>
  <c r="AS339" i="41" s="1"/>
  <c r="W324" i="41"/>
  <c r="AU324" i="41" s="1"/>
  <c r="Q50" i="41"/>
  <c r="E38" i="41"/>
  <c r="G39" i="41"/>
  <c r="E49" i="41"/>
  <c r="M36" i="37"/>
  <c r="Q54" i="41"/>
  <c r="R49" i="41"/>
  <c r="K28" i="37"/>
  <c r="G38" i="41"/>
  <c r="Y45" i="37"/>
  <c r="S39" i="41"/>
  <c r="F55" i="41"/>
  <c r="Q55" i="41"/>
  <c r="F52" i="41"/>
  <c r="Y53" i="37"/>
  <c r="N107" i="41"/>
  <c r="AD100" i="41"/>
  <c r="AD66" i="41" s="1"/>
  <c r="AD270" i="41" s="1"/>
  <c r="AD355" i="41" s="1"/>
  <c r="O82" i="41"/>
  <c r="AA81" i="41"/>
  <c r="AQ81" i="41" s="1"/>
  <c r="AA84" i="41"/>
  <c r="AA67" i="41" s="1"/>
  <c r="AE87" i="37"/>
  <c r="K103" i="41"/>
  <c r="M81" i="41"/>
  <c r="O86" i="41"/>
  <c r="AA82" i="41"/>
  <c r="AQ82" i="41" s="1"/>
  <c r="AA86" i="41"/>
  <c r="AA69" i="41" s="1"/>
  <c r="M82" i="41"/>
  <c r="AD106" i="41"/>
  <c r="AP106" i="41" s="1"/>
  <c r="AA89" i="41"/>
  <c r="AQ89" i="41" s="1"/>
  <c r="AE73" i="41"/>
  <c r="AE277" i="41" s="1"/>
  <c r="AE362" i="41" s="1"/>
  <c r="S104" i="37"/>
  <c r="K106" i="41"/>
  <c r="S96" i="37"/>
  <c r="AC107" i="41"/>
  <c r="AO107" i="41" s="1"/>
  <c r="AE79" i="37"/>
  <c r="N101" i="41"/>
  <c r="N102" i="41"/>
  <c r="N87" i="37"/>
  <c r="N106" i="41"/>
  <c r="O89" i="41"/>
  <c r="Y104" i="37"/>
  <c r="AA83" i="41"/>
  <c r="AA66" i="41" s="1"/>
  <c r="K96" i="37"/>
  <c r="I101" i="41"/>
  <c r="M86" i="41"/>
  <c r="Y96" i="37"/>
  <c r="AE138" i="37"/>
  <c r="J133" i="41"/>
  <c r="AG152" i="41"/>
  <c r="AO152" i="41" s="1"/>
  <c r="J134" i="41"/>
  <c r="Z138" i="37"/>
  <c r="AI136" i="41"/>
  <c r="AQ136" i="41" s="1"/>
  <c r="M133" i="41"/>
  <c r="AC130" i="37"/>
  <c r="W138" i="37"/>
  <c r="I137" i="41"/>
  <c r="I184" i="41"/>
  <c r="N182" i="41"/>
  <c r="AL226" i="41"/>
  <c r="AP226" i="41" s="1"/>
  <c r="W189" i="37"/>
  <c r="V232" i="37"/>
  <c r="K240" i="37"/>
  <c r="AM204" i="41"/>
  <c r="AQ204" i="41" s="1"/>
  <c r="M216" i="41"/>
  <c r="N243" i="41"/>
  <c r="O237" i="41"/>
  <c r="AL220" i="41"/>
  <c r="AP220" i="41" s="1"/>
  <c r="O209" i="41"/>
  <c r="M236" i="41"/>
  <c r="R215" i="37"/>
  <c r="J216" i="41"/>
  <c r="J217" i="41"/>
  <c r="U223" i="37"/>
  <c r="AM209" i="41"/>
  <c r="AQ209" i="41" s="1"/>
  <c r="N235" i="41"/>
  <c r="AD198" i="37"/>
  <c r="AL224" i="41"/>
  <c r="AP224" i="41" s="1"/>
  <c r="J222" i="41"/>
  <c r="Q198" i="37"/>
  <c r="AL225" i="41"/>
  <c r="AP225" i="41" s="1"/>
  <c r="E214" i="37"/>
  <c r="AL205" i="41"/>
  <c r="AP205" i="41" s="1"/>
  <c r="AE223" i="37"/>
  <c r="Z215" i="37"/>
  <c r="AA198" i="37"/>
  <c r="N237" i="41"/>
  <c r="O236" i="41"/>
  <c r="AD206" i="37"/>
  <c r="I191" i="41"/>
  <c r="J224" i="41"/>
  <c r="I183" i="41"/>
  <c r="I188" i="41"/>
  <c r="O188" i="41"/>
  <c r="V179" i="41"/>
  <c r="AA240" i="37"/>
  <c r="O208" i="41"/>
  <c r="AM203" i="41"/>
  <c r="AQ203" i="41" s="1"/>
  <c r="M222" i="41"/>
  <c r="N242" i="41"/>
  <c r="U230" i="41"/>
  <c r="R223" i="37"/>
  <c r="J219" i="41"/>
  <c r="AO85" i="41"/>
  <c r="E14" i="41"/>
  <c r="E269" i="41" s="1"/>
  <c r="E18" i="41"/>
  <c r="E273" i="41" s="1"/>
  <c r="U161" i="41"/>
  <c r="I263" i="41"/>
  <c r="I348" i="41" s="1"/>
  <c r="V196" i="41"/>
  <c r="AT196" i="41" s="1"/>
  <c r="J201" i="41"/>
  <c r="J198" i="37"/>
  <c r="N199" i="41"/>
  <c r="W74" i="41"/>
  <c r="K225" i="41"/>
  <c r="S34" i="41"/>
  <c r="S20" i="41"/>
  <c r="S275" i="41" s="1"/>
  <c r="S360" i="41" s="1"/>
  <c r="M201" i="41"/>
  <c r="M199" i="41"/>
  <c r="U196" i="41"/>
  <c r="M200" i="41"/>
  <c r="M204" i="41"/>
  <c r="M207" i="41"/>
  <c r="N110" i="28"/>
  <c r="N109" i="28"/>
  <c r="N114" i="28"/>
  <c r="N112" i="28"/>
  <c r="N113" i="28"/>
  <c r="N108" i="28"/>
  <c r="N116" i="28"/>
  <c r="M181" i="37"/>
  <c r="BZ13" i="34"/>
  <c r="AH114" i="41"/>
  <c r="AP114" i="41" s="1"/>
  <c r="M85" i="41"/>
  <c r="N63" i="41"/>
  <c r="O101" i="28"/>
  <c r="U189" i="37"/>
  <c r="M190" i="41"/>
  <c r="AI117" i="41"/>
  <c r="AK202" i="41"/>
  <c r="AO202" i="41" s="1"/>
  <c r="M198" i="37"/>
  <c r="K151" i="41"/>
  <c r="G147" i="37"/>
  <c r="AO196" i="41"/>
  <c r="AK205" i="41"/>
  <c r="AO205" i="41" s="1"/>
  <c r="AK204" i="41"/>
  <c r="AO204" i="41" s="1"/>
  <c r="AK201" i="41"/>
  <c r="AO201" i="41" s="1"/>
  <c r="N131" i="41"/>
  <c r="V128" i="41"/>
  <c r="AA232" i="37"/>
  <c r="AK207" i="41"/>
  <c r="AO207" i="41" s="1"/>
  <c r="K265" i="28"/>
  <c r="N72" i="41"/>
  <c r="N145" i="31"/>
  <c r="AI132" i="41"/>
  <c r="AQ132" i="41" s="1"/>
  <c r="AA130" i="37"/>
  <c r="V251" i="41"/>
  <c r="AI264" i="41"/>
  <c r="AI349" i="41" s="1"/>
  <c r="AQ111" i="41"/>
  <c r="AQ12" i="34"/>
  <c r="AQ13" i="34" s="1"/>
  <c r="O58" i="31"/>
  <c r="O52" i="31"/>
  <c r="O56" i="31"/>
  <c r="O54" i="31"/>
  <c r="O57" i="31"/>
  <c r="O60" i="31"/>
  <c r="O53" i="31"/>
  <c r="O191" i="31"/>
  <c r="AD45" i="37"/>
  <c r="AL167" i="41"/>
  <c r="AP167" i="41" s="1"/>
  <c r="S35" i="41"/>
  <c r="U138" i="37"/>
  <c r="M139" i="41"/>
  <c r="AC138" i="37"/>
  <c r="N137" i="41"/>
  <c r="AL170" i="41"/>
  <c r="AP170" i="41" s="1"/>
  <c r="BO334" i="45"/>
  <c r="J263" i="41"/>
  <c r="J348" i="41" s="1"/>
  <c r="V59" i="41"/>
  <c r="J53" i="37"/>
  <c r="G155" i="37"/>
  <c r="K156" i="41"/>
  <c r="M67" i="41"/>
  <c r="W198" i="37"/>
  <c r="K269" i="28"/>
  <c r="O143" i="28"/>
  <c r="S37" i="41"/>
  <c r="CF13" i="34"/>
  <c r="AS332" i="41"/>
  <c r="U337" i="41"/>
  <c r="AS337" i="41" s="1"/>
  <c r="U341" i="41"/>
  <c r="AS341" i="41" s="1"/>
  <c r="U344" i="41"/>
  <c r="AS344" i="41" s="1"/>
  <c r="U338" i="41"/>
  <c r="AS338" i="41" s="1"/>
  <c r="BN181" i="45"/>
  <c r="BN180" i="45" s="1"/>
  <c r="K129" i="31"/>
  <c r="AM184" i="41"/>
  <c r="AQ184" i="41" s="1"/>
  <c r="N65" i="41"/>
  <c r="J143" i="28"/>
  <c r="N132" i="41"/>
  <c r="Z104" i="37"/>
  <c r="AD105" i="41"/>
  <c r="AA181" i="37"/>
  <c r="R87" i="37"/>
  <c r="F51" i="41"/>
  <c r="R15" i="41"/>
  <c r="R270" i="41" s="1"/>
  <c r="R355" i="41" s="1"/>
  <c r="AH155" i="41"/>
  <c r="AP155" i="41" s="1"/>
  <c r="I240" i="37"/>
  <c r="AM190" i="41"/>
  <c r="AQ190" i="41" s="1"/>
  <c r="AU315" i="41"/>
  <c r="W319" i="41"/>
  <c r="AU319" i="41" s="1"/>
  <c r="W328" i="41"/>
  <c r="AU328" i="41" s="1"/>
  <c r="W321" i="41"/>
  <c r="AU321" i="41" s="1"/>
  <c r="W320" i="41"/>
  <c r="AU320" i="41" s="1"/>
  <c r="M132" i="41"/>
  <c r="M134" i="41"/>
  <c r="BO96" i="45"/>
  <c r="AL217" i="41"/>
  <c r="AP217" i="41" s="1"/>
  <c r="F54" i="41"/>
  <c r="F53" i="37"/>
  <c r="AD98" i="41"/>
  <c r="Z96" i="37"/>
  <c r="AL209" i="41"/>
  <c r="AP209" i="41" s="1"/>
  <c r="N98" i="41"/>
  <c r="AM188" i="41"/>
  <c r="AQ188" i="41" s="1"/>
  <c r="K173" i="41"/>
  <c r="U304" i="41"/>
  <c r="AS304" i="41" s="1"/>
  <c r="AM13" i="34"/>
  <c r="N265" i="28"/>
  <c r="M208" i="41"/>
  <c r="E16" i="41"/>
  <c r="E271" i="41" s="1"/>
  <c r="Q39" i="41"/>
  <c r="BR275" i="43"/>
  <c r="I243" i="41"/>
  <c r="M98" i="41"/>
  <c r="Q49" i="41"/>
  <c r="I171" i="41"/>
  <c r="AM191" i="41"/>
  <c r="AQ191" i="41" s="1"/>
  <c r="O238" i="41"/>
  <c r="I114" i="41"/>
  <c r="I116" i="41"/>
  <c r="U111" i="41"/>
  <c r="W28" i="37"/>
  <c r="AC105" i="41"/>
  <c r="AC71" i="41" s="1"/>
  <c r="AC275" i="41" s="1"/>
  <c r="AC360" i="41" s="1"/>
  <c r="S53" i="37"/>
  <c r="O202" i="41"/>
  <c r="BO28" i="45"/>
  <c r="Z130" i="37"/>
  <c r="V130" i="37"/>
  <c r="F47" i="41"/>
  <c r="K221" i="41"/>
  <c r="L112" i="28"/>
  <c r="L116" i="28"/>
  <c r="L114" i="28"/>
  <c r="L108" i="28"/>
  <c r="L109" i="28"/>
  <c r="L110" i="28"/>
  <c r="L113" i="28"/>
  <c r="M135" i="41"/>
  <c r="O251" i="31"/>
  <c r="N64" i="41"/>
  <c r="AM173" i="41"/>
  <c r="L69" i="28"/>
  <c r="BS63" i="43"/>
  <c r="K97" i="28"/>
  <c r="O263" i="41"/>
  <c r="W110" i="41"/>
  <c r="AM187" i="41"/>
  <c r="AQ187" i="41" s="1"/>
  <c r="M103" i="41"/>
  <c r="Z59" i="41"/>
  <c r="AP76" i="41"/>
  <c r="F36" i="37"/>
  <c r="W130" i="37"/>
  <c r="N168" i="41"/>
  <c r="S130" i="37"/>
  <c r="S129" i="37" s="1"/>
  <c r="J200" i="41"/>
  <c r="BM206" i="45"/>
  <c r="BX17" i="34"/>
  <c r="J64" i="41"/>
  <c r="BS29" i="43"/>
  <c r="W230" i="41"/>
  <c r="AU230" i="41" s="1"/>
  <c r="O233" i="41"/>
  <c r="BS20" i="43"/>
  <c r="BO155" i="45"/>
  <c r="AG114" i="41"/>
  <c r="O171" i="41"/>
  <c r="M203" i="41"/>
  <c r="AQ162" i="41"/>
  <c r="AM264" i="41"/>
  <c r="AM349" i="41" s="1"/>
  <c r="AM169" i="41"/>
  <c r="K165" i="41"/>
  <c r="F31" i="41"/>
  <c r="J183" i="41"/>
  <c r="K269" i="31"/>
  <c r="BT309" i="43"/>
  <c r="K69" i="31"/>
  <c r="K75" i="31" s="1"/>
  <c r="F46" i="41"/>
  <c r="AE53" i="37"/>
  <c r="I221" i="41"/>
  <c r="I222" i="41"/>
  <c r="N133" i="41"/>
  <c r="AH19" i="34"/>
  <c r="BM334" i="45"/>
  <c r="Q51" i="41"/>
  <c r="BR233" i="43"/>
  <c r="K139" i="31"/>
  <c r="K145" i="31" s="1"/>
  <c r="O226" i="28"/>
  <c r="O222" i="28"/>
  <c r="O228" i="28"/>
  <c r="O220" i="28"/>
  <c r="O221" i="28"/>
  <c r="O225" i="28"/>
  <c r="O224" i="28"/>
  <c r="K183" i="41"/>
  <c r="G181" i="37"/>
  <c r="O207" i="41"/>
  <c r="K206" i="37"/>
  <c r="V255" i="41"/>
  <c r="O205" i="41"/>
  <c r="K249" i="41"/>
  <c r="AM186" i="41"/>
  <c r="AQ186" i="41" s="1"/>
  <c r="AE104" i="37"/>
  <c r="K222" i="31"/>
  <c r="K224" i="31"/>
  <c r="K225" i="31"/>
  <c r="K220" i="31"/>
  <c r="K226" i="31"/>
  <c r="K221" i="31"/>
  <c r="K228" i="31"/>
  <c r="O155" i="37"/>
  <c r="AK200" i="41"/>
  <c r="AO200" i="41" s="1"/>
  <c r="AT13" i="34"/>
  <c r="O79" i="37"/>
  <c r="AU247" i="41"/>
  <c r="Y215" i="37"/>
  <c r="AK217" i="41"/>
  <c r="AO217" i="41" s="1"/>
  <c r="J109" i="31"/>
  <c r="J112" i="31"/>
  <c r="J113" i="31"/>
  <c r="J110" i="31"/>
  <c r="J108" i="31"/>
  <c r="J114" i="31"/>
  <c r="J116" i="31"/>
  <c r="J191" i="31"/>
  <c r="O237" i="28"/>
  <c r="P58" i="31"/>
  <c r="P54" i="31"/>
  <c r="P57" i="31"/>
  <c r="P56" i="31"/>
  <c r="P191" i="31"/>
  <c r="P60" i="31"/>
  <c r="P52" i="31"/>
  <c r="P53" i="31"/>
  <c r="O191" i="41"/>
  <c r="K257" i="41"/>
  <c r="O183" i="41"/>
  <c r="J132" i="41"/>
  <c r="F130" i="37"/>
  <c r="S32" i="41"/>
  <c r="J53" i="28"/>
  <c r="J57" i="28"/>
  <c r="J56" i="28"/>
  <c r="J60" i="28"/>
  <c r="J54" i="28"/>
  <c r="J191" i="28"/>
  <c r="J52" i="28"/>
  <c r="J58" i="28"/>
  <c r="BO104" i="45"/>
  <c r="W213" i="41"/>
  <c r="AU213" i="41" s="1"/>
  <c r="K222" i="41"/>
  <c r="K218" i="41"/>
  <c r="BT54" i="43"/>
  <c r="O71" i="41"/>
  <c r="M65" i="41"/>
  <c r="N175" i="41"/>
  <c r="J235" i="41"/>
  <c r="J242" i="41"/>
  <c r="M88" i="41"/>
  <c r="M84" i="41"/>
  <c r="E32" i="41"/>
  <c r="I235" i="41"/>
  <c r="U77" i="41"/>
  <c r="AS77" i="41" s="1"/>
  <c r="BM104" i="45"/>
  <c r="J184" i="41"/>
  <c r="BK17" i="34"/>
  <c r="BN96" i="45"/>
  <c r="BO36" i="45"/>
  <c r="O134" i="41"/>
  <c r="AI134" i="41"/>
  <c r="AQ134" i="41" s="1"/>
  <c r="AM226" i="41"/>
  <c r="AQ226" i="41" s="1"/>
  <c r="N183" i="41"/>
  <c r="J181" i="37"/>
  <c r="N36" i="37"/>
  <c r="M131" i="41"/>
  <c r="BN11" i="45"/>
  <c r="P56" i="28"/>
  <c r="P57" i="28"/>
  <c r="P60" i="28"/>
  <c r="P52" i="28"/>
  <c r="P54" i="28"/>
  <c r="P191" i="28"/>
  <c r="P53" i="28"/>
  <c r="P58" i="28"/>
  <c r="AE45" i="37"/>
  <c r="AI115" i="41"/>
  <c r="AQ115" i="41" s="1"/>
  <c r="N139" i="41"/>
  <c r="BT88" i="43"/>
  <c r="BT79" i="43" s="1"/>
  <c r="AS298" i="41"/>
  <c r="U309" i="41"/>
  <c r="U306" i="41"/>
  <c r="AS306" i="41" s="1"/>
  <c r="U305" i="41"/>
  <c r="AS305" i="41" s="1"/>
  <c r="U302" i="41"/>
  <c r="AS302" i="41" s="1"/>
  <c r="U307" i="41"/>
  <c r="AS307" i="41" s="1"/>
  <c r="M141" i="41"/>
  <c r="N167" i="41"/>
  <c r="AI122" i="41"/>
  <c r="AI275" i="41" s="1"/>
  <c r="AI360" i="41" s="1"/>
  <c r="W232" i="37"/>
  <c r="K13" i="34"/>
  <c r="K19" i="34" s="1"/>
  <c r="AM285" i="41"/>
  <c r="AQ285" i="41" s="1"/>
  <c r="AL293" i="41"/>
  <c r="AP293" i="41" s="1"/>
  <c r="M263" i="41"/>
  <c r="M348" i="41" s="1"/>
  <c r="U110" i="41"/>
  <c r="W323" i="41"/>
  <c r="AU323" i="41" s="1"/>
  <c r="BM44" i="45"/>
  <c r="N265" i="31"/>
  <c r="BT199" i="43"/>
  <c r="BM342" i="45"/>
  <c r="AK199" i="41"/>
  <c r="AM257" i="41"/>
  <c r="AQ257" i="41" s="1"/>
  <c r="AQ258" i="41"/>
  <c r="BN36" i="45"/>
  <c r="N31" i="28"/>
  <c r="I217" i="41"/>
  <c r="I141" i="41"/>
  <c r="Q189" i="37"/>
  <c r="J218" i="41"/>
  <c r="I234" i="41"/>
  <c r="E15" i="41"/>
  <c r="E270" i="41" s="1"/>
  <c r="BN325" i="45"/>
  <c r="J288" i="41"/>
  <c r="W161" i="41"/>
  <c r="N187" i="41"/>
  <c r="N191" i="41"/>
  <c r="N28" i="37"/>
  <c r="L224" i="31"/>
  <c r="L221" i="31"/>
  <c r="L226" i="31"/>
  <c r="L228" i="31"/>
  <c r="L225" i="31"/>
  <c r="L222" i="31"/>
  <c r="L220" i="31"/>
  <c r="I225" i="41"/>
  <c r="F35" i="41"/>
  <c r="Q35" i="41"/>
  <c r="BN232" i="45"/>
  <c r="AI135" i="41"/>
  <c r="AQ135" i="41" s="1"/>
  <c r="AG263" i="41"/>
  <c r="AG348" i="41" s="1"/>
  <c r="AO110" i="41"/>
  <c r="F16" i="41"/>
  <c r="F271" i="41" s="1"/>
  <c r="F356" i="41" s="1"/>
  <c r="BN342" i="45"/>
  <c r="N228" i="31"/>
  <c r="N221" i="31"/>
  <c r="N222" i="31"/>
  <c r="N226" i="31"/>
  <c r="N225" i="31"/>
  <c r="N220" i="31"/>
  <c r="N224" i="31"/>
  <c r="BO79" i="45"/>
  <c r="O171" i="31"/>
  <c r="U128" i="41"/>
  <c r="AS128" i="41" s="1"/>
  <c r="O201" i="41"/>
  <c r="BO342" i="45"/>
  <c r="BO19" i="45"/>
  <c r="BT13" i="34"/>
  <c r="Z28" i="37"/>
  <c r="K54" i="31"/>
  <c r="K56" i="31"/>
  <c r="K60" i="31"/>
  <c r="K52" i="31"/>
  <c r="K57" i="31"/>
  <c r="K191" i="31"/>
  <c r="K53" i="31"/>
  <c r="K58" i="31"/>
  <c r="BT46" i="43"/>
  <c r="K225" i="28"/>
  <c r="K221" i="28"/>
  <c r="K222" i="28"/>
  <c r="K226" i="28"/>
  <c r="K220" i="28"/>
  <c r="K224" i="28"/>
  <c r="K228" i="28"/>
  <c r="I166" i="41"/>
  <c r="I242" i="41"/>
  <c r="AA45" i="37"/>
  <c r="AA44" i="37" s="1"/>
  <c r="AL203" i="41"/>
  <c r="AP203" i="41" s="1"/>
  <c r="I226" i="41"/>
  <c r="J203" i="41"/>
  <c r="J117" i="41"/>
  <c r="AC106" i="41"/>
  <c r="AO106" i="41" s="1"/>
  <c r="J226" i="41"/>
  <c r="N134" i="41"/>
  <c r="AG132" i="41"/>
  <c r="AO132" i="41" s="1"/>
  <c r="S13" i="34"/>
  <c r="N192" i="41"/>
  <c r="O185" i="41"/>
  <c r="BT182" i="43"/>
  <c r="BT17" i="34"/>
  <c r="K107" i="41"/>
  <c r="AM220" i="41"/>
  <c r="AQ220" i="41" s="1"/>
  <c r="V195" i="41"/>
  <c r="AT195" i="41" s="1"/>
  <c r="W25" i="41"/>
  <c r="AU25" i="41" s="1"/>
  <c r="AU332" i="41"/>
  <c r="W344" i="41"/>
  <c r="AU344" i="41" s="1"/>
  <c r="W338" i="41"/>
  <c r="AU338" i="41" s="1"/>
  <c r="W341" i="41"/>
  <c r="AU341" i="41" s="1"/>
  <c r="AG122" i="41"/>
  <c r="K122" i="41"/>
  <c r="Z198" i="37"/>
  <c r="AK225" i="41"/>
  <c r="AO225" i="41" s="1"/>
  <c r="K66" i="41"/>
  <c r="N58" i="28"/>
  <c r="N53" i="28"/>
  <c r="N56" i="28"/>
  <c r="N52" i="28"/>
  <c r="N57" i="28"/>
  <c r="N54" i="28"/>
  <c r="N60" i="28"/>
  <c r="BN334" i="45"/>
  <c r="P108" i="31"/>
  <c r="P114" i="31"/>
  <c r="P112" i="31"/>
  <c r="P110" i="31"/>
  <c r="P116" i="31"/>
  <c r="P113" i="31"/>
  <c r="P109" i="31"/>
  <c r="P143" i="28"/>
  <c r="L167" i="28"/>
  <c r="L153" i="31"/>
  <c r="AM192" i="41"/>
  <c r="AQ192" i="41" s="1"/>
  <c r="AD103" i="41"/>
  <c r="BN17" i="34"/>
  <c r="N113" i="31"/>
  <c r="N109" i="31"/>
  <c r="N114" i="31"/>
  <c r="N112" i="31"/>
  <c r="N116" i="31"/>
  <c r="N110" i="31"/>
  <c r="N108" i="31"/>
  <c r="U130" i="37"/>
  <c r="BO87" i="45"/>
  <c r="W181" i="37"/>
  <c r="AG148" i="41"/>
  <c r="K114" i="28"/>
  <c r="K108" i="28"/>
  <c r="K112" i="28"/>
  <c r="K110" i="28"/>
  <c r="K109" i="28"/>
  <c r="K116" i="28"/>
  <c r="K113" i="28"/>
  <c r="N225" i="28"/>
  <c r="N222" i="28"/>
  <c r="N224" i="28"/>
  <c r="N226" i="28"/>
  <c r="N228" i="28"/>
  <c r="N221" i="28"/>
  <c r="N220" i="28"/>
  <c r="O167" i="31"/>
  <c r="N153" i="28"/>
  <c r="Q52" i="41"/>
  <c r="O187" i="41"/>
  <c r="V42" i="41"/>
  <c r="AT42" i="41" s="1"/>
  <c r="R53" i="37"/>
  <c r="AR12" i="34"/>
  <c r="AR13" i="34" s="1"/>
  <c r="L125" i="28"/>
  <c r="P69" i="31"/>
  <c r="AM167" i="41"/>
  <c r="BN164" i="45"/>
  <c r="AL188" i="41"/>
  <c r="AP188" i="41" s="1"/>
  <c r="I185" i="41"/>
  <c r="O204" i="41"/>
  <c r="R31" i="41"/>
  <c r="BO240" i="45"/>
  <c r="AM225" i="41"/>
  <c r="AQ225" i="41" s="1"/>
  <c r="AC60" i="41"/>
  <c r="AO94" i="41"/>
  <c r="M238" i="41"/>
  <c r="AO213" i="41"/>
  <c r="AK220" i="41"/>
  <c r="AO220" i="41" s="1"/>
  <c r="AK216" i="41"/>
  <c r="O60" i="28"/>
  <c r="O54" i="28"/>
  <c r="O57" i="28"/>
  <c r="O53" i="28"/>
  <c r="O52" i="28"/>
  <c r="O56" i="28"/>
  <c r="O58" i="28"/>
  <c r="O191" i="28"/>
  <c r="BM138" i="45"/>
  <c r="AI120" i="41"/>
  <c r="AI273" i="41" s="1"/>
  <c r="AI358" i="41" s="1"/>
  <c r="N141" i="41"/>
  <c r="Z84" i="41"/>
  <c r="AP84" i="41" s="1"/>
  <c r="O184" i="41"/>
  <c r="V161" i="41"/>
  <c r="AG119" i="41"/>
  <c r="L41" i="28"/>
  <c r="AD97" i="41"/>
  <c r="I167" i="41"/>
  <c r="I237" i="41"/>
  <c r="Q48" i="41"/>
  <c r="S198" i="37"/>
  <c r="R198" i="37"/>
  <c r="I132" i="41"/>
  <c r="F33" i="41"/>
  <c r="I186" i="41"/>
  <c r="AC100" i="41"/>
  <c r="AO100" i="41" s="1"/>
  <c r="M188" i="41"/>
  <c r="J187" i="41"/>
  <c r="BS17" i="34"/>
  <c r="O90" i="41"/>
  <c r="BR29" i="43"/>
  <c r="AE130" i="37"/>
  <c r="AJ13" i="34"/>
  <c r="W94" i="41"/>
  <c r="AM217" i="41"/>
  <c r="AQ217" i="41" s="1"/>
  <c r="G55" i="41"/>
  <c r="I289" i="41"/>
  <c r="K120" i="41"/>
  <c r="N96" i="37"/>
  <c r="AD99" i="41"/>
  <c r="I66" i="41"/>
  <c r="AO111" i="41"/>
  <c r="AG264" i="41"/>
  <c r="AG349" i="41" s="1"/>
  <c r="AL216" i="41"/>
  <c r="AP216" i="41" s="1"/>
  <c r="AP213" i="41"/>
  <c r="K171" i="41"/>
  <c r="AG156" i="41"/>
  <c r="V250" i="41"/>
  <c r="J249" i="41"/>
  <c r="AK226" i="41"/>
  <c r="AO226" i="41" s="1"/>
  <c r="BM223" i="45"/>
  <c r="BM214" i="45" s="1"/>
  <c r="AG120" i="41"/>
  <c r="AD96" i="37"/>
  <c r="P83" i="28"/>
  <c r="P89" i="28" s="1"/>
  <c r="O105" i="41"/>
  <c r="P129" i="31"/>
  <c r="O147" i="37"/>
  <c r="L125" i="31"/>
  <c r="L131" i="31" s="1"/>
  <c r="K217" i="41"/>
  <c r="L251" i="31"/>
  <c r="L257" i="31" s="1"/>
  <c r="AC97" i="41"/>
  <c r="K251" i="28"/>
  <c r="N157" i="31"/>
  <c r="K41" i="28"/>
  <c r="P73" i="31"/>
  <c r="N241" i="28"/>
  <c r="N171" i="41"/>
  <c r="O200" i="41"/>
  <c r="S13" i="41"/>
  <c r="S268" i="41" s="1"/>
  <c r="S353" i="41" s="1"/>
  <c r="AM222" i="41"/>
  <c r="AQ222" i="41" s="1"/>
  <c r="J79" i="37"/>
  <c r="M137" i="41"/>
  <c r="F15" i="41"/>
  <c r="F270" i="41" s="1"/>
  <c r="F355" i="41" s="1"/>
  <c r="AM171" i="41"/>
  <c r="AQ171" i="41" s="1"/>
  <c r="O174" i="41"/>
  <c r="O192" i="41"/>
  <c r="AG124" i="41"/>
  <c r="N186" i="41"/>
  <c r="F28" i="37"/>
  <c r="R45" i="37"/>
  <c r="AD102" i="41"/>
  <c r="K45" i="28"/>
  <c r="Z206" i="37"/>
  <c r="K114" i="41"/>
  <c r="AK241" i="41"/>
  <c r="M240" i="37"/>
  <c r="M223" i="37"/>
  <c r="AK224" i="41"/>
  <c r="K63" i="41"/>
  <c r="K264" i="41"/>
  <c r="K349" i="41" s="1"/>
  <c r="W60" i="41"/>
  <c r="P69" i="28"/>
  <c r="P75" i="28" s="1"/>
  <c r="O157" i="28"/>
  <c r="AS125" i="41"/>
  <c r="N17" i="28"/>
  <c r="AK203" i="41"/>
  <c r="AO203" i="41" s="1"/>
  <c r="N263" i="41"/>
  <c r="N348" i="41" s="1"/>
  <c r="M237" i="41"/>
  <c r="Z240" i="37"/>
  <c r="AI119" i="41"/>
  <c r="AI272" i="41" s="1"/>
  <c r="AI357" i="41" s="1"/>
  <c r="W162" i="41"/>
  <c r="R206" i="37"/>
  <c r="U43" i="41"/>
  <c r="AS43" i="41" s="1"/>
  <c r="S240" i="37"/>
  <c r="F32" i="41"/>
  <c r="I140" i="41"/>
  <c r="AC103" i="41"/>
  <c r="AC69" i="41" s="1"/>
  <c r="AC273" i="41" s="1"/>
  <c r="AC358" i="41" s="1"/>
  <c r="Z79" i="37"/>
  <c r="S33" i="41"/>
  <c r="M241" i="41"/>
  <c r="BK13" i="34"/>
  <c r="R22" i="41"/>
  <c r="R277" i="41" s="1"/>
  <c r="R362" i="41" s="1"/>
  <c r="BO17" i="34"/>
  <c r="AT91" i="41"/>
  <c r="S30" i="41"/>
  <c r="AI154" i="41"/>
  <c r="AQ154" i="41" s="1"/>
  <c r="AD107" i="41"/>
  <c r="AP107" i="41" s="1"/>
  <c r="G33" i="41"/>
  <c r="BT12" i="43"/>
  <c r="BO45" i="45"/>
  <c r="AE181" i="37"/>
  <c r="I293" i="41"/>
  <c r="K115" i="41"/>
  <c r="K116" i="41"/>
  <c r="AL221" i="41"/>
  <c r="AP221" i="41" s="1"/>
  <c r="V260" i="41"/>
  <c r="N188" i="41"/>
  <c r="I187" i="41"/>
  <c r="O125" i="31"/>
  <c r="K110" i="31"/>
  <c r="K112" i="31"/>
  <c r="K114" i="31"/>
  <c r="K109" i="31"/>
  <c r="K113" i="31"/>
  <c r="K108" i="31"/>
  <c r="K116" i="31"/>
  <c r="K251" i="31"/>
  <c r="K257" i="31" s="1"/>
  <c r="V138" i="37"/>
  <c r="K17" i="28"/>
  <c r="L171" i="28"/>
  <c r="P241" i="31"/>
  <c r="P243" i="31" s="1"/>
  <c r="L69" i="31"/>
  <c r="N83" i="28"/>
  <c r="O116" i="28"/>
  <c r="O108" i="28"/>
  <c r="O110" i="28"/>
  <c r="O113" i="28"/>
  <c r="O112" i="28"/>
  <c r="O109" i="28"/>
  <c r="O114" i="28"/>
  <c r="O97" i="28"/>
  <c r="N153" i="31"/>
  <c r="J265" i="31"/>
  <c r="T118" i="31"/>
  <c r="BR131" i="43"/>
  <c r="O220" i="31"/>
  <c r="O221" i="31"/>
  <c r="O226" i="31"/>
  <c r="O228" i="31"/>
  <c r="O222" i="31"/>
  <c r="O225" i="31"/>
  <c r="O224" i="31"/>
  <c r="J221" i="41"/>
  <c r="V9" i="41"/>
  <c r="AT9" i="41" s="1"/>
  <c r="R55" i="41"/>
  <c r="AA263" i="41"/>
  <c r="AA348" i="41" s="1"/>
  <c r="BO317" i="45"/>
  <c r="AP94" i="41"/>
  <c r="AD60" i="41"/>
  <c r="AD264" i="41" s="1"/>
  <c r="AD349" i="41" s="1"/>
  <c r="M209" i="41"/>
  <c r="J238" i="41"/>
  <c r="W240" i="37"/>
  <c r="S55" i="41"/>
  <c r="AG154" i="41"/>
  <c r="AO154" i="41" s="1"/>
  <c r="AG151" i="41"/>
  <c r="AO151" i="41" s="1"/>
  <c r="AO145" i="41"/>
  <c r="AG149" i="41"/>
  <c r="AO149" i="41" s="1"/>
  <c r="W36" i="37"/>
  <c r="V40" i="41"/>
  <c r="AT40" i="41" s="1"/>
  <c r="N135" i="41"/>
  <c r="M140" i="41"/>
  <c r="N71" i="41"/>
  <c r="P237" i="28"/>
  <c r="O83" i="28"/>
  <c r="M202" i="41"/>
  <c r="F38" i="41"/>
  <c r="K45" i="37"/>
  <c r="BO232" i="45"/>
  <c r="AM219" i="41"/>
  <c r="AQ219" i="41" s="1"/>
  <c r="AG157" i="41"/>
  <c r="AO157" i="41" s="1"/>
  <c r="N184" i="41"/>
  <c r="L113" i="31"/>
  <c r="L112" i="31"/>
  <c r="L110" i="31"/>
  <c r="L116" i="31"/>
  <c r="L109" i="31"/>
  <c r="L114" i="31"/>
  <c r="L191" i="31"/>
  <c r="L108" i="31"/>
  <c r="L53" i="28"/>
  <c r="L58" i="28"/>
  <c r="L52" i="28"/>
  <c r="L60" i="28"/>
  <c r="L57" i="28"/>
  <c r="L56" i="28"/>
  <c r="L191" i="28"/>
  <c r="L54" i="28"/>
  <c r="T13" i="34"/>
  <c r="N241" i="31"/>
  <c r="N167" i="31"/>
  <c r="O120" i="41"/>
  <c r="I71" i="41"/>
  <c r="M83" i="41"/>
  <c r="M173" i="41"/>
  <c r="AI116" i="41"/>
  <c r="AQ116" i="41" s="1"/>
  <c r="I136" i="41"/>
  <c r="AC101" i="41"/>
  <c r="AO101" i="41" s="1"/>
  <c r="I239" i="41"/>
  <c r="Y130" i="37"/>
  <c r="R38" i="41"/>
  <c r="BV13" i="34"/>
  <c r="S38" i="41"/>
  <c r="BR156" i="43"/>
  <c r="BR147" i="43" s="1"/>
  <c r="AI152" i="41"/>
  <c r="AQ152" i="41" s="1"/>
  <c r="AJ17" i="34"/>
  <c r="I286" i="41"/>
  <c r="W336" i="41"/>
  <c r="AU336" i="41" s="1"/>
  <c r="AT247" i="41"/>
  <c r="U215" i="37"/>
  <c r="N66" i="41"/>
  <c r="N185" i="41"/>
  <c r="M171" i="41"/>
  <c r="AD155" i="37"/>
  <c r="K87" i="37"/>
  <c r="O88" i="41"/>
  <c r="K125" i="31"/>
  <c r="AC215" i="37"/>
  <c r="F49" i="41"/>
  <c r="AL222" i="41"/>
  <c r="AP222" i="41" s="1"/>
  <c r="K219" i="41"/>
  <c r="L97" i="31"/>
  <c r="BT122" i="43"/>
  <c r="AM182" i="41"/>
  <c r="AQ182" i="41" s="1"/>
  <c r="O131" i="28"/>
  <c r="BT97" i="43"/>
  <c r="P220" i="31"/>
  <c r="P226" i="31"/>
  <c r="P221" i="31"/>
  <c r="P222" i="31"/>
  <c r="P224" i="31"/>
  <c r="P228" i="31"/>
  <c r="P225" i="31"/>
  <c r="O110" i="31"/>
  <c r="O112" i="31"/>
  <c r="O108" i="31"/>
  <c r="O113" i="31"/>
  <c r="O116" i="31"/>
  <c r="O114" i="31"/>
  <c r="O109" i="31"/>
  <c r="R70" i="45"/>
  <c r="J289" i="41"/>
  <c r="J112" i="33"/>
  <c r="J114" i="33"/>
  <c r="J116" i="33"/>
  <c r="J109" i="33"/>
  <c r="J113" i="33"/>
  <c r="J108" i="33"/>
  <c r="J110" i="33"/>
  <c r="AH250" i="43"/>
  <c r="J294" i="41"/>
  <c r="T171" i="33"/>
  <c r="AC70" i="45"/>
  <c r="AE164" i="45"/>
  <c r="R209" i="33"/>
  <c r="R215" i="33" s="1"/>
  <c r="R326" i="43"/>
  <c r="E36" i="45"/>
  <c r="L55" i="33"/>
  <c r="L61" i="33" s="1"/>
  <c r="Z156" i="43"/>
  <c r="T173" i="43"/>
  <c r="S69" i="33"/>
  <c r="AC240" i="45"/>
  <c r="J79" i="45"/>
  <c r="AE139" i="43"/>
  <c r="AD104" i="45"/>
  <c r="R237" i="30"/>
  <c r="AF199" i="43"/>
  <c r="AE199" i="43"/>
  <c r="S240" i="45"/>
  <c r="R190" i="43"/>
  <c r="L101" i="33"/>
  <c r="K114" i="30"/>
  <c r="K109" i="30"/>
  <c r="K116" i="30"/>
  <c r="K112" i="30"/>
  <c r="K108" i="30"/>
  <c r="K113" i="30"/>
  <c r="K110" i="30"/>
  <c r="J292" i="41"/>
  <c r="O80" i="43"/>
  <c r="R182" i="43"/>
  <c r="R113" i="45"/>
  <c r="K241" i="43"/>
  <c r="K258" i="43"/>
  <c r="K97" i="43"/>
  <c r="K96" i="43" s="1"/>
  <c r="I62" i="45"/>
  <c r="L318" i="43"/>
  <c r="T157" i="33"/>
  <c r="AD172" i="45"/>
  <c r="T167" i="33"/>
  <c r="W326" i="43"/>
  <c r="K233" i="43"/>
  <c r="T153" i="33"/>
  <c r="T13" i="30"/>
  <c r="K198" i="45"/>
  <c r="M96" i="45"/>
  <c r="L69" i="33"/>
  <c r="L75" i="33" s="1"/>
  <c r="AM287" i="41"/>
  <c r="AQ287" i="41" s="1"/>
  <c r="AL290" i="41"/>
  <c r="AP290" i="41" s="1"/>
  <c r="N207" i="43"/>
  <c r="I189" i="45"/>
  <c r="K250" i="43"/>
  <c r="R241" i="30"/>
  <c r="K54" i="43"/>
  <c r="T58" i="33"/>
  <c r="T53" i="33"/>
  <c r="T60" i="33"/>
  <c r="T57" i="33"/>
  <c r="T52" i="33"/>
  <c r="T54" i="33"/>
  <c r="T56" i="33"/>
  <c r="O181" i="45"/>
  <c r="L125" i="33"/>
  <c r="AK292" i="41"/>
  <c r="P88" i="43"/>
  <c r="L114" i="30"/>
  <c r="L113" i="30"/>
  <c r="L116" i="30"/>
  <c r="L110" i="30"/>
  <c r="L112" i="30"/>
  <c r="L108" i="30"/>
  <c r="L109" i="30"/>
  <c r="N164" i="45"/>
  <c r="O209" i="28"/>
  <c r="G206" i="28"/>
  <c r="S57" i="30"/>
  <c r="S52" i="30"/>
  <c r="S58" i="30"/>
  <c r="S53" i="30"/>
  <c r="S60" i="30"/>
  <c r="S56" i="30"/>
  <c r="S54" i="30"/>
  <c r="J157" i="33"/>
  <c r="AI165" i="43"/>
  <c r="AM293" i="41"/>
  <c r="AQ293" i="41" s="1"/>
  <c r="AM292" i="41"/>
  <c r="W131" i="43"/>
  <c r="AA250" i="43"/>
  <c r="L129" i="33"/>
  <c r="V131" i="43"/>
  <c r="K148" i="43"/>
  <c r="Y215" i="45"/>
  <c r="L131" i="43"/>
  <c r="T27" i="30"/>
  <c r="L143" i="30"/>
  <c r="L145" i="30" s="1"/>
  <c r="R116" i="30"/>
  <c r="R114" i="30"/>
  <c r="R109" i="30"/>
  <c r="R110" i="30"/>
  <c r="R112" i="30"/>
  <c r="R108" i="30"/>
  <c r="R113" i="30"/>
  <c r="AE79" i="45"/>
  <c r="L199" i="30"/>
  <c r="AD121" i="45"/>
  <c r="M53" i="45"/>
  <c r="AL294" i="41"/>
  <c r="AP294" i="41" s="1"/>
  <c r="P250" i="43"/>
  <c r="I283" i="45"/>
  <c r="R148" i="43"/>
  <c r="O36" i="45"/>
  <c r="O165" i="43"/>
  <c r="K167" i="33"/>
  <c r="J223" i="45"/>
  <c r="AI173" i="43"/>
  <c r="S53" i="45"/>
  <c r="T83" i="33"/>
  <c r="Q172" i="45"/>
  <c r="L195" i="30"/>
  <c r="L209" i="33"/>
  <c r="S101" i="33"/>
  <c r="T113" i="33"/>
  <c r="T108" i="33"/>
  <c r="T114" i="33"/>
  <c r="T112" i="33"/>
  <c r="T109" i="33"/>
  <c r="T116" i="33"/>
  <c r="T110" i="33"/>
  <c r="AJ63" i="43"/>
  <c r="AJ62" i="43" s="1"/>
  <c r="W206" i="45"/>
  <c r="AD199" i="43"/>
  <c r="AE189" i="45"/>
  <c r="AJ105" i="43"/>
  <c r="J114" i="30"/>
  <c r="J112" i="30"/>
  <c r="J109" i="30"/>
  <c r="J116" i="30"/>
  <c r="J110" i="30"/>
  <c r="J113" i="30"/>
  <c r="J108" i="30"/>
  <c r="J207" i="43"/>
  <c r="E79" i="45"/>
  <c r="J121" i="45"/>
  <c r="K37" i="43"/>
  <c r="R143" i="33"/>
  <c r="L153" i="33"/>
  <c r="AF139" i="43"/>
  <c r="X173" i="43"/>
  <c r="J143" i="33"/>
  <c r="K114" i="43"/>
  <c r="Z27" i="45"/>
  <c r="I288" i="41"/>
  <c r="V147" i="45"/>
  <c r="K153" i="33"/>
  <c r="W198" i="45"/>
  <c r="R164" i="45"/>
  <c r="AJ37" i="43"/>
  <c r="AL285" i="41"/>
  <c r="AP285" i="41" s="1"/>
  <c r="J167" i="30"/>
  <c r="AH12" i="43"/>
  <c r="H262" i="28"/>
  <c r="AB165" i="43"/>
  <c r="V155" i="45"/>
  <c r="J286" i="41"/>
  <c r="H262" i="31"/>
  <c r="N45" i="45"/>
  <c r="L83" i="30"/>
  <c r="O121" i="45"/>
  <c r="L213" i="33"/>
  <c r="X233" i="43"/>
  <c r="Q79" i="45"/>
  <c r="V54" i="43"/>
  <c r="K201" i="30"/>
  <c r="K172" i="45"/>
  <c r="K163" i="45" s="1"/>
  <c r="N318" i="43"/>
  <c r="T129" i="30"/>
  <c r="R37" i="43"/>
  <c r="S326" i="43"/>
  <c r="AL284" i="41"/>
  <c r="I155" i="45"/>
  <c r="J129" i="30"/>
  <c r="L114" i="33"/>
  <c r="L108" i="33"/>
  <c r="L109" i="33"/>
  <c r="L116" i="33"/>
  <c r="L113" i="33"/>
  <c r="L110" i="33"/>
  <c r="L112" i="33"/>
  <c r="K156" i="43"/>
  <c r="R167" i="33"/>
  <c r="R195" i="30"/>
  <c r="V105" i="43"/>
  <c r="S29" i="43"/>
  <c r="L97" i="33"/>
  <c r="AK284" i="41"/>
  <c r="AC121" i="45"/>
  <c r="K125" i="30"/>
  <c r="AA258" i="43"/>
  <c r="V326" i="43"/>
  <c r="Z148" i="43"/>
  <c r="O88" i="43"/>
  <c r="T17" i="30"/>
  <c r="O164" i="45"/>
  <c r="R83" i="30"/>
  <c r="AM288" i="41"/>
  <c r="AQ288" i="41" s="1"/>
  <c r="V182" i="43"/>
  <c r="AL292" i="41"/>
  <c r="O233" i="43"/>
  <c r="O232" i="43" s="1"/>
  <c r="W87" i="45"/>
  <c r="G79" i="45"/>
  <c r="X258" i="43"/>
  <c r="K139" i="43"/>
  <c r="J11" i="45"/>
  <c r="AL289" i="41"/>
  <c r="AP289" i="41" s="1"/>
  <c r="AD37" i="43"/>
  <c r="R114" i="43"/>
  <c r="N147" i="43"/>
  <c r="L173" i="43"/>
  <c r="AC351" i="45"/>
  <c r="AI250" i="43"/>
  <c r="J153" i="33"/>
  <c r="AE181" i="45"/>
  <c r="AM284" i="41"/>
  <c r="J209" i="30"/>
  <c r="R240" i="45"/>
  <c r="P209" i="31"/>
  <c r="X250" i="43"/>
  <c r="P182" i="43"/>
  <c r="V104" i="45"/>
  <c r="AB258" i="43"/>
  <c r="J290" i="41"/>
  <c r="L139" i="43"/>
  <c r="L167" i="33"/>
  <c r="K83" i="30"/>
  <c r="K89" i="30" s="1"/>
  <c r="AC62" i="45"/>
  <c r="AA96" i="45"/>
  <c r="N199" i="43"/>
  <c r="Q198" i="45"/>
  <c r="R104" i="45"/>
  <c r="L125" i="30"/>
  <c r="R60" i="30"/>
  <c r="R56" i="30"/>
  <c r="R58" i="30"/>
  <c r="R54" i="30"/>
  <c r="R53" i="30"/>
  <c r="R52" i="30"/>
  <c r="R57" i="30"/>
  <c r="V63" i="43"/>
  <c r="J114" i="43"/>
  <c r="AI29" i="43"/>
  <c r="U104" i="45"/>
  <c r="AI97" i="43"/>
  <c r="AD105" i="43"/>
  <c r="J195" i="30"/>
  <c r="V318" i="43"/>
  <c r="U45" i="45"/>
  <c r="T97" i="43"/>
  <c r="W11" i="43"/>
  <c r="N63" i="43"/>
  <c r="L157" i="33"/>
  <c r="J139" i="33"/>
  <c r="AE63" i="43"/>
  <c r="R223" i="45"/>
  <c r="K41" i="30"/>
  <c r="I294" i="41"/>
  <c r="R172" i="45"/>
  <c r="Q232" i="45"/>
  <c r="J215" i="45"/>
  <c r="L265" i="33"/>
  <c r="L271" i="33" s="1"/>
  <c r="K265" i="33"/>
  <c r="R41" i="33"/>
  <c r="P209" i="28"/>
  <c r="H206" i="28"/>
  <c r="K79" i="45"/>
  <c r="K131" i="43"/>
  <c r="V45" i="45"/>
  <c r="V44" i="45" s="1"/>
  <c r="AA173" i="43"/>
  <c r="O62" i="45"/>
  <c r="R29" i="43"/>
  <c r="T139" i="30"/>
  <c r="J287" i="41"/>
  <c r="U155" i="45"/>
  <c r="X139" i="43"/>
  <c r="Z240" i="45"/>
  <c r="AI105" i="43"/>
  <c r="Q164" i="45"/>
  <c r="L87" i="30"/>
  <c r="V190" i="43"/>
  <c r="E28" i="45"/>
  <c r="O189" i="45"/>
  <c r="S97" i="33"/>
  <c r="T143" i="30"/>
  <c r="S57" i="33"/>
  <c r="S52" i="33"/>
  <c r="S58" i="33"/>
  <c r="S53" i="33"/>
  <c r="S60" i="33"/>
  <c r="S54" i="33"/>
  <c r="S56" i="33"/>
  <c r="AB173" i="43"/>
  <c r="N46" i="43"/>
  <c r="AC147" i="45"/>
  <c r="P29" i="43"/>
  <c r="P28" i="43" s="1"/>
  <c r="AC232" i="45"/>
  <c r="S232" i="45"/>
  <c r="Q215" i="45"/>
  <c r="AM290" i="41"/>
  <c r="AQ290" i="41" s="1"/>
  <c r="R13" i="30"/>
  <c r="R19" i="30" s="1"/>
  <c r="W45" i="45"/>
  <c r="V97" i="43"/>
  <c r="S116" i="30"/>
  <c r="S110" i="30"/>
  <c r="S112" i="30"/>
  <c r="S113" i="30"/>
  <c r="S109" i="30"/>
  <c r="S114" i="30"/>
  <c r="S108" i="30"/>
  <c r="AD207" i="43"/>
  <c r="AM286" i="41"/>
  <c r="AQ286" i="41" s="1"/>
  <c r="G274" i="45"/>
  <c r="L250" i="43"/>
  <c r="J29" i="43"/>
  <c r="S31" i="30"/>
  <c r="AD232" i="45"/>
  <c r="J199" i="43"/>
  <c r="O209" i="31"/>
  <c r="G206" i="31"/>
  <c r="L171" i="33"/>
  <c r="AD96" i="45"/>
  <c r="AC155" i="45"/>
  <c r="I284" i="41"/>
  <c r="AJ97" i="43"/>
  <c r="J56" i="30"/>
  <c r="J52" i="30"/>
  <c r="J58" i="30"/>
  <c r="J60" i="30"/>
  <c r="J57" i="30"/>
  <c r="J54" i="30"/>
  <c r="J53" i="30"/>
  <c r="J199" i="30"/>
  <c r="Q206" i="45"/>
  <c r="P80" i="43"/>
  <c r="L129" i="30"/>
  <c r="J171" i="30"/>
  <c r="S125" i="30"/>
  <c r="S131" i="30" s="1"/>
  <c r="AL287" i="41"/>
  <c r="AP287" i="41" s="1"/>
  <c r="J63" i="43"/>
  <c r="J113" i="45"/>
  <c r="AA232" i="45"/>
  <c r="I292" i="41"/>
  <c r="S157" i="33"/>
  <c r="AD139" i="43"/>
  <c r="K139" i="30"/>
  <c r="K145" i="30" s="1"/>
  <c r="J19" i="45"/>
  <c r="K96" i="45"/>
  <c r="K181" i="45"/>
  <c r="S96" i="45"/>
  <c r="S95" i="45" s="1"/>
  <c r="R155" i="45"/>
  <c r="X12" i="43"/>
  <c r="N114" i="43"/>
  <c r="F45" i="45"/>
  <c r="V147" i="43"/>
  <c r="N71" i="43"/>
  <c r="P105" i="43"/>
  <c r="F138" i="45"/>
  <c r="U281" i="41"/>
  <c r="AS281" i="41" s="1"/>
  <c r="I287" i="41"/>
  <c r="AI12" i="43"/>
  <c r="I290" i="41"/>
  <c r="R45" i="33"/>
  <c r="AJ29" i="43"/>
  <c r="Y240" i="45"/>
  <c r="S69" i="30"/>
  <c r="S75" i="30" s="1"/>
  <c r="AH148" i="43"/>
  <c r="J41" i="30"/>
  <c r="AD164" i="45"/>
  <c r="P213" i="28"/>
  <c r="K87" i="45"/>
  <c r="L17" i="30"/>
  <c r="AA165" i="43"/>
  <c r="J285" i="41"/>
  <c r="P213" i="31"/>
  <c r="X131" i="43"/>
  <c r="J155" i="45"/>
  <c r="T87" i="33"/>
  <c r="Z241" i="43"/>
  <c r="R121" i="45"/>
  <c r="O113" i="45"/>
  <c r="L241" i="43"/>
  <c r="W46" i="43"/>
  <c r="Z122" i="43"/>
  <c r="W199" i="43"/>
  <c r="S269" i="30"/>
  <c r="X241" i="43"/>
  <c r="K55" i="30"/>
  <c r="K27" i="33"/>
  <c r="V46" i="43"/>
  <c r="AK289" i="41"/>
  <c r="AO289" i="41" s="1"/>
  <c r="F275" i="41"/>
  <c r="U45" i="37"/>
  <c r="Q47" i="41"/>
  <c r="K71" i="41"/>
  <c r="O114" i="41"/>
  <c r="I165" i="41"/>
  <c r="O177" i="37"/>
  <c r="AM165" i="41"/>
  <c r="I241" i="41"/>
  <c r="E240" i="37"/>
  <c r="J173" i="41"/>
  <c r="R96" i="37"/>
  <c r="J98" i="41"/>
  <c r="Y79" i="37"/>
  <c r="Y82" i="41"/>
  <c r="O115" i="41"/>
  <c r="I202" i="41"/>
  <c r="J122" i="41"/>
  <c r="N149" i="41"/>
  <c r="J147" i="37"/>
  <c r="AL199" i="41"/>
  <c r="N198" i="37"/>
  <c r="E87" i="37"/>
  <c r="I88" i="41"/>
  <c r="M224" i="41"/>
  <c r="I223" i="37"/>
  <c r="AP77" i="41"/>
  <c r="Z60" i="41"/>
  <c r="AK186" i="41"/>
  <c r="AO186" i="41" s="1"/>
  <c r="J130" i="37"/>
  <c r="N85" i="41"/>
  <c r="AH134" i="41"/>
  <c r="AP134" i="41" s="1"/>
  <c r="U96" i="37"/>
  <c r="V215" i="37"/>
  <c r="N216" i="41"/>
  <c r="AL238" i="41"/>
  <c r="AP238" i="41" s="1"/>
  <c r="AM241" i="41"/>
  <c r="O240" i="37"/>
  <c r="AM185" i="41"/>
  <c r="AQ185" i="41" s="1"/>
  <c r="J240" i="37"/>
  <c r="BS12" i="43"/>
  <c r="K82" i="41"/>
  <c r="G17" i="41"/>
  <c r="G130" i="37"/>
  <c r="K131" i="41"/>
  <c r="AC99" i="41"/>
  <c r="Q46" i="41"/>
  <c r="G50" i="41"/>
  <c r="J199" i="41"/>
  <c r="F198" i="37"/>
  <c r="BZ17" i="34"/>
  <c r="J166" i="41"/>
  <c r="Y87" i="37"/>
  <c r="Y88" i="41"/>
  <c r="AH116" i="41"/>
  <c r="N170" i="41"/>
  <c r="S87" i="37"/>
  <c r="I133" i="41"/>
  <c r="J116" i="41"/>
  <c r="AL182" i="41"/>
  <c r="N181" i="37"/>
  <c r="AM202" i="41"/>
  <c r="AQ202" i="41" s="1"/>
  <c r="J155" i="37"/>
  <c r="N156" i="41"/>
  <c r="J114" i="41"/>
  <c r="AL207" i="41"/>
  <c r="N206" i="37"/>
  <c r="N105" i="41"/>
  <c r="J104" i="37"/>
  <c r="M219" i="41"/>
  <c r="I215" i="37"/>
  <c r="I206" i="37"/>
  <c r="AG134" i="41"/>
  <c r="AO134" i="41" s="1"/>
  <c r="M130" i="37"/>
  <c r="Q240" i="37"/>
  <c r="Z89" i="41"/>
  <c r="V36" i="37"/>
  <c r="R33" i="41"/>
  <c r="I107" i="41"/>
  <c r="J148" i="41"/>
  <c r="F147" i="37"/>
  <c r="AH136" i="41"/>
  <c r="AP136" i="41" s="1"/>
  <c r="AK188" i="41"/>
  <c r="AO188" i="41" s="1"/>
  <c r="N100" i="41"/>
  <c r="BM36" i="45"/>
  <c r="R17" i="41"/>
  <c r="R272" i="41" s="1"/>
  <c r="R357" i="41" s="1"/>
  <c r="N240" i="37"/>
  <c r="AL241" i="41"/>
  <c r="I169" i="41"/>
  <c r="J72" i="41"/>
  <c r="S14" i="41"/>
  <c r="S269" i="41" s="1"/>
  <c r="S354" i="41" s="1"/>
  <c r="M89" i="41"/>
  <c r="G30" i="41"/>
  <c r="O189" i="37"/>
  <c r="K181" i="37"/>
  <c r="BS46" i="43"/>
  <c r="W128" i="41"/>
  <c r="AU128" i="41" s="1"/>
  <c r="K81" i="41"/>
  <c r="I79" i="37"/>
  <c r="K132" i="41"/>
  <c r="M96" i="37"/>
  <c r="BT165" i="43"/>
  <c r="W43" i="41"/>
  <c r="AU43" i="41" s="1"/>
  <c r="J174" i="41"/>
  <c r="V162" i="41"/>
  <c r="J168" i="41"/>
  <c r="J170" i="41"/>
  <c r="J165" i="41"/>
  <c r="AM207" i="41"/>
  <c r="O206" i="37"/>
  <c r="Y263" i="41"/>
  <c r="S189" i="37"/>
  <c r="K190" i="41"/>
  <c r="S49" i="41"/>
  <c r="BN172" i="45"/>
  <c r="AL183" i="41"/>
  <c r="AP183" i="41" s="1"/>
  <c r="V26" i="41"/>
  <c r="AT26" i="41" s="1"/>
  <c r="F30" i="41"/>
  <c r="F39" i="41"/>
  <c r="I87" i="37"/>
  <c r="AL208" i="41"/>
  <c r="AP208" i="41" s="1"/>
  <c r="O116" i="41"/>
  <c r="AG137" i="41"/>
  <c r="AO137" i="41" s="1"/>
  <c r="Z88" i="41"/>
  <c r="Z87" i="37"/>
  <c r="R32" i="41"/>
  <c r="U94" i="41"/>
  <c r="I99" i="41"/>
  <c r="Z80" i="41"/>
  <c r="Q21" i="41"/>
  <c r="Q276" i="41" s="1"/>
  <c r="Q361" i="41" s="1"/>
  <c r="AH132" i="41"/>
  <c r="AP132" i="41" s="1"/>
  <c r="Q12" i="41"/>
  <c r="N82" i="41"/>
  <c r="AG141" i="41"/>
  <c r="AO141" i="41" s="1"/>
  <c r="R13" i="41"/>
  <c r="R268" i="41" s="1"/>
  <c r="R353" i="41" s="1"/>
  <c r="BS139" i="43"/>
  <c r="N232" i="37"/>
  <c r="AL233" i="41"/>
  <c r="I189" i="37"/>
  <c r="J65" i="41"/>
  <c r="I264" i="41"/>
  <c r="I349" i="41" s="1"/>
  <c r="U162" i="41"/>
  <c r="O107" i="41"/>
  <c r="K104" i="37"/>
  <c r="K216" i="41"/>
  <c r="G215" i="37"/>
  <c r="V104" i="37"/>
  <c r="G36" i="37"/>
  <c r="G37" i="41"/>
  <c r="K189" i="37"/>
  <c r="O190" i="41"/>
  <c r="BT301" i="43"/>
  <c r="AN13" i="34"/>
  <c r="K86" i="41"/>
  <c r="M80" i="41"/>
  <c r="G21" i="41"/>
  <c r="G12" i="41"/>
  <c r="K140" i="41"/>
  <c r="J167" i="41"/>
  <c r="AK209" i="41"/>
  <c r="M206" i="37"/>
  <c r="AQ196" i="41"/>
  <c r="AM205" i="41"/>
  <c r="AQ205" i="41" s="1"/>
  <c r="AM199" i="41"/>
  <c r="AM201" i="41"/>
  <c r="AQ201" i="41" s="1"/>
  <c r="N169" i="41"/>
  <c r="R79" i="37"/>
  <c r="J80" i="41"/>
  <c r="E47" i="41"/>
  <c r="Q138" i="37"/>
  <c r="J124" i="41"/>
  <c r="AL190" i="41"/>
  <c r="N189" i="37"/>
  <c r="F29" i="41"/>
  <c r="R28" i="37"/>
  <c r="W215" i="37"/>
  <c r="O218" i="41"/>
  <c r="N152" i="41"/>
  <c r="N148" i="41"/>
  <c r="N157" i="41"/>
  <c r="N153" i="41"/>
  <c r="N150" i="41"/>
  <c r="BM70" i="45"/>
  <c r="J96" i="37"/>
  <c r="N97" i="41"/>
  <c r="I84" i="41"/>
  <c r="M221" i="41"/>
  <c r="N241" i="41"/>
  <c r="N234" i="41"/>
  <c r="N239" i="41"/>
  <c r="M138" i="37"/>
  <c r="AG139" i="41"/>
  <c r="F34" i="41"/>
  <c r="V28" i="37"/>
  <c r="R34" i="41"/>
  <c r="I105" i="41"/>
  <c r="E104" i="37"/>
  <c r="AH133" i="41"/>
  <c r="AP133" i="41" s="1"/>
  <c r="J191" i="41"/>
  <c r="U79" i="37"/>
  <c r="U78" i="37" s="1"/>
  <c r="R20" i="41"/>
  <c r="AL239" i="41"/>
  <c r="AP239" i="41" s="1"/>
  <c r="BS292" i="43"/>
  <c r="J115" i="41"/>
  <c r="CB13" i="34"/>
  <c r="I168" i="41"/>
  <c r="K187" i="41"/>
  <c r="K224" i="41"/>
  <c r="G223" i="37"/>
  <c r="AI150" i="41"/>
  <c r="AQ150" i="41" s="1"/>
  <c r="AQ145" i="41"/>
  <c r="AI149" i="41"/>
  <c r="AQ149" i="41" s="1"/>
  <c r="AI153" i="41"/>
  <c r="AQ153" i="41" s="1"/>
  <c r="AI148" i="41"/>
  <c r="AI158" i="41"/>
  <c r="AQ158" i="41" s="1"/>
  <c r="AB18" i="34"/>
  <c r="AB11" i="34"/>
  <c r="AB16" i="34"/>
  <c r="AB10" i="34"/>
  <c r="AB12" i="34"/>
  <c r="AB15" i="34"/>
  <c r="AB14" i="34"/>
  <c r="AB23" i="34"/>
  <c r="I98" i="41"/>
  <c r="BT29" i="43"/>
  <c r="K83" i="41"/>
  <c r="K136" i="41"/>
  <c r="AI157" i="41"/>
  <c r="AQ157" i="41" s="1"/>
  <c r="G22" i="41"/>
  <c r="AA88" i="41"/>
  <c r="O87" i="37"/>
  <c r="CI17" i="34"/>
  <c r="I233" i="41"/>
  <c r="AI139" i="41"/>
  <c r="O138" i="37"/>
  <c r="AE147" i="37"/>
  <c r="AE278" i="41"/>
  <c r="AP179" i="41"/>
  <c r="AL191" i="41"/>
  <c r="AP191" i="41" s="1"/>
  <c r="AL184" i="41"/>
  <c r="AP184" i="41" s="1"/>
  <c r="O122" i="41"/>
  <c r="AG136" i="41"/>
  <c r="AO136" i="41" s="1"/>
  <c r="I238" i="41"/>
  <c r="N83" i="41"/>
  <c r="I103" i="41"/>
  <c r="J185" i="41"/>
  <c r="N17" i="34"/>
  <c r="AH140" i="41"/>
  <c r="AP140" i="41" s="1"/>
  <c r="F215" i="37"/>
  <c r="Q20" i="41"/>
  <c r="N151" i="41"/>
  <c r="R14" i="41"/>
  <c r="R269" i="41" s="1"/>
  <c r="R354" i="41" s="1"/>
  <c r="N89" i="41"/>
  <c r="AL237" i="41"/>
  <c r="AP237" i="41" s="1"/>
  <c r="BX13" i="34"/>
  <c r="I174" i="41"/>
  <c r="AY25" i="34"/>
  <c r="AA23" i="34"/>
  <c r="O139" i="41"/>
  <c r="S50" i="41"/>
  <c r="O241" i="41"/>
  <c r="BT114" i="43"/>
  <c r="O243" i="41"/>
  <c r="N99" i="41"/>
  <c r="BS318" i="43"/>
  <c r="BT156" i="43"/>
  <c r="S56" i="41"/>
  <c r="O181" i="37"/>
  <c r="AD232" i="37"/>
  <c r="I198" i="37"/>
  <c r="K84" i="41"/>
  <c r="BT37" i="43"/>
  <c r="AI156" i="41"/>
  <c r="G13" i="41"/>
  <c r="E21" i="41"/>
  <c r="AI137" i="41"/>
  <c r="AQ137" i="41" s="1"/>
  <c r="G11" i="37"/>
  <c r="O198" i="37"/>
  <c r="AM200" i="41"/>
  <c r="AQ200" i="41" s="1"/>
  <c r="AK191" i="41"/>
  <c r="AO191" i="41" s="1"/>
  <c r="Y189" i="37"/>
  <c r="AP128" i="41"/>
  <c r="AH141" i="41"/>
  <c r="AP141" i="41" s="1"/>
  <c r="AH139" i="41"/>
  <c r="AH135" i="41"/>
  <c r="AP135" i="41" s="1"/>
  <c r="R12" i="41"/>
  <c r="S48" i="41"/>
  <c r="W9" i="41"/>
  <c r="AU9" i="41" s="1"/>
  <c r="G264" i="41"/>
  <c r="R130" i="37"/>
  <c r="J131" i="41"/>
  <c r="AL192" i="41"/>
  <c r="AP192" i="41" s="1"/>
  <c r="O264" i="41"/>
  <c r="O272" i="41" s="1"/>
  <c r="M63" i="41"/>
  <c r="AL185" i="41"/>
  <c r="AP185" i="41" s="1"/>
  <c r="R36" i="37"/>
  <c r="F37" i="41"/>
  <c r="Q181" i="37"/>
  <c r="I182" i="41"/>
  <c r="N140" i="41"/>
  <c r="J138" i="37"/>
  <c r="V43" i="41"/>
  <c r="AT43" i="41" s="1"/>
  <c r="R51" i="41"/>
  <c r="E39" i="41"/>
  <c r="N81" i="41"/>
  <c r="AL187" i="41"/>
  <c r="AP187" i="41" s="1"/>
  <c r="J36" i="37"/>
  <c r="R37" i="41"/>
  <c r="I100" i="41"/>
  <c r="E96" i="37"/>
  <c r="J190" i="41"/>
  <c r="F189" i="37"/>
  <c r="J232" i="37"/>
  <c r="AH131" i="41"/>
  <c r="N130" i="37"/>
  <c r="S52" i="41"/>
  <c r="S17" i="41"/>
  <c r="S272" i="41" s="1"/>
  <c r="S357" i="41" s="1"/>
  <c r="E198" i="37"/>
  <c r="AD240" i="37"/>
  <c r="BT71" i="43"/>
  <c r="BO147" i="45"/>
  <c r="AG131" i="41"/>
  <c r="G18" i="41"/>
  <c r="AI131" i="41"/>
  <c r="O130" i="37"/>
  <c r="O215" i="37"/>
  <c r="AM216" i="41"/>
  <c r="I28" i="37"/>
  <c r="G20" i="41"/>
  <c r="AH278" i="41"/>
  <c r="AH363" i="41" s="1"/>
  <c r="AP125" i="41"/>
  <c r="Q130" i="37"/>
  <c r="I131" i="41"/>
  <c r="J237" i="41"/>
  <c r="J206" i="37"/>
  <c r="N208" i="41"/>
  <c r="F240" i="37"/>
  <c r="U232" i="37"/>
  <c r="M233" i="41"/>
  <c r="AH115" i="41"/>
  <c r="K207" i="41"/>
  <c r="G206" i="37"/>
  <c r="J225" i="41"/>
  <c r="F223" i="37"/>
  <c r="N90" i="41"/>
  <c r="J182" i="41"/>
  <c r="F181" i="37"/>
  <c r="F13" i="41"/>
  <c r="U9" i="41"/>
  <c r="AS9" i="41" s="1"/>
  <c r="E264" i="41"/>
  <c r="E12" i="41"/>
  <c r="J205" i="41"/>
  <c r="BN240" i="45"/>
  <c r="E51" i="41"/>
  <c r="Q22" i="41"/>
  <c r="Q277" i="41" s="1"/>
  <c r="Q362" i="41" s="1"/>
  <c r="AP173" i="41"/>
  <c r="O220" i="41"/>
  <c r="S12" i="41"/>
  <c r="N80" i="41"/>
  <c r="AE96" i="37"/>
  <c r="G87" i="37"/>
  <c r="K88" i="41"/>
  <c r="BO138" i="45"/>
  <c r="O242" i="41"/>
  <c r="CI13" i="34"/>
  <c r="AM224" i="41"/>
  <c r="O223" i="37"/>
  <c r="I201" i="41"/>
  <c r="G47" i="41"/>
  <c r="AO179" i="41"/>
  <c r="AK192" i="41"/>
  <c r="AO192" i="41" s="1"/>
  <c r="AK187" i="41"/>
  <c r="AO187" i="41" s="1"/>
  <c r="AK190" i="41"/>
  <c r="AK183" i="41"/>
  <c r="AO183" i="41" s="1"/>
  <c r="AK184" i="41"/>
  <c r="AO184" i="41" s="1"/>
  <c r="AK182" i="41"/>
  <c r="I36" i="37"/>
  <c r="Q37" i="41"/>
  <c r="O170" i="41"/>
  <c r="K203" i="41"/>
  <c r="W229" i="41"/>
  <c r="AU229" i="41" s="1"/>
  <c r="AH120" i="41"/>
  <c r="E48" i="41"/>
  <c r="R52" i="41"/>
  <c r="AL165" i="41"/>
  <c r="O165" i="41"/>
  <c r="E50" i="41"/>
  <c r="W223" i="37"/>
  <c r="O224" i="41"/>
  <c r="BM121" i="45"/>
  <c r="J241" i="41"/>
  <c r="J239" i="41"/>
  <c r="V230" i="41"/>
  <c r="AT230" i="41" s="1"/>
  <c r="AE13" i="34"/>
  <c r="E33" i="41"/>
  <c r="V87" i="37"/>
  <c r="N88" i="41"/>
  <c r="AA36" i="37"/>
  <c r="J81" i="41"/>
  <c r="F79" i="37"/>
  <c r="E17" i="41"/>
  <c r="Z85" i="41"/>
  <c r="AA11" i="34"/>
  <c r="AA14" i="34"/>
  <c r="AA10" i="34"/>
  <c r="AA15" i="34"/>
  <c r="AA16" i="34"/>
  <c r="AA12" i="34"/>
  <c r="AA18" i="34"/>
  <c r="BR241" i="43"/>
  <c r="O216" i="41"/>
  <c r="K215" i="37"/>
  <c r="BR37" i="43"/>
  <c r="V60" i="41"/>
  <c r="J264" i="41"/>
  <c r="K102" i="41"/>
  <c r="S47" i="41"/>
  <c r="S21" i="41"/>
  <c r="S276" i="41" s="1"/>
  <c r="S361" i="41" s="1"/>
  <c r="V79" i="37"/>
  <c r="O235" i="41"/>
  <c r="K243" i="41"/>
  <c r="M97" i="41"/>
  <c r="G46" i="41"/>
  <c r="G45" i="37"/>
  <c r="AH124" i="41"/>
  <c r="AK168" i="41"/>
  <c r="M177" i="37"/>
  <c r="Q215" i="37"/>
  <c r="V74" i="41"/>
  <c r="J278" i="41"/>
  <c r="M264" i="41"/>
  <c r="M270" i="41" s="1"/>
  <c r="M64" i="41"/>
  <c r="I224" i="41"/>
  <c r="Q223" i="37"/>
  <c r="AL174" i="41"/>
  <c r="O173" i="41"/>
  <c r="S79" i="37"/>
  <c r="K80" i="41"/>
  <c r="E56" i="41"/>
  <c r="Q28" i="37"/>
  <c r="E29" i="41"/>
  <c r="S232" i="37"/>
  <c r="J236" i="41"/>
  <c r="Q33" i="41"/>
  <c r="AE17" i="34"/>
  <c r="R50" i="41"/>
  <c r="E34" i="41"/>
  <c r="O199" i="41"/>
  <c r="K198" i="37"/>
  <c r="M101" i="41"/>
  <c r="J85" i="41"/>
  <c r="J188" i="41"/>
  <c r="AG135" i="41"/>
  <c r="AO135" i="41" s="1"/>
  <c r="J208" i="41"/>
  <c r="BS284" i="43"/>
  <c r="J71" i="41"/>
  <c r="N236" i="41"/>
  <c r="K234" i="41"/>
  <c r="O28" i="37"/>
  <c r="V96" i="37"/>
  <c r="BO11" i="45"/>
  <c r="G31" i="41"/>
  <c r="K105" i="41"/>
  <c r="G79" i="37"/>
  <c r="AE240" i="37"/>
  <c r="AN17" i="34"/>
  <c r="AE232" i="37"/>
  <c r="S46" i="41"/>
  <c r="I181" i="37"/>
  <c r="Z23" i="34"/>
  <c r="AX25" i="34"/>
  <c r="M218" i="41"/>
  <c r="G56" i="41"/>
  <c r="AA28" i="37"/>
  <c r="S29" i="41"/>
  <c r="M69" i="41"/>
  <c r="M73" i="41"/>
  <c r="S36" i="37"/>
  <c r="N165" i="41"/>
  <c r="AL171" i="41"/>
  <c r="O175" i="41"/>
  <c r="Q53" i="37"/>
  <c r="I53" i="37"/>
  <c r="AM208" i="41"/>
  <c r="AQ208" i="41" s="1"/>
  <c r="Q18" i="41"/>
  <c r="Q273" i="41" s="1"/>
  <c r="Q358" i="41" s="1"/>
  <c r="M226" i="41"/>
  <c r="AL186" i="41"/>
  <c r="AP186" i="41" s="1"/>
  <c r="R56" i="41"/>
  <c r="E35" i="41"/>
  <c r="R30" i="41"/>
  <c r="M107" i="41"/>
  <c r="F87" i="37"/>
  <c r="J88" i="41"/>
  <c r="J186" i="41"/>
  <c r="F269" i="41"/>
  <c r="E20" i="41"/>
  <c r="J202" i="41"/>
  <c r="J171" i="41"/>
  <c r="AH118" i="41"/>
  <c r="BM172" i="45"/>
  <c r="BM163" i="45" s="1"/>
  <c r="AL243" i="41"/>
  <c r="AP243" i="41" s="1"/>
  <c r="W79" i="37"/>
  <c r="O80" i="41"/>
  <c r="O137" i="41"/>
  <c r="G232" i="37"/>
  <c r="K233" i="41"/>
  <c r="J69" i="41"/>
  <c r="G240" i="37"/>
  <c r="U213" i="41"/>
  <c r="G35" i="41"/>
  <c r="BT190" i="43"/>
  <c r="BO215" i="45"/>
  <c r="BO214" i="45" s="1"/>
  <c r="BO181" i="45"/>
  <c r="BN317" i="45"/>
  <c r="AQ77" i="41"/>
  <c r="AA60" i="41"/>
  <c r="AA80" i="41"/>
  <c r="AE28" i="37"/>
  <c r="AE27" i="37" s="1"/>
  <c r="G28" i="37"/>
  <c r="E28" i="37"/>
  <c r="G52" i="41"/>
  <c r="O124" i="41"/>
  <c r="R138" i="37"/>
  <c r="J140" i="41"/>
  <c r="V45" i="37"/>
  <c r="R47" i="41"/>
  <c r="Z232" i="37"/>
  <c r="O119" i="41"/>
  <c r="Q206" i="37"/>
  <c r="I207" i="41"/>
  <c r="K150" i="41"/>
  <c r="S28" i="37"/>
  <c r="Q263" i="41"/>
  <c r="Q348" i="41" s="1"/>
  <c r="U8" i="41"/>
  <c r="AS8" i="41" s="1"/>
  <c r="O117" i="41"/>
  <c r="M72" i="41"/>
  <c r="E54" i="41"/>
  <c r="AL264" i="41"/>
  <c r="AL349" i="41" s="1"/>
  <c r="AP162" i="41"/>
  <c r="E52" i="41"/>
  <c r="J119" i="41"/>
  <c r="Q36" i="37"/>
  <c r="BN62" i="45"/>
  <c r="Q17" i="41"/>
  <c r="Q272" i="41" s="1"/>
  <c r="Q357" i="41" s="1"/>
  <c r="R232" i="37"/>
  <c r="J233" i="41"/>
  <c r="M225" i="41"/>
  <c r="AA206" i="37"/>
  <c r="Z45" i="37"/>
  <c r="R46" i="41"/>
  <c r="E36" i="37"/>
  <c r="E37" i="41"/>
  <c r="Z86" i="41"/>
  <c r="R39" i="41"/>
  <c r="M105" i="41"/>
  <c r="I104" i="37"/>
  <c r="M104" i="37"/>
  <c r="J204" i="41"/>
  <c r="Q16" i="41"/>
  <c r="Q271" i="41" s="1"/>
  <c r="Q356" i="41" s="1"/>
  <c r="R54" i="41"/>
  <c r="V145" i="41"/>
  <c r="AT145" i="41" s="1"/>
  <c r="BS13" i="34"/>
  <c r="AL242" i="41"/>
  <c r="AP242" i="41" s="1"/>
  <c r="O132" i="41"/>
  <c r="O141" i="41"/>
  <c r="O136" i="41"/>
  <c r="O131" i="41"/>
  <c r="O133" i="41"/>
  <c r="AM242" i="41"/>
  <c r="AQ242" i="41" s="1"/>
  <c r="J73" i="41"/>
  <c r="K53" i="37"/>
  <c r="S54" i="41"/>
  <c r="S31" i="41"/>
  <c r="G34" i="41"/>
  <c r="BT139" i="43"/>
  <c r="K89" i="41"/>
  <c r="AA90" i="41"/>
  <c r="AE215" i="37"/>
  <c r="K134" i="41"/>
  <c r="BP13" i="34"/>
  <c r="AE155" i="37"/>
  <c r="BT173" i="43"/>
  <c r="G49" i="41"/>
  <c r="M217" i="41"/>
  <c r="M66" i="41"/>
  <c r="N173" i="41"/>
  <c r="AL175" i="41"/>
  <c r="Q45" i="37"/>
  <c r="E46" i="41"/>
  <c r="M71" i="41"/>
  <c r="J234" i="41"/>
  <c r="AG140" i="41"/>
  <c r="AO140" i="41" s="1"/>
  <c r="U26" i="41"/>
  <c r="AS26" i="41" s="1"/>
  <c r="E31" i="41"/>
  <c r="AG133" i="41"/>
  <c r="AO133" i="41" s="1"/>
  <c r="Z90" i="41"/>
  <c r="R29" i="41"/>
  <c r="J28" i="37"/>
  <c r="M100" i="41"/>
  <c r="I96" i="37"/>
  <c r="J156" i="41"/>
  <c r="F155" i="37"/>
  <c r="E22" i="41"/>
  <c r="J207" i="41"/>
  <c r="F206" i="37"/>
  <c r="M106" i="41"/>
  <c r="Q56" i="41"/>
  <c r="BS97" i="43"/>
  <c r="AL235" i="41"/>
  <c r="AP235" i="41" s="1"/>
  <c r="AM234" i="41"/>
  <c r="I173" i="41"/>
  <c r="J63" i="41"/>
  <c r="AH147" i="41"/>
  <c r="E13" i="41"/>
  <c r="W87" i="37"/>
  <c r="W26" i="41"/>
  <c r="AU26" i="41" s="1"/>
  <c r="BO53" i="45"/>
  <c r="O135" i="41"/>
  <c r="K90" i="41"/>
  <c r="K139" i="41"/>
  <c r="G138" i="37"/>
  <c r="Q30" i="41"/>
  <c r="AI133" i="41"/>
  <c r="AQ133" i="41" s="1"/>
  <c r="G51" i="41"/>
  <c r="G54" i="41"/>
  <c r="G53" i="37"/>
  <c r="AH123" i="41"/>
  <c r="AH264" i="41"/>
  <c r="AH349" i="41" s="1"/>
  <c r="AH122" i="41"/>
  <c r="AH117" i="41"/>
  <c r="AP111" i="41"/>
  <c r="AH119" i="41"/>
  <c r="J106" i="41"/>
  <c r="R104" i="37"/>
  <c r="E206" i="37"/>
  <c r="I208" i="41"/>
  <c r="AL166" i="41"/>
  <c r="AI114" i="41"/>
  <c r="F48" i="41"/>
  <c r="F45" i="37"/>
  <c r="J192" i="41"/>
  <c r="R48" i="41"/>
  <c r="Z83" i="41"/>
  <c r="R35" i="41"/>
  <c r="I102" i="41"/>
  <c r="O234" i="41"/>
  <c r="AH137" i="41"/>
  <c r="AP137" i="41" s="1"/>
  <c r="J209" i="41"/>
  <c r="U104" i="37"/>
  <c r="I236" i="41"/>
  <c r="V223" i="37"/>
  <c r="N224" i="41"/>
  <c r="BS131" i="43"/>
  <c r="AL234" i="41"/>
  <c r="AP234" i="41" s="1"/>
  <c r="I139" i="41"/>
  <c r="Z82" i="41"/>
  <c r="N86" i="41"/>
  <c r="I170" i="41"/>
  <c r="J67" i="41"/>
  <c r="N84" i="41"/>
  <c r="Q15" i="41"/>
  <c r="Q270" i="41" s="1"/>
  <c r="Q355" i="41" s="1"/>
  <c r="G32" i="41"/>
  <c r="K184" i="41"/>
  <c r="K85" i="41"/>
  <c r="AE189" i="37"/>
  <c r="K141" i="41"/>
  <c r="G16" i="41"/>
  <c r="AI140" i="41"/>
  <c r="AQ140" i="41" s="1"/>
  <c r="AM218" i="41"/>
  <c r="AQ218" i="41" s="1"/>
  <c r="BP17" i="34"/>
  <c r="Q14" i="41"/>
  <c r="Q269" i="41" s="1"/>
  <c r="Q354" i="41" s="1"/>
  <c r="G48" i="41"/>
  <c r="Q31" i="41"/>
  <c r="O192" i="29" l="1"/>
  <c r="F192" i="32"/>
  <c r="G192" i="30"/>
  <c r="AO214" i="45"/>
  <c r="G163" i="45"/>
  <c r="BK61" i="45"/>
  <c r="G44" i="45"/>
  <c r="N78" i="45"/>
  <c r="AM95" i="45"/>
  <c r="AU27" i="45"/>
  <c r="AK95" i="45"/>
  <c r="W61" i="45"/>
  <c r="AL214" i="45"/>
  <c r="BM61" i="45"/>
  <c r="BO316" i="45"/>
  <c r="BK95" i="45"/>
  <c r="E231" i="45"/>
  <c r="AS10" i="45"/>
  <c r="M78" i="45"/>
  <c r="AP146" i="45"/>
  <c r="V326" i="41"/>
  <c r="V321" i="41"/>
  <c r="AT321" i="41" s="1"/>
  <c r="V327" i="41"/>
  <c r="AT327" i="41" s="1"/>
  <c r="V319" i="41"/>
  <c r="AT319" i="41" s="1"/>
  <c r="AT315" i="41"/>
  <c r="V322" i="41"/>
  <c r="AT322" i="41" s="1"/>
  <c r="V320" i="41"/>
  <c r="AT320" i="41" s="1"/>
  <c r="V324" i="41"/>
  <c r="AT324" i="41" s="1"/>
  <c r="V318" i="41"/>
  <c r="AT318" i="41" s="1"/>
  <c r="V328" i="41"/>
  <c r="AT328" i="41" s="1"/>
  <c r="V311" i="41"/>
  <c r="AT311" i="41" s="1"/>
  <c r="V303" i="41"/>
  <c r="AT303" i="41" s="1"/>
  <c r="AM249" i="41"/>
  <c r="AQ249" i="41" s="1"/>
  <c r="AS247" i="41"/>
  <c r="W252" i="41"/>
  <c r="W253" i="41"/>
  <c r="W254" i="41"/>
  <c r="W256" i="41"/>
  <c r="W259" i="41"/>
  <c r="O257" i="41"/>
  <c r="W260" i="41"/>
  <c r="AU260" i="41" s="1"/>
  <c r="W290" i="41"/>
  <c r="AU290" i="41" s="1"/>
  <c r="W287" i="41"/>
  <c r="AU287" i="41" s="1"/>
  <c r="AC95" i="37"/>
  <c r="M231" i="37"/>
  <c r="AE66" i="41"/>
  <c r="AE270" i="41" s="1"/>
  <c r="AE355" i="41" s="1"/>
  <c r="AC197" i="37"/>
  <c r="K283" i="41"/>
  <c r="W251" i="41"/>
  <c r="AU251" i="41" s="1"/>
  <c r="H192" i="33"/>
  <c r="G262" i="28"/>
  <c r="G192" i="28"/>
  <c r="V309" i="41"/>
  <c r="AT309" i="41" s="1"/>
  <c r="G263" i="31"/>
  <c r="G262" i="31" s="1"/>
  <c r="F192" i="30"/>
  <c r="V305" i="41"/>
  <c r="AT305" i="41" s="1"/>
  <c r="F263" i="33"/>
  <c r="F262" i="33" s="1"/>
  <c r="F192" i="33"/>
  <c r="F192" i="29"/>
  <c r="F263" i="29"/>
  <c r="F262" i="29" s="1"/>
  <c r="P263" i="33"/>
  <c r="P262" i="33" s="1"/>
  <c r="P192" i="33"/>
  <c r="O192" i="30"/>
  <c r="O263" i="30"/>
  <c r="O262" i="30" s="1"/>
  <c r="G263" i="29"/>
  <c r="G262" i="29" s="1"/>
  <c r="G192" i="29"/>
  <c r="P192" i="30"/>
  <c r="P263" i="30"/>
  <c r="P262" i="30" s="1"/>
  <c r="Q263" i="32"/>
  <c r="Q262" i="32" s="1"/>
  <c r="Q192" i="32"/>
  <c r="S47" i="29"/>
  <c r="T55" i="29"/>
  <c r="N95" i="37"/>
  <c r="L243" i="28"/>
  <c r="BC62" i="43"/>
  <c r="BV19" i="34"/>
  <c r="AG269" i="41"/>
  <c r="AG354" i="41" s="1"/>
  <c r="AD95" i="37"/>
  <c r="Y66" i="41"/>
  <c r="Y270" i="41" s="1"/>
  <c r="Y355" i="41" s="1"/>
  <c r="P271" i="28"/>
  <c r="AQ74" i="41"/>
  <c r="N173" i="31"/>
  <c r="AY198" i="43"/>
  <c r="U243" i="29"/>
  <c r="BK164" i="43"/>
  <c r="I3" i="37"/>
  <c r="Y2" i="37" s="1"/>
  <c r="Z3" i="37" s="1"/>
  <c r="F214" i="45"/>
  <c r="V11" i="43"/>
  <c r="K131" i="28"/>
  <c r="BD317" i="43"/>
  <c r="P257" i="28"/>
  <c r="AC231" i="37"/>
  <c r="BJ180" i="45"/>
  <c r="AF164" i="43"/>
  <c r="AO90" i="41"/>
  <c r="AT213" i="41"/>
  <c r="V222" i="41"/>
  <c r="K146" i="37"/>
  <c r="J115" i="32"/>
  <c r="AO78" i="45"/>
  <c r="AE64" i="41"/>
  <c r="AE268" i="41" s="1"/>
  <c r="AE353" i="41" s="1"/>
  <c r="BK214" i="45"/>
  <c r="T317" i="43"/>
  <c r="V231" i="45"/>
  <c r="W303" i="41"/>
  <c r="AU303" i="41" s="1"/>
  <c r="W307" i="41"/>
  <c r="AU307" i="41" s="1"/>
  <c r="Q180" i="45"/>
  <c r="AU10" i="45"/>
  <c r="BN28" i="43"/>
  <c r="AX79" i="43"/>
  <c r="J181" i="43"/>
  <c r="W288" i="41"/>
  <c r="AU288" i="41" s="1"/>
  <c r="BO96" i="43"/>
  <c r="U63" i="41"/>
  <c r="T19" i="34"/>
  <c r="AQ59" i="41"/>
  <c r="AU59" i="41" s="1"/>
  <c r="BM197" i="45"/>
  <c r="AE164" i="43"/>
  <c r="AT283" i="43"/>
  <c r="AV28" i="43"/>
  <c r="P111" i="28"/>
  <c r="BN317" i="43"/>
  <c r="BJ163" i="45"/>
  <c r="J44" i="45"/>
  <c r="BN19" i="34"/>
  <c r="V218" i="41"/>
  <c r="AT218" i="41" s="1"/>
  <c r="Y214" i="37"/>
  <c r="K61" i="28"/>
  <c r="E146" i="37"/>
  <c r="W310" i="41"/>
  <c r="AU310" i="41" s="1"/>
  <c r="AK272" i="41"/>
  <c r="AK357" i="41" s="1"/>
  <c r="K271" i="32"/>
  <c r="L187" i="31"/>
  <c r="AS93" i="41"/>
  <c r="T159" i="32"/>
  <c r="BN112" i="45"/>
  <c r="T111" i="29"/>
  <c r="Z214" i="45"/>
  <c r="P198" i="43"/>
  <c r="BK113" i="43"/>
  <c r="N112" i="45"/>
  <c r="AT96" i="43"/>
  <c r="BM27" i="45"/>
  <c r="K131" i="30"/>
  <c r="AF130" i="43"/>
  <c r="J180" i="37"/>
  <c r="BJ146" i="45"/>
  <c r="E129" i="37"/>
  <c r="BK10" i="45"/>
  <c r="V304" i="41"/>
  <c r="AT304" i="41" s="1"/>
  <c r="AO231" i="45"/>
  <c r="AX28" i="43"/>
  <c r="BN130" i="43"/>
  <c r="BL45" i="43"/>
  <c r="V302" i="41"/>
  <c r="AT302" i="41" s="1"/>
  <c r="AO333" i="45"/>
  <c r="K111" i="33"/>
  <c r="R103" i="33"/>
  <c r="AQ231" i="45"/>
  <c r="AX215" i="43"/>
  <c r="AY11" i="43"/>
  <c r="J103" i="32"/>
  <c r="AT147" i="43"/>
  <c r="E10" i="45"/>
  <c r="X181" i="43"/>
  <c r="E180" i="45"/>
  <c r="L28" i="43"/>
  <c r="AO44" i="45"/>
  <c r="AD79" i="43"/>
  <c r="BO11" i="43"/>
  <c r="Z180" i="37"/>
  <c r="L201" i="29"/>
  <c r="BN10" i="45"/>
  <c r="O271" i="28"/>
  <c r="AK277" i="41"/>
  <c r="AK362" i="41" s="1"/>
  <c r="S111" i="29"/>
  <c r="S117" i="29" s="1"/>
  <c r="O95" i="37"/>
  <c r="K75" i="32"/>
  <c r="AH232" i="43"/>
  <c r="V307" i="41"/>
  <c r="AT307" i="41" s="1"/>
  <c r="AA147" i="43"/>
  <c r="BM10" i="45"/>
  <c r="V306" i="41"/>
  <c r="AT306" i="41" s="1"/>
  <c r="N103" i="31"/>
  <c r="AO10" i="45"/>
  <c r="AD19" i="34"/>
  <c r="S159" i="32"/>
  <c r="AE197" i="45"/>
  <c r="V301" i="41"/>
  <c r="AT301" i="41" s="1"/>
  <c r="AU232" i="43"/>
  <c r="K231" i="45"/>
  <c r="AY130" i="43"/>
  <c r="O78" i="45"/>
  <c r="BR164" i="43"/>
  <c r="BN197" i="45"/>
  <c r="AO146" i="45"/>
  <c r="K180" i="45"/>
  <c r="BR19" i="34"/>
  <c r="AA180" i="37"/>
  <c r="L271" i="29"/>
  <c r="K187" i="32"/>
  <c r="W164" i="43"/>
  <c r="S55" i="29"/>
  <c r="BJ317" i="43"/>
  <c r="V198" i="43"/>
  <c r="AE78" i="45"/>
  <c r="CE19" i="34"/>
  <c r="P159" i="28"/>
  <c r="M78" i="37"/>
  <c r="T201" i="32"/>
  <c r="AM316" i="45"/>
  <c r="BI180" i="45"/>
  <c r="BL215" i="43"/>
  <c r="AT231" i="45"/>
  <c r="BN164" i="43"/>
  <c r="K197" i="28"/>
  <c r="O333" i="41"/>
  <c r="AC78" i="45"/>
  <c r="BJ113" i="43"/>
  <c r="K196" i="28"/>
  <c r="AV19" i="34"/>
  <c r="T59" i="29"/>
  <c r="T61" i="29" s="1"/>
  <c r="BK333" i="45"/>
  <c r="BK163" i="45"/>
  <c r="AC197" i="45"/>
  <c r="W232" i="43"/>
  <c r="L187" i="28"/>
  <c r="BI333" i="45"/>
  <c r="BJ316" i="45"/>
  <c r="AA113" i="43"/>
  <c r="S103" i="29"/>
  <c r="R79" i="43"/>
  <c r="BO266" i="43"/>
  <c r="BP266" i="43"/>
  <c r="Q129" i="45"/>
  <c r="S75" i="32"/>
  <c r="AE350" i="45"/>
  <c r="AS112" i="45"/>
  <c r="R78" i="45"/>
  <c r="Y69" i="41"/>
  <c r="Y273" i="41" s="1"/>
  <c r="AK276" i="41"/>
  <c r="AK361" i="41" s="1"/>
  <c r="W198" i="43"/>
  <c r="R61" i="45"/>
  <c r="U187" i="32"/>
  <c r="AX11" i="43"/>
  <c r="AE104" i="41"/>
  <c r="AQ104" i="41" s="1"/>
  <c r="BJ181" i="43"/>
  <c r="BT283" i="43"/>
  <c r="E163" i="45"/>
  <c r="M291" i="41"/>
  <c r="AA62" i="43"/>
  <c r="AY96" i="43"/>
  <c r="AY232" i="43"/>
  <c r="AQ102" i="41"/>
  <c r="AT130" i="43"/>
  <c r="BK181" i="43"/>
  <c r="T33" i="33"/>
  <c r="AD197" i="45"/>
  <c r="J131" i="28"/>
  <c r="AV113" i="43"/>
  <c r="AK257" i="41"/>
  <c r="AO257" i="41" s="1"/>
  <c r="AC180" i="37"/>
  <c r="J159" i="28"/>
  <c r="AL231" i="45"/>
  <c r="L75" i="32"/>
  <c r="AU61" i="45"/>
  <c r="N96" i="43"/>
  <c r="AZ283" i="43"/>
  <c r="AJ249" i="43"/>
  <c r="AX45" i="43"/>
  <c r="BP62" i="43"/>
  <c r="AY62" i="43"/>
  <c r="AI198" i="43"/>
  <c r="I78" i="45"/>
  <c r="K61" i="32"/>
  <c r="S214" i="37"/>
  <c r="BR181" i="43"/>
  <c r="BB130" i="43"/>
  <c r="P131" i="28"/>
  <c r="K112" i="45"/>
  <c r="AP95" i="45"/>
  <c r="E78" i="37"/>
  <c r="G180" i="37"/>
  <c r="AS176" i="41"/>
  <c r="M44" i="37"/>
  <c r="Y72" i="41"/>
  <c r="Y276" i="41" s="1"/>
  <c r="Y361" i="41" s="1"/>
  <c r="AO80" i="41"/>
  <c r="W289" i="41"/>
  <c r="AU289" i="41" s="1"/>
  <c r="AS179" i="41"/>
  <c r="AD214" i="37"/>
  <c r="U149" i="41"/>
  <c r="W146" i="45"/>
  <c r="L103" i="31"/>
  <c r="W304" i="41"/>
  <c r="AU304" i="41" s="1"/>
  <c r="AU298" i="41"/>
  <c r="W302" i="41"/>
  <c r="AU302" i="41" s="1"/>
  <c r="W306" i="41"/>
  <c r="AU306" i="41" s="1"/>
  <c r="W305" i="41"/>
  <c r="AU305" i="41" s="1"/>
  <c r="W311" i="41"/>
  <c r="AU311" i="41" s="1"/>
  <c r="AQ101" i="41"/>
  <c r="AE67" i="41"/>
  <c r="AE271" i="41" s="1"/>
  <c r="AE356" i="41" s="1"/>
  <c r="K131" i="29"/>
  <c r="Q95" i="37"/>
  <c r="J75" i="28"/>
  <c r="F129" i="45"/>
  <c r="O164" i="43"/>
  <c r="K231" i="37"/>
  <c r="AJ232" i="43"/>
  <c r="N44" i="37"/>
  <c r="J33" i="30"/>
  <c r="J19" i="28"/>
  <c r="BD11" i="43"/>
  <c r="AU266" i="43"/>
  <c r="L117" i="32"/>
  <c r="AM214" i="45"/>
  <c r="BJ333" i="45"/>
  <c r="J173" i="31"/>
  <c r="K146" i="45"/>
  <c r="N181" i="43"/>
  <c r="AM333" i="45"/>
  <c r="BL147" i="43"/>
  <c r="J257" i="31"/>
  <c r="BJ231" i="45"/>
  <c r="J147" i="43"/>
  <c r="AH62" i="43"/>
  <c r="J103" i="31"/>
  <c r="O146" i="45"/>
  <c r="BO300" i="43"/>
  <c r="BJ214" i="45"/>
  <c r="R19" i="34"/>
  <c r="U271" i="29"/>
  <c r="AV62" i="43"/>
  <c r="AL146" i="45"/>
  <c r="AX317" i="43"/>
  <c r="AD180" i="45"/>
  <c r="T28" i="43"/>
  <c r="L145" i="31"/>
  <c r="AF79" i="43"/>
  <c r="S243" i="29"/>
  <c r="L103" i="28"/>
  <c r="BN215" i="43"/>
  <c r="AK61" i="45"/>
  <c r="AT317" i="43"/>
  <c r="F10" i="45"/>
  <c r="S201" i="32"/>
  <c r="W95" i="45"/>
  <c r="AA129" i="45"/>
  <c r="U201" i="29"/>
  <c r="S112" i="45"/>
  <c r="J61" i="32"/>
  <c r="AU164" i="43"/>
  <c r="AO95" i="45"/>
  <c r="S75" i="29"/>
  <c r="N27" i="45"/>
  <c r="BO181" i="43"/>
  <c r="AB79" i="43"/>
  <c r="K173" i="33"/>
  <c r="BI146" i="45"/>
  <c r="W309" i="41"/>
  <c r="AU309" i="41" s="1"/>
  <c r="BD45" i="43"/>
  <c r="AS44" i="45"/>
  <c r="AD113" i="43"/>
  <c r="J223" i="28"/>
  <c r="J229" i="28" s="1"/>
  <c r="AP214" i="45"/>
  <c r="AK333" i="45"/>
  <c r="K131" i="32"/>
  <c r="T232" i="43"/>
  <c r="AQ214" i="45"/>
  <c r="W112" i="45"/>
  <c r="AT176" i="41"/>
  <c r="AB198" i="43"/>
  <c r="P271" i="31"/>
  <c r="L89" i="29"/>
  <c r="AU62" i="43"/>
  <c r="AB28" i="43"/>
  <c r="J173" i="28"/>
  <c r="AH164" i="43"/>
  <c r="BB11" i="43"/>
  <c r="R89" i="30"/>
  <c r="K45" i="43"/>
  <c r="P130" i="43"/>
  <c r="M163" i="45"/>
  <c r="AE28" i="43"/>
  <c r="L62" i="43"/>
  <c r="L113" i="43"/>
  <c r="P113" i="43"/>
  <c r="AB62" i="43"/>
  <c r="Y180" i="45"/>
  <c r="N10" i="45"/>
  <c r="N45" i="43"/>
  <c r="W78" i="45"/>
  <c r="F61" i="45"/>
  <c r="O215" i="31"/>
  <c r="J317" i="43"/>
  <c r="W286" i="41"/>
  <c r="AU286" i="41" s="1"/>
  <c r="M214" i="45"/>
  <c r="W282" i="45"/>
  <c r="O147" i="43"/>
  <c r="R232" i="43"/>
  <c r="I10" i="45"/>
  <c r="AH300" i="43"/>
  <c r="Z317" i="43"/>
  <c r="S115" i="33"/>
  <c r="J131" i="33"/>
  <c r="BI61" i="45"/>
  <c r="K198" i="43"/>
  <c r="AD214" i="45"/>
  <c r="T115" i="29"/>
  <c r="BO231" i="45"/>
  <c r="F95" i="45"/>
  <c r="J27" i="45"/>
  <c r="AF181" i="43"/>
  <c r="BM231" i="45"/>
  <c r="BR300" i="43"/>
  <c r="L55" i="30"/>
  <c r="L61" i="30" s="1"/>
  <c r="N177" i="37"/>
  <c r="AV198" i="43"/>
  <c r="BO112" i="45"/>
  <c r="Y197" i="45"/>
  <c r="BP28" i="43"/>
  <c r="AH198" i="43"/>
  <c r="AQ85" i="41"/>
  <c r="AU255" i="41"/>
  <c r="N59" i="31"/>
  <c r="AP333" i="45"/>
  <c r="BM146" i="45"/>
  <c r="X317" i="43"/>
  <c r="AV266" i="43"/>
  <c r="AU214" i="45"/>
  <c r="K11" i="43"/>
  <c r="U111" i="29"/>
  <c r="U117" i="29" s="1"/>
  <c r="AH113" i="43"/>
  <c r="X19" i="34"/>
  <c r="BD215" i="43"/>
  <c r="BB147" i="43"/>
  <c r="W318" i="41"/>
  <c r="W317" i="41" s="1"/>
  <c r="S147" i="43"/>
  <c r="L187" i="32"/>
  <c r="E10" i="37"/>
  <c r="AD147" i="43"/>
  <c r="K19" i="30"/>
  <c r="N44" i="45"/>
  <c r="T62" i="43"/>
  <c r="AK163" i="45"/>
  <c r="J47" i="29"/>
  <c r="AK271" i="41"/>
  <c r="AK356" i="41" s="1"/>
  <c r="BN61" i="45"/>
  <c r="P115" i="28"/>
  <c r="U19" i="29"/>
  <c r="BK266" i="43"/>
  <c r="AT45" i="43"/>
  <c r="M112" i="45"/>
  <c r="U187" i="29"/>
  <c r="BI10" i="45"/>
  <c r="R44" i="45"/>
  <c r="K145" i="28"/>
  <c r="AS145" i="41"/>
  <c r="U153" i="41"/>
  <c r="U151" i="41"/>
  <c r="J257" i="41"/>
  <c r="J248" i="41" s="1"/>
  <c r="F19" i="41"/>
  <c r="F274" i="41" s="1"/>
  <c r="F359" i="41" s="1"/>
  <c r="U157" i="41"/>
  <c r="J111" i="32"/>
  <c r="J173" i="29"/>
  <c r="R111" i="33"/>
  <c r="BI231" i="45"/>
  <c r="AH181" i="43"/>
  <c r="S159" i="29"/>
  <c r="BK78" i="45"/>
  <c r="BB28" i="43"/>
  <c r="BK180" i="45"/>
  <c r="BR130" i="43"/>
  <c r="AV300" i="43"/>
  <c r="J201" i="29"/>
  <c r="BP317" i="43"/>
  <c r="BS62" i="43"/>
  <c r="BP181" i="43"/>
  <c r="AM10" i="45"/>
  <c r="AO316" i="45"/>
  <c r="U259" i="41"/>
  <c r="AU44" i="45"/>
  <c r="T187" i="29"/>
  <c r="T227" i="29"/>
  <c r="Y214" i="45"/>
  <c r="Q214" i="45"/>
  <c r="E129" i="45"/>
  <c r="Z146" i="45"/>
  <c r="G112" i="45"/>
  <c r="L232" i="43"/>
  <c r="V130" i="43"/>
  <c r="J231" i="45"/>
  <c r="W113" i="43"/>
  <c r="AT214" i="45"/>
  <c r="U265" i="45"/>
  <c r="AI113" i="43"/>
  <c r="K103" i="32"/>
  <c r="AB113" i="43"/>
  <c r="Z197" i="45"/>
  <c r="AV215" i="43"/>
  <c r="BN266" i="43"/>
  <c r="AV181" i="43"/>
  <c r="K103" i="28"/>
  <c r="L115" i="29"/>
  <c r="BC147" i="43"/>
  <c r="AP231" i="45"/>
  <c r="AV130" i="43"/>
  <c r="AI269" i="41"/>
  <c r="AI354" i="41" s="1"/>
  <c r="N59" i="28"/>
  <c r="AX96" i="43"/>
  <c r="AD44" i="45"/>
  <c r="J28" i="43"/>
  <c r="N47" i="28"/>
  <c r="BK231" i="45"/>
  <c r="AP129" i="45"/>
  <c r="P47" i="28"/>
  <c r="AK316" i="45"/>
  <c r="S271" i="29"/>
  <c r="AT62" i="43"/>
  <c r="K111" i="29"/>
  <c r="J131" i="32"/>
  <c r="AC27" i="37"/>
  <c r="V214" i="45"/>
  <c r="AF19" i="34"/>
  <c r="K59" i="29"/>
  <c r="BP232" i="43"/>
  <c r="U112" i="45"/>
  <c r="L131" i="32"/>
  <c r="BJ45" i="43"/>
  <c r="I197" i="45"/>
  <c r="O214" i="45"/>
  <c r="J19" i="30"/>
  <c r="AD146" i="45"/>
  <c r="Q44" i="45"/>
  <c r="AA214" i="45"/>
  <c r="O198" i="43"/>
  <c r="P62" i="43"/>
  <c r="R10" i="45"/>
  <c r="S249" i="43"/>
  <c r="F180" i="45"/>
  <c r="AD317" i="43"/>
  <c r="K27" i="45"/>
  <c r="AF28" i="43"/>
  <c r="S62" i="43"/>
  <c r="F197" i="45"/>
  <c r="K62" i="43"/>
  <c r="V293" i="41"/>
  <c r="AT293" i="41" s="1"/>
  <c r="AB317" i="43"/>
  <c r="S11" i="43"/>
  <c r="AE113" i="43"/>
  <c r="Z95" i="45"/>
  <c r="M231" i="45"/>
  <c r="Q112" i="45"/>
  <c r="L115" i="30"/>
  <c r="V164" i="43"/>
  <c r="AD78" i="45"/>
  <c r="W79" i="43"/>
  <c r="E197" i="45"/>
  <c r="O62" i="43"/>
  <c r="AB96" i="43"/>
  <c r="AF62" i="43"/>
  <c r="AA44" i="45"/>
  <c r="S79" i="43"/>
  <c r="L103" i="30"/>
  <c r="M129" i="45"/>
  <c r="T201" i="33"/>
  <c r="Z96" i="43"/>
  <c r="I163" i="45"/>
  <c r="AD232" i="43"/>
  <c r="Q10" i="45"/>
  <c r="BR232" i="43"/>
  <c r="N79" i="43"/>
  <c r="AC163" i="45"/>
  <c r="N28" i="43"/>
  <c r="BM316" i="45"/>
  <c r="AK267" i="41"/>
  <c r="AK352" i="41" s="1"/>
  <c r="J271" i="33"/>
  <c r="V79" i="43"/>
  <c r="AC146" i="37"/>
  <c r="R130" i="43"/>
  <c r="BT147" i="43"/>
  <c r="AC95" i="45"/>
  <c r="N89" i="31"/>
  <c r="P173" i="28"/>
  <c r="BT113" i="43"/>
  <c r="R115" i="30"/>
  <c r="L243" i="31"/>
  <c r="AT93" i="41"/>
  <c r="J59" i="33"/>
  <c r="J61" i="33" s="1"/>
  <c r="T249" i="43"/>
  <c r="V45" i="43"/>
  <c r="K198" i="41"/>
  <c r="AC78" i="37"/>
  <c r="G61" i="45"/>
  <c r="K33" i="33"/>
  <c r="BT19" i="34"/>
  <c r="CD19" i="34"/>
  <c r="BR283" i="43"/>
  <c r="L215" i="30"/>
  <c r="P89" i="31"/>
  <c r="E95" i="45"/>
  <c r="O181" i="43"/>
  <c r="R180" i="45"/>
  <c r="W154" i="41"/>
  <c r="AD27" i="37"/>
  <c r="K115" i="33"/>
  <c r="AD350" i="45"/>
  <c r="N19" i="28"/>
  <c r="P187" i="28"/>
  <c r="AA317" i="43"/>
  <c r="S223" i="29"/>
  <c r="S229" i="29" s="1"/>
  <c r="L201" i="32"/>
  <c r="AJ11" i="43"/>
  <c r="BJ112" i="45"/>
  <c r="K111" i="32"/>
  <c r="O115" i="28"/>
  <c r="CA19" i="34"/>
  <c r="K173" i="29"/>
  <c r="AZ96" i="43"/>
  <c r="M283" i="41"/>
  <c r="J229" i="29"/>
  <c r="S145" i="30"/>
  <c r="BC113" i="43"/>
  <c r="P229" i="28"/>
  <c r="BT266" i="43"/>
  <c r="AK10" i="45"/>
  <c r="AV79" i="43"/>
  <c r="W181" i="43"/>
  <c r="J55" i="29"/>
  <c r="J61" i="29" s="1"/>
  <c r="F112" i="45"/>
  <c r="AZ79" i="43"/>
  <c r="AV96" i="43"/>
  <c r="BR215" i="43"/>
  <c r="AB11" i="43"/>
  <c r="L223" i="31"/>
  <c r="R11" i="43"/>
  <c r="BT317" i="43"/>
  <c r="AF11" i="43"/>
  <c r="K333" i="41"/>
  <c r="E180" i="37"/>
  <c r="AL19" i="34"/>
  <c r="AZ45" i="43"/>
  <c r="AU300" i="43"/>
  <c r="BP79" i="43"/>
  <c r="AZ147" i="43"/>
  <c r="L55" i="29"/>
  <c r="L61" i="29" s="1"/>
  <c r="T59" i="30"/>
  <c r="BS198" i="43"/>
  <c r="AS108" i="41"/>
  <c r="BT11" i="43"/>
  <c r="I95" i="45"/>
  <c r="K187" i="31"/>
  <c r="AA180" i="45"/>
  <c r="BS164" i="43"/>
  <c r="BR266" i="43"/>
  <c r="S19" i="29"/>
  <c r="R215" i="30"/>
  <c r="AX198" i="43"/>
  <c r="AU283" i="43"/>
  <c r="S131" i="29"/>
  <c r="BJ96" i="43"/>
  <c r="L271" i="31"/>
  <c r="O96" i="43"/>
  <c r="AV147" i="43"/>
  <c r="T201" i="29"/>
  <c r="Y197" i="37"/>
  <c r="V146" i="45"/>
  <c r="AD95" i="45"/>
  <c r="W239" i="41"/>
  <c r="AU239" i="41" s="1"/>
  <c r="J271" i="28"/>
  <c r="T75" i="30"/>
  <c r="AT95" i="45"/>
  <c r="J75" i="29"/>
  <c r="G10" i="45"/>
  <c r="AT113" i="43"/>
  <c r="BR11" i="43"/>
  <c r="X79" i="43"/>
  <c r="J159" i="29"/>
  <c r="N257" i="31"/>
  <c r="BI112" i="45"/>
  <c r="K214" i="45"/>
  <c r="BN79" i="43"/>
  <c r="AQ19" i="34"/>
  <c r="BI129" i="45"/>
  <c r="Z164" i="43"/>
  <c r="AA11" i="43"/>
  <c r="J115" i="28"/>
  <c r="AA198" i="43"/>
  <c r="R180" i="37"/>
  <c r="S198" i="43"/>
  <c r="S44" i="45"/>
  <c r="R229" i="30"/>
  <c r="O227" i="28"/>
  <c r="O257" i="31"/>
  <c r="BD96" i="43"/>
  <c r="J111" i="28"/>
  <c r="N214" i="37"/>
  <c r="BO62" i="43"/>
  <c r="Z28" i="43"/>
  <c r="BJ61" i="45"/>
  <c r="BL11" i="43"/>
  <c r="W167" i="41"/>
  <c r="U254" i="41"/>
  <c r="U250" i="41"/>
  <c r="F231" i="37"/>
  <c r="M113" i="41"/>
  <c r="W166" i="41"/>
  <c r="U260" i="41"/>
  <c r="AS260" i="41" s="1"/>
  <c r="W119" i="41"/>
  <c r="AK268" i="41"/>
  <c r="AK353" i="41" s="1"/>
  <c r="AT254" i="41"/>
  <c r="V252" i="41"/>
  <c r="V249" i="41" s="1"/>
  <c r="AD197" i="37"/>
  <c r="W118" i="41"/>
  <c r="U152" i="41"/>
  <c r="AU108" i="41"/>
  <c r="V290" i="41"/>
  <c r="AT290" i="41" s="1"/>
  <c r="W152" i="41"/>
  <c r="AK249" i="41"/>
  <c r="AD67" i="41"/>
  <c r="AD271" i="41" s="1"/>
  <c r="AD356" i="41" s="1"/>
  <c r="W258" i="41"/>
  <c r="Z44" i="37"/>
  <c r="AI277" i="41"/>
  <c r="AI362" i="41" s="1"/>
  <c r="AU110" i="41"/>
  <c r="U191" i="41"/>
  <c r="U154" i="41"/>
  <c r="U335" i="41"/>
  <c r="AS335" i="41" s="1"/>
  <c r="AS230" i="41"/>
  <c r="F95" i="37"/>
  <c r="AA95" i="37"/>
  <c r="N146" i="37"/>
  <c r="W326" i="41"/>
  <c r="AU326" i="41" s="1"/>
  <c r="I231" i="37"/>
  <c r="AS161" i="41"/>
  <c r="AD78" i="37"/>
  <c r="K214" i="37"/>
  <c r="R44" i="37"/>
  <c r="AU161" i="41"/>
  <c r="K129" i="37"/>
  <c r="W186" i="41"/>
  <c r="W44" i="37"/>
  <c r="AK172" i="41"/>
  <c r="AO172" i="41" s="1"/>
  <c r="U252" i="41"/>
  <c r="W157" i="41"/>
  <c r="V180" i="37"/>
  <c r="AE63" i="41"/>
  <c r="AE267" i="41" s="1"/>
  <c r="AE352" i="41" s="1"/>
  <c r="V220" i="41"/>
  <c r="M146" i="37"/>
  <c r="U27" i="37"/>
  <c r="V226" i="41"/>
  <c r="F129" i="37"/>
  <c r="M214" i="37"/>
  <c r="I146" i="37"/>
  <c r="I129" i="37"/>
  <c r="BO61" i="45"/>
  <c r="BK112" i="45"/>
  <c r="K194" i="28"/>
  <c r="Z44" i="45"/>
  <c r="S232" i="43"/>
  <c r="AK275" i="41"/>
  <c r="K192" i="28"/>
  <c r="AS214" i="45"/>
  <c r="J131" i="29"/>
  <c r="K95" i="45"/>
  <c r="J214" i="37"/>
  <c r="J19" i="34"/>
  <c r="BK11" i="43"/>
  <c r="AT125" i="41"/>
  <c r="P75" i="31"/>
  <c r="AO98" i="41"/>
  <c r="AI45" i="43"/>
  <c r="BS215" i="43"/>
  <c r="BL113" i="43"/>
  <c r="AO170" i="41"/>
  <c r="Y180" i="37"/>
  <c r="U234" i="41"/>
  <c r="U184" i="41"/>
  <c r="AA79" i="43"/>
  <c r="AU112" i="45"/>
  <c r="K47" i="29"/>
  <c r="L317" i="43"/>
  <c r="U192" i="41"/>
  <c r="AZ232" i="43"/>
  <c r="T103" i="29"/>
  <c r="N291" i="41"/>
  <c r="J267" i="41"/>
  <c r="BS11" i="43"/>
  <c r="Y79" i="41"/>
  <c r="AO79" i="41" s="1"/>
  <c r="AP250" i="41"/>
  <c r="AT250" i="41" s="1"/>
  <c r="W200" i="41"/>
  <c r="P131" i="31"/>
  <c r="S197" i="37"/>
  <c r="W201" i="41"/>
  <c r="V201" i="41"/>
  <c r="AT201" i="41" s="1"/>
  <c r="W208" i="41"/>
  <c r="K89" i="28"/>
  <c r="T173" i="32"/>
  <c r="O159" i="31"/>
  <c r="Z11" i="43"/>
  <c r="K19" i="29"/>
  <c r="AH96" i="43"/>
  <c r="AP112" i="45"/>
  <c r="U343" i="41"/>
  <c r="U342" i="41" s="1"/>
  <c r="AS342" i="41" s="1"/>
  <c r="AZ300" i="43"/>
  <c r="P147" i="43"/>
  <c r="R96" i="43"/>
  <c r="K55" i="29"/>
  <c r="U158" i="41"/>
  <c r="AU130" i="43"/>
  <c r="L173" i="31"/>
  <c r="K173" i="28"/>
  <c r="AL316" i="45"/>
  <c r="AE27" i="45"/>
  <c r="BP147" i="43"/>
  <c r="BC317" i="43"/>
  <c r="AU96" i="43"/>
  <c r="Y27" i="37"/>
  <c r="Y44" i="45"/>
  <c r="BB45" i="43"/>
  <c r="T111" i="32"/>
  <c r="N70" i="41"/>
  <c r="AE96" i="41"/>
  <c r="O257" i="28"/>
  <c r="T61" i="32"/>
  <c r="I231" i="45"/>
  <c r="K193" i="28"/>
  <c r="AD130" i="43"/>
  <c r="S89" i="29"/>
  <c r="AM163" i="45"/>
  <c r="W83" i="41"/>
  <c r="L159" i="31"/>
  <c r="Z27" i="37"/>
  <c r="O145" i="28"/>
  <c r="AQ163" i="45"/>
  <c r="L59" i="31"/>
  <c r="AT78" i="45"/>
  <c r="J47" i="30"/>
  <c r="K10" i="45"/>
  <c r="BJ283" i="43"/>
  <c r="AU19" i="34"/>
  <c r="AH45" i="43"/>
  <c r="BT215" i="43"/>
  <c r="S111" i="33"/>
  <c r="L33" i="29"/>
  <c r="M61" i="45"/>
  <c r="R214" i="45"/>
  <c r="AC350" i="45"/>
  <c r="BO333" i="45"/>
  <c r="N271" i="31"/>
  <c r="AT76" i="41"/>
  <c r="O89" i="31"/>
  <c r="AU317" i="43"/>
  <c r="AA232" i="43"/>
  <c r="W85" i="41"/>
  <c r="V44" i="37"/>
  <c r="AU77" i="41"/>
  <c r="O223" i="41"/>
  <c r="BN231" i="45"/>
  <c r="N19" i="34"/>
  <c r="V95" i="45"/>
  <c r="J78" i="45"/>
  <c r="V221" i="41"/>
  <c r="BS28" i="43"/>
  <c r="W209" i="41"/>
  <c r="K33" i="28"/>
  <c r="BL28" i="43"/>
  <c r="AZ11" i="43"/>
  <c r="BJ27" i="45"/>
  <c r="AL333" i="45"/>
  <c r="AM27" i="45"/>
  <c r="L103" i="29"/>
  <c r="J271" i="32"/>
  <c r="R59" i="33"/>
  <c r="AZ317" i="43"/>
  <c r="N283" i="41"/>
  <c r="Y146" i="45"/>
  <c r="BB317" i="43"/>
  <c r="E44" i="45"/>
  <c r="R201" i="33"/>
  <c r="AQ27" i="45"/>
  <c r="L159" i="33"/>
  <c r="AM44" i="45"/>
  <c r="I95" i="37"/>
  <c r="O131" i="31"/>
  <c r="BO317" i="43"/>
  <c r="W19" i="34"/>
  <c r="S187" i="32"/>
  <c r="L55" i="31"/>
  <c r="AT161" i="41"/>
  <c r="K173" i="31"/>
  <c r="AP258" i="41"/>
  <c r="AT258" i="41" s="1"/>
  <c r="Q61" i="45"/>
  <c r="U89" i="32"/>
  <c r="I44" i="37"/>
  <c r="AD146" i="37"/>
  <c r="T173" i="30"/>
  <c r="U59" i="32"/>
  <c r="O27" i="37"/>
  <c r="W205" i="41"/>
  <c r="J145" i="28"/>
  <c r="T55" i="30"/>
  <c r="AD73" i="41"/>
  <c r="AD277" i="41" s="1"/>
  <c r="AD362" i="41" s="1"/>
  <c r="F10" i="37"/>
  <c r="M147" i="41"/>
  <c r="AK273" i="41"/>
  <c r="AK358" i="41" s="1"/>
  <c r="P181" i="43"/>
  <c r="I70" i="41"/>
  <c r="BK19" i="34"/>
  <c r="V348" i="41"/>
  <c r="W185" i="41"/>
  <c r="O70" i="41"/>
  <c r="K155" i="41"/>
  <c r="AO81" i="41"/>
  <c r="E214" i="45"/>
  <c r="J75" i="32"/>
  <c r="AL78" i="45"/>
  <c r="L111" i="29"/>
  <c r="L117" i="29" s="1"/>
  <c r="BC215" i="43"/>
  <c r="AX147" i="43"/>
  <c r="BJ11" i="43"/>
  <c r="U326" i="41"/>
  <c r="AS326" i="41" s="1"/>
  <c r="BC96" i="43"/>
  <c r="AX300" i="43"/>
  <c r="BN44" i="45"/>
  <c r="BD198" i="43"/>
  <c r="J89" i="30"/>
  <c r="U255" i="41"/>
  <c r="U55" i="32"/>
  <c r="X62" i="43"/>
  <c r="O96" i="41"/>
  <c r="R55" i="33"/>
  <c r="L96" i="43"/>
  <c r="BJ232" i="43"/>
  <c r="T223" i="30"/>
  <c r="T229" i="30" s="1"/>
  <c r="AE214" i="45"/>
  <c r="J111" i="29"/>
  <c r="J117" i="29" s="1"/>
  <c r="BS181" i="43"/>
  <c r="Q95" i="45"/>
  <c r="AQ99" i="41"/>
  <c r="R271" i="33"/>
  <c r="O113" i="43"/>
  <c r="L89" i="32"/>
  <c r="S27" i="37"/>
  <c r="X11" i="43"/>
  <c r="K198" i="28"/>
  <c r="K199" i="28" s="1"/>
  <c r="AI19" i="34"/>
  <c r="W235" i="41"/>
  <c r="AU235" i="41" s="1"/>
  <c r="AU146" i="45"/>
  <c r="L47" i="29"/>
  <c r="N214" i="45"/>
  <c r="N89" i="28"/>
  <c r="V219" i="41"/>
  <c r="K271" i="29"/>
  <c r="AU179" i="41"/>
  <c r="BR96" i="43"/>
  <c r="T45" i="43"/>
  <c r="K115" i="29"/>
  <c r="AU196" i="41"/>
  <c r="AA146" i="45"/>
  <c r="R115" i="33"/>
  <c r="T89" i="32"/>
  <c r="AL61" i="45"/>
  <c r="M257" i="41"/>
  <c r="Y231" i="37"/>
  <c r="BT130" i="43"/>
  <c r="AU181" i="43"/>
  <c r="N187" i="28"/>
  <c r="K103" i="30"/>
  <c r="L173" i="29"/>
  <c r="W191" i="41"/>
  <c r="M27" i="37"/>
  <c r="BK146" i="45"/>
  <c r="BB215" i="43"/>
  <c r="BO130" i="43"/>
  <c r="G197" i="37"/>
  <c r="M121" i="41"/>
  <c r="AJ113" i="43"/>
  <c r="U159" i="32"/>
  <c r="W301" i="41"/>
  <c r="AU301" i="41" s="1"/>
  <c r="AY283" i="43"/>
  <c r="BR113" i="43"/>
  <c r="N272" i="41"/>
  <c r="N357" i="41" s="1"/>
  <c r="BO129" i="45"/>
  <c r="S75" i="33"/>
  <c r="M240" i="41"/>
  <c r="W188" i="41"/>
  <c r="J145" i="31"/>
  <c r="P145" i="31"/>
  <c r="K115" i="32"/>
  <c r="S55" i="32"/>
  <c r="BJ79" i="43"/>
  <c r="M300" i="41"/>
  <c r="AF232" i="43"/>
  <c r="AL163" i="45"/>
  <c r="AV232" i="43"/>
  <c r="AV164" i="43"/>
  <c r="N113" i="41"/>
  <c r="AM129" i="45"/>
  <c r="R62" i="43"/>
  <c r="N243" i="28"/>
  <c r="N11" i="43"/>
  <c r="AI147" i="43"/>
  <c r="T115" i="32"/>
  <c r="X147" i="43"/>
  <c r="S89" i="33"/>
  <c r="T223" i="29"/>
  <c r="AE112" i="45"/>
  <c r="K173" i="32"/>
  <c r="AR19" i="34"/>
  <c r="AU45" i="43"/>
  <c r="I316" i="41"/>
  <c r="I317" i="41"/>
  <c r="V86" i="41"/>
  <c r="N129" i="37"/>
  <c r="U44" i="37"/>
  <c r="W292" i="41"/>
  <c r="W291" i="41" s="1"/>
  <c r="AQ10" i="45"/>
  <c r="V192" i="41"/>
  <c r="AO59" i="41"/>
  <c r="AS59" i="41" s="1"/>
  <c r="U258" i="41"/>
  <c r="AL180" i="45"/>
  <c r="L89" i="31"/>
  <c r="BK232" i="43"/>
  <c r="J173" i="32"/>
  <c r="BS96" i="43"/>
  <c r="BL19" i="34"/>
  <c r="AY164" i="43"/>
  <c r="V100" i="41"/>
  <c r="O79" i="43"/>
  <c r="K19" i="28"/>
  <c r="AA78" i="45"/>
  <c r="AI266" i="43"/>
  <c r="V197" i="37"/>
  <c r="AD164" i="43"/>
  <c r="N113" i="43"/>
  <c r="N196" i="28"/>
  <c r="T215" i="30"/>
  <c r="AA214" i="37"/>
  <c r="Z62" i="43"/>
  <c r="AE79" i="43"/>
  <c r="L249" i="43"/>
  <c r="U146" i="45"/>
  <c r="W123" i="41"/>
  <c r="BO180" i="45"/>
  <c r="AO169" i="41"/>
  <c r="R146" i="45"/>
  <c r="J113" i="43"/>
  <c r="AD28" i="43"/>
  <c r="AE163" i="45"/>
  <c r="P243" i="28"/>
  <c r="L47" i="28"/>
  <c r="S19" i="34"/>
  <c r="N192" i="28"/>
  <c r="V136" i="41"/>
  <c r="J55" i="31"/>
  <c r="J61" i="31" s="1"/>
  <c r="J96" i="43"/>
  <c r="J131" i="31"/>
  <c r="AT108" i="41"/>
  <c r="BS300" i="43"/>
  <c r="BD62" i="43"/>
  <c r="U33" i="29"/>
  <c r="AU11" i="43"/>
  <c r="T271" i="30"/>
  <c r="AK129" i="45"/>
  <c r="S19" i="30"/>
  <c r="U148" i="41"/>
  <c r="T131" i="32"/>
  <c r="BJ164" i="43"/>
  <c r="AE44" i="45"/>
  <c r="W249" i="43"/>
  <c r="AM78" i="45"/>
  <c r="T11" i="43"/>
  <c r="U68" i="41"/>
  <c r="U214" i="45"/>
  <c r="J164" i="43"/>
  <c r="BL62" i="43"/>
  <c r="W214" i="45"/>
  <c r="N317" i="41"/>
  <c r="N316" i="41"/>
  <c r="AS146" i="45"/>
  <c r="AL10" i="45"/>
  <c r="T243" i="30"/>
  <c r="AY147" i="43"/>
  <c r="AP61" i="45"/>
  <c r="W149" i="41"/>
  <c r="U103" i="32"/>
  <c r="L33" i="30"/>
  <c r="AK27" i="45"/>
  <c r="AV45" i="43"/>
  <c r="AF113" i="43"/>
  <c r="U48" i="41"/>
  <c r="AS48" i="41" s="1"/>
  <c r="E231" i="37"/>
  <c r="U115" i="32"/>
  <c r="W117" i="41"/>
  <c r="W81" i="41"/>
  <c r="N273" i="41"/>
  <c r="N358" i="41" s="1"/>
  <c r="AT19" i="34"/>
  <c r="L75" i="28"/>
  <c r="U251" i="41"/>
  <c r="S173" i="32"/>
  <c r="V343" i="41"/>
  <c r="AK44" i="45"/>
  <c r="N269" i="41"/>
  <c r="N354" i="41" s="1"/>
  <c r="O89" i="28"/>
  <c r="AM19" i="34"/>
  <c r="N194" i="28"/>
  <c r="U190" i="41"/>
  <c r="T115" i="30"/>
  <c r="AZ198" i="43"/>
  <c r="BL181" i="43"/>
  <c r="AY113" i="43"/>
  <c r="W163" i="45"/>
  <c r="BM112" i="45"/>
  <c r="BT62" i="43"/>
  <c r="AS162" i="41"/>
  <c r="L19" i="30"/>
  <c r="G265" i="45"/>
  <c r="V62" i="43"/>
  <c r="R201" i="30"/>
  <c r="J78" i="37"/>
  <c r="O173" i="31"/>
  <c r="N193" i="28"/>
  <c r="T271" i="32"/>
  <c r="T111" i="30"/>
  <c r="AC10" i="45"/>
  <c r="S27" i="45"/>
  <c r="J173" i="33"/>
  <c r="AT181" i="43"/>
  <c r="N55" i="31"/>
  <c r="J79" i="43"/>
  <c r="AO27" i="45"/>
  <c r="P96" i="43"/>
  <c r="K164" i="43"/>
  <c r="J89" i="29"/>
  <c r="BB96" i="43"/>
  <c r="BK62" i="43"/>
  <c r="L271" i="28"/>
  <c r="R145" i="33"/>
  <c r="M249" i="41"/>
  <c r="W202" i="41"/>
  <c r="AY45" i="43"/>
  <c r="S180" i="37"/>
  <c r="L89" i="30"/>
  <c r="BT45" i="43"/>
  <c r="S44" i="37"/>
  <c r="K89" i="31"/>
  <c r="K61" i="33"/>
  <c r="N215" i="41"/>
  <c r="AU253" i="41"/>
  <c r="AO163" i="45"/>
  <c r="U253" i="41"/>
  <c r="L223" i="28"/>
  <c r="L229" i="28" s="1"/>
  <c r="AU163" i="45"/>
  <c r="F44" i="37"/>
  <c r="I180" i="45"/>
  <c r="N78" i="37"/>
  <c r="P173" i="31"/>
  <c r="K103" i="31"/>
  <c r="AT79" i="43"/>
  <c r="CB19" i="34"/>
  <c r="AQ44" i="45"/>
  <c r="I214" i="45"/>
  <c r="V137" i="41"/>
  <c r="AP163" i="45"/>
  <c r="N257" i="28"/>
  <c r="BL300" i="43"/>
  <c r="BS317" i="43"/>
  <c r="AA231" i="45"/>
  <c r="N198" i="43"/>
  <c r="N223" i="28"/>
  <c r="BN27" i="45"/>
  <c r="K172" i="41"/>
  <c r="N198" i="28"/>
  <c r="AU111" i="41"/>
  <c r="K27" i="37"/>
  <c r="G95" i="37"/>
  <c r="J215" i="28"/>
  <c r="AI62" i="43"/>
  <c r="R317" i="43"/>
  <c r="AI79" i="43"/>
  <c r="AS163" i="45"/>
  <c r="S271" i="32"/>
  <c r="K28" i="43"/>
  <c r="W182" i="41"/>
  <c r="N95" i="45"/>
  <c r="AK146" i="45"/>
  <c r="AX266" i="43"/>
  <c r="J11" i="43"/>
  <c r="AE214" i="37"/>
  <c r="Z78" i="37"/>
  <c r="J316" i="41"/>
  <c r="J317" i="41"/>
  <c r="J33" i="29"/>
  <c r="O27" i="45"/>
  <c r="AV11" i="43"/>
  <c r="U223" i="29"/>
  <c r="U229" i="29" s="1"/>
  <c r="K197" i="37"/>
  <c r="L164" i="43"/>
  <c r="K243" i="31"/>
  <c r="AZ266" i="43"/>
  <c r="N299" i="41"/>
  <c r="BJ28" i="43"/>
  <c r="W44" i="45"/>
  <c r="AH266" i="43"/>
  <c r="U197" i="37"/>
  <c r="V310" i="41"/>
  <c r="BT181" i="43"/>
  <c r="U64" i="41"/>
  <c r="V99" i="41"/>
  <c r="T96" i="43"/>
  <c r="X164" i="43"/>
  <c r="K78" i="37"/>
  <c r="U237" i="41"/>
  <c r="U186" i="41"/>
  <c r="N197" i="28"/>
  <c r="N198" i="41"/>
  <c r="Z214" i="37"/>
  <c r="V217" i="41"/>
  <c r="U317" i="41"/>
  <c r="AS317" i="41" s="1"/>
  <c r="I79" i="41"/>
  <c r="BK27" i="45"/>
  <c r="AP10" i="45"/>
  <c r="J145" i="30"/>
  <c r="S187" i="29"/>
  <c r="N121" i="41"/>
  <c r="N146" i="45"/>
  <c r="U131" i="32"/>
  <c r="U256" i="41"/>
  <c r="T147" i="43"/>
  <c r="AP78" i="45"/>
  <c r="O316" i="41"/>
  <c r="O317" i="41"/>
  <c r="AM146" i="45"/>
  <c r="BC28" i="43"/>
  <c r="N196" i="31"/>
  <c r="N192" i="31"/>
  <c r="N198" i="31"/>
  <c r="N194" i="31"/>
  <c r="AE69" i="41"/>
  <c r="AE273" i="41" s="1"/>
  <c r="AE358" i="41" s="1"/>
  <c r="AQ103" i="41"/>
  <c r="W148" i="41"/>
  <c r="N200" i="31"/>
  <c r="Z231" i="45"/>
  <c r="U156" i="41"/>
  <c r="M155" i="41"/>
  <c r="N193" i="31"/>
  <c r="N197" i="31"/>
  <c r="W45" i="43"/>
  <c r="N33" i="28"/>
  <c r="W153" i="41"/>
  <c r="O348" i="41"/>
  <c r="W348" i="41" s="1"/>
  <c r="W263" i="41"/>
  <c r="O243" i="28"/>
  <c r="AD96" i="43"/>
  <c r="AD180" i="37"/>
  <c r="W156" i="41"/>
  <c r="AB249" i="43"/>
  <c r="S159" i="33"/>
  <c r="W65" i="41"/>
  <c r="AC214" i="37"/>
  <c r="AM180" i="45"/>
  <c r="V82" i="41"/>
  <c r="O62" i="41"/>
  <c r="R113" i="43"/>
  <c r="V289" i="41"/>
  <c r="AT289" i="41" s="1"/>
  <c r="AU94" i="41"/>
  <c r="U200" i="41"/>
  <c r="Z13" i="34"/>
  <c r="Z19" i="34" s="1"/>
  <c r="U231" i="37"/>
  <c r="W130" i="43"/>
  <c r="Y129" i="37"/>
  <c r="BM129" i="45"/>
  <c r="AT163" i="45"/>
  <c r="AQ316" i="45"/>
  <c r="N206" i="41"/>
  <c r="U363" i="41"/>
  <c r="BS45" i="43"/>
  <c r="J215" i="30"/>
  <c r="I44" i="45"/>
  <c r="T187" i="32"/>
  <c r="W95" i="37"/>
  <c r="AK112" i="45"/>
  <c r="AT28" i="43"/>
  <c r="U278" i="41"/>
  <c r="AQ118" i="41"/>
  <c r="E78" i="45"/>
  <c r="BT96" i="43"/>
  <c r="L227" i="31"/>
  <c r="V139" i="41"/>
  <c r="N271" i="28"/>
  <c r="BO95" i="45"/>
  <c r="J44" i="37"/>
  <c r="AD44" i="37"/>
  <c r="M180" i="37"/>
  <c r="U183" i="41"/>
  <c r="W129" i="45"/>
  <c r="R27" i="45"/>
  <c r="AK78" i="45"/>
  <c r="AZ215" i="43"/>
  <c r="W158" i="41"/>
  <c r="O103" i="31"/>
  <c r="I334" i="41"/>
  <c r="I333" i="41"/>
  <c r="AT164" i="43"/>
  <c r="BJ215" i="43"/>
  <c r="AU28" i="43"/>
  <c r="T202" i="31"/>
  <c r="Z64" i="41"/>
  <c r="Z268" i="41" s="1"/>
  <c r="V89" i="41"/>
  <c r="T271" i="29"/>
  <c r="CF19" i="34"/>
  <c r="U72" i="41"/>
  <c r="O243" i="31"/>
  <c r="K95" i="37"/>
  <c r="AG268" i="41"/>
  <c r="AG353" i="41" s="1"/>
  <c r="U123" i="41"/>
  <c r="O33" i="28"/>
  <c r="BK316" i="45"/>
  <c r="BK79" i="43"/>
  <c r="BS232" i="43"/>
  <c r="R231" i="37"/>
  <c r="BO27" i="45"/>
  <c r="U65" i="41"/>
  <c r="S317" i="43"/>
  <c r="AU231" i="45"/>
  <c r="J138" i="41"/>
  <c r="J277" i="41"/>
  <c r="AC72" i="41"/>
  <c r="AC276" i="41" s="1"/>
  <c r="AC361" i="41" s="1"/>
  <c r="R55" i="30"/>
  <c r="P249" i="43"/>
  <c r="N163" i="45"/>
  <c r="T164" i="43"/>
  <c r="W84" i="41"/>
  <c r="U99" i="41"/>
  <c r="K113" i="43"/>
  <c r="AJ19" i="34"/>
  <c r="AU162" i="41"/>
  <c r="K47" i="28"/>
  <c r="BN95" i="45"/>
  <c r="K271" i="31"/>
  <c r="O173" i="28"/>
  <c r="J243" i="28"/>
  <c r="AD112" i="45"/>
  <c r="BI78" i="45"/>
  <c r="AD62" i="43"/>
  <c r="S89" i="32"/>
  <c r="J271" i="29"/>
  <c r="AT266" i="43"/>
  <c r="AX62" i="43"/>
  <c r="U150" i="41"/>
  <c r="BC198" i="43"/>
  <c r="O197" i="45"/>
  <c r="S78" i="45"/>
  <c r="BO197" i="45"/>
  <c r="AD45" i="43"/>
  <c r="K201" i="29"/>
  <c r="AT232" i="43"/>
  <c r="AA27" i="45"/>
  <c r="AP27" i="45"/>
  <c r="AX130" i="43"/>
  <c r="L75" i="31"/>
  <c r="BJ78" i="45"/>
  <c r="AT215" i="43"/>
  <c r="AL112" i="45"/>
  <c r="S223" i="30"/>
  <c r="S229" i="30" s="1"/>
  <c r="V286" i="41"/>
  <c r="AT286" i="41" s="1"/>
  <c r="U205" i="41"/>
  <c r="BL130" i="43"/>
  <c r="AJ45" i="43"/>
  <c r="AU79" i="43"/>
  <c r="R231" i="45"/>
  <c r="BZ19" i="34"/>
  <c r="AI317" i="43"/>
  <c r="O61" i="45"/>
  <c r="AG113" i="41"/>
  <c r="AG266" i="41" s="1"/>
  <c r="AG351" i="41" s="1"/>
  <c r="AD27" i="45"/>
  <c r="V84" i="41"/>
  <c r="V20" i="41"/>
  <c r="AT20" i="41" s="1"/>
  <c r="I61" i="45"/>
  <c r="J115" i="33"/>
  <c r="BO19" i="34"/>
  <c r="I62" i="41"/>
  <c r="Z113" i="43"/>
  <c r="S33" i="30"/>
  <c r="M44" i="45"/>
  <c r="T59" i="33"/>
  <c r="K197" i="45"/>
  <c r="V102" i="41"/>
  <c r="V103" i="41"/>
  <c r="AT146" i="45"/>
  <c r="K229" i="29"/>
  <c r="V249" i="43"/>
  <c r="R33" i="30"/>
  <c r="BK215" i="43"/>
  <c r="O155" i="41"/>
  <c r="AM112" i="45"/>
  <c r="AS95" i="45"/>
  <c r="BC45" i="43"/>
  <c r="J300" i="41"/>
  <c r="J299" i="41"/>
  <c r="AK231" i="45"/>
  <c r="K159" i="31"/>
  <c r="BD147" i="43"/>
  <c r="W120" i="41"/>
  <c r="AT300" i="43"/>
  <c r="V83" i="41"/>
  <c r="Y95" i="45"/>
  <c r="J62" i="43"/>
  <c r="K159" i="33"/>
  <c r="O283" i="41"/>
  <c r="F27" i="45"/>
  <c r="AZ62" i="43"/>
  <c r="O317" i="43"/>
  <c r="J334" i="41"/>
  <c r="J333" i="41"/>
  <c r="V294" i="41"/>
  <c r="AT294" i="41" s="1"/>
  <c r="N243" i="31"/>
  <c r="J271" i="31"/>
  <c r="W171" i="41"/>
  <c r="AD129" i="37"/>
  <c r="AO112" i="45"/>
  <c r="BO44" i="45"/>
  <c r="Q231" i="45"/>
  <c r="AD198" i="43"/>
  <c r="P145" i="28"/>
  <c r="BR249" i="43"/>
  <c r="AP74" i="41"/>
  <c r="AT74" i="41" s="1"/>
  <c r="K201" i="32"/>
  <c r="W62" i="43"/>
  <c r="F44" i="45"/>
  <c r="AD231" i="45"/>
  <c r="AC146" i="45"/>
  <c r="K47" i="30"/>
  <c r="I146" i="45"/>
  <c r="M95" i="45"/>
  <c r="O55" i="28"/>
  <c r="BT198" i="43"/>
  <c r="W197" i="37"/>
  <c r="U180" i="37"/>
  <c r="W363" i="41"/>
  <c r="W51" i="41"/>
  <c r="AU51" i="41" s="1"/>
  <c r="V90" i="41"/>
  <c r="AU145" i="41"/>
  <c r="BT300" i="43"/>
  <c r="AT77" i="41"/>
  <c r="K115" i="30"/>
  <c r="AF198" i="43"/>
  <c r="O159" i="28"/>
  <c r="K257" i="28"/>
  <c r="W204" i="41"/>
  <c r="N189" i="41"/>
  <c r="I215" i="41"/>
  <c r="BM95" i="45"/>
  <c r="P59" i="31"/>
  <c r="O59" i="31"/>
  <c r="V231" i="37"/>
  <c r="V101" i="41"/>
  <c r="W68" i="41"/>
  <c r="L19" i="28"/>
  <c r="K96" i="41"/>
  <c r="AS61" i="45"/>
  <c r="BP300" i="43"/>
  <c r="BD113" i="43"/>
  <c r="L45" i="43"/>
  <c r="AU215" i="43"/>
  <c r="N75" i="31"/>
  <c r="AA197" i="45"/>
  <c r="N334" i="41"/>
  <c r="N333" i="41"/>
  <c r="AE71" i="41"/>
  <c r="AE275" i="41" s="1"/>
  <c r="AE360" i="41" s="1"/>
  <c r="AQ105" i="41"/>
  <c r="V116" i="41"/>
  <c r="O164" i="41"/>
  <c r="V123" i="41"/>
  <c r="V105" i="41"/>
  <c r="Z231" i="37"/>
  <c r="I121" i="41"/>
  <c r="V141" i="41"/>
  <c r="W237" i="41"/>
  <c r="AU237" i="41" s="1"/>
  <c r="AO74" i="41"/>
  <c r="AS74" i="41" s="1"/>
  <c r="AC66" i="41"/>
  <c r="AC270" i="41" s="1"/>
  <c r="V107" i="41"/>
  <c r="K366" i="41"/>
  <c r="AO84" i="41"/>
  <c r="U97" i="41"/>
  <c r="O147" i="41"/>
  <c r="O231" i="37"/>
  <c r="W192" i="41"/>
  <c r="W180" i="37"/>
  <c r="AG271" i="41"/>
  <c r="AG356" i="41" s="1"/>
  <c r="W151" i="41"/>
  <c r="U82" i="41"/>
  <c r="I155" i="41"/>
  <c r="U69" i="41"/>
  <c r="I113" i="41"/>
  <c r="V209" i="41"/>
  <c r="AT209" i="41" s="1"/>
  <c r="Q180" i="37"/>
  <c r="N181" i="41"/>
  <c r="AC129" i="37"/>
  <c r="U187" i="41"/>
  <c r="V284" i="41"/>
  <c r="AE197" i="37"/>
  <c r="AG267" i="41"/>
  <c r="AG352" i="41" s="1"/>
  <c r="W203" i="41"/>
  <c r="W278" i="41"/>
  <c r="V285" i="41"/>
  <c r="N248" i="41"/>
  <c r="V288" i="41"/>
  <c r="AT288" i="41" s="1"/>
  <c r="U67" i="41"/>
  <c r="AO117" i="41"/>
  <c r="AA65" i="41"/>
  <c r="AA269" i="41" s="1"/>
  <c r="AT111" i="41"/>
  <c r="K121" i="41"/>
  <c r="M181" i="41"/>
  <c r="W73" i="41"/>
  <c r="AU293" i="41"/>
  <c r="I248" i="41"/>
  <c r="K164" i="41"/>
  <c r="U209" i="41"/>
  <c r="U235" i="41"/>
  <c r="AT179" i="41"/>
  <c r="Q231" i="37"/>
  <c r="AI276" i="41"/>
  <c r="AI361" i="41" s="1"/>
  <c r="V135" i="41"/>
  <c r="AT94" i="41"/>
  <c r="V117" i="41"/>
  <c r="V200" i="41"/>
  <c r="AT200" i="41" s="1"/>
  <c r="V118" i="41"/>
  <c r="V124" i="41"/>
  <c r="U185" i="41"/>
  <c r="V120" i="41"/>
  <c r="V115" i="41"/>
  <c r="N268" i="41"/>
  <c r="N353" i="41" s="1"/>
  <c r="M70" i="41"/>
  <c r="E197" i="37"/>
  <c r="J104" i="41"/>
  <c r="V119" i="41"/>
  <c r="W124" i="41"/>
  <c r="AM272" i="41"/>
  <c r="AM357" i="41" s="1"/>
  <c r="N240" i="41"/>
  <c r="W236" i="41"/>
  <c r="AU236" i="41" s="1"/>
  <c r="I147" i="41"/>
  <c r="AU294" i="41"/>
  <c r="AA95" i="45"/>
  <c r="U44" i="45"/>
  <c r="N275" i="41"/>
  <c r="U111" i="32"/>
  <c r="AE62" i="43"/>
  <c r="AH249" i="43"/>
  <c r="O163" i="45"/>
  <c r="J159" i="33"/>
  <c r="W317" i="43"/>
  <c r="K271" i="33"/>
  <c r="U95" i="45"/>
  <c r="G78" i="45"/>
  <c r="Q78" i="45"/>
  <c r="R112" i="45"/>
  <c r="BT232" i="43"/>
  <c r="K316" i="41"/>
  <c r="K317" i="41"/>
  <c r="O299" i="41"/>
  <c r="O300" i="41"/>
  <c r="K89" i="29"/>
  <c r="AI11" i="43"/>
  <c r="K159" i="32"/>
  <c r="N267" i="41"/>
  <c r="N352" i="41" s="1"/>
  <c r="T111" i="33"/>
  <c r="L33" i="33"/>
  <c r="BK283" i="43"/>
  <c r="N271" i="41"/>
  <c r="N356" i="41" s="1"/>
  <c r="K61" i="30"/>
  <c r="N317" i="43"/>
  <c r="N231" i="45"/>
  <c r="AH317" i="43"/>
  <c r="AS129" i="45"/>
  <c r="Z232" i="43"/>
  <c r="S271" i="30"/>
  <c r="AI249" i="43"/>
  <c r="R173" i="33"/>
  <c r="R147" i="43"/>
  <c r="K249" i="43"/>
  <c r="AZ181" i="43"/>
  <c r="Y231" i="45"/>
  <c r="V287" i="41"/>
  <c r="AT287" i="41" s="1"/>
  <c r="AI28" i="43"/>
  <c r="O215" i="28"/>
  <c r="T47" i="30"/>
  <c r="S59" i="32"/>
  <c r="S59" i="29"/>
  <c r="L59" i="32"/>
  <c r="AP180" i="45"/>
  <c r="M316" i="41"/>
  <c r="M325" i="41"/>
  <c r="BK96" i="43"/>
  <c r="N276" i="41"/>
  <c r="N361" i="41" s="1"/>
  <c r="AC112" i="45"/>
  <c r="T115" i="33"/>
  <c r="W27" i="45"/>
  <c r="AE181" i="43"/>
  <c r="AJ28" i="43"/>
  <c r="N62" i="43"/>
  <c r="R95" i="45"/>
  <c r="Z147" i="43"/>
  <c r="S28" i="43"/>
  <c r="T33" i="30"/>
  <c r="AM269" i="41"/>
  <c r="AM354" i="41" s="1"/>
  <c r="O248" i="41"/>
  <c r="T131" i="33"/>
  <c r="BI214" i="45"/>
  <c r="BC164" i="43"/>
  <c r="I300" i="41"/>
  <c r="I299" i="41"/>
  <c r="M334" i="41"/>
  <c r="M333" i="41"/>
  <c r="L55" i="32"/>
  <c r="T131" i="30"/>
  <c r="AE198" i="43"/>
  <c r="N270" i="41"/>
  <c r="N355" i="41" s="1"/>
  <c r="P232" i="43"/>
  <c r="AL27" i="45"/>
  <c r="AH147" i="43"/>
  <c r="AA249" i="43"/>
  <c r="O291" i="41"/>
  <c r="V334" i="41"/>
  <c r="AT334" i="41" s="1"/>
  <c r="N277" i="41"/>
  <c r="N362" i="41" s="1"/>
  <c r="J131" i="30"/>
  <c r="J146" i="45"/>
  <c r="J201" i="32"/>
  <c r="AJ96" i="43"/>
  <c r="AH11" i="43"/>
  <c r="J111" i="30"/>
  <c r="AE130" i="43"/>
  <c r="AU256" i="41"/>
  <c r="F163" i="45"/>
  <c r="AQ180" i="45"/>
  <c r="S111" i="32"/>
  <c r="S117" i="32" s="1"/>
  <c r="BJ147" i="43"/>
  <c r="K147" i="43"/>
  <c r="T145" i="30"/>
  <c r="L131" i="30"/>
  <c r="N111" i="31"/>
  <c r="V134" i="41"/>
  <c r="P19" i="34"/>
  <c r="AO234" i="41"/>
  <c r="AK232" i="41"/>
  <c r="AO232" i="41" s="1"/>
  <c r="L159" i="28"/>
  <c r="N24" i="37"/>
  <c r="S163" i="45"/>
  <c r="P223" i="31"/>
  <c r="AE180" i="37"/>
  <c r="R111" i="30"/>
  <c r="AA197" i="37"/>
  <c r="AE231" i="37"/>
  <c r="Q214" i="37"/>
  <c r="W187" i="41"/>
  <c r="J214" i="45"/>
  <c r="W222" i="41"/>
  <c r="AU222" i="41" s="1"/>
  <c r="AA129" i="37"/>
  <c r="U204" i="41"/>
  <c r="J227" i="31"/>
  <c r="V168" i="41"/>
  <c r="AQ86" i="41"/>
  <c r="K232" i="43"/>
  <c r="AU259" i="41"/>
  <c r="AT255" i="41"/>
  <c r="AM172" i="41"/>
  <c r="AQ172" i="41" s="1"/>
  <c r="J223" i="31"/>
  <c r="G78" i="37"/>
  <c r="G146" i="37"/>
  <c r="K308" i="41"/>
  <c r="K299" i="41"/>
  <c r="J55" i="28"/>
  <c r="R214" i="37"/>
  <c r="Y44" i="37"/>
  <c r="N279" i="37"/>
  <c r="BP19" i="34"/>
  <c r="U114" i="41"/>
  <c r="AL270" i="41"/>
  <c r="AL355" i="41" s="1"/>
  <c r="AD104" i="41"/>
  <c r="AD70" i="41" s="1"/>
  <c r="AD274" i="41" s="1"/>
  <c r="AD359" i="41" s="1"/>
  <c r="G10" i="37"/>
  <c r="E27" i="45"/>
  <c r="W218" i="41"/>
  <c r="AU218" i="41" s="1"/>
  <c r="J112" i="45"/>
  <c r="J59" i="30"/>
  <c r="K130" i="43"/>
  <c r="J173" i="30"/>
  <c r="J115" i="30"/>
  <c r="U214" i="37"/>
  <c r="N159" i="28"/>
  <c r="K111" i="28"/>
  <c r="P111" i="31"/>
  <c r="U242" i="41"/>
  <c r="O78" i="37"/>
  <c r="V64" i="41"/>
  <c r="Y95" i="37"/>
  <c r="S95" i="37"/>
  <c r="AK269" i="41"/>
  <c r="AK354" i="41" s="1"/>
  <c r="L201" i="30"/>
  <c r="R59" i="30"/>
  <c r="CI19" i="34"/>
  <c r="N115" i="31"/>
  <c r="U122" i="41"/>
  <c r="V18" i="41"/>
  <c r="AT18" i="41" s="1"/>
  <c r="V188" i="41"/>
  <c r="K78" i="45"/>
  <c r="AT259" i="41"/>
  <c r="K111" i="31"/>
  <c r="BN333" i="45"/>
  <c r="U166" i="41"/>
  <c r="AM271" i="41"/>
  <c r="AM356" i="41" s="1"/>
  <c r="K282" i="41"/>
  <c r="AM268" i="41"/>
  <c r="AM353" i="41" s="1"/>
  <c r="L55" i="28"/>
  <c r="J111" i="31"/>
  <c r="V129" i="37"/>
  <c r="N115" i="28"/>
  <c r="W225" i="41"/>
  <c r="AU225" i="41" s="1"/>
  <c r="N103" i="28"/>
  <c r="Q197" i="45"/>
  <c r="K115" i="31"/>
  <c r="W78" i="37"/>
  <c r="BO146" i="45"/>
  <c r="N180" i="37"/>
  <c r="X130" i="43"/>
  <c r="S111" i="30"/>
  <c r="AE180" i="45"/>
  <c r="AE129" i="37"/>
  <c r="M164" i="41"/>
  <c r="U118" i="41"/>
  <c r="Q45" i="41"/>
  <c r="AI96" i="43"/>
  <c r="L111" i="31"/>
  <c r="V38" i="41"/>
  <c r="AT38" i="41" s="1"/>
  <c r="Z197" i="37"/>
  <c r="L131" i="28"/>
  <c r="K223" i="28"/>
  <c r="U49" i="41"/>
  <c r="AS49" i="41" s="1"/>
  <c r="AT256" i="41"/>
  <c r="L173" i="28"/>
  <c r="W64" i="41"/>
  <c r="W106" i="41"/>
  <c r="W98" i="41"/>
  <c r="AM189" i="41"/>
  <c r="AQ189" i="41" s="1"/>
  <c r="W217" i="41"/>
  <c r="AU217" i="41" s="1"/>
  <c r="AA72" i="41"/>
  <c r="AA276" i="41" s="1"/>
  <c r="AQ83" i="41"/>
  <c r="K62" i="41"/>
  <c r="AH113" i="41"/>
  <c r="AP113" i="41" s="1"/>
  <c r="AO123" i="41"/>
  <c r="AQ84" i="41"/>
  <c r="W72" i="41"/>
  <c r="U73" i="41"/>
  <c r="W102" i="41"/>
  <c r="AI121" i="41"/>
  <c r="AI274" i="41" s="1"/>
  <c r="AI359" i="41" s="1"/>
  <c r="AQ263" i="41"/>
  <c r="AO102" i="41"/>
  <c r="V133" i="41"/>
  <c r="W221" i="41"/>
  <c r="AU221" i="41" s="1"/>
  <c r="W69" i="41"/>
  <c r="U18" i="41"/>
  <c r="AS18" i="41" s="1"/>
  <c r="AU74" i="41"/>
  <c r="O79" i="41"/>
  <c r="U85" i="41"/>
  <c r="AS85" i="41" s="1"/>
  <c r="M87" i="41"/>
  <c r="O232" i="41"/>
  <c r="Z67" i="41"/>
  <c r="Z271" i="41" s="1"/>
  <c r="O181" i="41"/>
  <c r="W66" i="41"/>
  <c r="AA64" i="41"/>
  <c r="V171" i="41"/>
  <c r="W97" i="41"/>
  <c r="AQ122" i="41"/>
  <c r="U66" i="41"/>
  <c r="AT260" i="41"/>
  <c r="W55" i="41"/>
  <c r="AU55" i="41" s="1"/>
  <c r="AM277" i="41"/>
  <c r="AM362" i="41" s="1"/>
  <c r="W67" i="41"/>
  <c r="AD72" i="41"/>
  <c r="AD276" i="41" s="1"/>
  <c r="AD361" i="41" s="1"/>
  <c r="I269" i="41"/>
  <c r="I354" i="41" s="1"/>
  <c r="U81" i="41"/>
  <c r="W99" i="41"/>
  <c r="V22" i="41"/>
  <c r="AT22" i="41" s="1"/>
  <c r="V317" i="41"/>
  <c r="AT317" i="41" s="1"/>
  <c r="V16" i="41"/>
  <c r="AT16" i="41" s="1"/>
  <c r="O87" i="41"/>
  <c r="W219" i="41"/>
  <c r="AU219" i="41" s="1"/>
  <c r="W220" i="41"/>
  <c r="AU220" i="41" s="1"/>
  <c r="W184" i="41"/>
  <c r="AP100" i="41"/>
  <c r="AO114" i="41"/>
  <c r="AM275" i="41"/>
  <c r="AM360" i="41" s="1"/>
  <c r="W234" i="41"/>
  <c r="V68" i="41"/>
  <c r="W242" i="41"/>
  <c r="AU242" i="41" s="1"/>
  <c r="W115" i="41"/>
  <c r="AT253" i="41"/>
  <c r="W103" i="41"/>
  <c r="W116" i="41"/>
  <c r="W100" i="41"/>
  <c r="O104" i="41"/>
  <c r="U239" i="41"/>
  <c r="W82" i="41"/>
  <c r="W63" i="41"/>
  <c r="W89" i="41"/>
  <c r="W226" i="41"/>
  <c r="AU226" i="41" s="1"/>
  <c r="V52" i="41"/>
  <c r="AT52" i="41" s="1"/>
  <c r="V170" i="41"/>
  <c r="M172" i="41"/>
  <c r="V33" i="41"/>
  <c r="AT33" i="41" s="1"/>
  <c r="AS110" i="41"/>
  <c r="U203" i="41"/>
  <c r="W342" i="41"/>
  <c r="AU342" i="41" s="1"/>
  <c r="AT326" i="41"/>
  <c r="F53" i="41"/>
  <c r="V35" i="41"/>
  <c r="AT35" i="41" s="1"/>
  <c r="F45" i="41"/>
  <c r="S53" i="41"/>
  <c r="U35" i="41"/>
  <c r="AS35" i="41" s="1"/>
  <c r="J27" i="37"/>
  <c r="Q53" i="41"/>
  <c r="W35" i="41"/>
  <c r="AU35" i="41" s="1"/>
  <c r="W56" i="41"/>
  <c r="AU56" i="41" s="1"/>
  <c r="W52" i="41"/>
  <c r="AU52" i="41" s="1"/>
  <c r="V39" i="41"/>
  <c r="AT39" i="41" s="1"/>
  <c r="K44" i="37"/>
  <c r="S36" i="41"/>
  <c r="W86" i="41"/>
  <c r="U102" i="41"/>
  <c r="AE78" i="37"/>
  <c r="E95" i="37"/>
  <c r="AC67" i="41"/>
  <c r="AC271" i="41" s="1"/>
  <c r="AC356" i="41" s="1"/>
  <c r="AO103" i="41"/>
  <c r="AC73" i="41"/>
  <c r="AC277" i="41" s="1"/>
  <c r="AC362" i="41" s="1"/>
  <c r="V81" i="41"/>
  <c r="U90" i="41"/>
  <c r="AS90" i="41" s="1"/>
  <c r="W90" i="41"/>
  <c r="U89" i="41"/>
  <c r="AS89" i="41" s="1"/>
  <c r="U83" i="41"/>
  <c r="AS83" i="41" s="1"/>
  <c r="V106" i="41"/>
  <c r="U101" i="41"/>
  <c r="N104" i="41"/>
  <c r="O138" i="41"/>
  <c r="U137" i="41"/>
  <c r="AS137" i="41" s="1"/>
  <c r="U134" i="41"/>
  <c r="AS134" i="41" s="1"/>
  <c r="W129" i="37"/>
  <c r="U129" i="37"/>
  <c r="R129" i="37"/>
  <c r="Z129" i="37"/>
  <c r="AT128" i="41"/>
  <c r="U217" i="41"/>
  <c r="J231" i="37"/>
  <c r="K180" i="37"/>
  <c r="J197" i="37"/>
  <c r="AA231" i="37"/>
  <c r="V204" i="41"/>
  <c r="AT204" i="41" s="1"/>
  <c r="Q197" i="37"/>
  <c r="N197" i="37"/>
  <c r="U236" i="41"/>
  <c r="V184" i="41"/>
  <c r="M206" i="41"/>
  <c r="I189" i="41"/>
  <c r="J215" i="41"/>
  <c r="V214" i="37"/>
  <c r="O206" i="41"/>
  <c r="U199" i="41"/>
  <c r="O189" i="41"/>
  <c r="N231" i="37"/>
  <c r="W231" i="37"/>
  <c r="O240" i="41"/>
  <c r="U202" i="41"/>
  <c r="I197" i="37"/>
  <c r="V187" i="41"/>
  <c r="F214" i="37"/>
  <c r="U243" i="41"/>
  <c r="M232" i="41"/>
  <c r="AL223" i="41"/>
  <c r="AP223" i="41" s="1"/>
  <c r="O214" i="37"/>
  <c r="V191" i="41"/>
  <c r="U188" i="41"/>
  <c r="W243" i="41"/>
  <c r="AU243" i="41" s="1"/>
  <c r="V202" i="41"/>
  <c r="AT202" i="41" s="1"/>
  <c r="M197" i="37"/>
  <c r="V203" i="41"/>
  <c r="AT203" i="41" s="1"/>
  <c r="I270" i="41"/>
  <c r="I355" i="41" s="1"/>
  <c r="AD68" i="41"/>
  <c r="AD272" i="41" s="1"/>
  <c r="AD357" i="41" s="1"/>
  <c r="AP102" i="41"/>
  <c r="O196" i="31"/>
  <c r="O198" i="31"/>
  <c r="O193" i="31"/>
  <c r="O192" i="31"/>
  <c r="O194" i="31"/>
  <c r="O200" i="31"/>
  <c r="O197" i="31"/>
  <c r="AI268" i="41"/>
  <c r="AI353" i="41" s="1"/>
  <c r="U47" i="41"/>
  <c r="AS47" i="41" s="1"/>
  <c r="AH267" i="41"/>
  <c r="AH352" i="41" s="1"/>
  <c r="AD69" i="41"/>
  <c r="AD273" i="41" s="1"/>
  <c r="AD358" i="41" s="1"/>
  <c r="AP103" i="41"/>
  <c r="V150" i="41"/>
  <c r="AT150" i="41" s="1"/>
  <c r="K223" i="31"/>
  <c r="AL215" i="41"/>
  <c r="K196" i="31"/>
  <c r="K192" i="31"/>
  <c r="K193" i="31"/>
  <c r="K200" i="31"/>
  <c r="K197" i="31"/>
  <c r="K194" i="31"/>
  <c r="K198" i="31"/>
  <c r="W27" i="37"/>
  <c r="U52" i="41"/>
  <c r="AS52" i="41" s="1"/>
  <c r="V56" i="41"/>
  <c r="AT56" i="41" s="1"/>
  <c r="F78" i="37"/>
  <c r="O115" i="31"/>
  <c r="Y272" i="41"/>
  <c r="Y357" i="41" s="1"/>
  <c r="U100" i="41"/>
  <c r="O111" i="31"/>
  <c r="N55" i="28"/>
  <c r="N61" i="28" s="1"/>
  <c r="AS111" i="41"/>
  <c r="U226" i="41"/>
  <c r="BS283" i="43"/>
  <c r="U14" i="41"/>
  <c r="AS14" i="41" s="1"/>
  <c r="AQ167" i="41"/>
  <c r="W170" i="41"/>
  <c r="BT28" i="43"/>
  <c r="AQ169" i="41"/>
  <c r="K271" i="28"/>
  <c r="P198" i="31"/>
  <c r="P194" i="31"/>
  <c r="P200" i="31"/>
  <c r="P192" i="31"/>
  <c r="P196" i="31"/>
  <c r="P197" i="31"/>
  <c r="P193" i="31"/>
  <c r="V51" i="41"/>
  <c r="AT51" i="41" s="1"/>
  <c r="S28" i="41"/>
  <c r="AO120" i="41"/>
  <c r="AG273" i="41"/>
  <c r="AG358" i="41" s="1"/>
  <c r="AO122" i="41"/>
  <c r="AG275" i="41"/>
  <c r="AG360" i="41" s="1"/>
  <c r="AG121" i="41"/>
  <c r="AO224" i="41"/>
  <c r="AK223" i="41"/>
  <c r="AO223" i="41" s="1"/>
  <c r="N138" i="41"/>
  <c r="AO199" i="41"/>
  <c r="AK198" i="41"/>
  <c r="AO198" i="41" s="1"/>
  <c r="M272" i="41"/>
  <c r="O111" i="28"/>
  <c r="AG147" i="41"/>
  <c r="AO148" i="41"/>
  <c r="AU285" i="41"/>
  <c r="V216" i="41"/>
  <c r="U238" i="41"/>
  <c r="N232" i="41"/>
  <c r="W30" i="41"/>
  <c r="AU30" i="41" s="1"/>
  <c r="J198" i="31"/>
  <c r="J197" i="31"/>
  <c r="J194" i="31"/>
  <c r="J200" i="31"/>
  <c r="J196" i="31"/>
  <c r="J193" i="31"/>
  <c r="J192" i="31"/>
  <c r="U56" i="41"/>
  <c r="AS56" i="41" s="1"/>
  <c r="U133" i="41"/>
  <c r="AS133" i="41" s="1"/>
  <c r="W39" i="41"/>
  <c r="AU39" i="41" s="1"/>
  <c r="AQ120" i="41"/>
  <c r="M273" i="41"/>
  <c r="U51" i="41"/>
  <c r="AS51" i="41" s="1"/>
  <c r="AS196" i="41"/>
  <c r="N164" i="41"/>
  <c r="V50" i="41"/>
  <c r="AT50" i="41" s="1"/>
  <c r="U50" i="41"/>
  <c r="AS50" i="41" s="1"/>
  <c r="AD71" i="41"/>
  <c r="AD275" i="41" s="1"/>
  <c r="AD360" i="41" s="1"/>
  <c r="P227" i="31"/>
  <c r="AG155" i="41"/>
  <c r="AO155" i="41" s="1"/>
  <c r="AO156" i="41"/>
  <c r="N227" i="28"/>
  <c r="W48" i="41"/>
  <c r="AU48" i="41" s="1"/>
  <c r="Q28" i="41"/>
  <c r="AO105" i="41"/>
  <c r="W34" i="41"/>
  <c r="AU34" i="41" s="1"/>
  <c r="M104" i="41"/>
  <c r="W137" i="41"/>
  <c r="AU137" i="41" s="1"/>
  <c r="I180" i="37"/>
  <c r="BO10" i="45"/>
  <c r="W38" i="41"/>
  <c r="AU38" i="41" s="1"/>
  <c r="AE95" i="37"/>
  <c r="U32" i="41"/>
  <c r="AS32" i="41" s="1"/>
  <c r="BX19" i="34"/>
  <c r="AS94" i="41"/>
  <c r="U169" i="41"/>
  <c r="AQ119" i="41"/>
  <c r="AP105" i="41"/>
  <c r="N159" i="31"/>
  <c r="AO119" i="41"/>
  <c r="AG272" i="41"/>
  <c r="AG357" i="41" s="1"/>
  <c r="K115" i="28"/>
  <c r="P115" i="31"/>
  <c r="N130" i="41"/>
  <c r="N27" i="37"/>
  <c r="U308" i="41"/>
  <c r="AS308" i="41" s="1"/>
  <c r="AS309" i="41"/>
  <c r="U86" i="41"/>
  <c r="AS86" i="41" s="1"/>
  <c r="K248" i="41"/>
  <c r="V257" i="41"/>
  <c r="F27" i="37"/>
  <c r="U135" i="41"/>
  <c r="AS135" i="41" s="1"/>
  <c r="U300" i="41"/>
  <c r="Z263" i="41"/>
  <c r="AP59" i="41"/>
  <c r="AT59" i="41" s="1"/>
  <c r="AK215" i="41"/>
  <c r="AO216" i="41"/>
  <c r="W135" i="41"/>
  <c r="AU135" i="41" s="1"/>
  <c r="AP99" i="41"/>
  <c r="AD65" i="41"/>
  <c r="AD269" i="41" s="1"/>
  <c r="AD354" i="41" s="1"/>
  <c r="AM270" i="41"/>
  <c r="AM355" i="41" s="1"/>
  <c r="BN163" i="45"/>
  <c r="O223" i="31"/>
  <c r="AM248" i="41"/>
  <c r="AQ248" i="41" s="1"/>
  <c r="W175" i="41"/>
  <c r="AS213" i="41"/>
  <c r="Y78" i="37"/>
  <c r="L193" i="31"/>
  <c r="L198" i="31"/>
  <c r="L192" i="31"/>
  <c r="L200" i="31"/>
  <c r="L196" i="31"/>
  <c r="L197" i="31"/>
  <c r="L194" i="31"/>
  <c r="AC63" i="41"/>
  <c r="AC267" i="41" s="1"/>
  <c r="AC352" i="41" s="1"/>
  <c r="AO97" i="41"/>
  <c r="M138" i="41"/>
  <c r="W334" i="41"/>
  <c r="AM273" i="41"/>
  <c r="AM358" i="41" s="1"/>
  <c r="M275" i="41"/>
  <c r="W174" i="41"/>
  <c r="O194" i="28"/>
  <c r="O200" i="28"/>
  <c r="O196" i="28"/>
  <c r="O198" i="28"/>
  <c r="O193" i="28"/>
  <c r="O197" i="28"/>
  <c r="O192" i="28"/>
  <c r="AC264" i="41"/>
  <c r="AO60" i="41"/>
  <c r="AS60" i="41" s="1"/>
  <c r="M130" i="41"/>
  <c r="O55" i="31"/>
  <c r="AA13" i="34"/>
  <c r="R36" i="41"/>
  <c r="O180" i="37"/>
  <c r="K113" i="41"/>
  <c r="N62" i="41"/>
  <c r="AM276" i="41"/>
  <c r="AM361" i="41" s="1"/>
  <c r="Q36" i="41"/>
  <c r="V15" i="41"/>
  <c r="AT15" i="41" s="1"/>
  <c r="I96" i="41"/>
  <c r="BO78" i="45"/>
  <c r="U141" i="41"/>
  <c r="AS141" i="41" s="1"/>
  <c r="P200" i="28"/>
  <c r="P198" i="28"/>
  <c r="P193" i="28"/>
  <c r="P197" i="28"/>
  <c r="P192" i="28"/>
  <c r="P194" i="28"/>
  <c r="P196" i="28"/>
  <c r="W32" i="41"/>
  <c r="AU32" i="41" s="1"/>
  <c r="AC104" i="41"/>
  <c r="AO104" i="41" s="1"/>
  <c r="V186" i="41"/>
  <c r="BR28" i="43"/>
  <c r="V32" i="41"/>
  <c r="AT32" i="41" s="1"/>
  <c r="M189" i="41"/>
  <c r="V21" i="41"/>
  <c r="AT21" i="41" s="1"/>
  <c r="U136" i="41"/>
  <c r="AS136" i="41" s="1"/>
  <c r="L197" i="28"/>
  <c r="L200" i="28"/>
  <c r="L192" i="28"/>
  <c r="L193" i="28"/>
  <c r="L194" i="28"/>
  <c r="L198" i="28"/>
  <c r="L196" i="28"/>
  <c r="L115" i="31"/>
  <c r="U132" i="41"/>
  <c r="AS132" i="41" s="1"/>
  <c r="O59" i="28"/>
  <c r="N223" i="31"/>
  <c r="P55" i="28"/>
  <c r="V132" i="41"/>
  <c r="J115" i="31"/>
  <c r="AC268" i="41"/>
  <c r="AC353" i="41" s="1"/>
  <c r="AU252" i="41"/>
  <c r="V183" i="41"/>
  <c r="AU250" i="41"/>
  <c r="Z95" i="37"/>
  <c r="W168" i="41"/>
  <c r="U124" i="41"/>
  <c r="U208" i="41"/>
  <c r="BS19" i="34"/>
  <c r="AQ173" i="41"/>
  <c r="V263" i="41"/>
  <c r="V205" i="41"/>
  <c r="AT205" i="41" s="1"/>
  <c r="W169" i="41"/>
  <c r="G214" i="37"/>
  <c r="J276" i="41"/>
  <c r="K131" i="31"/>
  <c r="O103" i="28"/>
  <c r="U140" i="41"/>
  <c r="AS140" i="41" s="1"/>
  <c r="U115" i="41"/>
  <c r="U55" i="41"/>
  <c r="AS55" i="41" s="1"/>
  <c r="N227" i="31"/>
  <c r="P55" i="31"/>
  <c r="W238" i="41"/>
  <c r="AU238" i="41" s="1"/>
  <c r="AD64" i="41"/>
  <c r="AD268" i="41" s="1"/>
  <c r="AD353" i="41" s="1"/>
  <c r="AP98" i="41"/>
  <c r="U117" i="41"/>
  <c r="AI270" i="41"/>
  <c r="AI355" i="41" s="1"/>
  <c r="AQ117" i="41"/>
  <c r="G44" i="37"/>
  <c r="J198" i="28"/>
  <c r="J196" i="28"/>
  <c r="J194" i="28"/>
  <c r="J197" i="28"/>
  <c r="J193" i="28"/>
  <c r="J200" i="28"/>
  <c r="J192" i="28"/>
  <c r="L111" i="28"/>
  <c r="M129" i="37"/>
  <c r="AL248" i="41"/>
  <c r="AP248" i="41" s="1"/>
  <c r="AP249" i="41"/>
  <c r="O223" i="28"/>
  <c r="S231" i="37"/>
  <c r="I366" i="41"/>
  <c r="K227" i="31"/>
  <c r="AD231" i="37"/>
  <c r="V157" i="41"/>
  <c r="AT157" i="41" s="1"/>
  <c r="V17" i="41"/>
  <c r="AT17" i="41" s="1"/>
  <c r="AK240" i="41"/>
  <c r="AO241" i="41"/>
  <c r="K59" i="31"/>
  <c r="Q44" i="37"/>
  <c r="W133" i="41"/>
  <c r="AU133" i="41" s="1"/>
  <c r="U218" i="41"/>
  <c r="AT162" i="41"/>
  <c r="AG277" i="41"/>
  <c r="AG362" i="41" s="1"/>
  <c r="AO124" i="41"/>
  <c r="K55" i="31"/>
  <c r="AE44" i="37"/>
  <c r="J59" i="28"/>
  <c r="V47" i="41"/>
  <c r="AT47" i="41" s="1"/>
  <c r="U116" i="41"/>
  <c r="O198" i="41"/>
  <c r="R78" i="37"/>
  <c r="AD63" i="41"/>
  <c r="AD267" i="41" s="1"/>
  <c r="AD352" i="41" s="1"/>
  <c r="AP97" i="41"/>
  <c r="AD96" i="41"/>
  <c r="V149" i="41"/>
  <c r="AT149" i="41" s="1"/>
  <c r="M269" i="41"/>
  <c r="W199" i="41"/>
  <c r="M268" i="41"/>
  <c r="M198" i="41"/>
  <c r="N172" i="41"/>
  <c r="BN316" i="45"/>
  <c r="O215" i="41"/>
  <c r="V185" i="41"/>
  <c r="U30" i="41"/>
  <c r="AS30" i="41" s="1"/>
  <c r="AU254" i="41"/>
  <c r="L59" i="28"/>
  <c r="O227" i="31"/>
  <c r="R197" i="37"/>
  <c r="K227" i="28"/>
  <c r="U120" i="41"/>
  <c r="P59" i="28"/>
  <c r="O146" i="37"/>
  <c r="W183" i="41"/>
  <c r="BM333" i="45"/>
  <c r="L115" i="28"/>
  <c r="W101" i="41"/>
  <c r="AT251" i="41"/>
  <c r="N111" i="28"/>
  <c r="U119" i="41"/>
  <c r="L111" i="33"/>
  <c r="U294" i="41"/>
  <c r="AS294" i="41" s="1"/>
  <c r="X249" i="43"/>
  <c r="S55" i="30"/>
  <c r="J291" i="41"/>
  <c r="V292" i="41"/>
  <c r="P215" i="31"/>
  <c r="W197" i="45"/>
  <c r="S115" i="30"/>
  <c r="K111" i="30"/>
  <c r="O112" i="45"/>
  <c r="P215" i="28"/>
  <c r="J145" i="33"/>
  <c r="AC61" i="45"/>
  <c r="AM283" i="41"/>
  <c r="AQ284" i="41"/>
  <c r="AU284" i="41" s="1"/>
  <c r="V181" i="43"/>
  <c r="L130" i="43"/>
  <c r="L131" i="33"/>
  <c r="R181" i="43"/>
  <c r="T55" i="33"/>
  <c r="S55" i="33"/>
  <c r="R28" i="43"/>
  <c r="AK283" i="41"/>
  <c r="AO284" i="41"/>
  <c r="L103" i="33"/>
  <c r="S59" i="30"/>
  <c r="T89" i="33"/>
  <c r="Q163" i="45"/>
  <c r="AP292" i="41"/>
  <c r="AL291" i="41"/>
  <c r="AP291" i="41" s="1"/>
  <c r="AQ292" i="41"/>
  <c r="AM291" i="41"/>
  <c r="AQ291" i="41" s="1"/>
  <c r="U284" i="41"/>
  <c r="I283" i="41"/>
  <c r="AO292" i="41"/>
  <c r="AK291" i="41"/>
  <c r="AO291" i="41" s="1"/>
  <c r="R47" i="33"/>
  <c r="V317" i="43"/>
  <c r="J10" i="45"/>
  <c r="AP284" i="41"/>
  <c r="AL283" i="41"/>
  <c r="AI164" i="43"/>
  <c r="O180" i="45"/>
  <c r="R243" i="30"/>
  <c r="J111" i="33"/>
  <c r="U289" i="41"/>
  <c r="AS289" i="41" s="1"/>
  <c r="S59" i="33"/>
  <c r="U290" i="41"/>
  <c r="AS290" i="41" s="1"/>
  <c r="J198" i="43"/>
  <c r="R163" i="45"/>
  <c r="T159" i="33"/>
  <c r="P79" i="43"/>
  <c r="AD163" i="45"/>
  <c r="AC231" i="45"/>
  <c r="U288" i="41"/>
  <c r="AS288" i="41" s="1"/>
  <c r="U285" i="41"/>
  <c r="AS285" i="41" s="1"/>
  <c r="U286" i="41"/>
  <c r="AS286" i="41" s="1"/>
  <c r="J55" i="30"/>
  <c r="L215" i="33"/>
  <c r="U293" i="41"/>
  <c r="AS293" i="41" s="1"/>
  <c r="T19" i="30"/>
  <c r="AA164" i="43"/>
  <c r="I291" i="41"/>
  <c r="U292" i="41"/>
  <c r="S231" i="45"/>
  <c r="J283" i="41"/>
  <c r="U287" i="41"/>
  <c r="AS287" i="41" s="1"/>
  <c r="V96" i="43"/>
  <c r="S103" i="33"/>
  <c r="J201" i="30"/>
  <c r="L173" i="33"/>
  <c r="L115" i="33"/>
  <c r="X232" i="43"/>
  <c r="AB164" i="43"/>
  <c r="L111" i="30"/>
  <c r="T173" i="33"/>
  <c r="AP83" i="41"/>
  <c r="Z66" i="41"/>
  <c r="V69" i="41"/>
  <c r="V153" i="41"/>
  <c r="AT153" i="41" s="1"/>
  <c r="K181" i="41"/>
  <c r="W136" i="41"/>
  <c r="AU136" i="41" s="1"/>
  <c r="AG138" i="41"/>
  <c r="AO138" i="41" s="1"/>
  <c r="AO139" i="41"/>
  <c r="W131" i="41"/>
  <c r="K130" i="41"/>
  <c r="N223" i="41"/>
  <c r="V224" i="41"/>
  <c r="AH272" i="41"/>
  <c r="AH357" i="41" s="1"/>
  <c r="AP119" i="41"/>
  <c r="U173" i="41"/>
  <c r="I172" i="41"/>
  <c r="W134" i="41"/>
  <c r="AU134" i="41" s="1"/>
  <c r="O270" i="41"/>
  <c r="AA79" i="41"/>
  <c r="AQ80" i="41"/>
  <c r="AA63" i="41"/>
  <c r="K232" i="41"/>
  <c r="W233" i="41"/>
  <c r="U20" i="41"/>
  <c r="E275" i="41"/>
  <c r="E19" i="41"/>
  <c r="E274" i="41" s="1"/>
  <c r="E359" i="41" s="1"/>
  <c r="AA27" i="37"/>
  <c r="V95" i="37"/>
  <c r="U34" i="41"/>
  <c r="AS34" i="41" s="1"/>
  <c r="K79" i="41"/>
  <c r="W80" i="41"/>
  <c r="AP165" i="41"/>
  <c r="AL267" i="41"/>
  <c r="AL164" i="41"/>
  <c r="U220" i="41"/>
  <c r="AH268" i="41"/>
  <c r="AH353" i="41" s="1"/>
  <c r="AP115" i="41"/>
  <c r="I130" i="41"/>
  <c r="U131" i="41"/>
  <c r="I27" i="37"/>
  <c r="R11" i="41"/>
  <c r="R267" i="41"/>
  <c r="R352" i="41" s="1"/>
  <c r="R365" i="41" s="1"/>
  <c r="V12" i="41"/>
  <c r="I271" i="41"/>
  <c r="I356" i="41" s="1"/>
  <c r="E356" i="41"/>
  <c r="S19" i="41"/>
  <c r="S274" i="41" s="1"/>
  <c r="S359" i="41" s="1"/>
  <c r="U103" i="41"/>
  <c r="AE363" i="41"/>
  <c r="AQ278" i="41"/>
  <c r="AI147" i="41"/>
  <c r="AQ148" i="41"/>
  <c r="M79" i="41"/>
  <c r="U80" i="41"/>
  <c r="V30" i="41"/>
  <c r="AT30" i="41" s="1"/>
  <c r="AP207" i="41"/>
  <c r="AL206" i="41"/>
  <c r="AP206" i="41" s="1"/>
  <c r="U263" i="41"/>
  <c r="G129" i="37"/>
  <c r="W33" i="41"/>
  <c r="AU33" i="41" s="1"/>
  <c r="I87" i="41"/>
  <c r="U88" i="41"/>
  <c r="V207" i="41"/>
  <c r="J206" i="41"/>
  <c r="V27" i="37"/>
  <c r="J363" i="41"/>
  <c r="V278" i="41"/>
  <c r="AO99" i="41"/>
  <c r="AC65" i="41"/>
  <c r="AC269" i="41" s="1"/>
  <c r="AC354" i="41" s="1"/>
  <c r="AC96" i="41"/>
  <c r="E354" i="41"/>
  <c r="BS130" i="43"/>
  <c r="V63" i="41"/>
  <c r="J62" i="41"/>
  <c r="V237" i="41"/>
  <c r="AT237" i="41" s="1"/>
  <c r="U16" i="41"/>
  <c r="AS16" i="41" s="1"/>
  <c r="K215" i="41"/>
  <c r="W216" i="41"/>
  <c r="V174" i="41"/>
  <c r="M223" i="41"/>
  <c r="F360" i="41"/>
  <c r="J275" i="41"/>
  <c r="U38" i="41"/>
  <c r="AS38" i="41" s="1"/>
  <c r="AL277" i="41"/>
  <c r="AL362" i="41" s="1"/>
  <c r="AP175" i="41"/>
  <c r="V73" i="41"/>
  <c r="W139" i="41"/>
  <c r="K138" i="41"/>
  <c r="AA264" i="41"/>
  <c r="AQ60" i="41"/>
  <c r="AU60" i="41" s="1"/>
  <c r="G231" i="37"/>
  <c r="AP171" i="41"/>
  <c r="AL273" i="41"/>
  <c r="AL358" i="41" s="1"/>
  <c r="V208" i="41"/>
  <c r="AT208" i="41" s="1"/>
  <c r="S78" i="37"/>
  <c r="J349" i="41"/>
  <c r="V349" i="41" s="1"/>
  <c r="V264" i="41"/>
  <c r="J270" i="41"/>
  <c r="J271" i="41"/>
  <c r="AA17" i="34"/>
  <c r="Z363" i="41"/>
  <c r="AP363" i="41" s="1"/>
  <c r="AP278" i="41"/>
  <c r="Q129" i="37"/>
  <c r="U182" i="41"/>
  <c r="I181" i="41"/>
  <c r="Y267" i="41"/>
  <c r="Q19" i="41"/>
  <c r="Q274" i="41" s="1"/>
  <c r="Q359" i="41" s="1"/>
  <c r="Q275" i="41"/>
  <c r="Q360" i="41" s="1"/>
  <c r="AE146" i="37"/>
  <c r="AM181" i="41"/>
  <c r="R275" i="41"/>
  <c r="R360" i="41" s="1"/>
  <c r="R19" i="41"/>
  <c r="R274" i="41" s="1"/>
  <c r="R359" i="41" s="1"/>
  <c r="M267" i="41"/>
  <c r="AO263" i="41"/>
  <c r="Y348" i="41"/>
  <c r="J113" i="41"/>
  <c r="V114" i="41"/>
  <c r="AP116" i="41"/>
  <c r="AH269" i="41"/>
  <c r="AH354" i="41" s="1"/>
  <c r="U348" i="41"/>
  <c r="G272" i="41"/>
  <c r="W17" i="41"/>
  <c r="AU17" i="41" s="1"/>
  <c r="U95" i="37"/>
  <c r="V175" i="41"/>
  <c r="AA271" i="41"/>
  <c r="AP90" i="41"/>
  <c r="Z73" i="41"/>
  <c r="J181" i="41"/>
  <c r="V182" i="41"/>
  <c r="AP190" i="41"/>
  <c r="AL189" i="41"/>
  <c r="AP189" i="41" s="1"/>
  <c r="AA270" i="41"/>
  <c r="AH276" i="41"/>
  <c r="AH361" i="41" s="1"/>
  <c r="AP123" i="41"/>
  <c r="R53" i="41"/>
  <c r="V54" i="41"/>
  <c r="W21" i="41"/>
  <c r="AU21" i="41" s="1"/>
  <c r="G276" i="41"/>
  <c r="AP89" i="41"/>
  <c r="Z72" i="41"/>
  <c r="O267" i="41"/>
  <c r="G275" i="41"/>
  <c r="W20" i="41"/>
  <c r="G19" i="41"/>
  <c r="G274" i="41" s="1"/>
  <c r="G359" i="41" s="1"/>
  <c r="AL240" i="41"/>
  <c r="AP240" i="41" s="1"/>
  <c r="AP241" i="41"/>
  <c r="Y277" i="41"/>
  <c r="V14" i="41"/>
  <c r="AT14" i="41" s="1"/>
  <c r="W173" i="41"/>
  <c r="O172" i="41"/>
  <c r="W47" i="41"/>
  <c r="AU47" i="41" s="1"/>
  <c r="AO209" i="41"/>
  <c r="AK206" i="41"/>
  <c r="AQ139" i="41"/>
  <c r="AI138" i="41"/>
  <c r="AQ138" i="41" s="1"/>
  <c r="N147" i="41"/>
  <c r="V167" i="41"/>
  <c r="U106" i="41"/>
  <c r="U219" i="41"/>
  <c r="F357" i="41"/>
  <c r="J272" i="41"/>
  <c r="U71" i="41"/>
  <c r="E27" i="37"/>
  <c r="W13" i="41"/>
  <c r="AU13" i="41" s="1"/>
  <c r="G268" i="41"/>
  <c r="W50" i="41"/>
  <c r="AU50" i="41" s="1"/>
  <c r="U216" i="41"/>
  <c r="AL268" i="41"/>
  <c r="AL353" i="41" s="1"/>
  <c r="AP166" i="41"/>
  <c r="V156" i="41"/>
  <c r="J155" i="41"/>
  <c r="W107" i="41"/>
  <c r="V236" i="41"/>
  <c r="AT236" i="41" s="1"/>
  <c r="W46" i="41"/>
  <c r="G45" i="41"/>
  <c r="J273" i="41"/>
  <c r="U201" i="41"/>
  <c r="I198" i="41"/>
  <c r="AI130" i="41"/>
  <c r="AQ131" i="41"/>
  <c r="K269" i="41"/>
  <c r="K354" i="41" s="1"/>
  <c r="G354" i="41"/>
  <c r="AH138" i="41"/>
  <c r="AP138" i="41" s="1"/>
  <c r="AP139" i="41"/>
  <c r="U174" i="41"/>
  <c r="V49" i="41"/>
  <c r="AT49" i="41" s="1"/>
  <c r="AN19" i="34"/>
  <c r="BT164" i="43"/>
  <c r="V98" i="41"/>
  <c r="J96" i="41"/>
  <c r="O113" i="41"/>
  <c r="W114" i="41"/>
  <c r="AA272" i="41"/>
  <c r="V241" i="41"/>
  <c r="J240" i="41"/>
  <c r="AQ216" i="41"/>
  <c r="AM215" i="41"/>
  <c r="V158" i="41"/>
  <c r="AT158" i="41" s="1"/>
  <c r="W15" i="41"/>
  <c r="AU15" i="41" s="1"/>
  <c r="U221" i="41"/>
  <c r="J79" i="41"/>
  <c r="V80" i="41"/>
  <c r="K270" i="41"/>
  <c r="K355" i="41" s="1"/>
  <c r="G355" i="41"/>
  <c r="U54" i="41"/>
  <c r="E53" i="41"/>
  <c r="AL276" i="41"/>
  <c r="AL361" i="41" s="1"/>
  <c r="AP174" i="41"/>
  <c r="U98" i="41"/>
  <c r="M215" i="41"/>
  <c r="K240" i="41"/>
  <c r="J70" i="41"/>
  <c r="V71" i="41"/>
  <c r="I223" i="41"/>
  <c r="U224" i="41"/>
  <c r="AP85" i="41"/>
  <c r="Z68" i="41"/>
  <c r="AL172" i="41"/>
  <c r="AP172" i="41" s="1"/>
  <c r="J223" i="41"/>
  <c r="V225" i="41"/>
  <c r="V190" i="41"/>
  <c r="J189" i="41"/>
  <c r="AI155" i="41"/>
  <c r="AQ155" i="41" s="1"/>
  <c r="AQ156" i="41"/>
  <c r="W122" i="41"/>
  <c r="O121" i="41"/>
  <c r="W224" i="41"/>
  <c r="K223" i="41"/>
  <c r="W214" i="37"/>
  <c r="M95" i="37"/>
  <c r="F146" i="37"/>
  <c r="J146" i="37"/>
  <c r="R95" i="37"/>
  <c r="I240" i="41"/>
  <c r="U241" i="41"/>
  <c r="U15" i="41"/>
  <c r="AS15" i="41" s="1"/>
  <c r="AL271" i="41"/>
  <c r="AL356" i="41" s="1"/>
  <c r="U46" i="41"/>
  <c r="E45" i="41"/>
  <c r="AH146" i="41"/>
  <c r="AP146" i="41" s="1"/>
  <c r="AP147" i="41"/>
  <c r="AP118" i="41"/>
  <c r="AH271" i="41"/>
  <c r="AH356" i="41" s="1"/>
  <c r="E28" i="41"/>
  <c r="U29" i="41"/>
  <c r="AP124" i="41"/>
  <c r="AH277" i="41"/>
  <c r="AH362" i="41" s="1"/>
  <c r="Q27" i="37"/>
  <c r="F362" i="41"/>
  <c r="AO190" i="41"/>
  <c r="AK189" i="41"/>
  <c r="AO189" i="41" s="1"/>
  <c r="V131" i="41"/>
  <c r="J130" i="41"/>
  <c r="V151" i="41"/>
  <c r="AT151" i="41" s="1"/>
  <c r="AQ199" i="41"/>
  <c r="AM198" i="41"/>
  <c r="W165" i="41"/>
  <c r="U225" i="41"/>
  <c r="AP131" i="41"/>
  <c r="AH130" i="41"/>
  <c r="AI267" i="41"/>
  <c r="AI352" i="41" s="1"/>
  <c r="AQ114" i="41"/>
  <c r="AI113" i="41"/>
  <c r="W14" i="41"/>
  <c r="AU14" i="41" s="1"/>
  <c r="V152" i="41"/>
  <c r="AT152" i="41" s="1"/>
  <c r="U175" i="41"/>
  <c r="U167" i="41"/>
  <c r="G53" i="41"/>
  <c r="W54" i="41"/>
  <c r="V140" i="41"/>
  <c r="W241" i="41"/>
  <c r="J87" i="41"/>
  <c r="V88" i="41"/>
  <c r="V85" i="41"/>
  <c r="M96" i="41"/>
  <c r="V78" i="37"/>
  <c r="U33" i="41"/>
  <c r="AS33" i="41" s="1"/>
  <c r="AL272" i="41"/>
  <c r="AL357" i="41" s="1"/>
  <c r="W18" i="41"/>
  <c r="AU18" i="41" s="1"/>
  <c r="G273" i="41"/>
  <c r="V242" i="41"/>
  <c r="AT242" i="41" s="1"/>
  <c r="AB17" i="34"/>
  <c r="V154" i="41"/>
  <c r="AT154" i="41" s="1"/>
  <c r="U84" i="41"/>
  <c r="R27" i="37"/>
  <c r="V65" i="41"/>
  <c r="W132" i="41"/>
  <c r="AU132" i="41" s="1"/>
  <c r="O269" i="41"/>
  <c r="V148" i="41"/>
  <c r="J147" i="41"/>
  <c r="AP182" i="41"/>
  <c r="AL181" i="41"/>
  <c r="V166" i="41"/>
  <c r="AQ241" i="41"/>
  <c r="AM240" i="41"/>
  <c r="AQ240" i="41" s="1"/>
  <c r="V31" i="41"/>
  <c r="AT31" i="41" s="1"/>
  <c r="AM164" i="41"/>
  <c r="AM267" i="41"/>
  <c r="AQ165" i="41"/>
  <c r="E355" i="41"/>
  <c r="V238" i="41"/>
  <c r="AT238" i="41" s="1"/>
  <c r="V235" i="41"/>
  <c r="AT235" i="41" s="1"/>
  <c r="I138" i="41"/>
  <c r="U139" i="41"/>
  <c r="K206" i="41"/>
  <c r="W207" i="41"/>
  <c r="V199" i="41"/>
  <c r="J198" i="41"/>
  <c r="AP60" i="41"/>
  <c r="Z264" i="41"/>
  <c r="E277" i="41"/>
  <c r="U22" i="41"/>
  <c r="AS22" i="41" s="1"/>
  <c r="U222" i="41"/>
  <c r="S11" i="41"/>
  <c r="S267" i="41"/>
  <c r="S352" i="41" s="1"/>
  <c r="S365" i="41" s="1"/>
  <c r="E358" i="41"/>
  <c r="J121" i="41"/>
  <c r="V122" i="41"/>
  <c r="F361" i="41"/>
  <c r="U31" i="41"/>
  <c r="AS31" i="41" s="1"/>
  <c r="K189" i="41"/>
  <c r="W190" i="41"/>
  <c r="K70" i="41"/>
  <c r="W71" i="41"/>
  <c r="AQ234" i="41"/>
  <c r="AM232" i="41"/>
  <c r="V234" i="41"/>
  <c r="AT234" i="41" s="1"/>
  <c r="S45" i="41"/>
  <c r="V66" i="41"/>
  <c r="O130" i="41"/>
  <c r="J269" i="41"/>
  <c r="F354" i="41"/>
  <c r="E11" i="41"/>
  <c r="E267" i="41"/>
  <c r="U12" i="41"/>
  <c r="Q267" i="41"/>
  <c r="Q352" i="41" s="1"/>
  <c r="Q365" i="41" s="1"/>
  <c r="Q11" i="41"/>
  <c r="AL198" i="41"/>
  <c r="AP199" i="41"/>
  <c r="Y363" i="41"/>
  <c r="AO278" i="41"/>
  <c r="O271" i="41"/>
  <c r="J232" i="41"/>
  <c r="V233" i="41"/>
  <c r="N87" i="41"/>
  <c r="E349" i="41"/>
  <c r="U264" i="41"/>
  <c r="O129" i="37"/>
  <c r="U233" i="41"/>
  <c r="I232" i="41"/>
  <c r="AM206" i="41"/>
  <c r="AQ206" i="41" s="1"/>
  <c r="AQ207" i="41"/>
  <c r="Y87" i="41"/>
  <c r="Y71" i="41"/>
  <c r="AO88" i="41"/>
  <c r="V67" i="41"/>
  <c r="W16" i="41"/>
  <c r="AU16" i="41" s="1"/>
  <c r="G271" i="41"/>
  <c r="V48" i="41"/>
  <c r="AT48" i="41" s="1"/>
  <c r="AH270" i="41"/>
  <c r="AH355" i="41" s="1"/>
  <c r="AP117" i="41"/>
  <c r="Z69" i="41"/>
  <c r="AP86" i="41"/>
  <c r="K147" i="41"/>
  <c r="W150" i="41"/>
  <c r="G27" i="37"/>
  <c r="W105" i="41"/>
  <c r="K104" i="41"/>
  <c r="E272" i="41"/>
  <c r="U17" i="41"/>
  <c r="AS17" i="41" s="1"/>
  <c r="AE19" i="34"/>
  <c r="AM223" i="41"/>
  <c r="AQ223" i="41" s="1"/>
  <c r="AQ224" i="41"/>
  <c r="AL275" i="41"/>
  <c r="F268" i="41"/>
  <c r="V13" i="41"/>
  <c r="AT13" i="41" s="1"/>
  <c r="F11" i="41"/>
  <c r="AG130" i="41"/>
  <c r="AO131" i="41"/>
  <c r="M62" i="41"/>
  <c r="O197" i="37"/>
  <c r="AQ88" i="41"/>
  <c r="AA87" i="41"/>
  <c r="AA71" i="41"/>
  <c r="U168" i="41"/>
  <c r="N96" i="41"/>
  <c r="V97" i="41"/>
  <c r="V29" i="41"/>
  <c r="F28" i="41"/>
  <c r="Z79" i="41"/>
  <c r="AP80" i="41"/>
  <c r="Z63" i="41"/>
  <c r="I78" i="37"/>
  <c r="U107" i="41"/>
  <c r="I214" i="37"/>
  <c r="J129" i="37"/>
  <c r="V55" i="41"/>
  <c r="AT55" i="41" s="1"/>
  <c r="W29" i="41"/>
  <c r="E268" i="41"/>
  <c r="U13" i="41"/>
  <c r="AS13" i="41" s="1"/>
  <c r="O349" i="41"/>
  <c r="O357" i="41" s="1"/>
  <c r="O277" i="41"/>
  <c r="O275" i="41"/>
  <c r="O273" i="41"/>
  <c r="O268" i="41"/>
  <c r="G267" i="41"/>
  <c r="W12" i="41"/>
  <c r="G11" i="41"/>
  <c r="Y271" i="41"/>
  <c r="R45" i="41"/>
  <c r="V46" i="41"/>
  <c r="V239" i="41"/>
  <c r="AT239" i="41" s="1"/>
  <c r="V243" i="41"/>
  <c r="AT243" i="41" s="1"/>
  <c r="V34" i="41"/>
  <c r="AT34" i="41" s="1"/>
  <c r="AA73" i="41"/>
  <c r="AQ90" i="41"/>
  <c r="Z71" i="41"/>
  <c r="AP88" i="41"/>
  <c r="Z87" i="41"/>
  <c r="N155" i="41"/>
  <c r="AL269" i="41"/>
  <c r="AL354" i="41" s="1"/>
  <c r="F36" i="41"/>
  <c r="V37" i="41"/>
  <c r="E276" i="41"/>
  <c r="U21" i="41"/>
  <c r="AS21" i="41" s="1"/>
  <c r="AA273" i="41"/>
  <c r="AO82" i="41"/>
  <c r="Y65" i="41"/>
  <c r="K87" i="41"/>
  <c r="W88" i="41"/>
  <c r="U39" i="41"/>
  <c r="AS39" i="41" s="1"/>
  <c r="V169" i="41"/>
  <c r="U170" i="41"/>
  <c r="W49" i="41"/>
  <c r="AU49" i="41" s="1"/>
  <c r="I273" i="41"/>
  <c r="I358" i="41" s="1"/>
  <c r="W141" i="41"/>
  <c r="AU141" i="41" s="1"/>
  <c r="Z65" i="41"/>
  <c r="AP82" i="41"/>
  <c r="AH121" i="41"/>
  <c r="AP122" i="41"/>
  <c r="AH275" i="41"/>
  <c r="AH360" i="41" s="1"/>
  <c r="R28" i="41"/>
  <c r="E36" i="41"/>
  <c r="U37" i="41"/>
  <c r="I206" i="41"/>
  <c r="U207" i="41"/>
  <c r="W31" i="41"/>
  <c r="AU31" i="41" s="1"/>
  <c r="M349" i="41"/>
  <c r="M355" i="41" s="1"/>
  <c r="M276" i="41"/>
  <c r="M277" i="41"/>
  <c r="M271" i="41"/>
  <c r="AK270" i="41"/>
  <c r="AK355" i="41" s="1"/>
  <c r="AO168" i="41"/>
  <c r="AK164" i="41"/>
  <c r="O276" i="41"/>
  <c r="AH273" i="41"/>
  <c r="AH358" i="41" s="1"/>
  <c r="AP120" i="41"/>
  <c r="AO182" i="41"/>
  <c r="AK181" i="41"/>
  <c r="N79" i="41"/>
  <c r="F180" i="37"/>
  <c r="W264" i="41"/>
  <c r="G349" i="41"/>
  <c r="U171" i="41"/>
  <c r="G277" i="41"/>
  <c r="W22" i="41"/>
  <c r="AU22" i="41" s="1"/>
  <c r="AB13" i="34"/>
  <c r="I104" i="41"/>
  <c r="U105" i="41"/>
  <c r="J95" i="37"/>
  <c r="W140" i="41"/>
  <c r="AU140" i="41" s="1"/>
  <c r="W37" i="41"/>
  <c r="G36" i="41"/>
  <c r="AL232" i="41"/>
  <c r="AP233" i="41"/>
  <c r="V165" i="41"/>
  <c r="J164" i="41"/>
  <c r="V72" i="41"/>
  <c r="F197" i="37"/>
  <c r="J172" i="41"/>
  <c r="V173" i="41"/>
  <c r="I164" i="41"/>
  <c r="U165" i="41"/>
  <c r="G28" i="41"/>
  <c r="V325" i="41" l="1"/>
  <c r="AS251" i="41"/>
  <c r="AS252" i="41"/>
  <c r="AS258" i="41"/>
  <c r="AS250" i="41"/>
  <c r="AS259" i="41"/>
  <c r="AS253" i="41"/>
  <c r="AS254" i="41"/>
  <c r="AS255" i="41"/>
  <c r="AS256" i="41"/>
  <c r="W257" i="41"/>
  <c r="W249" i="41"/>
  <c r="AS236" i="41"/>
  <c r="AS238" i="41"/>
  <c r="AU152" i="41"/>
  <c r="AE95" i="41"/>
  <c r="AE61" i="41" s="1"/>
  <c r="AE265" i="41" s="1"/>
  <c r="AE350" i="41" s="1"/>
  <c r="S61" i="29"/>
  <c r="AT222" i="41"/>
  <c r="AS157" i="41"/>
  <c r="AE70" i="41"/>
  <c r="AE274" i="41" s="1"/>
  <c r="AE359" i="41" s="1"/>
  <c r="AT217" i="41"/>
  <c r="V300" i="41"/>
  <c r="AT300" i="41" s="1"/>
  <c r="AT221" i="41"/>
  <c r="AT226" i="41"/>
  <c r="AT220" i="41"/>
  <c r="P117" i="28"/>
  <c r="AT225" i="41"/>
  <c r="O229" i="28"/>
  <c r="AT219" i="41"/>
  <c r="AS192" i="41"/>
  <c r="K117" i="33"/>
  <c r="K195" i="28"/>
  <c r="K201" i="28" s="1"/>
  <c r="T117" i="29"/>
  <c r="AK274" i="41"/>
  <c r="J117" i="32"/>
  <c r="K117" i="32"/>
  <c r="AK248" i="41"/>
  <c r="AO248" i="41" s="1"/>
  <c r="AS243" i="41"/>
  <c r="AS237" i="41"/>
  <c r="N61" i="31"/>
  <c r="AS239" i="41"/>
  <c r="AS235" i="41"/>
  <c r="AU318" i="41"/>
  <c r="M282" i="41"/>
  <c r="N197" i="41"/>
  <c r="O199" i="28"/>
  <c r="AS152" i="41"/>
  <c r="AS151" i="41"/>
  <c r="AS188" i="41"/>
  <c r="AS153" i="41"/>
  <c r="AU183" i="41"/>
  <c r="AS149" i="41"/>
  <c r="AS186" i="41"/>
  <c r="AS187" i="41"/>
  <c r="AS184" i="41"/>
  <c r="AS183" i="41"/>
  <c r="W283" i="41"/>
  <c r="W282" i="41" s="1"/>
  <c r="AS185" i="41"/>
  <c r="AS191" i="41"/>
  <c r="AU188" i="41"/>
  <c r="AU185" i="41"/>
  <c r="W308" i="41"/>
  <c r="AU308" i="41" s="1"/>
  <c r="K197" i="41"/>
  <c r="AU187" i="41"/>
  <c r="AS154" i="41"/>
  <c r="W325" i="41"/>
  <c r="AU325" i="41" s="1"/>
  <c r="T229" i="29"/>
  <c r="AO249" i="41"/>
  <c r="M231" i="41"/>
  <c r="K61" i="29"/>
  <c r="N61" i="41"/>
  <c r="R117" i="30"/>
  <c r="N214" i="41"/>
  <c r="AS150" i="41"/>
  <c r="O117" i="28"/>
  <c r="AP104" i="41"/>
  <c r="S117" i="33"/>
  <c r="L117" i="30"/>
  <c r="L229" i="31"/>
  <c r="U334" i="41"/>
  <c r="U333" i="41" s="1"/>
  <c r="AS333" i="41" s="1"/>
  <c r="P117" i="31"/>
  <c r="R117" i="33"/>
  <c r="AS158" i="41"/>
  <c r="T117" i="32"/>
  <c r="J24" i="37"/>
  <c r="AU117" i="41"/>
  <c r="U325" i="41"/>
  <c r="AS325" i="41" s="1"/>
  <c r="AU192" i="41"/>
  <c r="U61" i="32"/>
  <c r="M248" i="41"/>
  <c r="K117" i="29"/>
  <c r="N282" i="41"/>
  <c r="AS117" i="41"/>
  <c r="T61" i="30"/>
  <c r="J117" i="28"/>
  <c r="I109" i="37"/>
  <c r="T117" i="33"/>
  <c r="AS234" i="41"/>
  <c r="U147" i="41"/>
  <c r="L61" i="31"/>
  <c r="K163" i="41"/>
  <c r="N199" i="28"/>
  <c r="AU149" i="41"/>
  <c r="AU191" i="41"/>
  <c r="J95" i="41"/>
  <c r="P199" i="31"/>
  <c r="AU115" i="41"/>
  <c r="AU97" i="41"/>
  <c r="N117" i="31"/>
  <c r="AS242" i="41"/>
  <c r="I61" i="41"/>
  <c r="U155" i="41"/>
  <c r="AU186" i="41"/>
  <c r="O214" i="41"/>
  <c r="AU200" i="41"/>
  <c r="J117" i="30"/>
  <c r="N180" i="41"/>
  <c r="AU123" i="41"/>
  <c r="N195" i="28"/>
  <c r="R61" i="33"/>
  <c r="M112" i="41"/>
  <c r="W198" i="41"/>
  <c r="J195" i="28"/>
  <c r="I146" i="41"/>
  <c r="AT192" i="41"/>
  <c r="AS81" i="41"/>
  <c r="U189" i="41"/>
  <c r="AU201" i="41"/>
  <c r="AU258" i="41"/>
  <c r="AU257" i="41" s="1"/>
  <c r="M146" i="41"/>
  <c r="AT252" i="41"/>
  <c r="AT249" i="41" s="1"/>
  <c r="AU154" i="41"/>
  <c r="I78" i="41"/>
  <c r="AU166" i="41"/>
  <c r="AT81" i="41"/>
  <c r="AU85" i="41"/>
  <c r="AU124" i="41"/>
  <c r="O163" i="41"/>
  <c r="W300" i="41"/>
  <c r="AU300" i="41" s="1"/>
  <c r="Y62" i="41"/>
  <c r="Y266" i="41" s="1"/>
  <c r="Y351" i="41" s="1"/>
  <c r="AU209" i="41"/>
  <c r="AU348" i="41"/>
  <c r="AT82" i="41"/>
  <c r="AU157" i="41"/>
  <c r="AU153" i="41"/>
  <c r="AU205" i="41"/>
  <c r="AS174" i="41"/>
  <c r="AU158" i="41"/>
  <c r="AU86" i="41"/>
  <c r="AU81" i="41"/>
  <c r="AU150" i="41"/>
  <c r="V215" i="41"/>
  <c r="O180" i="41"/>
  <c r="AU184" i="41"/>
  <c r="AU84" i="41"/>
  <c r="AU204" i="41"/>
  <c r="N195" i="31"/>
  <c r="AU203" i="41"/>
  <c r="AU151" i="41"/>
  <c r="AK360" i="41"/>
  <c r="AK359" i="41" s="1"/>
  <c r="U249" i="41"/>
  <c r="AU89" i="41"/>
  <c r="AQ121" i="41"/>
  <c r="AU208" i="41"/>
  <c r="S61" i="32"/>
  <c r="AS170" i="41"/>
  <c r="AU82" i="41"/>
  <c r="AT101" i="41"/>
  <c r="K146" i="41"/>
  <c r="AU234" i="41"/>
  <c r="AT119" i="41"/>
  <c r="AT106" i="41"/>
  <c r="O95" i="41"/>
  <c r="U62" i="41"/>
  <c r="J117" i="31"/>
  <c r="W155" i="41"/>
  <c r="AU182" i="41"/>
  <c r="AU202" i="41"/>
  <c r="AS167" i="41"/>
  <c r="AS175" i="41"/>
  <c r="AU175" i="41"/>
  <c r="T117" i="30"/>
  <c r="AU156" i="41"/>
  <c r="AT84" i="41"/>
  <c r="AT86" i="41"/>
  <c r="J61" i="28"/>
  <c r="AS343" i="41"/>
  <c r="U257" i="41"/>
  <c r="N112" i="41"/>
  <c r="AE62" i="41"/>
  <c r="AE266" i="41" s="1"/>
  <c r="AE351" i="41" s="1"/>
  <c r="AQ96" i="41"/>
  <c r="AU83" i="41"/>
  <c r="AT89" i="41"/>
  <c r="K117" i="28"/>
  <c r="F44" i="41"/>
  <c r="AT100" i="41"/>
  <c r="AU292" i="41"/>
  <c r="AU291" i="41" s="1"/>
  <c r="O61" i="28"/>
  <c r="O61" i="41"/>
  <c r="O61" i="31"/>
  <c r="AU116" i="41"/>
  <c r="AS190" i="41"/>
  <c r="AT123" i="41"/>
  <c r="AU120" i="41"/>
  <c r="V283" i="41"/>
  <c r="AT99" i="41"/>
  <c r="AS169" i="41"/>
  <c r="N229" i="28"/>
  <c r="N199" i="31"/>
  <c r="L61" i="28"/>
  <c r="M163" i="41"/>
  <c r="AS166" i="41"/>
  <c r="AT116" i="41"/>
  <c r="P199" i="28"/>
  <c r="U117" i="32"/>
  <c r="R61" i="30"/>
  <c r="AU118" i="41"/>
  <c r="AT343" i="41"/>
  <c r="V342" i="41"/>
  <c r="AT342" i="41" s="1"/>
  <c r="AT310" i="41"/>
  <c r="V308" i="41"/>
  <c r="J129" i="41"/>
  <c r="AT137" i="41"/>
  <c r="O146" i="41"/>
  <c r="N231" i="41"/>
  <c r="AS171" i="41"/>
  <c r="AT105" i="41"/>
  <c r="AU119" i="41"/>
  <c r="AT107" i="41"/>
  <c r="K112" i="41"/>
  <c r="AS148" i="41"/>
  <c r="AT90" i="41"/>
  <c r="I214" i="41"/>
  <c r="AT284" i="41"/>
  <c r="M95" i="41"/>
  <c r="I112" i="41"/>
  <c r="M180" i="41"/>
  <c r="N274" i="41"/>
  <c r="AU263" i="41"/>
  <c r="AT187" i="41"/>
  <c r="AQ65" i="41"/>
  <c r="AU65" i="41" s="1"/>
  <c r="U198" i="41"/>
  <c r="AU171" i="41"/>
  <c r="J117" i="33"/>
  <c r="AU100" i="41"/>
  <c r="V272" i="41"/>
  <c r="N163" i="41"/>
  <c r="AT188" i="41"/>
  <c r="AU363" i="41"/>
  <c r="AS278" i="41"/>
  <c r="L61" i="32"/>
  <c r="AU101" i="41"/>
  <c r="P61" i="31"/>
  <c r="AO113" i="41"/>
  <c r="AU170" i="41"/>
  <c r="AU167" i="41"/>
  <c r="AU107" i="41"/>
  <c r="AU148" i="41"/>
  <c r="AT103" i="41"/>
  <c r="T61" i="33"/>
  <c r="AS156" i="41"/>
  <c r="AG112" i="41"/>
  <c r="AG265" i="41" s="1"/>
  <c r="AG350" i="41" s="1"/>
  <c r="Q44" i="41"/>
  <c r="AS363" i="41"/>
  <c r="AQ68" i="41"/>
  <c r="AU68" i="41" s="1"/>
  <c r="K117" i="30"/>
  <c r="L117" i="31"/>
  <c r="P229" i="31"/>
  <c r="AU99" i="41"/>
  <c r="AU106" i="41"/>
  <c r="AP67" i="41"/>
  <c r="AS208" i="41"/>
  <c r="AT83" i="41"/>
  <c r="AT141" i="41"/>
  <c r="AU168" i="41"/>
  <c r="K117" i="31"/>
  <c r="N266" i="41"/>
  <c r="O362" i="41"/>
  <c r="AT118" i="41"/>
  <c r="S117" i="30"/>
  <c r="N117" i="28"/>
  <c r="AU169" i="41"/>
  <c r="AU174" i="41"/>
  <c r="AU98" i="41"/>
  <c r="AU102" i="41"/>
  <c r="AQ67" i="41"/>
  <c r="AU67" i="41" s="1"/>
  <c r="AT102" i="41"/>
  <c r="AU103" i="41"/>
  <c r="K95" i="41"/>
  <c r="J214" i="41"/>
  <c r="AS82" i="41"/>
  <c r="O117" i="31"/>
  <c r="O282" i="41"/>
  <c r="AT115" i="41"/>
  <c r="AT185" i="41"/>
  <c r="AT184" i="41"/>
  <c r="AT168" i="41"/>
  <c r="AT117" i="41"/>
  <c r="AS84" i="41"/>
  <c r="AT135" i="41"/>
  <c r="AT257" i="41"/>
  <c r="M78" i="41"/>
  <c r="AT183" i="41"/>
  <c r="AT120" i="41"/>
  <c r="I180" i="41"/>
  <c r="AT191" i="41"/>
  <c r="I163" i="41"/>
  <c r="O231" i="41"/>
  <c r="AT285" i="41"/>
  <c r="AS203" i="41"/>
  <c r="AS257" i="41"/>
  <c r="AS249" i="41"/>
  <c r="AU278" i="41"/>
  <c r="AT186" i="41"/>
  <c r="AS217" i="41"/>
  <c r="M61" i="41"/>
  <c r="AT124" i="41"/>
  <c r="J61" i="30"/>
  <c r="N360" i="41"/>
  <c r="N359" i="41" s="1"/>
  <c r="O199" i="31"/>
  <c r="S44" i="41"/>
  <c r="AT139" i="41"/>
  <c r="W181" i="41"/>
  <c r="L117" i="28"/>
  <c r="AL214" i="41"/>
  <c r="AP214" i="41" s="1"/>
  <c r="J229" i="31"/>
  <c r="AQ72" i="41"/>
  <c r="AU72" i="41" s="1"/>
  <c r="AA19" i="34"/>
  <c r="K229" i="28"/>
  <c r="J199" i="28"/>
  <c r="AS101" i="41"/>
  <c r="N351" i="41"/>
  <c r="N365" i="41"/>
  <c r="R27" i="41"/>
  <c r="J282" i="41"/>
  <c r="M197" i="41"/>
  <c r="M129" i="41"/>
  <c r="J195" i="31"/>
  <c r="AQ64" i="41"/>
  <c r="AU64" i="41" s="1"/>
  <c r="K61" i="41"/>
  <c r="O353" i="41"/>
  <c r="AS102" i="41"/>
  <c r="W62" i="41"/>
  <c r="O358" i="41"/>
  <c r="AQ66" i="41"/>
  <c r="AU66" i="41" s="1"/>
  <c r="P61" i="28"/>
  <c r="L199" i="28"/>
  <c r="N78" i="41"/>
  <c r="AU90" i="41"/>
  <c r="AQ95" i="41"/>
  <c r="N229" i="31"/>
  <c r="O195" i="28"/>
  <c r="O78" i="41"/>
  <c r="AQ69" i="41"/>
  <c r="AU69" i="41" s="1"/>
  <c r="J112" i="41"/>
  <c r="L199" i="31"/>
  <c r="J199" i="31"/>
  <c r="W96" i="41"/>
  <c r="I95" i="41"/>
  <c r="M353" i="41"/>
  <c r="J231" i="41"/>
  <c r="AU283" i="41"/>
  <c r="AS123" i="41"/>
  <c r="O361" i="41"/>
  <c r="I197" i="41"/>
  <c r="J357" i="41"/>
  <c r="V357" i="41" s="1"/>
  <c r="AH266" i="41"/>
  <c r="AH351" i="41" s="1"/>
  <c r="W349" i="41"/>
  <c r="AA268" i="41"/>
  <c r="AA353" i="41" s="1"/>
  <c r="O129" i="41"/>
  <c r="V248" i="41"/>
  <c r="V275" i="41"/>
  <c r="U113" i="41"/>
  <c r="AM274" i="41"/>
  <c r="AT216" i="41"/>
  <c r="N95" i="41"/>
  <c r="M357" i="41"/>
  <c r="AS100" i="41"/>
  <c r="M274" i="41"/>
  <c r="AS107" i="41"/>
  <c r="AS98" i="41"/>
  <c r="AT325" i="41"/>
  <c r="V316" i="41"/>
  <c r="AT316" i="41" s="1"/>
  <c r="E27" i="41"/>
  <c r="S27" i="41"/>
  <c r="F27" i="41"/>
  <c r="AS99" i="41"/>
  <c r="V104" i="41"/>
  <c r="AT278" i="41"/>
  <c r="AS97" i="41"/>
  <c r="AS103" i="41"/>
  <c r="AT85" i="41"/>
  <c r="AS106" i="41"/>
  <c r="AT140" i="41"/>
  <c r="W147" i="41"/>
  <c r="AT132" i="41"/>
  <c r="V138" i="41"/>
  <c r="AT134" i="41"/>
  <c r="AT136" i="41"/>
  <c r="AT133" i="41"/>
  <c r="M214" i="41"/>
  <c r="AP215" i="41"/>
  <c r="AS201" i="41"/>
  <c r="AS205" i="41"/>
  <c r="AS199" i="41"/>
  <c r="O197" i="41"/>
  <c r="AS202" i="41"/>
  <c r="AS204" i="41"/>
  <c r="AS200" i="41"/>
  <c r="AU199" i="41"/>
  <c r="AS209" i="41"/>
  <c r="AS218" i="41"/>
  <c r="J163" i="41"/>
  <c r="AO67" i="41"/>
  <c r="AS67" i="41" s="1"/>
  <c r="M358" i="41"/>
  <c r="U96" i="41"/>
  <c r="AT170" i="41"/>
  <c r="AO240" i="41"/>
  <c r="AK231" i="41"/>
  <c r="AO231" i="41" s="1"/>
  <c r="AT169" i="41"/>
  <c r="AS222" i="41"/>
  <c r="AO64" i="41"/>
  <c r="AS64" i="41" s="1"/>
  <c r="L195" i="31"/>
  <c r="Q27" i="41"/>
  <c r="AG146" i="41"/>
  <c r="AO146" i="41" s="1"/>
  <c r="AO147" i="41"/>
  <c r="K129" i="41"/>
  <c r="AP96" i="41"/>
  <c r="AD62" i="41"/>
  <c r="AD266" i="41" s="1"/>
  <c r="AD351" i="41" s="1"/>
  <c r="Z348" i="41"/>
  <c r="AP348" i="41" s="1"/>
  <c r="AT348" i="41" s="1"/>
  <c r="AP263" i="41"/>
  <c r="AT263" i="41" s="1"/>
  <c r="AS220" i="41"/>
  <c r="AS118" i="41"/>
  <c r="AO63" i="41"/>
  <c r="AS63" i="41" s="1"/>
  <c r="U299" i="41"/>
  <c r="AS299" i="41" s="1"/>
  <c r="AS300" i="41"/>
  <c r="N129" i="41"/>
  <c r="AT98" i="41"/>
  <c r="AO72" i="41"/>
  <c r="AS72" i="41" s="1"/>
  <c r="P195" i="28"/>
  <c r="AT60" i="41"/>
  <c r="W248" i="41"/>
  <c r="AO73" i="41"/>
  <c r="AS73" i="41" s="1"/>
  <c r="V19" i="41"/>
  <c r="AT19" i="41" s="1"/>
  <c r="AO69" i="41"/>
  <c r="AS69" i="41" s="1"/>
  <c r="AS122" i="41"/>
  <c r="O354" i="41"/>
  <c r="G44" i="41"/>
  <c r="AT175" i="41"/>
  <c r="AP64" i="41"/>
  <c r="AS119" i="41"/>
  <c r="AS124" i="41"/>
  <c r="O195" i="31"/>
  <c r="AS219" i="41"/>
  <c r="AC70" i="41"/>
  <c r="AC274" i="41" s="1"/>
  <c r="AC359" i="41" s="1"/>
  <c r="P195" i="31"/>
  <c r="AO68" i="41"/>
  <c r="AS68" i="41" s="1"/>
  <c r="W270" i="41"/>
  <c r="I282" i="41"/>
  <c r="K195" i="31"/>
  <c r="U121" i="41"/>
  <c r="O356" i="41"/>
  <c r="U270" i="41"/>
  <c r="AS114" i="41"/>
  <c r="AT171" i="41"/>
  <c r="U269" i="41"/>
  <c r="K61" i="31"/>
  <c r="AS115" i="41"/>
  <c r="AU317" i="41"/>
  <c r="I231" i="41"/>
  <c r="AU334" i="41"/>
  <c r="W333" i="41"/>
  <c r="AU333" i="41" s="1"/>
  <c r="AS221" i="41"/>
  <c r="O229" i="31"/>
  <c r="AO66" i="41"/>
  <c r="AS66" i="41" s="1"/>
  <c r="AC349" i="41"/>
  <c r="AO264" i="41"/>
  <c r="AS264" i="41" s="1"/>
  <c r="J180" i="41"/>
  <c r="AU249" i="41"/>
  <c r="K199" i="31"/>
  <c r="M354" i="41"/>
  <c r="AT167" i="41"/>
  <c r="K78" i="41"/>
  <c r="AS116" i="41"/>
  <c r="AG274" i="41"/>
  <c r="AG359" i="41" s="1"/>
  <c r="AO121" i="41"/>
  <c r="M362" i="41"/>
  <c r="AS225" i="41"/>
  <c r="AS120" i="41"/>
  <c r="L195" i="28"/>
  <c r="AO215" i="41"/>
  <c r="AK214" i="41"/>
  <c r="AO214" i="41" s="1"/>
  <c r="AS226" i="41"/>
  <c r="K229" i="31"/>
  <c r="AD95" i="41"/>
  <c r="V291" i="41"/>
  <c r="AT292" i="41"/>
  <c r="AT291" i="41" s="1"/>
  <c r="AK351" i="41"/>
  <c r="AP283" i="41"/>
  <c r="AL282" i="41"/>
  <c r="AP282" i="41" s="1"/>
  <c r="AQ283" i="41"/>
  <c r="AM282" i="41"/>
  <c r="AQ282" i="41" s="1"/>
  <c r="U283" i="41"/>
  <c r="AS284" i="41"/>
  <c r="AS283" i="41" s="1"/>
  <c r="S61" i="30"/>
  <c r="U291" i="41"/>
  <c r="AS292" i="41"/>
  <c r="AS291" i="41" s="1"/>
  <c r="S61" i="33"/>
  <c r="AO283" i="41"/>
  <c r="AK282" i="41"/>
  <c r="AO282" i="41" s="1"/>
  <c r="AM359" i="41"/>
  <c r="M360" i="41"/>
  <c r="L117" i="33"/>
  <c r="V181" i="41"/>
  <c r="AT182" i="41"/>
  <c r="Y352" i="41"/>
  <c r="Z267" i="41"/>
  <c r="AP63" i="41"/>
  <c r="I272" i="41"/>
  <c r="I357" i="41" s="1"/>
  <c r="E357" i="41"/>
  <c r="J356" i="41"/>
  <c r="V356" i="41" s="1"/>
  <c r="V271" i="41"/>
  <c r="AH274" i="41"/>
  <c r="AH359" i="41" s="1"/>
  <c r="AP121" i="41"/>
  <c r="Y275" i="41"/>
  <c r="AO71" i="41"/>
  <c r="U11" i="41"/>
  <c r="AS12" i="41"/>
  <c r="AQ198" i="41"/>
  <c r="AM197" i="41"/>
  <c r="AQ197" i="41" s="1"/>
  <c r="AP73" i="41"/>
  <c r="Z277" i="41"/>
  <c r="AU80" i="41"/>
  <c r="W79" i="41"/>
  <c r="AT224" i="41"/>
  <c r="V223" i="41"/>
  <c r="AL231" i="41"/>
  <c r="AP231" i="41" s="1"/>
  <c r="AP232" i="41"/>
  <c r="AU88" i="41"/>
  <c r="W87" i="41"/>
  <c r="AP79" i="41"/>
  <c r="Z78" i="41"/>
  <c r="Z62" i="41"/>
  <c r="Z266" i="41" s="1"/>
  <c r="Z351" i="41" s="1"/>
  <c r="AM266" i="41"/>
  <c r="AM352" i="41"/>
  <c r="AM351" i="41" s="1"/>
  <c r="AT88" i="41"/>
  <c r="V87" i="41"/>
  <c r="W113" i="41"/>
  <c r="AU114" i="41"/>
  <c r="AU20" i="41"/>
  <c r="W19" i="41"/>
  <c r="AU19" i="41" s="1"/>
  <c r="AT54" i="41"/>
  <c r="V53" i="41"/>
  <c r="AT53" i="41" s="1"/>
  <c r="R266" i="41"/>
  <c r="R351" i="41" s="1"/>
  <c r="R10" i="41"/>
  <c r="R265" i="41" s="1"/>
  <c r="R350" i="41" s="1"/>
  <c r="AU37" i="41"/>
  <c r="W36" i="41"/>
  <c r="AU36" i="41" s="1"/>
  <c r="AS54" i="41"/>
  <c r="U53" i="41"/>
  <c r="AS53" i="41" s="1"/>
  <c r="U206" i="41"/>
  <c r="AS207" i="41"/>
  <c r="AC355" i="41"/>
  <c r="U28" i="41"/>
  <c r="AS29" i="41"/>
  <c r="AU173" i="41"/>
  <c r="W172" i="41"/>
  <c r="J366" i="41"/>
  <c r="V363" i="41"/>
  <c r="AT363" i="41" s="1"/>
  <c r="AS131" i="41"/>
  <c r="AS130" i="41" s="1"/>
  <c r="U130" i="41"/>
  <c r="F266" i="41"/>
  <c r="F351" i="41" s="1"/>
  <c r="F10" i="41"/>
  <c r="F265" i="41" s="1"/>
  <c r="F350" i="41" s="1"/>
  <c r="AP264" i="41"/>
  <c r="AT264" i="41" s="1"/>
  <c r="Z349" i="41"/>
  <c r="AP349" i="41" s="1"/>
  <c r="AT349" i="41" s="1"/>
  <c r="I129" i="41"/>
  <c r="O355" i="41"/>
  <c r="Y356" i="41"/>
  <c r="AA361" i="41"/>
  <c r="V269" i="41"/>
  <c r="V189" i="41"/>
  <c r="AT190" i="41"/>
  <c r="N146" i="41"/>
  <c r="E360" i="41"/>
  <c r="I275" i="41"/>
  <c r="J361" i="41"/>
  <c r="V361" i="41" s="1"/>
  <c r="U104" i="41"/>
  <c r="AS105" i="41"/>
  <c r="M356" i="41"/>
  <c r="AP71" i="41"/>
  <c r="Z275" i="41"/>
  <c r="J352" i="41"/>
  <c r="AS168" i="41"/>
  <c r="J268" i="41"/>
  <c r="F353" i="41"/>
  <c r="G356" i="41"/>
  <c r="K271" i="41"/>
  <c r="K356" i="41" s="1"/>
  <c r="J354" i="41"/>
  <c r="V354" i="41" s="1"/>
  <c r="J197" i="41"/>
  <c r="AT166" i="41"/>
  <c r="G353" i="41"/>
  <c r="K268" i="41"/>
  <c r="K353" i="41" s="1"/>
  <c r="AA355" i="41"/>
  <c r="AT174" i="41"/>
  <c r="J61" i="41"/>
  <c r="Y358" i="41"/>
  <c r="AS20" i="41"/>
  <c r="U19" i="41"/>
  <c r="AS19" i="41" s="1"/>
  <c r="AT165" i="41"/>
  <c r="V164" i="41"/>
  <c r="AQ164" i="41"/>
  <c r="AM163" i="41"/>
  <c r="AQ163" i="41" s="1"/>
  <c r="AU131" i="41"/>
  <c r="AU130" i="41" s="1"/>
  <c r="W130" i="41"/>
  <c r="AA354" i="41"/>
  <c r="AT122" i="41"/>
  <c r="V121" i="41"/>
  <c r="AS216" i="41"/>
  <c r="U215" i="41"/>
  <c r="U36" i="41"/>
  <c r="AS36" i="41" s="1"/>
  <c r="AS37" i="41"/>
  <c r="AQ71" i="41"/>
  <c r="AU71" i="41" s="1"/>
  <c r="AA275" i="41"/>
  <c r="AT199" i="41"/>
  <c r="AT198" i="41" s="1"/>
  <c r="V198" i="41"/>
  <c r="AP130" i="41"/>
  <c r="AH129" i="41"/>
  <c r="AP129" i="41" s="1"/>
  <c r="V277" i="41"/>
  <c r="V79" i="41"/>
  <c r="AT80" i="41"/>
  <c r="W269" i="41"/>
  <c r="Y362" i="41"/>
  <c r="K272" i="41"/>
  <c r="K357" i="41" s="1"/>
  <c r="G357" i="41"/>
  <c r="AQ181" i="41"/>
  <c r="AM180" i="41"/>
  <c r="AQ180" i="41" s="1"/>
  <c r="W215" i="41"/>
  <c r="AU216" i="41"/>
  <c r="AU215" i="41" s="1"/>
  <c r="V62" i="41"/>
  <c r="W232" i="41"/>
  <c r="AU233" i="41"/>
  <c r="AT114" i="41"/>
  <c r="V113" i="41"/>
  <c r="E353" i="41"/>
  <c r="I268" i="41"/>
  <c r="I353" i="41" s="1"/>
  <c r="AT233" i="41"/>
  <c r="AT232" i="41" s="1"/>
  <c r="V232" i="41"/>
  <c r="J358" i="41"/>
  <c r="V358" i="41" s="1"/>
  <c r="V273" i="41"/>
  <c r="U87" i="41"/>
  <c r="AS88" i="41"/>
  <c r="AS87" i="41" s="1"/>
  <c r="Y70" i="41"/>
  <c r="Y274" i="41" s="1"/>
  <c r="Y359" i="41" s="1"/>
  <c r="AO87" i="41"/>
  <c r="E362" i="41"/>
  <c r="I277" i="41"/>
  <c r="I362" i="41" s="1"/>
  <c r="Z269" i="41"/>
  <c r="AP65" i="41"/>
  <c r="O360" i="41"/>
  <c r="O274" i="41"/>
  <c r="M352" i="41"/>
  <c r="M266" i="41"/>
  <c r="V172" i="41"/>
  <c r="AT173" i="41"/>
  <c r="E44" i="41"/>
  <c r="AS224" i="41"/>
  <c r="U223" i="41"/>
  <c r="G360" i="41"/>
  <c r="K275" i="41"/>
  <c r="AU139" i="41"/>
  <c r="AU138" i="41" s="1"/>
  <c r="W138" i="41"/>
  <c r="AP66" i="41"/>
  <c r="Z270" i="41"/>
  <c r="AO164" i="41"/>
  <c r="AK163" i="41"/>
  <c r="AO163" i="41" s="1"/>
  <c r="W104" i="41"/>
  <c r="AU105" i="41"/>
  <c r="G27" i="41"/>
  <c r="AP87" i="41"/>
  <c r="Z70" i="41"/>
  <c r="Z274" i="41" s="1"/>
  <c r="Z359" i="41" s="1"/>
  <c r="AL360" i="41"/>
  <c r="AL359" i="41" s="1"/>
  <c r="AL274" i="41"/>
  <c r="U349" i="41"/>
  <c r="U355" i="41" s="1"/>
  <c r="U273" i="41"/>
  <c r="Z356" i="41"/>
  <c r="AP181" i="41"/>
  <c r="AL180" i="41"/>
  <c r="AP180" i="41" s="1"/>
  <c r="AB19" i="34"/>
  <c r="M361" i="41"/>
  <c r="E361" i="41"/>
  <c r="I276" i="41"/>
  <c r="I361" i="41" s="1"/>
  <c r="AQ87" i="41"/>
  <c r="AA70" i="41"/>
  <c r="AA274" i="41" s="1"/>
  <c r="AA359" i="41" s="1"/>
  <c r="AM231" i="41"/>
  <c r="AQ231" i="41" s="1"/>
  <c r="AQ232" i="41"/>
  <c r="W206" i="41"/>
  <c r="AU207" i="41"/>
  <c r="AS241" i="41"/>
  <c r="U240" i="41"/>
  <c r="J78" i="41"/>
  <c r="AT241" i="41"/>
  <c r="AT240" i="41" s="1"/>
  <c r="V240" i="41"/>
  <c r="AS348" i="41"/>
  <c r="K214" i="41"/>
  <c r="J362" i="41"/>
  <c r="V362" i="41" s="1"/>
  <c r="K231" i="41"/>
  <c r="K180" i="41"/>
  <c r="G352" i="41"/>
  <c r="K267" i="41"/>
  <c r="W267" i="41" s="1"/>
  <c r="W164" i="41"/>
  <c r="AU165" i="41"/>
  <c r="U79" i="41"/>
  <c r="AS80" i="41"/>
  <c r="AU190" i="41"/>
  <c r="W189" i="41"/>
  <c r="W121" i="41"/>
  <c r="AU122" i="41"/>
  <c r="Z272" i="41"/>
  <c r="AP68" i="41"/>
  <c r="AA357" i="41"/>
  <c r="G361" i="41"/>
  <c r="K276" i="41"/>
  <c r="K361" i="41" s="1"/>
  <c r="G358" i="41"/>
  <c r="K273" i="41"/>
  <c r="K358" i="41" s="1"/>
  <c r="AT156" i="41"/>
  <c r="AT155" i="41" s="1"/>
  <c r="V155" i="41"/>
  <c r="J355" i="41"/>
  <c r="V355" i="41" s="1"/>
  <c r="V270" i="41"/>
  <c r="AC62" i="41"/>
  <c r="AC266" i="41" s="1"/>
  <c r="AC351" i="41" s="1"/>
  <c r="AO96" i="41"/>
  <c r="AC95" i="41"/>
  <c r="V11" i="41"/>
  <c r="AT12" i="41"/>
  <c r="U164" i="41"/>
  <c r="AS165" i="41"/>
  <c r="E352" i="41"/>
  <c r="I267" i="41"/>
  <c r="U267" i="41" s="1"/>
  <c r="AU29" i="41"/>
  <c r="W28" i="41"/>
  <c r="AG129" i="41"/>
  <c r="AO129" i="41" s="1"/>
  <c r="AO130" i="41"/>
  <c r="Z353" i="41"/>
  <c r="E10" i="41"/>
  <c r="E265" i="41" s="1"/>
  <c r="E350" i="41" s="1"/>
  <c r="E266" i="41"/>
  <c r="E351" i="41" s="1"/>
  <c r="AS139" i="41"/>
  <c r="AS138" i="41" s="1"/>
  <c r="U138" i="41"/>
  <c r="O112" i="41"/>
  <c r="W45" i="41"/>
  <c r="AU46" i="41"/>
  <c r="AI146" i="41"/>
  <c r="AQ146" i="41" s="1"/>
  <c r="AQ147" i="41"/>
  <c r="Y269" i="41"/>
  <c r="AO65" i="41"/>
  <c r="AS65" i="41" s="1"/>
  <c r="V276" i="41"/>
  <c r="W240" i="41"/>
  <c r="AU241" i="41"/>
  <c r="AU240" i="41" s="1"/>
  <c r="AI112" i="41"/>
  <c r="AQ113" i="41"/>
  <c r="AI266" i="41"/>
  <c r="AI351" i="41" s="1"/>
  <c r="AQ215" i="41"/>
  <c r="AM214" i="41"/>
  <c r="AQ214" i="41" s="1"/>
  <c r="AA356" i="41"/>
  <c r="U181" i="41"/>
  <c r="AS182" i="41"/>
  <c r="V45" i="41"/>
  <c r="AT46" i="41"/>
  <c r="AT29" i="41"/>
  <c r="V28" i="41"/>
  <c r="V130" i="41"/>
  <c r="AT131" i="41"/>
  <c r="U45" i="41"/>
  <c r="AS46" i="41"/>
  <c r="O266" i="41"/>
  <c r="O352" i="41"/>
  <c r="AS263" i="41"/>
  <c r="AA358" i="41"/>
  <c r="R44" i="41"/>
  <c r="AT97" i="41"/>
  <c r="V96" i="41"/>
  <c r="U232" i="41"/>
  <c r="AS233" i="41"/>
  <c r="V70" i="41"/>
  <c r="V36" i="41"/>
  <c r="AT36" i="41" s="1"/>
  <c r="AT37" i="41"/>
  <c r="AA277" i="41"/>
  <c r="AQ73" i="41"/>
  <c r="AU73" i="41" s="1"/>
  <c r="G10" i="41"/>
  <c r="G265" i="41" s="1"/>
  <c r="G350" i="41" s="1"/>
  <c r="G266" i="41"/>
  <c r="G351" i="41" s="1"/>
  <c r="AH112" i="41"/>
  <c r="AL197" i="41"/>
  <c r="AP197" i="41" s="1"/>
  <c r="AP198" i="41"/>
  <c r="J146" i="41"/>
  <c r="W53" i="41"/>
  <c r="AU53" i="41" s="1"/>
  <c r="AU54" i="41"/>
  <c r="AA349" i="41"/>
  <c r="AQ264" i="41"/>
  <c r="AQ276" i="41" s="1"/>
  <c r="J360" i="41"/>
  <c r="J274" i="41"/>
  <c r="Y78" i="41"/>
  <c r="AA267" i="41"/>
  <c r="AQ63" i="41"/>
  <c r="G362" i="41"/>
  <c r="K277" i="41"/>
  <c r="K362" i="41" s="1"/>
  <c r="AK180" i="41"/>
  <c r="AO180" i="41" s="1"/>
  <c r="AO181" i="41"/>
  <c r="AK266" i="41"/>
  <c r="W11" i="41"/>
  <c r="AU12" i="41"/>
  <c r="Z273" i="41"/>
  <c r="AP69" i="41"/>
  <c r="Q10" i="41"/>
  <c r="Q265" i="41" s="1"/>
  <c r="Q350" i="41" s="1"/>
  <c r="Q266" i="41"/>
  <c r="Q351" i="41" s="1"/>
  <c r="W70" i="41"/>
  <c r="S10" i="41"/>
  <c r="S265" i="41" s="1"/>
  <c r="S350" i="41" s="1"/>
  <c r="S266" i="41"/>
  <c r="S351" i="41" s="1"/>
  <c r="V147" i="41"/>
  <c r="AT148" i="41"/>
  <c r="AT147" i="41" s="1"/>
  <c r="W223" i="41"/>
  <c r="AU224" i="41"/>
  <c r="AU223" i="41" s="1"/>
  <c r="AQ130" i="41"/>
  <c r="AI129" i="41"/>
  <c r="AQ129" i="41" s="1"/>
  <c r="U70" i="41"/>
  <c r="AO206" i="41"/>
  <c r="AK197" i="41"/>
  <c r="AO197" i="41" s="1"/>
  <c r="Z276" i="41"/>
  <c r="AP72" i="41"/>
  <c r="V206" i="41"/>
  <c r="AT207" i="41"/>
  <c r="AT206" i="41" s="1"/>
  <c r="AP164" i="41"/>
  <c r="AL163" i="41"/>
  <c r="AP163" i="41" s="1"/>
  <c r="AS173" i="41"/>
  <c r="U172" i="41"/>
  <c r="V267" i="41"/>
  <c r="U271" i="41"/>
  <c r="AL266" i="41"/>
  <c r="AL352" i="41"/>
  <c r="AL351" i="41" s="1"/>
  <c r="AA78" i="41"/>
  <c r="AQ79" i="41"/>
  <c r="AA62" i="41"/>
  <c r="AA266" i="41" s="1"/>
  <c r="AA351" i="41" s="1"/>
  <c r="AT215" i="41" l="1"/>
  <c r="AK265" i="41"/>
  <c r="AT223" i="41"/>
  <c r="AT214" i="41" s="1"/>
  <c r="AS181" i="41"/>
  <c r="O201" i="28"/>
  <c r="AS155" i="41"/>
  <c r="AS334" i="41"/>
  <c r="AS189" i="41"/>
  <c r="AS147" i="41"/>
  <c r="W316" i="41"/>
  <c r="AU316" i="41" s="1"/>
  <c r="AS232" i="41"/>
  <c r="W197" i="41"/>
  <c r="AU189" i="41"/>
  <c r="U180" i="41"/>
  <c r="U316" i="41"/>
  <c r="AS316" i="41" s="1"/>
  <c r="N201" i="28"/>
  <c r="AS240" i="41"/>
  <c r="AU181" i="41"/>
  <c r="AU155" i="41"/>
  <c r="AU232" i="41"/>
  <c r="AU231" i="41" s="1"/>
  <c r="U146" i="41"/>
  <c r="AT73" i="41"/>
  <c r="AT283" i="41"/>
  <c r="AT282" i="41" s="1"/>
  <c r="U248" i="41"/>
  <c r="J201" i="31"/>
  <c r="J201" i="28"/>
  <c r="N201" i="31"/>
  <c r="AT104" i="41"/>
  <c r="L201" i="31"/>
  <c r="AU147" i="41"/>
  <c r="P201" i="31"/>
  <c r="AU198" i="41"/>
  <c r="N265" i="41"/>
  <c r="AU79" i="41"/>
  <c r="AT67" i="41"/>
  <c r="W61" i="41"/>
  <c r="AT87" i="41"/>
  <c r="W299" i="41"/>
  <c r="AU299" i="41" s="1"/>
  <c r="U112" i="41"/>
  <c r="W354" i="41"/>
  <c r="AU121" i="41"/>
  <c r="AS248" i="41"/>
  <c r="AS172" i="41"/>
  <c r="U197" i="41"/>
  <c r="AT69" i="41"/>
  <c r="P201" i="28"/>
  <c r="U61" i="41"/>
  <c r="V214" i="41"/>
  <c r="W146" i="41"/>
  <c r="W95" i="41"/>
  <c r="AU206" i="41"/>
  <c r="V333" i="41"/>
  <c r="AT333" i="41" s="1"/>
  <c r="AU96" i="41"/>
  <c r="AT308" i="41"/>
  <c r="V299" i="41"/>
  <c r="AT299" i="41" s="1"/>
  <c r="W272" i="41"/>
  <c r="J365" i="41"/>
  <c r="M365" i="41"/>
  <c r="AU113" i="41"/>
  <c r="V282" i="41"/>
  <c r="K201" i="31"/>
  <c r="AS198" i="41"/>
  <c r="N350" i="41"/>
  <c r="AT72" i="41"/>
  <c r="AU172" i="41"/>
  <c r="AU104" i="41"/>
  <c r="AS79" i="41"/>
  <c r="AS78" i="41" s="1"/>
  <c r="AT113" i="41"/>
  <c r="AU164" i="41"/>
  <c r="V129" i="41"/>
  <c r="AT79" i="41"/>
  <c r="AS104" i="41"/>
  <c r="AO112" i="41"/>
  <c r="AT189" i="41"/>
  <c r="AU282" i="41"/>
  <c r="AT121" i="41"/>
  <c r="V95" i="41"/>
  <c r="AT248" i="41"/>
  <c r="AU87" i="41"/>
  <c r="W180" i="41"/>
  <c r="AT138" i="41"/>
  <c r="AT181" i="41"/>
  <c r="AM265" i="41"/>
  <c r="O201" i="31"/>
  <c r="AS96" i="41"/>
  <c r="V197" i="41"/>
  <c r="L201" i="28"/>
  <c r="AU248" i="41"/>
  <c r="U95" i="41"/>
  <c r="V61" i="41"/>
  <c r="O365" i="41"/>
  <c r="O265" i="41"/>
  <c r="AU70" i="41"/>
  <c r="AU349" i="41"/>
  <c r="M265" i="41"/>
  <c r="O359" i="41"/>
  <c r="AS223" i="41"/>
  <c r="AP70" i="41"/>
  <c r="AQ271" i="41"/>
  <c r="V78" i="41"/>
  <c r="AO271" i="41"/>
  <c r="AS271" i="41" s="1"/>
  <c r="M351" i="41"/>
  <c r="V274" i="41"/>
  <c r="AU264" i="41"/>
  <c r="W355" i="41"/>
  <c r="AT63" i="41"/>
  <c r="W129" i="41"/>
  <c r="AU129" i="41"/>
  <c r="AT130" i="41"/>
  <c r="W214" i="41"/>
  <c r="AU214" i="41"/>
  <c r="AS206" i="41"/>
  <c r="AS215" i="41"/>
  <c r="AO70" i="41"/>
  <c r="AO270" i="41"/>
  <c r="AS270" i="41" s="1"/>
  <c r="AS113" i="41"/>
  <c r="V163" i="41"/>
  <c r="AM350" i="41"/>
  <c r="U272" i="41"/>
  <c r="AD61" i="41"/>
  <c r="AD265" i="41" s="1"/>
  <c r="AD350" i="41" s="1"/>
  <c r="AP95" i="41"/>
  <c r="AS71" i="41"/>
  <c r="AS70" i="41" s="1"/>
  <c r="AT64" i="41"/>
  <c r="AT66" i="41"/>
  <c r="AP62" i="41"/>
  <c r="AS121" i="41"/>
  <c r="AL265" i="41"/>
  <c r="AT172" i="41"/>
  <c r="W78" i="41"/>
  <c r="W163" i="41"/>
  <c r="AT164" i="41"/>
  <c r="AP271" i="41"/>
  <c r="AT271" i="41" s="1"/>
  <c r="V146" i="41"/>
  <c r="AQ272" i="41"/>
  <c r="AS62" i="41"/>
  <c r="AO268" i="41"/>
  <c r="AO272" i="41"/>
  <c r="M359" i="41"/>
  <c r="AT96" i="41"/>
  <c r="AQ268" i="41"/>
  <c r="AP268" i="41"/>
  <c r="AT68" i="41"/>
  <c r="AS349" i="41"/>
  <c r="AT65" i="41"/>
  <c r="AO277" i="41"/>
  <c r="AO273" i="41"/>
  <c r="AS273" i="41" s="1"/>
  <c r="AO267" i="41"/>
  <c r="AS267" i="41" s="1"/>
  <c r="AO276" i="41"/>
  <c r="U282" i="41"/>
  <c r="J359" i="41"/>
  <c r="AS282" i="41"/>
  <c r="AK350" i="41"/>
  <c r="W357" i="41"/>
  <c r="U357" i="41"/>
  <c r="U356" i="41"/>
  <c r="AP112" i="41"/>
  <c r="AH265" i="41"/>
  <c r="AH350" i="41" s="1"/>
  <c r="W361" i="41"/>
  <c r="U362" i="41"/>
  <c r="U353" i="41"/>
  <c r="Z362" i="41"/>
  <c r="AP362" i="41" s="1"/>
  <c r="AT362" i="41" s="1"/>
  <c r="AP277" i="41"/>
  <c r="AT277" i="41" s="1"/>
  <c r="AQ273" i="41"/>
  <c r="AT45" i="41"/>
  <c r="V44" i="41"/>
  <c r="AT44" i="41" s="1"/>
  <c r="U277" i="41"/>
  <c r="AQ269" i="41"/>
  <c r="V352" i="41"/>
  <c r="V365" i="41" s="1"/>
  <c r="U27" i="41"/>
  <c r="AS27" i="41" s="1"/>
  <c r="AS28" i="41"/>
  <c r="U276" i="41"/>
  <c r="AT197" i="41"/>
  <c r="U10" i="41"/>
  <c r="AS10" i="41" s="1"/>
  <c r="AS11" i="41"/>
  <c r="AO78" i="41"/>
  <c r="Y61" i="41"/>
  <c r="Y265" i="41" s="1"/>
  <c r="Y350" i="41" s="1"/>
  <c r="U268" i="41"/>
  <c r="J353" i="41"/>
  <c r="J351" i="41" s="1"/>
  <c r="J266" i="41"/>
  <c r="J265" i="41" s="1"/>
  <c r="U163" i="41"/>
  <c r="AQ275" i="41"/>
  <c r="AA360" i="41"/>
  <c r="U129" i="41"/>
  <c r="Z361" i="41"/>
  <c r="AP361" i="41" s="1"/>
  <c r="AT361" i="41" s="1"/>
  <c r="AP276" i="41"/>
  <c r="AT276" i="41" s="1"/>
  <c r="AP78" i="41"/>
  <c r="Z61" i="41"/>
  <c r="Z265" i="41" s="1"/>
  <c r="Z350" i="41" s="1"/>
  <c r="Y354" i="41"/>
  <c r="AO269" i="41"/>
  <c r="AS269" i="41" s="1"/>
  <c r="Z355" i="41"/>
  <c r="AP355" i="41" s="1"/>
  <c r="AT355" i="41" s="1"/>
  <c r="AP270" i="41"/>
  <c r="AT270" i="41" s="1"/>
  <c r="Z352" i="41"/>
  <c r="AP352" i="41" s="1"/>
  <c r="AP267" i="41"/>
  <c r="W358" i="41"/>
  <c r="U44" i="41"/>
  <c r="AS44" i="41" s="1"/>
  <c r="AS45" i="41"/>
  <c r="U358" i="41"/>
  <c r="K360" i="41"/>
  <c r="K359" i="41" s="1"/>
  <c r="K274" i="41"/>
  <c r="AQ70" i="41"/>
  <c r="AQ270" i="41"/>
  <c r="AS129" i="41"/>
  <c r="Y360" i="41"/>
  <c r="AO275" i="41"/>
  <c r="V180" i="41"/>
  <c r="I266" i="41"/>
  <c r="I352" i="41"/>
  <c r="W276" i="41"/>
  <c r="AP275" i="41"/>
  <c r="Z360" i="41"/>
  <c r="AP360" i="41" s="1"/>
  <c r="W277" i="41"/>
  <c r="U361" i="41"/>
  <c r="W273" i="41"/>
  <c r="W231" i="41"/>
  <c r="V10" i="41"/>
  <c r="AT10" i="41" s="1"/>
  <c r="AT11" i="41"/>
  <c r="W275" i="41"/>
  <c r="Z354" i="41"/>
  <c r="AP354" i="41" s="1"/>
  <c r="AT354" i="41" s="1"/>
  <c r="AP269" i="41"/>
  <c r="AT269" i="41" s="1"/>
  <c r="W271" i="41"/>
  <c r="I274" i="41"/>
  <c r="I360" i="41"/>
  <c r="I359" i="41" s="1"/>
  <c r="V27" i="41"/>
  <c r="AT27" i="41" s="1"/>
  <c r="AT28" i="41"/>
  <c r="K352" i="41"/>
  <c r="K266" i="41"/>
  <c r="O351" i="41"/>
  <c r="AP353" i="41"/>
  <c r="AP273" i="41"/>
  <c r="AT273" i="41" s="1"/>
  <c r="Z358" i="41"/>
  <c r="AP358" i="41" s="1"/>
  <c r="AT358" i="41" s="1"/>
  <c r="AT71" i="41"/>
  <c r="U354" i="41"/>
  <c r="AQ62" i="41"/>
  <c r="AU63" i="41"/>
  <c r="AU62" i="41" s="1"/>
  <c r="AU28" i="41"/>
  <c r="W27" i="41"/>
  <c r="AU27" i="41" s="1"/>
  <c r="AQ78" i="41"/>
  <c r="AA61" i="41"/>
  <c r="AA265" i="41" s="1"/>
  <c r="AA350" i="41" s="1"/>
  <c r="V360" i="41"/>
  <c r="W10" i="41"/>
  <c r="AU10" i="41" s="1"/>
  <c r="AU11" i="41"/>
  <c r="AA352" i="41"/>
  <c r="AQ267" i="41"/>
  <c r="AQ112" i="41"/>
  <c r="AI265" i="41"/>
  <c r="AI350" i="41" s="1"/>
  <c r="AU45" i="41"/>
  <c r="W44" i="41"/>
  <c r="AU44" i="41" s="1"/>
  <c r="AO95" i="41"/>
  <c r="AC61" i="41"/>
  <c r="AC265" i="41" s="1"/>
  <c r="AC350" i="41" s="1"/>
  <c r="U78" i="41"/>
  <c r="V231" i="41"/>
  <c r="W268" i="41"/>
  <c r="W266" i="41" s="1"/>
  <c r="W356" i="41"/>
  <c r="W112" i="41"/>
  <c r="W362" i="41"/>
  <c r="AA362" i="41"/>
  <c r="AQ277" i="41"/>
  <c r="Z357" i="41"/>
  <c r="AP357" i="41" s="1"/>
  <c r="AT357" i="41" s="1"/>
  <c r="AP272" i="41"/>
  <c r="AT272" i="41" s="1"/>
  <c r="V112" i="41"/>
  <c r="AS164" i="41"/>
  <c r="AL350" i="41"/>
  <c r="AT146" i="41"/>
  <c r="U231" i="41"/>
  <c r="AO62" i="41"/>
  <c r="AP356" i="41"/>
  <c r="AT356" i="41" s="1"/>
  <c r="AT231" i="41"/>
  <c r="U214" i="41"/>
  <c r="W353" i="41"/>
  <c r="V268" i="41"/>
  <c r="U275" i="41"/>
  <c r="AS180" i="41" l="1"/>
  <c r="AS146" i="41"/>
  <c r="AU180" i="41"/>
  <c r="AS231" i="41"/>
  <c r="AU146" i="41"/>
  <c r="AT95" i="41"/>
  <c r="AS112" i="41"/>
  <c r="AU112" i="41"/>
  <c r="AU78" i="41"/>
  <c r="AS95" i="41"/>
  <c r="AU197" i="41"/>
  <c r="AT78" i="41"/>
  <c r="J350" i="41"/>
  <c r="AS163" i="41"/>
  <c r="AT112" i="41"/>
  <c r="AT70" i="41"/>
  <c r="AU357" i="41"/>
  <c r="AU354" i="41"/>
  <c r="AS197" i="41"/>
  <c r="AU95" i="41"/>
  <c r="AU163" i="41"/>
  <c r="AT180" i="41"/>
  <c r="AU270" i="41"/>
  <c r="AU61" i="41"/>
  <c r="AT129" i="41"/>
  <c r="AS362" i="41"/>
  <c r="AT268" i="41"/>
  <c r="AU267" i="41"/>
  <c r="AU276" i="41"/>
  <c r="AS353" i="41"/>
  <c r="AS355" i="41"/>
  <c r="AU272" i="41"/>
  <c r="AU355" i="41"/>
  <c r="AU271" i="41"/>
  <c r="AT163" i="41"/>
  <c r="AP365" i="41"/>
  <c r="O350" i="41"/>
  <c r="AU269" i="41"/>
  <c r="AS214" i="41"/>
  <c r="K351" i="41"/>
  <c r="K350" i="41" s="1"/>
  <c r="K365" i="41"/>
  <c r="I351" i="41"/>
  <c r="I350" i="41" s="1"/>
  <c r="I365" i="41"/>
  <c r="AS61" i="41"/>
  <c r="M350" i="41"/>
  <c r="V353" i="41"/>
  <c r="V351" i="41" s="1"/>
  <c r="AP61" i="41"/>
  <c r="AS361" i="41"/>
  <c r="AT62" i="41"/>
  <c r="AU353" i="41"/>
  <c r="AS272" i="41"/>
  <c r="AO61" i="41"/>
  <c r="AS358" i="41"/>
  <c r="AS268" i="41"/>
  <c r="AS266" i="41" s="1"/>
  <c r="AU273" i="41"/>
  <c r="I265" i="41"/>
  <c r="K265" i="41"/>
  <c r="AU268" i="41"/>
  <c r="AS277" i="41"/>
  <c r="AS356" i="41"/>
  <c r="AS357" i="41"/>
  <c r="AU356" i="41"/>
  <c r="AO274" i="41"/>
  <c r="AS276" i="41"/>
  <c r="AU361" i="41"/>
  <c r="AU358" i="41"/>
  <c r="W360" i="41"/>
  <c r="AU360" i="41" s="1"/>
  <c r="AU362" i="41"/>
  <c r="AS354" i="41"/>
  <c r="AT352" i="41"/>
  <c r="AQ61" i="41"/>
  <c r="AQ274" i="41"/>
  <c r="AO266" i="41"/>
  <c r="U360" i="41"/>
  <c r="AQ266" i="41"/>
  <c r="AT360" i="41"/>
  <c r="AT359" i="41" s="1"/>
  <c r="V359" i="41"/>
  <c r="W352" i="41"/>
  <c r="W365" i="41" s="1"/>
  <c r="AU277" i="41"/>
  <c r="AP266" i="41"/>
  <c r="V266" i="41"/>
  <c r="V265" i="41" s="1"/>
  <c r="U266" i="41"/>
  <c r="AS275" i="41"/>
  <c r="U274" i="41"/>
  <c r="U352" i="41"/>
  <c r="U365" i="41" s="1"/>
  <c r="AP359" i="41"/>
  <c r="AP351" i="41"/>
  <c r="AT267" i="41"/>
  <c r="W274" i="41"/>
  <c r="W265" i="41" s="1"/>
  <c r="AU275" i="41"/>
  <c r="AP274" i="41"/>
  <c r="AT275" i="41"/>
  <c r="AT274" i="41" s="1"/>
  <c r="AT61" i="41" l="1"/>
  <c r="AU266" i="41"/>
  <c r="AT353" i="41"/>
  <c r="AT351" i="41" s="1"/>
  <c r="AT350" i="41" s="1"/>
  <c r="AT266" i="41"/>
  <c r="AT265" i="41" s="1"/>
  <c r="AO265" i="41"/>
  <c r="AP350" i="41"/>
  <c r="AS274" i="41"/>
  <c r="AS265" i="41" s="1"/>
  <c r="W359" i="41"/>
  <c r="U265" i="41"/>
  <c r="AP265" i="41"/>
  <c r="AU274" i="41"/>
  <c r="V350" i="41"/>
  <c r="AS352" i="41"/>
  <c r="AS351" i="41" s="1"/>
  <c r="U351" i="41"/>
  <c r="AQ265" i="41"/>
  <c r="AU359" i="41"/>
  <c r="W351" i="41"/>
  <c r="AU352" i="41"/>
  <c r="AU351" i="41" s="1"/>
  <c r="AS360" i="41"/>
  <c r="AS359" i="41" s="1"/>
  <c r="U359" i="41"/>
  <c r="AU265" i="41" l="1"/>
  <c r="W350" i="41"/>
  <c r="AU350" i="41"/>
  <c r="U350" i="41"/>
  <c r="AS350" i="41"/>
</calcChain>
</file>

<file path=xl/sharedStrings.xml><?xml version="1.0" encoding="utf-8"?>
<sst xmlns="http://schemas.openxmlformats.org/spreadsheetml/2006/main" count="4710" uniqueCount="207">
  <si>
    <t>Financial results P&amp;C per LoB - May 2024 - IFRS9/17 - excluding Quota Share AZSE and Holdings</t>
  </si>
  <si>
    <t>May 2024 -YTD</t>
  </si>
  <si>
    <t>The Netherlands</t>
  </si>
  <si>
    <t>Belgium</t>
  </si>
  <si>
    <t>Benelux</t>
  </si>
  <si>
    <t>Broker ex UWA</t>
  </si>
  <si>
    <t>Retail</t>
  </si>
  <si>
    <t>SME</t>
  </si>
  <si>
    <t>Midcorp</t>
  </si>
  <si>
    <t>MGA</t>
  </si>
  <si>
    <t>Bancassurance</t>
  </si>
  <si>
    <r>
      <t>Other</t>
    </r>
    <r>
      <rPr>
        <b/>
        <vertAlign val="superscript"/>
        <sz val="18"/>
        <rFont val="Arial"/>
        <family val="2"/>
      </rPr>
      <t>1</t>
    </r>
  </si>
  <si>
    <t>Total</t>
  </si>
  <si>
    <t>Retail Broker</t>
  </si>
  <si>
    <t>UWA</t>
  </si>
  <si>
    <t>Actual</t>
  </si>
  <si>
    <t>Previous</t>
  </si>
  <si>
    <t>Plan</t>
  </si>
  <si>
    <t>Motor</t>
  </si>
  <si>
    <t>GWP</t>
  </si>
  <si>
    <t>Insurance Service Revenue</t>
  </si>
  <si>
    <t>CoR</t>
  </si>
  <si>
    <t>L.R + ReR AY</t>
  </si>
  <si>
    <t>Attritional</t>
  </si>
  <si>
    <t>Nat Cat</t>
  </si>
  <si>
    <t>Large Losses</t>
  </si>
  <si>
    <t>Others</t>
  </si>
  <si>
    <t>Discounting a.y.</t>
  </si>
  <si>
    <t>Run-off + ReR</t>
  </si>
  <si>
    <t>Discounting Run-off</t>
  </si>
  <si>
    <t>Expense ratio + ReR</t>
  </si>
  <si>
    <t>Commission</t>
  </si>
  <si>
    <t>Acquisition</t>
  </si>
  <si>
    <t>Administration</t>
  </si>
  <si>
    <t>Insurance Service Result</t>
  </si>
  <si>
    <t>MTPL</t>
  </si>
  <si>
    <t>MOD</t>
  </si>
  <si>
    <t>PROPERTY
Fire &amp; Engineering</t>
  </si>
  <si>
    <t>Property</t>
  </si>
  <si>
    <t>Engineering</t>
  </si>
  <si>
    <t>LIABILITY</t>
  </si>
  <si>
    <t>OTHERS
Medical
Various
Marine
Legal</t>
  </si>
  <si>
    <t>Medical</t>
  </si>
  <si>
    <t>Various</t>
  </si>
  <si>
    <t>Marine</t>
  </si>
  <si>
    <t>Legal</t>
  </si>
  <si>
    <t>WA</t>
  </si>
  <si>
    <t>Subtotal TA P/C Scope</t>
  </si>
  <si>
    <t>Income</t>
  </si>
  <si>
    <t>Health</t>
  </si>
  <si>
    <t>Health Disability</t>
  </si>
  <si>
    <t>Health Medical</t>
  </si>
  <si>
    <t>Total P&amp;C</t>
  </si>
  <si>
    <t>Other</t>
  </si>
  <si>
    <t>Other1</t>
  </si>
  <si>
    <t>Insurance Revenue</t>
  </si>
  <si>
    <t>L.R a.y. + Reins ratio</t>
  </si>
  <si>
    <t>Run-off + Reins ratio</t>
  </si>
  <si>
    <t>Expense ratio</t>
  </si>
  <si>
    <t xml:space="preserve">Commission </t>
  </si>
  <si>
    <t>Acquisition (internal)</t>
  </si>
  <si>
    <t>Administration (internal)</t>
  </si>
  <si>
    <r>
      <t xml:space="preserve">PROPERTY
</t>
    </r>
    <r>
      <rPr>
        <sz val="14"/>
        <rFont val="Arial"/>
        <family val="2"/>
      </rPr>
      <t>Fire &amp; Engineering</t>
    </r>
  </si>
  <si>
    <r>
      <t xml:space="preserve">LIABILITY </t>
    </r>
    <r>
      <rPr>
        <sz val="14"/>
        <rFont val="Arial"/>
        <family val="2"/>
      </rPr>
      <t>Liability General &amp; Financial Lines</t>
    </r>
  </si>
  <si>
    <t>Liability General</t>
  </si>
  <si>
    <t>Financial Lines</t>
  </si>
  <si>
    <r>
      <t xml:space="preserve">OTHER
</t>
    </r>
    <r>
      <rPr>
        <sz val="14"/>
        <rFont val="Arial"/>
        <family val="2"/>
      </rPr>
      <t>Medical
Various
Marine
Legal</t>
    </r>
  </si>
  <si>
    <r>
      <t xml:space="preserve">LIABILITY </t>
    </r>
    <r>
      <rPr>
        <sz val="18"/>
        <rFont val="Arial"/>
        <family val="2"/>
      </rPr>
      <t>Liability General &amp; Financial Lines</t>
    </r>
  </si>
  <si>
    <r>
      <t xml:space="preserve">OTHERS
</t>
    </r>
    <r>
      <rPr>
        <sz val="14"/>
        <rFont val="Arial"/>
        <family val="2"/>
      </rPr>
      <t>Medical
Various
Marine
Legal</t>
    </r>
  </si>
  <si>
    <t>Motor Retail</t>
  </si>
  <si>
    <t>Non Motor Retail</t>
  </si>
  <si>
    <t>Fleet</t>
  </si>
  <si>
    <t>H7</t>
  </si>
  <si>
    <t>Property MidCorp</t>
  </si>
  <si>
    <t>Engineering MidCorp</t>
  </si>
  <si>
    <t>Liability MidCorp</t>
  </si>
  <si>
    <t>Other MidCorp</t>
  </si>
  <si>
    <t>H9</t>
  </si>
  <si>
    <t>TOTAL</t>
  </si>
  <si>
    <t>Combined ratio</t>
  </si>
  <si>
    <t>YTD</t>
  </si>
  <si>
    <t>SEC</t>
  </si>
  <si>
    <r>
      <t>Claims ratio a.y. Attritional</t>
    </r>
    <r>
      <rPr>
        <sz val="10"/>
        <rFont val="Arial"/>
        <family val="2"/>
      </rPr>
      <t xml:space="preserve"> (gross)</t>
    </r>
  </si>
  <si>
    <r>
      <t xml:space="preserve">Claims ratio a.y. Large Losses </t>
    </r>
    <r>
      <rPr>
        <sz val="10"/>
        <rFont val="Arial"/>
        <family val="2"/>
      </rPr>
      <t>(gross)</t>
    </r>
  </si>
  <si>
    <r>
      <t xml:space="preserve">Claims ratio a.y. NatCat </t>
    </r>
    <r>
      <rPr>
        <sz val="10"/>
        <rFont val="Arial"/>
        <family val="2"/>
      </rPr>
      <t>(gross)</t>
    </r>
  </si>
  <si>
    <r>
      <t xml:space="preserve">Claims ratio a.y. Total </t>
    </r>
    <r>
      <rPr>
        <sz val="10"/>
        <rFont val="Arial"/>
        <family val="2"/>
      </rPr>
      <t>(gross)</t>
    </r>
  </si>
  <si>
    <r>
      <t xml:space="preserve">Run-off ratio </t>
    </r>
    <r>
      <rPr>
        <sz val="10"/>
        <rFont val="Arial"/>
        <family val="2"/>
      </rPr>
      <t>(gross)</t>
    </r>
  </si>
  <si>
    <t>Commission ratio (gross)</t>
  </si>
  <si>
    <t>Admin/ acqu ratio (gross)</t>
  </si>
  <si>
    <r>
      <t xml:space="preserve">Expense ratio </t>
    </r>
    <r>
      <rPr>
        <sz val="10"/>
        <rFont val="Arial"/>
        <family val="2"/>
      </rPr>
      <t>(gross)</t>
    </r>
  </si>
  <si>
    <t>Reinsurance ratio</t>
  </si>
  <si>
    <t>Motor TPL</t>
  </si>
  <si>
    <t>Claims ratio a.y. Attritional (gross)</t>
  </si>
  <si>
    <t>Claims ratio a.y. Large Losses (gross)</t>
  </si>
  <si>
    <t>Claims ratio a.y. NatCat (gross)</t>
  </si>
  <si>
    <t>Claims ratio a.y. Total (gross)</t>
  </si>
  <si>
    <t>Run-off ratio (gross)</t>
  </si>
  <si>
    <t>Expense ratio (gross)</t>
  </si>
  <si>
    <t>Motor OD</t>
  </si>
  <si>
    <r>
      <rPr>
        <b/>
        <sz val="18"/>
        <rFont val="Arial"/>
        <family val="2"/>
      </rPr>
      <t>Property</t>
    </r>
    <r>
      <rPr>
        <b/>
        <sz val="13"/>
        <rFont val="Arial"/>
        <family val="2"/>
      </rPr>
      <t xml:space="preserve">
</t>
    </r>
    <r>
      <rPr>
        <sz val="13"/>
        <rFont val="Arial"/>
        <family val="2"/>
      </rPr>
      <t xml:space="preserve"> Fire
Engineering</t>
    </r>
  </si>
  <si>
    <t>Property -
Fire</t>
  </si>
  <si>
    <t>Property - Engineering</t>
  </si>
  <si>
    <t>Liability</t>
  </si>
  <si>
    <r>
      <rPr>
        <b/>
        <sz val="18"/>
        <rFont val="Arial"/>
        <family val="2"/>
      </rPr>
      <t>Other</t>
    </r>
    <r>
      <rPr>
        <b/>
        <sz val="13"/>
        <rFont val="Arial"/>
        <family val="2"/>
      </rPr>
      <t xml:space="preserve"> 
</t>
    </r>
    <r>
      <rPr>
        <sz val="13"/>
        <rFont val="Arial"/>
        <family val="2"/>
      </rPr>
      <t>Medical
Various
Marine
Legal</t>
    </r>
  </si>
  <si>
    <t>Other - Medical</t>
  </si>
  <si>
    <t>Other - Various</t>
  </si>
  <si>
    <t>Other - Marine</t>
  </si>
  <si>
    <t>Other - Legal</t>
  </si>
  <si>
    <t>Subtotal 
TA P/C Scope</t>
  </si>
  <si>
    <t>Total 
P&amp;C</t>
  </si>
  <si>
    <t>Netherlands</t>
  </si>
  <si>
    <t>Retail Motor</t>
  </si>
  <si>
    <t>Retail Non-Motor</t>
  </si>
  <si>
    <t>SME Non-Motor</t>
  </si>
  <si>
    <t>H7 Total</t>
  </si>
  <si>
    <t>MidCorp Fire</t>
  </si>
  <si>
    <t>MidCorp Engineering</t>
  </si>
  <si>
    <t>MidCorp Liability</t>
  </si>
  <si>
    <t>MidCorp Other</t>
  </si>
  <si>
    <t>H9 Total</t>
  </si>
  <si>
    <t>BENELUX</t>
  </si>
  <si>
    <t>Delta vs Plan</t>
  </si>
  <si>
    <t>2.8</t>
  </si>
  <si>
    <t>2.9</t>
  </si>
  <si>
    <t>2.10</t>
  </si>
  <si>
    <t>100.6</t>
  </si>
  <si>
    <t>100.7</t>
  </si>
  <si>
    <t>100.8</t>
  </si>
  <si>
    <t>0.43</t>
  </si>
  <si>
    <t>0.44</t>
  </si>
  <si>
    <t>0.45</t>
  </si>
  <si>
    <t>0.46</t>
  </si>
  <si>
    <t>0.47</t>
  </si>
  <si>
    <t>0.48</t>
  </si>
  <si>
    <t>0.49</t>
  </si>
  <si>
    <t>0.50</t>
  </si>
  <si>
    <t>0.51</t>
  </si>
  <si>
    <t>0.52</t>
  </si>
  <si>
    <t>0.53</t>
  </si>
  <si>
    <t>0.54</t>
  </si>
  <si>
    <t>0.55</t>
  </si>
  <si>
    <t>0.56</t>
  </si>
  <si>
    <t>0.57</t>
  </si>
  <si>
    <t>0.58</t>
  </si>
  <si>
    <t>134.9</t>
  </si>
  <si>
    <t>134.10</t>
  </si>
  <si>
    <t>134.11</t>
  </si>
  <si>
    <t>134.12</t>
  </si>
  <si>
    <t>134.13</t>
  </si>
  <si>
    <t>134.14</t>
  </si>
  <si>
    <t>134.15</t>
  </si>
  <si>
    <t>134.16</t>
  </si>
  <si>
    <t>134.17</t>
  </si>
  <si>
    <t>134.18</t>
  </si>
  <si>
    <t>134.19</t>
  </si>
  <si>
    <t>134.20</t>
  </si>
  <si>
    <t>134.21</t>
  </si>
  <si>
    <t>134.22</t>
  </si>
  <si>
    <t>134.23</t>
  </si>
  <si>
    <t>134.24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</si>
  <si>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</si>
  <si>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</si>
  <si>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</si>
  <si>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</si>
  <si>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</si>
  <si>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</si>
  <si>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</si>
  <si>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</si>
  <si>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</si>
  <si>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</si>
  <si>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</si>
  <si>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</si>
  <si>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</si>
  <si>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</si>
  <si>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</si>
  <si>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</si>
  <si>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170.9</t>
  </si>
  <si>
    <t>170.10</t>
  </si>
  <si>
    <t>170.11</t>
  </si>
  <si>
    <t>2.1</t>
  </si>
  <si>
    <t>2.2</t>
  </si>
  <si>
    <t>2.3</t>
  </si>
  <si>
    <t>11.5</t>
  </si>
  <si>
    <t>11.6</t>
  </si>
  <si>
    <t>11.7</t>
  </si>
  <si>
    <t>65.4</t>
  </si>
  <si>
    <t>65.5</t>
  </si>
  <si>
    <t>65.6</t>
  </si>
  <si>
    <t>2.45</t>
  </si>
  <si>
    <t>2.46</t>
  </si>
  <si>
    <t>2.47</t>
  </si>
  <si>
    <t>1123.</t>
  </si>
  <si>
    <t>111.45</t>
  </si>
  <si>
    <t>111.46</t>
  </si>
  <si>
    <t>111.47</t>
  </si>
  <si>
    <t>112.3</t>
  </si>
  <si>
    <t>112.4</t>
  </si>
  <si>
    <t>112.5</t>
  </si>
  <si>
    <t>0.,1</t>
  </si>
  <si>
    <t>0.3</t>
  </si>
  <si>
    <t>0.4</t>
  </si>
  <si>
    <t>0.5</t>
  </si>
  <si>
    <t>0.6</t>
  </si>
  <si>
    <t>0.7</t>
  </si>
  <si>
    <t>0.8</t>
  </si>
  <si>
    <t>0.9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</si>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</sst>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,##0.00\ &quot;€&quot;;[Red]\-#,##0.00\ &quot;€&quot;"/>
    <numFmt numFmtId="166" formatCode="0.0%"/>
    <numFmt numFmtId="167" formatCode="0.0"/>
    <numFmt numFmtId="168" formatCode="0.0000"/>
    <numFmt numFmtId="169" formatCode="0.000"/>
    <numFmt numFmtId="170" formatCode="[$]dd/mm/yyyy;@" x16r2:formatCode16="[$-en-BE,1]dd/mm/yyyy;@"/>
    <numFmt numFmtId="171" formatCode="_(* #,##0.0_);_(* \(#,##0.0\);_(* &quot;-&quot;??_);_(@_)"/>
    <numFmt numFmtId="172" formatCode="_(* #,##0_);_(* \(#,##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i/>
      <sz val="1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vertAlign val="superscript"/>
      <sz val="18"/>
      <name val="Arial"/>
      <family val="2"/>
    </font>
    <font>
      <sz val="14"/>
      <name val="Arial"/>
      <family val="2"/>
    </font>
    <font>
      <i/>
      <sz val="11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i/>
      <sz val="22"/>
      <color theme="0"/>
      <name val="Arial"/>
      <family val="2"/>
    </font>
    <font>
      <b/>
      <i/>
      <u/>
      <sz val="20"/>
      <name val="Arial"/>
      <family val="2"/>
    </font>
    <font>
      <b/>
      <sz val="13"/>
      <color rgb="FFCC0000"/>
      <name val="Arial"/>
      <family val="2"/>
    </font>
    <font>
      <b/>
      <sz val="13"/>
      <color rgb="FF00994C"/>
      <name val="Arial"/>
      <family val="2"/>
    </font>
    <font>
      <i/>
      <sz val="11"/>
      <color rgb="FFCC0000"/>
      <name val="Arial"/>
      <family val="2"/>
    </font>
    <font>
      <i/>
      <sz val="11"/>
      <color rgb="FF00994C"/>
      <name val="Arial"/>
      <family val="2"/>
    </font>
    <font>
      <b/>
      <sz val="13"/>
      <color rgb="FF000000"/>
      <name val="Arial"/>
      <family val="2"/>
    </font>
    <font>
      <i/>
      <sz val="11"/>
      <color rgb="FF000000"/>
      <name val="Arial"/>
      <family val="2"/>
    </font>
    <font>
      <sz val="10"/>
      <color rgb="FFCC0000"/>
      <name val="Arial"/>
      <family val="2"/>
    </font>
    <font>
      <sz val="10"/>
      <color rgb="FF000000"/>
      <name val="Arial"/>
      <family val="2"/>
    </font>
    <font>
      <sz val="10"/>
      <color rgb="FF00994C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994C"/>
      <name val="Arial"/>
      <family val="2"/>
    </font>
    <font>
      <b/>
      <sz val="11"/>
      <color rgb="FF000000"/>
      <name val="Arial"/>
      <family val="2"/>
    </font>
    <font>
      <b/>
      <sz val="11"/>
      <color rgb="FFCC0000"/>
      <name val="Arial"/>
      <family val="2"/>
    </font>
    <font>
      <b/>
      <sz val="14"/>
      <name val="Arial"/>
      <family val="2"/>
    </font>
    <font>
      <b/>
      <i/>
      <sz val="14"/>
      <color theme="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9A2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DB9"/>
        <bgColor indexed="64"/>
      </patternFill>
    </fill>
    <fill>
      <patternFill patternType="solid">
        <fgColor rgb="FF2967E3"/>
        <bgColor indexed="64"/>
      </patternFill>
    </fill>
    <fill>
      <patternFill patternType="solid">
        <fgColor rgb="FFFFFB4F"/>
        <bgColor indexed="64"/>
      </patternFill>
    </fill>
    <fill>
      <patternFill patternType="solid">
        <fgColor rgb="FFF1501A"/>
        <bgColor indexed="64"/>
      </patternFill>
    </fill>
    <fill>
      <patternFill patternType="solid">
        <fgColor rgb="FFFFF9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7" fontId="4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4" fillId="10" borderId="0" xfId="3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11" borderId="0" xfId="3" applyFont="1" applyFill="1" applyAlignment="1">
      <alignment vertical="center"/>
    </xf>
    <xf numFmtId="0" fontId="6" fillId="11" borderId="0" xfId="0" applyFont="1" applyFill="1" applyAlignment="1">
      <alignment vertical="center"/>
    </xf>
    <xf numFmtId="167" fontId="4" fillId="10" borderId="0" xfId="1" applyNumberFormat="1" applyFont="1" applyFill="1" applyAlignment="1">
      <alignment horizontal="right" vertical="center"/>
    </xf>
    <xf numFmtId="166" fontId="4" fillId="10" borderId="0" xfId="2" applyNumberFormat="1" applyFont="1" applyFill="1" applyAlignment="1">
      <alignment horizontal="right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right" vertical="center"/>
    </xf>
    <xf numFmtId="167" fontId="4" fillId="11" borderId="0" xfId="1" applyNumberFormat="1" applyFont="1" applyFill="1" applyAlignment="1">
      <alignment horizontal="right" vertical="center"/>
    </xf>
    <xf numFmtId="166" fontId="4" fillId="11" borderId="0" xfId="2" applyNumberFormat="1" applyFont="1" applyFill="1" applyAlignment="1">
      <alignment horizontal="right" vertical="center"/>
    </xf>
    <xf numFmtId="167" fontId="4" fillId="8" borderId="0" xfId="1" applyNumberFormat="1" applyFont="1" applyFill="1" applyAlignment="1">
      <alignment horizontal="right" vertical="center"/>
    </xf>
    <xf numFmtId="166" fontId="4" fillId="8" borderId="0" xfId="2" applyNumberFormat="1" applyFont="1" applyFill="1" applyAlignment="1">
      <alignment horizontal="right" vertical="center"/>
    </xf>
    <xf numFmtId="167" fontId="4" fillId="6" borderId="0" xfId="1" applyNumberFormat="1" applyFont="1" applyFill="1" applyAlignment="1">
      <alignment horizontal="right" vertical="center"/>
    </xf>
    <xf numFmtId="166" fontId="4" fillId="6" borderId="0" xfId="2" applyNumberFormat="1" applyFont="1" applyFill="1" applyAlignment="1">
      <alignment horizontal="right" vertical="center"/>
    </xf>
    <xf numFmtId="9" fontId="4" fillId="10" borderId="0" xfId="2" applyFont="1" applyFill="1" applyAlignment="1">
      <alignment horizontal="right" vertical="center"/>
    </xf>
    <xf numFmtId="0" fontId="8" fillId="4" borderId="1" xfId="0" applyFont="1" applyFill="1" applyBorder="1" applyAlignment="1">
      <alignment vertical="center"/>
    </xf>
    <xf numFmtId="167" fontId="4" fillId="2" borderId="0" xfId="0" applyNumberFormat="1" applyFont="1" applyFill="1" applyAlignment="1">
      <alignment vertical="center"/>
    </xf>
    <xf numFmtId="168" fontId="4" fillId="2" borderId="0" xfId="0" applyNumberFormat="1" applyFont="1" applyFill="1" applyAlignment="1">
      <alignment vertical="center"/>
    </xf>
    <xf numFmtId="10" fontId="4" fillId="8" borderId="0" xfId="2" applyNumberFormat="1" applyFont="1" applyFill="1" applyAlignment="1">
      <alignment horizontal="right" vertical="center"/>
    </xf>
    <xf numFmtId="166" fontId="2" fillId="2" borderId="0" xfId="2" applyNumberFormat="1" applyFont="1" applyFill="1" applyAlignment="1">
      <alignment vertical="center"/>
    </xf>
    <xf numFmtId="10" fontId="2" fillId="2" borderId="0" xfId="2" applyNumberFormat="1" applyFont="1" applyFill="1" applyAlignment="1">
      <alignment vertical="center"/>
    </xf>
    <xf numFmtId="169" fontId="2" fillId="2" borderId="0" xfId="0" applyNumberFormat="1" applyFont="1" applyFill="1" applyAlignment="1">
      <alignment vertical="center"/>
    </xf>
    <xf numFmtId="0" fontId="5" fillId="10" borderId="0" xfId="3" applyFont="1" applyFill="1" applyAlignment="1">
      <alignment vertical="center"/>
    </xf>
    <xf numFmtId="0" fontId="11" fillId="10" borderId="0" xfId="3" applyFont="1" applyFill="1" applyAlignment="1">
      <alignment horizontal="left" vertical="center" indent="2"/>
    </xf>
    <xf numFmtId="0" fontId="11" fillId="10" borderId="0" xfId="3" applyFont="1" applyFill="1" applyAlignment="1">
      <alignment vertical="center"/>
    </xf>
    <xf numFmtId="167" fontId="5" fillId="10" borderId="0" xfId="1" applyNumberFormat="1" applyFont="1" applyFill="1" applyAlignment="1">
      <alignment horizontal="right" vertical="center"/>
    </xf>
    <xf numFmtId="166" fontId="5" fillId="10" borderId="0" xfId="2" applyNumberFormat="1" applyFont="1" applyFill="1" applyAlignment="1">
      <alignment horizontal="right" vertical="center"/>
    </xf>
    <xf numFmtId="166" fontId="11" fillId="10" borderId="0" xfId="2" applyNumberFormat="1" applyFont="1" applyFill="1" applyAlignment="1">
      <alignment horizontal="right" vertical="center"/>
    </xf>
    <xf numFmtId="169" fontId="4" fillId="10" borderId="0" xfId="1" applyNumberFormat="1" applyFont="1" applyFill="1" applyAlignment="1">
      <alignment horizontal="right" vertical="center"/>
    </xf>
    <xf numFmtId="0" fontId="8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167" fontId="2" fillId="2" borderId="0" xfId="0" applyNumberFormat="1" applyFont="1" applyFill="1" applyAlignment="1">
      <alignment vertical="center"/>
    </xf>
    <xf numFmtId="0" fontId="1" fillId="0" borderId="0" xfId="0" applyFont="1"/>
    <xf numFmtId="0" fontId="11" fillId="11" borderId="0" xfId="3" applyFont="1" applyFill="1" applyAlignment="1">
      <alignment horizontal="left" vertical="center" indent="2"/>
    </xf>
    <xf numFmtId="0" fontId="5" fillId="11" borderId="0" xfId="3" applyFont="1" applyFill="1" applyAlignment="1">
      <alignment vertical="center"/>
    </xf>
    <xf numFmtId="0" fontId="11" fillId="11" borderId="0" xfId="3" applyFont="1" applyFill="1" applyAlignment="1">
      <alignment vertical="center"/>
    </xf>
    <xf numFmtId="166" fontId="11" fillId="11" borderId="0" xfId="2" applyNumberFormat="1" applyFont="1" applyFill="1" applyAlignment="1">
      <alignment horizontal="right" vertical="center"/>
    </xf>
    <xf numFmtId="9" fontId="4" fillId="11" borderId="0" xfId="2" applyFont="1" applyFill="1" applyAlignment="1">
      <alignment horizontal="right" vertical="center"/>
    </xf>
    <xf numFmtId="167" fontId="4" fillId="15" borderId="0" xfId="1" applyNumberFormat="1" applyFont="1" applyFill="1" applyAlignment="1">
      <alignment horizontal="right" vertical="center"/>
    </xf>
    <xf numFmtId="166" fontId="4" fillId="15" borderId="0" xfId="2" applyNumberFormat="1" applyFont="1" applyFill="1" applyAlignment="1">
      <alignment horizontal="right" vertical="center"/>
    </xf>
    <xf numFmtId="167" fontId="0" fillId="0" borderId="0" xfId="0" applyNumberFormat="1"/>
    <xf numFmtId="167" fontId="5" fillId="11" borderId="0" xfId="1" applyNumberFormat="1" applyFont="1" applyFill="1" applyAlignment="1">
      <alignment horizontal="right" vertical="center"/>
    </xf>
    <xf numFmtId="166" fontId="5" fillId="11" borderId="0" xfId="2" applyNumberFormat="1" applyFont="1" applyFill="1" applyAlignment="1">
      <alignment horizontal="right" vertical="center"/>
    </xf>
    <xf numFmtId="167" fontId="5" fillId="6" borderId="0" xfId="1" applyNumberFormat="1" applyFont="1" applyFill="1" applyAlignment="1">
      <alignment horizontal="right" vertical="center"/>
    </xf>
    <xf numFmtId="166" fontId="5" fillId="6" borderId="0" xfId="2" applyNumberFormat="1" applyFont="1" applyFill="1" applyAlignment="1">
      <alignment horizontal="right" vertical="center"/>
    </xf>
    <xf numFmtId="166" fontId="11" fillId="6" borderId="0" xfId="2" applyNumberFormat="1" applyFont="1" applyFill="1" applyAlignment="1">
      <alignment horizontal="right" vertical="center"/>
    </xf>
    <xf numFmtId="167" fontId="5" fillId="13" borderId="0" xfId="1" applyNumberFormat="1" applyFont="1" applyFill="1" applyAlignment="1">
      <alignment horizontal="right" vertical="center"/>
    </xf>
    <xf numFmtId="166" fontId="11" fillId="13" borderId="0" xfId="2" applyNumberFormat="1" applyFont="1" applyFill="1" applyAlignment="1">
      <alignment horizontal="right" vertical="center"/>
    </xf>
    <xf numFmtId="0" fontId="5" fillId="8" borderId="0" xfId="3" applyFont="1" applyFill="1" applyAlignment="1">
      <alignment vertical="center"/>
    </xf>
    <xf numFmtId="0" fontId="11" fillId="8" borderId="0" xfId="3" applyFont="1" applyFill="1" applyAlignment="1">
      <alignment horizontal="left" vertical="center" indent="2"/>
    </xf>
    <xf numFmtId="0" fontId="11" fillId="8" borderId="0" xfId="3" applyFont="1" applyFill="1" applyAlignment="1">
      <alignment vertical="center"/>
    </xf>
    <xf numFmtId="166" fontId="11" fillId="8" borderId="0" xfId="2" applyNumberFormat="1" applyFont="1" applyFill="1" applyAlignment="1">
      <alignment horizontal="right" vertical="center"/>
    </xf>
    <xf numFmtId="166" fontId="0" fillId="0" borderId="0" xfId="0" applyNumberFormat="1"/>
    <xf numFmtId="166" fontId="11" fillId="9" borderId="0" xfId="2" applyNumberFormat="1" applyFont="1" applyFill="1" applyAlignment="1">
      <alignment horizontal="right" vertical="center"/>
    </xf>
    <xf numFmtId="166" fontId="11" fillId="16" borderId="0" xfId="2" applyNumberFormat="1" applyFont="1" applyFill="1" applyAlignment="1">
      <alignment horizontal="right" vertical="center"/>
    </xf>
    <xf numFmtId="167" fontId="16" fillId="10" borderId="0" xfId="1" applyNumberFormat="1" applyFont="1" applyFill="1" applyAlignment="1">
      <alignment horizontal="right" vertical="center"/>
    </xf>
    <xf numFmtId="166" fontId="17" fillId="10" borderId="0" xfId="2" applyNumberFormat="1" applyFont="1" applyFill="1" applyAlignment="1">
      <alignment horizontal="right" vertical="center"/>
    </xf>
    <xf numFmtId="166" fontId="16" fillId="10" borderId="0" xfId="2" applyNumberFormat="1" applyFont="1" applyFill="1" applyAlignment="1">
      <alignment horizontal="right" vertical="center"/>
    </xf>
    <xf numFmtId="166" fontId="18" fillId="10" borderId="0" xfId="2" applyNumberFormat="1" applyFont="1" applyFill="1" applyAlignment="1">
      <alignment horizontal="right" vertical="center"/>
    </xf>
    <xf numFmtId="166" fontId="19" fillId="10" borderId="0" xfId="2" applyNumberFormat="1" applyFont="1" applyFill="1" applyAlignment="1">
      <alignment horizontal="right" vertical="center"/>
    </xf>
    <xf numFmtId="167" fontId="17" fillId="10" borderId="0" xfId="1" applyNumberFormat="1" applyFont="1" applyFill="1" applyAlignment="1">
      <alignment horizontal="right" vertical="center"/>
    </xf>
    <xf numFmtId="167" fontId="17" fillId="11" borderId="0" xfId="1" applyNumberFormat="1" applyFont="1" applyFill="1" applyAlignment="1">
      <alignment horizontal="right" vertical="center"/>
    </xf>
    <xf numFmtId="166" fontId="18" fillId="11" borderId="0" xfId="2" applyNumberFormat="1" applyFont="1" applyFill="1" applyAlignment="1">
      <alignment horizontal="right" vertical="center"/>
    </xf>
    <xf numFmtId="166" fontId="19" fillId="11" borderId="0" xfId="2" applyNumberFormat="1" applyFont="1" applyFill="1" applyAlignment="1">
      <alignment horizontal="right" vertical="center"/>
    </xf>
    <xf numFmtId="167" fontId="16" fillId="11" borderId="0" xfId="1" applyNumberFormat="1" applyFont="1" applyFill="1" applyAlignment="1">
      <alignment horizontal="right" vertical="center"/>
    </xf>
    <xf numFmtId="166" fontId="18" fillId="8" borderId="0" xfId="2" applyNumberFormat="1" applyFont="1" applyFill="1" applyAlignment="1">
      <alignment horizontal="right" vertical="center"/>
    </xf>
    <xf numFmtId="166" fontId="19" fillId="8" borderId="0" xfId="2" applyNumberFormat="1" applyFont="1" applyFill="1" applyAlignment="1">
      <alignment horizontal="right" vertical="center"/>
    </xf>
    <xf numFmtId="167" fontId="16" fillId="6" borderId="0" xfId="1" applyNumberFormat="1" applyFont="1" applyFill="1" applyAlignment="1">
      <alignment horizontal="right" vertical="center"/>
    </xf>
    <xf numFmtId="166" fontId="16" fillId="6" borderId="0" xfId="2" applyNumberFormat="1" applyFont="1" applyFill="1" applyAlignment="1">
      <alignment horizontal="right" vertical="center"/>
    </xf>
    <xf numFmtId="166" fontId="18" fillId="6" borderId="0" xfId="2" applyNumberFormat="1" applyFont="1" applyFill="1" applyAlignment="1">
      <alignment horizontal="right" vertical="center"/>
    </xf>
    <xf numFmtId="166" fontId="19" fillId="6" borderId="0" xfId="2" applyNumberFormat="1" applyFont="1" applyFill="1" applyAlignment="1">
      <alignment horizontal="right" vertical="center"/>
    </xf>
    <xf numFmtId="166" fontId="17" fillId="6" borderId="0" xfId="2" applyNumberFormat="1" applyFont="1" applyFill="1" applyAlignment="1">
      <alignment horizontal="right" vertical="center"/>
    </xf>
    <xf numFmtId="167" fontId="17" fillId="6" borderId="0" xfId="1" applyNumberFormat="1" applyFont="1" applyFill="1" applyAlignment="1">
      <alignment horizontal="right" vertical="center"/>
    </xf>
    <xf numFmtId="167" fontId="17" fillId="13" borderId="0" xfId="1" applyNumberFormat="1" applyFont="1" applyFill="1" applyAlignment="1">
      <alignment horizontal="right" vertical="center"/>
    </xf>
    <xf numFmtId="166" fontId="19" fillId="13" borderId="0" xfId="2" applyNumberFormat="1" applyFont="1" applyFill="1" applyAlignment="1">
      <alignment horizontal="right" vertical="center"/>
    </xf>
    <xf numFmtId="166" fontId="18" fillId="13" borderId="0" xfId="2" applyNumberFormat="1" applyFont="1" applyFill="1" applyAlignment="1">
      <alignment horizontal="right" vertical="center"/>
    </xf>
    <xf numFmtId="167" fontId="16" fillId="13" borderId="0" xfId="1" applyNumberFormat="1" applyFont="1" applyFill="1" applyAlignment="1">
      <alignment horizontal="right" vertical="center"/>
    </xf>
    <xf numFmtId="166" fontId="18" fillId="9" borderId="0" xfId="2" applyNumberFormat="1" applyFont="1" applyFill="1" applyAlignment="1">
      <alignment horizontal="right" vertical="center"/>
    </xf>
    <xf numFmtId="166" fontId="19" fillId="9" borderId="0" xfId="2" applyNumberFormat="1" applyFont="1" applyFill="1" applyAlignment="1">
      <alignment horizontal="right" vertical="center"/>
    </xf>
    <xf numFmtId="166" fontId="19" fillId="16" borderId="0" xfId="2" applyNumberFormat="1" applyFont="1" applyFill="1" applyAlignment="1">
      <alignment horizontal="right" vertical="center"/>
    </xf>
    <xf numFmtId="166" fontId="18" fillId="16" borderId="0" xfId="2" applyNumberFormat="1" applyFont="1" applyFill="1" applyAlignment="1">
      <alignment horizontal="right" vertical="center"/>
    </xf>
    <xf numFmtId="166" fontId="20" fillId="10" borderId="0" xfId="2" applyNumberFormat="1" applyFont="1" applyFill="1" applyAlignment="1">
      <alignment horizontal="right" vertical="center"/>
    </xf>
    <xf numFmtId="166" fontId="21" fillId="10" borderId="0" xfId="2" applyNumberFormat="1" applyFont="1" applyFill="1" applyAlignment="1">
      <alignment horizontal="right" vertical="center"/>
    </xf>
    <xf numFmtId="167" fontId="20" fillId="10" borderId="0" xfId="1" applyNumberFormat="1" applyFont="1" applyFill="1" applyAlignment="1">
      <alignment horizontal="right" vertical="center"/>
    </xf>
    <xf numFmtId="166" fontId="21" fillId="6" borderId="0" xfId="2" applyNumberFormat="1" applyFont="1" applyFill="1" applyAlignment="1">
      <alignment horizontal="right" vertical="center"/>
    </xf>
    <xf numFmtId="166" fontId="20" fillId="6" borderId="0" xfId="2" applyNumberFormat="1" applyFont="1" applyFill="1" applyAlignment="1">
      <alignment horizontal="right" vertical="center"/>
    </xf>
    <xf numFmtId="167" fontId="20" fillId="6" borderId="0" xfId="1" applyNumberFormat="1" applyFont="1" applyFill="1" applyAlignment="1">
      <alignment horizontal="right" vertical="center"/>
    </xf>
    <xf numFmtId="166" fontId="20" fillId="11" borderId="0" xfId="2" applyNumberFormat="1" applyFont="1" applyFill="1" applyAlignment="1">
      <alignment horizontal="right" vertical="center"/>
    </xf>
    <xf numFmtId="166" fontId="21" fillId="13" borderId="0" xfId="2" applyNumberFormat="1" applyFont="1" applyFill="1" applyAlignment="1">
      <alignment horizontal="right" vertical="center"/>
    </xf>
    <xf numFmtId="166" fontId="21" fillId="8" borderId="0" xfId="2" applyNumberFormat="1" applyFont="1" applyFill="1" applyAlignment="1">
      <alignment horizontal="right" vertical="center"/>
    </xf>
    <xf numFmtId="166" fontId="21" fillId="11" borderId="0" xfId="2" applyNumberFormat="1" applyFont="1" applyFill="1" applyAlignment="1">
      <alignment horizontal="right" vertical="center"/>
    </xf>
    <xf numFmtId="166" fontId="21" fillId="9" borderId="0" xfId="2" applyNumberFormat="1" applyFont="1" applyFill="1" applyAlignment="1">
      <alignment horizontal="right" vertical="center"/>
    </xf>
    <xf numFmtId="166" fontId="21" fillId="16" borderId="0" xfId="2" applyNumberFormat="1" applyFont="1" applyFill="1" applyAlignment="1">
      <alignment horizontal="right" vertical="center"/>
    </xf>
    <xf numFmtId="0" fontId="22" fillId="0" borderId="0" xfId="0" applyFont="1"/>
    <xf numFmtId="0" fontId="23" fillId="0" borderId="0" xfId="0" applyFont="1"/>
    <xf numFmtId="170" fontId="23" fillId="0" borderId="0" xfId="0" applyNumberFormat="1" applyFont="1"/>
    <xf numFmtId="0" fontId="25" fillId="0" borderId="0" xfId="0" applyFont="1"/>
    <xf numFmtId="0" fontId="26" fillId="2" borderId="1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5" fillId="2" borderId="0" xfId="3" applyFont="1" applyFill="1" applyAlignment="1">
      <alignment vertical="center"/>
    </xf>
    <xf numFmtId="0" fontId="26" fillId="10" borderId="0" xfId="3" applyFont="1" applyFill="1" applyAlignment="1">
      <alignment vertical="center"/>
    </xf>
    <xf numFmtId="167" fontId="25" fillId="2" borderId="0" xfId="0" applyNumberFormat="1" applyFont="1" applyFill="1" applyAlignment="1">
      <alignment horizontal="right" vertical="center"/>
    </xf>
    <xf numFmtId="167" fontId="27" fillId="10" borderId="0" xfId="1" applyNumberFormat="1" applyFont="1" applyFill="1" applyAlignment="1">
      <alignment horizontal="right" vertical="center"/>
    </xf>
    <xf numFmtId="167" fontId="26" fillId="10" borderId="0" xfId="1" applyNumberFormat="1" applyFont="1" applyFill="1" applyAlignment="1">
      <alignment horizontal="right" vertical="center"/>
    </xf>
    <xf numFmtId="167" fontId="28" fillId="10" borderId="0" xfId="1" applyNumberFormat="1" applyFont="1" applyFill="1" applyAlignment="1">
      <alignment horizontal="right" vertical="center"/>
    </xf>
    <xf numFmtId="167" fontId="29" fillId="10" borderId="0" xfId="1" applyNumberFormat="1" applyFont="1" applyFill="1" applyAlignment="1">
      <alignment horizontal="right" vertical="center"/>
    </xf>
    <xf numFmtId="167" fontId="27" fillId="6" borderId="0" xfId="1" applyNumberFormat="1" applyFont="1" applyFill="1" applyAlignment="1">
      <alignment horizontal="right" vertical="center"/>
    </xf>
    <xf numFmtId="167" fontId="26" fillId="6" borderId="0" xfId="1" applyNumberFormat="1" applyFont="1" applyFill="1" applyAlignment="1">
      <alignment horizontal="right" vertical="center"/>
    </xf>
    <xf numFmtId="167" fontId="29" fillId="6" borderId="0" xfId="1" applyNumberFormat="1" applyFont="1" applyFill="1" applyAlignment="1">
      <alignment horizontal="right" vertical="center"/>
    </xf>
    <xf numFmtId="167" fontId="28" fillId="6" borderId="0" xfId="1" applyNumberFormat="1" applyFont="1" applyFill="1" applyAlignment="1">
      <alignment horizontal="right" vertical="center"/>
    </xf>
    <xf numFmtId="166" fontId="27" fillId="10" borderId="0" xfId="2" applyNumberFormat="1" applyFont="1" applyFill="1" applyAlignment="1">
      <alignment horizontal="right" vertical="center"/>
    </xf>
    <xf numFmtId="166" fontId="26" fillId="10" borderId="0" xfId="2" applyNumberFormat="1" applyFont="1" applyFill="1" applyAlignment="1">
      <alignment horizontal="right" vertical="center"/>
    </xf>
    <xf numFmtId="166" fontId="29" fillId="10" borderId="0" xfId="2" applyNumberFormat="1" applyFont="1" applyFill="1" applyAlignment="1">
      <alignment horizontal="right" vertical="center"/>
    </xf>
    <xf numFmtId="166" fontId="29" fillId="6" borderId="0" xfId="2" applyNumberFormat="1" applyFont="1" applyFill="1" applyAlignment="1">
      <alignment horizontal="right" vertical="center"/>
    </xf>
    <xf numFmtId="166" fontId="26" fillId="6" borderId="0" xfId="2" applyNumberFormat="1" applyFont="1" applyFill="1" applyAlignment="1">
      <alignment horizontal="right" vertical="center"/>
    </xf>
    <xf numFmtId="166" fontId="28" fillId="10" borderId="0" xfId="2" applyNumberFormat="1" applyFont="1" applyFill="1" applyAlignment="1">
      <alignment horizontal="right" vertical="center"/>
    </xf>
    <xf numFmtId="166" fontId="27" fillId="6" borderId="0" xfId="2" applyNumberFormat="1" applyFont="1" applyFill="1" applyAlignment="1">
      <alignment horizontal="right" vertical="center"/>
    </xf>
    <xf numFmtId="166" fontId="28" fillId="6" borderId="0" xfId="2" applyNumberFormat="1" applyFont="1" applyFill="1" applyAlignment="1">
      <alignment horizontal="right" vertical="center"/>
    </xf>
    <xf numFmtId="166" fontId="25" fillId="2" borderId="0" xfId="0" applyNumberFormat="1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0" fontId="26" fillId="11" borderId="0" xfId="3" applyFont="1" applyFill="1" applyAlignment="1">
      <alignment vertical="center"/>
    </xf>
    <xf numFmtId="167" fontId="29" fillId="11" borderId="0" xfId="1" applyNumberFormat="1" applyFont="1" applyFill="1" applyAlignment="1">
      <alignment horizontal="right" vertical="center"/>
    </xf>
    <xf numFmtId="167" fontId="26" fillId="11" borderId="0" xfId="1" applyNumberFormat="1" applyFont="1" applyFill="1" applyAlignment="1">
      <alignment horizontal="right" vertical="center"/>
    </xf>
    <xf numFmtId="167" fontId="29" fillId="13" borderId="0" xfId="1" applyNumberFormat="1" applyFont="1" applyFill="1" applyAlignment="1">
      <alignment horizontal="right" vertical="center"/>
    </xf>
    <xf numFmtId="167" fontId="26" fillId="13" borderId="0" xfId="1" applyNumberFormat="1" applyFont="1" applyFill="1" applyAlignment="1">
      <alignment horizontal="right" vertical="center"/>
    </xf>
    <xf numFmtId="167" fontId="27" fillId="11" borderId="0" xfId="1" applyNumberFormat="1" applyFont="1" applyFill="1" applyAlignment="1">
      <alignment horizontal="right" vertical="center"/>
    </xf>
    <xf numFmtId="166" fontId="28" fillId="11" borderId="0" xfId="2" applyNumberFormat="1" applyFont="1" applyFill="1" applyAlignment="1">
      <alignment horizontal="right" vertical="center"/>
    </xf>
    <xf numFmtId="166" fontId="26" fillId="11" borderId="0" xfId="2" applyNumberFormat="1" applyFont="1" applyFill="1" applyAlignment="1">
      <alignment horizontal="right" vertical="center"/>
    </xf>
    <xf numFmtId="166" fontId="28" fillId="13" borderId="0" xfId="2" applyNumberFormat="1" applyFont="1" applyFill="1" applyAlignment="1">
      <alignment horizontal="right" vertical="center"/>
    </xf>
    <xf numFmtId="166" fontId="26" fillId="13" borderId="0" xfId="2" applyNumberFormat="1" applyFont="1" applyFill="1" applyAlignment="1">
      <alignment horizontal="right" vertical="center"/>
    </xf>
    <xf numFmtId="166" fontId="27" fillId="11" borderId="0" xfId="2" applyNumberFormat="1" applyFont="1" applyFill="1" applyAlignment="1">
      <alignment horizontal="right" vertical="center"/>
    </xf>
    <xf numFmtId="166" fontId="27" fillId="13" borderId="0" xfId="2" applyNumberFormat="1" applyFont="1" applyFill="1" applyAlignment="1">
      <alignment horizontal="right" vertical="center"/>
    </xf>
    <xf numFmtId="166" fontId="29" fillId="11" borderId="0" xfId="2" applyNumberFormat="1" applyFont="1" applyFill="1" applyAlignment="1">
      <alignment horizontal="right" vertical="center"/>
    </xf>
    <xf numFmtId="166" fontId="29" fillId="13" borderId="0" xfId="2" applyNumberFormat="1" applyFont="1" applyFill="1" applyAlignment="1">
      <alignment horizontal="right" vertical="center"/>
    </xf>
    <xf numFmtId="167" fontId="27" fillId="13" borderId="0" xfId="1" applyNumberFormat="1" applyFont="1" applyFill="1" applyAlignment="1">
      <alignment horizontal="right" vertical="center"/>
    </xf>
    <xf numFmtId="0" fontId="26" fillId="8" borderId="0" xfId="3" applyFont="1" applyFill="1" applyAlignment="1">
      <alignment vertical="center"/>
    </xf>
    <xf numFmtId="0" fontId="25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30" fillId="2" borderId="1" xfId="0" applyFont="1" applyFill="1" applyBorder="1" applyAlignment="1">
      <alignment vertical="center"/>
    </xf>
    <xf numFmtId="0" fontId="30" fillId="4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7" fontId="28" fillId="9" borderId="0" xfId="1" applyNumberFormat="1" applyFont="1" applyFill="1" applyAlignment="1">
      <alignment horizontal="right" vertical="center"/>
    </xf>
    <xf numFmtId="167" fontId="26" fillId="9" borderId="0" xfId="1" applyNumberFormat="1" applyFont="1" applyFill="1" applyAlignment="1">
      <alignment horizontal="right" vertical="center"/>
    </xf>
    <xf numFmtId="167" fontId="29" fillId="9" borderId="0" xfId="1" applyNumberFormat="1" applyFont="1" applyFill="1" applyAlignment="1">
      <alignment horizontal="right" vertical="center"/>
    </xf>
    <xf numFmtId="166" fontId="27" fillId="9" borderId="0" xfId="2" applyNumberFormat="1" applyFont="1" applyFill="1" applyAlignment="1">
      <alignment horizontal="right" vertical="center"/>
    </xf>
    <xf numFmtId="166" fontId="26" fillId="9" borderId="0" xfId="2" applyNumberFormat="1" applyFont="1" applyFill="1" applyAlignment="1">
      <alignment horizontal="right" vertical="center"/>
    </xf>
    <xf numFmtId="166" fontId="29" fillId="9" borderId="0" xfId="2" applyNumberFormat="1" applyFont="1" applyFill="1" applyAlignment="1">
      <alignment horizontal="right" vertical="center"/>
    </xf>
    <xf numFmtId="169" fontId="26" fillId="6" borderId="0" xfId="1" applyNumberFormat="1" applyFont="1" applyFill="1" applyAlignment="1">
      <alignment horizontal="right" vertical="center"/>
    </xf>
    <xf numFmtId="167" fontId="27" fillId="9" borderId="0" xfId="1" applyNumberFormat="1" applyFont="1" applyFill="1" applyAlignment="1">
      <alignment horizontal="right" vertical="center"/>
    </xf>
    <xf numFmtId="169" fontId="26" fillId="9" borderId="0" xfId="1" applyNumberFormat="1" applyFont="1" applyFill="1" applyAlignment="1">
      <alignment horizontal="right" vertical="center"/>
    </xf>
    <xf numFmtId="167" fontId="29" fillId="16" borderId="0" xfId="1" applyNumberFormat="1" applyFont="1" applyFill="1" applyAlignment="1">
      <alignment horizontal="right" vertical="center"/>
    </xf>
    <xf numFmtId="167" fontId="26" fillId="16" borderId="0" xfId="1" applyNumberFormat="1" applyFont="1" applyFill="1" applyAlignment="1">
      <alignment horizontal="right" vertical="center"/>
    </xf>
    <xf numFmtId="166" fontId="27" fillId="16" borderId="0" xfId="2" applyNumberFormat="1" applyFont="1" applyFill="1" applyAlignment="1">
      <alignment horizontal="right" vertical="center"/>
    </xf>
    <xf numFmtId="166" fontId="26" fillId="16" borderId="0" xfId="2" applyNumberFormat="1" applyFont="1" applyFill="1" applyAlignment="1">
      <alignment horizontal="right" vertical="center"/>
    </xf>
    <xf numFmtId="166" fontId="29" fillId="16" borderId="0" xfId="2" applyNumberFormat="1" applyFont="1" applyFill="1" applyAlignment="1">
      <alignment horizontal="right" vertical="center"/>
    </xf>
    <xf numFmtId="167" fontId="27" fillId="16" borderId="0" xfId="1" applyNumberFormat="1" applyFont="1" applyFill="1" applyAlignment="1">
      <alignment horizontal="right" vertical="center"/>
    </xf>
    <xf numFmtId="167" fontId="27" fillId="8" borderId="0" xfId="1" applyNumberFormat="1" applyFont="1" applyFill="1" applyAlignment="1">
      <alignment horizontal="right" vertical="center"/>
    </xf>
    <xf numFmtId="167" fontId="26" fillId="8" borderId="0" xfId="1" applyNumberFormat="1" applyFont="1" applyFill="1" applyAlignment="1">
      <alignment horizontal="right" vertical="center"/>
    </xf>
    <xf numFmtId="167" fontId="29" fillId="8" borderId="0" xfId="1" applyNumberFormat="1" applyFont="1" applyFill="1" applyAlignment="1">
      <alignment horizontal="right" vertical="center"/>
    </xf>
    <xf numFmtId="167" fontId="28" fillId="8" borderId="0" xfId="1" applyNumberFormat="1" applyFont="1" applyFill="1" applyAlignment="1">
      <alignment horizontal="right" vertical="center"/>
    </xf>
    <xf numFmtId="166" fontId="27" fillId="8" borderId="0" xfId="2" applyNumberFormat="1" applyFont="1" applyFill="1" applyAlignment="1">
      <alignment horizontal="right" vertical="center"/>
    </xf>
    <xf numFmtId="166" fontId="26" fillId="8" borderId="0" xfId="2" applyNumberFormat="1" applyFont="1" applyFill="1" applyAlignment="1">
      <alignment horizontal="right" vertical="center"/>
    </xf>
    <xf numFmtId="166" fontId="29" fillId="8" borderId="0" xfId="2" applyNumberFormat="1" applyFont="1" applyFill="1" applyAlignment="1">
      <alignment horizontal="right" vertical="center"/>
    </xf>
    <xf numFmtId="166" fontId="28" fillId="8" borderId="0" xfId="2" applyNumberFormat="1" applyFont="1" applyFill="1" applyAlignment="1">
      <alignment horizontal="right" vertical="center"/>
    </xf>
    <xf numFmtId="166" fontId="28" fillId="9" borderId="0" xfId="2" applyNumberFormat="1" applyFont="1" applyFill="1" applyAlignment="1">
      <alignment horizontal="right" vertical="center"/>
    </xf>
    <xf numFmtId="172" fontId="0" fillId="0" borderId="0" xfId="1" applyNumberFormat="1" applyFont="1"/>
    <xf numFmtId="172" fontId="0" fillId="0" borderId="0" xfId="0" applyNumberFormat="1"/>
    <xf numFmtId="171" fontId="0" fillId="0" borderId="0" xfId="0" applyNumberFormat="1"/>
    <xf numFmtId="167" fontId="28" fillId="11" borderId="0" xfId="1" applyNumberFormat="1" applyFont="1" applyFill="1" applyAlignment="1">
      <alignment horizontal="right" vertical="center"/>
    </xf>
    <xf numFmtId="167" fontId="20" fillId="11" borderId="0" xfId="1" applyNumberFormat="1" applyFont="1" applyFill="1" applyAlignment="1">
      <alignment horizontal="right" vertical="center"/>
    </xf>
    <xf numFmtId="10" fontId="0" fillId="0" borderId="0" xfId="0" applyNumberFormat="1"/>
    <xf numFmtId="172" fontId="20" fillId="11" borderId="0" xfId="1" applyNumberFormat="1" applyFont="1" applyFill="1" applyAlignment="1">
      <alignment horizontal="right" vertical="center"/>
    </xf>
    <xf numFmtId="167" fontId="28" fillId="13" borderId="0" xfId="1" applyNumberFormat="1" applyFont="1" applyFill="1" applyAlignment="1">
      <alignment horizontal="right" vertical="center"/>
    </xf>
    <xf numFmtId="172" fontId="16" fillId="11" borderId="0" xfId="1" applyNumberFormat="1" applyFont="1" applyFill="1" applyAlignment="1">
      <alignment horizontal="right" vertical="center"/>
    </xf>
    <xf numFmtId="167" fontId="28" fillId="16" borderId="0" xfId="1" applyNumberFormat="1" applyFont="1" applyFill="1" applyAlignment="1">
      <alignment horizontal="right" vertical="center"/>
    </xf>
    <xf numFmtId="9" fontId="0" fillId="0" borderId="0" xfId="0" applyNumberFormat="1"/>
    <xf numFmtId="0" fontId="4" fillId="3" borderId="0" xfId="0" applyFont="1" applyFill="1" applyAlignment="1">
      <alignment horizontal="center" vertical="center" wrapText="1"/>
    </xf>
    <xf numFmtId="0" fontId="24" fillId="0" borderId="0" xfId="0" applyFont="1"/>
    <xf numFmtId="164" fontId="0" fillId="0" borderId="0" xfId="1" applyFont="1"/>
    <xf numFmtId="164" fontId="32" fillId="0" borderId="0" xfId="1" applyFont="1"/>
    <xf numFmtId="165" fontId="0" fillId="0" borderId="0" xfId="0" applyNumberFormat="1"/>
    <xf numFmtId="10" fontId="0" fillId="0" borderId="0" xfId="2" applyNumberFormat="1" applyFont="1"/>
    <xf numFmtId="166" fontId="0" fillId="0" borderId="0" xfId="1" applyNumberFormat="1" applyFont="1"/>
    <xf numFmtId="0" fontId="8" fillId="1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6" fillId="16" borderId="0" xfId="0" applyFont="1" applyFill="1" applyAlignment="1">
      <alignment horizontal="center" vertical="center" wrapText="1"/>
    </xf>
    <xf numFmtId="0" fontId="30" fillId="16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31" fillId="17" borderId="0" xfId="0" applyFont="1" applyFill="1" applyAlignment="1">
      <alignment horizontal="left" vertical="center"/>
    </xf>
    <xf numFmtId="0" fontId="8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left" vertical="center"/>
    </xf>
    <xf numFmtId="0" fontId="15" fillId="0" borderId="0" xfId="0" applyFont="1" applyAlignment="1">
      <alignment horizontal="left"/>
    </xf>
    <xf numFmtId="0" fontId="30" fillId="4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6437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14911"/>
      <rgbColor rgb="00FFFFFF"/>
      <rgbColor rgb="00D3B195"/>
      <rgbColor rgb="00C4D6BB"/>
      <rgbColor rgb="00FFD26B"/>
      <rgbColor rgb="00DDE2C0"/>
      <rgbColor rgb="00EDD4BF"/>
      <rgbColor rgb="00B3C4E1"/>
      <rgbColor rgb="00CD8D6B"/>
      <rgbColor rgb="0080B387"/>
      <rgbColor rgb="00FBBC01"/>
      <rgbColor rgb="00BDC682"/>
      <rgbColor rgb="00F9C286"/>
      <rgbColor rgb="00426BB3"/>
      <rgbColor rgb="00EBEBEB"/>
      <rgbColor rgb="0094949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FE8A6"/>
      <rgbColor rgb="00E5ECF6"/>
      <rgbColor rgb="00DDE8D8"/>
      <rgbColor rgb="00C60000"/>
      <rgbColor rgb="00FFF3D1"/>
      <rgbColor rgb="00D7D7D7"/>
      <rgbColor rgb="00FCE4C6"/>
      <rgbColor rgb="00000000"/>
      <rgbColor rgb="00FFDD81"/>
      <rgbColor rgb="00819CCC"/>
      <rgbColor rgb="00CED5A2"/>
      <rgbColor rgb="00FFE8A6"/>
      <rgbColor rgb="00E6C78A"/>
      <rgbColor rgb="00CCA56E"/>
      <rgbColor rgb="00F9A266"/>
      <rgbColor rgb="00C1C1C1"/>
      <rgbColor rgb="00113388"/>
      <rgbColor rgb="00A2C5A1"/>
      <rgbColor rgb="00216F2C"/>
      <rgbColor rgb="00889D40"/>
      <rgbColor rgb="00B68236"/>
      <rgbColor rgb="00FED4A6"/>
      <rgbColor rgb="00F1701A"/>
      <rgbColor rgb="00333333"/>
    </indexedColors>
    <mruColors>
      <color rgb="FFFFFB4F"/>
      <color rgb="FFFFFDB9"/>
      <color rgb="FFFFF909"/>
      <color rgb="FFF9A266"/>
      <color rgb="FF00B050"/>
      <color rgb="FFDFDA00"/>
      <color rgb="FFF1501A"/>
      <color rgb="FFC00000"/>
      <color rgb="FF2967E3"/>
      <color rgb="FF3B17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4073</xdr:colOff>
      <xdr:row>2</xdr:row>
      <xdr:rowOff>95251</xdr:rowOff>
    </xdr:from>
    <xdr:to>
      <xdr:col>25</xdr:col>
      <xdr:colOff>524265</xdr:colOff>
      <xdr:row>2</xdr:row>
      <xdr:rowOff>379169</xdr:rowOff>
    </xdr:to>
    <xdr:pic>
      <xdr:nvPicPr>
        <xdr:cNvPr id="2" name="Picture 1" descr="Flag of Netherlands">
          <a:extLst>
            <a:ext uri="{FF2B5EF4-FFF2-40B4-BE49-F238E27FC236}">
              <a16:creationId xmlns:a16="http://schemas.microsoft.com/office/drawing/2014/main" id="{902765FE-A687-4F28-B8B5-B3AA0FF7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4773" y="609601"/>
          <a:ext cx="520192" cy="28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40821</xdr:colOff>
      <xdr:row>2</xdr:row>
      <xdr:rowOff>95250</xdr:rowOff>
    </xdr:from>
    <xdr:ext cx="493645" cy="268432"/>
    <xdr:pic>
      <xdr:nvPicPr>
        <xdr:cNvPr id="3" name="Picture 2" descr="Flag of Belgium">
          <a:extLst>
            <a:ext uri="{FF2B5EF4-FFF2-40B4-BE49-F238E27FC236}">
              <a16:creationId xmlns:a16="http://schemas.microsoft.com/office/drawing/2014/main" id="{F1FCE709-FD72-470D-8C88-3BDD9DC4D0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0" y="609600"/>
          <a:ext cx="493645" cy="268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1264227</xdr:colOff>
      <xdr:row>3</xdr:row>
      <xdr:rowOff>119305</xdr:rowOff>
    </xdr:from>
    <xdr:to>
      <xdr:col>2</xdr:col>
      <xdr:colOff>1805517</xdr:colOff>
      <xdr:row>6</xdr:row>
      <xdr:rowOff>17606</xdr:rowOff>
    </xdr:to>
    <xdr:pic>
      <xdr:nvPicPr>
        <xdr:cNvPr id="2" name="Picture 1" descr="Flag of Netherlands">
          <a:extLst>
            <a:ext uri="{FF2B5EF4-FFF2-40B4-BE49-F238E27FC236}">
              <a16:creationId xmlns:a16="http://schemas.microsoft.com/office/drawing/2014/main" id="{3683F19A-7BD4-4FD9-A4DC-FF0A91EA9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4227" y="669638"/>
          <a:ext cx="534940" cy="448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152977</xdr:colOff>
      <xdr:row>3</xdr:row>
      <xdr:rowOff>21166</xdr:rowOff>
    </xdr:from>
    <xdr:to>
      <xdr:col>30</xdr:col>
      <xdr:colOff>645583</xdr:colOff>
      <xdr:row>5</xdr:row>
      <xdr:rowOff>16932</xdr:rowOff>
    </xdr:to>
    <xdr:pic>
      <xdr:nvPicPr>
        <xdr:cNvPr id="4" name="Picture 1" descr="Flag of Netherlands">
          <a:extLst>
            <a:ext uri="{FF2B5EF4-FFF2-40B4-BE49-F238E27FC236}">
              <a16:creationId xmlns:a16="http://schemas.microsoft.com/office/drawing/2014/main" id="{C6E4018A-196B-401C-89A1-13A63105E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7560" y="21166"/>
          <a:ext cx="492606" cy="359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178546</xdr:colOff>
      <xdr:row>3</xdr:row>
      <xdr:rowOff>77071</xdr:rowOff>
    </xdr:from>
    <xdr:ext cx="493645" cy="277958"/>
    <xdr:pic>
      <xdr:nvPicPr>
        <xdr:cNvPr id="5" name="Picture 2" descr="Flag of Belgium">
          <a:extLst>
            <a:ext uri="{FF2B5EF4-FFF2-40B4-BE49-F238E27FC236}">
              <a16:creationId xmlns:a16="http://schemas.microsoft.com/office/drawing/2014/main" id="{36C6E922-18BD-4624-A7A9-3F92B5ED2B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47046" y="77071"/>
          <a:ext cx="493645" cy="277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66</xdr:col>
      <xdr:colOff>299197</xdr:colOff>
      <xdr:row>3</xdr:row>
      <xdr:rowOff>91887</xdr:rowOff>
    </xdr:from>
    <xdr:ext cx="493645" cy="277958"/>
    <xdr:pic>
      <xdr:nvPicPr>
        <xdr:cNvPr id="6" name="Picture 2" descr="Flag of Belgium">
          <a:extLst>
            <a:ext uri="{FF2B5EF4-FFF2-40B4-BE49-F238E27FC236}">
              <a16:creationId xmlns:a16="http://schemas.microsoft.com/office/drawing/2014/main" id="{97A57475-3A92-4DCB-BEDB-72448DE292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70114" y="91887"/>
          <a:ext cx="493645" cy="277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65</xdr:col>
      <xdr:colOff>634999</xdr:colOff>
      <xdr:row>3</xdr:row>
      <xdr:rowOff>73444</xdr:rowOff>
    </xdr:from>
    <xdr:to>
      <xdr:col>66</xdr:col>
      <xdr:colOff>302682</xdr:colOff>
      <xdr:row>5</xdr:row>
      <xdr:rowOff>34925</xdr:rowOff>
    </xdr:to>
    <xdr:pic>
      <xdr:nvPicPr>
        <xdr:cNvPr id="7" name="Picture 1" descr="Flag of Netherlands">
          <a:extLst>
            <a:ext uri="{FF2B5EF4-FFF2-40B4-BE49-F238E27FC236}">
              <a16:creationId xmlns:a16="http://schemas.microsoft.com/office/drawing/2014/main" id="{42EA4D68-4463-491F-8419-6FE0ACEB9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49" y="73444"/>
          <a:ext cx="441324" cy="322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1604818</xdr:colOff>
      <xdr:row>3</xdr:row>
      <xdr:rowOff>219358</xdr:rowOff>
    </xdr:from>
    <xdr:to>
      <xdr:col>2</xdr:col>
      <xdr:colOff>2098463</xdr:colOff>
      <xdr:row>4</xdr:row>
      <xdr:rowOff>202328</xdr:rowOff>
    </xdr:to>
    <xdr:pic>
      <xdr:nvPicPr>
        <xdr:cNvPr id="2" name="Picture 1" descr="Flag of Belgium">
          <a:extLst>
            <a:ext uri="{FF2B5EF4-FFF2-40B4-BE49-F238E27FC236}">
              <a16:creationId xmlns:a16="http://schemas.microsoft.com/office/drawing/2014/main" id="{CDF9B68E-792A-49BA-B105-4E329ECE68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727" y="865903"/>
          <a:ext cx="493645" cy="268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1581727</xdr:colOff>
      <xdr:row>4</xdr:row>
      <xdr:rowOff>196273</xdr:rowOff>
    </xdr:from>
    <xdr:to>
      <xdr:col>2</xdr:col>
      <xdr:colOff>2116120</xdr:colOff>
      <xdr:row>5</xdr:row>
      <xdr:rowOff>281556</xdr:rowOff>
    </xdr:to>
    <xdr:pic>
      <xdr:nvPicPr>
        <xdr:cNvPr id="3" name="Picture 2" descr="Flag of Netherlands">
          <a:extLst>
            <a:ext uri="{FF2B5EF4-FFF2-40B4-BE49-F238E27FC236}">
              <a16:creationId xmlns:a16="http://schemas.microsoft.com/office/drawing/2014/main" id="{0F77ED77-48EC-40FF-AA1D-74B5B668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636" y="1131455"/>
          <a:ext cx="534393" cy="28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1604818</xdr:colOff>
      <xdr:row>3</xdr:row>
      <xdr:rowOff>219358</xdr:rowOff>
    </xdr:from>
    <xdr:to>
      <xdr:col>2</xdr:col>
      <xdr:colOff>2098463</xdr:colOff>
      <xdr:row>4</xdr:row>
      <xdr:rowOff>205502</xdr:rowOff>
    </xdr:to>
    <xdr:pic>
      <xdr:nvPicPr>
        <xdr:cNvPr id="4" name="Picture 3" descr="Flag of Belgium">
          <a:extLst>
            <a:ext uri="{FF2B5EF4-FFF2-40B4-BE49-F238E27FC236}">
              <a16:creationId xmlns:a16="http://schemas.microsoft.com/office/drawing/2014/main" id="{E8BF403C-44B4-495A-8721-BA785FE216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9768" y="860708"/>
          <a:ext cx="493645" cy="271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1581727</xdr:colOff>
      <xdr:row>4</xdr:row>
      <xdr:rowOff>196273</xdr:rowOff>
    </xdr:from>
    <xdr:to>
      <xdr:col>2</xdr:col>
      <xdr:colOff>2116120</xdr:colOff>
      <xdr:row>6</xdr:row>
      <xdr:rowOff>74081</xdr:rowOff>
    </xdr:to>
    <xdr:pic>
      <xdr:nvPicPr>
        <xdr:cNvPr id="5" name="Picture 4" descr="Flag of Netherlands">
          <a:extLst>
            <a:ext uri="{FF2B5EF4-FFF2-40B4-BE49-F238E27FC236}">
              <a16:creationId xmlns:a16="http://schemas.microsoft.com/office/drawing/2014/main" id="{B7D548B5-574E-4937-8367-2E37D7FB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677" y="1129723"/>
          <a:ext cx="534393" cy="287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13609</xdr:colOff>
      <xdr:row>2</xdr:row>
      <xdr:rowOff>43543</xdr:rowOff>
    </xdr:from>
    <xdr:ext cx="398309" cy="396000"/>
    <xdr:pic>
      <xdr:nvPicPr>
        <xdr:cNvPr id="3" name="Group 5">
          <a:extLst>
            <a:ext uri="{FF2B5EF4-FFF2-40B4-BE49-F238E27FC236}">
              <a16:creationId xmlns:a16="http://schemas.microsoft.com/office/drawing/2014/main" id="{BFB0A772-0EBC-4164-8B8E-F1FC838B94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742" b="-1038"/>
        <a:stretch>
          <a:fillRect/>
        </a:stretch>
      </xdr:blipFill>
      <xdr:spPr bwMode="auto">
        <a:xfrm>
          <a:off x="7443109" y="560614"/>
          <a:ext cx="398309" cy="3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530678</xdr:colOff>
      <xdr:row>2</xdr:row>
      <xdr:rowOff>102810</xdr:rowOff>
    </xdr:from>
    <xdr:to>
      <xdr:col>19</xdr:col>
      <xdr:colOff>303144</xdr:colOff>
      <xdr:row>2</xdr:row>
      <xdr:rowOff>371242</xdr:rowOff>
    </xdr:to>
    <xdr:pic>
      <xdr:nvPicPr>
        <xdr:cNvPr id="2" name="Picture 1" descr="Flag of Belgium">
          <a:extLst>
            <a:ext uri="{FF2B5EF4-FFF2-40B4-BE49-F238E27FC236}">
              <a16:creationId xmlns:a16="http://schemas.microsoft.com/office/drawing/2014/main" id="{2F6391B9-4FA0-4138-BE82-1843B88A4D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8678" y="619881"/>
          <a:ext cx="493645" cy="268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68035</xdr:colOff>
      <xdr:row>2</xdr:row>
      <xdr:rowOff>108855</xdr:rowOff>
    </xdr:from>
    <xdr:to>
      <xdr:col>18</xdr:col>
      <xdr:colOff>578702</xdr:colOff>
      <xdr:row>2</xdr:row>
      <xdr:rowOff>392773</xdr:rowOff>
    </xdr:to>
    <xdr:pic>
      <xdr:nvPicPr>
        <xdr:cNvPr id="2" name="Picture 1" descr="Flag of Netherlands">
          <a:extLst>
            <a:ext uri="{FF2B5EF4-FFF2-40B4-BE49-F238E27FC236}">
              <a16:creationId xmlns:a16="http://schemas.microsoft.com/office/drawing/2014/main" id="{7AE15B6D-4D79-4A1E-8D4E-BA37F47F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3606" y="625926"/>
          <a:ext cx="510667" cy="28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13609</xdr:colOff>
      <xdr:row>2</xdr:row>
      <xdr:rowOff>43543</xdr:rowOff>
    </xdr:from>
    <xdr:ext cx="398309" cy="396000"/>
    <xdr:pic>
      <xdr:nvPicPr>
        <xdr:cNvPr id="2" name="Group 5">
          <a:extLst>
            <a:ext uri="{FF2B5EF4-FFF2-40B4-BE49-F238E27FC236}">
              <a16:creationId xmlns:a16="http://schemas.microsoft.com/office/drawing/2014/main" id="{0EB2B80F-6AC1-41DA-9E3F-429206EEB0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742" b="-1038"/>
        <a:stretch>
          <a:fillRect/>
        </a:stretch>
      </xdr:blipFill>
      <xdr:spPr bwMode="auto">
        <a:xfrm>
          <a:off x="7585984" y="557893"/>
          <a:ext cx="398309" cy="3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530678</xdr:colOff>
      <xdr:row>2</xdr:row>
      <xdr:rowOff>102810</xdr:rowOff>
    </xdr:from>
    <xdr:to>
      <xdr:col>19</xdr:col>
      <xdr:colOff>303144</xdr:colOff>
      <xdr:row>2</xdr:row>
      <xdr:rowOff>371242</xdr:rowOff>
    </xdr:to>
    <xdr:pic>
      <xdr:nvPicPr>
        <xdr:cNvPr id="2" name="Picture 1" descr="Flag of Belgium">
          <a:extLst>
            <a:ext uri="{FF2B5EF4-FFF2-40B4-BE49-F238E27FC236}">
              <a16:creationId xmlns:a16="http://schemas.microsoft.com/office/drawing/2014/main" id="{ACD8D1B1-F4BB-4EE3-9C38-3562133353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003" y="617160"/>
          <a:ext cx="486841" cy="268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68035</xdr:colOff>
      <xdr:row>2</xdr:row>
      <xdr:rowOff>108855</xdr:rowOff>
    </xdr:from>
    <xdr:to>
      <xdr:col>18</xdr:col>
      <xdr:colOff>578702</xdr:colOff>
      <xdr:row>2</xdr:row>
      <xdr:rowOff>392773</xdr:rowOff>
    </xdr:to>
    <xdr:pic>
      <xdr:nvPicPr>
        <xdr:cNvPr id="2" name="Picture 1" descr="Flag of Netherlands">
          <a:extLst>
            <a:ext uri="{FF2B5EF4-FFF2-40B4-BE49-F238E27FC236}">
              <a16:creationId xmlns:a16="http://schemas.microsoft.com/office/drawing/2014/main" id="{1CCAE69B-637E-4DCF-8B13-708F50C4C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3735" y="623205"/>
          <a:ext cx="510667" cy="28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394620</xdr:colOff>
      <xdr:row>2</xdr:row>
      <xdr:rowOff>40821</xdr:rowOff>
    </xdr:from>
    <xdr:ext cx="398309" cy="396000"/>
    <xdr:pic>
      <xdr:nvPicPr>
        <xdr:cNvPr id="2" name="Group 5">
          <a:extLst>
            <a:ext uri="{FF2B5EF4-FFF2-40B4-BE49-F238E27FC236}">
              <a16:creationId xmlns:a16="http://schemas.microsoft.com/office/drawing/2014/main" id="{6EB81A47-56BE-4AF1-B51B-34BC9A3FC9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742" b="-1038"/>
        <a:stretch>
          <a:fillRect/>
        </a:stretch>
      </xdr:blipFill>
      <xdr:spPr bwMode="auto">
        <a:xfrm>
          <a:off x="12853320" y="555171"/>
          <a:ext cx="398309" cy="3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75</xdr:col>
      <xdr:colOff>410949</xdr:colOff>
      <xdr:row>2</xdr:row>
      <xdr:rowOff>43543</xdr:rowOff>
    </xdr:from>
    <xdr:ext cx="398309" cy="396000"/>
    <xdr:pic>
      <xdr:nvPicPr>
        <xdr:cNvPr id="3" name="Group 5">
          <a:extLst>
            <a:ext uri="{FF2B5EF4-FFF2-40B4-BE49-F238E27FC236}">
              <a16:creationId xmlns:a16="http://schemas.microsoft.com/office/drawing/2014/main" id="{B60F0194-AA05-45AC-919E-50FD8786DB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742" b="-1038"/>
        <a:stretch>
          <a:fillRect/>
        </a:stretch>
      </xdr:blipFill>
      <xdr:spPr bwMode="auto">
        <a:xfrm>
          <a:off x="33691299" y="557893"/>
          <a:ext cx="398309" cy="3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llianzms.sharepoint.com/teams/BE0002-12039164-PerformanceSteering/Shared%20Documents/Performance%20Steering/01.%20Closing/PC/2026/02_Analysis/RECAP/Netherlands/Detailed%20RECAP/RECAP%20Detailed%20-%20Netherlands%20-%202026%20M03%20-%20IFRS17.xlsx" TargetMode="External"/><Relationship Id="rId2" Type="http://schemas.microsoft.com/office/2019/04/relationships/externalLinkLongPath" Target="https://allianzms.sharepoint.com/teams/BE0002-12039164-PerformanceSteering/Shared%20Documents/Performance%20Steering/01.%20Closing/PC/2026/02_Analysis/RECAP/Netherlands/Detailed%20RECAP/RECAP%20Detailed%20-%20Netherlands%20-%202026%20M03%20-%20IFRS17.xlsx?BAF5BC58" TargetMode="External"/><Relationship Id="rId1" Type="http://schemas.openxmlformats.org/officeDocument/2006/relationships/externalLinkPath" Target="file:///\\BAF5BC58\RECAP%20Detailed%20-%20Netherlands%20-%202026%20M03%20-%20IFRS17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llianzms.sharepoint.com/teams/BE0002-12039164-PerformanceSteering/Shared%20Documents/Performance%20Steering/01.%20Closing/PC/2026/02_Analysis/RECAP/Belgium/Detailed%20RECAP/RECAP%20Detailed%20-%20Belgium%20-%202026%20M03%20-%20IFRS17.xlsx" TargetMode="External"/><Relationship Id="rId2" Type="http://schemas.microsoft.com/office/2019/04/relationships/externalLinkLongPath" Target="https://allianzms.sharepoint.com/teams/BE0002-12039164-PerformanceSteering/Shared%20Documents/Performance%20Steering/01.%20Closing/PC/2026/02_Analysis/RECAP/Belgium/Detailed%20RECAP/RECAP%20Detailed%20-%20Belgium%20-%202026%20M03%20-%20IFRS17.xlsx?A85740EB" TargetMode="External"/><Relationship Id="rId1" Type="http://schemas.openxmlformats.org/officeDocument/2006/relationships/externalLinkPath" Target="file:///\\A85740EB\RECAP%20Detailed%20-%20Belgium%20-%202026%20M03%20-%20IFRS1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ianzms.sharepoint.com/teams/BE0002-12039164-PerformanceSteering/Shared%20Documents/Performance%20Steering/01.%20Closing/PC/2026/02_Analysis/RECAP/RECAP%20Detailed%20-%20Benelux%20-%202026%20M03%20-%20IFRS17.xlsx" TargetMode="External"/><Relationship Id="rId1" Type="http://schemas.openxmlformats.org/officeDocument/2006/relationships/externalLinkPath" Target="https://allianzms.sharepoint.com/teams/BE0002-12039164-PerformanceSteering/Shared%20Documents/Performance%20Steering/01.%20Closing/PC/2026/02_Analysis/RECAP/RECAP%20Detailed%20-%20Benelux%20-%202026%20M03%20-%20IFRS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otal P&amp;C"/>
      <sheetName val="Retail"/>
      <sheetName val="SME"/>
      <sheetName val="MidCorp"/>
      <sheetName val="MGA"/>
      <sheetName val="MGA Retail"/>
      <sheetName val="MGA SME"/>
      <sheetName val="MGA MidCorp"/>
      <sheetName val="Bancassurance"/>
      <sheetName val="Specials"/>
      <sheetName val="VC Retail"/>
      <sheetName val="VC Commercial"/>
      <sheetName val="VC Income"/>
      <sheetName val="S2 Retail Motor"/>
      <sheetName val="S2 Retail Non-Motor"/>
      <sheetName val="S2 SMC"/>
      <sheetName val="S2 Fleet"/>
      <sheetName val="S2 MidCorp Property"/>
      <sheetName val="S2 MidCorp Engineering"/>
      <sheetName val="S2 MidCorp Liability"/>
      <sheetName val="S2 MidCorp Other"/>
      <sheetName val="H7"/>
      <sheetName val="H9"/>
      <sheetName val="COR BR"/>
      <sheetName val="COR OT"/>
      <sheetName val="COR UA"/>
      <sheetName val="FLE BR"/>
      <sheetName val="FLE OT"/>
      <sheetName val="FLE UA"/>
      <sheetName val="LCO BR"/>
      <sheetName val="LCO OT"/>
      <sheetName val="LCO UA"/>
      <sheetName val="OTH BR"/>
      <sheetName val="OTH UA"/>
      <sheetName val="REL BR"/>
      <sheetName val="REL OT"/>
      <sheetName val="REL UA"/>
      <sheetName val="REO BR"/>
      <sheetName val="RET BR"/>
      <sheetName val="RET OT"/>
      <sheetName val="RET UA"/>
      <sheetName val="SME BI"/>
      <sheetName val="SME BR"/>
      <sheetName val="SME OT"/>
      <sheetName val="SME UA"/>
      <sheetName val="A"/>
      <sheetName val="2026"/>
      <sheetName val="2025"/>
      <sheetName val="Plan"/>
      <sheetName val="LL"/>
      <sheetName val="NatCat"/>
      <sheetName val="Segments"/>
      <sheetName val="mapping LoB BE"/>
      <sheetName val="mapping P&amp;L"/>
    </sheetNames>
    <sheetDataSet>
      <sheetData sheetId="0" refreshError="1">
        <row r="21">
          <cell r="C21">
            <v>85558.392769999991</v>
          </cell>
          <cell r="N21">
            <v>67304.319830000008</v>
          </cell>
          <cell r="O21">
            <v>5465.05717</v>
          </cell>
          <cell r="P21">
            <v>0</v>
          </cell>
          <cell r="Q21">
            <v>-15.778</v>
          </cell>
          <cell r="R21">
            <v>106.57904000000002</v>
          </cell>
          <cell r="S21">
            <v>-2308.9875999999995</v>
          </cell>
          <cell r="T21">
            <v>-613.92065000000002</v>
          </cell>
          <cell r="U21">
            <v>-2307.8780200000001</v>
          </cell>
          <cell r="V21">
            <v>-47389.475451154663</v>
          </cell>
          <cell r="W21">
            <v>0</v>
          </cell>
          <cell r="X21">
            <v>-10158.331538845341</v>
          </cell>
          <cell r="Y21">
            <v>-684.12192000000005</v>
          </cell>
          <cell r="Z21">
            <v>4764.8069500000001</v>
          </cell>
          <cell r="AA21">
            <v>69.872739999999993</v>
          </cell>
          <cell r="AB21">
            <v>210</v>
          </cell>
          <cell r="AC21">
            <v>-55599.549540000007</v>
          </cell>
          <cell r="AD21">
            <v>1615.5104999999999</v>
          </cell>
          <cell r="AE21">
            <v>-1545.2205300000001</v>
          </cell>
          <cell r="AF21">
            <v>-1659.5934400000001</v>
          </cell>
          <cell r="AG21">
            <v>0</v>
          </cell>
          <cell r="AH21">
            <v>51321.342010000015</v>
          </cell>
          <cell r="AI21">
            <v>6614.10707</v>
          </cell>
          <cell r="AJ21">
            <v>-2773.5888499999992</v>
          </cell>
          <cell r="AK21">
            <v>-572.93768999999998</v>
          </cell>
          <cell r="AL21">
            <v>-10611.423650000001</v>
          </cell>
          <cell r="AM21">
            <v>9242.6840499999998</v>
          </cell>
          <cell r="AN21">
            <v>-7423.3529800000006</v>
          </cell>
          <cell r="AO21">
            <v>-1033.6672399999998</v>
          </cell>
          <cell r="AP21">
            <v>-231.21227999999996</v>
          </cell>
          <cell r="AQ21">
            <v>-2712.1336399999996</v>
          </cell>
          <cell r="AR21">
            <v>-1382.7991499999998</v>
          </cell>
          <cell r="AT21">
            <v>-934.80542999999989</v>
          </cell>
          <cell r="AU21">
            <v>-150.82112999999998</v>
          </cell>
          <cell r="AV21">
            <v>0</v>
          </cell>
          <cell r="AW21">
            <v>0</v>
          </cell>
          <cell r="AX21">
            <v>676.33623359467538</v>
          </cell>
          <cell r="AY21">
            <v>0</v>
          </cell>
          <cell r="AZ21">
            <v>98.939556405324652</v>
          </cell>
          <cell r="BA21">
            <v>9.1413799999999998</v>
          </cell>
          <cell r="BB21">
            <v>-66.789739999999995</v>
          </cell>
          <cell r="BC21">
            <v>-0.99589000000000016</v>
          </cell>
          <cell r="BD21">
            <v>0</v>
          </cell>
          <cell r="BE21">
            <v>2400.8803800000005</v>
          </cell>
          <cell r="BF21">
            <v>-2352.993369999992</v>
          </cell>
          <cell r="BG21">
            <v>-549.83001000000013</v>
          </cell>
          <cell r="BH21">
            <v>-97.371570000000304</v>
          </cell>
          <cell r="BI21">
            <v>79.627780000000001</v>
          </cell>
          <cell r="BJ21">
            <v>4.8714809963712468E-14</v>
          </cell>
          <cell r="BK21">
            <v>-3198.3746199999887</v>
          </cell>
        </row>
        <row r="22">
          <cell r="C22">
            <v>78801.979589999988</v>
          </cell>
          <cell r="N22">
            <v>60242.664669999991</v>
          </cell>
          <cell r="O22">
            <v>3611.6320199999996</v>
          </cell>
          <cell r="P22">
            <v>0</v>
          </cell>
          <cell r="Q22">
            <v>-120.22499999999999</v>
          </cell>
          <cell r="R22">
            <v>134.27284</v>
          </cell>
          <cell r="S22">
            <v>-2574.7843899999998</v>
          </cell>
          <cell r="T22">
            <v>-86.440160000000006</v>
          </cell>
          <cell r="U22">
            <v>-1915.0684999999999</v>
          </cell>
          <cell r="V22">
            <v>-37725.786383637838</v>
          </cell>
          <cell r="W22">
            <v>0</v>
          </cell>
          <cell r="X22">
            <v>-9429.1594063621596</v>
          </cell>
          <cell r="Y22">
            <v>-774.76005999999995</v>
          </cell>
          <cell r="Z22">
            <v>3653.2403499999996</v>
          </cell>
          <cell r="AA22">
            <v>87.299630000000008</v>
          </cell>
          <cell r="AB22">
            <v>-270</v>
          </cell>
          <cell r="AC22">
            <v>-51307.576449999986</v>
          </cell>
          <cell r="AD22">
            <v>1695.9273100000003</v>
          </cell>
          <cell r="AE22">
            <v>-1789.2132899999999</v>
          </cell>
          <cell r="AF22">
            <v>-1754.99332</v>
          </cell>
          <cell r="AG22">
            <v>0</v>
          </cell>
          <cell r="AH22">
            <v>50005.582629999997</v>
          </cell>
          <cell r="AI22">
            <v>811.50129000000015</v>
          </cell>
          <cell r="AJ22">
            <v>1278.9924099999998</v>
          </cell>
          <cell r="AK22">
            <v>49.498820000000009</v>
          </cell>
          <cell r="AL22">
            <v>-9738.0877000000037</v>
          </cell>
          <cell r="AM22">
            <v>9008.6196899999995</v>
          </cell>
          <cell r="AN22">
            <v>-7218.9447900000005</v>
          </cell>
          <cell r="AO22">
            <v>-708.28392999999994</v>
          </cell>
          <cell r="AP22">
            <v>-186.43231999999998</v>
          </cell>
          <cell r="AQ22">
            <v>-2682.0840199999998</v>
          </cell>
          <cell r="AR22">
            <v>-1449.6463200000001</v>
          </cell>
          <cell r="AT22">
            <v>-3668.766390000003</v>
          </cell>
          <cell r="AU22">
            <v>-17.455480000000001</v>
          </cell>
          <cell r="AV22">
            <v>0</v>
          </cell>
          <cell r="AW22">
            <v>0</v>
          </cell>
          <cell r="AX22">
            <v>3384.6056898204533</v>
          </cell>
          <cell r="AY22">
            <v>0</v>
          </cell>
          <cell r="AZ22">
            <v>-41.151899820453366</v>
          </cell>
          <cell r="BA22">
            <v>49.949110000000005</v>
          </cell>
          <cell r="BB22">
            <v>-258.12288999999998</v>
          </cell>
          <cell r="BC22">
            <v>-5.7651300000000001</v>
          </cell>
          <cell r="BD22">
            <v>0</v>
          </cell>
          <cell r="BE22">
            <v>2051.8940800000005</v>
          </cell>
          <cell r="BF22">
            <v>-771.49473999999952</v>
          </cell>
          <cell r="BG22">
            <v>5.5140400000000191</v>
          </cell>
          <cell r="BH22">
            <v>-278.18919</v>
          </cell>
          <cell r="BI22">
            <v>-12.266679999999999</v>
          </cell>
          <cell r="BJ22">
            <v>-8.0145667880060492E-14</v>
          </cell>
          <cell r="BK22">
            <v>1286.4961399999968</v>
          </cell>
        </row>
        <row r="23">
          <cell r="C23">
            <v>78149.570000000007</v>
          </cell>
          <cell r="N23">
            <v>61380.374515919611</v>
          </cell>
          <cell r="O23">
            <v>-11074.029851296413</v>
          </cell>
          <cell r="P23">
            <v>0</v>
          </cell>
          <cell r="Q23">
            <v>-2819.1415302110504</v>
          </cell>
          <cell r="R23">
            <v>0</v>
          </cell>
          <cell r="S23">
            <v>-4584.3271784944282</v>
          </cell>
          <cell r="T23">
            <v>-179.37365168530877</v>
          </cell>
          <cell r="U23">
            <v>0</v>
          </cell>
          <cell r="V23">
            <v>-24592.697641523053</v>
          </cell>
          <cell r="W23">
            <v>0</v>
          </cell>
          <cell r="X23">
            <v>-6242.0304375129663</v>
          </cell>
          <cell r="Y23">
            <v>-756.88530780107521</v>
          </cell>
          <cell r="Z23">
            <v>2948.1253549955072</v>
          </cell>
          <cell r="AA23">
            <v>0</v>
          </cell>
          <cell r="AB23">
            <v>0</v>
          </cell>
          <cell r="AC23">
            <v>-37225.932566688643</v>
          </cell>
          <cell r="AD23">
            <v>0</v>
          </cell>
          <cell r="AE23">
            <v>0</v>
          </cell>
          <cell r="AF23">
            <v>-1549.8732274476595</v>
          </cell>
          <cell r="AG23">
            <v>0</v>
          </cell>
          <cell r="AH23">
            <v>39363.3057941363</v>
          </cell>
          <cell r="AI23">
            <v>756.88530780107521</v>
          </cell>
          <cell r="AJ23">
            <v>0</v>
          </cell>
          <cell r="AK23">
            <v>0</v>
          </cell>
          <cell r="AL23">
            <v>-8023.8595274532599</v>
          </cell>
          <cell r="AM23">
            <v>0</v>
          </cell>
          <cell r="AN23">
            <v>0</v>
          </cell>
          <cell r="AO23">
            <v>-1126.8475644555813</v>
          </cell>
          <cell r="AP23">
            <v>-253.65923871581398</v>
          </cell>
          <cell r="AQ23">
            <v>-2926.1236396156341</v>
          </cell>
          <cell r="AR23">
            <v>-1986.53931205749</v>
          </cell>
          <cell r="AT23">
            <v>-4374.4113960075774</v>
          </cell>
          <cell r="AU23">
            <v>870.85432187206698</v>
          </cell>
          <cell r="AV23">
            <v>0</v>
          </cell>
          <cell r="AW23">
            <v>30.293077927822978</v>
          </cell>
          <cell r="AX23">
            <v>1848.9823451797656</v>
          </cell>
          <cell r="AY23">
            <v>0</v>
          </cell>
          <cell r="AZ23">
            <v>64.171244656076496</v>
          </cell>
          <cell r="BA23">
            <v>43.547729016942256</v>
          </cell>
          <cell r="BB23">
            <v>-177.65713038392417</v>
          </cell>
          <cell r="BC23">
            <v>0</v>
          </cell>
          <cell r="BD23">
            <v>0</v>
          </cell>
          <cell r="BE23">
            <v>1665.3805849999985</v>
          </cell>
          <cell r="BF23">
            <v>-1824.1467874999985</v>
          </cell>
          <cell r="BG23">
            <v>-43.547729016942256</v>
          </cell>
          <cell r="BH23">
            <v>0</v>
          </cell>
          <cell r="BI23">
            <v>0</v>
          </cell>
          <cell r="BJ23">
            <v>0</v>
          </cell>
          <cell r="BK23">
            <v>-789.16344136165617</v>
          </cell>
        </row>
        <row r="25">
          <cell r="C25">
            <v>64353.881069999996</v>
          </cell>
          <cell r="N25">
            <v>50116.342850000001</v>
          </cell>
          <cell r="O25">
            <v>-11167.098239999999</v>
          </cell>
          <cell r="P25">
            <v>0</v>
          </cell>
          <cell r="Q25">
            <v>0</v>
          </cell>
          <cell r="R25">
            <v>1111.0185999999999</v>
          </cell>
          <cell r="S25">
            <v>-1523.83888</v>
          </cell>
          <cell r="T25">
            <v>-200.27019000000001</v>
          </cell>
          <cell r="U25">
            <v>0</v>
          </cell>
          <cell r="V25">
            <v>-15661.263309999998</v>
          </cell>
          <cell r="W25">
            <v>-2.5499999999999998</v>
          </cell>
          <cell r="X25">
            <v>0</v>
          </cell>
          <cell r="Y25">
            <v>-53.582440000000005</v>
          </cell>
          <cell r="Z25">
            <v>227.42991000000001</v>
          </cell>
          <cell r="AA25">
            <v>0.76990999999999998</v>
          </cell>
          <cell r="AB25">
            <v>90</v>
          </cell>
          <cell r="AC25">
            <v>-21730.87341</v>
          </cell>
          <cell r="AD25">
            <v>9534.1064800000004</v>
          </cell>
          <cell r="AE25">
            <v>-538.94222000000002</v>
          </cell>
          <cell r="AF25">
            <v>-361.06504999999999</v>
          </cell>
          <cell r="AG25">
            <v>0</v>
          </cell>
          <cell r="AH25">
            <v>11644.81374</v>
          </cell>
          <cell r="AI25">
            <v>501.36122999999998</v>
          </cell>
          <cell r="AJ25">
            <v>158.02364</v>
          </cell>
          <cell r="AK25">
            <v>-5.5769299999999991</v>
          </cell>
          <cell r="AL25">
            <v>-11037.18046</v>
          </cell>
          <cell r="AM25">
            <v>11208.394049999999</v>
          </cell>
          <cell r="AN25">
            <v>-9083.6404700000003</v>
          </cell>
          <cell r="AO25">
            <v>-1154.7885200000001</v>
          </cell>
          <cell r="AP25">
            <v>-186.96886999999998</v>
          </cell>
          <cell r="AQ25">
            <v>-2533.27288</v>
          </cell>
          <cell r="AR25">
            <v>-1237.95073</v>
          </cell>
          <cell r="AT25">
            <v>-1459.7305299999994</v>
          </cell>
          <cell r="AU25">
            <v>64.904989999999984</v>
          </cell>
          <cell r="AV25">
            <v>0</v>
          </cell>
          <cell r="AW25">
            <v>0</v>
          </cell>
          <cell r="AX25">
            <v>387.14400000000001</v>
          </cell>
          <cell r="AY25">
            <v>0</v>
          </cell>
          <cell r="AZ25">
            <v>0</v>
          </cell>
          <cell r="BA25">
            <v>1.27044</v>
          </cell>
          <cell r="BB25">
            <v>-5.9336299999999991</v>
          </cell>
          <cell r="BC25">
            <v>-1.797E-2</v>
          </cell>
          <cell r="BD25">
            <v>0</v>
          </cell>
          <cell r="BE25">
            <v>259.85404</v>
          </cell>
          <cell r="BF25">
            <v>-808.05399999999997</v>
          </cell>
          <cell r="BG25">
            <v>-7.2833099999999984</v>
          </cell>
          <cell r="BH25">
            <v>-7.5677400000000006</v>
          </cell>
          <cell r="BI25">
            <v>1.9029999999999995E-2</v>
          </cell>
          <cell r="BJ25">
            <v>6.5483618527650828E-14</v>
          </cell>
          <cell r="BK25">
            <v>6538.003130000001</v>
          </cell>
        </row>
        <row r="26">
          <cell r="C26">
            <v>62862.227680000011</v>
          </cell>
          <cell r="N26">
            <v>48487.033419999992</v>
          </cell>
          <cell r="O26">
            <v>-9469.3161699999982</v>
          </cell>
          <cell r="P26">
            <v>0</v>
          </cell>
          <cell r="Q26">
            <v>0</v>
          </cell>
          <cell r="R26">
            <v>832.03908999999999</v>
          </cell>
          <cell r="S26">
            <v>-1436.10304</v>
          </cell>
          <cell r="T26">
            <v>-213.23793999999998</v>
          </cell>
          <cell r="U26">
            <v>0</v>
          </cell>
          <cell r="V26">
            <v>-17484.770270000001</v>
          </cell>
          <cell r="W26">
            <v>0</v>
          </cell>
          <cell r="X26">
            <v>0</v>
          </cell>
          <cell r="Y26">
            <v>-161.99176</v>
          </cell>
          <cell r="Z26">
            <v>288.96220999999997</v>
          </cell>
          <cell r="AA26">
            <v>2.7653400000000001</v>
          </cell>
          <cell r="AB26">
            <v>-110</v>
          </cell>
          <cell r="AC26">
            <v>-23187.6299</v>
          </cell>
          <cell r="AD26">
            <v>9115.5084199999983</v>
          </cell>
          <cell r="AE26">
            <v>-491.61718000000002</v>
          </cell>
          <cell r="AF26">
            <v>-386.17656999999997</v>
          </cell>
          <cell r="AG26">
            <v>0</v>
          </cell>
          <cell r="AH26">
            <v>15623.88416</v>
          </cell>
          <cell r="AI26">
            <v>183.24547999999999</v>
          </cell>
          <cell r="AJ26">
            <v>51.555949999999989</v>
          </cell>
          <cell r="AK26">
            <v>4.4929999999999803E-2</v>
          </cell>
          <cell r="AL26">
            <v>-10469.05025</v>
          </cell>
          <cell r="AM26">
            <v>10450.79364</v>
          </cell>
          <cell r="AN26">
            <v>-8339.9794899999997</v>
          </cell>
          <cell r="AO26">
            <v>-1435.1458499999999</v>
          </cell>
          <cell r="AP26">
            <v>-171.46284999999997</v>
          </cell>
          <cell r="AQ26">
            <v>-2223.3289399999999</v>
          </cell>
          <cell r="AR26">
            <v>-1258.1781699999999</v>
          </cell>
          <cell r="AT26">
            <v>-1946.6928800000001</v>
          </cell>
          <cell r="AU26">
            <v>33.644950000000001</v>
          </cell>
          <cell r="AV26">
            <v>0</v>
          </cell>
          <cell r="AW26">
            <v>0</v>
          </cell>
          <cell r="AX26">
            <v>458.59134</v>
          </cell>
          <cell r="AY26">
            <v>0</v>
          </cell>
          <cell r="AZ26">
            <v>0</v>
          </cell>
          <cell r="BA26">
            <v>5.7905099999999994</v>
          </cell>
          <cell r="BB26">
            <v>-7.7794900000000009</v>
          </cell>
          <cell r="BC26">
            <v>-8.9459999999999998E-2</v>
          </cell>
          <cell r="BD26">
            <v>0</v>
          </cell>
          <cell r="BE26">
            <v>561.85095000000001</v>
          </cell>
          <cell r="BF26">
            <v>-875.18804000000011</v>
          </cell>
          <cell r="BG26">
            <v>-13.849110000000003</v>
          </cell>
          <cell r="BH26">
            <v>-7.3605700000000001</v>
          </cell>
          <cell r="BI26">
            <v>-2.3480000000000004E-2</v>
          </cell>
          <cell r="BJ26">
            <v>3.3651303965598343E-14</v>
          </cell>
          <cell r="BK26">
            <v>6406.7389799999937</v>
          </cell>
        </row>
        <row r="27">
          <cell r="C27">
            <v>67473.13</v>
          </cell>
          <cell r="N27">
            <v>52746.794401640589</v>
          </cell>
          <cell r="O27">
            <v>-18751.496209857636</v>
          </cell>
          <cell r="P27">
            <v>-1078.3685133051597</v>
          </cell>
          <cell r="Q27">
            <v>0</v>
          </cell>
          <cell r="R27">
            <v>0</v>
          </cell>
          <cell r="S27">
            <v>-2455.3819997693076</v>
          </cell>
          <cell r="T27">
            <v>-871.10836699886067</v>
          </cell>
          <cell r="U27">
            <v>0</v>
          </cell>
          <cell r="V27">
            <v>-6699.6431295957645</v>
          </cell>
          <cell r="W27">
            <v>-385.66375170079044</v>
          </cell>
          <cell r="X27">
            <v>0</v>
          </cell>
          <cell r="Y27">
            <v>-189.79558152623741</v>
          </cell>
          <cell r="Z27">
            <v>99.879711965529481</v>
          </cell>
          <cell r="AA27">
            <v>0</v>
          </cell>
          <cell r="AB27">
            <v>0</v>
          </cell>
          <cell r="AC27">
            <v>-4942.6937092498329</v>
          </cell>
          <cell r="AD27">
            <v>0</v>
          </cell>
          <cell r="AE27">
            <v>0</v>
          </cell>
          <cell r="AF27">
            <v>-374.69506716674329</v>
          </cell>
          <cell r="AG27">
            <v>0</v>
          </cell>
          <cell r="AH27">
            <v>5660.6387764165756</v>
          </cell>
          <cell r="AI27">
            <v>189.79558152623741</v>
          </cell>
          <cell r="AJ27">
            <v>0</v>
          </cell>
          <cell r="AK27">
            <v>0</v>
          </cell>
          <cell r="AL27">
            <v>-9197.3193827725718</v>
          </cell>
          <cell r="AM27">
            <v>0</v>
          </cell>
          <cell r="AN27">
            <v>0</v>
          </cell>
          <cell r="AO27">
            <v>-1253.4421185447218</v>
          </cell>
          <cell r="AP27">
            <v>-210.18024981110824</v>
          </cell>
          <cell r="AQ27">
            <v>-2768.3960309797221</v>
          </cell>
          <cell r="AR27">
            <v>-1848.0932970581021</v>
          </cell>
          <cell r="AT27">
            <v>-2991.4411904428289</v>
          </cell>
          <cell r="AU27">
            <v>680.77741148458369</v>
          </cell>
          <cell r="AV27">
            <v>167.07117811770075</v>
          </cell>
          <cell r="AW27">
            <v>0</v>
          </cell>
          <cell r="AX27">
            <v>250.34024217091695</v>
          </cell>
          <cell r="AY27">
            <v>59.750722094488637</v>
          </cell>
          <cell r="AZ27">
            <v>0</v>
          </cell>
          <cell r="BA27">
            <v>6.4711094718011779</v>
          </cell>
          <cell r="BB27">
            <v>-3.3079035070013205</v>
          </cell>
          <cell r="BC27">
            <v>0</v>
          </cell>
          <cell r="BD27">
            <v>0</v>
          </cell>
          <cell r="BE27">
            <v>226.39174499999993</v>
          </cell>
          <cell r="BF27">
            <v>-226.39174499999993</v>
          </cell>
          <cell r="BG27">
            <v>-6.4711094718011779</v>
          </cell>
          <cell r="BH27">
            <v>0</v>
          </cell>
          <cell r="BI27">
            <v>0</v>
          </cell>
          <cell r="BJ27">
            <v>0</v>
          </cell>
          <cell r="BK27">
            <v>5834.0215231302263</v>
          </cell>
        </row>
        <row r="29">
          <cell r="C29">
            <v>149912.27383999998</v>
          </cell>
          <cell r="N29">
            <v>117420.66268000001</v>
          </cell>
          <cell r="O29">
            <v>-5702.0410699999993</v>
          </cell>
          <cell r="P29">
            <v>0</v>
          </cell>
          <cell r="Q29">
            <v>-15.778</v>
          </cell>
          <cell r="R29">
            <v>1217.59764</v>
          </cell>
          <cell r="S29">
            <v>-3832.8264799999997</v>
          </cell>
          <cell r="T29">
            <v>-814.19083999999998</v>
          </cell>
          <cell r="U29">
            <v>-2307.8780200000001</v>
          </cell>
          <cell r="V29">
            <v>-63050.738761154658</v>
          </cell>
          <cell r="W29">
            <v>-2.5499999999999998</v>
          </cell>
          <cell r="X29">
            <v>-10158.331538845341</v>
          </cell>
          <cell r="Y29">
            <v>-737.70436000000007</v>
          </cell>
          <cell r="Z29">
            <v>4992.23686</v>
          </cell>
          <cell r="AA29">
            <v>70.642649999999989</v>
          </cell>
          <cell r="AB29">
            <v>300</v>
          </cell>
          <cell r="AC29">
            <v>-77330.422950000007</v>
          </cell>
          <cell r="AD29">
            <v>11149.616980000001</v>
          </cell>
          <cell r="AE29">
            <v>-2084.16275</v>
          </cell>
          <cell r="AF29">
            <v>-2020.65849</v>
          </cell>
          <cell r="AG29">
            <v>0</v>
          </cell>
          <cell r="AH29">
            <v>62966.155750000013</v>
          </cell>
          <cell r="AI29">
            <v>7115.4683000000005</v>
          </cell>
          <cell r="AJ29">
            <v>-2615.5652099999993</v>
          </cell>
          <cell r="AK29">
            <v>-578.51461999999992</v>
          </cell>
          <cell r="AL29">
            <v>-21648.60411</v>
          </cell>
          <cell r="AM29">
            <v>20451.078099999999</v>
          </cell>
          <cell r="AN29">
            <v>-16506.993450000002</v>
          </cell>
          <cell r="AO29">
            <v>-2188.4557599999998</v>
          </cell>
          <cell r="AP29">
            <v>-418.18114999999995</v>
          </cell>
          <cell r="AQ29">
            <v>-5245.4065199999995</v>
          </cell>
          <cell r="AR29">
            <v>-2620.7498799999998</v>
          </cell>
          <cell r="AT29">
            <v>-2394.5359599999992</v>
          </cell>
          <cell r="AU29">
            <v>-85.916139999999999</v>
          </cell>
          <cell r="AV29">
            <v>0</v>
          </cell>
          <cell r="AW29">
            <v>0</v>
          </cell>
          <cell r="AX29">
            <v>1063.4802335946754</v>
          </cell>
          <cell r="AY29">
            <v>0</v>
          </cell>
          <cell r="AZ29">
            <v>98.939556405324652</v>
          </cell>
          <cell r="BA29">
            <v>10.411820000000001</v>
          </cell>
          <cell r="BB29">
            <v>-72.723369999999989</v>
          </cell>
          <cell r="BC29">
            <v>-1.0138600000000002</v>
          </cell>
          <cell r="BD29">
            <v>0</v>
          </cell>
          <cell r="BE29">
            <v>2660.7344200000007</v>
          </cell>
          <cell r="BF29">
            <v>-3161.047369999992</v>
          </cell>
          <cell r="BG29">
            <v>-557.11332000000016</v>
          </cell>
          <cell r="BH29">
            <v>-104.9393100000003</v>
          </cell>
          <cell r="BI29">
            <v>79.646810000000002</v>
          </cell>
          <cell r="BJ29">
            <v>1.141984284913633E-13</v>
          </cell>
          <cell r="BK29">
            <v>3339.6285100000123</v>
          </cell>
        </row>
        <row r="30">
          <cell r="C30">
            <v>141664.20727000001</v>
          </cell>
          <cell r="N30">
            <v>108729.69808999999</v>
          </cell>
          <cell r="O30">
            <v>-5857.6841499999991</v>
          </cell>
          <cell r="P30">
            <v>0</v>
          </cell>
          <cell r="Q30">
            <v>-120.22499999999999</v>
          </cell>
          <cell r="R30">
            <v>966.31192999999996</v>
          </cell>
          <cell r="S30">
            <v>-4010.8874299999998</v>
          </cell>
          <cell r="T30">
            <v>-299.67809999999997</v>
          </cell>
          <cell r="U30">
            <v>-1915.0684999999999</v>
          </cell>
          <cell r="V30">
            <v>-55210.556653637839</v>
          </cell>
          <cell r="W30">
            <v>0</v>
          </cell>
          <cell r="X30">
            <v>-9429.1594063621596</v>
          </cell>
          <cell r="Y30">
            <v>-936.75181999999995</v>
          </cell>
          <cell r="Z30">
            <v>3942.2025599999997</v>
          </cell>
          <cell r="AA30">
            <v>90.064970000000002</v>
          </cell>
          <cell r="AB30">
            <v>-380</v>
          </cell>
          <cell r="AC30">
            <v>-74495.206349999993</v>
          </cell>
          <cell r="AD30">
            <v>10811.435729999999</v>
          </cell>
          <cell r="AE30">
            <v>-2280.8304699999999</v>
          </cell>
          <cell r="AF30">
            <v>-2141.1698900000001</v>
          </cell>
          <cell r="AG30">
            <v>0</v>
          </cell>
          <cell r="AH30">
            <v>65629.466789999991</v>
          </cell>
          <cell r="AI30">
            <v>994.7467700000002</v>
          </cell>
          <cell r="AJ30">
            <v>1330.5483599999998</v>
          </cell>
          <cell r="AK30">
            <v>49.54375000000001</v>
          </cell>
          <cell r="AL30">
            <v>-20207.137950000004</v>
          </cell>
          <cell r="AM30">
            <v>19459.413329999999</v>
          </cell>
          <cell r="AN30">
            <v>-15558.924279999999</v>
          </cell>
          <cell r="AO30">
            <v>-2143.4297799999999</v>
          </cell>
          <cell r="AP30">
            <v>-357.89516999999995</v>
          </cell>
          <cell r="AQ30">
            <v>-4905.4129599999997</v>
          </cell>
          <cell r="AR30">
            <v>-2707.82449</v>
          </cell>
          <cell r="AT30">
            <v>-5615.459270000003</v>
          </cell>
          <cell r="AU30">
            <v>16.18947</v>
          </cell>
          <cell r="AV30">
            <v>0</v>
          </cell>
          <cell r="AW30">
            <v>0</v>
          </cell>
          <cell r="AX30">
            <v>3843.1970298204533</v>
          </cell>
          <cell r="AY30">
            <v>0</v>
          </cell>
          <cell r="AZ30">
            <v>-41.151899820453366</v>
          </cell>
          <cell r="BA30">
            <v>55.739620000000002</v>
          </cell>
          <cell r="BB30">
            <v>-265.90237999999999</v>
          </cell>
          <cell r="BC30">
            <v>-5.85459</v>
          </cell>
          <cell r="BD30">
            <v>0</v>
          </cell>
          <cell r="BE30">
            <v>2613.7450300000005</v>
          </cell>
          <cell r="BF30">
            <v>-1646.6827799999996</v>
          </cell>
          <cell r="BG30">
            <v>-8.335069999999984</v>
          </cell>
          <cell r="BH30">
            <v>-285.54975999999999</v>
          </cell>
          <cell r="BI30">
            <v>-12.290159999999998</v>
          </cell>
          <cell r="BJ30">
            <v>-4.6494363914462148E-14</v>
          </cell>
          <cell r="BK30">
            <v>7693.2351199999903</v>
          </cell>
        </row>
        <row r="31">
          <cell r="C31">
            <v>145622.70000000001</v>
          </cell>
          <cell r="N31">
            <v>114127.16891756019</v>
          </cell>
          <cell r="O31">
            <v>-29825.526061154051</v>
          </cell>
          <cell r="P31">
            <v>-1078.3685133051597</v>
          </cell>
          <cell r="Q31">
            <v>-2819.1415302110504</v>
          </cell>
          <cell r="R31">
            <v>0</v>
          </cell>
          <cell r="S31">
            <v>-7039.7091782637362</v>
          </cell>
          <cell r="T31">
            <v>-1050.4820186841694</v>
          </cell>
          <cell r="U31">
            <v>0</v>
          </cell>
          <cell r="V31">
            <v>-31292.340771118819</v>
          </cell>
          <cell r="W31">
            <v>-385.66375170079044</v>
          </cell>
          <cell r="X31">
            <v>-6242.0304375129663</v>
          </cell>
          <cell r="Y31">
            <v>-946.68088932731257</v>
          </cell>
          <cell r="Z31">
            <v>3048.0050669610368</v>
          </cell>
          <cell r="AA31">
            <v>0</v>
          </cell>
          <cell r="AB31">
            <v>0</v>
          </cell>
          <cell r="AC31">
            <v>-42168.626275938477</v>
          </cell>
          <cell r="AD31">
            <v>0</v>
          </cell>
          <cell r="AE31">
            <v>0</v>
          </cell>
          <cell r="AF31">
            <v>-1924.5682946144027</v>
          </cell>
          <cell r="AG31">
            <v>0</v>
          </cell>
          <cell r="AH31">
            <v>45023.944570552878</v>
          </cell>
          <cell r="AI31">
            <v>946.68088932731257</v>
          </cell>
          <cell r="AJ31">
            <v>0</v>
          </cell>
          <cell r="AK31">
            <v>0</v>
          </cell>
          <cell r="AL31">
            <v>-17221.178910225834</v>
          </cell>
          <cell r="AM31">
            <v>0</v>
          </cell>
          <cell r="AN31">
            <v>0</v>
          </cell>
          <cell r="AO31">
            <v>-2380.2896830003028</v>
          </cell>
          <cell r="AP31">
            <v>-463.8394885269222</v>
          </cell>
          <cell r="AQ31">
            <v>-5694.5196705953567</v>
          </cell>
          <cell r="AR31">
            <v>-3834.632609115592</v>
          </cell>
          <cell r="AT31">
            <v>-7365.8525864504063</v>
          </cell>
          <cell r="AU31">
            <v>1551.6317333566508</v>
          </cell>
          <cell r="AV31">
            <v>167.07117811770075</v>
          </cell>
          <cell r="AW31">
            <v>30.293077927822978</v>
          </cell>
          <cell r="AX31">
            <v>2099.3225873506826</v>
          </cell>
          <cell r="AY31">
            <v>59.750722094488637</v>
          </cell>
          <cell r="AZ31">
            <v>64.171244656076496</v>
          </cell>
          <cell r="BA31">
            <v>50.018838488743434</v>
          </cell>
          <cell r="BB31">
            <v>-180.9650338909255</v>
          </cell>
          <cell r="BC31">
            <v>0</v>
          </cell>
          <cell r="BD31">
            <v>0</v>
          </cell>
          <cell r="BE31">
            <v>1891.7723299999984</v>
          </cell>
          <cell r="BF31">
            <v>-2050.5385324999984</v>
          </cell>
          <cell r="BG31">
            <v>-50.018838488743434</v>
          </cell>
          <cell r="BH31">
            <v>0</v>
          </cell>
          <cell r="BI31">
            <v>0</v>
          </cell>
          <cell r="BJ31">
            <v>0</v>
          </cell>
          <cell r="BK31">
            <v>5044.8580817685706</v>
          </cell>
        </row>
        <row r="33">
          <cell r="C33">
            <v>115286.31551</v>
          </cell>
          <cell r="N33">
            <v>50088.36376</v>
          </cell>
          <cell r="O33">
            <v>-898.11963000000003</v>
          </cell>
          <cell r="P33">
            <v>-4.6583400000000008</v>
          </cell>
          <cell r="Q33">
            <v>-31.811</v>
          </cell>
          <cell r="R33">
            <v>11.31307</v>
          </cell>
          <cell r="S33">
            <v>-724.74901999999997</v>
          </cell>
          <cell r="T33">
            <v>-926.32819000000006</v>
          </cell>
          <cell r="U33">
            <v>0</v>
          </cell>
          <cell r="V33">
            <v>-12827.025817460042</v>
          </cell>
          <cell r="W33">
            <v>-590.32724000000007</v>
          </cell>
          <cell r="X33">
            <v>-11992.551672539959</v>
          </cell>
          <cell r="Y33">
            <v>-206.34777</v>
          </cell>
          <cell r="Z33">
            <v>552.63664999999992</v>
          </cell>
          <cell r="AA33">
            <v>3.9477300000000004</v>
          </cell>
          <cell r="AB33">
            <v>-210</v>
          </cell>
          <cell r="AC33">
            <v>-24477.671800000007</v>
          </cell>
          <cell r="AD33">
            <v>585.36086999999998</v>
          </cell>
          <cell r="AE33">
            <v>-182.75998999999999</v>
          </cell>
          <cell r="AF33">
            <v>-1087.8441699999998</v>
          </cell>
          <cell r="AG33">
            <v>0</v>
          </cell>
          <cell r="AH33">
            <v>28390.95494</v>
          </cell>
          <cell r="AI33">
            <v>791.69816999999989</v>
          </cell>
          <cell r="AJ33">
            <v>21.719619999999995</v>
          </cell>
          <cell r="AK33">
            <v>-11.291689999999997</v>
          </cell>
          <cell r="AL33">
            <v>-19337.703819999999</v>
          </cell>
          <cell r="AM33">
            <v>17141.386769999997</v>
          </cell>
          <cell r="AN33">
            <v>-6336.5434100000011</v>
          </cell>
          <cell r="AO33">
            <v>-2094.4530399999999</v>
          </cell>
          <cell r="AP33">
            <v>-264.23914000000002</v>
          </cell>
          <cell r="AQ33">
            <v>-1919.2471299999997</v>
          </cell>
          <cell r="AR33">
            <v>-1443.90139</v>
          </cell>
          <cell r="AT33">
            <v>-4456.8436800000027</v>
          </cell>
          <cell r="AU33">
            <v>0</v>
          </cell>
          <cell r="AV33">
            <v>0</v>
          </cell>
          <cell r="AW33">
            <v>0</v>
          </cell>
          <cell r="AX33">
            <v>871.335391818777</v>
          </cell>
          <cell r="AY33">
            <v>0</v>
          </cell>
          <cell r="AZ33">
            <v>845.05404818122304</v>
          </cell>
          <cell r="BA33">
            <v>14.254200000000001</v>
          </cell>
          <cell r="BB33">
            <v>-38.17183</v>
          </cell>
          <cell r="BC33">
            <v>-0.27621000000000001</v>
          </cell>
          <cell r="BD33">
            <v>0</v>
          </cell>
          <cell r="BE33">
            <v>3657.4548500000001</v>
          </cell>
          <cell r="BF33">
            <v>-6182.4831699999995</v>
          </cell>
          <cell r="BG33">
            <v>-94.816159999999982</v>
          </cell>
          <cell r="BH33">
            <v>36.544920000000012</v>
          </cell>
          <cell r="BI33">
            <v>-0.47094000000000025</v>
          </cell>
          <cell r="BJ33">
            <v>0</v>
          </cell>
          <cell r="BK33">
            <v>6671.388739999974</v>
          </cell>
        </row>
        <row r="34">
          <cell r="C34">
            <v>118094.30183000001</v>
          </cell>
          <cell r="N34">
            <v>49919.618089999989</v>
          </cell>
          <cell r="O34">
            <v>-953.55210999999986</v>
          </cell>
          <cell r="P34">
            <v>0</v>
          </cell>
          <cell r="Q34">
            <v>-384.18100000000004</v>
          </cell>
          <cell r="R34">
            <v>1.4890099999999999</v>
          </cell>
          <cell r="S34">
            <v>-709.92187000000001</v>
          </cell>
          <cell r="T34">
            <v>-637.51462000000015</v>
          </cell>
          <cell r="U34">
            <v>0</v>
          </cell>
          <cell r="V34">
            <v>-13114.01867591422</v>
          </cell>
          <cell r="W34">
            <v>0</v>
          </cell>
          <cell r="X34">
            <v>-13229.000864085778</v>
          </cell>
          <cell r="Y34">
            <v>-244.07522</v>
          </cell>
          <cell r="Z34">
            <v>620.78266000000008</v>
          </cell>
          <cell r="AA34">
            <v>5.8897400000000006</v>
          </cell>
          <cell r="AB34">
            <v>0</v>
          </cell>
          <cell r="AC34">
            <v>-22355.727340000005</v>
          </cell>
          <cell r="AD34">
            <v>421.18632000000002</v>
          </cell>
          <cell r="AE34">
            <v>-159.85329000000002</v>
          </cell>
          <cell r="AF34">
            <v>-1148.0461599999999</v>
          </cell>
          <cell r="AG34">
            <v>0</v>
          </cell>
          <cell r="AH34">
            <v>26910.553489999998</v>
          </cell>
          <cell r="AI34">
            <v>180.61153999999996</v>
          </cell>
          <cell r="AJ34">
            <v>255.97359999999998</v>
          </cell>
          <cell r="AK34">
            <v>0.30076999999999998</v>
          </cell>
          <cell r="AL34">
            <v>-19838.705970000003</v>
          </cell>
          <cell r="AM34">
            <v>17475.371869999999</v>
          </cell>
          <cell r="AN34">
            <v>-6328.2602400000014</v>
          </cell>
          <cell r="AO34">
            <v>-2487.2032199999999</v>
          </cell>
          <cell r="AP34">
            <v>-270.79128000000003</v>
          </cell>
          <cell r="AQ34">
            <v>-1802.1275599999999</v>
          </cell>
          <cell r="AR34">
            <v>-1747.1683399999999</v>
          </cell>
          <cell r="AT34">
            <v>-4810.598200000004</v>
          </cell>
          <cell r="AU34">
            <v>1.64</v>
          </cell>
          <cell r="AV34">
            <v>0</v>
          </cell>
          <cell r="AW34">
            <v>0</v>
          </cell>
          <cell r="AX34">
            <v>1038.2294371599498</v>
          </cell>
          <cell r="AY34">
            <v>0</v>
          </cell>
          <cell r="AZ34">
            <v>807.16650284005027</v>
          </cell>
          <cell r="BA34">
            <v>17.553889999999999</v>
          </cell>
          <cell r="BB34">
            <v>-43.8401</v>
          </cell>
          <cell r="BC34">
            <v>-0.40200999999999998</v>
          </cell>
          <cell r="BD34">
            <v>0</v>
          </cell>
          <cell r="BE34">
            <v>774.13599999999997</v>
          </cell>
          <cell r="BF34">
            <v>-3626.9681700000001</v>
          </cell>
          <cell r="BG34">
            <v>-146.59656999999999</v>
          </cell>
          <cell r="BH34">
            <v>-15.880300000000009</v>
          </cell>
          <cell r="BI34">
            <v>0.28208</v>
          </cell>
          <cell r="BJ34">
            <v>-9.5923269327613524E-17</v>
          </cell>
          <cell r="BK34">
            <v>4376.3518899999835</v>
          </cell>
        </row>
        <row r="35">
          <cell r="C35">
            <v>118591.17</v>
          </cell>
          <cell r="N35">
            <v>63952.450065193436</v>
          </cell>
          <cell r="O35">
            <v>-8266.7731603653956</v>
          </cell>
          <cell r="P35">
            <v>-3678.3967067142571</v>
          </cell>
          <cell r="Q35">
            <v>-7106.285684576389</v>
          </cell>
          <cell r="R35">
            <v>0</v>
          </cell>
          <cell r="S35">
            <v>-885.90406187589269</v>
          </cell>
          <cell r="T35">
            <v>-665.19713129553998</v>
          </cell>
          <cell r="U35">
            <v>0</v>
          </cell>
          <cell r="V35">
            <v>-9171.4870620146939</v>
          </cell>
          <cell r="W35">
            <v>-3996.2985692863094</v>
          </cell>
          <cell r="X35">
            <v>-8167.6914748088593</v>
          </cell>
          <cell r="Y35">
            <v>-556.4618900064545</v>
          </cell>
          <cell r="Z35">
            <v>355.66645781764447</v>
          </cell>
          <cell r="AA35">
            <v>0</v>
          </cell>
          <cell r="AB35">
            <v>0</v>
          </cell>
          <cell r="AC35">
            <v>-15390.96643561919</v>
          </cell>
          <cell r="AD35">
            <v>0</v>
          </cell>
          <cell r="AE35">
            <v>0</v>
          </cell>
          <cell r="AF35">
            <v>-936.72231490339254</v>
          </cell>
          <cell r="AG35">
            <v>0</v>
          </cell>
          <cell r="AH35">
            <v>17470.938750522582</v>
          </cell>
          <cell r="AI35">
            <v>556.4618900064545</v>
          </cell>
          <cell r="AJ35">
            <v>0</v>
          </cell>
          <cell r="AK35">
            <v>0</v>
          </cell>
          <cell r="AL35">
            <v>-11069.457560678575</v>
          </cell>
          <cell r="AM35">
            <v>0</v>
          </cell>
          <cell r="AN35">
            <v>0</v>
          </cell>
          <cell r="AO35">
            <v>-2401.8336132303493</v>
          </cell>
          <cell r="AP35">
            <v>-229.83537739464924</v>
          </cell>
          <cell r="AQ35">
            <v>-2179.115384973868</v>
          </cell>
          <cell r="AR35">
            <v>-2447.1165363339305</v>
          </cell>
          <cell r="AT35">
            <v>-5673.0870944162934</v>
          </cell>
          <cell r="AU35">
            <v>458.04225198566445</v>
          </cell>
          <cell r="AV35">
            <v>1508.6308922373491</v>
          </cell>
          <cell r="AW35">
            <v>545.35355430167442</v>
          </cell>
          <cell r="AX35">
            <v>534.81344723856125</v>
          </cell>
          <cell r="AY35">
            <v>1663.6573339099393</v>
          </cell>
          <cell r="AZ35">
            <v>636.75875549797297</v>
          </cell>
          <cell r="BA35">
            <v>64.680951701710569</v>
          </cell>
          <cell r="BB35">
            <v>-43.104551461322053</v>
          </cell>
          <cell r="BC35">
            <v>0</v>
          </cell>
          <cell r="BD35">
            <v>0</v>
          </cell>
          <cell r="BE35">
            <v>1074.5932999999993</v>
          </cell>
          <cell r="BF35">
            <v>-1074.5932999999993</v>
          </cell>
          <cell r="BG35">
            <v>-64.680951701710569</v>
          </cell>
          <cell r="BH35">
            <v>0</v>
          </cell>
          <cell r="BI35">
            <v>0</v>
          </cell>
          <cell r="BJ35">
            <v>0</v>
          </cell>
          <cell r="BK35">
            <v>4817.0387887559054</v>
          </cell>
        </row>
        <row r="37">
          <cell r="C37">
            <v>13966.328469999999</v>
          </cell>
          <cell r="N37">
            <v>6333.7375699999993</v>
          </cell>
          <cell r="O37">
            <v>-36.795360000000002</v>
          </cell>
          <cell r="P37">
            <v>0</v>
          </cell>
          <cell r="Q37">
            <v>0</v>
          </cell>
          <cell r="R37">
            <v>0</v>
          </cell>
          <cell r="S37">
            <v>-80.183279999999996</v>
          </cell>
          <cell r="T37">
            <v>-3.9326100000000004</v>
          </cell>
          <cell r="U37">
            <v>0</v>
          </cell>
          <cell r="V37">
            <v>-2118.5898299999999</v>
          </cell>
          <cell r="W37">
            <v>-7.5</v>
          </cell>
          <cell r="X37">
            <v>-1050</v>
          </cell>
          <cell r="Y37">
            <v>-32.896749999999997</v>
          </cell>
          <cell r="Z37">
            <v>97.562619999999995</v>
          </cell>
          <cell r="AA37">
            <v>0.97323999999999988</v>
          </cell>
          <cell r="AB37">
            <v>20</v>
          </cell>
          <cell r="AC37">
            <v>-1468.6640299999999</v>
          </cell>
          <cell r="AD37">
            <v>19.598300000000002</v>
          </cell>
          <cell r="AE37">
            <v>-22.099969999999999</v>
          </cell>
          <cell r="AF37">
            <v>-235.43191000000002</v>
          </cell>
          <cell r="AG37">
            <v>0</v>
          </cell>
          <cell r="AH37">
            <v>991.66737000000012</v>
          </cell>
          <cell r="AI37">
            <v>198.37111999999996</v>
          </cell>
          <cell r="AJ37">
            <v>20.253590000000028</v>
          </cell>
          <cell r="AK37">
            <v>-4.8563000000000001</v>
          </cell>
          <cell r="AL37">
            <v>-1815.2642899999996</v>
          </cell>
          <cell r="AM37">
            <v>1484.4729800000002</v>
          </cell>
          <cell r="AN37">
            <v>-513.82889999999998</v>
          </cell>
          <cell r="AO37">
            <v>-366.47404</v>
          </cell>
          <cell r="AP37">
            <v>-30.825150000000001</v>
          </cell>
          <cell r="AQ37">
            <v>-153.58054999999999</v>
          </cell>
          <cell r="AR37">
            <v>-125.65521000000001</v>
          </cell>
          <cell r="AT37">
            <v>-428.05582000000027</v>
          </cell>
          <cell r="AU37">
            <v>0</v>
          </cell>
          <cell r="AV37">
            <v>0</v>
          </cell>
          <cell r="AW37">
            <v>0</v>
          </cell>
          <cell r="AX37">
            <v>8.9990000000000006</v>
          </cell>
          <cell r="AY37">
            <v>0</v>
          </cell>
          <cell r="AZ37">
            <v>0</v>
          </cell>
          <cell r="BA37">
            <v>9.2620000000000008E-2</v>
          </cell>
          <cell r="BB37">
            <v>-0.27643000000000001</v>
          </cell>
          <cell r="BC37">
            <v>-2.7400000000000002E-3</v>
          </cell>
          <cell r="BD37">
            <v>0</v>
          </cell>
          <cell r="BE37">
            <v>1.6283099999999999</v>
          </cell>
          <cell r="BF37">
            <v>52.626000000000062</v>
          </cell>
          <cell r="BG37">
            <v>12.290129999999998</v>
          </cell>
          <cell r="BH37">
            <v>0.70843</v>
          </cell>
          <cell r="BI37">
            <v>-0.20165</v>
          </cell>
          <cell r="BJ37">
            <v>0</v>
          </cell>
          <cell r="BK37">
            <v>747.86646000000019</v>
          </cell>
        </row>
        <row r="38">
          <cell r="C38">
            <v>13323.599249999999</v>
          </cell>
          <cell r="N38">
            <v>5749.9884199999979</v>
          </cell>
          <cell r="O38">
            <v>-26.591409999999996</v>
          </cell>
          <cell r="P38">
            <v>0</v>
          </cell>
          <cell r="Q38">
            <v>0</v>
          </cell>
          <cell r="R38">
            <v>0</v>
          </cell>
          <cell r="S38">
            <v>-69.137470000000008</v>
          </cell>
          <cell r="T38">
            <v>-13.505220000000001</v>
          </cell>
          <cell r="U38">
            <v>0</v>
          </cell>
          <cell r="V38">
            <v>-3325.8877399999997</v>
          </cell>
          <cell r="W38">
            <v>0</v>
          </cell>
          <cell r="X38">
            <v>0</v>
          </cell>
          <cell r="Y38">
            <v>-43.591290000000001</v>
          </cell>
          <cell r="Z38">
            <v>108.15527999999999</v>
          </cell>
          <cell r="AA38">
            <v>1.48583</v>
          </cell>
          <cell r="AB38">
            <v>0</v>
          </cell>
          <cell r="AC38">
            <v>-2244.9253899999999</v>
          </cell>
          <cell r="AD38">
            <v>12.25057</v>
          </cell>
          <cell r="AE38">
            <v>-17.509519999999998</v>
          </cell>
          <cell r="AF38">
            <v>-241.01693999999998</v>
          </cell>
          <cell r="AG38">
            <v>0</v>
          </cell>
          <cell r="AH38">
            <v>2161.2138899999995</v>
          </cell>
          <cell r="AI38">
            <v>100.01653999999999</v>
          </cell>
          <cell r="AJ38">
            <v>35.919109999999996</v>
          </cell>
          <cell r="AK38">
            <v>0.38518999999999998</v>
          </cell>
          <cell r="AL38">
            <v>-1695.1979599999997</v>
          </cell>
          <cell r="AM38">
            <v>1416.5058299999996</v>
          </cell>
          <cell r="AN38">
            <v>-510.71536999999995</v>
          </cell>
          <cell r="AO38">
            <v>-314.27778000000001</v>
          </cell>
          <cell r="AP38">
            <v>-18.195160000000001</v>
          </cell>
          <cell r="AQ38">
            <v>-125.02550000000002</v>
          </cell>
          <cell r="AR38">
            <v>-138.54850000000002</v>
          </cell>
          <cell r="AT38">
            <v>-422.99507999999992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15.616</v>
          </cell>
          <cell r="BF38">
            <v>364.97300000000001</v>
          </cell>
          <cell r="BG38">
            <v>-0.57702999999999971</v>
          </cell>
          <cell r="BH38">
            <v>-2.9344899999999998</v>
          </cell>
          <cell r="BI38">
            <v>-5.0549999999999998E-2</v>
          </cell>
          <cell r="BJ38">
            <v>0</v>
          </cell>
          <cell r="BK38">
            <v>755.82725999999855</v>
          </cell>
        </row>
        <row r="39">
          <cell r="C39">
            <v>14310.26</v>
          </cell>
          <cell r="N39">
            <v>7429.1136819037274</v>
          </cell>
          <cell r="O39">
            <v>-1031.0619562597817</v>
          </cell>
          <cell r="P39">
            <v>-66.355924200494229</v>
          </cell>
          <cell r="Q39">
            <v>-470.89500831882003</v>
          </cell>
          <cell r="R39">
            <v>0</v>
          </cell>
          <cell r="S39">
            <v>-101.65429539834972</v>
          </cell>
          <cell r="T39">
            <v>-55.33547595326317</v>
          </cell>
          <cell r="U39">
            <v>0</v>
          </cell>
          <cell r="V39">
            <v>-1705.4942721266355</v>
          </cell>
          <cell r="W39">
            <v>-109.76027964036177</v>
          </cell>
          <cell r="X39">
            <v>-778.91414243823033</v>
          </cell>
          <cell r="Y39">
            <v>-66.085516505667883</v>
          </cell>
          <cell r="Z39">
            <v>70.157914280402935</v>
          </cell>
          <cell r="AA39">
            <v>0</v>
          </cell>
          <cell r="AB39">
            <v>0</v>
          </cell>
          <cell r="AC39">
            <v>-1028.1908978227923</v>
          </cell>
          <cell r="AD39">
            <v>0</v>
          </cell>
          <cell r="AE39">
            <v>0</v>
          </cell>
          <cell r="AF39">
            <v>-143.59634872410729</v>
          </cell>
          <cell r="AG39">
            <v>0</v>
          </cell>
          <cell r="AH39">
            <v>1171.7872465468995</v>
          </cell>
          <cell r="AI39">
            <v>66.085516505667883</v>
          </cell>
          <cell r="AJ39">
            <v>0</v>
          </cell>
          <cell r="AK39">
            <v>0</v>
          </cell>
          <cell r="AL39">
            <v>-1010.6649879518807</v>
          </cell>
          <cell r="AM39">
            <v>0</v>
          </cell>
          <cell r="AN39">
            <v>0</v>
          </cell>
          <cell r="AO39">
            <v>-344.94515044351249</v>
          </cell>
          <cell r="AP39">
            <v>-19.736378733087751</v>
          </cell>
          <cell r="AQ39">
            <v>-175.85768778545227</v>
          </cell>
          <cell r="AR39">
            <v>-192.05202259595603</v>
          </cell>
          <cell r="AT39">
            <v>-549.59358956367828</v>
          </cell>
          <cell r="AU39">
            <v>0</v>
          </cell>
          <cell r="AV39">
            <v>27.623942012981075</v>
          </cell>
          <cell r="AW39">
            <v>30.054052184510319</v>
          </cell>
          <cell r="AX39">
            <v>0</v>
          </cell>
          <cell r="AY39">
            <v>45.693156061736502</v>
          </cell>
          <cell r="AZ39">
            <v>49.712835919981188</v>
          </cell>
          <cell r="BA39">
            <v>2.1907733308761723</v>
          </cell>
          <cell r="BB39">
            <v>-2.4162409512838932</v>
          </cell>
          <cell r="BC39">
            <v>0</v>
          </cell>
          <cell r="BD39">
            <v>0</v>
          </cell>
          <cell r="BE39">
            <v>17.807499999999997</v>
          </cell>
          <cell r="BF39">
            <v>-17.807499999999997</v>
          </cell>
          <cell r="BG39">
            <v>-2.1907733308761723</v>
          </cell>
          <cell r="BH39">
            <v>0</v>
          </cell>
          <cell r="BI39">
            <v>0</v>
          </cell>
          <cell r="BJ39">
            <v>0</v>
          </cell>
          <cell r="BK39">
            <v>1037.6181700025522</v>
          </cell>
        </row>
        <row r="41">
          <cell r="C41">
            <v>43966.263999999996</v>
          </cell>
          <cell r="N41">
            <v>17606.494289999999</v>
          </cell>
          <cell r="O41">
            <v>-127.28213000000001</v>
          </cell>
          <cell r="P41">
            <v>0</v>
          </cell>
          <cell r="Q41">
            <v>-2.7149999999999999</v>
          </cell>
          <cell r="R41">
            <v>10.57559</v>
          </cell>
          <cell r="S41">
            <v>-414.99605000000003</v>
          </cell>
          <cell r="T41">
            <v>-15.14141</v>
          </cell>
          <cell r="U41">
            <v>0</v>
          </cell>
          <cell r="V41">
            <v>-6908.8174215815998</v>
          </cell>
          <cell r="W41">
            <v>0</v>
          </cell>
          <cell r="X41">
            <v>-2238.6944584184002</v>
          </cell>
          <cell r="Y41">
            <v>-189.1327</v>
          </cell>
          <cell r="Z41">
            <v>1112.9222</v>
          </cell>
          <cell r="AA41">
            <v>20.683399999999999</v>
          </cell>
          <cell r="AB41">
            <v>-40</v>
          </cell>
          <cell r="AC41">
            <v>-5669.8538200000012</v>
          </cell>
          <cell r="AD41">
            <v>1447.4364800000001</v>
          </cell>
          <cell r="AE41">
            <v>-189.17569000000003</v>
          </cell>
          <cell r="AF41">
            <v>-1501.5158099999999</v>
          </cell>
          <cell r="AG41">
            <v>0</v>
          </cell>
          <cell r="AH41">
            <v>4541.0220900000004</v>
          </cell>
          <cell r="AI41">
            <v>2747.5072700000005</v>
          </cell>
          <cell r="AJ41">
            <v>-441.44793000000033</v>
          </cell>
          <cell r="AK41">
            <v>-224.72557</v>
          </cell>
          <cell r="AL41">
            <v>-8848.7064400000017</v>
          </cell>
          <cell r="AM41">
            <v>7580.8158099999991</v>
          </cell>
          <cell r="AN41">
            <v>-2393.6247599999997</v>
          </cell>
          <cell r="AO41">
            <v>-956.36029999999994</v>
          </cell>
          <cell r="AP41">
            <v>-98.280780000000007</v>
          </cell>
          <cell r="AQ41">
            <v>-709.61190000000011</v>
          </cell>
          <cell r="AR41">
            <v>-409.80759</v>
          </cell>
          <cell r="AT41">
            <v>-455.1393700000001</v>
          </cell>
          <cell r="AU41">
            <v>0</v>
          </cell>
          <cell r="AV41">
            <v>0</v>
          </cell>
          <cell r="AW41">
            <v>0</v>
          </cell>
          <cell r="AX41">
            <v>147.72334151923292</v>
          </cell>
          <cell r="AY41">
            <v>0</v>
          </cell>
          <cell r="AZ41">
            <v>52.161278480767066</v>
          </cell>
          <cell r="BA41">
            <v>4.3231700000000002</v>
          </cell>
          <cell r="BB41">
            <v>-24.784710000000004</v>
          </cell>
          <cell r="BC41">
            <v>-0.47641</v>
          </cell>
          <cell r="BD41">
            <v>0</v>
          </cell>
          <cell r="BE41">
            <v>4.761029999999999</v>
          </cell>
          <cell r="BF41">
            <v>196.40389000000206</v>
          </cell>
          <cell r="BG41">
            <v>-106.95940999999999</v>
          </cell>
          <cell r="BH41">
            <v>-146.04254999999998</v>
          </cell>
          <cell r="BI41">
            <v>6.5249300000000003</v>
          </cell>
          <cell r="BJ41">
            <v>5.7376325912628092E-16</v>
          </cell>
          <cell r="BK41">
            <v>3366.0625599999962</v>
          </cell>
        </row>
        <row r="42">
          <cell r="C42">
            <v>43566.877260000001</v>
          </cell>
          <cell r="N42">
            <v>18009.162519999991</v>
          </cell>
          <cell r="O42">
            <v>-95.599440000000001</v>
          </cell>
          <cell r="P42">
            <v>0</v>
          </cell>
          <cell r="Q42">
            <v>0</v>
          </cell>
          <cell r="R42">
            <v>1.325</v>
          </cell>
          <cell r="S42">
            <v>-313.52385000000004</v>
          </cell>
          <cell r="T42">
            <v>-45.238820000000004</v>
          </cell>
          <cell r="U42">
            <v>0</v>
          </cell>
          <cell r="V42">
            <v>-7840.8883466376737</v>
          </cell>
          <cell r="W42">
            <v>0</v>
          </cell>
          <cell r="X42">
            <v>-2346.9724233623265</v>
          </cell>
          <cell r="Y42">
            <v>-339.24358000000001</v>
          </cell>
          <cell r="Z42">
            <v>1138.9595299999999</v>
          </cell>
          <cell r="AA42">
            <v>38.956990000000005</v>
          </cell>
          <cell r="AB42">
            <v>-20</v>
          </cell>
          <cell r="AC42">
            <v>-24516.833880000002</v>
          </cell>
          <cell r="AD42">
            <v>263.58355</v>
          </cell>
          <cell r="AE42">
            <v>-178.16711000000004</v>
          </cell>
          <cell r="AF42">
            <v>-1685.20101</v>
          </cell>
          <cell r="AG42">
            <v>0</v>
          </cell>
          <cell r="AH42">
            <v>25250.716329999999</v>
          </cell>
          <cell r="AI42">
            <v>484.48366999999996</v>
          </cell>
          <cell r="AJ42">
            <v>-695.95828999999981</v>
          </cell>
          <cell r="AK42">
            <v>11.30385000000001</v>
          </cell>
          <cell r="AL42">
            <v>-8833.3096299999997</v>
          </cell>
          <cell r="AM42">
            <v>7326.1422899999998</v>
          </cell>
          <cell r="AN42">
            <v>-2226.0440899999999</v>
          </cell>
          <cell r="AO42">
            <v>-986.70458999999994</v>
          </cell>
          <cell r="AP42">
            <v>-71.866769999999988</v>
          </cell>
          <cell r="AQ42">
            <v>-630.22924000000012</v>
          </cell>
          <cell r="AR42">
            <v>-471.43770000000006</v>
          </cell>
          <cell r="AT42">
            <v>-664.88770000000011</v>
          </cell>
          <cell r="AU42">
            <v>0</v>
          </cell>
          <cell r="AV42">
            <v>0</v>
          </cell>
          <cell r="AW42">
            <v>0</v>
          </cell>
          <cell r="AX42">
            <v>206.44885261061901</v>
          </cell>
          <cell r="AY42">
            <v>0</v>
          </cell>
          <cell r="AZ42">
            <v>105.09069738938101</v>
          </cell>
          <cell r="BA42">
            <v>9.838000000000001</v>
          </cell>
          <cell r="BB42">
            <v>-35.200449999999996</v>
          </cell>
          <cell r="BC42">
            <v>-1.1059099999999999</v>
          </cell>
          <cell r="BD42">
            <v>0</v>
          </cell>
          <cell r="BE42">
            <v>18395.568369999997</v>
          </cell>
          <cell r="BF42">
            <v>-19016.251679999998</v>
          </cell>
          <cell r="BG42">
            <v>-570.64660000000003</v>
          </cell>
          <cell r="BH42">
            <v>422.49890999999997</v>
          </cell>
          <cell r="BI42">
            <v>9.3585400000000014</v>
          </cell>
          <cell r="BJ42">
            <v>-4.0927261579781768E-15</v>
          </cell>
          <cell r="BK42">
            <v>88.125989999983517</v>
          </cell>
        </row>
        <row r="43">
          <cell r="C43">
            <v>45247.31</v>
          </cell>
          <cell r="N43">
            <v>19041.131785955233</v>
          </cell>
          <cell r="O43">
            <v>-1051.6986102483327</v>
          </cell>
          <cell r="P43">
            <v>0</v>
          </cell>
          <cell r="Q43">
            <v>-283.34854892520707</v>
          </cell>
          <cell r="R43">
            <v>0</v>
          </cell>
          <cell r="S43">
            <v>-665.38082614755558</v>
          </cell>
          <cell r="T43">
            <v>-174.06247499767773</v>
          </cell>
          <cell r="U43">
            <v>0</v>
          </cell>
          <cell r="V43">
            <v>-6943.1595141107664</v>
          </cell>
          <cell r="W43">
            <v>0</v>
          </cell>
          <cell r="X43">
            <v>-1943.9118520185389</v>
          </cell>
          <cell r="Y43">
            <v>-210.09639496920704</v>
          </cell>
          <cell r="Z43">
            <v>1012.7947865641206</v>
          </cell>
          <cell r="AA43">
            <v>0</v>
          </cell>
          <cell r="AB43">
            <v>0</v>
          </cell>
          <cell r="AC43">
            <v>-4183.5081529001081</v>
          </cell>
          <cell r="AD43">
            <v>0</v>
          </cell>
          <cell r="AE43">
            <v>0</v>
          </cell>
          <cell r="AF43">
            <v>-2005.3862545088587</v>
          </cell>
          <cell r="AG43">
            <v>0</v>
          </cell>
          <cell r="AH43">
            <v>6505.8944074089668</v>
          </cell>
          <cell r="AI43">
            <v>210.09639496920704</v>
          </cell>
          <cell r="AJ43">
            <v>0</v>
          </cell>
          <cell r="AK43">
            <v>0</v>
          </cell>
          <cell r="AL43">
            <v>-3989.0017080247198</v>
          </cell>
          <cell r="AM43">
            <v>0</v>
          </cell>
          <cell r="AN43">
            <v>0</v>
          </cell>
          <cell r="AO43">
            <v>-1055.4757893742287</v>
          </cell>
          <cell r="AP43">
            <v>-82.29274441186044</v>
          </cell>
          <cell r="AQ43">
            <v>-819.43498269928841</v>
          </cell>
          <cell r="AR43">
            <v>-626.82941504122732</v>
          </cell>
          <cell r="AT43">
            <v>-668.20950967608587</v>
          </cell>
          <cell r="AU43">
            <v>45.33579665086323</v>
          </cell>
          <cell r="AV43">
            <v>0</v>
          </cell>
          <cell r="AW43">
            <v>19.382371423161501</v>
          </cell>
          <cell r="AX43">
            <v>321.79963334913674</v>
          </cell>
          <cell r="AY43">
            <v>0</v>
          </cell>
          <cell r="AZ43">
            <v>137.57870111876366</v>
          </cell>
          <cell r="BA43">
            <v>10.21456134807374</v>
          </cell>
          <cell r="BB43">
            <v>-52.300044632406212</v>
          </cell>
          <cell r="BC43">
            <v>0</v>
          </cell>
          <cell r="BD43">
            <v>0</v>
          </cell>
          <cell r="BE43">
            <v>306.12669249999999</v>
          </cell>
          <cell r="BF43">
            <v>-423.63597874999994</v>
          </cell>
          <cell r="BG43">
            <v>-10.21456134807374</v>
          </cell>
          <cell r="BH43">
            <v>0</v>
          </cell>
          <cell r="BI43">
            <v>0</v>
          </cell>
          <cell r="BJ43">
            <v>0</v>
          </cell>
          <cell r="BK43">
            <v>2422.4077685033799</v>
          </cell>
        </row>
        <row r="45">
          <cell r="C45">
            <v>14846.62047</v>
          </cell>
          <cell r="N45">
            <v>5912.2976300000009</v>
          </cell>
          <cell r="O45">
            <v>-25.2089</v>
          </cell>
          <cell r="P45">
            <v>0</v>
          </cell>
          <cell r="Q45">
            <v>0</v>
          </cell>
          <cell r="R45">
            <v>0</v>
          </cell>
          <cell r="S45">
            <v>-93.219270000000009</v>
          </cell>
          <cell r="T45">
            <v>-14.46167</v>
          </cell>
          <cell r="U45">
            <v>0</v>
          </cell>
          <cell r="V45">
            <v>-2766.4912584613362</v>
          </cell>
          <cell r="W45">
            <v>0</v>
          </cell>
          <cell r="X45">
            <v>-521.47325153866393</v>
          </cell>
          <cell r="Y45">
            <v>-69.149860000000004</v>
          </cell>
          <cell r="Z45">
            <v>407.69129000000004</v>
          </cell>
          <cell r="AA45">
            <v>7.6428500000000001</v>
          </cell>
          <cell r="AB45">
            <v>0</v>
          </cell>
          <cell r="AC45">
            <v>-922.75610000000006</v>
          </cell>
          <cell r="AD45">
            <v>189.93075000000002</v>
          </cell>
          <cell r="AE45">
            <v>-52.11148</v>
          </cell>
          <cell r="AF45">
            <v>-380.55011999999999</v>
          </cell>
          <cell r="AG45">
            <v>0</v>
          </cell>
          <cell r="AH45">
            <v>2017.1678699999998</v>
          </cell>
          <cell r="AI45">
            <v>509.86567000000008</v>
          </cell>
          <cell r="AJ45">
            <v>-141.38680000000008</v>
          </cell>
          <cell r="AK45">
            <v>-56.767919999999997</v>
          </cell>
          <cell r="AL45">
            <v>-2425.7853499999997</v>
          </cell>
          <cell r="AM45">
            <v>2166.0727799999995</v>
          </cell>
          <cell r="AN45">
            <v>-695.35512000000006</v>
          </cell>
          <cell r="AO45">
            <v>-155.88338999999999</v>
          </cell>
          <cell r="AP45">
            <v>-19.454140000000002</v>
          </cell>
          <cell r="AQ45">
            <v>-111.14628999999999</v>
          </cell>
          <cell r="AR45">
            <v>-102.36949</v>
          </cell>
          <cell r="AT45">
            <v>-244.66378999999995</v>
          </cell>
          <cell r="AU45">
            <v>0</v>
          </cell>
          <cell r="AV45">
            <v>0</v>
          </cell>
          <cell r="AW45">
            <v>0</v>
          </cell>
          <cell r="AX45">
            <v>-10.260354194624941</v>
          </cell>
          <cell r="AY45">
            <v>0</v>
          </cell>
          <cell r="AZ45">
            <v>34.05835419462494</v>
          </cell>
          <cell r="BA45">
            <v>0.51471</v>
          </cell>
          <cell r="BB45">
            <v>-2.9508299999999998</v>
          </cell>
          <cell r="BC45">
            <v>-5.672E-2</v>
          </cell>
          <cell r="BD45">
            <v>0</v>
          </cell>
          <cell r="BE45">
            <v>0</v>
          </cell>
          <cell r="BF45">
            <v>-1500</v>
          </cell>
          <cell r="BG45">
            <v>-44.193739999999998</v>
          </cell>
          <cell r="BH45">
            <v>199.2876</v>
          </cell>
          <cell r="BI45">
            <v>6.1825099999999997</v>
          </cell>
          <cell r="BJ45">
            <v>1.2789769243681802E-16</v>
          </cell>
          <cell r="BK45">
            <v>1095.0161700000021</v>
          </cell>
        </row>
        <row r="46">
          <cell r="C46">
            <v>14408.480090000001</v>
          </cell>
          <cell r="N46">
            <v>5917.3515700000016</v>
          </cell>
          <cell r="O46">
            <v>-24.81373</v>
          </cell>
          <cell r="P46">
            <v>0</v>
          </cell>
          <cell r="Q46">
            <v>0</v>
          </cell>
          <cell r="R46">
            <v>0</v>
          </cell>
          <cell r="S46">
            <v>-76.160970000000006</v>
          </cell>
          <cell r="T46">
            <v>-7.0851900000000008</v>
          </cell>
          <cell r="U46">
            <v>0</v>
          </cell>
          <cell r="V46">
            <v>-3124.4179300000001</v>
          </cell>
          <cell r="W46">
            <v>0</v>
          </cell>
          <cell r="X46">
            <v>0</v>
          </cell>
          <cell r="Y46">
            <v>-105.21608000000001</v>
          </cell>
          <cell r="Z46">
            <v>353.02386999999999</v>
          </cell>
          <cell r="AA46">
            <v>12.15194</v>
          </cell>
          <cell r="AB46">
            <v>0</v>
          </cell>
          <cell r="AC46">
            <v>-1555.5780799999998</v>
          </cell>
          <cell r="AD46">
            <v>193.68030000000002</v>
          </cell>
          <cell r="AE46">
            <v>-45.442889999999998</v>
          </cell>
          <cell r="AF46">
            <v>-315.04079000000002</v>
          </cell>
          <cell r="AG46">
            <v>0</v>
          </cell>
          <cell r="AH46">
            <v>4631.2767199999998</v>
          </cell>
          <cell r="AI46">
            <v>115.05813999999998</v>
          </cell>
          <cell r="AJ46">
            <v>-293.0003099999999</v>
          </cell>
          <cell r="AK46">
            <v>-3.7250700000000001</v>
          </cell>
          <cell r="AL46">
            <v>-2311.0446400000001</v>
          </cell>
          <cell r="AM46">
            <v>2017.3907199999999</v>
          </cell>
          <cell r="AN46">
            <v>-624.57485999999994</v>
          </cell>
          <cell r="AO46">
            <v>-174.27187999999998</v>
          </cell>
          <cell r="AP46">
            <v>-8.0763599999999993</v>
          </cell>
          <cell r="AQ46">
            <v>-86.037319999999994</v>
          </cell>
          <cell r="AR46">
            <v>-104.27783000000001</v>
          </cell>
          <cell r="AT46">
            <v>-322.36594999999994</v>
          </cell>
          <cell r="AU46">
            <v>0</v>
          </cell>
          <cell r="AV46">
            <v>0</v>
          </cell>
          <cell r="AW46">
            <v>0</v>
          </cell>
          <cell r="AX46">
            <v>9.0990000000000002</v>
          </cell>
          <cell r="AY46">
            <v>0</v>
          </cell>
          <cell r="AZ46">
            <v>0</v>
          </cell>
          <cell r="BA46">
            <v>0.28732999999999997</v>
          </cell>
          <cell r="BB46">
            <v>-1.0280799999999999</v>
          </cell>
          <cell r="BC46">
            <v>-3.2299999999999995E-2</v>
          </cell>
          <cell r="BD46">
            <v>0</v>
          </cell>
          <cell r="BE46">
            <v>6.4027200000000004</v>
          </cell>
          <cell r="BF46">
            <v>-9.0990000000000002</v>
          </cell>
          <cell r="BG46">
            <v>-0.27250000000000002</v>
          </cell>
          <cell r="BH46">
            <v>1.0385199999999999</v>
          </cell>
          <cell r="BI46">
            <v>3.1140000000000001E-2</v>
          </cell>
          <cell r="BJ46">
            <v>0</v>
          </cell>
          <cell r="BK46">
            <v>4065.2302100000015</v>
          </cell>
        </row>
        <row r="47">
          <cell r="C47">
            <v>15674.07</v>
          </cell>
          <cell r="N47">
            <v>6997.8755012949223</v>
          </cell>
          <cell r="O47">
            <v>-336.6461608680479</v>
          </cell>
          <cell r="P47">
            <v>0</v>
          </cell>
          <cell r="Q47">
            <v>-110.91060513392733</v>
          </cell>
          <cell r="R47">
            <v>0</v>
          </cell>
          <cell r="S47">
            <v>-183.13565785780025</v>
          </cell>
          <cell r="T47">
            <v>0</v>
          </cell>
          <cell r="U47">
            <v>0</v>
          </cell>
          <cell r="V47">
            <v>-2389.5601078771297</v>
          </cell>
          <cell r="W47">
            <v>0</v>
          </cell>
          <cell r="X47">
            <v>-787.25851762327227</v>
          </cell>
          <cell r="Y47">
            <v>-72.758035785805006</v>
          </cell>
          <cell r="Z47">
            <v>358.5837196140094</v>
          </cell>
          <cell r="AA47">
            <v>0</v>
          </cell>
          <cell r="AB47">
            <v>0</v>
          </cell>
          <cell r="AC47">
            <v>-1971.0444728935058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1971.0444728935058</v>
          </cell>
          <cell r="AI47">
            <v>72.758035785805006</v>
          </cell>
          <cell r="AJ47">
            <v>0</v>
          </cell>
          <cell r="AK47">
            <v>0</v>
          </cell>
          <cell r="AL47">
            <v>-1035.159367177901</v>
          </cell>
          <cell r="AM47">
            <v>0</v>
          </cell>
          <cell r="AN47">
            <v>0</v>
          </cell>
          <cell r="AO47">
            <v>-214.67707256147173</v>
          </cell>
          <cell r="AP47">
            <v>-17.322824779887949</v>
          </cell>
          <cell r="AQ47">
            <v>-159.48450543904951</v>
          </cell>
          <cell r="AR47">
            <v>-178.00277400345774</v>
          </cell>
          <cell r="AT47">
            <v>-189.25181800492811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1755.0498095820576</v>
          </cell>
        </row>
        <row r="49">
          <cell r="C49">
            <v>19430.737090000002</v>
          </cell>
          <cell r="N49">
            <v>11685.202359999999</v>
          </cell>
          <cell r="O49">
            <v>-515.09964000000014</v>
          </cell>
          <cell r="P49">
            <v>0</v>
          </cell>
          <cell r="Q49">
            <v>0</v>
          </cell>
          <cell r="R49">
            <v>11.118450000000001</v>
          </cell>
          <cell r="S49">
            <v>-184.04711</v>
          </cell>
          <cell r="T49">
            <v>-25.815359999999998</v>
          </cell>
          <cell r="U49">
            <v>0</v>
          </cell>
          <cell r="V49">
            <v>-5804.6554900000001</v>
          </cell>
          <cell r="W49">
            <v>0</v>
          </cell>
          <cell r="X49">
            <v>-650</v>
          </cell>
          <cell r="Y49">
            <v>-52.818139999999993</v>
          </cell>
          <cell r="Z49">
            <v>295.86250999999999</v>
          </cell>
          <cell r="AA49">
            <v>2.6794599999999997</v>
          </cell>
          <cell r="AB49">
            <v>0</v>
          </cell>
          <cell r="AC49">
            <v>-5262.7318100000002</v>
          </cell>
          <cell r="AD49">
            <v>96.177340000000001</v>
          </cell>
          <cell r="AE49">
            <v>-48.991609999999994</v>
          </cell>
          <cell r="AF49">
            <v>-647.22080999999991</v>
          </cell>
          <cell r="AG49">
            <v>0</v>
          </cell>
          <cell r="AH49">
            <v>6413.0893900000001</v>
          </cell>
          <cell r="AI49">
            <v>871.51091000000008</v>
          </cell>
          <cell r="AJ49">
            <v>-539.86959000000002</v>
          </cell>
          <cell r="AK49">
            <v>-35.567120000000003</v>
          </cell>
          <cell r="AL49">
            <v>-2771.9334299999996</v>
          </cell>
          <cell r="AM49">
            <v>1955.9538799999998</v>
          </cell>
          <cell r="AN49">
            <v>-949.22938999999997</v>
          </cell>
          <cell r="AO49">
            <v>-570.80102999999986</v>
          </cell>
          <cell r="AP49">
            <v>-57.113950000000003</v>
          </cell>
          <cell r="AQ49">
            <v>-342.11568999999997</v>
          </cell>
          <cell r="AR49">
            <v>-201.99614999999997</v>
          </cell>
          <cell r="AT49">
            <v>-469.42955000000035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25.429970000000012</v>
          </cell>
          <cell r="BF49">
            <v>1181.5233299999998</v>
          </cell>
          <cell r="BG49">
            <v>-10.949450000000001</v>
          </cell>
          <cell r="BH49">
            <v>-68.880020000000002</v>
          </cell>
          <cell r="BI49">
            <v>0.3497900000000001</v>
          </cell>
          <cell r="BJ49">
            <v>2.1316282072803006E-17</v>
          </cell>
          <cell r="BK49">
            <v>3329.6320499999997</v>
          </cell>
        </row>
        <row r="50">
          <cell r="C50">
            <v>19576.231649999998</v>
          </cell>
          <cell r="N50">
            <v>11628.557519999998</v>
          </cell>
          <cell r="O50">
            <v>-226.82358999999997</v>
          </cell>
          <cell r="P50">
            <v>0</v>
          </cell>
          <cell r="Q50">
            <v>0</v>
          </cell>
          <cell r="R50">
            <v>2.75</v>
          </cell>
          <cell r="S50">
            <v>-168.65814</v>
          </cell>
          <cell r="T50">
            <v>-26.223610000000001</v>
          </cell>
          <cell r="U50">
            <v>0</v>
          </cell>
          <cell r="V50">
            <v>-6081.2837300000001</v>
          </cell>
          <cell r="W50">
            <v>0</v>
          </cell>
          <cell r="X50">
            <v>-973</v>
          </cell>
          <cell r="Y50">
            <v>-119.06733</v>
          </cell>
          <cell r="Z50">
            <v>321.10401000000002</v>
          </cell>
          <cell r="AA50">
            <v>5.95831</v>
          </cell>
          <cell r="AB50">
            <v>0</v>
          </cell>
          <cell r="AC50">
            <v>-5402.3900999999996</v>
          </cell>
          <cell r="AD50">
            <v>241.73265000000001</v>
          </cell>
          <cell r="AE50">
            <v>-43.167600000000007</v>
          </cell>
          <cell r="AF50">
            <v>-615.10775000000001</v>
          </cell>
          <cell r="AG50">
            <v>0</v>
          </cell>
          <cell r="AH50">
            <v>5495.2288399999998</v>
          </cell>
          <cell r="AI50">
            <v>182.59252000000001</v>
          </cell>
          <cell r="AJ50">
            <v>-71.56709999999994</v>
          </cell>
          <cell r="AK50">
            <v>-1.47627</v>
          </cell>
          <cell r="AL50">
            <v>-2823.5981900000002</v>
          </cell>
          <cell r="AM50">
            <v>2109.226200000001</v>
          </cell>
          <cell r="AN50">
            <v>-983.58790000000022</v>
          </cell>
          <cell r="AO50">
            <v>-495.68280000000004</v>
          </cell>
          <cell r="AP50">
            <v>-31.277560000000001</v>
          </cell>
          <cell r="AQ50">
            <v>-268.15575999999999</v>
          </cell>
          <cell r="AR50">
            <v>-241.74742000000001</v>
          </cell>
          <cell r="AT50">
            <v>-512.84781999999984</v>
          </cell>
          <cell r="AU50">
            <v>0</v>
          </cell>
          <cell r="AV50">
            <v>0</v>
          </cell>
          <cell r="AW50">
            <v>0</v>
          </cell>
          <cell r="AX50">
            <v>0.51</v>
          </cell>
          <cell r="AY50">
            <v>0</v>
          </cell>
          <cell r="AZ50">
            <v>0</v>
          </cell>
          <cell r="BA50">
            <v>9.9499999999999988E-3</v>
          </cell>
          <cell r="BB50">
            <v>-2.3210000000000001E-2</v>
          </cell>
          <cell r="BC50">
            <v>-4.4000000000000002E-4</v>
          </cell>
          <cell r="BD50">
            <v>0</v>
          </cell>
          <cell r="BE50">
            <v>45.533770000000004</v>
          </cell>
          <cell r="BF50">
            <v>68.798999999999921</v>
          </cell>
          <cell r="BG50">
            <v>-5.852450000000001</v>
          </cell>
          <cell r="BH50">
            <v>-24.910420000000006</v>
          </cell>
          <cell r="BI50">
            <v>-0.42237999999999998</v>
          </cell>
          <cell r="BJ50">
            <v>0</v>
          </cell>
          <cell r="BK50">
            <v>985.13120000000129</v>
          </cell>
        </row>
        <row r="51">
          <cell r="C51">
            <v>17760.88</v>
          </cell>
          <cell r="N51">
            <v>11963.473838708574</v>
          </cell>
          <cell r="O51">
            <v>-2073.2052799089024</v>
          </cell>
          <cell r="P51">
            <v>0</v>
          </cell>
          <cell r="Q51">
            <v>-278.67147148720056</v>
          </cell>
          <cell r="R51">
            <v>0</v>
          </cell>
          <cell r="S51">
            <v>-213.11438745023656</v>
          </cell>
          <cell r="T51">
            <v>-94.191998673032955</v>
          </cell>
          <cell r="U51">
            <v>0</v>
          </cell>
          <cell r="V51">
            <v>-4025.3718244403226</v>
          </cell>
          <cell r="W51">
            <v>0</v>
          </cell>
          <cell r="X51">
            <v>-541.07342889325082</v>
          </cell>
          <cell r="Y51">
            <v>-113.78830434974465</v>
          </cell>
          <cell r="Z51">
            <v>201.45670132485438</v>
          </cell>
          <cell r="AA51">
            <v>0</v>
          </cell>
          <cell r="AB51">
            <v>0</v>
          </cell>
          <cell r="AC51">
            <v>-2953.7336740966452</v>
          </cell>
          <cell r="AD51">
            <v>0</v>
          </cell>
          <cell r="AE51">
            <v>0</v>
          </cell>
          <cell r="AF51">
            <v>-224.65175577614525</v>
          </cell>
          <cell r="AG51">
            <v>0</v>
          </cell>
          <cell r="AH51">
            <v>3428.3854298727911</v>
          </cell>
          <cell r="AI51">
            <v>113.78830434974465</v>
          </cell>
          <cell r="AJ51">
            <v>0</v>
          </cell>
          <cell r="AK51">
            <v>0</v>
          </cell>
          <cell r="AL51">
            <v>-1726.3067827612774</v>
          </cell>
          <cell r="AM51">
            <v>0</v>
          </cell>
          <cell r="AN51">
            <v>0</v>
          </cell>
          <cell r="AO51">
            <v>-539.85968904148774</v>
          </cell>
          <cell r="AP51">
            <v>-31.446944164485984</v>
          </cell>
          <cell r="AQ51">
            <v>-399.49166340307107</v>
          </cell>
          <cell r="AR51">
            <v>-298.71497753461148</v>
          </cell>
          <cell r="AT51">
            <v>-523.14945351452104</v>
          </cell>
          <cell r="AU51">
            <v>47.776662464241191</v>
          </cell>
          <cell r="AV51">
            <v>0</v>
          </cell>
          <cell r="AW51">
            <v>27.32068240135937</v>
          </cell>
          <cell r="AX51">
            <v>92.76400789303537</v>
          </cell>
          <cell r="AY51">
            <v>0</v>
          </cell>
          <cell r="AZ51">
            <v>53.046317327412453</v>
          </cell>
          <cell r="BA51">
            <v>3.4973163006852745</v>
          </cell>
          <cell r="BB51">
            <v>-6.4326769609623007</v>
          </cell>
          <cell r="BC51">
            <v>0</v>
          </cell>
          <cell r="BD51">
            <v>0</v>
          </cell>
          <cell r="BE51">
            <v>378.62661749999995</v>
          </cell>
          <cell r="BF51">
            <v>-378.62661749999995</v>
          </cell>
          <cell r="BG51">
            <v>-3.4973163006852745</v>
          </cell>
          <cell r="BH51">
            <v>0</v>
          </cell>
          <cell r="BI51">
            <v>0</v>
          </cell>
          <cell r="BJ51">
            <v>0</v>
          </cell>
          <cell r="BK51">
            <v>1884.8076318861149</v>
          </cell>
        </row>
        <row r="53">
          <cell r="C53">
            <v>1589.3980000000004</v>
          </cell>
          <cell r="N53">
            <v>576.17738999999983</v>
          </cell>
          <cell r="O53">
            <v>-0.6</v>
          </cell>
          <cell r="P53">
            <v>0</v>
          </cell>
          <cell r="Q53">
            <v>0</v>
          </cell>
          <cell r="R53">
            <v>0</v>
          </cell>
          <cell r="S53">
            <v>-3.1546199999999995</v>
          </cell>
          <cell r="T53">
            <v>0</v>
          </cell>
          <cell r="U53">
            <v>0</v>
          </cell>
          <cell r="V53">
            <v>-99.614880000000014</v>
          </cell>
          <cell r="W53">
            <v>0</v>
          </cell>
          <cell r="X53">
            <v>0</v>
          </cell>
          <cell r="Y53">
            <v>-2.9103099999999995</v>
          </cell>
          <cell r="Z53">
            <v>6.8723900000000002</v>
          </cell>
          <cell r="AA53">
            <v>0.15085999999999999</v>
          </cell>
          <cell r="AB53">
            <v>0</v>
          </cell>
          <cell r="AC53">
            <v>-168.86911000000001</v>
          </cell>
          <cell r="AD53">
            <v>0</v>
          </cell>
          <cell r="AE53">
            <v>-0.77193000000000001</v>
          </cell>
          <cell r="AF53">
            <v>-6.1853700000000007</v>
          </cell>
          <cell r="AG53">
            <v>0</v>
          </cell>
          <cell r="AH53">
            <v>416.06140000000005</v>
          </cell>
          <cell r="AI53">
            <v>22.356819999999999</v>
          </cell>
          <cell r="AJ53">
            <v>-15.784160000000002</v>
          </cell>
          <cell r="AK53">
            <v>-0.89444999999999997</v>
          </cell>
          <cell r="AL53">
            <v>-309.75768999999991</v>
          </cell>
          <cell r="AM53">
            <v>431.34377000000001</v>
          </cell>
          <cell r="AN53">
            <v>-239.67311999999998</v>
          </cell>
          <cell r="AO53">
            <v>-9.8697099999999995</v>
          </cell>
          <cell r="AP53">
            <v>-2.2357100000000001</v>
          </cell>
          <cell r="AQ53">
            <v>-30.400850000000002</v>
          </cell>
          <cell r="AR53">
            <v>-19.752459999999999</v>
          </cell>
          <cell r="AT53">
            <v>-24.012069999999994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2.5</v>
          </cell>
          <cell r="BG53">
            <v>0.91336999999999979</v>
          </cell>
          <cell r="BH53">
            <v>-0.16748000000000002</v>
          </cell>
          <cell r="BI53">
            <v>-3.2100000000000002E-3</v>
          </cell>
          <cell r="BJ53">
            <v>0</v>
          </cell>
          <cell r="BK53">
            <v>521.71886999999981</v>
          </cell>
        </row>
        <row r="54">
          <cell r="C54">
            <v>1711.9105799999998</v>
          </cell>
          <cell r="N54">
            <v>646.57656999999995</v>
          </cell>
          <cell r="O54">
            <v>-5.3694800000000003</v>
          </cell>
          <cell r="P54">
            <v>0</v>
          </cell>
          <cell r="Q54">
            <v>0</v>
          </cell>
          <cell r="R54">
            <v>0</v>
          </cell>
          <cell r="S54">
            <v>-0.17661000000000002</v>
          </cell>
          <cell r="T54">
            <v>-0.20469000000000001</v>
          </cell>
          <cell r="U54">
            <v>0</v>
          </cell>
          <cell r="V54">
            <v>-137.71706999999998</v>
          </cell>
          <cell r="W54">
            <v>0</v>
          </cell>
          <cell r="X54">
            <v>0</v>
          </cell>
          <cell r="Y54">
            <v>-6.289979999999999</v>
          </cell>
          <cell r="Z54">
            <v>9.0299300000000002</v>
          </cell>
          <cell r="AA54">
            <v>0.33576999999999996</v>
          </cell>
          <cell r="AB54">
            <v>0</v>
          </cell>
          <cell r="AC54">
            <v>-104.77455</v>
          </cell>
          <cell r="AD54">
            <v>4.725E-2</v>
          </cell>
          <cell r="AE54">
            <v>-6.9700000000000012E-2</v>
          </cell>
          <cell r="AF54">
            <v>-13.799769999999999</v>
          </cell>
          <cell r="AG54">
            <v>0</v>
          </cell>
          <cell r="AH54">
            <v>544.78976</v>
          </cell>
          <cell r="AI54">
            <v>23.091340000000002</v>
          </cell>
          <cell r="AJ54">
            <v>-24.879539999999999</v>
          </cell>
          <cell r="AK54">
            <v>-0.76596999999999982</v>
          </cell>
          <cell r="AL54">
            <v>-336.33877999999993</v>
          </cell>
          <cell r="AM54">
            <v>319.77353000000005</v>
          </cell>
          <cell r="AN54">
            <v>-117.04581999999999</v>
          </cell>
          <cell r="AO54">
            <v>-18.298620000000003</v>
          </cell>
          <cell r="AP54">
            <v>-1.34222</v>
          </cell>
          <cell r="AQ54">
            <v>-13.287369999999999</v>
          </cell>
          <cell r="AR54">
            <v>-15.029599999999999</v>
          </cell>
          <cell r="AT54">
            <v>-9.6919399999999989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-0.97463999999999995</v>
          </cell>
          <cell r="BH54">
            <v>4.1820000000000003E-2</v>
          </cell>
          <cell r="BI54">
            <v>3.6000000000000002E-4</v>
          </cell>
          <cell r="BJ54">
            <v>0</v>
          </cell>
          <cell r="BK54">
            <v>737.62998000000005</v>
          </cell>
        </row>
        <row r="55">
          <cell r="C55">
            <v>1664.96</v>
          </cell>
          <cell r="N55">
            <v>675.56278877588716</v>
          </cell>
          <cell r="O55">
            <v>-32.606570644415953</v>
          </cell>
          <cell r="P55">
            <v>0</v>
          </cell>
          <cell r="Q55">
            <v>0</v>
          </cell>
          <cell r="R55">
            <v>0</v>
          </cell>
          <cell r="S55">
            <v>-4.2660355003265398</v>
          </cell>
          <cell r="T55">
            <v>0</v>
          </cell>
          <cell r="U55">
            <v>0</v>
          </cell>
          <cell r="V55">
            <v>-112.92649863276864</v>
          </cell>
          <cell r="W55">
            <v>0</v>
          </cell>
          <cell r="X55">
            <v>0</v>
          </cell>
          <cell r="Y55">
            <v>-2.7835205508749854</v>
          </cell>
          <cell r="Z55">
            <v>6.5419585267028229</v>
          </cell>
          <cell r="AA55">
            <v>0</v>
          </cell>
          <cell r="AB55">
            <v>0</v>
          </cell>
          <cell r="AC55">
            <v>-157.13367724722841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159.63367724722843</v>
          </cell>
          <cell r="AI55">
            <v>2.7835205508749854</v>
          </cell>
          <cell r="AJ55">
            <v>0</v>
          </cell>
          <cell r="AK55">
            <v>0</v>
          </cell>
          <cell r="AL55">
            <v>-139.83245589085928</v>
          </cell>
          <cell r="AM55">
            <v>0</v>
          </cell>
          <cell r="AN55">
            <v>0</v>
          </cell>
          <cell r="AO55">
            <v>-11.62056069056384</v>
          </cell>
          <cell r="AP55">
            <v>-1.5621515468889271</v>
          </cell>
          <cell r="AQ55">
            <v>-33.759802139232185</v>
          </cell>
          <cell r="AR55">
            <v>-24.090765617075714</v>
          </cell>
          <cell r="AT55">
            <v>-23.977686944599856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6.6427500000000013</v>
          </cell>
          <cell r="BF55">
            <v>-6.6427500000000013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299.96221969585918</v>
          </cell>
        </row>
        <row r="57">
          <cell r="C57">
            <v>1871.2833300000002</v>
          </cell>
          <cell r="N57">
            <v>1214.28604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-30.322630000000004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-7.2542299999999997</v>
          </cell>
          <cell r="AF57">
            <v>0</v>
          </cell>
          <cell r="AG57">
            <v>0</v>
          </cell>
          <cell r="AH57">
            <v>25.481729999999999</v>
          </cell>
          <cell r="AI57">
            <v>1.0139100000000001</v>
          </cell>
          <cell r="AJ57">
            <v>-1.13053</v>
          </cell>
          <cell r="AK57">
            <v>-5.9549999999999999E-2</v>
          </cell>
          <cell r="AL57">
            <v>-356.36191000000002</v>
          </cell>
          <cell r="AM57">
            <v>253.12975000000003</v>
          </cell>
          <cell r="AN57">
            <v>-124.90256000000002</v>
          </cell>
          <cell r="AO57">
            <v>-27.99868</v>
          </cell>
          <cell r="AP57">
            <v>-7.1183299999999994</v>
          </cell>
          <cell r="AQ57">
            <v>-54.925149999999995</v>
          </cell>
          <cell r="AR57">
            <v>-37.435989999999997</v>
          </cell>
          <cell r="AT57">
            <v>-1057.50602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-211.10415000000009</v>
          </cell>
        </row>
        <row r="58">
          <cell r="C58">
            <v>1861.5170199999998</v>
          </cell>
          <cell r="N58">
            <v>1203.0020299999999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-37.67022</v>
          </cell>
          <cell r="T58">
            <v>-7.5600000000000007E-3</v>
          </cell>
          <cell r="U58">
            <v>0</v>
          </cell>
          <cell r="V58">
            <v>-2.1089099999999998</v>
          </cell>
          <cell r="W58">
            <v>0</v>
          </cell>
          <cell r="X58">
            <v>0</v>
          </cell>
          <cell r="Y58">
            <v>-4.8550000000000003E-2</v>
          </cell>
          <cell r="Z58">
            <v>7.2620000000000004E-2</v>
          </cell>
          <cell r="AA58">
            <v>2.99E-3</v>
          </cell>
          <cell r="AB58">
            <v>0</v>
          </cell>
          <cell r="AC58">
            <v>-0.13219</v>
          </cell>
          <cell r="AD58">
            <v>2.3844000000000003</v>
          </cell>
          <cell r="AE58">
            <v>-13.38363</v>
          </cell>
          <cell r="AF58">
            <v>0</v>
          </cell>
          <cell r="AG58">
            <v>0</v>
          </cell>
          <cell r="AH58">
            <v>21.044800000000002</v>
          </cell>
          <cell r="AI58">
            <v>0.50107000000000002</v>
          </cell>
          <cell r="AJ58">
            <v>-0.28674999999999962</v>
          </cell>
          <cell r="AK58">
            <v>-9.5999999999999905E-4</v>
          </cell>
          <cell r="AL58">
            <v>-352.89303000000001</v>
          </cell>
          <cell r="AM58">
            <v>252.23074000000005</v>
          </cell>
          <cell r="AN58">
            <v>-124.16802000000004</v>
          </cell>
          <cell r="AO58">
            <v>-18.772449999999999</v>
          </cell>
          <cell r="AP58">
            <v>-8.67272</v>
          </cell>
          <cell r="AQ58">
            <v>-90.460239999999999</v>
          </cell>
          <cell r="AR58">
            <v>-65.534890000000004</v>
          </cell>
          <cell r="AT58">
            <v>-1075.7370899999999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-310.63855999999998</v>
          </cell>
        </row>
        <row r="59">
          <cell r="C59">
            <v>1690.46</v>
          </cell>
          <cell r="N59">
            <v>1139.6885430126722</v>
          </cell>
          <cell r="O59">
            <v>-60.694150476015736</v>
          </cell>
          <cell r="P59">
            <v>0</v>
          </cell>
          <cell r="Q59">
            <v>0</v>
          </cell>
          <cell r="R59">
            <v>0</v>
          </cell>
          <cell r="S59">
            <v>-44.311279100970587</v>
          </cell>
          <cell r="T59">
            <v>-31.313261216391627</v>
          </cell>
          <cell r="U59">
            <v>0</v>
          </cell>
          <cell r="V59">
            <v>-43.408537824154465</v>
          </cell>
          <cell r="W59">
            <v>0</v>
          </cell>
          <cell r="X59">
            <v>0</v>
          </cell>
          <cell r="Y59">
            <v>-1.4670147631282449</v>
          </cell>
          <cell r="Z59">
            <v>2.7585817240279975</v>
          </cell>
          <cell r="AA59">
            <v>0</v>
          </cell>
          <cell r="AB59">
            <v>0</v>
          </cell>
          <cell r="AC59">
            <v>78.790005810623725</v>
          </cell>
          <cell r="AD59">
            <v>0</v>
          </cell>
          <cell r="AE59">
            <v>0</v>
          </cell>
          <cell r="AF59">
            <v>-78.790005810623725</v>
          </cell>
          <cell r="AG59">
            <v>0</v>
          </cell>
          <cell r="AH59">
            <v>0</v>
          </cell>
          <cell r="AI59">
            <v>1.4670147631282449</v>
          </cell>
          <cell r="AJ59">
            <v>0</v>
          </cell>
          <cell r="AK59">
            <v>0</v>
          </cell>
          <cell r="AL59">
            <v>-199.49207874291287</v>
          </cell>
          <cell r="AM59">
            <v>0</v>
          </cell>
          <cell r="AN59">
            <v>0</v>
          </cell>
          <cell r="AO59">
            <v>-31.412426221769188</v>
          </cell>
          <cell r="AP59">
            <v>-3.1356446203636676</v>
          </cell>
          <cell r="AQ59">
            <v>-59.761889451639838</v>
          </cell>
          <cell r="AR59">
            <v>-33.695329529194254</v>
          </cell>
          <cell r="AT59">
            <v>-756.17976080100925</v>
          </cell>
          <cell r="AU59">
            <v>137.88468695629501</v>
          </cell>
          <cell r="AV59">
            <v>0</v>
          </cell>
          <cell r="AW59">
            <v>0</v>
          </cell>
          <cell r="AX59">
            <v>98.615313043705001</v>
          </cell>
          <cell r="AY59">
            <v>0</v>
          </cell>
          <cell r="AZ59">
            <v>0</v>
          </cell>
          <cell r="BA59">
            <v>1.545977855965925</v>
          </cell>
          <cell r="BB59">
            <v>-3.0201420993300316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-1.545977855965925</v>
          </cell>
          <cell r="BH59">
            <v>0</v>
          </cell>
          <cell r="BI59">
            <v>0</v>
          </cell>
          <cell r="BJ59">
            <v>0</v>
          </cell>
          <cell r="BK59">
            <v>112.52262465294865</v>
          </cell>
        </row>
        <row r="61">
          <cell r="C61">
            <v>3605.6386399999997</v>
          </cell>
          <cell r="N61">
            <v>2275.849279999999</v>
          </cell>
          <cell r="O61">
            <v>-28.862090000000002</v>
          </cell>
          <cell r="P61">
            <v>0</v>
          </cell>
          <cell r="Q61">
            <v>0</v>
          </cell>
          <cell r="R61">
            <v>0</v>
          </cell>
          <cell r="S61">
            <v>-30.186399999999999</v>
          </cell>
          <cell r="T61">
            <v>0</v>
          </cell>
          <cell r="U61">
            <v>0</v>
          </cell>
          <cell r="V61">
            <v>-671.57868000000008</v>
          </cell>
          <cell r="W61">
            <v>0</v>
          </cell>
          <cell r="X61">
            <v>0</v>
          </cell>
          <cell r="Y61">
            <v>-9.5680399999999999</v>
          </cell>
          <cell r="Z61">
            <v>20.143080000000001</v>
          </cell>
          <cell r="AA61">
            <v>0.29255999999999999</v>
          </cell>
          <cell r="AB61">
            <v>0</v>
          </cell>
          <cell r="AC61">
            <v>-274.13684000000001</v>
          </cell>
          <cell r="AD61">
            <v>15.18562</v>
          </cell>
          <cell r="AE61">
            <v>-11.637129999999999</v>
          </cell>
          <cell r="AF61">
            <v>-43.882680000000008</v>
          </cell>
          <cell r="AG61">
            <v>0</v>
          </cell>
          <cell r="AH61">
            <v>633.57531999999969</v>
          </cell>
          <cell r="AI61">
            <v>124.29280000000001</v>
          </cell>
          <cell r="AJ61">
            <v>-63.194430000000004</v>
          </cell>
          <cell r="AK61">
            <v>-5.8023800000000003</v>
          </cell>
          <cell r="AL61">
            <v>-756.66954999999996</v>
          </cell>
          <cell r="AM61">
            <v>800.38230999999996</v>
          </cell>
          <cell r="AN61">
            <v>-555.85626999999999</v>
          </cell>
          <cell r="AO61">
            <v>-26.337199999999999</v>
          </cell>
          <cell r="AP61">
            <v>-11.253570000000002</v>
          </cell>
          <cell r="AQ61">
            <v>-87.702540000000013</v>
          </cell>
          <cell r="AR61">
            <v>-53.275630000000007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1239.777539999998</v>
          </cell>
        </row>
        <row r="62">
          <cell r="C62">
            <v>3247.0821100000003</v>
          </cell>
          <cell r="N62">
            <v>2066.2056399999992</v>
          </cell>
          <cell r="O62">
            <v>-11.158519999999999</v>
          </cell>
          <cell r="P62">
            <v>0</v>
          </cell>
          <cell r="Q62">
            <v>0</v>
          </cell>
          <cell r="R62">
            <v>0</v>
          </cell>
          <cell r="S62">
            <v>-53.931039999999996</v>
          </cell>
          <cell r="T62">
            <v>-0.41692000000000001</v>
          </cell>
          <cell r="U62">
            <v>0</v>
          </cell>
          <cell r="V62">
            <v>-691.43705999999997</v>
          </cell>
          <cell r="W62">
            <v>0</v>
          </cell>
          <cell r="X62">
            <v>0</v>
          </cell>
          <cell r="Y62">
            <v>-15.59674</v>
          </cell>
          <cell r="Z62">
            <v>23.461389999999998</v>
          </cell>
          <cell r="AA62">
            <v>0.72160999999999997</v>
          </cell>
          <cell r="AB62">
            <v>0</v>
          </cell>
          <cell r="AC62">
            <v>-410.40964000000002</v>
          </cell>
          <cell r="AD62">
            <v>7.9126899999999996</v>
          </cell>
          <cell r="AE62">
            <v>-26.367819999999998</v>
          </cell>
          <cell r="AF62">
            <v>-33.322389999999999</v>
          </cell>
          <cell r="AG62">
            <v>0</v>
          </cell>
          <cell r="AH62">
            <v>1056.4668100000001</v>
          </cell>
          <cell r="AI62">
            <v>-3.4474699999999929</v>
          </cell>
          <cell r="AJ62">
            <v>27.003930000000004</v>
          </cell>
          <cell r="AK62">
            <v>1.9009800000000001</v>
          </cell>
          <cell r="AL62">
            <v>-659.10868999999991</v>
          </cell>
          <cell r="AM62">
            <v>754.44263999999998</v>
          </cell>
          <cell r="AN62">
            <v>-546.44912999999997</v>
          </cell>
          <cell r="AO62">
            <v>-35.286079999999998</v>
          </cell>
          <cell r="AP62">
            <v>-10.28543</v>
          </cell>
          <cell r="AQ62">
            <v>-95.292689999999993</v>
          </cell>
          <cell r="AR62">
            <v>-77.137560000000008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1268.4685099999997</v>
          </cell>
        </row>
        <row r="63">
          <cell r="C63">
            <v>2151.64</v>
          </cell>
          <cell r="N63">
            <v>1276.5869121490518</v>
          </cell>
          <cell r="O63">
            <v>-121.67079774743078</v>
          </cell>
          <cell r="P63">
            <v>0</v>
          </cell>
          <cell r="Q63">
            <v>0</v>
          </cell>
          <cell r="R63">
            <v>0</v>
          </cell>
          <cell r="S63">
            <v>-46.138832774679216</v>
          </cell>
          <cell r="T63">
            <v>0</v>
          </cell>
          <cell r="U63">
            <v>0</v>
          </cell>
          <cell r="V63">
            <v>-103.2803454476351</v>
          </cell>
          <cell r="W63">
            <v>0</v>
          </cell>
          <cell r="X63">
            <v>0</v>
          </cell>
          <cell r="Y63">
            <v>-2.9345138628015115</v>
          </cell>
          <cell r="Z63">
            <v>4.7374352511666515</v>
          </cell>
          <cell r="AA63">
            <v>0</v>
          </cell>
          <cell r="AB63">
            <v>0</v>
          </cell>
          <cell r="AC63">
            <v>-77.722211429413989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88.472211429413974</v>
          </cell>
          <cell r="AI63">
            <v>2.9345138628015115</v>
          </cell>
          <cell r="AJ63">
            <v>0</v>
          </cell>
          <cell r="AK63">
            <v>0</v>
          </cell>
          <cell r="AL63">
            <v>-248.83914057827471</v>
          </cell>
          <cell r="AM63">
            <v>0</v>
          </cell>
          <cell r="AN63">
            <v>0</v>
          </cell>
          <cell r="AO63">
            <v>-30.489429650240002</v>
          </cell>
          <cell r="AP63">
            <v>-5.1221080164152255</v>
          </cell>
          <cell r="AQ63">
            <v>-107.45115149291584</v>
          </cell>
          <cell r="AR63">
            <v>-64.460310069930401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564.62223162269709</v>
          </cell>
        </row>
        <row r="65">
          <cell r="C65">
            <v>364474.85934999998</v>
          </cell>
          <cell r="N65">
            <v>213113.07100000003</v>
          </cell>
          <cell r="O65">
            <v>-7334.0088199999991</v>
          </cell>
          <cell r="P65">
            <v>-4.6583400000000008</v>
          </cell>
          <cell r="Q65">
            <v>-50.304000000000002</v>
          </cell>
          <cell r="R65">
            <v>1250.6047499999997</v>
          </cell>
          <cell r="S65">
            <v>-5393.6848599999994</v>
          </cell>
          <cell r="T65">
            <v>-1799.8700799999999</v>
          </cell>
          <cell r="U65">
            <v>-2307.8780200000001</v>
          </cell>
          <cell r="V65">
            <v>-94247.512138657636</v>
          </cell>
          <cell r="W65">
            <v>-600.37724000000003</v>
          </cell>
          <cell r="X65">
            <v>-26611.050921342365</v>
          </cell>
          <cell r="Y65">
            <v>-1300.5279300000002</v>
          </cell>
          <cell r="Z65">
            <v>7485.9275999999991</v>
          </cell>
          <cell r="AA65">
            <v>107.01274999999998</v>
          </cell>
          <cell r="AB65">
            <v>70</v>
          </cell>
          <cell r="AC65">
            <v>-115575.10646000002</v>
          </cell>
          <cell r="AD65">
            <v>13503.306340000001</v>
          </cell>
          <cell r="AE65">
            <v>-2598.9647800000002</v>
          </cell>
          <cell r="AF65">
            <v>-5923.2893599999998</v>
          </cell>
          <cell r="AG65">
            <v>0</v>
          </cell>
          <cell r="AH65">
            <v>106395.17586000002</v>
          </cell>
          <cell r="AI65">
            <v>12382.08497</v>
          </cell>
          <cell r="AJ65">
            <v>-3776.4054400000005</v>
          </cell>
          <cell r="AK65">
            <v>-918.47959999999989</v>
          </cell>
          <cell r="AL65">
            <v>-58270.786589999989</v>
          </cell>
          <cell r="AM65">
            <v>52264.636149999998</v>
          </cell>
          <cell r="AN65">
            <v>-28316.006980000002</v>
          </cell>
          <cell r="AO65">
            <v>-6396.6331499999987</v>
          </cell>
          <cell r="AP65">
            <v>-908.7019200000002</v>
          </cell>
          <cell r="AQ65">
            <v>-8654.1366199999975</v>
          </cell>
          <cell r="AR65">
            <v>-5014.9437900000003</v>
          </cell>
          <cell r="AT65">
            <v>-9530.186260000004</v>
          </cell>
          <cell r="AU65">
            <v>-85.916139999999999</v>
          </cell>
          <cell r="AV65">
            <v>0</v>
          </cell>
          <cell r="AW65">
            <v>0</v>
          </cell>
          <cell r="AX65">
            <v>2081.2776127380603</v>
          </cell>
          <cell r="AY65">
            <v>0</v>
          </cell>
          <cell r="AZ65">
            <v>1030.2132372619399</v>
          </cell>
          <cell r="BA65">
            <v>29.596520000000005</v>
          </cell>
          <cell r="BB65">
            <v>-138.90717000000001</v>
          </cell>
          <cell r="BC65">
            <v>-1.8259400000000003</v>
          </cell>
          <cell r="BD65">
            <v>0</v>
          </cell>
          <cell r="BE65">
            <v>6350.0085800000006</v>
          </cell>
          <cell r="BF65">
            <v>-9410.4773199999909</v>
          </cell>
          <cell r="BG65">
            <v>-800.8285800000001</v>
          </cell>
          <cell r="BH65">
            <v>-83.488410000000258</v>
          </cell>
          <cell r="BI65">
            <v>92.028239999999997</v>
          </cell>
          <cell r="BJ65">
            <v>1.1492140572499919E-13</v>
          </cell>
          <cell r="BK65">
            <v>20099.986749999985</v>
          </cell>
        </row>
        <row r="66">
          <cell r="C66">
            <v>357454.20706000004</v>
          </cell>
          <cell r="N66">
            <v>203870.16044999997</v>
          </cell>
          <cell r="O66">
            <v>-7201.5924299999988</v>
          </cell>
          <cell r="P66">
            <v>0</v>
          </cell>
          <cell r="Q66">
            <v>-504.40600000000006</v>
          </cell>
          <cell r="R66">
            <v>971.87594000000001</v>
          </cell>
          <cell r="S66">
            <v>-5440.0676000000012</v>
          </cell>
          <cell r="T66">
            <v>-1029.87473</v>
          </cell>
          <cell r="U66">
            <v>-1915.0684999999999</v>
          </cell>
          <cell r="V66">
            <v>-89528.316116189715</v>
          </cell>
          <cell r="W66">
            <v>0</v>
          </cell>
          <cell r="X66">
            <v>-25978.132693810265</v>
          </cell>
          <cell r="Y66">
            <v>-1809.88059</v>
          </cell>
          <cell r="Z66">
            <v>6516.7918499999996</v>
          </cell>
          <cell r="AA66">
            <v>155.56815000000003</v>
          </cell>
          <cell r="AB66">
            <v>-400</v>
          </cell>
          <cell r="AC66">
            <v>-131085.97752000004</v>
          </cell>
          <cell r="AD66">
            <v>11954.213459999999</v>
          </cell>
          <cell r="AE66">
            <v>-2764.7920299999996</v>
          </cell>
          <cell r="AF66">
            <v>-6192.7047000000002</v>
          </cell>
          <cell r="AG66">
            <v>0</v>
          </cell>
          <cell r="AH66">
            <v>131700.75743</v>
          </cell>
          <cell r="AI66">
            <v>2077.6541200000001</v>
          </cell>
          <cell r="AJ66">
            <v>563.75301000000013</v>
          </cell>
          <cell r="AK66">
            <v>57.466270000000016</v>
          </cell>
          <cell r="AL66">
            <v>-57057.334840000003</v>
          </cell>
          <cell r="AM66">
            <v>51130.497149999996</v>
          </cell>
          <cell r="AN66">
            <v>-27019.769710000004</v>
          </cell>
          <cell r="AO66">
            <v>-6673.9272000000001</v>
          </cell>
          <cell r="AP66">
            <v>-778.40266999999994</v>
          </cell>
          <cell r="AQ66">
            <v>-8016.0286399999995</v>
          </cell>
          <cell r="AR66">
            <v>-5568.70633</v>
          </cell>
          <cell r="AT66">
            <v>-13434.583050000007</v>
          </cell>
          <cell r="AU66">
            <v>17.829470000000001</v>
          </cell>
          <cell r="AV66">
            <v>0</v>
          </cell>
          <cell r="AW66">
            <v>0</v>
          </cell>
          <cell r="AX66">
            <v>5097.4843195910225</v>
          </cell>
          <cell r="AY66">
            <v>0</v>
          </cell>
          <cell r="AZ66">
            <v>871.105300408978</v>
          </cell>
          <cell r="BA66">
            <v>83.428789999999992</v>
          </cell>
          <cell r="BB66">
            <v>-345.99421999999998</v>
          </cell>
          <cell r="BC66">
            <v>-7.3952499999999999</v>
          </cell>
          <cell r="BD66">
            <v>0</v>
          </cell>
          <cell r="BE66">
            <v>21851.00189</v>
          </cell>
          <cell r="BF66">
            <v>-23865.229629999998</v>
          </cell>
          <cell r="BG66">
            <v>-733.25486000000001</v>
          </cell>
          <cell r="BH66">
            <v>94.304279999999963</v>
          </cell>
          <cell r="BI66">
            <v>-3.0909699999999956</v>
          </cell>
          <cell r="BJ66">
            <v>-5.0683013341767934E-14</v>
          </cell>
          <cell r="BK66">
            <v>19659.36159999996</v>
          </cell>
        </row>
        <row r="67">
          <cell r="C67">
            <v>362713.45000000007</v>
          </cell>
          <cell r="N67">
            <v>226603.05203455366</v>
          </cell>
          <cell r="O67">
            <v>-42799.882747672367</v>
          </cell>
          <cell r="P67">
            <v>-4823.121144219911</v>
          </cell>
          <cell r="Q67">
            <v>-11069.252848652595</v>
          </cell>
          <cell r="R67">
            <v>0</v>
          </cell>
          <cell r="S67">
            <v>-9183.6145543695457</v>
          </cell>
          <cell r="T67">
            <v>-2070.5823608200749</v>
          </cell>
          <cell r="U67">
            <v>0</v>
          </cell>
          <cell r="V67">
            <v>-55787.028933592934</v>
          </cell>
          <cell r="W67">
            <v>-4491.7226006274614</v>
          </cell>
          <cell r="X67">
            <v>-18460.879853295119</v>
          </cell>
          <cell r="Y67">
            <v>-1973.0560801209965</v>
          </cell>
          <cell r="Z67">
            <v>5060.7026220639664</v>
          </cell>
          <cell r="AA67">
            <v>0</v>
          </cell>
          <cell r="AB67">
            <v>0</v>
          </cell>
          <cell r="AC67">
            <v>-67852.135792136745</v>
          </cell>
          <cell r="AD67">
            <v>0</v>
          </cell>
          <cell r="AE67">
            <v>0</v>
          </cell>
          <cell r="AF67">
            <v>-5313.7149743375294</v>
          </cell>
          <cell r="AG67">
            <v>0</v>
          </cell>
          <cell r="AH67">
            <v>75820.100766474279</v>
          </cell>
          <cell r="AI67">
            <v>1973.0560801209965</v>
          </cell>
          <cell r="AJ67">
            <v>0</v>
          </cell>
          <cell r="AK67">
            <v>0</v>
          </cell>
          <cell r="AL67">
            <v>-36639.932992032234</v>
          </cell>
          <cell r="AM67">
            <v>0</v>
          </cell>
          <cell r="AN67">
            <v>0</v>
          </cell>
          <cell r="AO67">
            <v>-7010.603414213926</v>
          </cell>
          <cell r="AP67">
            <v>-854.29366219456142</v>
          </cell>
          <cell r="AQ67">
            <v>-9628.8767379798719</v>
          </cell>
          <cell r="AR67">
            <v>-7699.5947398409762</v>
          </cell>
          <cell r="AT67">
            <v>-15749.301499371522</v>
          </cell>
          <cell r="AU67">
            <v>2240.6711314137146</v>
          </cell>
          <cell r="AV67">
            <v>1703.3260123680311</v>
          </cell>
          <cell r="AW67">
            <v>652.4037382385286</v>
          </cell>
          <cell r="AX67">
            <v>3147.3149888751213</v>
          </cell>
          <cell r="AY67">
            <v>1769.1012120661644</v>
          </cell>
          <cell r="AZ67">
            <v>941.26785452020681</v>
          </cell>
          <cell r="BA67">
            <v>132.14841902605511</v>
          </cell>
          <cell r="BB67">
            <v>-288.23868999622994</v>
          </cell>
          <cell r="BC67">
            <v>0</v>
          </cell>
          <cell r="BD67">
            <v>0</v>
          </cell>
          <cell r="BE67">
            <v>3675.5691899999974</v>
          </cell>
          <cell r="BF67">
            <v>-3951.8446787499975</v>
          </cell>
          <cell r="BG67">
            <v>-132.14841902605511</v>
          </cell>
          <cell r="BH67">
            <v>0</v>
          </cell>
          <cell r="BI67">
            <v>0</v>
          </cell>
          <cell r="BJ67">
            <v>0</v>
          </cell>
          <cell r="BK67">
            <v>17938.887326470085</v>
          </cell>
        </row>
        <row r="69">
          <cell r="C69">
            <v>64406.278969999999</v>
          </cell>
          <cell r="N69">
            <v>34753.877930000031</v>
          </cell>
          <cell r="O69">
            <v>-519.28938000000005</v>
          </cell>
          <cell r="P69">
            <v>0</v>
          </cell>
          <cell r="Q69">
            <v>0</v>
          </cell>
          <cell r="R69">
            <v>0</v>
          </cell>
          <cell r="S69">
            <v>-440.12960999999996</v>
          </cell>
          <cell r="T69">
            <v>0</v>
          </cell>
          <cell r="U69">
            <v>0</v>
          </cell>
          <cell r="V69">
            <v>-35337.501960000001</v>
          </cell>
          <cell r="W69">
            <v>0</v>
          </cell>
          <cell r="X69">
            <v>0</v>
          </cell>
          <cell r="Y69">
            <v>-356.18512999999996</v>
          </cell>
          <cell r="Z69">
            <v>8178.1966199999997</v>
          </cell>
          <cell r="AA69">
            <v>66.139560000000003</v>
          </cell>
          <cell r="AB69">
            <v>0</v>
          </cell>
          <cell r="AC69">
            <v>-18824.167440000008</v>
          </cell>
          <cell r="AD69">
            <v>0</v>
          </cell>
          <cell r="AE69">
            <v>-414.93925999999999</v>
          </cell>
          <cell r="AF69">
            <v>-1.1226800000000001</v>
          </cell>
          <cell r="AG69">
            <v>0</v>
          </cell>
          <cell r="AH69">
            <v>13117.198070000002</v>
          </cell>
          <cell r="AI69">
            <v>2872.6560100000002</v>
          </cell>
          <cell r="AJ69">
            <v>2777.8582500000007</v>
          </cell>
          <cell r="AK69">
            <v>-318.28685999999982</v>
          </cell>
          <cell r="AL69">
            <v>-3659.4282400000011</v>
          </cell>
          <cell r="AM69">
            <v>8226.2653999999984</v>
          </cell>
          <cell r="AN69">
            <v>-5878.2217799999989</v>
          </cell>
          <cell r="AO69">
            <v>-1351.6543800000004</v>
          </cell>
          <cell r="AP69">
            <v>-72.193049999999999</v>
          </cell>
          <cell r="AQ69">
            <v>-1214.0625299999999</v>
          </cell>
          <cell r="AR69">
            <v>-593.81848000000002</v>
          </cell>
          <cell r="AT69">
            <v>-1741.0248899999992</v>
          </cell>
          <cell r="AU69">
            <v>0</v>
          </cell>
          <cell r="AV69">
            <v>0</v>
          </cell>
          <cell r="AW69">
            <v>0</v>
          </cell>
          <cell r="AX69">
            <v>661.92548999999997</v>
          </cell>
          <cell r="AY69">
            <v>0</v>
          </cell>
          <cell r="AZ69">
            <v>0</v>
          </cell>
          <cell r="BA69">
            <v>6.4181599999999994</v>
          </cell>
          <cell r="BB69">
            <v>-148.75945999999999</v>
          </cell>
          <cell r="BC69">
            <v>-1.1535700000000002</v>
          </cell>
          <cell r="BD69">
            <v>0</v>
          </cell>
          <cell r="BE69">
            <v>972.03495999999996</v>
          </cell>
          <cell r="BF69">
            <v>1838.7395800000002</v>
          </cell>
          <cell r="BG69">
            <v>-233.94793999999999</v>
          </cell>
          <cell r="BH69">
            <v>-1290.1302500000002</v>
          </cell>
          <cell r="BI69">
            <v>-24.471799999999998</v>
          </cell>
          <cell r="BJ69">
            <v>0</v>
          </cell>
          <cell r="BK69">
            <v>1050.8213400000163</v>
          </cell>
        </row>
        <row r="70">
          <cell r="C70">
            <v>59630.830390000032</v>
          </cell>
          <cell r="N70">
            <v>33016.125740000032</v>
          </cell>
          <cell r="O70">
            <v>-436.35792999999995</v>
          </cell>
          <cell r="P70">
            <v>0</v>
          </cell>
          <cell r="Q70">
            <v>0</v>
          </cell>
          <cell r="R70">
            <v>0</v>
          </cell>
          <cell r="S70">
            <v>-473.09551000000005</v>
          </cell>
          <cell r="T70">
            <v>-14.110190000000001</v>
          </cell>
          <cell r="U70">
            <v>0</v>
          </cell>
          <cell r="V70">
            <v>-29461.143489999999</v>
          </cell>
          <cell r="W70">
            <v>0</v>
          </cell>
          <cell r="X70">
            <v>0</v>
          </cell>
          <cell r="Y70">
            <v>-455.43330999999995</v>
          </cell>
          <cell r="Z70">
            <v>5830.04774</v>
          </cell>
          <cell r="AA70">
            <v>66.971779999999995</v>
          </cell>
          <cell r="AB70">
            <v>0</v>
          </cell>
          <cell r="AC70">
            <v>-15664.776680000006</v>
          </cell>
          <cell r="AD70">
            <v>0</v>
          </cell>
          <cell r="AE70">
            <v>-412.5761</v>
          </cell>
          <cell r="AF70">
            <v>-117.38951</v>
          </cell>
          <cell r="AG70">
            <v>0</v>
          </cell>
          <cell r="AH70">
            <v>7227.7305799999995</v>
          </cell>
          <cell r="AI70">
            <v>106.96166000000004</v>
          </cell>
          <cell r="AJ70">
            <v>6374.9509600000001</v>
          </cell>
          <cell r="AK70">
            <v>87.340680000000006</v>
          </cell>
          <cell r="AL70">
            <v>-3332.4299099999998</v>
          </cell>
          <cell r="AM70">
            <v>8768.8225300000013</v>
          </cell>
          <cell r="AN70">
            <v>-6655.4630900000011</v>
          </cell>
          <cell r="AO70">
            <v>-1067.0638299999998</v>
          </cell>
          <cell r="AP70">
            <v>-71.262659999999997</v>
          </cell>
          <cell r="AQ70">
            <v>-932.41175999999984</v>
          </cell>
          <cell r="AR70">
            <v>-695.80776999999989</v>
          </cell>
          <cell r="AT70">
            <v>-2201.0090000000009</v>
          </cell>
          <cell r="AU70">
            <v>0</v>
          </cell>
          <cell r="AV70">
            <v>0</v>
          </cell>
          <cell r="AW70">
            <v>0</v>
          </cell>
          <cell r="AX70">
            <v>926.13885000000005</v>
          </cell>
          <cell r="AY70">
            <v>0</v>
          </cell>
          <cell r="AZ70">
            <v>0</v>
          </cell>
          <cell r="BA70">
            <v>7.1634400000000005</v>
          </cell>
          <cell r="BB70">
            <v>-177.97852</v>
          </cell>
          <cell r="BC70">
            <v>-0.15525</v>
          </cell>
          <cell r="BD70">
            <v>0</v>
          </cell>
          <cell r="BE70">
            <v>685.67274000000009</v>
          </cell>
          <cell r="BF70">
            <v>647.37045000000001</v>
          </cell>
          <cell r="BG70">
            <v>-101.29629000000004</v>
          </cell>
          <cell r="BH70">
            <v>-541.92264999999986</v>
          </cell>
          <cell r="BI70">
            <v>-0.1183599999999999</v>
          </cell>
          <cell r="BJ70">
            <v>0</v>
          </cell>
          <cell r="BK70">
            <v>933.49534000002859</v>
          </cell>
        </row>
        <row r="71">
          <cell r="C71">
            <v>56759.92</v>
          </cell>
          <cell r="N71">
            <v>34257.234375</v>
          </cell>
          <cell r="O71">
            <v>-4760.5541277268203</v>
          </cell>
          <cell r="P71">
            <v>0</v>
          </cell>
          <cell r="Q71">
            <v>-9.7174064921621763</v>
          </cell>
          <cell r="R71">
            <v>0</v>
          </cell>
          <cell r="S71">
            <v>-1096.3430632336167</v>
          </cell>
          <cell r="T71">
            <v>-266.36653780333654</v>
          </cell>
          <cell r="U71">
            <v>0</v>
          </cell>
          <cell r="V71">
            <v>-26976.473390451985</v>
          </cell>
          <cell r="W71">
            <v>0</v>
          </cell>
          <cell r="X71">
            <v>-314.19614324657698</v>
          </cell>
          <cell r="Y71">
            <v>-580.85583812159689</v>
          </cell>
          <cell r="Z71">
            <v>5928.8228552201826</v>
          </cell>
          <cell r="AA71">
            <v>0</v>
          </cell>
          <cell r="AB71">
            <v>0</v>
          </cell>
          <cell r="AC71">
            <v>-9896.5957311322691</v>
          </cell>
          <cell r="AD71">
            <v>0</v>
          </cell>
          <cell r="AE71">
            <v>0</v>
          </cell>
          <cell r="AF71">
            <v>-605.46615121334617</v>
          </cell>
          <cell r="AG71">
            <v>0</v>
          </cell>
          <cell r="AH71">
            <v>10502.061882345615</v>
          </cell>
          <cell r="AI71">
            <v>580.85583812159689</v>
          </cell>
          <cell r="AJ71">
            <v>0</v>
          </cell>
          <cell r="AK71">
            <v>0</v>
          </cell>
          <cell r="AL71">
            <v>-1294.1475</v>
          </cell>
          <cell r="AM71">
            <v>0</v>
          </cell>
          <cell r="AN71">
            <v>0</v>
          </cell>
          <cell r="AO71">
            <v>-1372.9304780720829</v>
          </cell>
          <cell r="AP71">
            <v>-93.80268830841851</v>
          </cell>
          <cell r="AQ71">
            <v>-1286.6708080939741</v>
          </cell>
          <cell r="AR71">
            <v>-822.74187918409552</v>
          </cell>
          <cell r="AT71">
            <v>-2222.9681815810973</v>
          </cell>
          <cell r="AU71">
            <v>268.77477749999997</v>
          </cell>
          <cell r="AV71">
            <v>0</v>
          </cell>
          <cell r="AW71">
            <v>0</v>
          </cell>
          <cell r="AX71">
            <v>1523.0570725</v>
          </cell>
          <cell r="AY71">
            <v>0</v>
          </cell>
          <cell r="AZ71">
            <v>0</v>
          </cell>
          <cell r="BA71">
            <v>30.912170084658904</v>
          </cell>
          <cell r="BB71">
            <v>-363.09629804843922</v>
          </cell>
          <cell r="BC71">
            <v>0</v>
          </cell>
          <cell r="BD71">
            <v>0</v>
          </cell>
          <cell r="BE71">
            <v>2077.5387424999999</v>
          </cell>
          <cell r="BF71">
            <v>-2077.5387424999999</v>
          </cell>
          <cell r="BG71">
            <v>-30.912170084658904</v>
          </cell>
          <cell r="BH71">
            <v>0</v>
          </cell>
          <cell r="BI71">
            <v>0</v>
          </cell>
          <cell r="BJ71">
            <v>0</v>
          </cell>
          <cell r="BK71">
            <v>1097.880577977576</v>
          </cell>
        </row>
        <row r="73">
          <cell r="C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</row>
        <row r="74">
          <cell r="C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</row>
        <row r="75">
          <cell r="C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</row>
        <row r="81">
          <cell r="C81">
            <v>64406.278969999999</v>
          </cell>
          <cell r="N81">
            <v>34753.877930000031</v>
          </cell>
          <cell r="O81">
            <v>-519.28938000000005</v>
          </cell>
          <cell r="P81">
            <v>0</v>
          </cell>
          <cell r="Q81">
            <v>0</v>
          </cell>
          <cell r="R81">
            <v>0</v>
          </cell>
          <cell r="S81">
            <v>-440.12960999999996</v>
          </cell>
          <cell r="T81">
            <v>0</v>
          </cell>
          <cell r="U81">
            <v>0</v>
          </cell>
          <cell r="V81">
            <v>-35337.501960000001</v>
          </cell>
          <cell r="W81">
            <v>0</v>
          </cell>
          <cell r="X81">
            <v>0</v>
          </cell>
          <cell r="Y81">
            <v>-356.18512999999996</v>
          </cell>
          <cell r="Z81">
            <v>8178.1966199999997</v>
          </cell>
          <cell r="AA81">
            <v>66.139560000000003</v>
          </cell>
          <cell r="AB81">
            <v>0</v>
          </cell>
          <cell r="AC81">
            <v>-18824.167440000008</v>
          </cell>
          <cell r="AD81">
            <v>0</v>
          </cell>
          <cell r="AE81">
            <v>-414.93925999999999</v>
          </cell>
          <cell r="AF81">
            <v>-1.1226800000000001</v>
          </cell>
          <cell r="AG81">
            <v>0</v>
          </cell>
          <cell r="AH81">
            <v>13117.198070000002</v>
          </cell>
          <cell r="AI81">
            <v>2872.6560100000002</v>
          </cell>
          <cell r="AJ81">
            <v>2777.8582500000007</v>
          </cell>
          <cell r="AK81">
            <v>-318.28685999999982</v>
          </cell>
          <cell r="AL81">
            <v>-3659.4282400000011</v>
          </cell>
          <cell r="AM81">
            <v>8226.2653999999984</v>
          </cell>
          <cell r="AN81">
            <v>-5878.2217799999989</v>
          </cell>
          <cell r="AO81">
            <v>-1351.6543800000004</v>
          </cell>
          <cell r="AP81">
            <v>-72.193049999999999</v>
          </cell>
          <cell r="AQ81">
            <v>-1214.0625299999999</v>
          </cell>
          <cell r="AR81">
            <v>-593.81848000000002</v>
          </cell>
          <cell r="AT81">
            <v>-1741.0248899999992</v>
          </cell>
          <cell r="AU81">
            <v>0</v>
          </cell>
          <cell r="AV81">
            <v>0</v>
          </cell>
          <cell r="AW81">
            <v>0</v>
          </cell>
          <cell r="AX81">
            <v>661.92548999999997</v>
          </cell>
          <cell r="AY81">
            <v>0</v>
          </cell>
          <cell r="AZ81">
            <v>0</v>
          </cell>
          <cell r="BA81">
            <v>6.4181599999999994</v>
          </cell>
          <cell r="BB81">
            <v>-148.75945999999999</v>
          </cell>
          <cell r="BC81">
            <v>-1.1535700000000002</v>
          </cell>
          <cell r="BD81">
            <v>0</v>
          </cell>
          <cell r="BE81">
            <v>972.03495999999996</v>
          </cell>
          <cell r="BF81">
            <v>1838.7395800000002</v>
          </cell>
          <cell r="BG81">
            <v>-233.94793999999999</v>
          </cell>
          <cell r="BH81">
            <v>-1290.1302500000002</v>
          </cell>
          <cell r="BI81">
            <v>-24.471799999999998</v>
          </cell>
          <cell r="BJ81">
            <v>0</v>
          </cell>
          <cell r="BK81">
            <v>1050.8213400000163</v>
          </cell>
        </row>
        <row r="82">
          <cell r="C82">
            <v>59630.830390000032</v>
          </cell>
          <cell r="N82">
            <v>33016.125740000032</v>
          </cell>
          <cell r="O82">
            <v>-436.35792999999995</v>
          </cell>
          <cell r="P82">
            <v>0</v>
          </cell>
          <cell r="Q82">
            <v>0</v>
          </cell>
          <cell r="R82">
            <v>0</v>
          </cell>
          <cell r="S82">
            <v>-473.09551000000005</v>
          </cell>
          <cell r="T82">
            <v>-14.110190000000001</v>
          </cell>
          <cell r="U82">
            <v>0</v>
          </cell>
          <cell r="V82">
            <v>-29461.143489999999</v>
          </cell>
          <cell r="W82">
            <v>0</v>
          </cell>
          <cell r="X82">
            <v>0</v>
          </cell>
          <cell r="Y82">
            <v>-455.43330999999995</v>
          </cell>
          <cell r="Z82">
            <v>5830.04774</v>
          </cell>
          <cell r="AA82">
            <v>66.971779999999995</v>
          </cell>
          <cell r="AB82">
            <v>0</v>
          </cell>
          <cell r="AC82">
            <v>-15664.776680000006</v>
          </cell>
          <cell r="AD82">
            <v>0</v>
          </cell>
          <cell r="AE82">
            <v>-412.5761</v>
          </cell>
          <cell r="AF82">
            <v>-117.38951</v>
          </cell>
          <cell r="AG82">
            <v>0</v>
          </cell>
          <cell r="AH82">
            <v>7227.7305799999995</v>
          </cell>
          <cell r="AI82">
            <v>106.96166000000004</v>
          </cell>
          <cell r="AJ82">
            <v>6374.9509600000001</v>
          </cell>
          <cell r="AK82">
            <v>87.340680000000006</v>
          </cell>
          <cell r="AL82">
            <v>-3332.4299099999998</v>
          </cell>
          <cell r="AM82">
            <v>8768.8225300000013</v>
          </cell>
          <cell r="AN82">
            <v>-6655.4630900000011</v>
          </cell>
          <cell r="AO82">
            <v>-1067.0638299999998</v>
          </cell>
          <cell r="AP82">
            <v>-71.262659999999997</v>
          </cell>
          <cell r="AQ82">
            <v>-932.41175999999984</v>
          </cell>
          <cell r="AR82">
            <v>-695.80776999999989</v>
          </cell>
          <cell r="AT82">
            <v>-2201.0090000000009</v>
          </cell>
          <cell r="AU82">
            <v>0</v>
          </cell>
          <cell r="AV82">
            <v>0</v>
          </cell>
          <cell r="AW82">
            <v>0</v>
          </cell>
          <cell r="AX82">
            <v>926.13885000000005</v>
          </cell>
          <cell r="AY82">
            <v>0</v>
          </cell>
          <cell r="AZ82">
            <v>0</v>
          </cell>
          <cell r="BA82">
            <v>7.1634400000000005</v>
          </cell>
          <cell r="BB82">
            <v>-177.97852</v>
          </cell>
          <cell r="BC82">
            <v>-0.15525</v>
          </cell>
          <cell r="BD82">
            <v>0</v>
          </cell>
          <cell r="BE82">
            <v>685.67274000000009</v>
          </cell>
          <cell r="BF82">
            <v>647.37045000000001</v>
          </cell>
          <cell r="BG82">
            <v>-101.29629000000004</v>
          </cell>
          <cell r="BH82">
            <v>-541.92264999999986</v>
          </cell>
          <cell r="BI82">
            <v>-0.1183599999999999</v>
          </cell>
          <cell r="BJ82">
            <v>0</v>
          </cell>
          <cell r="BK82">
            <v>933.49534000002859</v>
          </cell>
        </row>
        <row r="83">
          <cell r="C83">
            <v>56759.92</v>
          </cell>
          <cell r="N83">
            <v>34257.234375</v>
          </cell>
          <cell r="O83">
            <v>-4760.5541277268203</v>
          </cell>
          <cell r="P83">
            <v>0</v>
          </cell>
          <cell r="Q83">
            <v>-9.7174064921621763</v>
          </cell>
          <cell r="R83">
            <v>0</v>
          </cell>
          <cell r="S83">
            <v>-1096.3430632336167</v>
          </cell>
          <cell r="T83">
            <v>-266.36653780333654</v>
          </cell>
          <cell r="U83">
            <v>0</v>
          </cell>
          <cell r="V83">
            <v>-26976.473390451985</v>
          </cell>
          <cell r="W83">
            <v>0</v>
          </cell>
          <cell r="X83">
            <v>-314.19614324657698</v>
          </cell>
          <cell r="Y83">
            <v>-580.85583812159689</v>
          </cell>
          <cell r="Z83">
            <v>5928.8228552201826</v>
          </cell>
          <cell r="AA83">
            <v>0</v>
          </cell>
          <cell r="AB83">
            <v>0</v>
          </cell>
          <cell r="AC83">
            <v>-9896.5957311322691</v>
          </cell>
          <cell r="AD83">
            <v>0</v>
          </cell>
          <cell r="AE83">
            <v>0</v>
          </cell>
          <cell r="AF83">
            <v>-605.46615121334617</v>
          </cell>
          <cell r="AG83">
            <v>0</v>
          </cell>
          <cell r="AH83">
            <v>10502.061882345615</v>
          </cell>
          <cell r="AI83">
            <v>580.85583812159689</v>
          </cell>
          <cell r="AJ83">
            <v>0</v>
          </cell>
          <cell r="AK83">
            <v>0</v>
          </cell>
          <cell r="AL83">
            <v>-1294.1475</v>
          </cell>
          <cell r="AM83">
            <v>0</v>
          </cell>
          <cell r="AN83">
            <v>0</v>
          </cell>
          <cell r="AO83">
            <v>-1372.9304780720829</v>
          </cell>
          <cell r="AP83">
            <v>-93.80268830841851</v>
          </cell>
          <cell r="AQ83">
            <v>-1286.6708080939741</v>
          </cell>
          <cell r="AR83">
            <v>-822.74187918409552</v>
          </cell>
          <cell r="AT83">
            <v>-2222.9681815810973</v>
          </cell>
          <cell r="AU83">
            <v>268.77477749999997</v>
          </cell>
          <cell r="AV83">
            <v>0</v>
          </cell>
          <cell r="AW83">
            <v>0</v>
          </cell>
          <cell r="AX83">
            <v>1523.0570725</v>
          </cell>
          <cell r="AY83">
            <v>0</v>
          </cell>
          <cell r="AZ83">
            <v>0</v>
          </cell>
          <cell r="BA83">
            <v>30.912170084658904</v>
          </cell>
          <cell r="BB83">
            <v>-363.09629804843922</v>
          </cell>
          <cell r="BC83">
            <v>0</v>
          </cell>
          <cell r="BD83">
            <v>0</v>
          </cell>
          <cell r="BE83">
            <v>2077.5387424999999</v>
          </cell>
          <cell r="BF83">
            <v>-2077.5387424999999</v>
          </cell>
          <cell r="BG83">
            <v>-30.912170084658904</v>
          </cell>
          <cell r="BH83">
            <v>0</v>
          </cell>
          <cell r="BI83">
            <v>0</v>
          </cell>
          <cell r="BJ83">
            <v>0</v>
          </cell>
          <cell r="BK83">
            <v>1097.880577977576</v>
          </cell>
        </row>
        <row r="85">
          <cell r="C85">
            <v>428881.13831999997</v>
          </cell>
          <cell r="N85">
            <v>247866.94893000007</v>
          </cell>
          <cell r="O85">
            <v>-7853.2981999999993</v>
          </cell>
          <cell r="P85">
            <v>-4.6583400000000008</v>
          </cell>
          <cell r="Q85">
            <v>-50.304000000000002</v>
          </cell>
          <cell r="R85">
            <v>1250.6047499999997</v>
          </cell>
          <cell r="S85">
            <v>-5833.8144699999993</v>
          </cell>
          <cell r="T85">
            <v>-1799.8700799999999</v>
          </cell>
          <cell r="U85">
            <v>-2307.8780200000001</v>
          </cell>
          <cell r="V85">
            <v>-129585.01409865764</v>
          </cell>
          <cell r="W85">
            <v>-600.37724000000003</v>
          </cell>
          <cell r="X85">
            <v>-26611.050921342365</v>
          </cell>
          <cell r="Y85">
            <v>-1656.71306</v>
          </cell>
          <cell r="Z85">
            <v>15664.124219999998</v>
          </cell>
          <cell r="AA85">
            <v>173.15231</v>
          </cell>
          <cell r="AB85">
            <v>70</v>
          </cell>
          <cell r="AC85">
            <v>-134399.27390000003</v>
          </cell>
          <cell r="AD85">
            <v>13503.306340000001</v>
          </cell>
          <cell r="AE85">
            <v>-3013.9040400000004</v>
          </cell>
          <cell r="AF85">
            <v>-5924.4120400000002</v>
          </cell>
          <cell r="AG85">
            <v>0</v>
          </cell>
          <cell r="AH85">
            <v>119512.37393000002</v>
          </cell>
          <cell r="AI85">
            <v>15254.74098</v>
          </cell>
          <cell r="AJ85">
            <v>-998.54718999999977</v>
          </cell>
          <cell r="AK85">
            <v>-1236.7664599999998</v>
          </cell>
          <cell r="AL85">
            <v>-61930.21482999999</v>
          </cell>
          <cell r="AM85">
            <v>60490.901549999995</v>
          </cell>
          <cell r="AN85">
            <v>-34194.228759999998</v>
          </cell>
          <cell r="AO85">
            <v>-7748.2875299999996</v>
          </cell>
          <cell r="AP85">
            <v>-980.89497000000017</v>
          </cell>
          <cell r="AQ85">
            <v>-9868.1991499999967</v>
          </cell>
          <cell r="AR85">
            <v>-5608.7622700000002</v>
          </cell>
          <cell r="AT85">
            <v>-11271.211150000003</v>
          </cell>
          <cell r="AU85">
            <v>-85.916139999999999</v>
          </cell>
          <cell r="AV85">
            <v>0</v>
          </cell>
          <cell r="AW85">
            <v>0</v>
          </cell>
          <cell r="AX85">
            <v>2743.2031027380604</v>
          </cell>
          <cell r="AY85">
            <v>0</v>
          </cell>
          <cell r="AZ85">
            <v>1030.2132372619399</v>
          </cell>
          <cell r="BA85">
            <v>36.014680000000006</v>
          </cell>
          <cell r="BB85">
            <v>-287.66663</v>
          </cell>
          <cell r="BC85">
            <v>-2.9795100000000003</v>
          </cell>
          <cell r="BD85">
            <v>0</v>
          </cell>
          <cell r="BE85">
            <v>7322.0435400000006</v>
          </cell>
          <cell r="BF85">
            <v>-7571.7377399999905</v>
          </cell>
          <cell r="BG85">
            <v>-1034.7765200000001</v>
          </cell>
          <cell r="BH85">
            <v>-1373.6186600000003</v>
          </cell>
          <cell r="BI85">
            <v>67.556439999999995</v>
          </cell>
          <cell r="BJ85">
            <v>1.1492140572499919E-13</v>
          </cell>
          <cell r="BK85">
            <v>21150.808090000002</v>
          </cell>
        </row>
        <row r="86">
          <cell r="C86">
            <v>417085.03745000006</v>
          </cell>
          <cell r="N86">
            <v>236886.28619000001</v>
          </cell>
          <cell r="O86">
            <v>-7637.9503599999989</v>
          </cell>
          <cell r="P86">
            <v>0</v>
          </cell>
          <cell r="Q86">
            <v>-504.40600000000006</v>
          </cell>
          <cell r="R86">
            <v>971.87594000000001</v>
          </cell>
          <cell r="S86">
            <v>-5913.1631100000013</v>
          </cell>
          <cell r="T86">
            <v>-1043.9849200000001</v>
          </cell>
          <cell r="U86">
            <v>-1915.0684999999999</v>
          </cell>
          <cell r="V86">
            <v>-118989.45960618972</v>
          </cell>
          <cell r="W86">
            <v>0</v>
          </cell>
          <cell r="X86">
            <v>-25978.132693810265</v>
          </cell>
          <cell r="Y86">
            <v>-2265.3139000000001</v>
          </cell>
          <cell r="Z86">
            <v>12346.83959</v>
          </cell>
          <cell r="AA86">
            <v>222.53993000000003</v>
          </cell>
          <cell r="AB86">
            <v>-400</v>
          </cell>
          <cell r="AC86">
            <v>-146750.75420000005</v>
          </cell>
          <cell r="AD86">
            <v>11954.213459999999</v>
          </cell>
          <cell r="AE86">
            <v>-3177.3681299999998</v>
          </cell>
          <cell r="AF86">
            <v>-6310.0942100000002</v>
          </cell>
          <cell r="AG86">
            <v>0</v>
          </cell>
          <cell r="AH86">
            <v>138928.48801</v>
          </cell>
          <cell r="AI86">
            <v>2184.6157800000001</v>
          </cell>
          <cell r="AJ86">
            <v>6938.7039700000005</v>
          </cell>
          <cell r="AK86">
            <v>144.80695000000003</v>
          </cell>
          <cell r="AL86">
            <v>-60389.764750000002</v>
          </cell>
          <cell r="AM86">
            <v>59899.319680000001</v>
          </cell>
          <cell r="AN86">
            <v>-33675.232800000005</v>
          </cell>
          <cell r="AO86">
            <v>-7740.9910300000001</v>
          </cell>
          <cell r="AP86">
            <v>-849.66532999999993</v>
          </cell>
          <cell r="AQ86">
            <v>-8948.4403999999995</v>
          </cell>
          <cell r="AR86">
            <v>-6264.5141000000003</v>
          </cell>
          <cell r="AT86">
            <v>-15635.592050000007</v>
          </cell>
          <cell r="AU86">
            <v>17.829470000000001</v>
          </cell>
          <cell r="AV86">
            <v>0</v>
          </cell>
          <cell r="AW86">
            <v>0</v>
          </cell>
          <cell r="AX86">
            <v>6023.6231695910228</v>
          </cell>
          <cell r="AY86">
            <v>0</v>
          </cell>
          <cell r="AZ86">
            <v>871.105300408978</v>
          </cell>
          <cell r="BA86">
            <v>90.592229999999986</v>
          </cell>
          <cell r="BB86">
            <v>-523.97273999999993</v>
          </cell>
          <cell r="BC86">
            <v>-7.5504999999999995</v>
          </cell>
          <cell r="BD86">
            <v>0</v>
          </cell>
          <cell r="BE86">
            <v>22536.674630000001</v>
          </cell>
          <cell r="BF86">
            <v>-23217.859179999999</v>
          </cell>
          <cell r="BG86">
            <v>-834.55115000000001</v>
          </cell>
          <cell r="BH86">
            <v>-447.61836999999991</v>
          </cell>
          <cell r="BI86">
            <v>-3.2093299999999956</v>
          </cell>
          <cell r="BJ86">
            <v>-5.0683013341767934E-14</v>
          </cell>
          <cell r="BK86">
            <v>20592.856939999991</v>
          </cell>
        </row>
        <row r="87">
          <cell r="C87">
            <v>419473.37000000005</v>
          </cell>
          <cell r="N87">
            <v>260860.28640955366</v>
          </cell>
          <cell r="O87">
            <v>-47560.436875399188</v>
          </cell>
          <cell r="P87">
            <v>-4823.121144219911</v>
          </cell>
          <cell r="Q87">
            <v>-11078.970255144757</v>
          </cell>
          <cell r="R87">
            <v>0</v>
          </cell>
          <cell r="S87">
            <v>-10279.957617603162</v>
          </cell>
          <cell r="T87">
            <v>-2336.9488986234114</v>
          </cell>
          <cell r="U87">
            <v>0</v>
          </cell>
          <cell r="V87">
            <v>-82763.502324044923</v>
          </cell>
          <cell r="W87">
            <v>-4491.7226006274614</v>
          </cell>
          <cell r="X87">
            <v>-18775.075996541695</v>
          </cell>
          <cell r="Y87">
            <v>-2553.9119182425934</v>
          </cell>
          <cell r="Z87">
            <v>10989.525477284149</v>
          </cell>
          <cell r="AA87">
            <v>0</v>
          </cell>
          <cell r="AB87">
            <v>0</v>
          </cell>
          <cell r="AC87">
            <v>-77748.731523269016</v>
          </cell>
          <cell r="AD87">
            <v>0</v>
          </cell>
          <cell r="AE87">
            <v>0</v>
          </cell>
          <cell r="AF87">
            <v>-5919.1811255508755</v>
          </cell>
          <cell r="AG87">
            <v>0</v>
          </cell>
          <cell r="AH87">
            <v>86322.162648819896</v>
          </cell>
          <cell r="AI87">
            <v>2553.9119182425934</v>
          </cell>
          <cell r="AJ87">
            <v>0</v>
          </cell>
          <cell r="AK87">
            <v>0</v>
          </cell>
          <cell r="AL87">
            <v>-37934.080492032233</v>
          </cell>
          <cell r="AM87">
            <v>0</v>
          </cell>
          <cell r="AN87">
            <v>0</v>
          </cell>
          <cell r="AO87">
            <v>-8383.5338922860083</v>
          </cell>
          <cell r="AP87">
            <v>-948.09635050297993</v>
          </cell>
          <cell r="AQ87">
            <v>-10915.547546073845</v>
          </cell>
          <cell r="AR87">
            <v>-8522.3366190250708</v>
          </cell>
          <cell r="AT87">
            <v>-17972.269680952621</v>
          </cell>
          <cell r="AU87">
            <v>2509.4459089137144</v>
          </cell>
          <cell r="AV87">
            <v>1703.3260123680311</v>
          </cell>
          <cell r="AW87">
            <v>652.4037382385286</v>
          </cell>
          <cell r="AX87">
            <v>4670.3720613751211</v>
          </cell>
          <cell r="AY87">
            <v>1769.1012120661644</v>
          </cell>
          <cell r="AZ87">
            <v>941.26785452020681</v>
          </cell>
          <cell r="BA87">
            <v>163.06058911071401</v>
          </cell>
          <cell r="BB87">
            <v>-651.33498804466922</v>
          </cell>
          <cell r="BC87">
            <v>0</v>
          </cell>
          <cell r="BD87">
            <v>0</v>
          </cell>
          <cell r="BE87">
            <v>5753.1079324999973</v>
          </cell>
          <cell r="BF87">
            <v>-6029.3834212499969</v>
          </cell>
          <cell r="BG87">
            <v>-163.06058911071401</v>
          </cell>
          <cell r="BH87">
            <v>0</v>
          </cell>
          <cell r="BI87">
            <v>0</v>
          </cell>
          <cell r="BJ87">
            <v>0</v>
          </cell>
          <cell r="BK87">
            <v>19036.767904447661</v>
          </cell>
        </row>
        <row r="90">
          <cell r="C90">
            <v>364474.85934999998</v>
          </cell>
        </row>
        <row r="91">
          <cell r="C91">
            <v>357454.20706000004</v>
          </cell>
        </row>
        <row r="94">
          <cell r="C94">
            <v>129252.64397999999</v>
          </cell>
          <cell r="N94">
            <v>56422.101329999998</v>
          </cell>
          <cell r="O94">
            <v>-934.91498999999999</v>
          </cell>
          <cell r="P94">
            <v>-4.6583400000000008</v>
          </cell>
          <cell r="Q94">
            <v>-31.811</v>
          </cell>
          <cell r="R94">
            <v>11.31307</v>
          </cell>
          <cell r="S94">
            <v>-804.93229999999994</v>
          </cell>
          <cell r="T94">
            <v>-930.26080000000002</v>
          </cell>
          <cell r="U94">
            <v>0</v>
          </cell>
          <cell r="V94">
            <v>-14945.615647460043</v>
          </cell>
          <cell r="W94">
            <v>-597.82724000000007</v>
          </cell>
          <cell r="X94">
            <v>-13042.551672539959</v>
          </cell>
          <cell r="Y94">
            <v>-239.24451999999999</v>
          </cell>
          <cell r="Z94">
            <v>650.19926999999996</v>
          </cell>
          <cell r="AA94">
            <v>4.9209700000000005</v>
          </cell>
          <cell r="AB94">
            <v>-190</v>
          </cell>
          <cell r="AC94">
            <v>-25946.335830000007</v>
          </cell>
          <cell r="AD94">
            <v>604.95916999999997</v>
          </cell>
          <cell r="AE94">
            <v>-204.85996</v>
          </cell>
          <cell r="AF94">
            <v>-1323.2760799999999</v>
          </cell>
          <cell r="AG94">
            <v>0</v>
          </cell>
          <cell r="AH94">
            <v>29382.622309999999</v>
          </cell>
          <cell r="AI94">
            <v>990.06928999999991</v>
          </cell>
          <cell r="AJ94">
            <v>41.973210000000023</v>
          </cell>
          <cell r="AK94">
            <v>-16.147989999999997</v>
          </cell>
          <cell r="AL94">
            <v>-21152.968109999998</v>
          </cell>
          <cell r="AM94">
            <v>18625.859749999996</v>
          </cell>
          <cell r="AN94">
            <v>-6850.3723100000007</v>
          </cell>
          <cell r="AO94">
            <v>-2460.9270799999999</v>
          </cell>
          <cell r="AP94">
            <v>-295.06429000000003</v>
          </cell>
          <cell r="AQ94">
            <v>-2072.8276799999999</v>
          </cell>
          <cell r="AR94">
            <v>-1569.5565999999999</v>
          </cell>
          <cell r="AT94">
            <v>-4884.8995000000032</v>
          </cell>
          <cell r="AU94">
            <v>0</v>
          </cell>
          <cell r="AV94">
            <v>0</v>
          </cell>
          <cell r="AW94">
            <v>0</v>
          </cell>
          <cell r="AX94">
            <v>880.33439181877702</v>
          </cell>
          <cell r="AY94">
            <v>0</v>
          </cell>
          <cell r="AZ94">
            <v>845.05404818122304</v>
          </cell>
          <cell r="BA94">
            <v>14.346820000000001</v>
          </cell>
          <cell r="BB94">
            <v>-38.448259999999998</v>
          </cell>
          <cell r="BC94">
            <v>-0.27895000000000003</v>
          </cell>
          <cell r="BD94">
            <v>0</v>
          </cell>
          <cell r="BE94">
            <v>3659.0831600000001</v>
          </cell>
          <cell r="BF94">
            <v>-6129.8571699999993</v>
          </cell>
          <cell r="BG94">
            <v>-82.526029999999992</v>
          </cell>
          <cell r="BH94">
            <v>37.253350000000012</v>
          </cell>
          <cell r="BI94">
            <v>-0.67259000000000024</v>
          </cell>
          <cell r="BJ94">
            <v>0</v>
          </cell>
          <cell r="BK94">
            <v>7419.2551999999741</v>
          </cell>
        </row>
        <row r="95">
          <cell r="C95">
            <v>131417.90108000001</v>
          </cell>
          <cell r="N95">
            <v>55669.606509999983</v>
          </cell>
          <cell r="O95">
            <v>-980.14351999999985</v>
          </cell>
          <cell r="P95">
            <v>0</v>
          </cell>
          <cell r="Q95">
            <v>-384.18100000000004</v>
          </cell>
          <cell r="R95">
            <v>1.4890099999999999</v>
          </cell>
          <cell r="S95">
            <v>-779.05934000000002</v>
          </cell>
          <cell r="T95">
            <v>-651.01984000000016</v>
          </cell>
          <cell r="U95">
            <v>0</v>
          </cell>
          <cell r="V95">
            <v>-16439.906415914218</v>
          </cell>
          <cell r="W95">
            <v>0</v>
          </cell>
          <cell r="X95">
            <v>-13229.000864085778</v>
          </cell>
          <cell r="Y95">
            <v>-287.66651000000002</v>
          </cell>
          <cell r="Z95">
            <v>728.93794000000003</v>
          </cell>
          <cell r="AA95">
            <v>7.3755700000000006</v>
          </cell>
          <cell r="AB95">
            <v>0</v>
          </cell>
          <cell r="AC95">
            <v>-24600.652730000005</v>
          </cell>
          <cell r="AD95">
            <v>433.43689000000001</v>
          </cell>
          <cell r="AE95">
            <v>-177.36281000000002</v>
          </cell>
          <cell r="AF95">
            <v>-1389.0630999999998</v>
          </cell>
          <cell r="AG95">
            <v>0</v>
          </cell>
          <cell r="AH95">
            <v>29071.767379999998</v>
          </cell>
          <cell r="AI95">
            <v>280.62807999999995</v>
          </cell>
          <cell r="AJ95">
            <v>291.89270999999997</v>
          </cell>
          <cell r="AK95">
            <v>0.6859599999999999</v>
          </cell>
          <cell r="AL95">
            <v>-21533.903930000004</v>
          </cell>
          <cell r="AM95">
            <v>18891.877699999997</v>
          </cell>
          <cell r="AN95">
            <v>-6838.9756100000013</v>
          </cell>
          <cell r="AO95">
            <v>-2801.4809999999998</v>
          </cell>
          <cell r="AP95">
            <v>-288.98644000000002</v>
          </cell>
          <cell r="AQ95">
            <v>-1927.1530599999999</v>
          </cell>
          <cell r="AR95">
            <v>-1885.71684</v>
          </cell>
          <cell r="AT95">
            <v>-5233.5932800000037</v>
          </cell>
          <cell r="AU95">
            <v>1.64</v>
          </cell>
          <cell r="AV95">
            <v>0</v>
          </cell>
          <cell r="AW95">
            <v>0</v>
          </cell>
          <cell r="AX95">
            <v>1038.2294371599498</v>
          </cell>
          <cell r="AY95">
            <v>0</v>
          </cell>
          <cell r="AZ95">
            <v>807.16650284005027</v>
          </cell>
          <cell r="BA95">
            <v>17.553889999999999</v>
          </cell>
          <cell r="BB95">
            <v>-43.8401</v>
          </cell>
          <cell r="BC95">
            <v>-0.40200999999999998</v>
          </cell>
          <cell r="BD95">
            <v>0</v>
          </cell>
          <cell r="BE95">
            <v>789.75199999999995</v>
          </cell>
          <cell r="BF95">
            <v>-3261.9951700000001</v>
          </cell>
          <cell r="BG95">
            <v>-147.17359999999999</v>
          </cell>
          <cell r="BH95">
            <v>-18.814790000000009</v>
          </cell>
          <cell r="BI95">
            <v>0.23153000000000001</v>
          </cell>
          <cell r="BJ95">
            <v>-9.5923269327613524E-17</v>
          </cell>
          <cell r="BK95">
            <v>5132.1791499999817</v>
          </cell>
        </row>
        <row r="96">
          <cell r="C96">
            <v>132901.43</v>
          </cell>
          <cell r="N96">
            <v>71381.563747097156</v>
          </cell>
          <cell r="O96">
            <v>-9297.8351166251778</v>
          </cell>
          <cell r="P96">
            <v>-3744.7526309147515</v>
          </cell>
          <cell r="Q96">
            <v>-7577.1806928952092</v>
          </cell>
          <cell r="R96">
            <v>0</v>
          </cell>
          <cell r="S96">
            <v>-987.55835727424244</v>
          </cell>
          <cell r="T96">
            <v>-720.53260724880317</v>
          </cell>
          <cell r="U96">
            <v>0</v>
          </cell>
          <cell r="V96">
            <v>-10876.98133414133</v>
          </cell>
          <cell r="W96">
            <v>-4106.0588489266711</v>
          </cell>
          <cell r="X96">
            <v>-8946.605617247089</v>
          </cell>
          <cell r="Y96">
            <v>-622.54740651212239</v>
          </cell>
          <cell r="Z96">
            <v>425.82437209804743</v>
          </cell>
          <cell r="AA96">
            <v>0</v>
          </cell>
          <cell r="AB96">
            <v>0</v>
          </cell>
          <cell r="AC96">
            <v>-16419.157333441981</v>
          </cell>
          <cell r="AD96">
            <v>0</v>
          </cell>
          <cell r="AE96">
            <v>0</v>
          </cell>
          <cell r="AF96">
            <v>-1080.3186636274997</v>
          </cell>
          <cell r="AG96">
            <v>0</v>
          </cell>
          <cell r="AH96">
            <v>18642.725997069483</v>
          </cell>
          <cell r="AI96">
            <v>622.54740651212239</v>
          </cell>
          <cell r="AJ96">
            <v>0</v>
          </cell>
          <cell r="AK96">
            <v>0</v>
          </cell>
          <cell r="AL96">
            <v>-12080.122548630456</v>
          </cell>
          <cell r="AM96">
            <v>0</v>
          </cell>
          <cell r="AN96">
            <v>0</v>
          </cell>
          <cell r="AO96">
            <v>-2746.7787636738617</v>
          </cell>
          <cell r="AP96">
            <v>-249.57175612773699</v>
          </cell>
          <cell r="AQ96">
            <v>-2354.9730727593201</v>
          </cell>
          <cell r="AR96">
            <v>-2639.1685589298868</v>
          </cell>
          <cell r="AT96">
            <v>-6222.6806839799719</v>
          </cell>
          <cell r="AU96">
            <v>458.04225198566445</v>
          </cell>
          <cell r="AV96">
            <v>1536.2548342503303</v>
          </cell>
          <cell r="AW96">
            <v>575.4076064861847</v>
          </cell>
          <cell r="AX96">
            <v>534.81344723856125</v>
          </cell>
          <cell r="AY96">
            <v>1709.3504899716759</v>
          </cell>
          <cell r="AZ96">
            <v>686.47159141795419</v>
          </cell>
          <cell r="BA96">
            <v>66.871725032586738</v>
          </cell>
          <cell r="BB96">
            <v>-45.52079241260595</v>
          </cell>
          <cell r="BC96">
            <v>0</v>
          </cell>
          <cell r="BD96">
            <v>0</v>
          </cell>
          <cell r="BE96">
            <v>1092.4007999999992</v>
          </cell>
          <cell r="BF96">
            <v>-1092.4007999999992</v>
          </cell>
          <cell r="BG96">
            <v>-66.871725032586738</v>
          </cell>
          <cell r="BH96">
            <v>0</v>
          </cell>
          <cell r="BI96">
            <v>0</v>
          </cell>
          <cell r="BJ96">
            <v>0</v>
          </cell>
          <cell r="BK96">
            <v>5854.6569587584581</v>
          </cell>
        </row>
        <row r="98">
          <cell r="C98">
            <v>58812.884469999997</v>
          </cell>
          <cell r="N98">
            <v>23518.79192</v>
          </cell>
          <cell r="O98">
            <v>-152.49103000000002</v>
          </cell>
          <cell r="P98">
            <v>0</v>
          </cell>
          <cell r="Q98">
            <v>-2.7149999999999999</v>
          </cell>
          <cell r="R98">
            <v>10.57559</v>
          </cell>
          <cell r="S98">
            <v>-508.21532000000002</v>
          </cell>
          <cell r="T98">
            <v>-29.603079999999999</v>
          </cell>
          <cell r="U98">
            <v>0</v>
          </cell>
          <cell r="V98">
            <v>-9675.3086800429355</v>
          </cell>
          <cell r="W98">
            <v>0</v>
          </cell>
          <cell r="X98">
            <v>-2760.1677099570643</v>
          </cell>
          <cell r="Y98">
            <v>-258.28255999999999</v>
          </cell>
          <cell r="Z98">
            <v>1520.61349</v>
          </cell>
          <cell r="AA98">
            <v>28.326249999999998</v>
          </cell>
          <cell r="AB98">
            <v>-40</v>
          </cell>
          <cell r="AC98">
            <v>-6592.6099200000008</v>
          </cell>
          <cell r="AD98">
            <v>1637.3672300000001</v>
          </cell>
          <cell r="AE98">
            <v>-241.28717000000003</v>
          </cell>
          <cell r="AF98">
            <v>-1882.0659299999998</v>
          </cell>
          <cell r="AG98">
            <v>0</v>
          </cell>
          <cell r="AH98">
            <v>6558.1899599999997</v>
          </cell>
          <cell r="AI98">
            <v>3257.3729400000007</v>
          </cell>
          <cell r="AJ98">
            <v>-582.83473000000038</v>
          </cell>
          <cell r="AK98">
            <v>-281.49349000000001</v>
          </cell>
          <cell r="AL98">
            <v>-11274.491790000002</v>
          </cell>
          <cell r="AM98">
            <v>9746.8885899999987</v>
          </cell>
          <cell r="AN98">
            <v>-3088.9798799999999</v>
          </cell>
          <cell r="AO98">
            <v>-1112.24369</v>
          </cell>
          <cell r="AP98">
            <v>-117.73492000000002</v>
          </cell>
          <cell r="AQ98">
            <v>-820.75819000000013</v>
          </cell>
          <cell r="AR98">
            <v>-512.17708000000005</v>
          </cell>
          <cell r="AT98">
            <v>-699.80316000000005</v>
          </cell>
          <cell r="AU98">
            <v>0</v>
          </cell>
          <cell r="AV98">
            <v>0</v>
          </cell>
          <cell r="AW98">
            <v>0</v>
          </cell>
          <cell r="AX98">
            <v>137.46298732460798</v>
          </cell>
          <cell r="AY98">
            <v>0</v>
          </cell>
          <cell r="AZ98">
            <v>86.219632675392006</v>
          </cell>
          <cell r="BA98">
            <v>4.8378800000000002</v>
          </cell>
          <cell r="BB98">
            <v>-27.735540000000004</v>
          </cell>
          <cell r="BC98">
            <v>-0.53312999999999999</v>
          </cell>
          <cell r="BD98">
            <v>0</v>
          </cell>
          <cell r="BE98">
            <v>4.761029999999999</v>
          </cell>
          <cell r="BF98">
            <v>-1303.5961099999979</v>
          </cell>
          <cell r="BG98">
            <v>-151.15314999999998</v>
          </cell>
          <cell r="BH98">
            <v>53.24505000000002</v>
          </cell>
          <cell r="BI98">
            <v>12.70744</v>
          </cell>
          <cell r="BJ98">
            <v>7.0166095156309897E-16</v>
          </cell>
          <cell r="BK98">
            <v>4461.0787299999984</v>
          </cell>
        </row>
        <row r="99">
          <cell r="C99">
            <v>57975.357350000006</v>
          </cell>
          <cell r="N99">
            <v>23926.514089999993</v>
          </cell>
          <cell r="O99">
            <v>-120.41317000000001</v>
          </cell>
          <cell r="P99">
            <v>0</v>
          </cell>
          <cell r="Q99">
            <v>0</v>
          </cell>
          <cell r="R99">
            <v>1.325</v>
          </cell>
          <cell r="S99">
            <v>-389.68482000000006</v>
          </cell>
          <cell r="T99">
            <v>-52.324010000000001</v>
          </cell>
          <cell r="U99">
            <v>0</v>
          </cell>
          <cell r="V99">
            <v>-10965.306276637673</v>
          </cell>
          <cell r="W99">
            <v>0</v>
          </cell>
          <cell r="X99">
            <v>-2346.9724233623265</v>
          </cell>
          <cell r="Y99">
            <v>-444.45965999999999</v>
          </cell>
          <cell r="Z99">
            <v>1491.9833999999998</v>
          </cell>
          <cell r="AA99">
            <v>51.108930000000001</v>
          </cell>
          <cell r="AB99">
            <v>-20</v>
          </cell>
          <cell r="AC99">
            <v>-26072.411960000001</v>
          </cell>
          <cell r="AD99">
            <v>457.26385000000005</v>
          </cell>
          <cell r="AE99">
            <v>-223.61000000000004</v>
          </cell>
          <cell r="AF99">
            <v>-2000.2418</v>
          </cell>
          <cell r="AG99">
            <v>0</v>
          </cell>
          <cell r="AH99">
            <v>29881.993049999997</v>
          </cell>
          <cell r="AI99">
            <v>599.54180999999994</v>
          </cell>
          <cell r="AJ99">
            <v>-988.95859999999971</v>
          </cell>
          <cell r="AK99">
            <v>7.578780000000009</v>
          </cell>
          <cell r="AL99">
            <v>-11144.35427</v>
          </cell>
          <cell r="AM99">
            <v>9343.5330099999992</v>
          </cell>
          <cell r="AN99">
            <v>-2850.61895</v>
          </cell>
          <cell r="AO99">
            <v>-1160.9764699999998</v>
          </cell>
          <cell r="AP99">
            <v>-79.943129999999982</v>
          </cell>
          <cell r="AQ99">
            <v>-716.26656000000014</v>
          </cell>
          <cell r="AR99">
            <v>-575.71553000000006</v>
          </cell>
          <cell r="AT99">
            <v>-987.25365000000011</v>
          </cell>
          <cell r="AU99">
            <v>0</v>
          </cell>
          <cell r="AV99">
            <v>0</v>
          </cell>
          <cell r="AW99">
            <v>0</v>
          </cell>
          <cell r="AX99">
            <v>215.547852610619</v>
          </cell>
          <cell r="AY99">
            <v>0</v>
          </cell>
          <cell r="AZ99">
            <v>105.09069738938101</v>
          </cell>
          <cell r="BA99">
            <v>10.125330000000002</v>
          </cell>
          <cell r="BB99">
            <v>-36.228529999999999</v>
          </cell>
          <cell r="BC99">
            <v>-1.1382099999999999</v>
          </cell>
          <cell r="BD99">
            <v>0</v>
          </cell>
          <cell r="BE99">
            <v>18401.971089999995</v>
          </cell>
          <cell r="BF99">
            <v>-19025.350679999996</v>
          </cell>
          <cell r="BG99">
            <v>-570.91910000000007</v>
          </cell>
          <cell r="BH99">
            <v>423.53742999999997</v>
          </cell>
          <cell r="BI99">
            <v>9.389680000000002</v>
          </cell>
          <cell r="BJ99">
            <v>-4.0927261579781768E-15</v>
          </cell>
          <cell r="BK99">
            <v>4153.3561999999847</v>
          </cell>
        </row>
        <row r="100">
          <cell r="C100">
            <v>60921.38</v>
          </cell>
          <cell r="N100">
            <v>26039.007287250155</v>
          </cell>
          <cell r="O100">
            <v>-1388.3447711163806</v>
          </cell>
          <cell r="P100">
            <v>0</v>
          </cell>
          <cell r="Q100">
            <v>-394.2591540591344</v>
          </cell>
          <cell r="R100">
            <v>0</v>
          </cell>
          <cell r="S100">
            <v>-848.51648400535578</v>
          </cell>
          <cell r="T100">
            <v>-174.06247499767773</v>
          </cell>
          <cell r="U100">
            <v>0</v>
          </cell>
          <cell r="V100">
            <v>-9332.719621987897</v>
          </cell>
          <cell r="W100">
            <v>0</v>
          </cell>
          <cell r="X100">
            <v>-2731.1703696418112</v>
          </cell>
          <cell r="Y100">
            <v>-282.85443075501206</v>
          </cell>
          <cell r="Z100">
            <v>1371.37850617813</v>
          </cell>
          <cell r="AA100">
            <v>0</v>
          </cell>
          <cell r="AB100">
            <v>0</v>
          </cell>
          <cell r="AC100">
            <v>-6154.5526257936144</v>
          </cell>
          <cell r="AD100">
            <v>0</v>
          </cell>
          <cell r="AE100">
            <v>0</v>
          </cell>
          <cell r="AF100">
            <v>-2005.3862545088587</v>
          </cell>
          <cell r="AG100">
            <v>0</v>
          </cell>
          <cell r="AH100">
            <v>8476.9388803024722</v>
          </cell>
          <cell r="AI100">
            <v>282.85443075501206</v>
          </cell>
          <cell r="AJ100">
            <v>0</v>
          </cell>
          <cell r="AK100">
            <v>0</v>
          </cell>
          <cell r="AL100">
            <v>-5024.1610752026209</v>
          </cell>
          <cell r="AM100">
            <v>0</v>
          </cell>
          <cell r="AN100">
            <v>0</v>
          </cell>
          <cell r="AO100">
            <v>-1270.1528619357005</v>
          </cell>
          <cell r="AP100">
            <v>-99.615569191748392</v>
          </cell>
          <cell r="AQ100">
            <v>-978.9194881383379</v>
          </cell>
          <cell r="AR100">
            <v>-804.83218904468504</v>
          </cell>
          <cell r="AT100">
            <v>-857.46132768101393</v>
          </cell>
          <cell r="AU100">
            <v>45.33579665086323</v>
          </cell>
          <cell r="AV100">
            <v>0</v>
          </cell>
          <cell r="AW100">
            <v>19.382371423161501</v>
          </cell>
          <cell r="AX100">
            <v>321.79963334913674</v>
          </cell>
          <cell r="AY100">
            <v>0</v>
          </cell>
          <cell r="AZ100">
            <v>137.57870111876366</v>
          </cell>
          <cell r="BA100">
            <v>10.21456134807374</v>
          </cell>
          <cell r="BB100">
            <v>-52.300044632406212</v>
          </cell>
          <cell r="BC100">
            <v>0</v>
          </cell>
          <cell r="BD100">
            <v>0</v>
          </cell>
          <cell r="BE100">
            <v>306.12669249999999</v>
          </cell>
          <cell r="BF100">
            <v>-423.63597874999994</v>
          </cell>
          <cell r="BG100">
            <v>-10.21456134807374</v>
          </cell>
          <cell r="BH100">
            <v>0</v>
          </cell>
          <cell r="BI100">
            <v>0</v>
          </cell>
          <cell r="BJ100">
            <v>0</v>
          </cell>
          <cell r="BK100">
            <v>4177.4575780854375</v>
          </cell>
        </row>
        <row r="102">
          <cell r="C102">
            <v>26497.057060000003</v>
          </cell>
          <cell r="N102">
            <v>15751.515069999998</v>
          </cell>
          <cell r="O102">
            <v>-544.56173000000013</v>
          </cell>
          <cell r="P102">
            <v>0</v>
          </cell>
          <cell r="Q102">
            <v>0</v>
          </cell>
          <cell r="R102">
            <v>11.118450000000001</v>
          </cell>
          <cell r="S102">
            <v>-247.71075999999999</v>
          </cell>
          <cell r="T102">
            <v>-25.815359999999998</v>
          </cell>
          <cell r="U102">
            <v>0</v>
          </cell>
          <cell r="V102">
            <v>-6575.8490500000007</v>
          </cell>
          <cell r="W102">
            <v>0</v>
          </cell>
          <cell r="X102">
            <v>-650</v>
          </cell>
          <cell r="Y102">
            <v>-65.296489999999991</v>
          </cell>
          <cell r="Z102">
            <v>322.87797999999998</v>
          </cell>
          <cell r="AA102">
            <v>3.1228799999999994</v>
          </cell>
          <cell r="AB102">
            <v>0</v>
          </cell>
          <cell r="AC102">
            <v>-5705.73776</v>
          </cell>
          <cell r="AD102">
            <v>111.36296</v>
          </cell>
          <cell r="AE102">
            <v>-68.654899999999998</v>
          </cell>
          <cell r="AF102">
            <v>-697.28886</v>
          </cell>
          <cell r="AG102">
            <v>0</v>
          </cell>
          <cell r="AH102">
            <v>7488.20784</v>
          </cell>
          <cell r="AI102">
            <v>1019.1744400000001</v>
          </cell>
          <cell r="AJ102">
            <v>-619.97871000000009</v>
          </cell>
          <cell r="AK102">
            <v>-42.323500000000003</v>
          </cell>
          <cell r="AL102">
            <v>-4194.7225799999997</v>
          </cell>
          <cell r="AM102">
            <v>3440.80971</v>
          </cell>
          <cell r="AN102">
            <v>-1869.6613399999999</v>
          </cell>
          <cell r="AO102">
            <v>-635.00662</v>
          </cell>
          <cell r="AP102">
            <v>-77.721559999999997</v>
          </cell>
          <cell r="AQ102">
            <v>-515.14422999999999</v>
          </cell>
          <cell r="AR102">
            <v>-312.46023000000002</v>
          </cell>
          <cell r="AT102">
            <v>-1550.9476400000003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25.429970000000012</v>
          </cell>
          <cell r="BF102">
            <v>1184.0233299999998</v>
          </cell>
          <cell r="BG102">
            <v>-10.03608</v>
          </cell>
          <cell r="BH102">
            <v>-69.047499999999999</v>
          </cell>
          <cell r="BI102">
            <v>0.34658000000000011</v>
          </cell>
          <cell r="BJ102">
            <v>2.1316282072803006E-17</v>
          </cell>
          <cell r="BK102">
            <v>4880.0243099999971</v>
          </cell>
        </row>
        <row r="103">
          <cell r="C103">
            <v>26396.741359999996</v>
          </cell>
          <cell r="N103">
            <v>15544.341759999996</v>
          </cell>
          <cell r="O103">
            <v>-243.35158999999999</v>
          </cell>
          <cell r="P103">
            <v>0</v>
          </cell>
          <cell r="Q103">
            <v>0</v>
          </cell>
          <cell r="R103">
            <v>2.75</v>
          </cell>
          <cell r="S103">
            <v>-260.43601000000001</v>
          </cell>
          <cell r="T103">
            <v>-26.852780000000003</v>
          </cell>
          <cell r="U103">
            <v>0</v>
          </cell>
          <cell r="V103">
            <v>-6912.5467699999999</v>
          </cell>
          <cell r="W103">
            <v>0</v>
          </cell>
          <cell r="X103">
            <v>-973</v>
          </cell>
          <cell r="Y103">
            <v>-141.0026</v>
          </cell>
          <cell r="Z103">
            <v>353.66794999999996</v>
          </cell>
          <cell r="AA103">
            <v>7.0186799999999998</v>
          </cell>
          <cell r="AB103">
            <v>0</v>
          </cell>
          <cell r="AC103">
            <v>-5917.7064799999998</v>
          </cell>
          <cell r="AD103">
            <v>252.07699</v>
          </cell>
          <cell r="AE103">
            <v>-82.988749999999996</v>
          </cell>
          <cell r="AF103">
            <v>-662.22991000000002</v>
          </cell>
          <cell r="AG103">
            <v>0</v>
          </cell>
          <cell r="AH103">
            <v>7117.530209999999</v>
          </cell>
          <cell r="AI103">
            <v>202.73746000000003</v>
          </cell>
          <cell r="AJ103">
            <v>-69.729459999999932</v>
          </cell>
          <cell r="AK103">
            <v>-0.34221999999999975</v>
          </cell>
          <cell r="AL103">
            <v>-4171.93869</v>
          </cell>
          <cell r="AM103">
            <v>3435.6731100000006</v>
          </cell>
          <cell r="AN103">
            <v>-1771.2508700000003</v>
          </cell>
          <cell r="AO103">
            <v>-568.03995000000009</v>
          </cell>
          <cell r="AP103">
            <v>-51.577929999999995</v>
          </cell>
          <cell r="AQ103">
            <v>-467.19605999999999</v>
          </cell>
          <cell r="AR103">
            <v>-399.44947000000002</v>
          </cell>
          <cell r="AT103">
            <v>-1598.2768499999997</v>
          </cell>
          <cell r="AU103">
            <v>0</v>
          </cell>
          <cell r="AV103">
            <v>0</v>
          </cell>
          <cell r="AW103">
            <v>0</v>
          </cell>
          <cell r="AX103">
            <v>0.51</v>
          </cell>
          <cell r="AY103">
            <v>0</v>
          </cell>
          <cell r="AZ103">
            <v>0</v>
          </cell>
          <cell r="BA103">
            <v>9.9499999999999988E-3</v>
          </cell>
          <cell r="BB103">
            <v>-2.3210000000000001E-2</v>
          </cell>
          <cell r="BC103">
            <v>-4.4000000000000002E-4</v>
          </cell>
          <cell r="BD103">
            <v>0</v>
          </cell>
          <cell r="BE103">
            <v>45.533770000000004</v>
          </cell>
          <cell r="BF103">
            <v>68.798999999999921</v>
          </cell>
          <cell r="BG103">
            <v>-6.827090000000001</v>
          </cell>
          <cell r="BH103">
            <v>-24.868600000000004</v>
          </cell>
          <cell r="BI103">
            <v>-0.42201999999999995</v>
          </cell>
          <cell r="BJ103">
            <v>0</v>
          </cell>
          <cell r="BK103">
            <v>2680.5911300000012</v>
          </cell>
        </row>
        <row r="104">
          <cell r="C104">
            <v>23267.94</v>
          </cell>
          <cell r="N104">
            <v>15055.312082646187</v>
          </cell>
          <cell r="O104">
            <v>-2288.1767987767648</v>
          </cell>
          <cell r="P104">
            <v>0</v>
          </cell>
          <cell r="Q104">
            <v>-278.67147148720056</v>
          </cell>
          <cell r="R104">
            <v>0</v>
          </cell>
          <cell r="S104">
            <v>-307.8305348262129</v>
          </cell>
          <cell r="T104">
            <v>-125.50525988942458</v>
          </cell>
          <cell r="U104">
            <v>0</v>
          </cell>
          <cell r="V104">
            <v>-4284.9872063448811</v>
          </cell>
          <cell r="W104">
            <v>0</v>
          </cell>
          <cell r="X104">
            <v>-541.07342889325082</v>
          </cell>
          <cell r="Y104">
            <v>-120.97335352654939</v>
          </cell>
          <cell r="Z104">
            <v>215.49467682675186</v>
          </cell>
          <cell r="AA104">
            <v>0</v>
          </cell>
          <cell r="AB104">
            <v>0</v>
          </cell>
          <cell r="AC104">
            <v>-3109.7995569626637</v>
          </cell>
          <cell r="AD104">
            <v>0</v>
          </cell>
          <cell r="AE104">
            <v>0</v>
          </cell>
          <cell r="AF104">
            <v>-303.44176158676896</v>
          </cell>
          <cell r="AG104">
            <v>0</v>
          </cell>
          <cell r="AH104">
            <v>3676.4913185494338</v>
          </cell>
          <cell r="AI104">
            <v>120.97335352654939</v>
          </cell>
          <cell r="AJ104">
            <v>0</v>
          </cell>
          <cell r="AK104">
            <v>0</v>
          </cell>
          <cell r="AL104">
            <v>-2314.4704579733243</v>
          </cell>
          <cell r="AM104">
            <v>0</v>
          </cell>
          <cell r="AN104">
            <v>0</v>
          </cell>
          <cell r="AO104">
            <v>-613.38210560406083</v>
          </cell>
          <cell r="AP104">
            <v>-41.266848348153808</v>
          </cell>
          <cell r="AQ104">
            <v>-600.46450648685891</v>
          </cell>
          <cell r="AR104">
            <v>-420.96138275081182</v>
          </cell>
          <cell r="AT104">
            <v>-1303.3069012601302</v>
          </cell>
          <cell r="AU104">
            <v>185.6613494205362</v>
          </cell>
          <cell r="AV104">
            <v>0</v>
          </cell>
          <cell r="AW104">
            <v>27.32068240135937</v>
          </cell>
          <cell r="AX104">
            <v>191.37932093674038</v>
          </cell>
          <cell r="AY104">
            <v>0</v>
          </cell>
          <cell r="AZ104">
            <v>53.046317327412453</v>
          </cell>
          <cell r="BA104">
            <v>5.0432941566512</v>
          </cell>
          <cell r="BB104">
            <v>-9.4528190602923328</v>
          </cell>
          <cell r="BC104">
            <v>0</v>
          </cell>
          <cell r="BD104">
            <v>0</v>
          </cell>
          <cell r="BE104">
            <v>385.26936749999993</v>
          </cell>
          <cell r="BF104">
            <v>-385.26936749999993</v>
          </cell>
          <cell r="BG104">
            <v>-5.0432941566512</v>
          </cell>
          <cell r="BH104">
            <v>0</v>
          </cell>
          <cell r="BI104">
            <v>0</v>
          </cell>
          <cell r="BJ104">
            <v>0</v>
          </cell>
          <cell r="BK104">
            <v>2861.9147078576198</v>
          </cell>
        </row>
      </sheetData>
      <sheetData sheetId="1" refreshError="1">
        <row r="21">
          <cell r="C21">
            <v>944.6774399999988</v>
          </cell>
          <cell r="N21">
            <v>959.31627000000185</v>
          </cell>
          <cell r="O21">
            <v>-35.363749999999996</v>
          </cell>
          <cell r="P21">
            <v>0</v>
          </cell>
          <cell r="Q21">
            <v>0</v>
          </cell>
          <cell r="R21">
            <v>0</v>
          </cell>
          <cell r="S21">
            <v>-7.5233399999999993</v>
          </cell>
          <cell r="T21">
            <v>-22.632850000000001</v>
          </cell>
          <cell r="U21">
            <v>-60.645779999999988</v>
          </cell>
          <cell r="V21">
            <v>-169.69999000000001</v>
          </cell>
          <cell r="W21">
            <v>0</v>
          </cell>
          <cell r="X21">
            <v>0</v>
          </cell>
          <cell r="Y21">
            <v>-2.0647099999999998</v>
          </cell>
          <cell r="Z21">
            <v>14.619599999999998</v>
          </cell>
          <cell r="AA21">
            <v>0.2233</v>
          </cell>
          <cell r="AB21">
            <v>210</v>
          </cell>
          <cell r="AC21">
            <v>-2109.73864</v>
          </cell>
          <cell r="AD21">
            <v>5.9950700000000001</v>
          </cell>
          <cell r="AE21">
            <v>-2.7318500000000001</v>
          </cell>
          <cell r="AF21">
            <v>-19.487389999999998</v>
          </cell>
          <cell r="AG21">
            <v>0</v>
          </cell>
          <cell r="AH21">
            <v>1852.7251100000008</v>
          </cell>
          <cell r="AI21">
            <v>453.97714999999999</v>
          </cell>
          <cell r="AJ21">
            <v>-490.37725999999992</v>
          </cell>
          <cell r="AK21">
            <v>-30.67315</v>
          </cell>
          <cell r="AL21">
            <v>-172.27017000000021</v>
          </cell>
          <cell r="AM21">
            <v>94.22304999999993</v>
          </cell>
          <cell r="AN21">
            <v>-97.260179999999963</v>
          </cell>
          <cell r="AO21">
            <v>-5.4510000000000003E-2</v>
          </cell>
          <cell r="AP21">
            <v>-4.2660200000000001</v>
          </cell>
          <cell r="AQ21">
            <v>-130.77433000000002</v>
          </cell>
          <cell r="AR21">
            <v>-15.51216</v>
          </cell>
          <cell r="AT21">
            <v>-68.82302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-158.9327599999994</v>
          </cell>
          <cell r="BG21">
            <v>-10.26431</v>
          </cell>
          <cell r="BH21">
            <v>0.7467199999999985</v>
          </cell>
          <cell r="BI21">
            <v>0.68540000000000001</v>
          </cell>
          <cell r="BJ21">
            <v>0</v>
          </cell>
          <cell r="BK21">
            <v>-16.584499999996815</v>
          </cell>
        </row>
        <row r="22">
          <cell r="C22">
            <v>1201.7279799999992</v>
          </cell>
          <cell r="N22">
            <v>1171.1001199999989</v>
          </cell>
          <cell r="O22">
            <v>-68.259249999999994</v>
          </cell>
          <cell r="P22">
            <v>0</v>
          </cell>
          <cell r="Q22">
            <v>0</v>
          </cell>
          <cell r="R22">
            <v>0</v>
          </cell>
          <cell r="S22">
            <v>-63.017570000000006</v>
          </cell>
          <cell r="T22">
            <v>-3.3253400000000002</v>
          </cell>
          <cell r="U22">
            <v>-50.323680000000003</v>
          </cell>
          <cell r="V22">
            <v>-802.89943947270308</v>
          </cell>
          <cell r="W22">
            <v>0</v>
          </cell>
          <cell r="X22">
            <v>-1272.4398005272969</v>
          </cell>
          <cell r="Y22">
            <v>-33.586190000000002</v>
          </cell>
          <cell r="Z22">
            <v>160.22132999999999</v>
          </cell>
          <cell r="AA22">
            <v>3.8054199999999998</v>
          </cell>
          <cell r="AB22">
            <v>-270</v>
          </cell>
          <cell r="AC22">
            <v>-1380.2512200000001</v>
          </cell>
          <cell r="AD22">
            <v>6.0143899999999997</v>
          </cell>
          <cell r="AE22">
            <v>-84.501490000000004</v>
          </cell>
          <cell r="AF22">
            <v>-106.21734000000001</v>
          </cell>
          <cell r="AG22">
            <v>0</v>
          </cell>
          <cell r="AH22">
            <v>3983.5601499999993</v>
          </cell>
          <cell r="AI22">
            <v>177.94959000000003</v>
          </cell>
          <cell r="AJ22">
            <v>-110.42681000000005</v>
          </cell>
          <cell r="AK22">
            <v>-3.3509599999999993</v>
          </cell>
          <cell r="AL22">
            <v>-220.8271100000004</v>
          </cell>
          <cell r="AM22">
            <v>123.89337000000006</v>
          </cell>
          <cell r="AN22">
            <v>-120.70180000000006</v>
          </cell>
          <cell r="AO22">
            <v>-37.300899999999999</v>
          </cell>
          <cell r="AP22">
            <v>-11.18932</v>
          </cell>
          <cell r="AQ22">
            <v>-321.01143000000008</v>
          </cell>
          <cell r="AR22">
            <v>3.8443199999999962</v>
          </cell>
          <cell r="AT22">
            <v>-104.56051000000005</v>
          </cell>
          <cell r="AU22">
            <v>0</v>
          </cell>
          <cell r="AV22">
            <v>0</v>
          </cell>
          <cell r="AW22">
            <v>0</v>
          </cell>
          <cell r="AX22">
            <v>122.35356553216781</v>
          </cell>
          <cell r="AY22">
            <v>0</v>
          </cell>
          <cell r="AZ22">
            <v>-0.43338553216779019</v>
          </cell>
          <cell r="BA22">
            <v>1.82141</v>
          </cell>
          <cell r="BB22">
            <v>-9.4125399999999999</v>
          </cell>
          <cell r="BC22">
            <v>-0.21023</v>
          </cell>
          <cell r="BD22">
            <v>0</v>
          </cell>
          <cell r="BE22">
            <v>0</v>
          </cell>
          <cell r="BF22">
            <v>152.50385000000003</v>
          </cell>
          <cell r="BG22">
            <v>-0.47792999999999919</v>
          </cell>
          <cell r="BH22">
            <v>-4.6294100000000018</v>
          </cell>
          <cell r="BI22">
            <v>-0.23073999999999995</v>
          </cell>
          <cell r="BJ22">
            <v>0</v>
          </cell>
          <cell r="BK22">
            <v>827.48311999999726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-58.367846302930033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500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-0.3887226060028075</v>
          </cell>
          <cell r="AP23">
            <v>-3.6139559303588751</v>
          </cell>
          <cell r="AQ23">
            <v>-103.98237820779801</v>
          </cell>
          <cell r="AR23">
            <v>-19.439199385459549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314.20789756745069</v>
          </cell>
        </row>
        <row r="25">
          <cell r="C25">
            <v>611.71333000000118</v>
          </cell>
          <cell r="N25">
            <v>572.85803000000067</v>
          </cell>
          <cell r="O25">
            <v>-60.082370000000012</v>
          </cell>
          <cell r="P25">
            <v>0</v>
          </cell>
          <cell r="Q25">
            <v>0</v>
          </cell>
          <cell r="R25">
            <v>0</v>
          </cell>
          <cell r="S25">
            <v>-7.3648699999999998</v>
          </cell>
          <cell r="T25">
            <v>-0.87459999999999993</v>
          </cell>
          <cell r="U25">
            <v>0</v>
          </cell>
          <cell r="V25">
            <v>-27.568490000000001</v>
          </cell>
          <cell r="W25">
            <v>0</v>
          </cell>
          <cell r="X25">
            <v>0</v>
          </cell>
          <cell r="Y25">
            <v>-7.9040000000000013E-2</v>
          </cell>
          <cell r="Z25">
            <v>0.42254000000000003</v>
          </cell>
          <cell r="AA25">
            <v>1.1200000000000001E-3</v>
          </cell>
          <cell r="AB25">
            <v>90</v>
          </cell>
          <cell r="AC25">
            <v>-103.63030999999999</v>
          </cell>
          <cell r="AD25">
            <v>33.776490000000003</v>
          </cell>
          <cell r="AE25">
            <v>-3.7493100000000004</v>
          </cell>
          <cell r="AF25">
            <v>-2.5452500000000002</v>
          </cell>
          <cell r="AG25">
            <v>0</v>
          </cell>
          <cell r="AH25">
            <v>-230.48075999999992</v>
          </cell>
          <cell r="AI25">
            <v>13.315869999999999</v>
          </cell>
          <cell r="AJ25">
            <v>7.1221299999999994</v>
          </cell>
          <cell r="AK25">
            <v>-4.0930000000000001E-2</v>
          </cell>
          <cell r="AL25">
            <v>-111.76249000000013</v>
          </cell>
          <cell r="AM25">
            <v>65.28703000000003</v>
          </cell>
          <cell r="AN25">
            <v>-57.876509999999975</v>
          </cell>
          <cell r="AO25">
            <v>-4.0230000000000002E-2</v>
          </cell>
          <cell r="AP25">
            <v>-3.8936099999999998</v>
          </cell>
          <cell r="AQ25">
            <v>-81.425960000000003</v>
          </cell>
          <cell r="AR25">
            <v>-14.450429999999999</v>
          </cell>
          <cell r="AT25">
            <v>-52.229410000000001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-1.8870000000000001E-2</v>
          </cell>
          <cell r="BH25">
            <v>-1.7090000000000001E-2</v>
          </cell>
          <cell r="BI25">
            <v>7.0000000000000007E-5</v>
          </cell>
          <cell r="BJ25">
            <v>0</v>
          </cell>
          <cell r="BK25">
            <v>24.65275000000068</v>
          </cell>
        </row>
        <row r="26">
          <cell r="C26">
            <v>776.00112000000331</v>
          </cell>
          <cell r="N26">
            <v>773.84197000000052</v>
          </cell>
          <cell r="O26">
            <v>-68.571540000000013</v>
          </cell>
          <cell r="P26">
            <v>0</v>
          </cell>
          <cell r="Q26">
            <v>0</v>
          </cell>
          <cell r="R26">
            <v>0</v>
          </cell>
          <cell r="S26">
            <v>-31.857810000000001</v>
          </cell>
          <cell r="T26">
            <v>-1.58473</v>
          </cell>
          <cell r="U26">
            <v>0</v>
          </cell>
          <cell r="V26">
            <v>-305.49094000000002</v>
          </cell>
          <cell r="W26">
            <v>0</v>
          </cell>
          <cell r="X26">
            <v>0</v>
          </cell>
          <cell r="Y26">
            <v>-2.3890600000000002</v>
          </cell>
          <cell r="Z26">
            <v>5.1827100000000002</v>
          </cell>
          <cell r="AA26">
            <v>4.0050000000000002E-2</v>
          </cell>
          <cell r="AB26">
            <v>-110</v>
          </cell>
          <cell r="AC26">
            <v>-221.05283000000003</v>
          </cell>
          <cell r="AD26">
            <v>28.704180000000001</v>
          </cell>
          <cell r="AE26">
            <v>-39.509</v>
          </cell>
          <cell r="AF26">
            <v>-2.4994399999999999</v>
          </cell>
          <cell r="AG26">
            <v>0</v>
          </cell>
          <cell r="AH26">
            <v>264.40954000000005</v>
          </cell>
          <cell r="AI26">
            <v>2.9267999999999996</v>
          </cell>
          <cell r="AJ26">
            <v>-0.38456000000000012</v>
          </cell>
          <cell r="AK26">
            <v>2.6159999999999996E-2</v>
          </cell>
          <cell r="AL26">
            <v>-142.12223000000023</v>
          </cell>
          <cell r="AM26">
            <v>79.454910000000012</v>
          </cell>
          <cell r="AN26">
            <v>-82.616169999999983</v>
          </cell>
          <cell r="AO26">
            <v>-51.096869999999988</v>
          </cell>
          <cell r="AP26">
            <v>-9.5053300000000007</v>
          </cell>
          <cell r="AQ26">
            <v>-237.96672000000001</v>
          </cell>
          <cell r="AR26">
            <v>-34.88449</v>
          </cell>
          <cell r="AT26">
            <v>-71.588190000000026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0.16400000000000001</v>
          </cell>
          <cell r="BF26">
            <v>-4.5471699999999995</v>
          </cell>
          <cell r="BG26">
            <v>-6.4680000000000001E-2</v>
          </cell>
          <cell r="BH26">
            <v>5.1470000000000009E-2</v>
          </cell>
          <cell r="BI26">
            <v>7.2000000000000005E-4</v>
          </cell>
          <cell r="BJ26">
            <v>0</v>
          </cell>
          <cell r="BK26">
            <v>-262.92924999999968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-46.019726542773469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-0.34007931395720747</v>
          </cell>
          <cell r="AP27">
            <v>-3.439426994583175</v>
          </cell>
          <cell r="AQ27">
            <v>-82.182474506543997</v>
          </cell>
          <cell r="AR27">
            <v>-18.213911844316097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-150.19561920217393</v>
          </cell>
        </row>
        <row r="29">
          <cell r="C29">
            <v>1556.39077</v>
          </cell>
          <cell r="N29">
            <v>1532.1743000000024</v>
          </cell>
          <cell r="O29">
            <v>-95.446120000000008</v>
          </cell>
          <cell r="P29">
            <v>0</v>
          </cell>
          <cell r="Q29">
            <v>0</v>
          </cell>
          <cell r="R29">
            <v>0</v>
          </cell>
          <cell r="S29">
            <v>-14.888209999999999</v>
          </cell>
          <cell r="T29">
            <v>-23.507450000000002</v>
          </cell>
          <cell r="U29">
            <v>-60.645779999999988</v>
          </cell>
          <cell r="V29">
            <v>-197.26848000000001</v>
          </cell>
          <cell r="W29">
            <v>0</v>
          </cell>
          <cell r="X29">
            <v>0</v>
          </cell>
          <cell r="Y29">
            <v>-2.1437499999999998</v>
          </cell>
          <cell r="Z29">
            <v>15.042139999999998</v>
          </cell>
          <cell r="AA29">
            <v>0.22442000000000001</v>
          </cell>
          <cell r="AB29">
            <v>300</v>
          </cell>
          <cell r="AC29">
            <v>-2213.36895</v>
          </cell>
          <cell r="AD29">
            <v>39.771560000000001</v>
          </cell>
          <cell r="AE29">
            <v>-6.4811600000000009</v>
          </cell>
          <cell r="AF29">
            <v>-22.032639999999997</v>
          </cell>
          <cell r="AG29">
            <v>0</v>
          </cell>
          <cell r="AH29">
            <v>1622.2443500000008</v>
          </cell>
          <cell r="AI29">
            <v>467.29302000000001</v>
          </cell>
          <cell r="AJ29">
            <v>-483.25512999999989</v>
          </cell>
          <cell r="AK29">
            <v>-30.714079999999999</v>
          </cell>
          <cell r="AL29">
            <v>-284.03266000000031</v>
          </cell>
          <cell r="AM29">
            <v>159.51007999999996</v>
          </cell>
          <cell r="AN29">
            <v>-155.13668999999993</v>
          </cell>
          <cell r="AO29">
            <v>-9.4740000000000005E-2</v>
          </cell>
          <cell r="AP29">
            <v>-8.1596299999999999</v>
          </cell>
          <cell r="AQ29">
            <v>-212.20029000000002</v>
          </cell>
          <cell r="AR29">
            <v>-29.962589999999999</v>
          </cell>
          <cell r="AT29">
            <v>-121.05243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-158.9327599999994</v>
          </cell>
          <cell r="BG29">
            <v>-10.28318</v>
          </cell>
          <cell r="BH29">
            <v>0.72962999999999845</v>
          </cell>
          <cell r="BI29">
            <v>0.68547000000000002</v>
          </cell>
          <cell r="BJ29">
            <v>0</v>
          </cell>
          <cell r="BK29">
            <v>8.0682500000038644</v>
          </cell>
        </row>
        <row r="30">
          <cell r="C30">
            <v>1977.7291000000025</v>
          </cell>
          <cell r="N30">
            <v>1944.9420899999996</v>
          </cell>
          <cell r="O30">
            <v>-136.83079000000001</v>
          </cell>
          <cell r="P30">
            <v>0</v>
          </cell>
          <cell r="Q30">
            <v>0</v>
          </cell>
          <cell r="R30">
            <v>0</v>
          </cell>
          <cell r="S30">
            <v>-94.875380000000007</v>
          </cell>
          <cell r="T30">
            <v>-4.9100700000000002</v>
          </cell>
          <cell r="U30">
            <v>-50.323680000000003</v>
          </cell>
          <cell r="V30">
            <v>-1108.390379472703</v>
          </cell>
          <cell r="W30">
            <v>0</v>
          </cell>
          <cell r="X30">
            <v>-1272.4398005272969</v>
          </cell>
          <cell r="Y30">
            <v>-35.975250000000003</v>
          </cell>
          <cell r="Z30">
            <v>165.40404000000001</v>
          </cell>
          <cell r="AA30">
            <v>3.8454699999999997</v>
          </cell>
          <cell r="AB30">
            <v>-380</v>
          </cell>
          <cell r="AC30">
            <v>-1601.3040500000002</v>
          </cell>
          <cell r="AD30">
            <v>34.71857</v>
          </cell>
          <cell r="AE30">
            <v>-124.01049</v>
          </cell>
          <cell r="AF30">
            <v>-108.71678</v>
          </cell>
          <cell r="AG30">
            <v>0</v>
          </cell>
          <cell r="AH30">
            <v>4247.969689999999</v>
          </cell>
          <cell r="AI30">
            <v>180.87639000000001</v>
          </cell>
          <cell r="AJ30">
            <v>-110.81137000000004</v>
          </cell>
          <cell r="AK30">
            <v>-3.3247999999999993</v>
          </cell>
          <cell r="AL30">
            <v>-362.94934000000063</v>
          </cell>
          <cell r="AM30">
            <v>203.34828000000007</v>
          </cell>
          <cell r="AN30">
            <v>-203.31797000000006</v>
          </cell>
          <cell r="AO30">
            <v>-88.39776999999998</v>
          </cell>
          <cell r="AP30">
            <v>-20.694650000000003</v>
          </cell>
          <cell r="AQ30">
            <v>-558.97815000000014</v>
          </cell>
          <cell r="AR30">
            <v>-31.040170000000003</v>
          </cell>
          <cell r="AT30">
            <v>-176.14870000000008</v>
          </cell>
          <cell r="AU30">
            <v>0</v>
          </cell>
          <cell r="AV30">
            <v>0</v>
          </cell>
          <cell r="AW30">
            <v>0</v>
          </cell>
          <cell r="AX30">
            <v>122.35356553216781</v>
          </cell>
          <cell r="AY30">
            <v>0</v>
          </cell>
          <cell r="AZ30">
            <v>-0.43338553216779019</v>
          </cell>
          <cell r="BA30">
            <v>1.82141</v>
          </cell>
          <cell r="BB30">
            <v>-9.4125399999999999</v>
          </cell>
          <cell r="BC30">
            <v>-0.21023</v>
          </cell>
          <cell r="BD30">
            <v>0</v>
          </cell>
          <cell r="BE30">
            <v>0.16400000000000001</v>
          </cell>
          <cell r="BF30">
            <v>147.95668000000003</v>
          </cell>
          <cell r="BG30">
            <v>-0.54260999999999915</v>
          </cell>
          <cell r="BH30">
            <v>-4.5779400000000017</v>
          </cell>
          <cell r="BI30">
            <v>-0.23001999999999995</v>
          </cell>
          <cell r="BJ30">
            <v>0</v>
          </cell>
          <cell r="BK30">
            <v>564.55386999999757</v>
          </cell>
        </row>
        <row r="31">
          <cell r="C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-104.3875728457035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500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-0.72880191996001498</v>
          </cell>
          <cell r="AP31">
            <v>-7.0533829249420501</v>
          </cell>
          <cell r="AQ31">
            <v>-186.164852714342</v>
          </cell>
          <cell r="AR31">
            <v>-37.653111229775647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164.01227836527676</v>
          </cell>
        </row>
        <row r="33">
          <cell r="C33">
            <v>1300.5752200000004</v>
          </cell>
          <cell r="N33">
            <v>1317.5103099999981</v>
          </cell>
          <cell r="O33">
            <v>-48.421700000000001</v>
          </cell>
          <cell r="P33">
            <v>0</v>
          </cell>
          <cell r="Q33">
            <v>0</v>
          </cell>
          <cell r="R33">
            <v>1.25</v>
          </cell>
          <cell r="S33">
            <v>-10.733409999999999</v>
          </cell>
          <cell r="T33">
            <v>-9.9216899999999999</v>
          </cell>
          <cell r="U33">
            <v>0</v>
          </cell>
          <cell r="V33">
            <v>-63.138259999999995</v>
          </cell>
          <cell r="W33">
            <v>0</v>
          </cell>
          <cell r="X33">
            <v>0</v>
          </cell>
          <cell r="Y33">
            <v>-0.5224700000000001</v>
          </cell>
          <cell r="Z33">
            <v>1.4041700000000001</v>
          </cell>
          <cell r="AA33">
            <v>1.013E-2</v>
          </cell>
          <cell r="AB33">
            <v>0</v>
          </cell>
          <cell r="AC33">
            <v>-272.07320000000004</v>
          </cell>
          <cell r="AD33">
            <v>0</v>
          </cell>
          <cell r="AE33">
            <v>-2.5446600000000004</v>
          </cell>
          <cell r="AF33">
            <v>-38.643260000000005</v>
          </cell>
          <cell r="AG33">
            <v>0</v>
          </cell>
          <cell r="AH33">
            <v>488.69823000000002</v>
          </cell>
          <cell r="AI33">
            <v>13.291820000000001</v>
          </cell>
          <cell r="AJ33">
            <v>-13.395700000000001</v>
          </cell>
          <cell r="AK33">
            <v>-0.25364999999999999</v>
          </cell>
          <cell r="AL33">
            <v>-310.35996999999998</v>
          </cell>
          <cell r="AM33">
            <v>172.9472999999999</v>
          </cell>
          <cell r="AN33">
            <v>-176.71361999999996</v>
          </cell>
          <cell r="AO33">
            <v>-3.7510000000000002E-2</v>
          </cell>
          <cell r="AP33">
            <v>-4.6772799999999997</v>
          </cell>
          <cell r="AQ33">
            <v>-106.39129</v>
          </cell>
          <cell r="AR33">
            <v>-17.052630000000001</v>
          </cell>
          <cell r="AT33">
            <v>-2.2632500000017881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-63.961729999999996</v>
          </cell>
          <cell r="BG33">
            <v>-117.27017999999998</v>
          </cell>
          <cell r="BH33">
            <v>0.84267000000001269</v>
          </cell>
          <cell r="BI33">
            <v>0.91937999999999998</v>
          </cell>
          <cell r="BJ33">
            <v>0</v>
          </cell>
          <cell r="BK33">
            <v>738.49854999999582</v>
          </cell>
        </row>
        <row r="34">
          <cell r="C34">
            <v>1520.6208199999983</v>
          </cell>
          <cell r="N34">
            <v>1550.5957199999973</v>
          </cell>
          <cell r="O34">
            <v>-71.259510000000006</v>
          </cell>
          <cell r="P34">
            <v>0</v>
          </cell>
          <cell r="Q34">
            <v>0</v>
          </cell>
          <cell r="R34">
            <v>0</v>
          </cell>
          <cell r="S34">
            <v>-12.50712</v>
          </cell>
          <cell r="T34">
            <v>-7.5816999999999997</v>
          </cell>
          <cell r="U34">
            <v>0</v>
          </cell>
          <cell r="V34">
            <v>-572.5365428579272</v>
          </cell>
          <cell r="W34">
            <v>0</v>
          </cell>
          <cell r="X34">
            <v>-60.082747142072876</v>
          </cell>
          <cell r="Y34">
            <v>-5.91615</v>
          </cell>
          <cell r="Z34">
            <v>15.028799999999999</v>
          </cell>
          <cell r="AA34">
            <v>0.14347000000000001</v>
          </cell>
          <cell r="AB34">
            <v>0</v>
          </cell>
          <cell r="AC34">
            <v>-298.95456999999999</v>
          </cell>
          <cell r="AD34">
            <v>0.75</v>
          </cell>
          <cell r="AE34">
            <v>-37.949960000000004</v>
          </cell>
          <cell r="AF34">
            <v>-19.219970000000004</v>
          </cell>
          <cell r="AG34">
            <v>0</v>
          </cell>
          <cell r="AH34">
            <v>695.78283999999996</v>
          </cell>
          <cell r="AI34">
            <v>9.8567400000000003</v>
          </cell>
          <cell r="AJ34">
            <v>-6.4020000000000001</v>
          </cell>
          <cell r="AK34">
            <v>-0.11749999999999999</v>
          </cell>
          <cell r="AL34">
            <v>-364.9343100000001</v>
          </cell>
          <cell r="AM34">
            <v>204.1262599999998</v>
          </cell>
          <cell r="AN34">
            <v>-215.04818000000012</v>
          </cell>
          <cell r="AO34">
            <v>-54.429410000000004</v>
          </cell>
          <cell r="AP34">
            <v>-11.977830000000001</v>
          </cell>
          <cell r="AQ34">
            <v>-306.04283999999996</v>
          </cell>
          <cell r="AR34">
            <v>-45.402430000000003</v>
          </cell>
          <cell r="AT34">
            <v>-388.25025000000187</v>
          </cell>
          <cell r="AU34">
            <v>0</v>
          </cell>
          <cell r="AV34">
            <v>0</v>
          </cell>
          <cell r="AW34">
            <v>0</v>
          </cell>
          <cell r="AX34">
            <v>69.040603491314826</v>
          </cell>
          <cell r="AY34">
            <v>0</v>
          </cell>
          <cell r="AZ34">
            <v>4.4952765086851656</v>
          </cell>
          <cell r="BA34">
            <v>0.69949000000000006</v>
          </cell>
          <cell r="BB34">
            <v>-1.7469599999999998</v>
          </cell>
          <cell r="BC34">
            <v>-1.602E-2</v>
          </cell>
          <cell r="BD34">
            <v>0</v>
          </cell>
          <cell r="BE34">
            <v>-1.341</v>
          </cell>
          <cell r="BF34">
            <v>-125.40816999999993</v>
          </cell>
          <cell r="BG34">
            <v>-87.634650000000008</v>
          </cell>
          <cell r="BH34">
            <v>0.91873999999999256</v>
          </cell>
          <cell r="BI34">
            <v>-8.9219999999999966E-2</v>
          </cell>
          <cell r="BJ34">
            <v>0</v>
          </cell>
          <cell r="BK34">
            <v>-143.41110000000509</v>
          </cell>
        </row>
        <row r="35">
          <cell r="C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-59.067954503188616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-0.45650861592880754</v>
          </cell>
          <cell r="AP35">
            <v>-4.5919845732923505</v>
          </cell>
          <cell r="AQ35">
            <v>-109.33753130655549</v>
          </cell>
          <cell r="AR35">
            <v>-24.485997118301448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-197.9399761172667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20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20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264.23783999999995</v>
          </cell>
          <cell r="N41">
            <v>262.8706899999998</v>
          </cell>
          <cell r="O41">
            <v>-3.9092000000000002</v>
          </cell>
          <cell r="P41">
            <v>0</v>
          </cell>
          <cell r="Q41">
            <v>0</v>
          </cell>
          <cell r="R41">
            <v>0</v>
          </cell>
          <cell r="S41">
            <v>-6.8367300000000011</v>
          </cell>
          <cell r="T41">
            <v>0</v>
          </cell>
          <cell r="U41">
            <v>0</v>
          </cell>
          <cell r="V41">
            <v>-32.982999999999997</v>
          </cell>
          <cell r="W41">
            <v>0</v>
          </cell>
          <cell r="X41">
            <v>0</v>
          </cell>
          <cell r="Y41">
            <v>-0.69367000000000001</v>
          </cell>
          <cell r="Z41">
            <v>4.0897299999999994</v>
          </cell>
          <cell r="AA41">
            <v>7.6670000000000002E-2</v>
          </cell>
          <cell r="AB41">
            <v>40</v>
          </cell>
          <cell r="AC41">
            <v>-140.63529000000003</v>
          </cell>
          <cell r="AD41">
            <v>0</v>
          </cell>
          <cell r="AE41">
            <v>-0.47240000000000004</v>
          </cell>
          <cell r="AF41">
            <v>-9.1431700000000014</v>
          </cell>
          <cell r="AG41">
            <v>0</v>
          </cell>
          <cell r="AH41">
            <v>-896.93035999999995</v>
          </cell>
          <cell r="AI41">
            <v>17.25986</v>
          </cell>
          <cell r="AJ41">
            <v>54.12498999999999</v>
          </cell>
          <cell r="AK41">
            <v>-1.4983600000000001</v>
          </cell>
          <cell r="AL41">
            <v>-65.775400000000033</v>
          </cell>
          <cell r="AM41">
            <v>38.419659999999993</v>
          </cell>
          <cell r="AN41">
            <v>-38.086120000000001</v>
          </cell>
          <cell r="AO41">
            <v>-7.2899999999999996E-3</v>
          </cell>
          <cell r="AP41">
            <v>-2.3864200000000002</v>
          </cell>
          <cell r="AQ41">
            <v>-33.514040000000001</v>
          </cell>
          <cell r="AR41">
            <v>-11.04701</v>
          </cell>
          <cell r="AT41">
            <v>-7.868E-2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12.092750000000002</v>
          </cell>
          <cell r="BG41">
            <v>-0.65242999999999995</v>
          </cell>
          <cell r="BH41">
            <v>-3.3409599999999999</v>
          </cell>
          <cell r="BI41">
            <v>3.687E-2</v>
          </cell>
          <cell r="BJ41">
            <v>0</v>
          </cell>
          <cell r="BK41">
            <v>-819.01931000000025</v>
          </cell>
        </row>
        <row r="42">
          <cell r="C42">
            <v>326.2963299999999</v>
          </cell>
          <cell r="N42">
            <v>330.39135999999922</v>
          </cell>
          <cell r="O42">
            <v>-1.85473</v>
          </cell>
          <cell r="P42">
            <v>0</v>
          </cell>
          <cell r="Q42">
            <v>0</v>
          </cell>
          <cell r="R42">
            <v>0</v>
          </cell>
          <cell r="S42">
            <v>-3.7420499999999999</v>
          </cell>
          <cell r="T42">
            <v>-0.43940999999999997</v>
          </cell>
          <cell r="U42">
            <v>0</v>
          </cell>
          <cell r="V42">
            <v>-108.10700672379068</v>
          </cell>
          <cell r="W42">
            <v>0</v>
          </cell>
          <cell r="X42">
            <v>-50.943533276209322</v>
          </cell>
          <cell r="Y42">
            <v>-5.35609</v>
          </cell>
          <cell r="Z42">
            <v>17.970910000000003</v>
          </cell>
          <cell r="AA42">
            <v>0.61860000000000004</v>
          </cell>
          <cell r="AB42">
            <v>-20</v>
          </cell>
          <cell r="AC42">
            <v>-144.59456</v>
          </cell>
          <cell r="AD42">
            <v>0</v>
          </cell>
          <cell r="AE42">
            <v>-7.8741799999999991</v>
          </cell>
          <cell r="AF42">
            <v>-20.793860000000002</v>
          </cell>
          <cell r="AG42">
            <v>0</v>
          </cell>
          <cell r="AH42">
            <v>458.08960000000002</v>
          </cell>
          <cell r="AI42">
            <v>12.322680000000002</v>
          </cell>
          <cell r="AJ42">
            <v>-34.00215</v>
          </cell>
          <cell r="AK42">
            <v>-0.61929000000000012</v>
          </cell>
          <cell r="AL42">
            <v>-75.238420000000048</v>
          </cell>
          <cell r="AM42">
            <v>43.902719999999974</v>
          </cell>
          <cell r="AN42">
            <v>-45.621419999999993</v>
          </cell>
          <cell r="AO42">
            <v>-14.319179999999999</v>
          </cell>
          <cell r="AP42">
            <v>-3.5023499999999999</v>
          </cell>
          <cell r="AQ42">
            <v>-81.076120000000003</v>
          </cell>
          <cell r="AR42">
            <v>-19.721910000000001</v>
          </cell>
          <cell r="AT42">
            <v>-9.9747399999999971</v>
          </cell>
          <cell r="AU42">
            <v>0</v>
          </cell>
          <cell r="AV42">
            <v>0</v>
          </cell>
          <cell r="AW42">
            <v>0</v>
          </cell>
          <cell r="AX42">
            <v>3.9496846124018896</v>
          </cell>
          <cell r="AY42">
            <v>0</v>
          </cell>
          <cell r="AZ42">
            <v>2.2811053875981102</v>
          </cell>
          <cell r="BA42">
            <v>0.19675999999999999</v>
          </cell>
          <cell r="BB42">
            <v>-0.70401000000000002</v>
          </cell>
          <cell r="BC42">
            <v>-2.2120000000000001E-2</v>
          </cell>
          <cell r="BD42">
            <v>0</v>
          </cell>
          <cell r="BE42">
            <v>0</v>
          </cell>
          <cell r="BF42">
            <v>-19.929109999999998</v>
          </cell>
          <cell r="BG42">
            <v>-0.57386999999999999</v>
          </cell>
          <cell r="BH42">
            <v>2.6921800000000005</v>
          </cell>
          <cell r="BI42">
            <v>7.8370000000000009E-2</v>
          </cell>
          <cell r="BJ42">
            <v>0</v>
          </cell>
          <cell r="BK42">
            <v>203.48385999999923</v>
          </cell>
        </row>
        <row r="43">
          <cell r="C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-20.137290319105158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-0.28404273415389003</v>
          </cell>
          <cell r="AP43">
            <v>-3.3244982592883248</v>
          </cell>
          <cell r="AQ43">
            <v>-37.471331846722002</v>
          </cell>
          <cell r="AR43">
            <v>-17.951230266272923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-79.168393425542291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-5.79E-3</v>
          </cell>
          <cell r="AR49">
            <v>-1.6800000000000001E-3</v>
          </cell>
          <cell r="AT49">
            <v>-4.0000000000000003E-5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-4.0008499999999998</v>
          </cell>
          <cell r="BH49">
            <v>0</v>
          </cell>
          <cell r="BI49">
            <v>0.28706999999999999</v>
          </cell>
          <cell r="BJ49">
            <v>0</v>
          </cell>
          <cell r="BK49">
            <v>-3.7212900000000002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-6.1499999999999992E-3</v>
          </cell>
          <cell r="AR50">
            <v>-1.6800000000000001E-3</v>
          </cell>
          <cell r="AT50">
            <v>-4.0000000000000003E-5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-0.67476000000000003</v>
          </cell>
          <cell r="BH50">
            <v>0</v>
          </cell>
          <cell r="BI50">
            <v>2.5000000000000001E-4</v>
          </cell>
          <cell r="BJ50">
            <v>0</v>
          </cell>
          <cell r="BK50">
            <v>-0.6823800000000001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-5.9500000000000004E-3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-2.8000000000000003E-4</v>
          </cell>
          <cell r="AF53">
            <v>0</v>
          </cell>
          <cell r="AG53">
            <v>0</v>
          </cell>
          <cell r="AH53">
            <v>0.33505000000000001</v>
          </cell>
          <cell r="AI53">
            <v>1.2790000000000003E-2</v>
          </cell>
          <cell r="AJ53">
            <v>-1.4600000000000002E-2</v>
          </cell>
          <cell r="AK53">
            <v>-4.6999999999999999E-4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-1.8799999999999997E-3</v>
          </cell>
          <cell r="AQ53">
            <v>-2.6999999999999995E-4</v>
          </cell>
          <cell r="AR53">
            <v>-9.6799999999999994E-3</v>
          </cell>
          <cell r="AT53">
            <v>-2.2700000000000003E-3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0.30116999999999994</v>
          </cell>
          <cell r="BH53">
            <v>-4.4900000000000001E-3</v>
          </cell>
          <cell r="BI53">
            <v>-2.0000000000000002E-5</v>
          </cell>
          <cell r="BJ53">
            <v>0</v>
          </cell>
          <cell r="BK53">
            <v>0.60909999999999997</v>
          </cell>
        </row>
        <row r="54">
          <cell r="C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-1.035E-2</v>
          </cell>
          <cell r="T54">
            <v>-9.9000000000000008E-3</v>
          </cell>
          <cell r="U54">
            <v>0</v>
          </cell>
          <cell r="V54">
            <v>-4.5159999999999999E-2</v>
          </cell>
          <cell r="W54">
            <v>0</v>
          </cell>
          <cell r="X54">
            <v>0</v>
          </cell>
          <cell r="Y54">
            <v>-2.0600000000000002E-3</v>
          </cell>
          <cell r="Z54">
            <v>2.96E-3</v>
          </cell>
          <cell r="AA54">
            <v>1.1E-4</v>
          </cell>
          <cell r="AB54">
            <v>0</v>
          </cell>
          <cell r="AC54">
            <v>0</v>
          </cell>
          <cell r="AD54">
            <v>0</v>
          </cell>
          <cell r="AE54">
            <v>-1.2000000000000002E-4</v>
          </cell>
          <cell r="AF54">
            <v>0</v>
          </cell>
          <cell r="AG54">
            <v>0</v>
          </cell>
          <cell r="AH54">
            <v>5.1780800000000005</v>
          </cell>
          <cell r="AI54">
            <v>0.14502000000000001</v>
          </cell>
          <cell r="AJ54">
            <v>-4.7E-2</v>
          </cell>
          <cell r="AK54">
            <v>-1.1900000000000003E-3</v>
          </cell>
          <cell r="AL54">
            <v>0</v>
          </cell>
          <cell r="AM54">
            <v>0</v>
          </cell>
          <cell r="AN54">
            <v>0</v>
          </cell>
          <cell r="AO54">
            <v>-5.41066</v>
          </cell>
          <cell r="AP54">
            <v>-0.18536999999999998</v>
          </cell>
          <cell r="AQ54">
            <v>-0.63805000000000001</v>
          </cell>
          <cell r="AR54">
            <v>-3.073E-2</v>
          </cell>
          <cell r="AT54">
            <v>-2.5200000000000001E-3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-0.36175999999999997</v>
          </cell>
          <cell r="BH54">
            <v>1.5520000000000003E-2</v>
          </cell>
          <cell r="BI54">
            <v>1.4000000000000001E-4</v>
          </cell>
          <cell r="BJ54">
            <v>0</v>
          </cell>
          <cell r="BK54">
            <v>-1.4030400000000001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-1.0375541230083885E-2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-2.4209467160223302E-4</v>
          </cell>
          <cell r="AP55">
            <v>-3.0299438532870255E-3</v>
          </cell>
          <cell r="AQ55">
            <v>-1.5858428358221728E-3</v>
          </cell>
          <cell r="AR55">
            <v>-1.6377857520611352E-2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-3.1611280111406667E-2</v>
          </cell>
        </row>
        <row r="57">
          <cell r="C57">
            <v>143.78951999999995</v>
          </cell>
          <cell r="N57">
            <v>145.18900999999997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-0.41991000000000001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-0.1636</v>
          </cell>
          <cell r="AF57">
            <v>0</v>
          </cell>
          <cell r="AG57">
            <v>0</v>
          </cell>
          <cell r="AH57">
            <v>13.548560000000002</v>
          </cell>
          <cell r="AI57">
            <v>0.70211999999999997</v>
          </cell>
          <cell r="AJ57">
            <v>-0.71476000000000006</v>
          </cell>
          <cell r="AK57">
            <v>-4.5519999999999998E-2</v>
          </cell>
          <cell r="AL57">
            <v>-26.919920000000005</v>
          </cell>
          <cell r="AM57">
            <v>11.301739999999999</v>
          </cell>
          <cell r="AN57">
            <v>-11.51061</v>
          </cell>
          <cell r="AO57">
            <v>-7.1500000000000001E-3</v>
          </cell>
          <cell r="AP57">
            <v>-0.34926999999999997</v>
          </cell>
          <cell r="AQ57">
            <v>-14.739440000000002</v>
          </cell>
          <cell r="AR57">
            <v>-0.53420000000000001</v>
          </cell>
          <cell r="AT57">
            <v>-107.74670999999999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7.5903399999999674</v>
          </cell>
        </row>
        <row r="58">
          <cell r="C58">
            <v>164.38716999999997</v>
          </cell>
          <cell r="N58">
            <v>166.34439000000006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-0.39629000000000003</v>
          </cell>
          <cell r="T58">
            <v>-2.1199999999999999E-3</v>
          </cell>
          <cell r="U58">
            <v>0</v>
          </cell>
          <cell r="V58">
            <v>-2.10791</v>
          </cell>
          <cell r="W58">
            <v>0</v>
          </cell>
          <cell r="X58">
            <v>0</v>
          </cell>
          <cell r="Y58">
            <v>-4.8530000000000004E-2</v>
          </cell>
          <cell r="Z58">
            <v>7.2590000000000002E-2</v>
          </cell>
          <cell r="AA58">
            <v>2.99E-3</v>
          </cell>
          <cell r="AB58">
            <v>0</v>
          </cell>
          <cell r="AC58">
            <v>0</v>
          </cell>
          <cell r="AD58">
            <v>0</v>
          </cell>
          <cell r="AE58">
            <v>-6.4698000000000002</v>
          </cell>
          <cell r="AF58">
            <v>0</v>
          </cell>
          <cell r="AG58">
            <v>0</v>
          </cell>
          <cell r="AH58">
            <v>21.044800000000002</v>
          </cell>
          <cell r="AI58">
            <v>0.51815</v>
          </cell>
          <cell r="AJ58">
            <v>-0.33092999999999961</v>
          </cell>
          <cell r="AK58">
            <v>-2.7899999999999991E-3</v>
          </cell>
          <cell r="AL58">
            <v>-30.935510000000004</v>
          </cell>
          <cell r="AM58">
            <v>13.088190000000004</v>
          </cell>
          <cell r="AN58">
            <v>-13.37931</v>
          </cell>
          <cell r="AO58">
            <v>-1.57938</v>
          </cell>
          <cell r="AP58">
            <v>-1.2813599999999998</v>
          </cell>
          <cell r="AQ58">
            <v>-50.989799999999995</v>
          </cell>
          <cell r="AR58">
            <v>-4.5421899999999997</v>
          </cell>
          <cell r="AT58">
            <v>-125.47471999999999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-36.469529999999928</v>
          </cell>
        </row>
        <row r="59">
          <cell r="C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-8.2691520526822355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-2.4391171041680697E-2</v>
          </cell>
          <cell r="AP59">
            <v>-7.4719986963259752E-2</v>
          </cell>
          <cell r="AQ59">
            <v>-14.250328761518375</v>
          </cell>
          <cell r="AR59">
            <v>-0.38508615858253503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-23.003678130788085</v>
          </cell>
        </row>
        <row r="61">
          <cell r="C61">
            <v>63.370639999999909</v>
          </cell>
          <cell r="N61">
            <v>61.564569999999925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-1.51824</v>
          </cell>
          <cell r="T61">
            <v>0</v>
          </cell>
          <cell r="U61">
            <v>0</v>
          </cell>
          <cell r="V61">
            <v>-3.6960000000000002</v>
          </cell>
          <cell r="W61">
            <v>0</v>
          </cell>
          <cell r="X61">
            <v>0</v>
          </cell>
          <cell r="Y61">
            <v>-4.6310000000000004E-2</v>
          </cell>
          <cell r="Z61">
            <v>9.9379999999999996E-2</v>
          </cell>
          <cell r="AA61">
            <v>1.7900000000000001E-3</v>
          </cell>
          <cell r="AB61">
            <v>0</v>
          </cell>
          <cell r="AC61">
            <v>0</v>
          </cell>
          <cell r="AD61">
            <v>0</v>
          </cell>
          <cell r="AE61">
            <v>-0.10579000000000001</v>
          </cell>
          <cell r="AF61">
            <v>0</v>
          </cell>
          <cell r="AG61">
            <v>0</v>
          </cell>
          <cell r="AH61">
            <v>14.747559999999998</v>
          </cell>
          <cell r="AI61">
            <v>0.94205000000000005</v>
          </cell>
          <cell r="AJ61">
            <v>-0.82177999999999995</v>
          </cell>
          <cell r="AK61">
            <v>-6.8909999999999999E-2</v>
          </cell>
          <cell r="AL61">
            <v>-12.097390000000004</v>
          </cell>
          <cell r="AM61">
            <v>6.3773900000000001</v>
          </cell>
          <cell r="AN61">
            <v>-5.9919600000000033</v>
          </cell>
          <cell r="AO61">
            <v>-1.7699999999999999E-3</v>
          </cell>
          <cell r="AP61">
            <v>-0.53109000000000006</v>
          </cell>
          <cell r="AQ61">
            <v>-3.8655900000000001</v>
          </cell>
          <cell r="AR61">
            <v>-2.4767700000000001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52.511139999999912</v>
          </cell>
        </row>
        <row r="62">
          <cell r="C62">
            <v>71.58683000000002</v>
          </cell>
          <cell r="N62">
            <v>72.085030000000074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-0.57138</v>
          </cell>
          <cell r="T62">
            <v>-1.2029999999999999E-2</v>
          </cell>
          <cell r="U62">
            <v>0</v>
          </cell>
          <cell r="V62">
            <v>-2.10791</v>
          </cell>
          <cell r="W62">
            <v>0</v>
          </cell>
          <cell r="X62">
            <v>0</v>
          </cell>
          <cell r="Y62">
            <v>-4.8530000000000004E-2</v>
          </cell>
          <cell r="Z62">
            <v>7.2590000000000002E-2</v>
          </cell>
          <cell r="AA62">
            <v>2.99E-3</v>
          </cell>
          <cell r="AB62">
            <v>0</v>
          </cell>
          <cell r="AC62">
            <v>-0.375</v>
          </cell>
          <cell r="AD62">
            <v>0</v>
          </cell>
          <cell r="AE62">
            <v>-1.7419100000000001</v>
          </cell>
          <cell r="AF62">
            <v>0</v>
          </cell>
          <cell r="AG62">
            <v>0</v>
          </cell>
          <cell r="AH62">
            <v>24.442800000000002</v>
          </cell>
          <cell r="AI62">
            <v>0.42638999999999999</v>
          </cell>
          <cell r="AJ62">
            <v>-0.14804999999999996</v>
          </cell>
          <cell r="AK62">
            <v>1.3179999999999997E-2</v>
          </cell>
          <cell r="AL62">
            <v>-13.663809999999998</v>
          </cell>
          <cell r="AM62">
            <v>6.903539999999996</v>
          </cell>
          <cell r="AN62">
            <v>-7.0770599999999941</v>
          </cell>
          <cell r="AO62">
            <v>-7.4320900000000005</v>
          </cell>
          <cell r="AP62">
            <v>-0.78244999999999998</v>
          </cell>
          <cell r="AQ62">
            <v>-18.386030000000002</v>
          </cell>
          <cell r="AR62">
            <v>-2.6097700000000001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48.990500000000083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-4.5125864540438849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-6.3452408437597002E-2</v>
          </cell>
          <cell r="AP63">
            <v>-0.73807736853944506</v>
          </cell>
          <cell r="AQ63">
            <v>-3.9064382685956254</v>
          </cell>
          <cell r="AR63">
            <v>-3.9849827096169257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-13.205537209233478</v>
          </cell>
        </row>
        <row r="65">
          <cell r="C65">
            <v>3328.3639900000003</v>
          </cell>
          <cell r="N65">
            <v>3319.30888</v>
          </cell>
          <cell r="O65">
            <v>-147.77701999999999</v>
          </cell>
          <cell r="P65">
            <v>0</v>
          </cell>
          <cell r="Q65">
            <v>0</v>
          </cell>
          <cell r="R65">
            <v>1.25</v>
          </cell>
          <cell r="S65">
            <v>-34.402450000000002</v>
          </cell>
          <cell r="T65">
            <v>-33.429140000000004</v>
          </cell>
          <cell r="U65">
            <v>-60.645779999999988</v>
          </cell>
          <cell r="V65">
            <v>-297.08574000000004</v>
          </cell>
          <cell r="W65">
            <v>0</v>
          </cell>
          <cell r="X65">
            <v>0</v>
          </cell>
          <cell r="Y65">
            <v>-3.4062000000000001</v>
          </cell>
          <cell r="Z65">
            <v>20.635419999999996</v>
          </cell>
          <cell r="AA65">
            <v>0.31301000000000001</v>
          </cell>
          <cell r="AB65">
            <v>360</v>
          </cell>
          <cell r="AC65">
            <v>-2626.07744</v>
          </cell>
          <cell r="AD65">
            <v>39.771560000000001</v>
          </cell>
          <cell r="AE65">
            <v>-9.7678900000000031</v>
          </cell>
          <cell r="AF65">
            <v>-69.819069999999996</v>
          </cell>
          <cell r="AG65">
            <v>0</v>
          </cell>
          <cell r="AH65">
            <v>1242.6433900000009</v>
          </cell>
          <cell r="AI65">
            <v>499.50165999999996</v>
          </cell>
          <cell r="AJ65">
            <v>-444.07697999999988</v>
          </cell>
          <cell r="AK65">
            <v>-32.580990000000007</v>
          </cell>
          <cell r="AL65">
            <v>-699.18534000000034</v>
          </cell>
          <cell r="AM65">
            <v>388.55616999999984</v>
          </cell>
          <cell r="AN65">
            <v>-387.43899999999991</v>
          </cell>
          <cell r="AO65">
            <v>-0.14845999999999998</v>
          </cell>
          <cell r="AP65">
            <v>-16.10557</v>
          </cell>
          <cell r="AQ65">
            <v>-370.71671000000003</v>
          </cell>
          <cell r="AR65">
            <v>-61.084560000000003</v>
          </cell>
          <cell r="AT65">
            <v>-231.1433800000018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-210.8017399999994</v>
          </cell>
          <cell r="BG65">
            <v>-131.90546999999998</v>
          </cell>
          <cell r="BH65">
            <v>-1.7731499999999889</v>
          </cell>
          <cell r="BI65">
            <v>1.9287699999999999</v>
          </cell>
          <cell r="BJ65">
            <v>0</v>
          </cell>
          <cell r="BK65">
            <v>4.5367799999993466</v>
          </cell>
        </row>
        <row r="66">
          <cell r="C66">
            <v>4060.6202500000009</v>
          </cell>
          <cell r="N66">
            <v>4064.3585899999966</v>
          </cell>
          <cell r="O66">
            <v>-209.94503</v>
          </cell>
          <cell r="P66">
            <v>0</v>
          </cell>
          <cell r="Q66">
            <v>0</v>
          </cell>
          <cell r="R66">
            <v>0</v>
          </cell>
          <cell r="S66">
            <v>-112.10257000000001</v>
          </cell>
          <cell r="T66">
            <v>-12.955229999999998</v>
          </cell>
          <cell r="U66">
            <v>-50.323680000000003</v>
          </cell>
          <cell r="V66">
            <v>-1793.2949090544205</v>
          </cell>
          <cell r="W66">
            <v>0</v>
          </cell>
          <cell r="X66">
            <v>-1383.4660809455791</v>
          </cell>
          <cell r="Y66">
            <v>-47.346610000000005</v>
          </cell>
          <cell r="Z66">
            <v>198.55188999999999</v>
          </cell>
          <cell r="AA66">
            <v>4.6136299999999997</v>
          </cell>
          <cell r="AB66">
            <v>-400</v>
          </cell>
          <cell r="AC66">
            <v>-2045.2281800000001</v>
          </cell>
          <cell r="AD66">
            <v>35.46857</v>
          </cell>
          <cell r="AE66">
            <v>-178.04646</v>
          </cell>
          <cell r="AF66">
            <v>-148.73061000000001</v>
          </cell>
          <cell r="AG66">
            <v>0</v>
          </cell>
          <cell r="AH66">
            <v>5452.5078099999982</v>
          </cell>
          <cell r="AI66">
            <v>204.14536999999999</v>
          </cell>
          <cell r="AJ66">
            <v>-151.74150000000003</v>
          </cell>
          <cell r="AK66">
            <v>-4.0523899999999999</v>
          </cell>
          <cell r="AL66">
            <v>-847.72139000000072</v>
          </cell>
          <cell r="AM66">
            <v>471.36898999999988</v>
          </cell>
          <cell r="AN66">
            <v>-484.44394000000017</v>
          </cell>
          <cell r="AO66">
            <v>-171.56848999999997</v>
          </cell>
          <cell r="AP66">
            <v>-38.424010000000003</v>
          </cell>
          <cell r="AQ66">
            <v>-1016.1171400000002</v>
          </cell>
          <cell r="AR66">
            <v>-103.34888000000001</v>
          </cell>
          <cell r="AT66">
            <v>-699.85097000000201</v>
          </cell>
          <cell r="AU66">
            <v>0</v>
          </cell>
          <cell r="AV66">
            <v>0</v>
          </cell>
          <cell r="AW66">
            <v>0</v>
          </cell>
          <cell r="AX66">
            <v>195.3438536358845</v>
          </cell>
          <cell r="AY66">
            <v>0</v>
          </cell>
          <cell r="AZ66">
            <v>6.3429963641154856</v>
          </cell>
          <cell r="BA66">
            <v>2.71766</v>
          </cell>
          <cell r="BB66">
            <v>-11.86351</v>
          </cell>
          <cell r="BC66">
            <v>-0.24837000000000001</v>
          </cell>
          <cell r="BD66">
            <v>0</v>
          </cell>
          <cell r="BE66">
            <v>-1.177</v>
          </cell>
          <cell r="BF66">
            <v>2.619400000000109</v>
          </cell>
          <cell r="BG66">
            <v>-89.787650000000014</v>
          </cell>
          <cell r="BH66">
            <v>-0.95150000000000867</v>
          </cell>
          <cell r="BI66">
            <v>-0.24047999999999992</v>
          </cell>
          <cell r="BJ66">
            <v>0</v>
          </cell>
          <cell r="BK66">
            <v>635.06217999999183</v>
          </cell>
        </row>
        <row r="67">
          <cell r="C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-196.38493171595348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500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-1.5574389441935923</v>
          </cell>
          <cell r="AP67">
            <v>-15.785693056878715</v>
          </cell>
          <cell r="AQ67">
            <v>-351.13206874056931</v>
          </cell>
          <cell r="AR67">
            <v>-84.476785340070094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-149.33691779766519</v>
          </cell>
        </row>
        <row r="69">
          <cell r="C69">
            <v>0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</row>
        <row r="83">
          <cell r="C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</row>
        <row r="87">
          <cell r="C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-196.38493171595348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500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-1.5574389441935923</v>
          </cell>
          <cell r="AP87">
            <v>-15.785693056878715</v>
          </cell>
          <cell r="AQ87">
            <v>-351.13206874056931</v>
          </cell>
          <cell r="AR87">
            <v>-84.476785340070094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-149.33691779766519</v>
          </cell>
        </row>
        <row r="90">
          <cell r="C90">
            <v>3328.3639900000003</v>
          </cell>
        </row>
        <row r="91">
          <cell r="C91">
            <v>4060.6202500000009</v>
          </cell>
        </row>
        <row r="92">
          <cell r="C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-196.38493171595348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500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-1.5574389441935923</v>
          </cell>
          <cell r="AP92">
            <v>-15.785693056878715</v>
          </cell>
          <cell r="AQ92">
            <v>-351.13206874056931</v>
          </cell>
          <cell r="AR92">
            <v>-84.476785340070094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-149.33691779766519</v>
          </cell>
        </row>
        <row r="94">
          <cell r="C94">
            <v>1300.5752200000004</v>
          </cell>
          <cell r="N94">
            <v>1317.5103099999981</v>
          </cell>
          <cell r="O94">
            <v>-48.421700000000001</v>
          </cell>
          <cell r="P94">
            <v>0</v>
          </cell>
          <cell r="Q94">
            <v>0</v>
          </cell>
          <cell r="R94">
            <v>1.25</v>
          </cell>
          <cell r="S94">
            <v>-10.733409999999999</v>
          </cell>
          <cell r="T94">
            <v>-9.9216899999999999</v>
          </cell>
          <cell r="U94">
            <v>0</v>
          </cell>
          <cell r="V94">
            <v>-63.138259999999995</v>
          </cell>
          <cell r="W94">
            <v>0</v>
          </cell>
          <cell r="X94">
            <v>0</v>
          </cell>
          <cell r="Y94">
            <v>-0.5224700000000001</v>
          </cell>
          <cell r="Z94">
            <v>1.4041700000000001</v>
          </cell>
          <cell r="AA94">
            <v>1.013E-2</v>
          </cell>
          <cell r="AB94">
            <v>20</v>
          </cell>
          <cell r="AC94">
            <v>-272.07320000000004</v>
          </cell>
          <cell r="AD94">
            <v>0</v>
          </cell>
          <cell r="AE94">
            <v>-2.5446600000000004</v>
          </cell>
          <cell r="AF94">
            <v>-38.643260000000005</v>
          </cell>
          <cell r="AG94">
            <v>0</v>
          </cell>
          <cell r="AH94">
            <v>488.69823000000002</v>
          </cell>
          <cell r="AI94">
            <v>13.291820000000001</v>
          </cell>
          <cell r="AJ94">
            <v>-13.395700000000001</v>
          </cell>
          <cell r="AK94">
            <v>-0.25364999999999999</v>
          </cell>
          <cell r="AL94">
            <v>-310.35996999999998</v>
          </cell>
          <cell r="AM94">
            <v>172.9472999999999</v>
          </cell>
          <cell r="AN94">
            <v>-176.71361999999996</v>
          </cell>
          <cell r="AO94">
            <v>-3.7510000000000002E-2</v>
          </cell>
          <cell r="AP94">
            <v>-4.6772799999999997</v>
          </cell>
          <cell r="AQ94">
            <v>-106.39129</v>
          </cell>
          <cell r="AR94">
            <v>-17.052630000000001</v>
          </cell>
          <cell r="AT94">
            <v>-2.2632500000017881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-63.961729999999996</v>
          </cell>
          <cell r="BG94">
            <v>-117.27017999999998</v>
          </cell>
          <cell r="BH94">
            <v>0.84267000000001269</v>
          </cell>
          <cell r="BI94">
            <v>0.91937999999999998</v>
          </cell>
          <cell r="BJ94">
            <v>0</v>
          </cell>
          <cell r="BK94">
            <v>758.49854999999582</v>
          </cell>
        </row>
        <row r="95">
          <cell r="C95">
            <v>1520.6208199999983</v>
          </cell>
          <cell r="N95">
            <v>1550.5957199999973</v>
          </cell>
          <cell r="O95">
            <v>-71.259510000000006</v>
          </cell>
          <cell r="P95">
            <v>0</v>
          </cell>
          <cell r="Q95">
            <v>0</v>
          </cell>
          <cell r="R95">
            <v>0</v>
          </cell>
          <cell r="S95">
            <v>-12.50712</v>
          </cell>
          <cell r="T95">
            <v>-7.5816999999999997</v>
          </cell>
          <cell r="U95">
            <v>0</v>
          </cell>
          <cell r="V95">
            <v>-572.5365428579272</v>
          </cell>
          <cell r="W95">
            <v>0</v>
          </cell>
          <cell r="X95">
            <v>-60.082747142072876</v>
          </cell>
          <cell r="Y95">
            <v>-5.91615</v>
          </cell>
          <cell r="Z95">
            <v>15.028799999999999</v>
          </cell>
          <cell r="AA95">
            <v>0.14347000000000001</v>
          </cell>
          <cell r="AB95">
            <v>0</v>
          </cell>
          <cell r="AC95">
            <v>-298.95456999999999</v>
          </cell>
          <cell r="AD95">
            <v>0.75</v>
          </cell>
          <cell r="AE95">
            <v>-37.949960000000004</v>
          </cell>
          <cell r="AF95">
            <v>-19.219970000000004</v>
          </cell>
          <cell r="AG95">
            <v>0</v>
          </cell>
          <cell r="AH95">
            <v>695.78283999999996</v>
          </cell>
          <cell r="AI95">
            <v>9.8567400000000003</v>
          </cell>
          <cell r="AJ95">
            <v>-6.4020000000000001</v>
          </cell>
          <cell r="AK95">
            <v>-0.11749999999999999</v>
          </cell>
          <cell r="AL95">
            <v>-364.9343100000001</v>
          </cell>
          <cell r="AM95">
            <v>204.1262599999998</v>
          </cell>
          <cell r="AN95">
            <v>-215.04818000000012</v>
          </cell>
          <cell r="AO95">
            <v>-54.429410000000004</v>
          </cell>
          <cell r="AP95">
            <v>-11.977830000000001</v>
          </cell>
          <cell r="AQ95">
            <v>-306.04283999999996</v>
          </cell>
          <cell r="AR95">
            <v>-45.402430000000003</v>
          </cell>
          <cell r="AT95">
            <v>-388.25025000000187</v>
          </cell>
          <cell r="AU95">
            <v>0</v>
          </cell>
          <cell r="AV95">
            <v>0</v>
          </cell>
          <cell r="AW95">
            <v>0</v>
          </cell>
          <cell r="AX95">
            <v>69.040603491314826</v>
          </cell>
          <cell r="AY95">
            <v>0</v>
          </cell>
          <cell r="AZ95">
            <v>4.4952765086851656</v>
          </cell>
          <cell r="BA95">
            <v>0.69949000000000006</v>
          </cell>
          <cell r="BB95">
            <v>-1.7469599999999998</v>
          </cell>
          <cell r="BC95">
            <v>-1.602E-2</v>
          </cell>
          <cell r="BD95">
            <v>0</v>
          </cell>
          <cell r="BE95">
            <v>-1.341</v>
          </cell>
          <cell r="BF95">
            <v>-125.40816999999993</v>
          </cell>
          <cell r="BG95">
            <v>-87.634650000000008</v>
          </cell>
          <cell r="BH95">
            <v>0.91873999999999256</v>
          </cell>
          <cell r="BI95">
            <v>-8.9219999999999966E-2</v>
          </cell>
          <cell r="BJ95">
            <v>0</v>
          </cell>
          <cell r="BK95">
            <v>-143.41110000000509</v>
          </cell>
        </row>
        <row r="96">
          <cell r="C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-59.067954503188616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-0.45650861592880754</v>
          </cell>
          <cell r="AP96">
            <v>-4.5919845732923505</v>
          </cell>
          <cell r="AQ96">
            <v>-109.33753130655549</v>
          </cell>
          <cell r="AR96">
            <v>-24.485997118301448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-197.9399761172667</v>
          </cell>
        </row>
        <row r="98">
          <cell r="C98">
            <v>264.23783999999995</v>
          </cell>
          <cell r="N98">
            <v>262.8706899999998</v>
          </cell>
          <cell r="O98">
            <v>-3.9092000000000002</v>
          </cell>
          <cell r="P98">
            <v>0</v>
          </cell>
          <cell r="Q98">
            <v>0</v>
          </cell>
          <cell r="R98">
            <v>0</v>
          </cell>
          <cell r="S98">
            <v>-6.8367300000000011</v>
          </cell>
          <cell r="T98">
            <v>0</v>
          </cell>
          <cell r="U98">
            <v>0</v>
          </cell>
          <cell r="V98">
            <v>-32.982999999999997</v>
          </cell>
          <cell r="W98">
            <v>0</v>
          </cell>
          <cell r="X98">
            <v>0</v>
          </cell>
          <cell r="Y98">
            <v>-0.69367000000000001</v>
          </cell>
          <cell r="Z98">
            <v>4.0897299999999994</v>
          </cell>
          <cell r="AA98">
            <v>7.6670000000000002E-2</v>
          </cell>
          <cell r="AB98">
            <v>40</v>
          </cell>
          <cell r="AC98">
            <v>-140.63529000000003</v>
          </cell>
          <cell r="AD98">
            <v>0</v>
          </cell>
          <cell r="AE98">
            <v>-0.47240000000000004</v>
          </cell>
          <cell r="AF98">
            <v>-9.1431700000000014</v>
          </cell>
          <cell r="AG98">
            <v>0</v>
          </cell>
          <cell r="AH98">
            <v>-896.93035999999995</v>
          </cell>
          <cell r="AI98">
            <v>17.25986</v>
          </cell>
          <cell r="AJ98">
            <v>54.12498999999999</v>
          </cell>
          <cell r="AK98">
            <v>-1.4983600000000001</v>
          </cell>
          <cell r="AL98">
            <v>-65.775400000000033</v>
          </cell>
          <cell r="AM98">
            <v>38.419659999999993</v>
          </cell>
          <cell r="AN98">
            <v>-38.086120000000001</v>
          </cell>
          <cell r="AO98">
            <v>-7.2899999999999996E-3</v>
          </cell>
          <cell r="AP98">
            <v>-2.3864200000000002</v>
          </cell>
          <cell r="AQ98">
            <v>-33.514040000000001</v>
          </cell>
          <cell r="AR98">
            <v>-11.04701</v>
          </cell>
          <cell r="AT98">
            <v>-7.868E-2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12.092750000000002</v>
          </cell>
          <cell r="BG98">
            <v>-0.65242999999999995</v>
          </cell>
          <cell r="BH98">
            <v>-3.3409599999999999</v>
          </cell>
          <cell r="BI98">
            <v>3.687E-2</v>
          </cell>
          <cell r="BJ98">
            <v>0</v>
          </cell>
          <cell r="BK98">
            <v>-819.01931000000025</v>
          </cell>
        </row>
        <row r="99">
          <cell r="C99">
            <v>326.2963299999999</v>
          </cell>
          <cell r="N99">
            <v>330.39135999999922</v>
          </cell>
          <cell r="O99">
            <v>-1.85473</v>
          </cell>
          <cell r="P99">
            <v>0</v>
          </cell>
          <cell r="Q99">
            <v>0</v>
          </cell>
          <cell r="R99">
            <v>0</v>
          </cell>
          <cell r="S99">
            <v>-3.7420499999999999</v>
          </cell>
          <cell r="T99">
            <v>-0.43940999999999997</v>
          </cell>
          <cell r="U99">
            <v>0</v>
          </cell>
          <cell r="V99">
            <v>-108.10700672379068</v>
          </cell>
          <cell r="W99">
            <v>0</v>
          </cell>
          <cell r="X99">
            <v>-50.943533276209322</v>
          </cell>
          <cell r="Y99">
            <v>-5.35609</v>
          </cell>
          <cell r="Z99">
            <v>17.970910000000003</v>
          </cell>
          <cell r="AA99">
            <v>0.61860000000000004</v>
          </cell>
          <cell r="AB99">
            <v>-20</v>
          </cell>
          <cell r="AC99">
            <v>-144.59456</v>
          </cell>
          <cell r="AD99">
            <v>0</v>
          </cell>
          <cell r="AE99">
            <v>-7.8741799999999991</v>
          </cell>
          <cell r="AF99">
            <v>-20.793860000000002</v>
          </cell>
          <cell r="AG99">
            <v>0</v>
          </cell>
          <cell r="AH99">
            <v>458.08960000000002</v>
          </cell>
          <cell r="AI99">
            <v>12.322680000000002</v>
          </cell>
          <cell r="AJ99">
            <v>-34.00215</v>
          </cell>
          <cell r="AK99">
            <v>-0.61929000000000012</v>
          </cell>
          <cell r="AL99">
            <v>-75.238420000000048</v>
          </cell>
          <cell r="AM99">
            <v>43.902719999999974</v>
          </cell>
          <cell r="AN99">
            <v>-45.621419999999993</v>
          </cell>
          <cell r="AO99">
            <v>-14.319179999999999</v>
          </cell>
          <cell r="AP99">
            <v>-3.5023499999999999</v>
          </cell>
          <cell r="AQ99">
            <v>-81.076120000000003</v>
          </cell>
          <cell r="AR99">
            <v>-19.721910000000001</v>
          </cell>
          <cell r="AT99">
            <v>-9.9747399999999971</v>
          </cell>
          <cell r="AU99">
            <v>0</v>
          </cell>
          <cell r="AV99">
            <v>0</v>
          </cell>
          <cell r="AW99">
            <v>0</v>
          </cell>
          <cell r="AX99">
            <v>3.9496846124018896</v>
          </cell>
          <cell r="AY99">
            <v>0</v>
          </cell>
          <cell r="AZ99">
            <v>2.2811053875981102</v>
          </cell>
          <cell r="BA99">
            <v>0.19675999999999999</v>
          </cell>
          <cell r="BB99">
            <v>-0.70401000000000002</v>
          </cell>
          <cell r="BC99">
            <v>-2.2120000000000001E-2</v>
          </cell>
          <cell r="BD99">
            <v>0</v>
          </cell>
          <cell r="BE99">
            <v>0</v>
          </cell>
          <cell r="BF99">
            <v>-19.929109999999998</v>
          </cell>
          <cell r="BG99">
            <v>-0.57386999999999999</v>
          </cell>
          <cell r="BH99">
            <v>2.6921800000000005</v>
          </cell>
          <cell r="BI99">
            <v>7.8370000000000009E-2</v>
          </cell>
          <cell r="BJ99">
            <v>0</v>
          </cell>
          <cell r="BK99">
            <v>203.48385999999923</v>
          </cell>
        </row>
        <row r="100">
          <cell r="C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-20.137290319105158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-0.28404273415389003</v>
          </cell>
          <cell r="AP100">
            <v>-3.3244982592883248</v>
          </cell>
          <cell r="AQ100">
            <v>-37.471331846722002</v>
          </cell>
          <cell r="AR100">
            <v>-17.951230266272923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-79.168393425542291</v>
          </cell>
        </row>
        <row r="102">
          <cell r="C102">
            <v>207.16015999999985</v>
          </cell>
          <cell r="N102">
            <v>206.75357999999989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-1.9441000000000002</v>
          </cell>
          <cell r="T102">
            <v>0</v>
          </cell>
          <cell r="U102">
            <v>0</v>
          </cell>
          <cell r="V102">
            <v>-3.6960000000000002</v>
          </cell>
          <cell r="W102">
            <v>0</v>
          </cell>
          <cell r="X102">
            <v>0</v>
          </cell>
          <cell r="Y102">
            <v>-4.6310000000000004E-2</v>
          </cell>
          <cell r="Z102">
            <v>9.9379999999999996E-2</v>
          </cell>
          <cell r="AA102">
            <v>1.7900000000000001E-3</v>
          </cell>
          <cell r="AB102">
            <v>0</v>
          </cell>
          <cell r="AC102">
            <v>0</v>
          </cell>
          <cell r="AD102">
            <v>0</v>
          </cell>
          <cell r="AE102">
            <v>-0.26967000000000002</v>
          </cell>
          <cell r="AF102">
            <v>0</v>
          </cell>
          <cell r="AG102">
            <v>0</v>
          </cell>
          <cell r="AH102">
            <v>28.631170000000001</v>
          </cell>
          <cell r="AI102">
            <v>1.65696</v>
          </cell>
          <cell r="AJ102">
            <v>-1.55114</v>
          </cell>
          <cell r="AK102">
            <v>-0.1149</v>
          </cell>
          <cell r="AL102">
            <v>-39.017310000000009</v>
          </cell>
          <cell r="AM102">
            <v>17.679130000000001</v>
          </cell>
          <cell r="AN102">
            <v>-17.502570000000002</v>
          </cell>
          <cell r="AO102">
            <v>-8.9200000000000008E-3</v>
          </cell>
          <cell r="AP102">
            <v>-0.88224000000000002</v>
          </cell>
          <cell r="AQ102">
            <v>-18.611090000000001</v>
          </cell>
          <cell r="AR102">
            <v>-3.0223300000000002</v>
          </cell>
          <cell r="AT102">
            <v>-107.74901999999999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-3.6996799999999999</v>
          </cell>
          <cell r="BH102">
            <v>-4.4900000000000001E-3</v>
          </cell>
          <cell r="BI102">
            <v>0.28704999999999997</v>
          </cell>
          <cell r="BJ102">
            <v>0</v>
          </cell>
          <cell r="BK102">
            <v>56.989289999999883</v>
          </cell>
        </row>
        <row r="103">
          <cell r="C103">
            <v>235.97399999999999</v>
          </cell>
          <cell r="N103">
            <v>238.42942000000014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-0.97802000000000011</v>
          </cell>
          <cell r="T103">
            <v>-2.4050000000000002E-2</v>
          </cell>
          <cell r="U103">
            <v>0</v>
          </cell>
          <cell r="V103">
            <v>-4.26098</v>
          </cell>
          <cell r="W103">
            <v>0</v>
          </cell>
          <cell r="X103">
            <v>0</v>
          </cell>
          <cell r="Y103">
            <v>-9.9120000000000014E-2</v>
          </cell>
          <cell r="Z103">
            <v>0.14813999999999999</v>
          </cell>
          <cell r="AA103">
            <v>6.0899999999999999E-3</v>
          </cell>
          <cell r="AB103">
            <v>0</v>
          </cell>
          <cell r="AC103">
            <v>-0.375</v>
          </cell>
          <cell r="AD103">
            <v>0</v>
          </cell>
          <cell r="AE103">
            <v>-8.2118300000000009</v>
          </cell>
          <cell r="AF103">
            <v>0</v>
          </cell>
          <cell r="AG103">
            <v>0</v>
          </cell>
          <cell r="AH103">
            <v>50.665680000000009</v>
          </cell>
          <cell r="AI103">
            <v>1.0895600000000001</v>
          </cell>
          <cell r="AJ103">
            <v>-0.52597999999999956</v>
          </cell>
          <cell r="AK103">
            <v>9.1999999999999981E-3</v>
          </cell>
          <cell r="AL103">
            <v>-44.599320000000006</v>
          </cell>
          <cell r="AM103">
            <v>19.99173</v>
          </cell>
          <cell r="AN103">
            <v>-20.456369999999993</v>
          </cell>
          <cell r="AO103">
            <v>-14.422130000000001</v>
          </cell>
          <cell r="AP103">
            <v>-2.24918</v>
          </cell>
          <cell r="AQ103">
            <v>-70.020029999999991</v>
          </cell>
          <cell r="AR103">
            <v>-7.1843699999999995</v>
          </cell>
          <cell r="AT103">
            <v>-125.47727999999999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-1.0365199999999999</v>
          </cell>
          <cell r="BH103">
            <v>1.5520000000000003E-2</v>
          </cell>
          <cell r="BI103">
            <v>3.9000000000000005E-4</v>
          </cell>
          <cell r="BJ103">
            <v>0</v>
          </cell>
          <cell r="BK103">
            <v>10.435550000000156</v>
          </cell>
        </row>
        <row r="104">
          <cell r="C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-12.792114047956204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-8.8085674150879936E-2</v>
          </cell>
          <cell r="AP104">
            <v>-0.81582729935599185</v>
          </cell>
          <cell r="AQ104">
            <v>-18.158352872949823</v>
          </cell>
          <cell r="AR104">
            <v>-4.3864467257200719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-36.240826620132971</v>
          </cell>
        </row>
      </sheetData>
      <sheetData sheetId="2" refreshError="1">
        <row r="21">
          <cell r="C21">
            <v>11340.722</v>
          </cell>
          <cell r="N21">
            <v>7288.2262400000009</v>
          </cell>
          <cell r="O21">
            <v>-441.21388999999999</v>
          </cell>
          <cell r="P21">
            <v>0</v>
          </cell>
          <cell r="Q21">
            <v>0</v>
          </cell>
          <cell r="R21">
            <v>11.163780000000001</v>
          </cell>
          <cell r="S21">
            <v>-297.26546999999999</v>
          </cell>
          <cell r="T21">
            <v>-4.8985400000000006</v>
          </cell>
          <cell r="U21">
            <v>-319.18835999999999</v>
          </cell>
          <cell r="V21">
            <v>-5130.7825702980163</v>
          </cell>
          <cell r="W21">
            <v>0</v>
          </cell>
          <cell r="X21">
            <v>-1232.0906797019834</v>
          </cell>
          <cell r="Y21">
            <v>-77.793929999999989</v>
          </cell>
          <cell r="Z21">
            <v>548.15931999999998</v>
          </cell>
          <cell r="AA21">
            <v>8.4136399999999991</v>
          </cell>
          <cell r="AB21">
            <v>0</v>
          </cell>
          <cell r="AC21">
            <v>-5294.5831899999994</v>
          </cell>
          <cell r="AD21">
            <v>249.89488999999998</v>
          </cell>
          <cell r="AE21">
            <v>-203.23768000000001</v>
          </cell>
          <cell r="AF21">
            <v>-251.82507999999996</v>
          </cell>
          <cell r="AG21">
            <v>0</v>
          </cell>
          <cell r="AH21">
            <v>6337.8365900000026</v>
          </cell>
          <cell r="AI21">
            <v>908.67918999999995</v>
          </cell>
          <cell r="AJ21">
            <v>222.99523999999994</v>
          </cell>
          <cell r="AK21">
            <v>-73.698509999999999</v>
          </cell>
          <cell r="AL21">
            <v>-1788.2230599999998</v>
          </cell>
          <cell r="AM21">
            <v>1297.4608499999999</v>
          </cell>
          <cell r="AN21">
            <v>-680.07360999999992</v>
          </cell>
          <cell r="AO21">
            <v>-390.47653000000003</v>
          </cell>
          <cell r="AP21">
            <v>-34.12162</v>
          </cell>
          <cell r="AQ21">
            <v>-300.31632999999999</v>
          </cell>
          <cell r="AR21">
            <v>-181.19869</v>
          </cell>
          <cell r="AT21">
            <v>-215.43648000000007</v>
          </cell>
          <cell r="AU21">
            <v>0</v>
          </cell>
          <cell r="AV21">
            <v>0</v>
          </cell>
          <cell r="AW21">
            <v>0</v>
          </cell>
          <cell r="AX21">
            <v>29.625829076684042</v>
          </cell>
          <cell r="AY21">
            <v>0</v>
          </cell>
          <cell r="AZ21">
            <v>17.821730923315954</v>
          </cell>
          <cell r="BA21">
            <v>0.55946000000000007</v>
          </cell>
          <cell r="BB21">
            <v>-4.0875900000000005</v>
          </cell>
          <cell r="BC21">
            <v>-6.0950000000000004E-2</v>
          </cell>
          <cell r="BD21">
            <v>0</v>
          </cell>
          <cell r="BE21">
            <v>0</v>
          </cell>
          <cell r="BF21">
            <v>-66.677729999999983</v>
          </cell>
          <cell r="BG21">
            <v>-6.5451000000000006</v>
          </cell>
          <cell r="BH21">
            <v>-1.9846799999999964</v>
          </cell>
          <cell r="BI21">
            <v>0.81617000000000006</v>
          </cell>
          <cell r="BJ21">
            <v>0</v>
          </cell>
          <cell r="BK21">
            <v>-74.127339999996536</v>
          </cell>
        </row>
        <row r="22">
          <cell r="C22">
            <v>12046.396919999999</v>
          </cell>
          <cell r="N22">
            <v>7736.7101399999974</v>
          </cell>
          <cell r="O22">
            <v>-492.85991000000001</v>
          </cell>
          <cell r="P22">
            <v>0</v>
          </cell>
          <cell r="Q22">
            <v>0</v>
          </cell>
          <cell r="R22">
            <v>7.0198</v>
          </cell>
          <cell r="S22">
            <v>-364.58166</v>
          </cell>
          <cell r="T22">
            <v>-11.88128</v>
          </cell>
          <cell r="U22">
            <v>-264.86151000000001</v>
          </cell>
          <cell r="V22">
            <v>-3830.1323042318195</v>
          </cell>
          <cell r="W22">
            <v>0</v>
          </cell>
          <cell r="X22">
            <v>-407.26416576818025</v>
          </cell>
          <cell r="Y22">
            <v>-69.854609999999994</v>
          </cell>
          <cell r="Z22">
            <v>327.13747999999998</v>
          </cell>
          <cell r="AA22">
            <v>7.9147299999999996</v>
          </cell>
          <cell r="AB22">
            <v>0</v>
          </cell>
          <cell r="AC22">
            <v>-6232.8589400000001</v>
          </cell>
          <cell r="AD22">
            <v>176.94339000000002</v>
          </cell>
          <cell r="AE22">
            <v>-246.13495</v>
          </cell>
          <cell r="AF22">
            <v>-345.98336000000006</v>
          </cell>
          <cell r="AG22">
            <v>0</v>
          </cell>
          <cell r="AH22">
            <v>4035.1217899999992</v>
          </cell>
          <cell r="AI22">
            <v>173.19490999999999</v>
          </cell>
          <cell r="AJ22">
            <v>271.60437000000002</v>
          </cell>
          <cell r="AK22">
            <v>3.669830000000001</v>
          </cell>
          <cell r="AL22">
            <v>-1892.75604</v>
          </cell>
          <cell r="AM22">
            <v>1393.0496399999997</v>
          </cell>
          <cell r="AN22">
            <v>-741.28187000000003</v>
          </cell>
          <cell r="AO22">
            <v>-468.22541999999999</v>
          </cell>
          <cell r="AP22">
            <v>-33.193449999999999</v>
          </cell>
          <cell r="AQ22">
            <v>-318.97897</v>
          </cell>
          <cell r="AR22">
            <v>-193.74549000000002</v>
          </cell>
          <cell r="AT22">
            <v>-230.41885000000002</v>
          </cell>
          <cell r="AU22">
            <v>0</v>
          </cell>
          <cell r="AV22">
            <v>0</v>
          </cell>
          <cell r="AW22">
            <v>0</v>
          </cell>
          <cell r="AX22">
            <v>366.40838834108189</v>
          </cell>
          <cell r="AY22">
            <v>0</v>
          </cell>
          <cell r="AZ22">
            <v>-0.64785834108187146</v>
          </cell>
          <cell r="BA22">
            <v>5.4642299999999997</v>
          </cell>
          <cell r="BB22">
            <v>-28.23761</v>
          </cell>
          <cell r="BC22">
            <v>-0.63067999999999991</v>
          </cell>
          <cell r="BD22">
            <v>0</v>
          </cell>
          <cell r="BE22">
            <v>0</v>
          </cell>
          <cell r="BF22">
            <v>-384.99404000000004</v>
          </cell>
          <cell r="BG22">
            <v>-4.1912099999999981</v>
          </cell>
          <cell r="BH22">
            <v>11.90964999999999</v>
          </cell>
          <cell r="BI22">
            <v>-1.7670000000000151E-2</v>
          </cell>
          <cell r="BJ22">
            <v>-1.1013412404281553E-16</v>
          </cell>
          <cell r="BK22">
            <v>-2047.5835000000031</v>
          </cell>
        </row>
        <row r="23">
          <cell r="C23">
            <v>12277.62</v>
          </cell>
          <cell r="N23">
            <v>7596.5529629866378</v>
          </cell>
          <cell r="O23">
            <v>-1433.9280915729628</v>
          </cell>
          <cell r="P23">
            <v>0</v>
          </cell>
          <cell r="Q23">
            <v>-398.39249408287793</v>
          </cell>
          <cell r="R23">
            <v>0</v>
          </cell>
          <cell r="S23">
            <v>-590.18039850153775</v>
          </cell>
          <cell r="T23">
            <v>-21.775360925616862</v>
          </cell>
          <cell r="U23">
            <v>0</v>
          </cell>
          <cell r="V23">
            <v>-3037.5569825816747</v>
          </cell>
          <cell r="W23">
            <v>0</v>
          </cell>
          <cell r="X23">
            <v>-843.9334645310546</v>
          </cell>
          <cell r="Y23">
            <v>-92.974982432009526</v>
          </cell>
          <cell r="Z23">
            <v>365.23417442323267</v>
          </cell>
          <cell r="AA23">
            <v>0</v>
          </cell>
          <cell r="AB23">
            <v>0</v>
          </cell>
          <cell r="AC23">
            <v>-4770.4418842188661</v>
          </cell>
          <cell r="AD23">
            <v>0</v>
          </cell>
          <cell r="AE23">
            <v>0</v>
          </cell>
          <cell r="AF23">
            <v>-308.38908230257039</v>
          </cell>
          <cell r="AG23">
            <v>0</v>
          </cell>
          <cell r="AH23">
            <v>5078.8309665214365</v>
          </cell>
          <cell r="AI23">
            <v>92.974982432009526</v>
          </cell>
          <cell r="AJ23">
            <v>0</v>
          </cell>
          <cell r="AK23">
            <v>0</v>
          </cell>
          <cell r="AL23">
            <v>-1216.2300076634929</v>
          </cell>
          <cell r="AM23">
            <v>0</v>
          </cell>
          <cell r="AN23">
            <v>0</v>
          </cell>
          <cell r="AO23">
            <v>-401.42398483345494</v>
          </cell>
          <cell r="AP23">
            <v>-28.310994126358253</v>
          </cell>
          <cell r="AQ23">
            <v>-329.8591034500875</v>
          </cell>
          <cell r="AR23">
            <v>-256.65814443878503</v>
          </cell>
          <cell r="AT23">
            <v>-222.61942600967546</v>
          </cell>
          <cell r="AU23">
            <v>35.608002304466929</v>
          </cell>
          <cell r="AV23">
            <v>0</v>
          </cell>
          <cell r="AW23">
            <v>0</v>
          </cell>
          <cell r="AX23">
            <v>75.43009769553305</v>
          </cell>
          <cell r="AY23">
            <v>0</v>
          </cell>
          <cell r="AZ23">
            <v>0</v>
          </cell>
          <cell r="BA23">
            <v>1.7169015804571639</v>
          </cell>
          <cell r="BB23">
            <v>-7.0068599888878236</v>
          </cell>
          <cell r="BC23">
            <v>0</v>
          </cell>
          <cell r="BD23">
            <v>0</v>
          </cell>
          <cell r="BE23">
            <v>0.63918249999999999</v>
          </cell>
          <cell r="BF23">
            <v>-0.63918249999999999</v>
          </cell>
          <cell r="BG23">
            <v>-1.7169015804571639</v>
          </cell>
          <cell r="BH23">
            <v>0</v>
          </cell>
          <cell r="BI23">
            <v>0</v>
          </cell>
          <cell r="BJ23">
            <v>0</v>
          </cell>
          <cell r="BK23">
            <v>-715.05007529659588</v>
          </cell>
        </row>
        <row r="25">
          <cell r="C25">
            <v>13376.559209999999</v>
          </cell>
          <cell r="N25">
            <v>8002.1348499999976</v>
          </cell>
          <cell r="O25">
            <v>-1635.7556300000001</v>
          </cell>
          <cell r="P25">
            <v>0</v>
          </cell>
          <cell r="Q25">
            <v>0</v>
          </cell>
          <cell r="R25">
            <v>208.57523</v>
          </cell>
          <cell r="S25">
            <v>-204.60898999999998</v>
          </cell>
          <cell r="T25">
            <v>-21.67971</v>
          </cell>
          <cell r="U25">
            <v>0</v>
          </cell>
          <cell r="V25">
            <v>-1406.7139200000001</v>
          </cell>
          <cell r="W25">
            <v>0</v>
          </cell>
          <cell r="X25">
            <v>0</v>
          </cell>
          <cell r="Y25">
            <v>-5.9218999999999999</v>
          </cell>
          <cell r="Z25">
            <v>21.560269999999999</v>
          </cell>
          <cell r="AA25">
            <v>8.4159999999999999E-2</v>
          </cell>
          <cell r="AB25">
            <v>0</v>
          </cell>
          <cell r="AC25">
            <v>-2596.1586600000001</v>
          </cell>
          <cell r="AD25">
            <v>1117.96723</v>
          </cell>
          <cell r="AE25">
            <v>-76.543940000000006</v>
          </cell>
          <cell r="AF25">
            <v>-84.26185000000001</v>
          </cell>
          <cell r="AG25">
            <v>0</v>
          </cell>
          <cell r="AH25">
            <v>424.17549999999949</v>
          </cell>
          <cell r="AI25">
            <v>56.764909999999986</v>
          </cell>
          <cell r="AJ25">
            <v>52.141680000000001</v>
          </cell>
          <cell r="AK25">
            <v>-0.22534999999999999</v>
          </cell>
          <cell r="AL25">
            <v>-2171.5513799999994</v>
          </cell>
          <cell r="AM25">
            <v>1585.50353</v>
          </cell>
          <cell r="AN25">
            <v>-735.06182999999987</v>
          </cell>
          <cell r="AO25">
            <v>-324.32013000000001</v>
          </cell>
          <cell r="AP25">
            <v>-34.609070000000003</v>
          </cell>
          <cell r="AQ25">
            <v>-312.76434</v>
          </cell>
          <cell r="AR25">
            <v>-201.22388000000001</v>
          </cell>
          <cell r="AT25">
            <v>-155.14522999999997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-9.859999999999999E-3</v>
          </cell>
          <cell r="BH25">
            <v>-8.09E-3</v>
          </cell>
          <cell r="BI25">
            <v>2.9999999999999997E-5</v>
          </cell>
          <cell r="BJ25">
            <v>0</v>
          </cell>
          <cell r="BK25">
            <v>1502.3436299999973</v>
          </cell>
        </row>
        <row r="26">
          <cell r="C26">
            <v>14223.475289999998</v>
          </cell>
          <cell r="N26">
            <v>8568.3675099999982</v>
          </cell>
          <cell r="O26">
            <v>-1300.6448700000001</v>
          </cell>
          <cell r="P26">
            <v>0</v>
          </cell>
          <cell r="Q26">
            <v>0</v>
          </cell>
          <cell r="R26">
            <v>136.47154999999998</v>
          </cell>
          <cell r="S26">
            <v>-204.50107</v>
          </cell>
          <cell r="T26">
            <v>-26.756959999999999</v>
          </cell>
          <cell r="U26">
            <v>0</v>
          </cell>
          <cell r="V26">
            <v>-2421.5011599999998</v>
          </cell>
          <cell r="W26">
            <v>0</v>
          </cell>
          <cell r="X26">
            <v>0</v>
          </cell>
          <cell r="Y26">
            <v>-23.905619999999999</v>
          </cell>
          <cell r="Z26">
            <v>41.081150000000001</v>
          </cell>
          <cell r="AA26">
            <v>0.40076000000000001</v>
          </cell>
          <cell r="AB26">
            <v>0</v>
          </cell>
          <cell r="AC26">
            <v>-2768.3795700000001</v>
          </cell>
          <cell r="AD26">
            <v>1553.75575</v>
          </cell>
          <cell r="AE26">
            <v>-67.27103000000001</v>
          </cell>
          <cell r="AF26">
            <v>-82.854509999999991</v>
          </cell>
          <cell r="AG26">
            <v>0</v>
          </cell>
          <cell r="AH26">
            <v>1149.7285099999999</v>
          </cell>
          <cell r="AI26">
            <v>18.678999999999998</v>
          </cell>
          <cell r="AJ26">
            <v>7.556060000000004</v>
          </cell>
          <cell r="AK26">
            <v>-2.2899999999999878E-3</v>
          </cell>
          <cell r="AL26">
            <v>-2294.2350999999994</v>
          </cell>
          <cell r="AM26">
            <v>1705.4093299999997</v>
          </cell>
          <cell r="AN26">
            <v>-810.1665099999999</v>
          </cell>
          <cell r="AO26">
            <v>-441.38779999999997</v>
          </cell>
          <cell r="AP26">
            <v>-33.295299999999997</v>
          </cell>
          <cell r="AQ26">
            <v>-287.47762999999998</v>
          </cell>
          <cell r="AR26">
            <v>-199.55046999999999</v>
          </cell>
          <cell r="AT26">
            <v>-175.64519000000007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-7.4999999999999997E-2</v>
          </cell>
          <cell r="BF26">
            <v>-41.991969999999995</v>
          </cell>
          <cell r="BG26">
            <v>-0.53900999999999999</v>
          </cell>
          <cell r="BH26">
            <v>0.43211000000000005</v>
          </cell>
          <cell r="BI26">
            <v>5.5600000000000007E-3</v>
          </cell>
          <cell r="BJ26">
            <v>0</v>
          </cell>
          <cell r="BK26">
            <v>2001.7062299999986</v>
          </cell>
        </row>
        <row r="27">
          <cell r="C27">
            <v>13821.06</v>
          </cell>
          <cell r="N27">
            <v>8535.1977207521813</v>
          </cell>
          <cell r="O27">
            <v>-2470.4817207505312</v>
          </cell>
          <cell r="P27">
            <v>-166.66711297022346</v>
          </cell>
          <cell r="Q27">
            <v>0</v>
          </cell>
          <cell r="R27">
            <v>0</v>
          </cell>
          <cell r="S27">
            <v>-323.74104521807573</v>
          </cell>
          <cell r="T27">
            <v>-118.69085444657918</v>
          </cell>
          <cell r="U27">
            <v>0</v>
          </cell>
          <cell r="V27">
            <v>-920.79852275814994</v>
          </cell>
          <cell r="W27">
            <v>-62.120205191692065</v>
          </cell>
          <cell r="X27">
            <v>0</v>
          </cell>
          <cell r="Y27">
            <v>-25.474224732599701</v>
          </cell>
          <cell r="Z27">
            <v>12.151693814214784</v>
          </cell>
          <cell r="AA27">
            <v>0</v>
          </cell>
          <cell r="AB27">
            <v>0</v>
          </cell>
          <cell r="AC27">
            <v>-508.28702108654886</v>
          </cell>
          <cell r="AD27">
            <v>0</v>
          </cell>
          <cell r="AE27">
            <v>0</v>
          </cell>
          <cell r="AF27">
            <v>-76.900962176373625</v>
          </cell>
          <cell r="AG27">
            <v>0</v>
          </cell>
          <cell r="AH27">
            <v>585.18798326292244</v>
          </cell>
          <cell r="AI27">
            <v>25.474224732599701</v>
          </cell>
          <cell r="AJ27">
            <v>0</v>
          </cell>
          <cell r="AK27">
            <v>0</v>
          </cell>
          <cell r="AL27">
            <v>-1390.3692666147936</v>
          </cell>
          <cell r="AM27">
            <v>0</v>
          </cell>
          <cell r="AN27">
            <v>0</v>
          </cell>
          <cell r="AO27">
            <v>-337.07805820350501</v>
          </cell>
          <cell r="AP27">
            <v>-27.292519416555749</v>
          </cell>
          <cell r="AQ27">
            <v>-343.732334159765</v>
          </cell>
          <cell r="AR27">
            <v>-274.13571779407505</v>
          </cell>
          <cell r="AT27">
            <v>-136.99120978178235</v>
          </cell>
          <cell r="AU27">
            <v>7.4878422072920507</v>
          </cell>
          <cell r="AV27">
            <v>25.821665389752926</v>
          </cell>
          <cell r="AW27">
            <v>0</v>
          </cell>
          <cell r="AX27">
            <v>2.7908702927079361</v>
          </cell>
          <cell r="AY27">
            <v>9.6242571423748267</v>
          </cell>
          <cell r="AZ27">
            <v>0</v>
          </cell>
          <cell r="BA27">
            <v>0.11251987041160749</v>
          </cell>
          <cell r="BB27">
            <v>-5.57619300408769E-2</v>
          </cell>
          <cell r="BC27">
            <v>0</v>
          </cell>
          <cell r="BD27">
            <v>0</v>
          </cell>
          <cell r="BE27">
            <v>9.2665624999999991</v>
          </cell>
          <cell r="BF27">
            <v>-9.2665624999999991</v>
          </cell>
          <cell r="BG27">
            <v>-0.11251987041160749</v>
          </cell>
          <cell r="BH27">
            <v>0</v>
          </cell>
          <cell r="BI27">
            <v>0</v>
          </cell>
          <cell r="BJ27">
            <v>0</v>
          </cell>
          <cell r="BK27">
            <v>2020.9197203627546</v>
          </cell>
        </row>
        <row r="29">
          <cell r="C29">
            <v>24717.281210000001</v>
          </cell>
          <cell r="N29">
            <v>15290.361089999999</v>
          </cell>
          <cell r="O29">
            <v>-2076.9695200000001</v>
          </cell>
          <cell r="P29">
            <v>0</v>
          </cell>
          <cell r="Q29">
            <v>0</v>
          </cell>
          <cell r="R29">
            <v>219.73901000000001</v>
          </cell>
          <cell r="S29">
            <v>-501.87446</v>
          </cell>
          <cell r="T29">
            <v>-26.578250000000001</v>
          </cell>
          <cell r="U29">
            <v>-319.18835999999999</v>
          </cell>
          <cell r="V29">
            <v>-6537.4964902980164</v>
          </cell>
          <cell r="W29">
            <v>0</v>
          </cell>
          <cell r="X29">
            <v>-1232.0906797019834</v>
          </cell>
          <cell r="Y29">
            <v>-83.715829999999983</v>
          </cell>
          <cell r="Z29">
            <v>569.71958999999993</v>
          </cell>
          <cell r="AA29">
            <v>8.4977999999999998</v>
          </cell>
          <cell r="AB29">
            <v>0</v>
          </cell>
          <cell r="AC29">
            <v>-7890.7418499999994</v>
          </cell>
          <cell r="AD29">
            <v>1367.86212</v>
          </cell>
          <cell r="AE29">
            <v>-279.78162000000003</v>
          </cell>
          <cell r="AF29">
            <v>-336.08692999999994</v>
          </cell>
          <cell r="AG29">
            <v>0</v>
          </cell>
          <cell r="AH29">
            <v>6762.012090000002</v>
          </cell>
          <cell r="AI29">
            <v>965.44409999999993</v>
          </cell>
          <cell r="AJ29">
            <v>275.13691999999992</v>
          </cell>
          <cell r="AK29">
            <v>-73.923860000000005</v>
          </cell>
          <cell r="AL29">
            <v>-3959.7744399999992</v>
          </cell>
          <cell r="AM29">
            <v>2882.9643799999999</v>
          </cell>
          <cell r="AN29">
            <v>-1415.1354399999998</v>
          </cell>
          <cell r="AO29">
            <v>-714.79665999999997</v>
          </cell>
          <cell r="AP29">
            <v>-68.73069000000001</v>
          </cell>
          <cell r="AQ29">
            <v>-613.08067000000005</v>
          </cell>
          <cell r="AR29">
            <v>-382.42257000000001</v>
          </cell>
          <cell r="AT29">
            <v>-370.58171000000004</v>
          </cell>
          <cell r="AU29">
            <v>0</v>
          </cell>
          <cell r="AV29">
            <v>0</v>
          </cell>
          <cell r="AW29">
            <v>0</v>
          </cell>
          <cell r="AX29">
            <v>29.625829076684042</v>
          </cell>
          <cell r="AY29">
            <v>0</v>
          </cell>
          <cell r="AZ29">
            <v>17.821730923315954</v>
          </cell>
          <cell r="BA29">
            <v>0.55946000000000007</v>
          </cell>
          <cell r="BB29">
            <v>-4.0875900000000005</v>
          </cell>
          <cell r="BC29">
            <v>-6.0950000000000004E-2</v>
          </cell>
          <cell r="BD29">
            <v>0</v>
          </cell>
          <cell r="BE29">
            <v>0</v>
          </cell>
          <cell r="BF29">
            <v>-66.677729999999983</v>
          </cell>
          <cell r="BG29">
            <v>-6.5549600000000003</v>
          </cell>
          <cell r="BH29">
            <v>-1.9927699999999964</v>
          </cell>
          <cell r="BI29">
            <v>0.81620000000000004</v>
          </cell>
          <cell r="BJ29">
            <v>0</v>
          </cell>
          <cell r="BK29">
            <v>1428.2162900000008</v>
          </cell>
        </row>
        <row r="30">
          <cell r="C30">
            <v>26269.872209999998</v>
          </cell>
          <cell r="N30">
            <v>16305.077649999996</v>
          </cell>
          <cell r="O30">
            <v>-1793.5047800000002</v>
          </cell>
          <cell r="P30">
            <v>0</v>
          </cell>
          <cell r="Q30">
            <v>0</v>
          </cell>
          <cell r="R30">
            <v>143.49134999999998</v>
          </cell>
          <cell r="S30">
            <v>-569.08272999999997</v>
          </cell>
          <cell r="T30">
            <v>-38.638239999999996</v>
          </cell>
          <cell r="U30">
            <v>-264.86151000000001</v>
          </cell>
          <cell r="V30">
            <v>-6251.6334642318197</v>
          </cell>
          <cell r="W30">
            <v>0</v>
          </cell>
          <cell r="X30">
            <v>-407.26416576818025</v>
          </cell>
          <cell r="Y30">
            <v>-93.760229999999993</v>
          </cell>
          <cell r="Z30">
            <v>368.21862999999996</v>
          </cell>
          <cell r="AA30">
            <v>8.3154900000000005</v>
          </cell>
          <cell r="AB30">
            <v>0</v>
          </cell>
          <cell r="AC30">
            <v>-9001.2385099999992</v>
          </cell>
          <cell r="AD30">
            <v>1730.6991400000002</v>
          </cell>
          <cell r="AE30">
            <v>-313.40598</v>
          </cell>
          <cell r="AF30">
            <v>-428.83787000000007</v>
          </cell>
          <cell r="AG30">
            <v>0</v>
          </cell>
          <cell r="AH30">
            <v>5184.8502999999992</v>
          </cell>
          <cell r="AI30">
            <v>191.87391</v>
          </cell>
          <cell r="AJ30">
            <v>279.16043000000002</v>
          </cell>
          <cell r="AK30">
            <v>3.6675400000000011</v>
          </cell>
          <cell r="AL30">
            <v>-4186.9911399999992</v>
          </cell>
          <cell r="AM30">
            <v>3098.4589699999997</v>
          </cell>
          <cell r="AN30">
            <v>-1551.4483799999998</v>
          </cell>
          <cell r="AO30">
            <v>-909.61321999999996</v>
          </cell>
          <cell r="AP30">
            <v>-66.488749999999996</v>
          </cell>
          <cell r="AQ30">
            <v>-606.45659999999998</v>
          </cell>
          <cell r="AR30">
            <v>-393.29596000000004</v>
          </cell>
          <cell r="AT30">
            <v>-406.06404000000009</v>
          </cell>
          <cell r="AU30">
            <v>0</v>
          </cell>
          <cell r="AV30">
            <v>0</v>
          </cell>
          <cell r="AW30">
            <v>0</v>
          </cell>
          <cell r="AX30">
            <v>366.40838834108189</v>
          </cell>
          <cell r="AY30">
            <v>0</v>
          </cell>
          <cell r="AZ30">
            <v>-0.64785834108187146</v>
          </cell>
          <cell r="BA30">
            <v>5.4642299999999997</v>
          </cell>
          <cell r="BB30">
            <v>-28.23761</v>
          </cell>
          <cell r="BC30">
            <v>-0.63067999999999991</v>
          </cell>
          <cell r="BD30">
            <v>0</v>
          </cell>
          <cell r="BE30">
            <v>-7.4999999999999997E-2</v>
          </cell>
          <cell r="BF30">
            <v>-426.98601000000002</v>
          </cell>
          <cell r="BG30">
            <v>-4.7302199999999983</v>
          </cell>
          <cell r="BH30">
            <v>12.34175999999999</v>
          </cell>
          <cell r="BI30">
            <v>-1.211000000000015E-2</v>
          </cell>
          <cell r="BJ30">
            <v>-1.1013412404281553E-16</v>
          </cell>
          <cell r="BK30">
            <v>-45.877270000004501</v>
          </cell>
        </row>
        <row r="31">
          <cell r="C31">
            <v>26098.68</v>
          </cell>
          <cell r="N31">
            <v>16131.750683738819</v>
          </cell>
          <cell r="O31">
            <v>-3904.409812323494</v>
          </cell>
          <cell r="P31">
            <v>-166.66711297022346</v>
          </cell>
          <cell r="Q31">
            <v>-398.39249408287793</v>
          </cell>
          <cell r="R31">
            <v>0</v>
          </cell>
          <cell r="S31">
            <v>-913.92144371961353</v>
          </cell>
          <cell r="T31">
            <v>-140.46621537219605</v>
          </cell>
          <cell r="U31">
            <v>0</v>
          </cell>
          <cell r="V31">
            <v>-3958.3555053398245</v>
          </cell>
          <cell r="W31">
            <v>-62.120205191692065</v>
          </cell>
          <cell r="X31">
            <v>-843.9334645310546</v>
          </cell>
          <cell r="Y31">
            <v>-118.44920716460922</v>
          </cell>
          <cell r="Z31">
            <v>377.38586823744748</v>
          </cell>
          <cell r="AA31">
            <v>0</v>
          </cell>
          <cell r="AB31">
            <v>0</v>
          </cell>
          <cell r="AC31">
            <v>-5278.7289053054146</v>
          </cell>
          <cell r="AD31">
            <v>0</v>
          </cell>
          <cell r="AE31">
            <v>0</v>
          </cell>
          <cell r="AF31">
            <v>-385.29004447894403</v>
          </cell>
          <cell r="AG31">
            <v>0</v>
          </cell>
          <cell r="AH31">
            <v>5664.0189497843585</v>
          </cell>
          <cell r="AI31">
            <v>118.44920716460922</v>
          </cell>
          <cell r="AJ31">
            <v>0</v>
          </cell>
          <cell r="AK31">
            <v>0</v>
          </cell>
          <cell r="AL31">
            <v>-2606.5992742782864</v>
          </cell>
          <cell r="AM31">
            <v>0</v>
          </cell>
          <cell r="AN31">
            <v>0</v>
          </cell>
          <cell r="AO31">
            <v>-738.50204303696</v>
          </cell>
          <cell r="AP31">
            <v>-55.603513542914001</v>
          </cell>
          <cell r="AQ31">
            <v>-673.59143760985251</v>
          </cell>
          <cell r="AR31">
            <v>-530.79386223286008</v>
          </cell>
          <cell r="AT31">
            <v>-359.61063579145781</v>
          </cell>
          <cell r="AU31">
            <v>43.095844511758983</v>
          </cell>
          <cell r="AV31">
            <v>25.821665389752926</v>
          </cell>
          <cell r="AW31">
            <v>0</v>
          </cell>
          <cell r="AX31">
            <v>78.220967988240986</v>
          </cell>
          <cell r="AY31">
            <v>9.6242571423748267</v>
          </cell>
          <cell r="AZ31">
            <v>0</v>
          </cell>
          <cell r="BA31">
            <v>1.8294214508687714</v>
          </cell>
          <cell r="BB31">
            <v>-7.0626219189287003</v>
          </cell>
          <cell r="BC31">
            <v>0</v>
          </cell>
          <cell r="BD31">
            <v>0</v>
          </cell>
          <cell r="BE31">
            <v>9.9057449999999996</v>
          </cell>
          <cell r="BF31">
            <v>-9.9057449999999996</v>
          </cell>
          <cell r="BG31">
            <v>-1.8294214508687714</v>
          </cell>
          <cell r="BH31">
            <v>0</v>
          </cell>
          <cell r="BI31">
            <v>0</v>
          </cell>
          <cell r="BJ31">
            <v>0</v>
          </cell>
          <cell r="BK31">
            <v>1305.8696450661587</v>
          </cell>
        </row>
        <row r="33">
          <cell r="C33">
            <v>20009.173040000001</v>
          </cell>
          <cell r="N33">
            <v>9652.8133799999996</v>
          </cell>
          <cell r="O33">
            <v>-412.40658000000002</v>
          </cell>
          <cell r="P33">
            <v>0</v>
          </cell>
          <cell r="Q33">
            <v>0</v>
          </cell>
          <cell r="R33">
            <v>0.42</v>
          </cell>
          <cell r="S33">
            <v>-130.23289</v>
          </cell>
          <cell r="T33">
            <v>-85.818579999999997</v>
          </cell>
          <cell r="U33">
            <v>0</v>
          </cell>
          <cell r="V33">
            <v>-2525.9279449723817</v>
          </cell>
          <cell r="W33">
            <v>-1.7989999999999999</v>
          </cell>
          <cell r="X33">
            <v>-722.05290502761807</v>
          </cell>
          <cell r="Y33">
            <v>-26.924479999999999</v>
          </cell>
          <cell r="Z33">
            <v>72.27385000000001</v>
          </cell>
          <cell r="AA33">
            <v>0.52179999999999993</v>
          </cell>
          <cell r="AB33">
            <v>0</v>
          </cell>
          <cell r="AC33">
            <v>-1865.1602500000004</v>
          </cell>
          <cell r="AD33">
            <v>99.788210000000021</v>
          </cell>
          <cell r="AE33">
            <v>-34.60539</v>
          </cell>
          <cell r="AF33">
            <v>-169.02441999999999</v>
          </cell>
          <cell r="AG33">
            <v>0</v>
          </cell>
          <cell r="AH33">
            <v>-402.56010000000038</v>
          </cell>
          <cell r="AI33">
            <v>98.270250000000004</v>
          </cell>
          <cell r="AJ33">
            <v>-10.887979999999995</v>
          </cell>
          <cell r="AK33">
            <v>-1.61948</v>
          </cell>
          <cell r="AL33">
            <v>-4077.1366100000005</v>
          </cell>
          <cell r="AM33">
            <v>3408.9011499999992</v>
          </cell>
          <cell r="AN33">
            <v>-1269.8166200000001</v>
          </cell>
          <cell r="AO33">
            <v>-493.02534000000003</v>
          </cell>
          <cell r="AP33">
            <v>-44.197249999999997</v>
          </cell>
          <cell r="AQ33">
            <v>-462.30190000000005</v>
          </cell>
          <cell r="AR33">
            <v>-273.48379999999997</v>
          </cell>
          <cell r="AT33">
            <v>-683.89791000000002</v>
          </cell>
          <cell r="AU33">
            <v>0</v>
          </cell>
          <cell r="AV33">
            <v>0</v>
          </cell>
          <cell r="AW33">
            <v>0</v>
          </cell>
          <cell r="AX33">
            <v>221.53970207249296</v>
          </cell>
          <cell r="AY33">
            <v>0</v>
          </cell>
          <cell r="AZ33">
            <v>87.410397927507006</v>
          </cell>
          <cell r="BA33">
            <v>2.56576</v>
          </cell>
          <cell r="BB33">
            <v>-6.8709299999999995</v>
          </cell>
          <cell r="BC33">
            <v>-4.972E-2</v>
          </cell>
          <cell r="BD33">
            <v>0</v>
          </cell>
          <cell r="BE33">
            <v>0.97299999999999998</v>
          </cell>
          <cell r="BF33">
            <v>-303.8202</v>
          </cell>
          <cell r="BG33">
            <v>-0.40379000000000004</v>
          </cell>
          <cell r="BH33">
            <v>4.4948999999999995</v>
          </cell>
          <cell r="BI33">
            <v>-2.3100000000000004E-3</v>
          </cell>
          <cell r="BJ33">
            <v>0</v>
          </cell>
          <cell r="BK33">
            <v>-354.05398000000042</v>
          </cell>
        </row>
        <row r="34">
          <cell r="C34">
            <v>20047.57893</v>
          </cell>
          <cell r="N34">
            <v>9754.3116899999968</v>
          </cell>
          <cell r="O34">
            <v>-396.74637999999993</v>
          </cell>
          <cell r="P34">
            <v>0</v>
          </cell>
          <cell r="Q34">
            <v>-109.619</v>
          </cell>
          <cell r="R34">
            <v>1.25</v>
          </cell>
          <cell r="S34">
            <v>-112.81422000000001</v>
          </cell>
          <cell r="T34">
            <v>-125.12085999999999</v>
          </cell>
          <cell r="U34">
            <v>0</v>
          </cell>
          <cell r="V34">
            <v>-2383.2216939386085</v>
          </cell>
          <cell r="W34">
            <v>0</v>
          </cell>
          <cell r="X34">
            <v>-2036.5738860613915</v>
          </cell>
          <cell r="Y34">
            <v>-41.334339999999997</v>
          </cell>
          <cell r="Z34">
            <v>104.99874</v>
          </cell>
          <cell r="AA34">
            <v>1.0023500000000001</v>
          </cell>
          <cell r="AB34">
            <v>0</v>
          </cell>
          <cell r="AC34">
            <v>-4917.3974400000006</v>
          </cell>
          <cell r="AD34">
            <v>223.54530999999997</v>
          </cell>
          <cell r="AE34">
            <v>-27.297820000000002</v>
          </cell>
          <cell r="AF34">
            <v>-132.13634999999999</v>
          </cell>
          <cell r="AG34">
            <v>0</v>
          </cell>
          <cell r="AH34">
            <v>6764.8229099999999</v>
          </cell>
          <cell r="AI34">
            <v>88.425730000000001</v>
          </cell>
          <cell r="AJ34">
            <v>-45.394709999999996</v>
          </cell>
          <cell r="AK34">
            <v>-1.0289800000000002</v>
          </cell>
          <cell r="AL34">
            <v>-4087.3434199999997</v>
          </cell>
          <cell r="AM34">
            <v>3395.9939300000001</v>
          </cell>
          <cell r="AN34">
            <v>-1271.9214400000001</v>
          </cell>
          <cell r="AO34">
            <v>-950.78623999999991</v>
          </cell>
          <cell r="AP34">
            <v>-63.63306</v>
          </cell>
          <cell r="AQ34">
            <v>-475.93511000000001</v>
          </cell>
          <cell r="AR34">
            <v>-274.61439000000001</v>
          </cell>
          <cell r="AT34">
            <v>-631.48930999999993</v>
          </cell>
          <cell r="AU34">
            <v>1.64</v>
          </cell>
          <cell r="AV34">
            <v>0</v>
          </cell>
          <cell r="AW34">
            <v>0</v>
          </cell>
          <cell r="AX34">
            <v>250.6741768300181</v>
          </cell>
          <cell r="AY34">
            <v>0</v>
          </cell>
          <cell r="AZ34">
            <v>105.6202431699819</v>
          </cell>
          <cell r="BA34">
            <v>3.38917</v>
          </cell>
          <cell r="BB34">
            <v>-8.4643000000000015</v>
          </cell>
          <cell r="BC34">
            <v>-7.7609999999999998E-2</v>
          </cell>
          <cell r="BD34">
            <v>0</v>
          </cell>
          <cell r="BE34">
            <v>61.359000000000002</v>
          </cell>
          <cell r="BF34">
            <v>-414.84303999999997</v>
          </cell>
          <cell r="BG34">
            <v>-6.4868600000000001</v>
          </cell>
          <cell r="BH34">
            <v>3.2802000000000007</v>
          </cell>
          <cell r="BI34">
            <v>7.1830000000000005E-2</v>
          </cell>
          <cell r="BJ34">
            <v>0</v>
          </cell>
          <cell r="BK34">
            <v>2246.1048199999973</v>
          </cell>
        </row>
        <row r="35">
          <cell r="C35">
            <v>18084.009999999998</v>
          </cell>
          <cell r="N35">
            <v>9437.3127224502787</v>
          </cell>
          <cell r="O35">
            <v>-1054.3820392614371</v>
          </cell>
          <cell r="P35">
            <v>-509.39729204534603</v>
          </cell>
          <cell r="Q35">
            <v>-716.44894728167628</v>
          </cell>
          <cell r="R35">
            <v>0</v>
          </cell>
          <cell r="S35">
            <v>-187.84888428852901</v>
          </cell>
          <cell r="T35">
            <v>-67.24605196660913</v>
          </cell>
          <cell r="U35">
            <v>0</v>
          </cell>
          <cell r="V35">
            <v>-1231.10409722962</v>
          </cell>
          <cell r="W35">
            <v>-594.77596355300057</v>
          </cell>
          <cell r="X35">
            <v>-836.53097417341314</v>
          </cell>
          <cell r="Y35">
            <v>-69.064894548371029</v>
          </cell>
          <cell r="Z35">
            <v>44.648292178542356</v>
          </cell>
          <cell r="AA35">
            <v>0</v>
          </cell>
          <cell r="AB35">
            <v>0</v>
          </cell>
          <cell r="AC35">
            <v>-1532.3227291847725</v>
          </cell>
          <cell r="AD35">
            <v>0</v>
          </cell>
          <cell r="AE35">
            <v>0</v>
          </cell>
          <cell r="AF35">
            <v>-121.81923194873607</v>
          </cell>
          <cell r="AG35">
            <v>0</v>
          </cell>
          <cell r="AH35">
            <v>1804.1419611335086</v>
          </cell>
          <cell r="AI35">
            <v>69.064894548371029</v>
          </cell>
          <cell r="AJ35">
            <v>0</v>
          </cell>
          <cell r="AK35">
            <v>0</v>
          </cell>
          <cell r="AL35">
            <v>-1893.0325672752072</v>
          </cell>
          <cell r="AM35">
            <v>0</v>
          </cell>
          <cell r="AN35">
            <v>0</v>
          </cell>
          <cell r="AO35">
            <v>-536.77154620598003</v>
          </cell>
          <cell r="AP35">
            <v>-39.337656214419006</v>
          </cell>
          <cell r="AQ35">
            <v>-515.76124924837245</v>
          </cell>
          <cell r="AR35">
            <v>-867.61232919494751</v>
          </cell>
          <cell r="AT35">
            <v>-737.69476124963978</v>
          </cell>
          <cell r="AU35">
            <v>24.474388139916641</v>
          </cell>
          <cell r="AV35">
            <v>212.06186827438415</v>
          </cell>
          <cell r="AW35">
            <v>0</v>
          </cell>
          <cell r="AX35">
            <v>28.576472658188493</v>
          </cell>
          <cell r="AY35">
            <v>247.60497161127114</v>
          </cell>
          <cell r="AZ35">
            <v>0</v>
          </cell>
          <cell r="BA35">
            <v>6.0527560412662291</v>
          </cell>
          <cell r="BB35">
            <v>-4.0651203313483855</v>
          </cell>
          <cell r="BC35">
            <v>0</v>
          </cell>
          <cell r="BD35">
            <v>0</v>
          </cell>
          <cell r="BE35">
            <v>41.991</v>
          </cell>
          <cell r="BF35">
            <v>-41.991</v>
          </cell>
          <cell r="BG35">
            <v>-6.0527560412662291</v>
          </cell>
          <cell r="BH35">
            <v>0</v>
          </cell>
          <cell r="BI35">
            <v>0</v>
          </cell>
          <cell r="BJ35">
            <v>0</v>
          </cell>
          <cell r="BK35">
            <v>352.66923579303625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-8.9999999999999992E-5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-1.9059999999999994E-2</v>
          </cell>
          <cell r="AP38">
            <v>-7.2000000000000005E-4</v>
          </cell>
          <cell r="AQ38">
            <v>-0.36214999999999997</v>
          </cell>
          <cell r="AR38">
            <v>-1.448E-2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-0.39649999999999996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7991.2013099999995</v>
          </cell>
          <cell r="N41">
            <v>4146.0000599999994</v>
          </cell>
          <cell r="O41">
            <v>-99.817110000000014</v>
          </cell>
          <cell r="P41">
            <v>0</v>
          </cell>
          <cell r="Q41">
            <v>0</v>
          </cell>
          <cell r="R41">
            <v>10.57559</v>
          </cell>
          <cell r="S41">
            <v>-62.80395</v>
          </cell>
          <cell r="T41">
            <v>-6.8332200000000007</v>
          </cell>
          <cell r="U41">
            <v>0</v>
          </cell>
          <cell r="V41">
            <v>-1103.8541939091283</v>
          </cell>
          <cell r="W41">
            <v>0</v>
          </cell>
          <cell r="X41">
            <v>-323.78103609087157</v>
          </cell>
          <cell r="Y41">
            <v>-30.11112</v>
          </cell>
          <cell r="Z41">
            <v>177.01967999999999</v>
          </cell>
          <cell r="AA41">
            <v>3.3280599999999998</v>
          </cell>
          <cell r="AB41">
            <v>0</v>
          </cell>
          <cell r="AC41">
            <v>-584.44172000000003</v>
          </cell>
          <cell r="AD41">
            <v>131.52762000000001</v>
          </cell>
          <cell r="AE41">
            <v>-28.702310000000001</v>
          </cell>
          <cell r="AF41">
            <v>-187.99928999999997</v>
          </cell>
          <cell r="AG41">
            <v>0</v>
          </cell>
          <cell r="AH41">
            <v>-479.47783999999956</v>
          </cell>
          <cell r="AI41">
            <v>367.72766000000007</v>
          </cell>
          <cell r="AJ41">
            <v>-42.858580000000032</v>
          </cell>
          <cell r="AK41">
            <v>-34.153949999999995</v>
          </cell>
          <cell r="AL41">
            <v>-1775.6112699999999</v>
          </cell>
          <cell r="AM41">
            <v>1278.4028800000001</v>
          </cell>
          <cell r="AN41">
            <v>-419.35738000000003</v>
          </cell>
          <cell r="AO41">
            <v>-221.68507999999997</v>
          </cell>
          <cell r="AP41">
            <v>-19.117980000000003</v>
          </cell>
          <cell r="AQ41">
            <v>-227.06846999999999</v>
          </cell>
          <cell r="AR41">
            <v>-112.26604999999998</v>
          </cell>
          <cell r="AT41">
            <v>-148.0612000000001</v>
          </cell>
          <cell r="AU41">
            <v>0</v>
          </cell>
          <cell r="AV41">
            <v>0</v>
          </cell>
          <cell r="AW41">
            <v>0</v>
          </cell>
          <cell r="AX41">
            <v>36.275101402046303</v>
          </cell>
          <cell r="AY41">
            <v>0</v>
          </cell>
          <cell r="AZ41">
            <v>9.6983585979536997</v>
          </cell>
          <cell r="BA41">
            <v>0.99433000000000005</v>
          </cell>
          <cell r="BB41">
            <v>-5.7004900000000003</v>
          </cell>
          <cell r="BC41">
            <v>-0.10956999999999999</v>
          </cell>
          <cell r="BD41">
            <v>0</v>
          </cell>
          <cell r="BE41">
            <v>0</v>
          </cell>
          <cell r="BF41">
            <v>56.180889999999941</v>
          </cell>
          <cell r="BG41">
            <v>-12.814250000000001</v>
          </cell>
          <cell r="BH41">
            <v>-33.933690000000006</v>
          </cell>
          <cell r="BI41">
            <v>0.84772999999999998</v>
          </cell>
          <cell r="BJ41">
            <v>5.6843418860808016E-16</v>
          </cell>
          <cell r="BK41">
            <v>258.0182099999995</v>
          </cell>
        </row>
        <row r="42">
          <cell r="C42">
            <v>8355.97091</v>
          </cell>
          <cell r="N42">
            <v>4443.5567099999998</v>
          </cell>
          <cell r="O42">
            <v>-66.076369999999997</v>
          </cell>
          <cell r="P42">
            <v>0</v>
          </cell>
          <cell r="Q42">
            <v>0</v>
          </cell>
          <cell r="R42">
            <v>1.325</v>
          </cell>
          <cell r="S42">
            <v>-69.026650000000004</v>
          </cell>
          <cell r="T42">
            <v>-8.1211899999999986</v>
          </cell>
          <cell r="U42">
            <v>0</v>
          </cell>
          <cell r="V42">
            <v>-1404.9293273599037</v>
          </cell>
          <cell r="W42">
            <v>0</v>
          </cell>
          <cell r="X42">
            <v>-393.9220726400963</v>
          </cell>
          <cell r="Y42">
            <v>-60.682310000000001</v>
          </cell>
          <cell r="Z42">
            <v>203.24984999999998</v>
          </cell>
          <cell r="AA42">
            <v>7.0085100000000002</v>
          </cell>
          <cell r="AB42">
            <v>0</v>
          </cell>
          <cell r="AC42">
            <v>-590.42702999999995</v>
          </cell>
          <cell r="AD42">
            <v>18.906289999999998</v>
          </cell>
          <cell r="AE42">
            <v>-32.989860000000007</v>
          </cell>
          <cell r="AF42">
            <v>-201.80645999999999</v>
          </cell>
          <cell r="AG42">
            <v>0</v>
          </cell>
          <cell r="AH42">
            <v>3482.7575800000013</v>
          </cell>
          <cell r="AI42">
            <v>71.042090000000016</v>
          </cell>
          <cell r="AJ42">
            <v>-276.15064999999987</v>
          </cell>
          <cell r="AK42">
            <v>-4.637249999999999</v>
          </cell>
          <cell r="AL42">
            <v>-1853.2444200000002</v>
          </cell>
          <cell r="AM42">
            <v>1294.1078900000005</v>
          </cell>
          <cell r="AN42">
            <v>-418.84058000000005</v>
          </cell>
          <cell r="AO42">
            <v>-461.56311999999991</v>
          </cell>
          <cell r="AP42">
            <v>-28.093429999999998</v>
          </cell>
          <cell r="AQ42">
            <v>-213.03969000000001</v>
          </cell>
          <cell r="AR42">
            <v>-123.01526999999999</v>
          </cell>
          <cell r="AT42">
            <v>-196.70054000000005</v>
          </cell>
          <cell r="AU42">
            <v>0</v>
          </cell>
          <cell r="AV42">
            <v>0</v>
          </cell>
          <cell r="AW42">
            <v>0</v>
          </cell>
          <cell r="AX42">
            <v>44.66920878700877</v>
          </cell>
          <cell r="AY42">
            <v>0</v>
          </cell>
          <cell r="AZ42">
            <v>17.638701212991236</v>
          </cell>
          <cell r="BA42">
            <v>1.9676</v>
          </cell>
          <cell r="BB42">
            <v>-7.0400900000000002</v>
          </cell>
          <cell r="BC42">
            <v>-0.22118000000000002</v>
          </cell>
          <cell r="BD42">
            <v>0</v>
          </cell>
          <cell r="BE42">
            <v>139.49589</v>
          </cell>
          <cell r="BF42">
            <v>-219.28911000000002</v>
          </cell>
          <cell r="BG42">
            <v>-5.6536600000000012</v>
          </cell>
          <cell r="BH42">
            <v>26.711170000000003</v>
          </cell>
          <cell r="BI42">
            <v>0.70468000000000008</v>
          </cell>
          <cell r="BJ42">
            <v>-4.0927261579781768E-15</v>
          </cell>
          <cell r="BK42">
            <v>3117.670910000003</v>
          </cell>
        </row>
        <row r="43">
          <cell r="C43">
            <v>8038.85</v>
          </cell>
          <cell r="N43">
            <v>3913.8063803492951</v>
          </cell>
          <cell r="O43">
            <v>-170.77116186608521</v>
          </cell>
          <cell r="P43">
            <v>0</v>
          </cell>
          <cell r="Q43">
            <v>-48.891821638953409</v>
          </cell>
          <cell r="R43">
            <v>0</v>
          </cell>
          <cell r="S43">
            <v>-107.38033137230124</v>
          </cell>
          <cell r="T43">
            <v>-32.282785732182482</v>
          </cell>
          <cell r="U43">
            <v>0</v>
          </cell>
          <cell r="V43">
            <v>-1212.1568679672896</v>
          </cell>
          <cell r="W43">
            <v>0</v>
          </cell>
          <cell r="X43">
            <v>-347.04078100471679</v>
          </cell>
          <cell r="Y43">
            <v>-36.018292488911065</v>
          </cell>
          <cell r="Z43">
            <v>177.51404558723326</v>
          </cell>
          <cell r="AA43">
            <v>0</v>
          </cell>
          <cell r="AB43">
            <v>0</v>
          </cell>
          <cell r="AC43">
            <v>-479.34036532439404</v>
          </cell>
          <cell r="AD43">
            <v>0</v>
          </cell>
          <cell r="AE43">
            <v>0</v>
          </cell>
          <cell r="AF43">
            <v>-308.74989069248034</v>
          </cell>
          <cell r="AG43">
            <v>0</v>
          </cell>
          <cell r="AH43">
            <v>788.09025601687426</v>
          </cell>
          <cell r="AI43">
            <v>36.018292488911065</v>
          </cell>
          <cell r="AJ43">
            <v>0</v>
          </cell>
          <cell r="AK43">
            <v>0</v>
          </cell>
          <cell r="AL43">
            <v>-863.32665479279854</v>
          </cell>
          <cell r="AM43">
            <v>0</v>
          </cell>
          <cell r="AN43">
            <v>0</v>
          </cell>
          <cell r="AO43">
            <v>-242.34730429193104</v>
          </cell>
          <cell r="AP43">
            <v>-17.858027700617775</v>
          </cell>
          <cell r="AQ43">
            <v>-253.84494362114253</v>
          </cell>
          <cell r="AR43">
            <v>-160.00680721212001</v>
          </cell>
          <cell r="AT43">
            <v>-154.51231740068229</v>
          </cell>
          <cell r="AU43">
            <v>15.922194743567772</v>
          </cell>
          <cell r="AV43">
            <v>0</v>
          </cell>
          <cell r="AW43">
            <v>4.0515879031340765</v>
          </cell>
          <cell r="AX43">
            <v>113.01789775643219</v>
          </cell>
          <cell r="AY43">
            <v>0</v>
          </cell>
          <cell r="AZ43">
            <v>28.758720437870991</v>
          </cell>
          <cell r="BA43">
            <v>3.1524907808427018</v>
          </cell>
          <cell r="BB43">
            <v>-16.141212810046039</v>
          </cell>
          <cell r="BC43">
            <v>0</v>
          </cell>
          <cell r="BD43">
            <v>0</v>
          </cell>
          <cell r="BE43">
            <v>0.44739249999999997</v>
          </cell>
          <cell r="BF43">
            <v>-0.44739249999999997</v>
          </cell>
          <cell r="BG43">
            <v>-3.1524907808427018</v>
          </cell>
          <cell r="BH43">
            <v>0</v>
          </cell>
          <cell r="BI43">
            <v>0</v>
          </cell>
          <cell r="BJ43">
            <v>0</v>
          </cell>
          <cell r="BK43">
            <v>626.50980936666588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-102.97301000000004</v>
          </cell>
          <cell r="AU45">
            <v>0</v>
          </cell>
          <cell r="AV45">
            <v>0</v>
          </cell>
          <cell r="AW45">
            <v>0</v>
          </cell>
          <cell r="AX45">
            <v>23.797999999999998</v>
          </cell>
          <cell r="AY45">
            <v>0</v>
          </cell>
          <cell r="AZ45">
            <v>0</v>
          </cell>
          <cell r="BA45">
            <v>0.51471</v>
          </cell>
          <cell r="BB45">
            <v>-2.9508299999999998</v>
          </cell>
          <cell r="BC45">
            <v>-5.672E-2</v>
          </cell>
          <cell r="BD45">
            <v>0</v>
          </cell>
          <cell r="BE45">
            <v>0</v>
          </cell>
          <cell r="BF45">
            <v>0</v>
          </cell>
          <cell r="BG45">
            <v>-0.23832</v>
          </cell>
          <cell r="BH45">
            <v>-0.18462000000000001</v>
          </cell>
          <cell r="BI45">
            <v>3.5810000000000002E-2</v>
          </cell>
          <cell r="BJ45">
            <v>1.2789769243681802E-16</v>
          </cell>
          <cell r="BK45">
            <v>-82.054980000000043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-130.60803999999999</v>
          </cell>
          <cell r="AU46">
            <v>0</v>
          </cell>
          <cell r="AV46">
            <v>0</v>
          </cell>
          <cell r="AW46">
            <v>0</v>
          </cell>
          <cell r="AX46">
            <v>9.0990000000000002</v>
          </cell>
          <cell r="AY46">
            <v>0</v>
          </cell>
          <cell r="AZ46">
            <v>0</v>
          </cell>
          <cell r="BA46">
            <v>0.28732999999999997</v>
          </cell>
          <cell r="BB46">
            <v>-1.0280799999999999</v>
          </cell>
          <cell r="BC46">
            <v>-3.2299999999999995E-2</v>
          </cell>
          <cell r="BD46">
            <v>0</v>
          </cell>
          <cell r="BE46">
            <v>6.4027200000000004</v>
          </cell>
          <cell r="BF46">
            <v>-9.0990000000000002</v>
          </cell>
          <cell r="BG46">
            <v>-0.27250000000000002</v>
          </cell>
          <cell r="BH46">
            <v>1.0385199999999999</v>
          </cell>
          <cell r="BI46">
            <v>3.1140000000000001E-2</v>
          </cell>
          <cell r="BJ46">
            <v>0</v>
          </cell>
          <cell r="BK46">
            <v>-124.18120999999999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2.5999999999999999E-3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2.2388100000000009</v>
          </cell>
          <cell r="BF49">
            <v>-0.20445000000000146</v>
          </cell>
          <cell r="BG49">
            <v>-0.39138999999999996</v>
          </cell>
          <cell r="BH49">
            <v>0.29409000000000002</v>
          </cell>
          <cell r="BI49">
            <v>1.434E-2</v>
          </cell>
          <cell r="BJ49">
            <v>0</v>
          </cell>
          <cell r="BK49">
            <v>1.9539999999999997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-3.8000000000000002E-4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2.5999999999999999E-3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-0.31760000000000005</v>
          </cell>
          <cell r="BH50">
            <v>-1.3900000000000003E-2</v>
          </cell>
          <cell r="BI50">
            <v>1.82E-3</v>
          </cell>
          <cell r="BJ50">
            <v>0</v>
          </cell>
          <cell r="BK50">
            <v>-0.32746000000000008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404.3328600000001</v>
          </cell>
          <cell r="N53">
            <v>-416.4073400000002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-1.2737799999999999</v>
          </cell>
          <cell r="T53">
            <v>0</v>
          </cell>
          <cell r="U53">
            <v>0</v>
          </cell>
          <cell r="V53">
            <v>-37.021320000000003</v>
          </cell>
          <cell r="W53">
            <v>0</v>
          </cell>
          <cell r="X53">
            <v>0</v>
          </cell>
          <cell r="Y53">
            <v>-1.0616199999999998</v>
          </cell>
          <cell r="Z53">
            <v>2.5540900000000004</v>
          </cell>
          <cell r="AA53">
            <v>5.5030000000000003E-2</v>
          </cell>
          <cell r="AB53">
            <v>0</v>
          </cell>
          <cell r="AC53">
            <v>-65.039010000000005</v>
          </cell>
          <cell r="AD53">
            <v>0</v>
          </cell>
          <cell r="AE53">
            <v>-0.18952999999999998</v>
          </cell>
          <cell r="AF53">
            <v>-3.3062</v>
          </cell>
          <cell r="AG53">
            <v>0</v>
          </cell>
          <cell r="AH53">
            <v>118.12439000000001</v>
          </cell>
          <cell r="AI53">
            <v>6.3158000000000003</v>
          </cell>
          <cell r="AJ53">
            <v>-3.5619399999999994</v>
          </cell>
          <cell r="AK53">
            <v>-0.24764</v>
          </cell>
          <cell r="AL53">
            <v>-76.851829999999964</v>
          </cell>
          <cell r="AM53">
            <v>191.79568</v>
          </cell>
          <cell r="AN53">
            <v>-41.819130000000001</v>
          </cell>
          <cell r="AO53">
            <v>-7.1387099999999997</v>
          </cell>
          <cell r="AP53">
            <v>-0.76866999999999996</v>
          </cell>
          <cell r="AQ53">
            <v>-22.745270000000001</v>
          </cell>
          <cell r="AR53">
            <v>-11.769819999999999</v>
          </cell>
          <cell r="AT53">
            <v>-14.801739999999999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2.5</v>
          </cell>
          <cell r="BG53">
            <v>7.4299999999999991E-2</v>
          </cell>
          <cell r="BH53">
            <v>-0.15593000000000001</v>
          </cell>
          <cell r="BI53">
            <v>-3.15E-3</v>
          </cell>
          <cell r="BJ53">
            <v>0</v>
          </cell>
          <cell r="BK53">
            <v>-382.7433400000001</v>
          </cell>
        </row>
        <row r="54">
          <cell r="C54">
            <v>377.57544999999999</v>
          </cell>
          <cell r="N54">
            <v>182.26884000000004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-3.3019999999999994E-2</v>
          </cell>
          <cell r="T54">
            <v>-8.7639999999999996E-2</v>
          </cell>
          <cell r="U54">
            <v>0</v>
          </cell>
          <cell r="V54">
            <v>-42.923189999999998</v>
          </cell>
          <cell r="W54">
            <v>0</v>
          </cell>
          <cell r="X54">
            <v>0</v>
          </cell>
          <cell r="Y54">
            <v>-1.96044</v>
          </cell>
          <cell r="Z54">
            <v>2.8144200000000001</v>
          </cell>
          <cell r="AA54">
            <v>0.10465000000000001</v>
          </cell>
          <cell r="AB54">
            <v>0</v>
          </cell>
          <cell r="AC54">
            <v>-55.771830000000001</v>
          </cell>
          <cell r="AD54">
            <v>0</v>
          </cell>
          <cell r="AE54">
            <v>-1.3820000000000001E-2</v>
          </cell>
          <cell r="AF54">
            <v>-6.8342499999999999</v>
          </cell>
          <cell r="AG54">
            <v>0</v>
          </cell>
          <cell r="AH54">
            <v>213.16601</v>
          </cell>
          <cell r="AI54">
            <v>7.6221099999999993</v>
          </cell>
          <cell r="AJ54">
            <v>-8.4714199999999984</v>
          </cell>
          <cell r="AK54">
            <v>-0.24692</v>
          </cell>
          <cell r="AL54">
            <v>-71.481960000000001</v>
          </cell>
          <cell r="AM54">
            <v>61.015390000000004</v>
          </cell>
          <cell r="AN54">
            <v>-25.490949999999998</v>
          </cell>
          <cell r="AO54">
            <v>-10.056650000000001</v>
          </cell>
          <cell r="AP54">
            <v>-0.52771000000000001</v>
          </cell>
          <cell r="AQ54">
            <v>-3.73848</v>
          </cell>
          <cell r="AR54">
            <v>-5.4919799999999999</v>
          </cell>
          <cell r="AT54">
            <v>-4.2698700000000001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229.59129000000004</v>
          </cell>
        </row>
        <row r="55">
          <cell r="C55">
            <v>374.13</v>
          </cell>
          <cell r="N55">
            <v>166.65027249864792</v>
          </cell>
          <cell r="O55">
            <v>-9.0493712575464009</v>
          </cell>
          <cell r="P55">
            <v>0</v>
          </cell>
          <cell r="Q55">
            <v>0</v>
          </cell>
          <cell r="R55">
            <v>0</v>
          </cell>
          <cell r="S55">
            <v>-1.9627917334978879</v>
          </cell>
          <cell r="T55">
            <v>0</v>
          </cell>
          <cell r="U55">
            <v>0</v>
          </cell>
          <cell r="V55">
            <v>-31.340732580773185</v>
          </cell>
          <cell r="W55">
            <v>0</v>
          </cell>
          <cell r="X55">
            <v>0</v>
          </cell>
          <cell r="Y55">
            <v>-0.76983732158786089</v>
          </cell>
          <cell r="Z55">
            <v>1.8093047697777147</v>
          </cell>
          <cell r="AA55">
            <v>0</v>
          </cell>
          <cell r="AB55">
            <v>0</v>
          </cell>
          <cell r="AC55">
            <v>-71.754751552014397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71.754751552014397</v>
          </cell>
          <cell r="AI55">
            <v>0.76983732158786089</v>
          </cell>
          <cell r="AJ55">
            <v>0</v>
          </cell>
          <cell r="AK55">
            <v>0</v>
          </cell>
          <cell r="AL55">
            <v>-32.723219442210748</v>
          </cell>
          <cell r="AM55">
            <v>0</v>
          </cell>
          <cell r="AN55">
            <v>0</v>
          </cell>
          <cell r="AO55">
            <v>-8.4577695266540243</v>
          </cell>
          <cell r="AP55">
            <v>-0.79525388089825255</v>
          </cell>
          <cell r="AQ55">
            <v>-25.353581498443248</v>
          </cell>
          <cell r="AR55">
            <v>-11.697435490972625</v>
          </cell>
          <cell r="AT55">
            <v>-4.1858168178490978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42.89360503958018</v>
          </cell>
        </row>
        <row r="57">
          <cell r="C57">
            <v>1606.3378800000003</v>
          </cell>
          <cell r="N57">
            <v>970.5849300000001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-19.690760000000001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-6.8288399999999996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-298.28957000000003</v>
          </cell>
          <cell r="AM57">
            <v>194.74892000000003</v>
          </cell>
          <cell r="AN57">
            <v>-72.218310000000002</v>
          </cell>
          <cell r="AO57">
            <v>-27.20157</v>
          </cell>
          <cell r="AP57">
            <v>-2.8858199999999998</v>
          </cell>
          <cell r="AQ57">
            <v>-38.490200000000002</v>
          </cell>
          <cell r="AR57">
            <v>-16.798469999999998</v>
          </cell>
          <cell r="AT57">
            <v>-936.62863000000004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-253.69831999999997</v>
          </cell>
        </row>
        <row r="58">
          <cell r="C58">
            <v>1600.0535299999999</v>
          </cell>
          <cell r="N58">
            <v>959.68912999999998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-14.09262</v>
          </cell>
          <cell r="T58">
            <v>-1.9E-3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-5.1755599999999999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-297.0976</v>
          </cell>
          <cell r="AM58">
            <v>198.58148000000003</v>
          </cell>
          <cell r="AN58">
            <v>-75.483680000000021</v>
          </cell>
          <cell r="AO58">
            <v>-16.6538</v>
          </cell>
          <cell r="AP58">
            <v>-0.91183000000000014</v>
          </cell>
          <cell r="AQ58">
            <v>-33.889130000000002</v>
          </cell>
          <cell r="AR58">
            <v>-16.825309999999998</v>
          </cell>
          <cell r="AT58">
            <v>-937.63248999999996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-239.49330999999998</v>
          </cell>
        </row>
        <row r="59">
          <cell r="C59">
            <v>1465.13</v>
          </cell>
          <cell r="N59">
            <v>905.70850502999292</v>
          </cell>
          <cell r="O59">
            <v>5.2706846753139489</v>
          </cell>
          <cell r="P59">
            <v>0</v>
          </cell>
          <cell r="Q59">
            <v>0</v>
          </cell>
          <cell r="R59">
            <v>0</v>
          </cell>
          <cell r="S59">
            <v>-32.10852506159155</v>
          </cell>
          <cell r="T59">
            <v>-8.4342709798000772</v>
          </cell>
          <cell r="U59">
            <v>0</v>
          </cell>
          <cell r="V59">
            <v>3.7696007488887728</v>
          </cell>
          <cell r="W59">
            <v>0</v>
          </cell>
          <cell r="X59">
            <v>0</v>
          </cell>
          <cell r="Y59">
            <v>9.3675592824237569E-2</v>
          </cell>
          <cell r="Z59">
            <v>-0.17614804197755801</v>
          </cell>
          <cell r="AA59">
            <v>0</v>
          </cell>
          <cell r="AB59">
            <v>0</v>
          </cell>
          <cell r="AC59">
            <v>15.231421259402795</v>
          </cell>
          <cell r="AD59">
            <v>0</v>
          </cell>
          <cell r="AE59">
            <v>0</v>
          </cell>
          <cell r="AF59">
            <v>-15.231421259402795</v>
          </cell>
          <cell r="AG59">
            <v>0</v>
          </cell>
          <cell r="AH59">
            <v>0</v>
          </cell>
          <cell r="AI59">
            <v>-9.3675592824237569E-2</v>
          </cell>
          <cell r="AJ59">
            <v>0</v>
          </cell>
          <cell r="AK59">
            <v>0</v>
          </cell>
          <cell r="AL59">
            <v>-163.53071735230947</v>
          </cell>
          <cell r="AM59">
            <v>0</v>
          </cell>
          <cell r="AN59">
            <v>0</v>
          </cell>
          <cell r="AO59">
            <v>-30.456254654178998</v>
          </cell>
          <cell r="AP59">
            <v>-2.3892508764658422</v>
          </cell>
          <cell r="AQ59">
            <v>-42.432326756524752</v>
          </cell>
          <cell r="AR59">
            <v>-27.0079084320585</v>
          </cell>
          <cell r="AT59">
            <v>-742.17778767768357</v>
          </cell>
          <cell r="AU59">
            <v>134.96957729548538</v>
          </cell>
          <cell r="AV59">
            <v>0</v>
          </cell>
          <cell r="AW59">
            <v>0</v>
          </cell>
          <cell r="AX59">
            <v>96.530422704514621</v>
          </cell>
          <cell r="AY59">
            <v>0</v>
          </cell>
          <cell r="AZ59">
            <v>0</v>
          </cell>
          <cell r="BA59">
            <v>1.4961076025373894</v>
          </cell>
          <cell r="BB59">
            <v>-2.9227181610516562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-1.4961076025373894</v>
          </cell>
          <cell r="BH59">
            <v>0</v>
          </cell>
          <cell r="BI59">
            <v>0</v>
          </cell>
          <cell r="BJ59">
            <v>0</v>
          </cell>
          <cell r="BK59">
            <v>94.612882460553649</v>
          </cell>
        </row>
        <row r="61">
          <cell r="C61">
            <v>381.57938000000001</v>
          </cell>
          <cell r="N61">
            <v>207.55725000000004</v>
          </cell>
          <cell r="O61">
            <v>-16.912090000000003</v>
          </cell>
          <cell r="P61">
            <v>0</v>
          </cell>
          <cell r="Q61">
            <v>0</v>
          </cell>
          <cell r="R61">
            <v>0</v>
          </cell>
          <cell r="S61">
            <v>-13.308630000000001</v>
          </cell>
          <cell r="T61">
            <v>0</v>
          </cell>
          <cell r="U61">
            <v>0</v>
          </cell>
          <cell r="V61">
            <v>-34.906059999999997</v>
          </cell>
          <cell r="W61">
            <v>0</v>
          </cell>
          <cell r="X61">
            <v>0</v>
          </cell>
          <cell r="Y61">
            <v>-0.43739</v>
          </cell>
          <cell r="Z61">
            <v>0.93859999999999988</v>
          </cell>
          <cell r="AA61">
            <v>1.687E-2</v>
          </cell>
          <cell r="AB61">
            <v>0</v>
          </cell>
          <cell r="AC61">
            <v>-97.038849999999996</v>
          </cell>
          <cell r="AD61">
            <v>0</v>
          </cell>
          <cell r="AE61">
            <v>-6.4607099999999997</v>
          </cell>
          <cell r="AF61">
            <v>-34.972610000000003</v>
          </cell>
          <cell r="AG61">
            <v>0</v>
          </cell>
          <cell r="AH61">
            <v>133.72036</v>
          </cell>
          <cell r="AI61">
            <v>14.807730000000001</v>
          </cell>
          <cell r="AJ61">
            <v>-8.581529999999999</v>
          </cell>
          <cell r="AK61">
            <v>-0.9340900000000002</v>
          </cell>
          <cell r="AL61">
            <v>-52.799469999999992</v>
          </cell>
          <cell r="AM61">
            <v>41.148130000000002</v>
          </cell>
          <cell r="AN61">
            <v>-18.256420000000002</v>
          </cell>
          <cell r="AO61">
            <v>-13.538650000000001</v>
          </cell>
          <cell r="AP61">
            <v>-1.0819700000000001</v>
          </cell>
          <cell r="AQ61">
            <v>-21.417480000000001</v>
          </cell>
          <cell r="AR61">
            <v>-21.358670000000004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56.184320000000085</v>
          </cell>
        </row>
        <row r="62">
          <cell r="C62">
            <v>364.67953</v>
          </cell>
          <cell r="N62">
            <v>208.02046999999999</v>
          </cell>
          <cell r="O62">
            <v>-10.658519999999999</v>
          </cell>
          <cell r="P62">
            <v>0</v>
          </cell>
          <cell r="Q62">
            <v>0</v>
          </cell>
          <cell r="R62">
            <v>0</v>
          </cell>
          <cell r="S62">
            <v>-37.914070000000002</v>
          </cell>
          <cell r="T62">
            <v>-0.11244</v>
          </cell>
          <cell r="U62">
            <v>0</v>
          </cell>
          <cell r="V62">
            <v>-65.440689999999989</v>
          </cell>
          <cell r="W62">
            <v>0</v>
          </cell>
          <cell r="X62">
            <v>0</v>
          </cell>
          <cell r="Y62">
            <v>-1.50675</v>
          </cell>
          <cell r="Z62">
            <v>2.2534999999999998</v>
          </cell>
          <cell r="AA62">
            <v>9.2700000000000005E-2</v>
          </cell>
          <cell r="AB62">
            <v>0</v>
          </cell>
          <cell r="AC62">
            <v>-113.17018</v>
          </cell>
          <cell r="AD62">
            <v>0</v>
          </cell>
          <cell r="AE62">
            <v>-20.409559999999999</v>
          </cell>
          <cell r="AF62">
            <v>-29.801379999999998</v>
          </cell>
          <cell r="AG62">
            <v>0</v>
          </cell>
          <cell r="AH62">
            <v>250.64205999999999</v>
          </cell>
          <cell r="AI62">
            <v>3.8647500000000008</v>
          </cell>
          <cell r="AJ62">
            <v>-2.1573000000000002</v>
          </cell>
          <cell r="AK62">
            <v>6.937000000000007E-2</v>
          </cell>
          <cell r="AL62">
            <v>-53.354510000000005</v>
          </cell>
          <cell r="AM62">
            <v>41.91919</v>
          </cell>
          <cell r="AN62">
            <v>-18.778689999999997</v>
          </cell>
          <cell r="AO62">
            <v>-17.627959999999998</v>
          </cell>
          <cell r="AP62">
            <v>-1.6453499999999999</v>
          </cell>
          <cell r="AQ62">
            <v>-16.929659999999998</v>
          </cell>
          <cell r="AR62">
            <v>-19.030049999999999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98.324929999999995</v>
          </cell>
        </row>
        <row r="63">
          <cell r="C63">
            <v>315.95999999999998</v>
          </cell>
          <cell r="N63">
            <v>188.09983677189797</v>
          </cell>
          <cell r="O63">
            <v>-26.57922126934454</v>
          </cell>
          <cell r="P63">
            <v>0</v>
          </cell>
          <cell r="Q63">
            <v>0</v>
          </cell>
          <cell r="R63">
            <v>0</v>
          </cell>
          <cell r="S63">
            <v>-23.509391276045875</v>
          </cell>
          <cell r="T63">
            <v>0</v>
          </cell>
          <cell r="U63">
            <v>0</v>
          </cell>
          <cell r="V63">
            <v>-19.009494700199188</v>
          </cell>
          <cell r="W63">
            <v>0</v>
          </cell>
          <cell r="X63">
            <v>0</v>
          </cell>
          <cell r="Y63">
            <v>-0.47239105780017987</v>
          </cell>
          <cell r="Z63">
            <v>0.88828645166712517</v>
          </cell>
          <cell r="AA63">
            <v>0</v>
          </cell>
          <cell r="AB63">
            <v>0</v>
          </cell>
          <cell r="AC63">
            <v>-9.1240156783449322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9.1240156783449322</v>
          </cell>
          <cell r="AI63">
            <v>0.47239105780017987</v>
          </cell>
          <cell r="AJ63">
            <v>0</v>
          </cell>
          <cell r="AK63">
            <v>0</v>
          </cell>
          <cell r="AL63">
            <v>-27.374079703907597</v>
          </cell>
          <cell r="AM63">
            <v>0</v>
          </cell>
          <cell r="AN63">
            <v>0</v>
          </cell>
          <cell r="AO63">
            <v>-16.011680204863101</v>
          </cell>
          <cell r="AP63">
            <v>-1.0208247742132075</v>
          </cell>
          <cell r="AQ63">
            <v>-25.936012899401497</v>
          </cell>
          <cell r="AR63">
            <v>-23.518904372448375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26.028514023141717</v>
          </cell>
        </row>
        <row r="65">
          <cell r="C65">
            <v>55109.905680000003</v>
          </cell>
          <cell r="N65">
            <v>29850.909369999998</v>
          </cell>
          <cell r="O65">
            <v>-2606.1052999999997</v>
          </cell>
          <cell r="P65">
            <v>0</v>
          </cell>
          <cell r="Q65">
            <v>0</v>
          </cell>
          <cell r="R65">
            <v>230.7346</v>
          </cell>
          <cell r="S65">
            <v>-729.18446999999992</v>
          </cell>
          <cell r="T65">
            <v>-119.23004999999999</v>
          </cell>
          <cell r="U65">
            <v>-319.18835999999999</v>
          </cell>
          <cell r="V65">
            <v>-10239.206009179525</v>
          </cell>
          <cell r="W65">
            <v>-1.7989999999999999</v>
          </cell>
          <cell r="X65">
            <v>-2277.9246208204731</v>
          </cell>
          <cell r="Y65">
            <v>-142.25043999999997</v>
          </cell>
          <cell r="Z65">
            <v>822.50580999999988</v>
          </cell>
          <cell r="AA65">
            <v>12.419560000000002</v>
          </cell>
          <cell r="AB65">
            <v>0</v>
          </cell>
          <cell r="AC65">
            <v>-10502.421680000001</v>
          </cell>
          <cell r="AD65">
            <v>1599.17795</v>
          </cell>
          <cell r="AE65">
            <v>-356.56840000000005</v>
          </cell>
          <cell r="AF65">
            <v>-731.3894499999999</v>
          </cell>
          <cell r="AG65">
            <v>0</v>
          </cell>
          <cell r="AH65">
            <v>6131.818900000002</v>
          </cell>
          <cell r="AI65">
            <v>1452.5655400000001</v>
          </cell>
          <cell r="AJ65">
            <v>209.24688999999995</v>
          </cell>
          <cell r="AK65">
            <v>-110.87902</v>
          </cell>
          <cell r="AL65">
            <v>-10240.46319</v>
          </cell>
          <cell r="AM65">
            <v>7997.9611399999985</v>
          </cell>
          <cell r="AN65">
            <v>-3236.6032999999998</v>
          </cell>
          <cell r="AO65">
            <v>-1477.3860099999999</v>
          </cell>
          <cell r="AP65">
            <v>-136.78238000000002</v>
          </cell>
          <cell r="AQ65">
            <v>-1385.1039900000001</v>
          </cell>
          <cell r="AR65">
            <v>-818.09937999999977</v>
          </cell>
          <cell r="AT65">
            <v>-2256.9416000000006</v>
          </cell>
          <cell r="AU65">
            <v>0</v>
          </cell>
          <cell r="AV65">
            <v>0</v>
          </cell>
          <cell r="AW65">
            <v>0</v>
          </cell>
          <cell r="AX65">
            <v>311.2386325512233</v>
          </cell>
          <cell r="AY65">
            <v>0</v>
          </cell>
          <cell r="AZ65">
            <v>114.93048744877666</v>
          </cell>
          <cell r="BA65">
            <v>4.6342600000000003</v>
          </cell>
          <cell r="BB65">
            <v>-19.609840000000002</v>
          </cell>
          <cell r="BC65">
            <v>-0.27695999999999998</v>
          </cell>
          <cell r="BD65">
            <v>0</v>
          </cell>
          <cell r="BE65">
            <v>3.2118100000000007</v>
          </cell>
          <cell r="BF65">
            <v>-312.02149000000009</v>
          </cell>
          <cell r="BG65">
            <v>-20.328410000000005</v>
          </cell>
          <cell r="BH65">
            <v>-31.478020000000004</v>
          </cell>
          <cell r="BI65">
            <v>1.70862</v>
          </cell>
          <cell r="BJ65">
            <v>6.9633188104489821E-16</v>
          </cell>
          <cell r="BK65">
            <v>671.82219999999973</v>
          </cell>
        </row>
        <row r="66">
          <cell r="C66">
            <v>57015.730559999989</v>
          </cell>
          <cell r="N66">
            <v>31852.924489999994</v>
          </cell>
          <cell r="O66">
            <v>-2266.9860500000004</v>
          </cell>
          <cell r="P66">
            <v>0</v>
          </cell>
          <cell r="Q66">
            <v>-109.619</v>
          </cell>
          <cell r="R66">
            <v>146.06634999999997</v>
          </cell>
          <cell r="S66">
            <v>-802.96330999999998</v>
          </cell>
          <cell r="T66">
            <v>-172.08274</v>
          </cell>
          <cell r="U66">
            <v>-264.86151000000001</v>
          </cell>
          <cell r="V66">
            <v>-10148.148365530331</v>
          </cell>
          <cell r="W66">
            <v>0</v>
          </cell>
          <cell r="X66">
            <v>-2837.760124469668</v>
          </cell>
          <cell r="Y66">
            <v>-199.24406999999999</v>
          </cell>
          <cell r="Z66">
            <v>681.53514000000007</v>
          </cell>
          <cell r="AA66">
            <v>16.523700000000002</v>
          </cell>
          <cell r="AB66">
            <v>0</v>
          </cell>
          <cell r="AC66">
            <v>-14678.004989999999</v>
          </cell>
          <cell r="AD66">
            <v>1973.15074</v>
          </cell>
          <cell r="AE66">
            <v>-399.29260000000005</v>
          </cell>
          <cell r="AF66">
            <v>-799.41631000000007</v>
          </cell>
          <cell r="AG66">
            <v>0</v>
          </cell>
          <cell r="AH66">
            <v>15896.238860000001</v>
          </cell>
          <cell r="AI66">
            <v>362.82859000000008</v>
          </cell>
          <cell r="AJ66">
            <v>-53.013649999999849</v>
          </cell>
          <cell r="AK66">
            <v>-2.1762399999999977</v>
          </cell>
          <cell r="AL66">
            <v>-10549.513049999998</v>
          </cell>
          <cell r="AM66">
            <v>8090.0768499999995</v>
          </cell>
          <cell r="AN66">
            <v>-3361.9637199999997</v>
          </cell>
          <cell r="AO66">
            <v>-2366.3200499999998</v>
          </cell>
          <cell r="AP66">
            <v>-161.30085000000003</v>
          </cell>
          <cell r="AQ66">
            <v>-1350.3508199999999</v>
          </cell>
          <cell r="AR66">
            <v>-832.28744000000006</v>
          </cell>
          <cell r="AT66">
            <v>-2306.7616900000003</v>
          </cell>
          <cell r="AU66">
            <v>1.64</v>
          </cell>
          <cell r="AV66">
            <v>0</v>
          </cell>
          <cell r="AW66">
            <v>0</v>
          </cell>
          <cell r="AX66">
            <v>670.85077395810879</v>
          </cell>
          <cell r="AY66">
            <v>0</v>
          </cell>
          <cell r="AZ66">
            <v>122.61108604189127</v>
          </cell>
          <cell r="BA66">
            <v>11.108330000000002</v>
          </cell>
          <cell r="BB66">
            <v>-44.77008</v>
          </cell>
          <cell r="BC66">
            <v>-0.9617699999999999</v>
          </cell>
          <cell r="BD66">
            <v>0</v>
          </cell>
          <cell r="BE66">
            <v>207.18260999999998</v>
          </cell>
          <cell r="BF66">
            <v>-1070.2171599999999</v>
          </cell>
          <cell r="BG66">
            <v>-17.460840000000001</v>
          </cell>
          <cell r="BH66">
            <v>43.357749999999996</v>
          </cell>
          <cell r="BI66">
            <v>0.79735999999999996</v>
          </cell>
          <cell r="BJ66">
            <v>-4.202860282020992E-15</v>
          </cell>
          <cell r="BK66">
            <v>5281.416199999996</v>
          </cell>
        </row>
        <row r="67">
          <cell r="C67">
            <v>54376.759999999995</v>
          </cell>
          <cell r="N67">
            <v>30743.328400838931</v>
          </cell>
          <cell r="O67">
            <v>-5159.9209213025924</v>
          </cell>
          <cell r="P67">
            <v>-676.06440501556949</v>
          </cell>
          <cell r="Q67">
            <v>-1163.7332630035075</v>
          </cell>
          <cell r="R67">
            <v>0</v>
          </cell>
          <cell r="S67">
            <v>-1266.731367451579</v>
          </cell>
          <cell r="T67">
            <v>-248.42932405078776</v>
          </cell>
          <cell r="U67">
            <v>0</v>
          </cell>
          <cell r="V67">
            <v>-6448.1970970688171</v>
          </cell>
          <cell r="W67">
            <v>-656.89616874469266</v>
          </cell>
          <cell r="X67">
            <v>-2027.5052197091845</v>
          </cell>
          <cell r="Y67">
            <v>-224.6809469884551</v>
          </cell>
          <cell r="Z67">
            <v>602.06964918269034</v>
          </cell>
          <cell r="AA67">
            <v>0</v>
          </cell>
          <cell r="AB67">
            <v>0</v>
          </cell>
          <cell r="AC67">
            <v>-7356.039345785538</v>
          </cell>
          <cell r="AD67">
            <v>0</v>
          </cell>
          <cell r="AE67">
            <v>0</v>
          </cell>
          <cell r="AF67">
            <v>-831.09058837956331</v>
          </cell>
          <cell r="AG67">
            <v>0</v>
          </cell>
          <cell r="AH67">
            <v>8337.1299341650993</v>
          </cell>
          <cell r="AI67">
            <v>224.6809469884551</v>
          </cell>
          <cell r="AJ67">
            <v>0</v>
          </cell>
          <cell r="AK67">
            <v>0</v>
          </cell>
          <cell r="AL67">
            <v>-5586.5865128447194</v>
          </cell>
          <cell r="AM67">
            <v>0</v>
          </cell>
          <cell r="AN67">
            <v>0</v>
          </cell>
          <cell r="AO67">
            <v>-1572.5465979205671</v>
          </cell>
          <cell r="AP67">
            <v>-117.00452698952809</v>
          </cell>
          <cell r="AQ67">
            <v>-1536.919551633737</v>
          </cell>
          <cell r="AR67">
            <v>-1620.6372469354071</v>
          </cell>
          <cell r="AT67">
            <v>-1998.1813189373129</v>
          </cell>
          <cell r="AU67">
            <v>218.46200469072878</v>
          </cell>
          <cell r="AV67">
            <v>237.88353366413708</v>
          </cell>
          <cell r="AW67">
            <v>4.0515879031340765</v>
          </cell>
          <cell r="AX67">
            <v>316.34576110737629</v>
          </cell>
          <cell r="AY67">
            <v>257.22922875364594</v>
          </cell>
          <cell r="AZ67">
            <v>28.758720437870991</v>
          </cell>
          <cell r="BA67">
            <v>12.530775875515092</v>
          </cell>
          <cell r="BB67">
            <v>-30.191673221374778</v>
          </cell>
          <cell r="BC67">
            <v>0</v>
          </cell>
          <cell r="BD67">
            <v>0</v>
          </cell>
          <cell r="BE67">
            <v>52.344137499999995</v>
          </cell>
          <cell r="BF67">
            <v>-52.344137499999995</v>
          </cell>
          <cell r="BG67">
            <v>-12.530775875515092</v>
          </cell>
          <cell r="BH67">
            <v>0</v>
          </cell>
          <cell r="BI67">
            <v>0</v>
          </cell>
          <cell r="BJ67">
            <v>0</v>
          </cell>
          <cell r="BK67">
            <v>2448.5836917491361</v>
          </cell>
        </row>
        <row r="81">
          <cell r="C81">
            <v>63621.299709999999</v>
          </cell>
          <cell r="N81">
            <v>34547.963020000032</v>
          </cell>
          <cell r="O81">
            <v>-519.28938000000005</v>
          </cell>
          <cell r="P81">
            <v>0</v>
          </cell>
          <cell r="Q81">
            <v>0</v>
          </cell>
          <cell r="R81">
            <v>0</v>
          </cell>
          <cell r="S81">
            <v>-439.67417</v>
          </cell>
          <cell r="T81">
            <v>0</v>
          </cell>
          <cell r="U81">
            <v>0</v>
          </cell>
          <cell r="V81">
            <v>-35185.124929999998</v>
          </cell>
          <cell r="W81">
            <v>0</v>
          </cell>
          <cell r="X81">
            <v>0</v>
          </cell>
          <cell r="Y81">
            <v>-355.17473999999999</v>
          </cell>
          <cell r="Z81">
            <v>8176.1509999999998</v>
          </cell>
          <cell r="AA81">
            <v>66.12624000000001</v>
          </cell>
          <cell r="AB81">
            <v>0</v>
          </cell>
          <cell r="AC81">
            <v>-18521.495990000007</v>
          </cell>
          <cell r="AD81">
            <v>0</v>
          </cell>
          <cell r="AE81">
            <v>-414.87248</v>
          </cell>
          <cell r="AF81">
            <v>-1.1226800000000001</v>
          </cell>
          <cell r="AG81">
            <v>0</v>
          </cell>
          <cell r="AH81">
            <v>13117.198070000002</v>
          </cell>
          <cell r="AI81">
            <v>2872.6560100000002</v>
          </cell>
          <cell r="AJ81">
            <v>2777.8582500000007</v>
          </cell>
          <cell r="AK81">
            <v>-318.28685999999982</v>
          </cell>
          <cell r="AL81">
            <v>-3510.2102600000012</v>
          </cell>
          <cell r="AM81">
            <v>8000.6146199999985</v>
          </cell>
          <cell r="AN81">
            <v>-5763.4938199999988</v>
          </cell>
          <cell r="AO81">
            <v>-1269.5786700000003</v>
          </cell>
          <cell r="AP81">
            <v>-69.61412</v>
          </cell>
          <cell r="AQ81">
            <v>-1152.12852</v>
          </cell>
          <cell r="AR81">
            <v>-583.7002</v>
          </cell>
          <cell r="AT81">
            <v>-1741.0248899999992</v>
          </cell>
          <cell r="AU81">
            <v>0</v>
          </cell>
          <cell r="AV81">
            <v>0</v>
          </cell>
          <cell r="AW81">
            <v>0</v>
          </cell>
          <cell r="AX81">
            <v>661.92548999999997</v>
          </cell>
          <cell r="AY81">
            <v>0</v>
          </cell>
          <cell r="AZ81">
            <v>0</v>
          </cell>
          <cell r="BA81">
            <v>6.4181599999999994</v>
          </cell>
          <cell r="BB81">
            <v>-148.75945999999999</v>
          </cell>
          <cell r="BC81">
            <v>-1.1535700000000002</v>
          </cell>
          <cell r="BD81">
            <v>0</v>
          </cell>
          <cell r="BE81">
            <v>972.03495999999996</v>
          </cell>
          <cell r="BF81">
            <v>1838.7395800000002</v>
          </cell>
          <cell r="BG81">
            <v>-233.94793999999999</v>
          </cell>
          <cell r="BH81">
            <v>-1290.1302500000002</v>
          </cell>
          <cell r="BI81">
            <v>-24.471799999999998</v>
          </cell>
          <cell r="BJ81">
            <v>0</v>
          </cell>
          <cell r="BK81">
            <v>1494.4306700000245</v>
          </cell>
        </row>
        <row r="82">
          <cell r="C82">
            <v>59630.830390000032</v>
          </cell>
          <cell r="N82">
            <v>33016.125740000032</v>
          </cell>
          <cell r="O82">
            <v>-436.35792999999995</v>
          </cell>
          <cell r="P82">
            <v>0</v>
          </cell>
          <cell r="Q82">
            <v>0</v>
          </cell>
          <cell r="R82">
            <v>0</v>
          </cell>
          <cell r="S82">
            <v>-447.17558000000002</v>
          </cell>
          <cell r="T82">
            <v>-13.939580000000001</v>
          </cell>
          <cell r="U82">
            <v>0</v>
          </cell>
          <cell r="V82">
            <v>-29461.143489999999</v>
          </cell>
          <cell r="W82">
            <v>0</v>
          </cell>
          <cell r="X82">
            <v>0</v>
          </cell>
          <cell r="Y82">
            <v>-455.43330999999995</v>
          </cell>
          <cell r="Z82">
            <v>5830.04774</v>
          </cell>
          <cell r="AA82">
            <v>66.971779999999995</v>
          </cell>
          <cell r="AB82">
            <v>0</v>
          </cell>
          <cell r="AC82">
            <v>-15664.776680000006</v>
          </cell>
          <cell r="AD82">
            <v>0</v>
          </cell>
          <cell r="AE82">
            <v>-412.56198999999998</v>
          </cell>
          <cell r="AF82">
            <v>-117.38951</v>
          </cell>
          <cell r="AG82">
            <v>0</v>
          </cell>
          <cell r="AH82">
            <v>7227.7305799999995</v>
          </cell>
          <cell r="AI82">
            <v>106.96166000000004</v>
          </cell>
          <cell r="AJ82">
            <v>6374.9509600000001</v>
          </cell>
          <cell r="AK82">
            <v>87.340680000000006</v>
          </cell>
          <cell r="AL82">
            <v>-3332.4299099999998</v>
          </cell>
          <cell r="AM82">
            <v>8768.8225300000013</v>
          </cell>
          <cell r="AN82">
            <v>-6655.4630900000011</v>
          </cell>
          <cell r="AO82">
            <v>-1039.2668699999999</v>
          </cell>
          <cell r="AP82">
            <v>-61.483829999999998</v>
          </cell>
          <cell r="AQ82">
            <v>-895.30524999999989</v>
          </cell>
          <cell r="AR82">
            <v>-645.34214999999995</v>
          </cell>
          <cell r="AT82">
            <v>-2201.0090000000009</v>
          </cell>
          <cell r="AU82">
            <v>0</v>
          </cell>
          <cell r="AV82">
            <v>0</v>
          </cell>
          <cell r="AW82">
            <v>0</v>
          </cell>
          <cell r="AX82">
            <v>926.13885000000005</v>
          </cell>
          <cell r="AY82">
            <v>0</v>
          </cell>
          <cell r="AZ82">
            <v>0</v>
          </cell>
          <cell r="BA82">
            <v>7.1634400000000005</v>
          </cell>
          <cell r="BB82">
            <v>-177.97852</v>
          </cell>
          <cell r="BC82">
            <v>-0.15525</v>
          </cell>
          <cell r="BD82">
            <v>0</v>
          </cell>
          <cell r="BE82">
            <v>685.67274000000009</v>
          </cell>
          <cell r="BF82">
            <v>647.37045000000001</v>
          </cell>
          <cell r="BG82">
            <v>-101.29629000000004</v>
          </cell>
          <cell r="BH82">
            <v>-541.92264999999986</v>
          </cell>
          <cell r="BI82">
            <v>-0.1183599999999999</v>
          </cell>
          <cell r="BJ82">
            <v>0</v>
          </cell>
          <cell r="BK82">
            <v>1084.7479100000296</v>
          </cell>
        </row>
        <row r="83">
          <cell r="C83">
            <v>56188.93</v>
          </cell>
          <cell r="N83">
            <v>33337.5</v>
          </cell>
          <cell r="O83">
            <v>-4659.8396780991998</v>
          </cell>
          <cell r="P83">
            <v>0</v>
          </cell>
          <cell r="Q83">
            <v>-7.5</v>
          </cell>
          <cell r="R83">
            <v>0</v>
          </cell>
          <cell r="S83">
            <v>-1093.4697093012026</v>
          </cell>
          <cell r="T83">
            <v>-264.78696584439433</v>
          </cell>
          <cell r="U83">
            <v>0</v>
          </cell>
          <cell r="V83">
            <v>-26405.758175895469</v>
          </cell>
          <cell r="W83">
            <v>0</v>
          </cell>
          <cell r="X83">
            <v>-242.5</v>
          </cell>
          <cell r="Y83">
            <v>-567.90477677836896</v>
          </cell>
          <cell r="Z83">
            <v>5922.8228552067503</v>
          </cell>
          <cell r="AA83">
            <v>0</v>
          </cell>
          <cell r="AB83">
            <v>0</v>
          </cell>
          <cell r="AC83">
            <v>-9897.6077131672464</v>
          </cell>
          <cell r="AD83">
            <v>0</v>
          </cell>
          <cell r="AE83">
            <v>0</v>
          </cell>
          <cell r="AF83">
            <v>-604.45416917836928</v>
          </cell>
          <cell r="AG83">
            <v>0</v>
          </cell>
          <cell r="AH83">
            <v>10502.061882345615</v>
          </cell>
          <cell r="AI83">
            <v>567.90477677836896</v>
          </cell>
          <cell r="AJ83">
            <v>0</v>
          </cell>
          <cell r="AK83">
            <v>0</v>
          </cell>
          <cell r="AL83">
            <v>-1180.1475</v>
          </cell>
          <cell r="AM83">
            <v>0</v>
          </cell>
          <cell r="AN83">
            <v>0</v>
          </cell>
          <cell r="AO83">
            <v>-1260.0044449393474</v>
          </cell>
          <cell r="AP83">
            <v>-70.334095523385244</v>
          </cell>
          <cell r="AQ83">
            <v>-1187.67634246996</v>
          </cell>
          <cell r="AR83">
            <v>-792.17623757264994</v>
          </cell>
          <cell r="AT83">
            <v>-2213.0959815023994</v>
          </cell>
          <cell r="AU83">
            <v>268.77477749999997</v>
          </cell>
          <cell r="AV83">
            <v>0</v>
          </cell>
          <cell r="AW83">
            <v>0</v>
          </cell>
          <cell r="AX83">
            <v>1523.0570725</v>
          </cell>
          <cell r="AY83">
            <v>0</v>
          </cell>
          <cell r="AZ83">
            <v>0</v>
          </cell>
          <cell r="BA83">
            <v>30.912170084658904</v>
          </cell>
          <cell r="BB83">
            <v>-363.09629804843922</v>
          </cell>
          <cell r="BC83">
            <v>0</v>
          </cell>
          <cell r="BD83">
            <v>0</v>
          </cell>
          <cell r="BE83">
            <v>2077.5387424999999</v>
          </cell>
          <cell r="BF83">
            <v>-2077.5387424999999</v>
          </cell>
          <cell r="BG83">
            <v>-30.912170084658904</v>
          </cell>
          <cell r="BH83">
            <v>0</v>
          </cell>
          <cell r="BI83">
            <v>0</v>
          </cell>
          <cell r="BJ83">
            <v>0</v>
          </cell>
          <cell r="BK83">
            <v>1311.7692760103005</v>
          </cell>
        </row>
        <row r="90">
          <cell r="C90">
            <v>55109.905680000003</v>
          </cell>
        </row>
        <row r="94">
          <cell r="C94">
            <v>20009.173040000001</v>
          </cell>
          <cell r="N94">
            <v>9652.8133799999996</v>
          </cell>
          <cell r="O94">
            <v>-412.40658000000002</v>
          </cell>
          <cell r="P94">
            <v>0</v>
          </cell>
          <cell r="Q94">
            <v>0</v>
          </cell>
          <cell r="R94">
            <v>0.42</v>
          </cell>
          <cell r="S94">
            <v>-130.23289</v>
          </cell>
          <cell r="T94">
            <v>-85.818579999999997</v>
          </cell>
          <cell r="U94">
            <v>0</v>
          </cell>
          <cell r="V94">
            <v>-2525.9279449723817</v>
          </cell>
          <cell r="W94">
            <v>-1.7989999999999999</v>
          </cell>
          <cell r="X94">
            <v>-722.05290502761807</v>
          </cell>
          <cell r="Y94">
            <v>-26.924479999999999</v>
          </cell>
          <cell r="Z94">
            <v>72.27385000000001</v>
          </cell>
          <cell r="AA94">
            <v>0.52179999999999993</v>
          </cell>
          <cell r="AB94">
            <v>0</v>
          </cell>
          <cell r="AC94">
            <v>-1865.1602500000004</v>
          </cell>
          <cell r="AD94">
            <v>99.788210000000021</v>
          </cell>
          <cell r="AE94">
            <v>-34.60539</v>
          </cell>
          <cell r="AF94">
            <v>-169.02441999999999</v>
          </cell>
          <cell r="AG94">
            <v>0</v>
          </cell>
          <cell r="AH94">
            <v>-402.56010000000038</v>
          </cell>
          <cell r="AI94">
            <v>98.270250000000004</v>
          </cell>
          <cell r="AJ94">
            <v>-10.887979999999995</v>
          </cell>
          <cell r="AK94">
            <v>-1.61948</v>
          </cell>
          <cell r="AL94">
            <v>-4077.1366100000005</v>
          </cell>
          <cell r="AM94">
            <v>3408.9011499999992</v>
          </cell>
          <cell r="AN94">
            <v>-1269.8166200000001</v>
          </cell>
          <cell r="AO94">
            <v>-493.02534000000003</v>
          </cell>
          <cell r="AP94">
            <v>-44.197249999999997</v>
          </cell>
          <cell r="AQ94">
            <v>-462.30190000000005</v>
          </cell>
          <cell r="AR94">
            <v>-273.48379999999997</v>
          </cell>
          <cell r="AT94">
            <v>-683.89791000000002</v>
          </cell>
          <cell r="AU94">
            <v>0</v>
          </cell>
          <cell r="AV94">
            <v>0</v>
          </cell>
          <cell r="AW94">
            <v>0</v>
          </cell>
          <cell r="AX94">
            <v>221.53970207249296</v>
          </cell>
          <cell r="AY94">
            <v>0</v>
          </cell>
          <cell r="AZ94">
            <v>87.410397927507006</v>
          </cell>
          <cell r="BA94">
            <v>2.56576</v>
          </cell>
          <cell r="BB94">
            <v>-6.8709299999999995</v>
          </cell>
          <cell r="BC94">
            <v>-4.972E-2</v>
          </cell>
          <cell r="BD94">
            <v>0</v>
          </cell>
          <cell r="BE94">
            <v>0.97299999999999998</v>
          </cell>
          <cell r="BF94">
            <v>-303.8202</v>
          </cell>
          <cell r="BG94">
            <v>-0.40379000000000004</v>
          </cell>
          <cell r="BH94">
            <v>4.4948999999999995</v>
          </cell>
          <cell r="BI94">
            <v>-2.3100000000000004E-3</v>
          </cell>
          <cell r="BJ94">
            <v>0</v>
          </cell>
          <cell r="BK94">
            <v>-354.05398000000042</v>
          </cell>
        </row>
        <row r="95">
          <cell r="C95">
            <v>20047.57893</v>
          </cell>
          <cell r="N95">
            <v>9754.3116899999968</v>
          </cell>
          <cell r="O95">
            <v>-396.74637999999993</v>
          </cell>
          <cell r="P95">
            <v>0</v>
          </cell>
          <cell r="Q95">
            <v>-109.619</v>
          </cell>
          <cell r="R95">
            <v>1.25</v>
          </cell>
          <cell r="S95">
            <v>-112.81422000000001</v>
          </cell>
          <cell r="T95">
            <v>-125.12094999999999</v>
          </cell>
          <cell r="U95">
            <v>0</v>
          </cell>
          <cell r="V95">
            <v>-2383.2216939386085</v>
          </cell>
          <cell r="W95">
            <v>0</v>
          </cell>
          <cell r="X95">
            <v>-2036.5738860613915</v>
          </cell>
          <cell r="Y95">
            <v>-41.334339999999997</v>
          </cell>
          <cell r="Z95">
            <v>104.99874</v>
          </cell>
          <cell r="AA95">
            <v>1.0023500000000001</v>
          </cell>
          <cell r="AB95">
            <v>0</v>
          </cell>
          <cell r="AC95">
            <v>-4917.3974400000006</v>
          </cell>
          <cell r="AD95">
            <v>223.54530999999997</v>
          </cell>
          <cell r="AE95">
            <v>-27.297820000000002</v>
          </cell>
          <cell r="AF95">
            <v>-132.13634999999999</v>
          </cell>
          <cell r="AG95">
            <v>0</v>
          </cell>
          <cell r="AH95">
            <v>6764.8229099999999</v>
          </cell>
          <cell r="AI95">
            <v>88.425730000000001</v>
          </cell>
          <cell r="AJ95">
            <v>-45.394709999999996</v>
          </cell>
          <cell r="AK95">
            <v>-1.0289800000000002</v>
          </cell>
          <cell r="AL95">
            <v>-4087.3434199999997</v>
          </cell>
          <cell r="AM95">
            <v>3395.9939300000001</v>
          </cell>
          <cell r="AN95">
            <v>-1271.9214400000001</v>
          </cell>
          <cell r="AO95">
            <v>-950.80529999999987</v>
          </cell>
          <cell r="AP95">
            <v>-63.633780000000002</v>
          </cell>
          <cell r="AQ95">
            <v>-476.29725999999999</v>
          </cell>
          <cell r="AR95">
            <v>-274.62887000000001</v>
          </cell>
          <cell r="AT95">
            <v>-631.48930999999993</v>
          </cell>
          <cell r="AU95">
            <v>1.64</v>
          </cell>
          <cell r="AV95">
            <v>0</v>
          </cell>
          <cell r="AW95">
            <v>0</v>
          </cell>
          <cell r="AX95">
            <v>250.6741768300181</v>
          </cell>
          <cell r="AY95">
            <v>0</v>
          </cell>
          <cell r="AZ95">
            <v>105.6202431699819</v>
          </cell>
          <cell r="BA95">
            <v>3.38917</v>
          </cell>
          <cell r="BB95">
            <v>-8.4643000000000015</v>
          </cell>
          <cell r="BC95">
            <v>-7.7609999999999998E-2</v>
          </cell>
          <cell r="BD95">
            <v>0</v>
          </cell>
          <cell r="BE95">
            <v>61.359000000000002</v>
          </cell>
          <cell r="BF95">
            <v>-414.84303999999997</v>
          </cell>
          <cell r="BG95">
            <v>-6.4868600000000001</v>
          </cell>
          <cell r="BH95">
            <v>3.2802000000000007</v>
          </cell>
          <cell r="BI95">
            <v>7.1830000000000005E-2</v>
          </cell>
          <cell r="BJ95">
            <v>0</v>
          </cell>
          <cell r="BK95">
            <v>2245.7083199999975</v>
          </cell>
        </row>
        <row r="96">
          <cell r="C96">
            <v>18084.009999999998</v>
          </cell>
          <cell r="N96">
            <v>9437.3127224502787</v>
          </cell>
          <cell r="O96">
            <v>-1054.3820392614371</v>
          </cell>
          <cell r="P96">
            <v>-509.39729204534603</v>
          </cell>
          <cell r="Q96">
            <v>-716.44894728167628</v>
          </cell>
          <cell r="R96">
            <v>0</v>
          </cell>
          <cell r="S96">
            <v>-187.84888428852901</v>
          </cell>
          <cell r="T96">
            <v>-67.24605196660913</v>
          </cell>
          <cell r="U96">
            <v>0</v>
          </cell>
          <cell r="V96">
            <v>-1231.10409722962</v>
          </cell>
          <cell r="W96">
            <v>-594.77596355300057</v>
          </cell>
          <cell r="X96">
            <v>-836.53097417341314</v>
          </cell>
          <cell r="Y96">
            <v>-69.064894548371029</v>
          </cell>
          <cell r="Z96">
            <v>44.648292178542356</v>
          </cell>
          <cell r="AA96">
            <v>0</v>
          </cell>
          <cell r="AB96">
            <v>0</v>
          </cell>
          <cell r="AC96">
            <v>-1532.3227291847725</v>
          </cell>
          <cell r="AD96">
            <v>0</v>
          </cell>
          <cell r="AE96">
            <v>0</v>
          </cell>
          <cell r="AF96">
            <v>-121.81923194873607</v>
          </cell>
          <cell r="AG96">
            <v>0</v>
          </cell>
          <cell r="AH96">
            <v>1804.1419611335086</v>
          </cell>
          <cell r="AI96">
            <v>69.064894548371029</v>
          </cell>
          <cell r="AJ96">
            <v>0</v>
          </cell>
          <cell r="AK96">
            <v>0</v>
          </cell>
          <cell r="AL96">
            <v>-1893.0325672752072</v>
          </cell>
          <cell r="AM96">
            <v>0</v>
          </cell>
          <cell r="AN96">
            <v>0</v>
          </cell>
          <cell r="AO96">
            <v>-536.77154620598003</v>
          </cell>
          <cell r="AP96">
            <v>-39.337656214419006</v>
          </cell>
          <cell r="AQ96">
            <v>-515.76124924837245</v>
          </cell>
          <cell r="AR96">
            <v>-867.61232919494751</v>
          </cell>
          <cell r="AT96">
            <v>-737.69476124963978</v>
          </cell>
          <cell r="AU96">
            <v>24.474388139916641</v>
          </cell>
          <cell r="AV96">
            <v>212.06186827438415</v>
          </cell>
          <cell r="AW96">
            <v>0</v>
          </cell>
          <cell r="AX96">
            <v>28.576472658188493</v>
          </cell>
          <cell r="AY96">
            <v>247.60497161127114</v>
          </cell>
          <cell r="AZ96">
            <v>0</v>
          </cell>
          <cell r="BA96">
            <v>6.0527560412662291</v>
          </cell>
          <cell r="BB96">
            <v>-4.0651203313483855</v>
          </cell>
          <cell r="BC96">
            <v>0</v>
          </cell>
          <cell r="BD96">
            <v>0</v>
          </cell>
          <cell r="BE96">
            <v>41.991</v>
          </cell>
          <cell r="BF96">
            <v>-41.991</v>
          </cell>
          <cell r="BG96">
            <v>-6.0527560412662291</v>
          </cell>
          <cell r="BH96">
            <v>0</v>
          </cell>
          <cell r="BI96">
            <v>0</v>
          </cell>
          <cell r="BJ96">
            <v>0</v>
          </cell>
          <cell r="BK96">
            <v>352.66923579303625</v>
          </cell>
        </row>
        <row r="98">
          <cell r="C98">
            <v>7991.2013099999995</v>
          </cell>
          <cell r="N98">
            <v>4146.0000599999994</v>
          </cell>
          <cell r="O98">
            <v>-99.817110000000014</v>
          </cell>
          <cell r="P98">
            <v>0</v>
          </cell>
          <cell r="Q98">
            <v>0</v>
          </cell>
          <cell r="R98">
            <v>10.57559</v>
          </cell>
          <cell r="S98">
            <v>-62.80395</v>
          </cell>
          <cell r="T98">
            <v>-6.8332200000000007</v>
          </cell>
          <cell r="U98">
            <v>0</v>
          </cell>
          <cell r="V98">
            <v>-1103.8541939091283</v>
          </cell>
          <cell r="W98">
            <v>0</v>
          </cell>
          <cell r="X98">
            <v>-323.78103609087157</v>
          </cell>
          <cell r="Y98">
            <v>-30.11112</v>
          </cell>
          <cell r="Z98">
            <v>177.01967999999999</v>
          </cell>
          <cell r="AA98">
            <v>3.3280599999999998</v>
          </cell>
          <cell r="AB98">
            <v>0</v>
          </cell>
          <cell r="AC98">
            <v>-584.44172000000003</v>
          </cell>
          <cell r="AD98">
            <v>131.52762000000001</v>
          </cell>
          <cell r="AE98">
            <v>-28.702310000000001</v>
          </cell>
          <cell r="AF98">
            <v>-187.99928999999997</v>
          </cell>
          <cell r="AG98">
            <v>0</v>
          </cell>
          <cell r="AH98">
            <v>-479.47783999999956</v>
          </cell>
          <cell r="AI98">
            <v>367.72766000000007</v>
          </cell>
          <cell r="AJ98">
            <v>-42.858580000000032</v>
          </cell>
          <cell r="AK98">
            <v>-34.153949999999995</v>
          </cell>
          <cell r="AL98">
            <v>-1775.6112699999999</v>
          </cell>
          <cell r="AM98">
            <v>1278.4028800000001</v>
          </cell>
          <cell r="AN98">
            <v>-419.35738000000003</v>
          </cell>
          <cell r="AO98">
            <v>-221.68507999999997</v>
          </cell>
          <cell r="AP98">
            <v>-19.117980000000003</v>
          </cell>
          <cell r="AQ98">
            <v>-227.06846999999999</v>
          </cell>
          <cell r="AR98">
            <v>-112.26604999999998</v>
          </cell>
          <cell r="AT98">
            <v>-251.03421000000014</v>
          </cell>
          <cell r="AU98">
            <v>0</v>
          </cell>
          <cell r="AV98">
            <v>0</v>
          </cell>
          <cell r="AW98">
            <v>0</v>
          </cell>
          <cell r="AX98">
            <v>60.073101402046305</v>
          </cell>
          <cell r="AY98">
            <v>0</v>
          </cell>
          <cell r="AZ98">
            <v>9.6983585979536997</v>
          </cell>
          <cell r="BA98">
            <v>1.5090400000000002</v>
          </cell>
          <cell r="BB98">
            <v>-8.6513200000000001</v>
          </cell>
          <cell r="BC98">
            <v>-0.16628999999999999</v>
          </cell>
          <cell r="BD98">
            <v>0</v>
          </cell>
          <cell r="BE98">
            <v>0</v>
          </cell>
          <cell r="BF98">
            <v>56.180889999999941</v>
          </cell>
          <cell r="BG98">
            <v>-13.052570000000001</v>
          </cell>
          <cell r="BH98">
            <v>-34.118310000000008</v>
          </cell>
          <cell r="BI98">
            <v>0.88353999999999999</v>
          </cell>
          <cell r="BJ98">
            <v>6.9633188104489821E-16</v>
          </cell>
          <cell r="BK98">
            <v>175.96322999999944</v>
          </cell>
        </row>
        <row r="99">
          <cell r="C99">
            <v>8355.97091</v>
          </cell>
          <cell r="N99">
            <v>4443.5567099999998</v>
          </cell>
          <cell r="O99">
            <v>-66.076369999999997</v>
          </cell>
          <cell r="P99">
            <v>0</v>
          </cell>
          <cell r="Q99">
            <v>0</v>
          </cell>
          <cell r="R99">
            <v>1.325</v>
          </cell>
          <cell r="S99">
            <v>-69.026650000000004</v>
          </cell>
          <cell r="T99">
            <v>-8.1211899999999986</v>
          </cell>
          <cell r="U99">
            <v>0</v>
          </cell>
          <cell r="V99">
            <v>-1404.9293273599037</v>
          </cell>
          <cell r="W99">
            <v>0</v>
          </cell>
          <cell r="X99">
            <v>-393.9220726400963</v>
          </cell>
          <cell r="Y99">
            <v>-60.682310000000001</v>
          </cell>
          <cell r="Z99">
            <v>203.24984999999998</v>
          </cell>
          <cell r="AA99">
            <v>7.0085100000000002</v>
          </cell>
          <cell r="AB99">
            <v>0</v>
          </cell>
          <cell r="AC99">
            <v>-590.42702999999995</v>
          </cell>
          <cell r="AD99">
            <v>18.906289999999998</v>
          </cell>
          <cell r="AE99">
            <v>-32.989860000000007</v>
          </cell>
          <cell r="AF99">
            <v>-201.80645999999999</v>
          </cell>
          <cell r="AG99">
            <v>0</v>
          </cell>
          <cell r="AH99">
            <v>3482.7575800000013</v>
          </cell>
          <cell r="AI99">
            <v>71.042090000000016</v>
          </cell>
          <cell r="AJ99">
            <v>-276.15064999999987</v>
          </cell>
          <cell r="AK99">
            <v>-4.637249999999999</v>
          </cell>
          <cell r="AL99">
            <v>-1853.2444200000002</v>
          </cell>
          <cell r="AM99">
            <v>1294.1078900000005</v>
          </cell>
          <cell r="AN99">
            <v>-418.84058000000005</v>
          </cell>
          <cell r="AO99">
            <v>-461.56311999999991</v>
          </cell>
          <cell r="AP99">
            <v>-28.093429999999998</v>
          </cell>
          <cell r="AQ99">
            <v>-213.03969000000001</v>
          </cell>
          <cell r="AR99">
            <v>-123.01526999999999</v>
          </cell>
          <cell r="AT99">
            <v>-327.30858000000001</v>
          </cell>
          <cell r="AU99">
            <v>0</v>
          </cell>
          <cell r="AV99">
            <v>0</v>
          </cell>
          <cell r="AW99">
            <v>0</v>
          </cell>
          <cell r="AX99">
            <v>53.768208787008774</v>
          </cell>
          <cell r="AY99">
            <v>0</v>
          </cell>
          <cell r="AZ99">
            <v>17.638701212991236</v>
          </cell>
          <cell r="BA99">
            <v>2.2549299999999999</v>
          </cell>
          <cell r="BB99">
            <v>-8.0681700000000003</v>
          </cell>
          <cell r="BC99">
            <v>-0.25348000000000004</v>
          </cell>
          <cell r="BD99">
            <v>0</v>
          </cell>
          <cell r="BE99">
            <v>145.89860999999999</v>
          </cell>
          <cell r="BF99">
            <v>-228.38811000000001</v>
          </cell>
          <cell r="BG99">
            <v>-5.9261600000000012</v>
          </cell>
          <cell r="BH99">
            <v>27.749690000000001</v>
          </cell>
          <cell r="BI99">
            <v>0.73582000000000014</v>
          </cell>
          <cell r="BJ99">
            <v>-4.0927261579781768E-15</v>
          </cell>
          <cell r="BK99">
            <v>2993.4897000000028</v>
          </cell>
        </row>
        <row r="100">
          <cell r="C100">
            <v>8038.85</v>
          </cell>
          <cell r="N100">
            <v>3913.8063803492951</v>
          </cell>
          <cell r="O100">
            <v>-170.77116186608521</v>
          </cell>
          <cell r="P100">
            <v>0</v>
          </cell>
          <cell r="Q100">
            <v>-48.891821638953409</v>
          </cell>
          <cell r="R100">
            <v>0</v>
          </cell>
          <cell r="S100">
            <v>-107.38033137230124</v>
          </cell>
          <cell r="T100">
            <v>-32.282785732182482</v>
          </cell>
          <cell r="U100">
            <v>0</v>
          </cell>
          <cell r="V100">
            <v>-1212.1568679672896</v>
          </cell>
          <cell r="W100">
            <v>0</v>
          </cell>
          <cell r="X100">
            <v>-347.04078100471679</v>
          </cell>
          <cell r="Y100">
            <v>-36.018292488911065</v>
          </cell>
          <cell r="Z100">
            <v>177.51404558723326</v>
          </cell>
          <cell r="AA100">
            <v>0</v>
          </cell>
          <cell r="AB100">
            <v>0</v>
          </cell>
          <cell r="AC100">
            <v>-479.34036532439404</v>
          </cell>
          <cell r="AD100">
            <v>0</v>
          </cell>
          <cell r="AE100">
            <v>0</v>
          </cell>
          <cell r="AF100">
            <v>-308.74989069248034</v>
          </cell>
          <cell r="AG100">
            <v>0</v>
          </cell>
          <cell r="AH100">
            <v>788.09025601687426</v>
          </cell>
          <cell r="AI100">
            <v>36.018292488911065</v>
          </cell>
          <cell r="AJ100">
            <v>0</v>
          </cell>
          <cell r="AK100">
            <v>0</v>
          </cell>
          <cell r="AL100">
            <v>-863.32665479279854</v>
          </cell>
          <cell r="AM100">
            <v>0</v>
          </cell>
          <cell r="AN100">
            <v>0</v>
          </cell>
          <cell r="AO100">
            <v>-242.34730429193104</v>
          </cell>
          <cell r="AP100">
            <v>-17.858027700617775</v>
          </cell>
          <cell r="AQ100">
            <v>-253.84494362114253</v>
          </cell>
          <cell r="AR100">
            <v>-160.00680721212001</v>
          </cell>
          <cell r="AT100">
            <v>-154.51231740068229</v>
          </cell>
          <cell r="AU100">
            <v>15.922194743567772</v>
          </cell>
          <cell r="AV100">
            <v>0</v>
          </cell>
          <cell r="AW100">
            <v>4.0515879031340765</v>
          </cell>
          <cell r="AX100">
            <v>113.01789775643219</v>
          </cell>
          <cell r="AY100">
            <v>0</v>
          </cell>
          <cell r="AZ100">
            <v>28.758720437870991</v>
          </cell>
          <cell r="BA100">
            <v>3.1524907808427018</v>
          </cell>
          <cell r="BB100">
            <v>-16.141212810046039</v>
          </cell>
          <cell r="BC100">
            <v>0</v>
          </cell>
          <cell r="BD100">
            <v>0</v>
          </cell>
          <cell r="BE100">
            <v>0.44739249999999997</v>
          </cell>
          <cell r="BF100">
            <v>-0.44739249999999997</v>
          </cell>
          <cell r="BG100">
            <v>-3.1524907808427018</v>
          </cell>
          <cell r="BH100">
            <v>0</v>
          </cell>
          <cell r="BI100">
            <v>0</v>
          </cell>
          <cell r="BJ100">
            <v>0</v>
          </cell>
          <cell r="BK100">
            <v>626.50980936666588</v>
          </cell>
        </row>
        <row r="102">
          <cell r="C102">
            <v>2392.2501200000006</v>
          </cell>
          <cell r="N102">
            <v>761.73483999999996</v>
          </cell>
          <cell r="O102">
            <v>-16.912090000000003</v>
          </cell>
          <cell r="P102">
            <v>0</v>
          </cell>
          <cell r="Q102">
            <v>0</v>
          </cell>
          <cell r="R102">
            <v>0</v>
          </cell>
          <cell r="S102">
            <v>-34.27317</v>
          </cell>
          <cell r="T102">
            <v>0</v>
          </cell>
          <cell r="U102">
            <v>0</v>
          </cell>
          <cell r="V102">
            <v>-71.927379999999999</v>
          </cell>
          <cell r="W102">
            <v>0</v>
          </cell>
          <cell r="X102">
            <v>0</v>
          </cell>
          <cell r="Y102">
            <v>-1.4990099999999997</v>
          </cell>
          <cell r="Z102">
            <v>3.4926900000000005</v>
          </cell>
          <cell r="AA102">
            <v>7.1900000000000006E-2</v>
          </cell>
          <cell r="AB102">
            <v>0</v>
          </cell>
          <cell r="AC102">
            <v>-162.07785999999999</v>
          </cell>
          <cell r="AD102">
            <v>0</v>
          </cell>
          <cell r="AE102">
            <v>-13.47908</v>
          </cell>
          <cell r="AF102">
            <v>-38.27881</v>
          </cell>
          <cell r="AG102">
            <v>0</v>
          </cell>
          <cell r="AH102">
            <v>251.84475</v>
          </cell>
          <cell r="AI102">
            <v>21.123530000000002</v>
          </cell>
          <cell r="AJ102">
            <v>-12.143469999999999</v>
          </cell>
          <cell r="AK102">
            <v>-1.1817300000000002</v>
          </cell>
          <cell r="AL102">
            <v>-427.94086999999996</v>
          </cell>
          <cell r="AM102">
            <v>427.69273000000004</v>
          </cell>
          <cell r="AN102">
            <v>-132.29386</v>
          </cell>
          <cell r="AO102">
            <v>-47.878929999999997</v>
          </cell>
          <cell r="AP102">
            <v>-4.7364600000000001</v>
          </cell>
          <cell r="AQ102">
            <v>-82.652950000000004</v>
          </cell>
          <cell r="AR102">
            <v>-49.926960000000001</v>
          </cell>
          <cell r="AT102">
            <v>-951.42777000000001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2.2388100000000009</v>
          </cell>
          <cell r="BF102">
            <v>2.2955499999999986</v>
          </cell>
          <cell r="BG102">
            <v>-0.31708999999999998</v>
          </cell>
          <cell r="BH102">
            <v>0.13816000000000001</v>
          </cell>
          <cell r="BI102">
            <v>1.119E-2</v>
          </cell>
          <cell r="BJ102">
            <v>0</v>
          </cell>
          <cell r="BK102">
            <v>-578.30333999999993</v>
          </cell>
        </row>
        <row r="103">
          <cell r="C103">
            <v>2342.3085099999998</v>
          </cell>
          <cell r="N103">
            <v>1349.9784399999999</v>
          </cell>
          <cell r="O103">
            <v>-10.658519999999999</v>
          </cell>
          <cell r="P103">
            <v>0</v>
          </cell>
          <cell r="Q103">
            <v>0</v>
          </cell>
          <cell r="R103">
            <v>0</v>
          </cell>
          <cell r="S103">
            <v>-52.039709999999999</v>
          </cell>
          <cell r="T103">
            <v>-0.20235999999999998</v>
          </cell>
          <cell r="U103">
            <v>0</v>
          </cell>
          <cell r="V103">
            <v>-108.36387999999999</v>
          </cell>
          <cell r="W103">
            <v>0</v>
          </cell>
          <cell r="X103">
            <v>0</v>
          </cell>
          <cell r="Y103">
            <v>-3.46719</v>
          </cell>
          <cell r="Z103">
            <v>5.06792</v>
          </cell>
          <cell r="AA103">
            <v>0.19735000000000003</v>
          </cell>
          <cell r="AB103">
            <v>0</v>
          </cell>
          <cell r="AC103">
            <v>-168.94201000000001</v>
          </cell>
          <cell r="AD103">
            <v>0</v>
          </cell>
          <cell r="AE103">
            <v>-25.598939999999999</v>
          </cell>
          <cell r="AF103">
            <v>-36.635629999999999</v>
          </cell>
          <cell r="AG103">
            <v>0</v>
          </cell>
          <cell r="AH103">
            <v>463.80806999999999</v>
          </cell>
          <cell r="AI103">
            <v>11.48686</v>
          </cell>
          <cell r="AJ103">
            <v>-10.628719999999998</v>
          </cell>
          <cell r="AK103">
            <v>-0.17754999999999993</v>
          </cell>
          <cell r="AL103">
            <v>-421.93407000000002</v>
          </cell>
          <cell r="AM103">
            <v>301.51606000000004</v>
          </cell>
          <cell r="AN103">
            <v>-119.75332000000002</v>
          </cell>
          <cell r="AO103">
            <v>-44.338409999999996</v>
          </cell>
          <cell r="AP103">
            <v>-3.0848899999999997</v>
          </cell>
          <cell r="AQ103">
            <v>-54.557270000000003</v>
          </cell>
          <cell r="AR103">
            <v>-41.347340000000003</v>
          </cell>
          <cell r="AT103">
            <v>-941.89976000000001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-0.31760000000000005</v>
          </cell>
          <cell r="BH103">
            <v>-1.3900000000000003E-2</v>
          </cell>
          <cell r="BI103">
            <v>1.82E-3</v>
          </cell>
          <cell r="BJ103">
            <v>0</v>
          </cell>
          <cell r="BK103">
            <v>88.095450000000056</v>
          </cell>
        </row>
        <row r="104">
          <cell r="C104">
            <v>2155.2200000000003</v>
          </cell>
          <cell r="N104">
            <v>1260.4586143005388</v>
          </cell>
          <cell r="O104">
            <v>-30.357907851576993</v>
          </cell>
          <cell r="P104">
            <v>0</v>
          </cell>
          <cell r="Q104">
            <v>0</v>
          </cell>
          <cell r="R104">
            <v>0</v>
          </cell>
          <cell r="S104">
            <v>-57.580708071135312</v>
          </cell>
          <cell r="T104">
            <v>-8.4342709798000772</v>
          </cell>
          <cell r="U104">
            <v>0</v>
          </cell>
          <cell r="V104">
            <v>-46.580626532083599</v>
          </cell>
          <cell r="W104">
            <v>0</v>
          </cell>
          <cell r="X104">
            <v>0</v>
          </cell>
          <cell r="Y104">
            <v>-1.1485527865638032</v>
          </cell>
          <cell r="Z104">
            <v>2.5214431794672816</v>
          </cell>
          <cell r="AA104">
            <v>0</v>
          </cell>
          <cell r="AB104">
            <v>0</v>
          </cell>
          <cell r="AC104">
            <v>-65.647345970956536</v>
          </cell>
          <cell r="AD104">
            <v>0</v>
          </cell>
          <cell r="AE104">
            <v>0</v>
          </cell>
          <cell r="AF104">
            <v>-15.231421259402795</v>
          </cell>
          <cell r="AG104">
            <v>0</v>
          </cell>
          <cell r="AH104">
            <v>80.87876723035933</v>
          </cell>
          <cell r="AI104">
            <v>1.1485527865638032</v>
          </cell>
          <cell r="AJ104">
            <v>0</v>
          </cell>
          <cell r="AK104">
            <v>0</v>
          </cell>
          <cell r="AL104">
            <v>-223.6280164984278</v>
          </cell>
          <cell r="AM104">
            <v>0</v>
          </cell>
          <cell r="AN104">
            <v>0</v>
          </cell>
          <cell r="AO104">
            <v>-54.925704385696122</v>
          </cell>
          <cell r="AP104">
            <v>-4.205329531577302</v>
          </cell>
          <cell r="AQ104">
            <v>-93.721921154369511</v>
          </cell>
          <cell r="AR104">
            <v>-62.224248295479498</v>
          </cell>
          <cell r="AT104">
            <v>-746.36360449553263</v>
          </cell>
          <cell r="AU104">
            <v>134.96957729548538</v>
          </cell>
          <cell r="AV104">
            <v>0</v>
          </cell>
          <cell r="AW104">
            <v>0</v>
          </cell>
          <cell r="AX104">
            <v>96.530422704514621</v>
          </cell>
          <cell r="AY104">
            <v>0</v>
          </cell>
          <cell r="AZ104">
            <v>0</v>
          </cell>
          <cell r="BA104">
            <v>1.4961076025373894</v>
          </cell>
          <cell r="BB104">
            <v>-2.9227181610516562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-1.4961076025373894</v>
          </cell>
          <cell r="BH104">
            <v>0</v>
          </cell>
          <cell r="BI104">
            <v>0</v>
          </cell>
          <cell r="BJ104">
            <v>0</v>
          </cell>
          <cell r="BK104">
            <v>163.53500152327555</v>
          </cell>
        </row>
      </sheetData>
      <sheetData sheetId="3" refreshError="1">
        <row r="21">
          <cell r="C21">
            <v>54983.342980000001</v>
          </cell>
          <cell r="N21">
            <v>43516.099930000004</v>
          </cell>
          <cell r="O21">
            <v>6219.0911599999999</v>
          </cell>
          <cell r="P21">
            <v>0</v>
          </cell>
          <cell r="Q21">
            <v>-15.778</v>
          </cell>
          <cell r="R21">
            <v>76.724510000000009</v>
          </cell>
          <cell r="S21">
            <v>-1818.4132499999998</v>
          </cell>
          <cell r="T21">
            <v>-586.38926000000004</v>
          </cell>
          <cell r="U21">
            <v>-1489.5457200000001</v>
          </cell>
          <cell r="V21">
            <v>-32670.342428576685</v>
          </cell>
          <cell r="W21">
            <v>0</v>
          </cell>
          <cell r="X21">
            <v>-7135.1414114233166</v>
          </cell>
          <cell r="Y21">
            <v>-490.48106000000001</v>
          </cell>
          <cell r="Z21">
            <v>3429.2286300000005</v>
          </cell>
          <cell r="AA21">
            <v>53.046979999999998</v>
          </cell>
          <cell r="AB21">
            <v>0</v>
          </cell>
          <cell r="AC21">
            <v>-36388.908720000007</v>
          </cell>
          <cell r="AD21">
            <v>997.63122999999985</v>
          </cell>
          <cell r="AE21">
            <v>-1222.8029799999999</v>
          </cell>
          <cell r="AF21">
            <v>-1388.2809700000003</v>
          </cell>
          <cell r="AG21">
            <v>0</v>
          </cell>
          <cell r="AH21">
            <v>31996.384250000003</v>
          </cell>
          <cell r="AI21">
            <v>3302.5896000000002</v>
          </cell>
          <cell r="AJ21">
            <v>766.02746999999977</v>
          </cell>
          <cell r="AK21">
            <v>-300.77404000000001</v>
          </cell>
          <cell r="AL21">
            <v>-3757.3588500000005</v>
          </cell>
          <cell r="AM21">
            <v>2732.6344800000002</v>
          </cell>
          <cell r="AN21">
            <v>-2156.9791899999996</v>
          </cell>
          <cell r="AO21">
            <v>-391.51051999999993</v>
          </cell>
          <cell r="AP21">
            <v>-157.23747999999998</v>
          </cell>
          <cell r="AQ21">
            <v>-1980.0379699999999</v>
          </cell>
          <cell r="AR21">
            <v>-899.33827999999994</v>
          </cell>
          <cell r="AT21">
            <v>-661.99325999999985</v>
          </cell>
          <cell r="AU21">
            <v>-150.82112999999998</v>
          </cell>
          <cell r="AV21">
            <v>0</v>
          </cell>
          <cell r="AW21">
            <v>0</v>
          </cell>
          <cell r="AX21">
            <v>645.50064974042743</v>
          </cell>
          <cell r="AY21">
            <v>0</v>
          </cell>
          <cell r="AZ21">
            <v>82.327580259572642</v>
          </cell>
          <cell r="BA21">
            <v>8.5819200000000002</v>
          </cell>
          <cell r="BB21">
            <v>-62.702149999999996</v>
          </cell>
          <cell r="BC21">
            <v>-0.9349400000000001</v>
          </cell>
          <cell r="BD21">
            <v>0</v>
          </cell>
          <cell r="BE21">
            <v>2400.8803800000005</v>
          </cell>
          <cell r="BF21">
            <v>-2130.5498799999928</v>
          </cell>
          <cell r="BG21">
            <v>-513.97083000000021</v>
          </cell>
          <cell r="BH21">
            <v>-138.83016000000032</v>
          </cell>
          <cell r="BI21">
            <v>75.891279999999995</v>
          </cell>
          <cell r="BJ21">
            <v>4.8714809963712468E-14</v>
          </cell>
          <cell r="BK21">
            <v>-206.48242999998911</v>
          </cell>
        </row>
        <row r="22">
          <cell r="C22">
            <v>49403.989899999993</v>
          </cell>
          <cell r="N22">
            <v>37623.424519999993</v>
          </cell>
          <cell r="O22">
            <v>4458.1971599999997</v>
          </cell>
          <cell r="P22">
            <v>0</v>
          </cell>
          <cell r="Q22">
            <v>-120.22499999999999</v>
          </cell>
          <cell r="R22">
            <v>116.90694999999999</v>
          </cell>
          <cell r="S22">
            <v>-1956.7459299999998</v>
          </cell>
          <cell r="T22">
            <v>-61.144440000000003</v>
          </cell>
          <cell r="U22">
            <v>-1236.0203100000001</v>
          </cell>
          <cell r="V22">
            <v>-25786.540526159923</v>
          </cell>
          <cell r="W22">
            <v>0</v>
          </cell>
          <cell r="X22">
            <v>-5742.3132838400761</v>
          </cell>
          <cell r="Y22">
            <v>-518.44492000000002</v>
          </cell>
          <cell r="Z22">
            <v>2434.1054599999998</v>
          </cell>
          <cell r="AA22">
            <v>58.741330000000005</v>
          </cell>
          <cell r="AB22">
            <v>0</v>
          </cell>
          <cell r="AC22">
            <v>-32277.326709999994</v>
          </cell>
          <cell r="AD22">
            <v>1088.9634100000003</v>
          </cell>
          <cell r="AE22">
            <v>-1336.8215299999999</v>
          </cell>
          <cell r="AF22">
            <v>-1302.7926199999999</v>
          </cell>
          <cell r="AG22">
            <v>0</v>
          </cell>
          <cell r="AH22">
            <v>30802.01771</v>
          </cell>
          <cell r="AI22">
            <v>818.18151</v>
          </cell>
          <cell r="AJ22">
            <v>-933.99352999999996</v>
          </cell>
          <cell r="AK22">
            <v>-35.05422999999999</v>
          </cell>
          <cell r="AL22">
            <v>-3506.0864500000002</v>
          </cell>
          <cell r="AM22">
            <v>2578.9533000000001</v>
          </cell>
          <cell r="AN22">
            <v>-1981.5567699999999</v>
          </cell>
          <cell r="AO22">
            <v>-66.145610000000005</v>
          </cell>
          <cell r="AP22">
            <v>-72.613419999999991</v>
          </cell>
          <cell r="AQ22">
            <v>-1750.3583199999998</v>
          </cell>
          <cell r="AR22">
            <v>-940.96488000000011</v>
          </cell>
          <cell r="AT22">
            <v>-3329.9093100000027</v>
          </cell>
          <cell r="AU22">
            <v>-17.455480000000001</v>
          </cell>
          <cell r="AV22">
            <v>0</v>
          </cell>
          <cell r="AW22">
            <v>0</v>
          </cell>
          <cell r="AX22">
            <v>2860.324635638759</v>
          </cell>
          <cell r="AY22">
            <v>0</v>
          </cell>
          <cell r="AZ22">
            <v>-4.551555638759055</v>
          </cell>
          <cell r="BA22">
            <v>42.663470000000004</v>
          </cell>
          <cell r="BB22">
            <v>-220.47273999999999</v>
          </cell>
          <cell r="BC22">
            <v>-4.92422</v>
          </cell>
          <cell r="BD22">
            <v>0</v>
          </cell>
          <cell r="BE22">
            <v>2046.0280000000007</v>
          </cell>
          <cell r="BF22">
            <v>-535.9424699999995</v>
          </cell>
          <cell r="BG22">
            <v>-2.2609599999999848</v>
          </cell>
          <cell r="BH22">
            <v>-232.92691999999997</v>
          </cell>
          <cell r="BI22">
            <v>-10.06771</v>
          </cell>
          <cell r="BJ22">
            <v>-8.003553375601768E-14</v>
          </cell>
          <cell r="BK22">
            <v>944.84760999999787</v>
          </cell>
        </row>
        <row r="23">
          <cell r="C23">
            <v>49386.87</v>
          </cell>
          <cell r="N23">
            <v>38709.298161241604</v>
          </cell>
          <cell r="O23">
            <v>-7203.4045799483574</v>
          </cell>
          <cell r="P23">
            <v>0</v>
          </cell>
          <cell r="Q23">
            <v>-1840.3762335177648</v>
          </cell>
          <cell r="R23">
            <v>0</v>
          </cell>
          <cell r="S23">
            <v>-3584.7855660735531</v>
          </cell>
          <cell r="T23">
            <v>-157.59829075969191</v>
          </cell>
          <cell r="U23">
            <v>0</v>
          </cell>
          <cell r="V23">
            <v>-15259.309032840427</v>
          </cell>
          <cell r="W23">
            <v>0</v>
          </cell>
          <cell r="X23">
            <v>-3898.5551029737926</v>
          </cell>
          <cell r="Y23">
            <v>-452.1255304509649</v>
          </cell>
          <cell r="Z23">
            <v>1776.0874025187122</v>
          </cell>
          <cell r="AA23">
            <v>0</v>
          </cell>
          <cell r="AB23">
            <v>0</v>
          </cell>
          <cell r="AC23">
            <v>-21604.918653421839</v>
          </cell>
          <cell r="AD23">
            <v>0</v>
          </cell>
          <cell r="AE23">
            <v>0</v>
          </cell>
          <cell r="AF23">
            <v>-1241.4841451450891</v>
          </cell>
          <cell r="AG23">
            <v>0</v>
          </cell>
          <cell r="AH23">
            <v>22846.402798566927</v>
          </cell>
          <cell r="AI23">
            <v>452.1255304509649</v>
          </cell>
          <cell r="AJ23">
            <v>0</v>
          </cell>
          <cell r="AK23">
            <v>0</v>
          </cell>
          <cell r="AL23">
            <v>-3035.6129149254857</v>
          </cell>
          <cell r="AM23">
            <v>0</v>
          </cell>
          <cell r="AN23">
            <v>0</v>
          </cell>
          <cell r="AO23">
            <v>-436.83692229884002</v>
          </cell>
          <cell r="AP23">
            <v>-149.86452780700725</v>
          </cell>
          <cell r="AQ23">
            <v>-2163.6831202132103</v>
          </cell>
          <cell r="AR23">
            <v>-1284.2123946146451</v>
          </cell>
          <cell r="AT23">
            <v>-3662.0257515697376</v>
          </cell>
          <cell r="AU23">
            <v>826.19863061425156</v>
          </cell>
          <cell r="AV23">
            <v>0</v>
          </cell>
          <cell r="AW23">
            <v>30.293077927822978</v>
          </cell>
          <cell r="AX23">
            <v>1750.1752243857475</v>
          </cell>
          <cell r="AY23">
            <v>0</v>
          </cell>
          <cell r="AZ23">
            <v>64.171244656076496</v>
          </cell>
          <cell r="BA23">
            <v>41.297233006310911</v>
          </cell>
          <cell r="BB23">
            <v>-168.53844907068461</v>
          </cell>
          <cell r="BC23">
            <v>0</v>
          </cell>
          <cell r="BD23">
            <v>0</v>
          </cell>
          <cell r="BE23">
            <v>1664.7414024999985</v>
          </cell>
          <cell r="BF23">
            <v>-1823.5076049999984</v>
          </cell>
          <cell r="BG23">
            <v>-41.297233006310911</v>
          </cell>
          <cell r="BH23">
            <v>0</v>
          </cell>
          <cell r="BI23">
            <v>0</v>
          </cell>
          <cell r="BJ23">
            <v>0</v>
          </cell>
          <cell r="BK23">
            <v>152.65465223101523</v>
          </cell>
        </row>
        <row r="25">
          <cell r="C25">
            <v>33736.337269999996</v>
          </cell>
          <cell r="N25">
            <v>28599.751509999995</v>
          </cell>
          <cell r="O25">
            <v>-8060.1534300000003</v>
          </cell>
          <cell r="P25">
            <v>0</v>
          </cell>
          <cell r="Q25">
            <v>0</v>
          </cell>
          <cell r="R25">
            <v>819.53343999999993</v>
          </cell>
          <cell r="S25">
            <v>-1262.6206099999999</v>
          </cell>
          <cell r="T25">
            <v>-177.71588000000003</v>
          </cell>
          <cell r="U25">
            <v>0</v>
          </cell>
          <cell r="V25">
            <v>-7772.5974399999996</v>
          </cell>
          <cell r="W25">
            <v>0</v>
          </cell>
          <cell r="X25">
            <v>0</v>
          </cell>
          <cell r="Y25">
            <v>-31.34337</v>
          </cell>
          <cell r="Z25">
            <v>119.12818000000001</v>
          </cell>
          <cell r="AA25">
            <v>0.44545999999999997</v>
          </cell>
          <cell r="AB25">
            <v>0</v>
          </cell>
          <cell r="AC25">
            <v>-11918.538540000001</v>
          </cell>
          <cell r="AD25">
            <v>6234.5090700000001</v>
          </cell>
          <cell r="AE25">
            <v>-443.96294999999998</v>
          </cell>
          <cell r="AF25">
            <v>-274.25794999999999</v>
          </cell>
          <cell r="AG25">
            <v>0</v>
          </cell>
          <cell r="AH25">
            <v>3510.2339699999998</v>
          </cell>
          <cell r="AI25">
            <v>222.63859999999997</v>
          </cell>
          <cell r="AJ25">
            <v>140.73790000000002</v>
          </cell>
          <cell r="AK25">
            <v>-1.1892900000000002</v>
          </cell>
          <cell r="AL25">
            <v>-4564.2617200000013</v>
          </cell>
          <cell r="AM25">
            <v>3249.3386800000003</v>
          </cell>
          <cell r="AN25">
            <v>-2800.4747399999997</v>
          </cell>
          <cell r="AO25">
            <v>-608.62861999999996</v>
          </cell>
          <cell r="AP25">
            <v>-116.54476</v>
          </cell>
          <cell r="AQ25">
            <v>-1845.3110100000001</v>
          </cell>
          <cell r="AR25">
            <v>-746.07511</v>
          </cell>
          <cell r="AT25">
            <v>-1193.9793499999996</v>
          </cell>
          <cell r="AU25">
            <v>64.904989999999984</v>
          </cell>
          <cell r="AV25">
            <v>0</v>
          </cell>
          <cell r="AW25">
            <v>0</v>
          </cell>
          <cell r="AX25">
            <v>387.14400000000001</v>
          </cell>
          <cell r="AY25">
            <v>0</v>
          </cell>
          <cell r="AZ25">
            <v>0</v>
          </cell>
          <cell r="BA25">
            <v>1.27044</v>
          </cell>
          <cell r="BB25">
            <v>-5.9336299999999991</v>
          </cell>
          <cell r="BC25">
            <v>-1.797E-2</v>
          </cell>
          <cell r="BD25">
            <v>0</v>
          </cell>
          <cell r="BE25">
            <v>249.95432</v>
          </cell>
          <cell r="BF25">
            <v>-808.05399999999997</v>
          </cell>
          <cell r="BG25">
            <v>-7.248409999999998</v>
          </cell>
          <cell r="BH25">
            <v>-7.5230200000000007</v>
          </cell>
          <cell r="BI25">
            <v>1.8819999999999996E-2</v>
          </cell>
          <cell r="BJ25">
            <v>6.5483618527650828E-14</v>
          </cell>
          <cell r="BK25">
            <v>953.17757999999321</v>
          </cell>
        </row>
        <row r="26">
          <cell r="C26">
            <v>33656.79628000001</v>
          </cell>
          <cell r="N26">
            <v>27887.173419999999</v>
          </cell>
          <cell r="O26">
            <v>-6920.0873899999988</v>
          </cell>
          <cell r="P26">
            <v>0</v>
          </cell>
          <cell r="Q26">
            <v>0</v>
          </cell>
          <cell r="R26">
            <v>612.11514</v>
          </cell>
          <cell r="S26">
            <v>-1166.1025</v>
          </cell>
          <cell r="T26">
            <v>-180.32312999999999</v>
          </cell>
          <cell r="U26">
            <v>0</v>
          </cell>
          <cell r="V26">
            <v>-8932.2174400000004</v>
          </cell>
          <cell r="W26">
            <v>0</v>
          </cell>
          <cell r="X26">
            <v>0</v>
          </cell>
          <cell r="Y26">
            <v>-95.064390000000003</v>
          </cell>
          <cell r="Z26">
            <v>151.53647999999998</v>
          </cell>
          <cell r="AA26">
            <v>1.5936899999999998</v>
          </cell>
          <cell r="AB26">
            <v>0</v>
          </cell>
          <cell r="AC26">
            <v>-13210.466209999999</v>
          </cell>
          <cell r="AD26">
            <v>5452.3930499999997</v>
          </cell>
          <cell r="AE26">
            <v>-378.71663000000001</v>
          </cell>
          <cell r="AF26">
            <v>-300.82261999999997</v>
          </cell>
          <cell r="AG26">
            <v>0</v>
          </cell>
          <cell r="AH26">
            <v>9161.90049</v>
          </cell>
          <cell r="AI26">
            <v>107.06949999999999</v>
          </cell>
          <cell r="AJ26">
            <v>-19.981839999999995</v>
          </cell>
          <cell r="AK26">
            <v>-0.31530000000000002</v>
          </cell>
          <cell r="AL26">
            <v>-4430.1758499999996</v>
          </cell>
          <cell r="AM26">
            <v>3179.1617699999997</v>
          </cell>
          <cell r="AN26">
            <v>-2634.8992900000003</v>
          </cell>
          <cell r="AO26">
            <v>-826.03158999999994</v>
          </cell>
          <cell r="AP26">
            <v>-67.978839999999991</v>
          </cell>
          <cell r="AQ26">
            <v>-1484.5724399999999</v>
          </cell>
          <cell r="AR26">
            <v>-747.92525999999998</v>
          </cell>
          <cell r="AT26">
            <v>-1616.2507000000001</v>
          </cell>
          <cell r="AU26">
            <v>32.768280000000004</v>
          </cell>
          <cell r="AV26">
            <v>0</v>
          </cell>
          <cell r="AW26">
            <v>0</v>
          </cell>
          <cell r="AX26">
            <v>458.15300000000002</v>
          </cell>
          <cell r="AY26">
            <v>0</v>
          </cell>
          <cell r="AZ26">
            <v>0</v>
          </cell>
          <cell r="BA26">
            <v>5.7855299999999996</v>
          </cell>
          <cell r="BB26">
            <v>-7.7726300000000013</v>
          </cell>
          <cell r="BC26">
            <v>-8.9380000000000001E-2</v>
          </cell>
          <cell r="BD26">
            <v>0</v>
          </cell>
          <cell r="BE26">
            <v>553.44254999999998</v>
          </cell>
          <cell r="BF26">
            <v>-828.21057000000019</v>
          </cell>
          <cell r="BG26">
            <v>-13.191770000000004</v>
          </cell>
          <cell r="BH26">
            <v>-7.7417499999999997</v>
          </cell>
          <cell r="BI26">
            <v>-3.0760000000000006E-2</v>
          </cell>
          <cell r="BJ26">
            <v>3.3651303965598343E-14</v>
          </cell>
          <cell r="BK26">
            <v>3734.1246199999987</v>
          </cell>
        </row>
        <row r="27">
          <cell r="C27">
            <v>37123.129999999997</v>
          </cell>
          <cell r="N27">
            <v>29096.951838758469</v>
          </cell>
          <cell r="O27">
            <v>-10036.861162034425</v>
          </cell>
          <cell r="P27">
            <v>-560.76554387296062</v>
          </cell>
          <cell r="Q27">
            <v>0</v>
          </cell>
          <cell r="R27">
            <v>0</v>
          </cell>
          <cell r="S27">
            <v>-2010.5262179176325</v>
          </cell>
          <cell r="T27">
            <v>-752.41751255228144</v>
          </cell>
          <cell r="U27">
            <v>0</v>
          </cell>
          <cell r="V27">
            <v>-3740.9412316243547</v>
          </cell>
          <cell r="W27">
            <v>-209.00866421105331</v>
          </cell>
          <cell r="X27">
            <v>0</v>
          </cell>
          <cell r="Y27">
            <v>-99.85929383099699</v>
          </cell>
          <cell r="Z27">
            <v>47.634799551822248</v>
          </cell>
          <cell r="AA27">
            <v>0</v>
          </cell>
          <cell r="AB27">
            <v>0</v>
          </cell>
          <cell r="AC27">
            <v>-2245.7616488480758</v>
          </cell>
          <cell r="AD27">
            <v>0</v>
          </cell>
          <cell r="AE27">
            <v>0</v>
          </cell>
          <cell r="AF27">
            <v>-297.79410499036965</v>
          </cell>
          <cell r="AG27">
            <v>0</v>
          </cell>
          <cell r="AH27">
            <v>2543.5557538384455</v>
          </cell>
          <cell r="AI27">
            <v>99.85929383099699</v>
          </cell>
          <cell r="AJ27">
            <v>0</v>
          </cell>
          <cell r="AK27">
            <v>0</v>
          </cell>
          <cell r="AL27">
            <v>-4068.541118187668</v>
          </cell>
          <cell r="AM27">
            <v>0</v>
          </cell>
          <cell r="AN27">
            <v>0</v>
          </cell>
          <cell r="AO27">
            <v>-657.94595416951745</v>
          </cell>
          <cell r="AP27">
            <v>-111.33605458917552</v>
          </cell>
          <cell r="AQ27">
            <v>-2019.873711655735</v>
          </cell>
          <cell r="AR27">
            <v>-1129.4954417302952</v>
          </cell>
          <cell r="AT27">
            <v>-2566.5477213044533</v>
          </cell>
          <cell r="AU27">
            <v>599.95094787593825</v>
          </cell>
          <cell r="AV27">
            <v>86.879168769050239</v>
          </cell>
          <cell r="AW27">
            <v>0</v>
          </cell>
          <cell r="AX27">
            <v>223.61385712406184</v>
          </cell>
          <cell r="AY27">
            <v>32.381624032698383</v>
          </cell>
          <cell r="AZ27">
            <v>0</v>
          </cell>
          <cell r="BA27">
            <v>5.6879425173385378</v>
          </cell>
          <cell r="BB27">
            <v>-2.818796867622412</v>
          </cell>
          <cell r="BC27">
            <v>0</v>
          </cell>
          <cell r="BD27">
            <v>0</v>
          </cell>
          <cell r="BE27">
            <v>217.12518249999994</v>
          </cell>
          <cell r="BF27">
            <v>-217.12518249999994</v>
          </cell>
          <cell r="BG27">
            <v>-5.6879425173385378</v>
          </cell>
          <cell r="BH27">
            <v>0</v>
          </cell>
          <cell r="BI27">
            <v>0</v>
          </cell>
          <cell r="BJ27">
            <v>0</v>
          </cell>
          <cell r="BK27">
            <v>2220.333105394865</v>
          </cell>
        </row>
        <row r="29">
          <cell r="C29">
            <v>88719.680250000005</v>
          </cell>
          <cell r="N29">
            <v>72115.851439999999</v>
          </cell>
          <cell r="O29">
            <v>-1841.0622700000004</v>
          </cell>
          <cell r="P29">
            <v>0</v>
          </cell>
          <cell r="Q29">
            <v>-15.778</v>
          </cell>
          <cell r="R29">
            <v>896.25794999999994</v>
          </cell>
          <cell r="S29">
            <v>-3081.0338599999995</v>
          </cell>
          <cell r="T29">
            <v>-764.10514000000012</v>
          </cell>
          <cell r="U29">
            <v>-1489.5457200000001</v>
          </cell>
          <cell r="V29">
            <v>-40442.939868576686</v>
          </cell>
          <cell r="W29">
            <v>0</v>
          </cell>
          <cell r="X29">
            <v>-7135.1414114233166</v>
          </cell>
          <cell r="Y29">
            <v>-521.82443000000001</v>
          </cell>
          <cell r="Z29">
            <v>3548.3568100000007</v>
          </cell>
          <cell r="AA29">
            <v>53.492439999999995</v>
          </cell>
          <cell r="AB29">
            <v>0</v>
          </cell>
          <cell r="AC29">
            <v>-48307.447260000008</v>
          </cell>
          <cell r="AD29">
            <v>7232.1403</v>
          </cell>
          <cell r="AE29">
            <v>-1666.76593</v>
          </cell>
          <cell r="AF29">
            <v>-1662.5389200000002</v>
          </cell>
          <cell r="AG29">
            <v>0</v>
          </cell>
          <cell r="AH29">
            <v>35506.618220000004</v>
          </cell>
          <cell r="AI29">
            <v>3525.2282</v>
          </cell>
          <cell r="AJ29">
            <v>906.76536999999985</v>
          </cell>
          <cell r="AK29">
            <v>-301.96333000000004</v>
          </cell>
          <cell r="AL29">
            <v>-8321.6205700000028</v>
          </cell>
          <cell r="AM29">
            <v>5981.9731600000005</v>
          </cell>
          <cell r="AN29">
            <v>-4957.4539299999997</v>
          </cell>
          <cell r="AO29">
            <v>-1000.1391399999999</v>
          </cell>
          <cell r="AP29">
            <v>-273.78224</v>
          </cell>
          <cell r="AQ29">
            <v>-3825.3489799999998</v>
          </cell>
          <cell r="AR29">
            <v>-1645.4133899999999</v>
          </cell>
          <cell r="AT29">
            <v>-1855.9726099999993</v>
          </cell>
          <cell r="AU29">
            <v>-85.916139999999999</v>
          </cell>
          <cell r="AV29">
            <v>0</v>
          </cell>
          <cell r="AW29">
            <v>0</v>
          </cell>
          <cell r="AX29">
            <v>1032.6446497404274</v>
          </cell>
          <cell r="AY29">
            <v>0</v>
          </cell>
          <cell r="AZ29">
            <v>82.327580259572642</v>
          </cell>
          <cell r="BA29">
            <v>9.8523600000000009</v>
          </cell>
          <cell r="BB29">
            <v>-68.635779999999997</v>
          </cell>
          <cell r="BC29">
            <v>-0.95291000000000015</v>
          </cell>
          <cell r="BD29">
            <v>0</v>
          </cell>
          <cell r="BE29">
            <v>2650.8347000000003</v>
          </cell>
          <cell r="BF29">
            <v>-2938.6038799999928</v>
          </cell>
          <cell r="BG29">
            <v>-521.21924000000024</v>
          </cell>
          <cell r="BH29">
            <v>-146.35318000000032</v>
          </cell>
          <cell r="BI29">
            <v>75.9101</v>
          </cell>
          <cell r="BJ29">
            <v>1.141984284913633E-13</v>
          </cell>
          <cell r="BK29">
            <v>746.69515000000411</v>
          </cell>
        </row>
        <row r="30">
          <cell r="C30">
            <v>83060.786179999996</v>
          </cell>
          <cell r="N30">
            <v>65510.597939999992</v>
          </cell>
          <cell r="O30">
            <v>-2461.8902299999991</v>
          </cell>
          <cell r="P30">
            <v>0</v>
          </cell>
          <cell r="Q30">
            <v>-120.22499999999999</v>
          </cell>
          <cell r="R30">
            <v>729.02208999999993</v>
          </cell>
          <cell r="S30">
            <v>-3122.84843</v>
          </cell>
          <cell r="T30">
            <v>-241.46756999999999</v>
          </cell>
          <cell r="U30">
            <v>-1236.0203100000001</v>
          </cell>
          <cell r="V30">
            <v>-34718.757966159923</v>
          </cell>
          <cell r="W30">
            <v>0</v>
          </cell>
          <cell r="X30">
            <v>-5742.3132838400761</v>
          </cell>
          <cell r="Y30">
            <v>-613.50931000000003</v>
          </cell>
          <cell r="Z30">
            <v>2585.6419399999995</v>
          </cell>
          <cell r="AA30">
            <v>60.335020000000007</v>
          </cell>
          <cell r="AB30">
            <v>0</v>
          </cell>
          <cell r="AC30">
            <v>-45487.792919999993</v>
          </cell>
          <cell r="AD30">
            <v>6541.35646</v>
          </cell>
          <cell r="AE30">
            <v>-1715.5381600000001</v>
          </cell>
          <cell r="AF30">
            <v>-1603.6152399999999</v>
          </cell>
          <cell r="AG30">
            <v>0</v>
          </cell>
          <cell r="AH30">
            <v>39963.9182</v>
          </cell>
          <cell r="AI30">
            <v>925.25100999999995</v>
          </cell>
          <cell r="AJ30">
            <v>-953.97537</v>
          </cell>
          <cell r="AK30">
            <v>-35.36952999999999</v>
          </cell>
          <cell r="AL30">
            <v>-7936.2623000000003</v>
          </cell>
          <cell r="AM30">
            <v>5758.1150699999998</v>
          </cell>
          <cell r="AN30">
            <v>-4616.4560600000004</v>
          </cell>
          <cell r="AO30">
            <v>-892.17719999999997</v>
          </cell>
          <cell r="AP30">
            <v>-140.59225999999998</v>
          </cell>
          <cell r="AQ30">
            <v>-3234.9307599999997</v>
          </cell>
          <cell r="AR30">
            <v>-1688.89014</v>
          </cell>
          <cell r="AT30">
            <v>-4946.1600100000032</v>
          </cell>
          <cell r="AU30">
            <v>15.312800000000003</v>
          </cell>
          <cell r="AV30">
            <v>0</v>
          </cell>
          <cell r="AW30">
            <v>0</v>
          </cell>
          <cell r="AX30">
            <v>3318.4776356387592</v>
          </cell>
          <cell r="AY30">
            <v>0</v>
          </cell>
          <cell r="AZ30">
            <v>-4.551555638759055</v>
          </cell>
          <cell r="BA30">
            <v>48.449000000000005</v>
          </cell>
          <cell r="BB30">
            <v>-228.24536999999998</v>
          </cell>
          <cell r="BC30">
            <v>-5.0136000000000003</v>
          </cell>
          <cell r="BD30">
            <v>0</v>
          </cell>
          <cell r="BE30">
            <v>2599.4705500000009</v>
          </cell>
          <cell r="BF30">
            <v>-1364.1530399999997</v>
          </cell>
          <cell r="BG30">
            <v>-15.452729999999988</v>
          </cell>
          <cell r="BH30">
            <v>-240.66866999999996</v>
          </cell>
          <cell r="BI30">
            <v>-10.098470000000001</v>
          </cell>
          <cell r="BJ30">
            <v>-4.6384229790419337E-14</v>
          </cell>
          <cell r="BK30">
            <v>4678.9722299999967</v>
          </cell>
        </row>
        <row r="31">
          <cell r="C31">
            <v>86510</v>
          </cell>
          <cell r="N31">
            <v>67806.250000000073</v>
          </cell>
          <cell r="O31">
            <v>-17240.265741982781</v>
          </cell>
          <cell r="P31">
            <v>-560.76554387296062</v>
          </cell>
          <cell r="Q31">
            <v>-1840.3762335177648</v>
          </cell>
          <cell r="R31">
            <v>0</v>
          </cell>
          <cell r="S31">
            <v>-5595.3117839911856</v>
          </cell>
          <cell r="T31">
            <v>-910.01580331197329</v>
          </cell>
          <cell r="U31">
            <v>0</v>
          </cell>
          <cell r="V31">
            <v>-19000.250264464783</v>
          </cell>
          <cell r="W31">
            <v>-209.00866421105331</v>
          </cell>
          <cell r="X31">
            <v>-3898.5551029737926</v>
          </cell>
          <cell r="Y31">
            <v>-551.98482428196189</v>
          </cell>
          <cell r="Z31">
            <v>1823.7222020705344</v>
          </cell>
          <cell r="AA31">
            <v>0</v>
          </cell>
          <cell r="AB31">
            <v>0</v>
          </cell>
          <cell r="AC31">
            <v>-23850.680302269913</v>
          </cell>
          <cell r="AD31">
            <v>0</v>
          </cell>
          <cell r="AE31">
            <v>0</v>
          </cell>
          <cell r="AF31">
            <v>-1539.2782501354586</v>
          </cell>
          <cell r="AG31">
            <v>0</v>
          </cell>
          <cell r="AH31">
            <v>25389.958552405373</v>
          </cell>
          <cell r="AI31">
            <v>551.98482428196189</v>
          </cell>
          <cell r="AJ31">
            <v>0</v>
          </cell>
          <cell r="AK31">
            <v>0</v>
          </cell>
          <cell r="AL31">
            <v>-7104.1540331131537</v>
          </cell>
          <cell r="AM31">
            <v>0</v>
          </cell>
          <cell r="AN31">
            <v>0</v>
          </cell>
          <cell r="AO31">
            <v>-1094.7828764683575</v>
          </cell>
          <cell r="AP31">
            <v>-261.20058239618277</v>
          </cell>
          <cell r="AQ31">
            <v>-4183.5568318689457</v>
          </cell>
          <cell r="AR31">
            <v>-2413.70783634494</v>
          </cell>
          <cell r="AT31">
            <v>-6228.5734728741909</v>
          </cell>
          <cell r="AU31">
            <v>1426.1495784901899</v>
          </cell>
          <cell r="AV31">
            <v>86.879168769050239</v>
          </cell>
          <cell r="AW31">
            <v>30.293077927822978</v>
          </cell>
          <cell r="AX31">
            <v>1973.7890815098094</v>
          </cell>
          <cell r="AY31">
            <v>32.381624032698383</v>
          </cell>
          <cell r="AZ31">
            <v>64.171244656076496</v>
          </cell>
          <cell r="BA31">
            <v>46.985175523649445</v>
          </cell>
          <cell r="BB31">
            <v>-171.35724593830702</v>
          </cell>
          <cell r="BC31">
            <v>0</v>
          </cell>
          <cell r="BD31">
            <v>0</v>
          </cell>
          <cell r="BE31">
            <v>1881.8665849999984</v>
          </cell>
          <cell r="BF31">
            <v>-2040.6327874999984</v>
          </cell>
          <cell r="BG31">
            <v>-46.985175523649445</v>
          </cell>
          <cell r="BH31">
            <v>0</v>
          </cell>
          <cell r="BI31">
            <v>0</v>
          </cell>
          <cell r="BJ31">
            <v>0</v>
          </cell>
          <cell r="BK31">
            <v>2372.9877576258805</v>
          </cell>
        </row>
        <row r="33">
          <cell r="C33">
            <v>90382.594320000004</v>
          </cell>
          <cell r="N33">
            <v>35856.156949999997</v>
          </cell>
          <cell r="O33">
            <v>-304.14668</v>
          </cell>
          <cell r="P33">
            <v>-4.1283400000000006</v>
          </cell>
          <cell r="Q33">
            <v>-31.811</v>
          </cell>
          <cell r="R33">
            <v>9.6430699999999998</v>
          </cell>
          <cell r="S33">
            <v>-464.00015999999999</v>
          </cell>
          <cell r="T33">
            <v>-830.58792000000005</v>
          </cell>
          <cell r="U33">
            <v>0</v>
          </cell>
          <cell r="V33">
            <v>-8821.2790830720041</v>
          </cell>
          <cell r="W33">
            <v>-583.79600000000005</v>
          </cell>
          <cell r="X33">
            <v>-10660.810216927999</v>
          </cell>
          <cell r="Y33">
            <v>-166.04728</v>
          </cell>
          <cell r="Z33">
            <v>446.25752999999997</v>
          </cell>
          <cell r="AA33">
            <v>3.2180500000000003</v>
          </cell>
          <cell r="AB33">
            <v>0</v>
          </cell>
          <cell r="AC33">
            <v>-21412.371620000005</v>
          </cell>
          <cell r="AD33">
            <v>450.70242000000002</v>
          </cell>
          <cell r="AE33">
            <v>-140.42914999999999</v>
          </cell>
          <cell r="AF33">
            <v>-879.61988999999994</v>
          </cell>
          <cell r="AG33">
            <v>0</v>
          </cell>
          <cell r="AH33">
            <v>26224.939630000001</v>
          </cell>
          <cell r="AI33">
            <v>716.14537999999982</v>
          </cell>
          <cell r="AJ33">
            <v>63.88698999999999</v>
          </cell>
          <cell r="AK33">
            <v>-10.143279999999997</v>
          </cell>
          <cell r="AL33">
            <v>-13660.306850000001</v>
          </cell>
          <cell r="AM33">
            <v>11449.955089999999</v>
          </cell>
          <cell r="AN33">
            <v>-2898.1900100000003</v>
          </cell>
          <cell r="AO33">
            <v>-1484.46929</v>
          </cell>
          <cell r="AP33">
            <v>-166.99635999999998</v>
          </cell>
          <cell r="AQ33">
            <v>-1093.8103799999999</v>
          </cell>
          <cell r="AR33">
            <v>-746.24185</v>
          </cell>
          <cell r="AT33">
            <v>-3360.396740000001</v>
          </cell>
          <cell r="AU33">
            <v>0</v>
          </cell>
          <cell r="AV33">
            <v>0</v>
          </cell>
          <cell r="AW33">
            <v>0</v>
          </cell>
          <cell r="AX33">
            <v>663.73047703314137</v>
          </cell>
          <cell r="AY33">
            <v>0</v>
          </cell>
          <cell r="AZ33">
            <v>743.70886296685876</v>
          </cell>
          <cell r="BA33">
            <v>11.68844</v>
          </cell>
          <cell r="BB33">
            <v>-31.300900000000002</v>
          </cell>
          <cell r="BC33">
            <v>-0.22649</v>
          </cell>
          <cell r="BD33">
            <v>0</v>
          </cell>
          <cell r="BE33">
            <v>3656.4818500000001</v>
          </cell>
          <cell r="BF33">
            <v>-5814.7012399999994</v>
          </cell>
          <cell r="BG33">
            <v>22.857810000000001</v>
          </cell>
          <cell r="BH33">
            <v>31.207350000000002</v>
          </cell>
          <cell r="BI33">
            <v>-1.3880100000000002</v>
          </cell>
          <cell r="BJ33">
            <v>0</v>
          </cell>
          <cell r="BK33">
            <v>6783.3811599999854</v>
          </cell>
        </row>
        <row r="34">
          <cell r="C34">
            <v>93411.981420000011</v>
          </cell>
          <cell r="N34">
            <v>35727.936879999994</v>
          </cell>
          <cell r="O34">
            <v>-358.51815999999997</v>
          </cell>
          <cell r="P34">
            <v>0</v>
          </cell>
          <cell r="Q34">
            <v>-274.56200000000001</v>
          </cell>
          <cell r="R34">
            <v>0</v>
          </cell>
          <cell r="S34">
            <v>-355.91768999999999</v>
          </cell>
          <cell r="T34">
            <v>-503.68598000000003</v>
          </cell>
          <cell r="U34">
            <v>0</v>
          </cell>
          <cell r="V34">
            <v>-9203.8376725575563</v>
          </cell>
          <cell r="W34">
            <v>0</v>
          </cell>
          <cell r="X34">
            <v>-10859.742787442441</v>
          </cell>
          <cell r="Y34">
            <v>-187.64437000000001</v>
          </cell>
          <cell r="Z34">
            <v>476.63985000000002</v>
          </cell>
          <cell r="AA34">
            <v>4.5503400000000003</v>
          </cell>
          <cell r="AB34">
            <v>0</v>
          </cell>
          <cell r="AC34">
            <v>-16169.127890000003</v>
          </cell>
          <cell r="AD34">
            <v>188.93154000000001</v>
          </cell>
          <cell r="AE34">
            <v>-93.644009999999994</v>
          </cell>
          <cell r="AF34">
            <v>-996.68983999999989</v>
          </cell>
          <cell r="AG34">
            <v>0</v>
          </cell>
          <cell r="AH34">
            <v>18332.87588</v>
          </cell>
          <cell r="AI34">
            <v>361.96996999999999</v>
          </cell>
          <cell r="AJ34">
            <v>311.92018000000002</v>
          </cell>
          <cell r="AK34">
            <v>-0.26093999999999995</v>
          </cell>
          <cell r="AL34">
            <v>-14261.907840000002</v>
          </cell>
          <cell r="AM34">
            <v>11962.554819999999</v>
          </cell>
          <cell r="AN34">
            <v>-3010.75803</v>
          </cell>
          <cell r="AO34">
            <v>-1158.8494800000001</v>
          </cell>
          <cell r="AP34">
            <v>-85.245599999999996</v>
          </cell>
          <cell r="AQ34">
            <v>-930.11920999999995</v>
          </cell>
          <cell r="AR34">
            <v>-893.01120000000003</v>
          </cell>
          <cell r="AT34">
            <v>-3444.2010800000016</v>
          </cell>
          <cell r="AU34">
            <v>0</v>
          </cell>
          <cell r="AV34">
            <v>0</v>
          </cell>
          <cell r="AW34">
            <v>0</v>
          </cell>
          <cell r="AX34">
            <v>734.108931074373</v>
          </cell>
          <cell r="AY34">
            <v>0</v>
          </cell>
          <cell r="AZ34">
            <v>681.45670892562703</v>
          </cell>
          <cell r="BA34">
            <v>13.46523</v>
          </cell>
          <cell r="BB34">
            <v>-33.628839999999997</v>
          </cell>
          <cell r="BC34">
            <v>-0.30837999999999999</v>
          </cell>
          <cell r="BD34">
            <v>0</v>
          </cell>
          <cell r="BE34">
            <v>714.11799999999994</v>
          </cell>
          <cell r="BF34">
            <v>-3086.7169600000002</v>
          </cell>
          <cell r="BG34">
            <v>-52.472559999999994</v>
          </cell>
          <cell r="BH34">
            <v>-20.080010000000001</v>
          </cell>
          <cell r="BI34">
            <v>0.29946999999999996</v>
          </cell>
          <cell r="BJ34">
            <v>-9.5923269327613524E-17</v>
          </cell>
          <cell r="BK34">
            <v>3529.8972699999922</v>
          </cell>
        </row>
        <row r="35">
          <cell r="C35">
            <v>93716.800000000003</v>
          </cell>
          <cell r="N35">
            <v>47982.197257748106</v>
          </cell>
          <cell r="O35">
            <v>-6020.0080409767834</v>
          </cell>
          <cell r="P35">
            <v>-2596.6794501460145</v>
          </cell>
          <cell r="Q35">
            <v>-6095.7213854415313</v>
          </cell>
          <cell r="R35">
            <v>0</v>
          </cell>
          <cell r="S35">
            <v>-620.58607545811253</v>
          </cell>
          <cell r="T35">
            <v>-594.3731615531716</v>
          </cell>
          <cell r="U35">
            <v>0</v>
          </cell>
          <cell r="V35">
            <v>-7029.0049418834387</v>
          </cell>
          <cell r="W35">
            <v>-3031.9017123110007</v>
          </cell>
          <cell r="X35">
            <v>-7117.408390647417</v>
          </cell>
          <cell r="Y35">
            <v>-442.07918899229878</v>
          </cell>
          <cell r="Z35">
            <v>285.7903566290438</v>
          </cell>
          <cell r="AA35">
            <v>0</v>
          </cell>
          <cell r="AB35">
            <v>0</v>
          </cell>
          <cell r="AC35">
            <v>-12614.463443528868</v>
          </cell>
          <cell r="AD35">
            <v>0</v>
          </cell>
          <cell r="AE35">
            <v>0</v>
          </cell>
          <cell r="AF35">
            <v>-814.02687683949989</v>
          </cell>
          <cell r="AG35">
            <v>0</v>
          </cell>
          <cell r="AH35">
            <v>14028.490320368368</v>
          </cell>
          <cell r="AI35">
            <v>442.07918899229878</v>
          </cell>
          <cell r="AJ35">
            <v>0</v>
          </cell>
          <cell r="AK35">
            <v>0</v>
          </cell>
          <cell r="AL35">
            <v>-6890.8187853603322</v>
          </cell>
          <cell r="AM35">
            <v>0</v>
          </cell>
          <cell r="AN35">
            <v>0</v>
          </cell>
          <cell r="AO35">
            <v>-1705.662769701275</v>
          </cell>
          <cell r="AP35">
            <v>-153.47808222007649</v>
          </cell>
          <cell r="AQ35">
            <v>-1247.0754786888776</v>
          </cell>
          <cell r="AR35">
            <v>-1271.6899525491351</v>
          </cell>
          <cell r="AT35">
            <v>-4464.6643907418038</v>
          </cell>
          <cell r="AU35">
            <v>425.21689646048571</v>
          </cell>
          <cell r="AV35">
            <v>1080.9965111841336</v>
          </cell>
          <cell r="AW35">
            <v>545.35355430167442</v>
          </cell>
          <cell r="AX35">
            <v>496.48632464419916</v>
          </cell>
          <cell r="AY35">
            <v>1262.1793471955486</v>
          </cell>
          <cell r="AZ35">
            <v>636.75875549797297</v>
          </cell>
          <cell r="BA35">
            <v>55.288786558220593</v>
          </cell>
          <cell r="BB35">
            <v>-37.132765507409815</v>
          </cell>
          <cell r="BC35">
            <v>0</v>
          </cell>
          <cell r="BD35">
            <v>0</v>
          </cell>
          <cell r="BE35">
            <v>1032.6022999999993</v>
          </cell>
          <cell r="BF35">
            <v>-1032.6022999999993</v>
          </cell>
          <cell r="BG35">
            <v>-55.288786558220593</v>
          </cell>
          <cell r="BH35">
            <v>0</v>
          </cell>
          <cell r="BI35">
            <v>0</v>
          </cell>
          <cell r="BJ35">
            <v>0</v>
          </cell>
          <cell r="BK35">
            <v>4438.7736204747862</v>
          </cell>
        </row>
        <row r="37">
          <cell r="C37">
            <v>13962.795909999999</v>
          </cell>
          <cell r="N37">
            <v>6314.02441</v>
          </cell>
          <cell r="O37">
            <v>-36.795360000000002</v>
          </cell>
          <cell r="P37">
            <v>0</v>
          </cell>
          <cell r="Q37">
            <v>0</v>
          </cell>
          <cell r="R37">
            <v>0</v>
          </cell>
          <cell r="S37">
            <v>-80.183179999999993</v>
          </cell>
          <cell r="T37">
            <v>-3.9326100000000004</v>
          </cell>
          <cell r="U37">
            <v>0</v>
          </cell>
          <cell r="V37">
            <v>-2108.5908300000001</v>
          </cell>
          <cell r="W37">
            <v>-7.5</v>
          </cell>
          <cell r="X37">
            <v>-1050</v>
          </cell>
          <cell r="Y37">
            <v>-32.79318</v>
          </cell>
          <cell r="Z37">
            <v>97.255470000000003</v>
          </cell>
          <cell r="AA37">
            <v>0.97017999999999993</v>
          </cell>
          <cell r="AB37">
            <v>0</v>
          </cell>
          <cell r="AC37">
            <v>-1468.6222299999999</v>
          </cell>
          <cell r="AD37">
            <v>19.598300000000002</v>
          </cell>
          <cell r="AE37">
            <v>-22.099969999999999</v>
          </cell>
          <cell r="AF37">
            <v>-233.80360000000002</v>
          </cell>
          <cell r="AG37">
            <v>0</v>
          </cell>
          <cell r="AH37">
            <v>798.09037000000012</v>
          </cell>
          <cell r="AI37">
            <v>196.00701999999995</v>
          </cell>
          <cell r="AJ37">
            <v>20.074160000000028</v>
          </cell>
          <cell r="AK37">
            <v>-4.8540700000000001</v>
          </cell>
          <cell r="AL37">
            <v>-1813.5163799999996</v>
          </cell>
          <cell r="AM37">
            <v>1483.0138900000002</v>
          </cell>
          <cell r="AN37">
            <v>-510.10907999999995</v>
          </cell>
          <cell r="AO37">
            <v>-366.47404</v>
          </cell>
          <cell r="AP37">
            <v>-30.825010000000002</v>
          </cell>
          <cell r="AQ37">
            <v>-153.58054999999999</v>
          </cell>
          <cell r="AR37">
            <v>-125.65519</v>
          </cell>
          <cell r="AT37">
            <v>-414.7923900000003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229.06500000000005</v>
          </cell>
          <cell r="BG37">
            <v>11.880169999999998</v>
          </cell>
          <cell r="BH37">
            <v>0.88544</v>
          </cell>
          <cell r="BI37">
            <v>-0.19353000000000001</v>
          </cell>
          <cell r="BJ37">
            <v>0</v>
          </cell>
          <cell r="BK37">
            <v>706.5432100000005</v>
          </cell>
        </row>
        <row r="38">
          <cell r="C38">
            <v>13321.478509999999</v>
          </cell>
          <cell r="N38">
            <v>5730.5910999999978</v>
          </cell>
          <cell r="O38">
            <v>-26.591409999999996</v>
          </cell>
          <cell r="P38">
            <v>0</v>
          </cell>
          <cell r="Q38">
            <v>0</v>
          </cell>
          <cell r="R38">
            <v>0</v>
          </cell>
          <cell r="S38">
            <v>-69.137470000000008</v>
          </cell>
          <cell r="T38">
            <v>-13.49718</v>
          </cell>
          <cell r="U38">
            <v>0</v>
          </cell>
          <cell r="V38">
            <v>-3325.8837599999997</v>
          </cell>
          <cell r="W38">
            <v>0</v>
          </cell>
          <cell r="X38">
            <v>0</v>
          </cell>
          <cell r="Y38">
            <v>-43.591239999999999</v>
          </cell>
          <cell r="Z38">
            <v>108.15514999999999</v>
          </cell>
          <cell r="AA38">
            <v>1.48583</v>
          </cell>
          <cell r="AB38">
            <v>0</v>
          </cell>
          <cell r="AC38">
            <v>-2244.9253899999999</v>
          </cell>
          <cell r="AD38">
            <v>12.25057</v>
          </cell>
          <cell r="AE38">
            <v>-17.509519999999998</v>
          </cell>
          <cell r="AF38">
            <v>-225.40093999999999</v>
          </cell>
          <cell r="AG38">
            <v>0</v>
          </cell>
          <cell r="AH38">
            <v>2553.9029099999998</v>
          </cell>
          <cell r="AI38">
            <v>101.29584</v>
          </cell>
          <cell r="AJ38">
            <v>36.163739999999997</v>
          </cell>
          <cell r="AK38">
            <v>0.38514999999999999</v>
          </cell>
          <cell r="AL38">
            <v>-1693.8271299999997</v>
          </cell>
          <cell r="AM38">
            <v>1413.9826699999996</v>
          </cell>
          <cell r="AN38">
            <v>-506.17824999999993</v>
          </cell>
          <cell r="AO38">
            <v>-314.25408999999996</v>
          </cell>
          <cell r="AP38">
            <v>-18.194269999999999</v>
          </cell>
          <cell r="AQ38">
            <v>-124.57531000000002</v>
          </cell>
          <cell r="AR38">
            <v>-138.53049000000001</v>
          </cell>
          <cell r="AT38">
            <v>-409.73166999999989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8.7379999999999995</v>
          </cell>
          <cell r="BG38">
            <v>-1.7685799999999998</v>
          </cell>
          <cell r="BH38">
            <v>-3.1670099999999999</v>
          </cell>
          <cell r="BI38">
            <v>-5.1830000000000001E-2</v>
          </cell>
          <cell r="BJ38">
            <v>0</v>
          </cell>
          <cell r="BK38">
            <v>790.13541999999779</v>
          </cell>
        </row>
        <row r="39">
          <cell r="C39">
            <v>14310.26</v>
          </cell>
          <cell r="N39">
            <v>7429.1136819037274</v>
          </cell>
          <cell r="O39">
            <v>-1031.0619562597817</v>
          </cell>
          <cell r="P39">
            <v>-66.355924200494229</v>
          </cell>
          <cell r="Q39">
            <v>-470.89500831882003</v>
          </cell>
          <cell r="R39">
            <v>0</v>
          </cell>
          <cell r="S39">
            <v>-101.65429539834972</v>
          </cell>
          <cell r="T39">
            <v>-55.33547595326317</v>
          </cell>
          <cell r="U39">
            <v>0</v>
          </cell>
          <cell r="V39">
            <v>-1705.4942721266355</v>
          </cell>
          <cell r="W39">
            <v>-109.76027964036177</v>
          </cell>
          <cell r="X39">
            <v>-778.91414243823033</v>
          </cell>
          <cell r="Y39">
            <v>-66.085516505667883</v>
          </cell>
          <cell r="Z39">
            <v>70.157914280402935</v>
          </cell>
          <cell r="AA39">
            <v>0</v>
          </cell>
          <cell r="AB39">
            <v>0</v>
          </cell>
          <cell r="AC39">
            <v>-1028.1908978227923</v>
          </cell>
          <cell r="AD39">
            <v>0</v>
          </cell>
          <cell r="AE39">
            <v>0</v>
          </cell>
          <cell r="AF39">
            <v>-143.59634872410729</v>
          </cell>
          <cell r="AG39">
            <v>0</v>
          </cell>
          <cell r="AH39">
            <v>1171.7872465468995</v>
          </cell>
          <cell r="AI39">
            <v>66.085516505667883</v>
          </cell>
          <cell r="AJ39">
            <v>0</v>
          </cell>
          <cell r="AK39">
            <v>0</v>
          </cell>
          <cell r="AL39">
            <v>-1010.6649879518807</v>
          </cell>
          <cell r="AM39">
            <v>0</v>
          </cell>
          <cell r="AN39">
            <v>0</v>
          </cell>
          <cell r="AO39">
            <v>-344.94515044351249</v>
          </cell>
          <cell r="AP39">
            <v>-19.736378733087751</v>
          </cell>
          <cell r="AQ39">
            <v>-175.85768778545227</v>
          </cell>
          <cell r="AR39">
            <v>-192.05202259595603</v>
          </cell>
          <cell r="AT39">
            <v>-549.59358956367828</v>
          </cell>
          <cell r="AU39">
            <v>0</v>
          </cell>
          <cell r="AV39">
            <v>27.623942012981075</v>
          </cell>
          <cell r="AW39">
            <v>30.054052184510319</v>
          </cell>
          <cell r="AX39">
            <v>0</v>
          </cell>
          <cell r="AY39">
            <v>45.693156061736502</v>
          </cell>
          <cell r="AZ39">
            <v>49.712835919981188</v>
          </cell>
          <cell r="BA39">
            <v>2.1907733308761723</v>
          </cell>
          <cell r="BB39">
            <v>-2.4162409512838932</v>
          </cell>
          <cell r="BC39">
            <v>0</v>
          </cell>
          <cell r="BD39">
            <v>0</v>
          </cell>
          <cell r="BE39">
            <v>17.807499999999997</v>
          </cell>
          <cell r="BF39">
            <v>-17.807499999999997</v>
          </cell>
          <cell r="BG39">
            <v>-2.1907733308761723</v>
          </cell>
          <cell r="BH39">
            <v>0</v>
          </cell>
          <cell r="BI39">
            <v>0</v>
          </cell>
          <cell r="BJ39">
            <v>0</v>
          </cell>
          <cell r="BK39">
            <v>1037.6181700025522</v>
          </cell>
        </row>
        <row r="41">
          <cell r="C41">
            <v>34074.339359999998</v>
          </cell>
          <cell r="N41">
            <v>12091.597999999998</v>
          </cell>
          <cell r="O41">
            <v>-9.0022000000000002</v>
          </cell>
          <cell r="P41">
            <v>0</v>
          </cell>
          <cell r="Q41">
            <v>-2.7149999999999999</v>
          </cell>
          <cell r="R41">
            <v>0</v>
          </cell>
          <cell r="S41">
            <v>-331.46199000000001</v>
          </cell>
          <cell r="T41">
            <v>-6.8920700000000004</v>
          </cell>
          <cell r="U41">
            <v>0</v>
          </cell>
          <cell r="V41">
            <v>-5209.5955276724717</v>
          </cell>
          <cell r="W41">
            <v>0</v>
          </cell>
          <cell r="X41">
            <v>-1914.9134223275287</v>
          </cell>
          <cell r="Y41">
            <v>-149.83702</v>
          </cell>
          <cell r="Z41">
            <v>883.40376999999989</v>
          </cell>
          <cell r="AA41">
            <v>16.560880000000001</v>
          </cell>
          <cell r="AB41">
            <v>0</v>
          </cell>
          <cell r="AC41">
            <v>-4514.0366900000008</v>
          </cell>
          <cell r="AD41">
            <v>1303.70445</v>
          </cell>
          <cell r="AE41">
            <v>-157.39875000000001</v>
          </cell>
          <cell r="AF41">
            <v>-1301.7967899999999</v>
          </cell>
          <cell r="AG41">
            <v>0</v>
          </cell>
          <cell r="AH41">
            <v>4393.8616700000002</v>
          </cell>
          <cell r="AI41">
            <v>2304.9401800000005</v>
          </cell>
          <cell r="AJ41">
            <v>-355.26563000000033</v>
          </cell>
          <cell r="AK41">
            <v>-184.84557999999998</v>
          </cell>
          <cell r="AL41">
            <v>-6564.4380400000027</v>
          </cell>
          <cell r="AM41">
            <v>5605.7176299999992</v>
          </cell>
          <cell r="AN41">
            <v>-1412.2246399999999</v>
          </cell>
          <cell r="AO41">
            <v>-654.99582999999996</v>
          </cell>
          <cell r="AP41">
            <v>-68.01437</v>
          </cell>
          <cell r="AQ41">
            <v>-400.63448</v>
          </cell>
          <cell r="AR41">
            <v>-230.92827</v>
          </cell>
          <cell r="AT41">
            <v>-261.73435999999998</v>
          </cell>
          <cell r="AU41">
            <v>0</v>
          </cell>
          <cell r="AV41">
            <v>0</v>
          </cell>
          <cell r="AW41">
            <v>0</v>
          </cell>
          <cell r="AX41">
            <v>111.44824011718663</v>
          </cell>
          <cell r="AY41">
            <v>0</v>
          </cell>
          <cell r="AZ41">
            <v>42.462919882813367</v>
          </cell>
          <cell r="BA41">
            <v>3.32884</v>
          </cell>
          <cell r="BB41">
            <v>-19.084220000000002</v>
          </cell>
          <cell r="BC41">
            <v>-0.36684</v>
          </cell>
          <cell r="BD41">
            <v>0</v>
          </cell>
          <cell r="BE41">
            <v>4.7512999999999987</v>
          </cell>
          <cell r="BF41">
            <v>128.12925000000212</v>
          </cell>
          <cell r="BG41">
            <v>-90.39058</v>
          </cell>
          <cell r="BH41">
            <v>-108.76614999999997</v>
          </cell>
          <cell r="BI41">
            <v>5.5977900000000007</v>
          </cell>
          <cell r="BJ41">
            <v>5.3290705182007515E-18</v>
          </cell>
          <cell r="BK41">
            <v>2946.1664699999965</v>
          </cell>
        </row>
        <row r="42">
          <cell r="C42">
            <v>33936.046259999996</v>
          </cell>
          <cell r="N42">
            <v>12516.155129999996</v>
          </cell>
          <cell r="O42">
            <v>-19.249410000000001</v>
          </cell>
          <cell r="P42">
            <v>0</v>
          </cell>
          <cell r="Q42">
            <v>0</v>
          </cell>
          <cell r="R42">
            <v>0</v>
          </cell>
          <cell r="S42">
            <v>-234.70744000000002</v>
          </cell>
          <cell r="T42">
            <v>-16.510370000000002</v>
          </cell>
          <cell r="U42">
            <v>0</v>
          </cell>
          <cell r="V42">
            <v>-6051.2322125539795</v>
          </cell>
          <cell r="W42">
            <v>0</v>
          </cell>
          <cell r="X42">
            <v>-1902.1068174460211</v>
          </cell>
          <cell r="Y42">
            <v>-267.83199999999999</v>
          </cell>
          <cell r="Z42">
            <v>898.63729999999998</v>
          </cell>
          <cell r="AA42">
            <v>30.93327</v>
          </cell>
          <cell r="AB42">
            <v>0</v>
          </cell>
          <cell r="AC42">
            <v>-5173.9388199999994</v>
          </cell>
          <cell r="AD42">
            <v>242.57560000000001</v>
          </cell>
          <cell r="AE42">
            <v>-135.78157000000002</v>
          </cell>
          <cell r="AF42">
            <v>-1414.16905</v>
          </cell>
          <cell r="AG42">
            <v>0</v>
          </cell>
          <cell r="AH42">
            <v>2227.7930199999983</v>
          </cell>
          <cell r="AI42">
            <v>-171.51516000000004</v>
          </cell>
          <cell r="AJ42">
            <v>-135.50848999999999</v>
          </cell>
          <cell r="AK42">
            <v>21.570280000000007</v>
          </cell>
          <cell r="AL42">
            <v>-6617.0495899999987</v>
          </cell>
          <cell r="AM42">
            <v>5502.2537499999999</v>
          </cell>
          <cell r="AN42">
            <v>-1342.2821200000001</v>
          </cell>
          <cell r="AO42">
            <v>-483.11225000000002</v>
          </cell>
          <cell r="AP42">
            <v>-33.315020000000004</v>
          </cell>
          <cell r="AQ42">
            <v>-303.71171000000004</v>
          </cell>
          <cell r="AR42">
            <v>-274.17734999999999</v>
          </cell>
          <cell r="AT42">
            <v>-391.01914000000005</v>
          </cell>
          <cell r="AU42">
            <v>0</v>
          </cell>
          <cell r="AV42">
            <v>0</v>
          </cell>
          <cell r="AW42">
            <v>0</v>
          </cell>
          <cell r="AX42">
            <v>157.82995921120835</v>
          </cell>
          <cell r="AY42">
            <v>0</v>
          </cell>
          <cell r="AZ42">
            <v>85.170890788791667</v>
          </cell>
          <cell r="BA42">
            <v>7.6736400000000007</v>
          </cell>
          <cell r="BB42">
            <v>-27.456349999999997</v>
          </cell>
          <cell r="BC42">
            <v>-0.86260999999999999</v>
          </cell>
          <cell r="BD42">
            <v>0</v>
          </cell>
          <cell r="BE42">
            <v>70.742279999999994</v>
          </cell>
          <cell r="BF42">
            <v>-837.14840999999819</v>
          </cell>
          <cell r="BG42">
            <v>-27.622739999999983</v>
          </cell>
          <cell r="BH42">
            <v>117.22371999999999</v>
          </cell>
          <cell r="BI42">
            <v>3.19652</v>
          </cell>
          <cell r="BJ42">
            <v>0</v>
          </cell>
          <cell r="BK42">
            <v>-3978.5532700000035</v>
          </cell>
        </row>
        <row r="43">
          <cell r="C43">
            <v>35573.32</v>
          </cell>
          <cell r="N43">
            <v>13506.44242949651</v>
          </cell>
          <cell r="O43">
            <v>-735.4426257941459</v>
          </cell>
          <cell r="P43">
            <v>0</v>
          </cell>
          <cell r="Q43">
            <v>-214.0660694499081</v>
          </cell>
          <cell r="R43">
            <v>0</v>
          </cell>
          <cell r="S43">
            <v>-517.60364615794879</v>
          </cell>
          <cell r="T43">
            <v>-129.083631970939</v>
          </cell>
          <cell r="U43">
            <v>0</v>
          </cell>
          <cell r="V43">
            <v>-5220.2715031671623</v>
          </cell>
          <cell r="W43">
            <v>0</v>
          </cell>
          <cell r="X43">
            <v>-1519.4699939205684</v>
          </cell>
          <cell r="Y43">
            <v>-154.96785820024698</v>
          </cell>
          <cell r="Z43">
            <v>763.75001537151536</v>
          </cell>
          <cell r="AA43">
            <v>0</v>
          </cell>
          <cell r="AB43">
            <v>0</v>
          </cell>
          <cell r="AC43">
            <v>-2117.6323309020681</v>
          </cell>
          <cell r="AD43">
            <v>0</v>
          </cell>
          <cell r="AE43">
            <v>0</v>
          </cell>
          <cell r="AF43">
            <v>-1686.6363638163784</v>
          </cell>
          <cell r="AG43">
            <v>0</v>
          </cell>
          <cell r="AH43">
            <v>4116.7686947184466</v>
          </cell>
          <cell r="AI43">
            <v>154.96785820024698</v>
          </cell>
          <cell r="AJ43">
            <v>0</v>
          </cell>
          <cell r="AK43">
            <v>0</v>
          </cell>
          <cell r="AL43">
            <v>-2662.1109644980675</v>
          </cell>
          <cell r="AM43">
            <v>0</v>
          </cell>
          <cell r="AN43">
            <v>0</v>
          </cell>
          <cell r="AO43">
            <v>-718.92419967000831</v>
          </cell>
          <cell r="AP43">
            <v>-49.45010662915567</v>
          </cell>
          <cell r="AQ43">
            <v>-466.65068406274497</v>
          </cell>
          <cell r="AR43">
            <v>-370.22416884891254</v>
          </cell>
          <cell r="AT43">
            <v>-440.10502914018878</v>
          </cell>
          <cell r="AU43">
            <v>29.413601907295458</v>
          </cell>
          <cell r="AV43">
            <v>0</v>
          </cell>
          <cell r="AW43">
            <v>15.330783520027424</v>
          </cell>
          <cell r="AX43">
            <v>208.78173559270456</v>
          </cell>
          <cell r="AY43">
            <v>0</v>
          </cell>
          <cell r="AZ43">
            <v>108.81998068089266</v>
          </cell>
          <cell r="BA43">
            <v>7.0620705672310375</v>
          </cell>
          <cell r="BB43">
            <v>-36.15883182236017</v>
          </cell>
          <cell r="BC43">
            <v>0</v>
          </cell>
          <cell r="BD43">
            <v>0</v>
          </cell>
          <cell r="BE43">
            <v>305.67930000000001</v>
          </cell>
          <cell r="BF43">
            <v>-423.18858624999996</v>
          </cell>
          <cell r="BG43">
            <v>-7.0620705672310375</v>
          </cell>
          <cell r="BH43">
            <v>0</v>
          </cell>
          <cell r="BI43">
            <v>0</v>
          </cell>
          <cell r="BJ43">
            <v>0</v>
          </cell>
          <cell r="BK43">
            <v>1747.967805186835</v>
          </cell>
        </row>
        <row r="45">
          <cell r="C45">
            <v>14846.62047</v>
          </cell>
          <cell r="N45">
            <v>5912.2976300000009</v>
          </cell>
          <cell r="O45">
            <v>-25.2089</v>
          </cell>
          <cell r="P45">
            <v>0</v>
          </cell>
          <cell r="Q45">
            <v>0</v>
          </cell>
          <cell r="R45">
            <v>0</v>
          </cell>
          <cell r="S45">
            <v>-93.219270000000009</v>
          </cell>
          <cell r="T45">
            <v>-14.46167</v>
          </cell>
          <cell r="U45">
            <v>0</v>
          </cell>
          <cell r="V45">
            <v>-2766.4912584613362</v>
          </cell>
          <cell r="W45">
            <v>0</v>
          </cell>
          <cell r="X45">
            <v>-521.47325153866393</v>
          </cell>
          <cell r="Y45">
            <v>-69.149860000000004</v>
          </cell>
          <cell r="Z45">
            <v>407.69129000000004</v>
          </cell>
          <cell r="AA45">
            <v>7.6428500000000001</v>
          </cell>
          <cell r="AB45">
            <v>0</v>
          </cell>
          <cell r="AC45">
            <v>-922.75610000000006</v>
          </cell>
          <cell r="AD45">
            <v>189.93075000000002</v>
          </cell>
          <cell r="AE45">
            <v>-52.11148</v>
          </cell>
          <cell r="AF45">
            <v>-380.55011999999999</v>
          </cell>
          <cell r="AG45">
            <v>0</v>
          </cell>
          <cell r="AH45">
            <v>2017.1678699999998</v>
          </cell>
          <cell r="AI45">
            <v>509.86567000000008</v>
          </cell>
          <cell r="AJ45">
            <v>-141.38680000000008</v>
          </cell>
          <cell r="AK45">
            <v>-56.767919999999997</v>
          </cell>
          <cell r="AL45">
            <v>-2425.7853499999997</v>
          </cell>
          <cell r="AM45">
            <v>2166.0727799999995</v>
          </cell>
          <cell r="AN45">
            <v>-695.35512000000006</v>
          </cell>
          <cell r="AO45">
            <v>-155.88338999999999</v>
          </cell>
          <cell r="AP45">
            <v>-19.454140000000002</v>
          </cell>
          <cell r="AQ45">
            <v>-111.14628999999999</v>
          </cell>
          <cell r="AR45">
            <v>-102.36949</v>
          </cell>
          <cell r="AT45">
            <v>-141.69077999999993</v>
          </cell>
          <cell r="AU45">
            <v>0</v>
          </cell>
          <cell r="AV45">
            <v>0</v>
          </cell>
          <cell r="AW45">
            <v>0</v>
          </cell>
          <cell r="AX45">
            <v>-34.05835419462494</v>
          </cell>
          <cell r="AY45">
            <v>0</v>
          </cell>
          <cell r="AZ45">
            <v>34.05835419462494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-1500</v>
          </cell>
          <cell r="BG45">
            <v>-43.955419999999997</v>
          </cell>
          <cell r="BH45">
            <v>199.47221999999999</v>
          </cell>
          <cell r="BI45">
            <v>6.1467000000000001</v>
          </cell>
          <cell r="BJ45">
            <v>0</v>
          </cell>
          <cell r="BK45">
            <v>1177.0711500000011</v>
          </cell>
        </row>
        <row r="46">
          <cell r="C46">
            <v>14408.480090000001</v>
          </cell>
          <cell r="N46">
            <v>5917.3515700000016</v>
          </cell>
          <cell r="O46">
            <v>-24.81373</v>
          </cell>
          <cell r="P46">
            <v>0</v>
          </cell>
          <cell r="Q46">
            <v>0</v>
          </cell>
          <cell r="R46">
            <v>0</v>
          </cell>
          <cell r="S46">
            <v>-76.160970000000006</v>
          </cell>
          <cell r="T46">
            <v>-7.0851900000000008</v>
          </cell>
          <cell r="U46">
            <v>0</v>
          </cell>
          <cell r="V46">
            <v>-3124.4179300000001</v>
          </cell>
          <cell r="W46">
            <v>0</v>
          </cell>
          <cell r="X46">
            <v>0</v>
          </cell>
          <cell r="Y46">
            <v>-105.21608000000001</v>
          </cell>
          <cell r="Z46">
            <v>353.02386999999999</v>
          </cell>
          <cell r="AA46">
            <v>12.15194</v>
          </cell>
          <cell r="AB46">
            <v>0</v>
          </cell>
          <cell r="AC46">
            <v>-1555.5780799999998</v>
          </cell>
          <cell r="AD46">
            <v>193.68030000000002</v>
          </cell>
          <cell r="AE46">
            <v>-45.442889999999998</v>
          </cell>
          <cell r="AF46">
            <v>-315.04079000000002</v>
          </cell>
          <cell r="AG46">
            <v>0</v>
          </cell>
          <cell r="AH46">
            <v>4631.2767199999998</v>
          </cell>
          <cell r="AI46">
            <v>115.05813999999998</v>
          </cell>
          <cell r="AJ46">
            <v>-293.0003099999999</v>
          </cell>
          <cell r="AK46">
            <v>-3.7250700000000001</v>
          </cell>
          <cell r="AL46">
            <v>-2311.0446400000001</v>
          </cell>
          <cell r="AM46">
            <v>2017.3907199999999</v>
          </cell>
          <cell r="AN46">
            <v>-624.57485999999994</v>
          </cell>
          <cell r="AO46">
            <v>-174.27187999999998</v>
          </cell>
          <cell r="AP46">
            <v>-8.0763599999999993</v>
          </cell>
          <cell r="AQ46">
            <v>-86.037319999999994</v>
          </cell>
          <cell r="AR46">
            <v>-104.27783000000001</v>
          </cell>
          <cell r="AT46">
            <v>-191.75790999999995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4189.4114200000004</v>
          </cell>
        </row>
        <row r="47">
          <cell r="C47">
            <v>15674.07</v>
          </cell>
          <cell r="N47">
            <v>6997.8755012949223</v>
          </cell>
          <cell r="O47">
            <v>-336.6461608680479</v>
          </cell>
          <cell r="P47">
            <v>0</v>
          </cell>
          <cell r="Q47">
            <v>-110.91060513392733</v>
          </cell>
          <cell r="R47">
            <v>0</v>
          </cell>
          <cell r="S47">
            <v>-183.13565785780025</v>
          </cell>
          <cell r="T47">
            <v>0</v>
          </cell>
          <cell r="U47">
            <v>0</v>
          </cell>
          <cell r="V47">
            <v>-2389.5601078771297</v>
          </cell>
          <cell r="W47">
            <v>0</v>
          </cell>
          <cell r="X47">
            <v>-787.25851762327227</v>
          </cell>
          <cell r="Y47">
            <v>-72.758035785805006</v>
          </cell>
          <cell r="Z47">
            <v>358.5837196140094</v>
          </cell>
          <cell r="AA47">
            <v>0</v>
          </cell>
          <cell r="AB47">
            <v>0</v>
          </cell>
          <cell r="AC47">
            <v>-1971.0444728935058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1971.0444728935058</v>
          </cell>
          <cell r="AI47">
            <v>72.758035785805006</v>
          </cell>
          <cell r="AJ47">
            <v>0</v>
          </cell>
          <cell r="AK47">
            <v>0</v>
          </cell>
          <cell r="AL47">
            <v>-1035.159367177901</v>
          </cell>
          <cell r="AM47">
            <v>0</v>
          </cell>
          <cell r="AN47">
            <v>0</v>
          </cell>
          <cell r="AO47">
            <v>-214.67707256147173</v>
          </cell>
          <cell r="AP47">
            <v>-17.322824779887949</v>
          </cell>
          <cell r="AQ47">
            <v>-159.48450543904951</v>
          </cell>
          <cell r="AR47">
            <v>-178.00277400345774</v>
          </cell>
          <cell r="AT47">
            <v>-180.37056088356113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1763.9310667034251</v>
          </cell>
        </row>
        <row r="49">
          <cell r="C49">
            <v>19322.857210000002</v>
          </cell>
          <cell r="N49">
            <v>11585.330679999999</v>
          </cell>
          <cell r="O49">
            <v>-514.33128000000011</v>
          </cell>
          <cell r="P49">
            <v>0</v>
          </cell>
          <cell r="Q49">
            <v>0</v>
          </cell>
          <cell r="R49">
            <v>11.118450000000001</v>
          </cell>
          <cell r="S49">
            <v>-183.85109</v>
          </cell>
          <cell r="T49">
            <v>-25.815359999999998</v>
          </cell>
          <cell r="U49">
            <v>0</v>
          </cell>
          <cell r="V49">
            <v>-5802.7625399999997</v>
          </cell>
          <cell r="W49">
            <v>0</v>
          </cell>
          <cell r="X49">
            <v>-650</v>
          </cell>
          <cell r="Y49">
            <v>-52.802699999999994</v>
          </cell>
          <cell r="Z49">
            <v>295.77573999999998</v>
          </cell>
          <cell r="AA49">
            <v>2.6786799999999999</v>
          </cell>
          <cell r="AB49">
            <v>0</v>
          </cell>
          <cell r="AC49">
            <v>-4985.9162900000001</v>
          </cell>
          <cell r="AD49">
            <v>95.927340000000001</v>
          </cell>
          <cell r="AE49">
            <v>-48.914419999999993</v>
          </cell>
          <cell r="AF49">
            <v>-647.22080999999991</v>
          </cell>
          <cell r="AG49">
            <v>0</v>
          </cell>
          <cell r="AH49">
            <v>6381.4345300000004</v>
          </cell>
          <cell r="AI49">
            <v>853.02551000000005</v>
          </cell>
          <cell r="AJ49">
            <v>-537.95037000000002</v>
          </cell>
          <cell r="AK49">
            <v>-34.841889999999999</v>
          </cell>
          <cell r="AL49">
            <v>-2742.2644099999998</v>
          </cell>
          <cell r="AM49">
            <v>1902.5063999999998</v>
          </cell>
          <cell r="AN49">
            <v>-898.10197999999991</v>
          </cell>
          <cell r="AO49">
            <v>-569.31982999999991</v>
          </cell>
          <cell r="AP49">
            <v>-56.88449</v>
          </cell>
          <cell r="AQ49">
            <v>-341.64832999999999</v>
          </cell>
          <cell r="AR49">
            <v>-201.46960999999999</v>
          </cell>
          <cell r="AT49">
            <v>-468.80747000000036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23.191160000000011</v>
          </cell>
          <cell r="BF49">
            <v>1181.7277799999997</v>
          </cell>
          <cell r="BG49">
            <v>-6.5572100000000004</v>
          </cell>
          <cell r="BH49">
            <v>-69.174109999999999</v>
          </cell>
          <cell r="BI49">
            <v>4.838000000000009E-2</v>
          </cell>
          <cell r="BJ49">
            <v>2.1316282072803006E-17</v>
          </cell>
          <cell r="BK49">
            <v>3494.1304599999994</v>
          </cell>
        </row>
        <row r="50">
          <cell r="C50">
            <v>19452.615629999997</v>
          </cell>
          <cell r="N50">
            <v>11519.039879999998</v>
          </cell>
          <cell r="O50">
            <v>-226.82358999999997</v>
          </cell>
          <cell r="P50">
            <v>0</v>
          </cell>
          <cell r="Q50">
            <v>0</v>
          </cell>
          <cell r="R50">
            <v>2.75</v>
          </cell>
          <cell r="S50">
            <v>-168.42316</v>
          </cell>
          <cell r="T50">
            <v>-26.16892</v>
          </cell>
          <cell r="U50">
            <v>0</v>
          </cell>
          <cell r="V50">
            <v>-6081.2565700000005</v>
          </cell>
          <cell r="W50">
            <v>0</v>
          </cell>
          <cell r="X50">
            <v>-973</v>
          </cell>
          <cell r="Y50">
            <v>-119.06688</v>
          </cell>
          <cell r="Z50">
            <v>321.10278</v>
          </cell>
          <cell r="AA50">
            <v>5.9582899999999999</v>
          </cell>
          <cell r="AB50">
            <v>0</v>
          </cell>
          <cell r="AC50">
            <v>-5340.6344499999996</v>
          </cell>
          <cell r="AD50">
            <v>241.72164000000001</v>
          </cell>
          <cell r="AE50">
            <v>-43.153800000000004</v>
          </cell>
          <cell r="AF50">
            <v>-615.10775000000001</v>
          </cell>
          <cell r="AG50">
            <v>0</v>
          </cell>
          <cell r="AH50">
            <v>5773.3043600000001</v>
          </cell>
          <cell r="AI50">
            <v>188.94525999999999</v>
          </cell>
          <cell r="AJ50">
            <v>-85.590619999999944</v>
          </cell>
          <cell r="AK50">
            <v>-1.85365</v>
          </cell>
          <cell r="AL50">
            <v>-2792.62599</v>
          </cell>
          <cell r="AM50">
            <v>2057.2207900000008</v>
          </cell>
          <cell r="AN50">
            <v>-935.05751000000032</v>
          </cell>
          <cell r="AO50">
            <v>-494.30487000000005</v>
          </cell>
          <cell r="AP50">
            <v>-30.541340000000002</v>
          </cell>
          <cell r="AQ50">
            <v>-264.46123</v>
          </cell>
          <cell r="AR50">
            <v>-238.03748000000002</v>
          </cell>
          <cell r="AT50">
            <v>-506.86477999999988</v>
          </cell>
          <cell r="AU50">
            <v>0</v>
          </cell>
          <cell r="AV50">
            <v>0</v>
          </cell>
          <cell r="AW50">
            <v>0</v>
          </cell>
          <cell r="AX50">
            <v>0.51</v>
          </cell>
          <cell r="AY50">
            <v>0</v>
          </cell>
          <cell r="AZ50">
            <v>0</v>
          </cell>
          <cell r="BA50">
            <v>9.9499999999999988E-3</v>
          </cell>
          <cell r="BB50">
            <v>-2.3210000000000001E-2</v>
          </cell>
          <cell r="BC50">
            <v>-4.4000000000000002E-4</v>
          </cell>
          <cell r="BD50">
            <v>0</v>
          </cell>
          <cell r="BE50">
            <v>45.533770000000004</v>
          </cell>
          <cell r="BF50">
            <v>68.798999999999921</v>
          </cell>
          <cell r="BG50">
            <v>-4.8600900000000005</v>
          </cell>
          <cell r="BH50">
            <v>-24.896520000000006</v>
          </cell>
          <cell r="BI50">
            <v>-0.42444999999999999</v>
          </cell>
          <cell r="BJ50">
            <v>0</v>
          </cell>
          <cell r="BK50">
            <v>1251.7184199999979</v>
          </cell>
        </row>
        <row r="51">
          <cell r="C51">
            <v>17744.02</v>
          </cell>
          <cell r="N51">
            <v>11947.373838708574</v>
          </cell>
          <cell r="O51">
            <v>-2073.2248218984887</v>
          </cell>
          <cell r="P51">
            <v>0</v>
          </cell>
          <cell r="Q51">
            <v>-278.67147148720056</v>
          </cell>
          <cell r="R51">
            <v>0</v>
          </cell>
          <cell r="S51">
            <v>-213.044528283087</v>
          </cell>
          <cell r="T51">
            <v>-94.191998673032955</v>
          </cell>
          <cell r="U51">
            <v>0</v>
          </cell>
          <cell r="V51">
            <v>-4025.4097675109078</v>
          </cell>
          <cell r="W51">
            <v>0</v>
          </cell>
          <cell r="X51">
            <v>-541.07342889325082</v>
          </cell>
          <cell r="Y51">
            <v>-113.78924982865092</v>
          </cell>
          <cell r="Z51">
            <v>201.45837524962889</v>
          </cell>
          <cell r="AA51">
            <v>0</v>
          </cell>
          <cell r="AB51">
            <v>0</v>
          </cell>
          <cell r="AC51">
            <v>-2947.7900950401322</v>
          </cell>
          <cell r="AD51">
            <v>0</v>
          </cell>
          <cell r="AE51">
            <v>0</v>
          </cell>
          <cell r="AF51">
            <v>-224.65175577614525</v>
          </cell>
          <cell r="AG51">
            <v>0</v>
          </cell>
          <cell r="AH51">
            <v>3422.441850816278</v>
          </cell>
          <cell r="AI51">
            <v>113.78924982865092</v>
          </cell>
          <cell r="AJ51">
            <v>0</v>
          </cell>
          <cell r="AK51">
            <v>0</v>
          </cell>
          <cell r="AL51">
            <v>-1722.1225970670885</v>
          </cell>
          <cell r="AM51">
            <v>0</v>
          </cell>
          <cell r="AN51">
            <v>0</v>
          </cell>
          <cell r="AO51">
            <v>-538.24436174710752</v>
          </cell>
          <cell r="AP51">
            <v>-31.294359899953754</v>
          </cell>
          <cell r="AQ51">
            <v>-398.9773177799425</v>
          </cell>
          <cell r="AR51">
            <v>-298.20569065566752</v>
          </cell>
          <cell r="AT51">
            <v>-521.87228514210506</v>
          </cell>
          <cell r="AU51">
            <v>47.776662464241191</v>
          </cell>
          <cell r="AV51">
            <v>0</v>
          </cell>
          <cell r="AW51">
            <v>27.32068240135937</v>
          </cell>
          <cell r="AX51">
            <v>92.76400789303537</v>
          </cell>
          <cell r="AY51">
            <v>0</v>
          </cell>
          <cell r="AZ51">
            <v>53.046317327412453</v>
          </cell>
          <cell r="BA51">
            <v>3.4973163006852745</v>
          </cell>
          <cell r="BB51">
            <v>-6.4326769609623007</v>
          </cell>
          <cell r="BC51">
            <v>0</v>
          </cell>
          <cell r="BD51">
            <v>0</v>
          </cell>
          <cell r="BE51">
            <v>378.62661749999995</v>
          </cell>
          <cell r="BF51">
            <v>-378.62661749999995</v>
          </cell>
          <cell r="BG51">
            <v>-3.4973163006852745</v>
          </cell>
          <cell r="BH51">
            <v>0</v>
          </cell>
          <cell r="BI51">
            <v>0</v>
          </cell>
          <cell r="BJ51">
            <v>0</v>
          </cell>
          <cell r="BK51">
            <v>1876.9745780454543</v>
          </cell>
        </row>
        <row r="53">
          <cell r="C53">
            <v>1114.0608300000001</v>
          </cell>
          <cell r="N53">
            <v>930.34387000000004</v>
          </cell>
          <cell r="O53">
            <v>-0.6</v>
          </cell>
          <cell r="P53">
            <v>0</v>
          </cell>
          <cell r="Q53">
            <v>0</v>
          </cell>
          <cell r="R53">
            <v>0</v>
          </cell>
          <cell r="S53">
            <v>-1.5648599999999999</v>
          </cell>
          <cell r="T53">
            <v>0</v>
          </cell>
          <cell r="U53">
            <v>0</v>
          </cell>
          <cell r="V53">
            <v>-61.968409999999999</v>
          </cell>
          <cell r="W53">
            <v>0</v>
          </cell>
          <cell r="X53">
            <v>0</v>
          </cell>
          <cell r="Y53">
            <v>-1.7769999999999999</v>
          </cell>
          <cell r="Z53">
            <v>4.2751700000000001</v>
          </cell>
          <cell r="AA53">
            <v>9.2109999999999997E-2</v>
          </cell>
          <cell r="AB53">
            <v>0</v>
          </cell>
          <cell r="AC53">
            <v>-74.823740000000001</v>
          </cell>
          <cell r="AD53">
            <v>0</v>
          </cell>
          <cell r="AE53">
            <v>-0.48016999999999999</v>
          </cell>
          <cell r="AF53">
            <v>-2.8791700000000002</v>
          </cell>
          <cell r="AG53">
            <v>0</v>
          </cell>
          <cell r="AH53">
            <v>294.7878</v>
          </cell>
          <cell r="AI53">
            <v>14.574190000000002</v>
          </cell>
          <cell r="AJ53">
            <v>-12.765000000000001</v>
          </cell>
          <cell r="AK53">
            <v>-0.63044999999999995</v>
          </cell>
          <cell r="AL53">
            <v>-211.13410999999994</v>
          </cell>
          <cell r="AM53">
            <v>200.59953000000004</v>
          </cell>
          <cell r="AN53">
            <v>-161.44777999999999</v>
          </cell>
          <cell r="AO53">
            <v>-1.0833699999999999</v>
          </cell>
          <cell r="AP53">
            <v>-1.2065000000000001</v>
          </cell>
          <cell r="AQ53">
            <v>-5.7934799999999997</v>
          </cell>
          <cell r="AR53">
            <v>-6.1664599999999998</v>
          </cell>
          <cell r="AT53">
            <v>-7.3312899999999974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0.53789999999999993</v>
          </cell>
          <cell r="BH53">
            <v>-7.0600000000000003E-3</v>
          </cell>
          <cell r="BI53">
            <v>-4.0000000000000003E-5</v>
          </cell>
          <cell r="BJ53">
            <v>0</v>
          </cell>
          <cell r="BK53">
            <v>893.55167999999981</v>
          </cell>
        </row>
        <row r="54">
          <cell r="C54">
            <v>1248.7556599999998</v>
          </cell>
          <cell r="N54">
            <v>387.38824999999991</v>
          </cell>
          <cell r="O54">
            <v>-5.3694800000000003</v>
          </cell>
          <cell r="P54">
            <v>0</v>
          </cell>
          <cell r="Q54">
            <v>0</v>
          </cell>
          <cell r="R54">
            <v>0</v>
          </cell>
          <cell r="S54">
            <v>-0.10423</v>
          </cell>
          <cell r="T54">
            <v>-7.8900000000000012E-2</v>
          </cell>
          <cell r="U54">
            <v>0</v>
          </cell>
          <cell r="V54">
            <v>-94.7346</v>
          </cell>
          <cell r="W54">
            <v>0</v>
          </cell>
          <cell r="X54">
            <v>0</v>
          </cell>
          <cell r="Y54">
            <v>-4.3268399999999998</v>
          </cell>
          <cell r="Z54">
            <v>6.2116199999999999</v>
          </cell>
          <cell r="AA54">
            <v>0.23097999999999999</v>
          </cell>
          <cell r="AB54">
            <v>0</v>
          </cell>
          <cell r="AC54">
            <v>-41.152699999999996</v>
          </cell>
          <cell r="AD54">
            <v>0</v>
          </cell>
          <cell r="AE54">
            <v>-4.3620000000000006E-2</v>
          </cell>
          <cell r="AF54">
            <v>-6.9655199999999997</v>
          </cell>
          <cell r="AG54">
            <v>0</v>
          </cell>
          <cell r="AH54">
            <v>324.43621999999999</v>
          </cell>
          <cell r="AI54">
            <v>13.036670000000003</v>
          </cell>
          <cell r="AJ54">
            <v>-15.447890000000003</v>
          </cell>
          <cell r="AK54">
            <v>-0.45458999999999994</v>
          </cell>
          <cell r="AL54">
            <v>-238.13273999999993</v>
          </cell>
          <cell r="AM54">
            <v>212.91465000000002</v>
          </cell>
          <cell r="AN54">
            <v>-48.190629999999999</v>
          </cell>
          <cell r="AO54">
            <v>-1.7760500000000004</v>
          </cell>
          <cell r="AP54">
            <v>-7.8960000000000002E-2</v>
          </cell>
          <cell r="AQ54">
            <v>-6.1694599999999999</v>
          </cell>
          <cell r="AR54">
            <v>-6.9123599999999996</v>
          </cell>
          <cell r="AT54">
            <v>-3.8012199999999989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-0.61287999999999998</v>
          </cell>
          <cell r="BH54">
            <v>2.63E-2</v>
          </cell>
          <cell r="BI54">
            <v>2.2000000000000001E-4</v>
          </cell>
          <cell r="BJ54">
            <v>0</v>
          </cell>
          <cell r="BK54">
            <v>469.89223999999996</v>
          </cell>
        </row>
        <row r="55">
          <cell r="C55">
            <v>1195.9100000000001</v>
          </cell>
          <cell r="N55">
            <v>418.26758347666481</v>
          </cell>
          <cell r="O55">
            <v>-21.136964826953001</v>
          </cell>
          <cell r="P55">
            <v>0</v>
          </cell>
          <cell r="Q55">
            <v>0</v>
          </cell>
          <cell r="R55">
            <v>0</v>
          </cell>
          <cell r="S55">
            <v>-1.9394115197589699</v>
          </cell>
          <cell r="T55">
            <v>0</v>
          </cell>
          <cell r="U55">
            <v>0</v>
          </cell>
          <cell r="V55">
            <v>-73.203755637533149</v>
          </cell>
          <cell r="W55">
            <v>0</v>
          </cell>
          <cell r="X55">
            <v>0</v>
          </cell>
          <cell r="Y55">
            <v>-1.7981385135900214</v>
          </cell>
          <cell r="Z55">
            <v>4.2260687689263285</v>
          </cell>
          <cell r="AA55">
            <v>0</v>
          </cell>
          <cell r="AB55">
            <v>0</v>
          </cell>
          <cell r="AC55">
            <v>-53.723528465815654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53.723528465815654</v>
          </cell>
          <cell r="AI55">
            <v>1.7981385135900214</v>
          </cell>
          <cell r="AJ55">
            <v>0</v>
          </cell>
          <cell r="AK55">
            <v>0</v>
          </cell>
          <cell r="AL55">
            <v>-78.864647167711325</v>
          </cell>
          <cell r="AM55">
            <v>0</v>
          </cell>
          <cell r="AN55">
            <v>0</v>
          </cell>
          <cell r="AO55">
            <v>-1.3744070139219551</v>
          </cell>
          <cell r="AP55">
            <v>-0.33327357023090254</v>
          </cell>
          <cell r="AQ55">
            <v>-6.4384639961945496</v>
          </cell>
          <cell r="AR55">
            <v>-9.5987028111728243</v>
          </cell>
          <cell r="AT55">
            <v>-17.858899133158722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6.6427500000000013</v>
          </cell>
          <cell r="BF55">
            <v>-6.6427500000000013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211.74512656895575</v>
          </cell>
        </row>
        <row r="57">
          <cell r="C57">
            <v>19.737839999999998</v>
          </cell>
          <cell r="N57">
            <v>20.557409999999997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-0.17632999999999999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-1.5229999999999999E-2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-3.9477699999999998</v>
          </cell>
          <cell r="AM57">
            <v>3.6301600000000005</v>
          </cell>
          <cell r="AN57">
            <v>-3.7941600000000002</v>
          </cell>
          <cell r="AO57">
            <v>-4.4170000000000001E-2</v>
          </cell>
          <cell r="AP57">
            <v>-0.24761000000000002</v>
          </cell>
          <cell r="AQ57">
            <v>-0.50917000000000001</v>
          </cell>
          <cell r="AR57">
            <v>-0.47670999999999997</v>
          </cell>
          <cell r="AT57">
            <v>-13.13068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1.8457399999999982</v>
          </cell>
        </row>
        <row r="58">
          <cell r="C58">
            <v>19.352150000000002</v>
          </cell>
          <cell r="N58">
            <v>20.293139999999998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-4.2599999999999999E-3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-1.7899999999999999E-3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-3.8704300000000003</v>
          </cell>
          <cell r="AM58">
            <v>3.5586799999999998</v>
          </cell>
          <cell r="AN58">
            <v>-3.74702</v>
          </cell>
          <cell r="AO58">
            <v>-8.490000000000001E-3</v>
          </cell>
          <cell r="AP58">
            <v>-1.8800000000000002E-3</v>
          </cell>
          <cell r="AQ58">
            <v>-0.42749999999999994</v>
          </cell>
          <cell r="AR58">
            <v>-0.27239000000000002</v>
          </cell>
          <cell r="AT58">
            <v>-12.62988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2.8881799999999975</v>
          </cell>
        </row>
        <row r="59">
          <cell r="C59">
            <v>15.33</v>
          </cell>
          <cell r="N59">
            <v>17.489798607679127</v>
          </cell>
          <cell r="O59">
            <v>11.863672642688137</v>
          </cell>
          <cell r="P59">
            <v>0</v>
          </cell>
          <cell r="Q59">
            <v>0</v>
          </cell>
          <cell r="R59">
            <v>0</v>
          </cell>
          <cell r="S59">
            <v>-0.16520874157605844</v>
          </cell>
          <cell r="T59">
            <v>-22.517668182869087</v>
          </cell>
          <cell r="U59">
            <v>0</v>
          </cell>
          <cell r="V59">
            <v>8.4849145857477488</v>
          </cell>
          <cell r="W59">
            <v>0</v>
          </cell>
          <cell r="X59">
            <v>0</v>
          </cell>
          <cell r="Y59">
            <v>0.21085241031366331</v>
          </cell>
          <cell r="Z59">
            <v>-0.39648790216082852</v>
          </cell>
          <cell r="AA59">
            <v>0</v>
          </cell>
          <cell r="AB59">
            <v>0</v>
          </cell>
          <cell r="AC59">
            <v>63.411622512087682</v>
          </cell>
          <cell r="AD59">
            <v>0</v>
          </cell>
          <cell r="AE59">
            <v>0</v>
          </cell>
          <cell r="AF59">
            <v>-63.411622512087682</v>
          </cell>
          <cell r="AG59">
            <v>0</v>
          </cell>
          <cell r="AH59">
            <v>0</v>
          </cell>
          <cell r="AI59">
            <v>-0.21085241031366331</v>
          </cell>
          <cell r="AJ59">
            <v>0</v>
          </cell>
          <cell r="AK59">
            <v>0</v>
          </cell>
          <cell r="AL59">
            <v>-3.4878254843534036</v>
          </cell>
          <cell r="AM59">
            <v>0</v>
          </cell>
          <cell r="AN59">
            <v>0</v>
          </cell>
          <cell r="AO59">
            <v>-5.8215929519609744E-2</v>
          </cell>
          <cell r="AP59">
            <v>-4.7797430821733503E-2</v>
          </cell>
          <cell r="AQ59">
            <v>-0.55949475177425745</v>
          </cell>
          <cell r="AR59">
            <v>-0.62144435835074752</v>
          </cell>
          <cell r="AT59">
            <v>-14.001973123325723</v>
          </cell>
          <cell r="AU59">
            <v>2.9151096608096196</v>
          </cell>
          <cell r="AV59">
            <v>0</v>
          </cell>
          <cell r="AW59">
            <v>0</v>
          </cell>
          <cell r="AX59">
            <v>2.0848903391903804</v>
          </cell>
          <cell r="AY59">
            <v>0</v>
          </cell>
          <cell r="AZ59">
            <v>0</v>
          </cell>
          <cell r="BA59">
            <v>4.9870253428535558E-2</v>
          </cell>
          <cell r="BB59">
            <v>-9.7423938278375311E-2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-4.9870253428535558E-2</v>
          </cell>
          <cell r="BH59">
            <v>0</v>
          </cell>
          <cell r="BI59">
            <v>0</v>
          </cell>
          <cell r="BJ59">
            <v>0</v>
          </cell>
          <cell r="BK59">
            <v>0.8848459930851883</v>
          </cell>
        </row>
        <row r="61">
          <cell r="C61">
            <v>1892.3619999999999</v>
          </cell>
          <cell r="N61">
            <v>861.2000899999997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-11.62088</v>
          </cell>
          <cell r="T61">
            <v>0</v>
          </cell>
          <cell r="U61">
            <v>0</v>
          </cell>
          <cell r="V61">
            <v>-27.18206</v>
          </cell>
          <cell r="W61">
            <v>0</v>
          </cell>
          <cell r="X61">
            <v>0</v>
          </cell>
          <cell r="Y61">
            <v>-0.34060000000000001</v>
          </cell>
          <cell r="Z61">
            <v>0.73090000000000011</v>
          </cell>
          <cell r="AA61">
            <v>1.3140000000000001E-2</v>
          </cell>
          <cell r="AB61">
            <v>0</v>
          </cell>
          <cell r="AC61">
            <v>0</v>
          </cell>
          <cell r="AD61">
            <v>0</v>
          </cell>
          <cell r="AE61">
            <v>-4.5193699999999994</v>
          </cell>
          <cell r="AF61">
            <v>-8.910070000000001</v>
          </cell>
          <cell r="AG61">
            <v>0</v>
          </cell>
          <cell r="AH61">
            <v>7.2264999999999953</v>
          </cell>
          <cell r="AI61">
            <v>4.2904000000000009</v>
          </cell>
          <cell r="AJ61">
            <v>-5.6229999999999877E-2</v>
          </cell>
          <cell r="AK61">
            <v>-0.40462999999999999</v>
          </cell>
          <cell r="AL61">
            <v>-346.82416000000001</v>
          </cell>
          <cell r="AM61">
            <v>296.98684999999995</v>
          </cell>
          <cell r="AN61">
            <v>-108.51077000000002</v>
          </cell>
          <cell r="AO61">
            <v>-2.3330700000000002</v>
          </cell>
          <cell r="AP61">
            <v>-7.2405200000000001</v>
          </cell>
          <cell r="AQ61">
            <v>-57.793360000000007</v>
          </cell>
          <cell r="AR61">
            <v>-20.344650000000001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574.36750999999958</v>
          </cell>
        </row>
        <row r="62">
          <cell r="C62">
            <v>1701.3516300000001</v>
          </cell>
          <cell r="N62">
            <v>779.5628399999996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-7.6296900000000001</v>
          </cell>
          <cell r="T62">
            <v>-1.2610000000000001E-2</v>
          </cell>
          <cell r="U62">
            <v>0</v>
          </cell>
          <cell r="V62">
            <v>-56.377510000000001</v>
          </cell>
          <cell r="W62">
            <v>0</v>
          </cell>
          <cell r="X62">
            <v>0</v>
          </cell>
          <cell r="Y62">
            <v>-1.29806</v>
          </cell>
          <cell r="Z62">
            <v>1.9414</v>
          </cell>
          <cell r="AA62">
            <v>7.986E-2</v>
          </cell>
          <cell r="AB62">
            <v>0</v>
          </cell>
          <cell r="AC62">
            <v>0</v>
          </cell>
          <cell r="AD62">
            <v>0</v>
          </cell>
          <cell r="AE62">
            <v>-4.1215799999999998</v>
          </cell>
          <cell r="AF62">
            <v>-3.5210100000000004</v>
          </cell>
          <cell r="AG62">
            <v>0</v>
          </cell>
          <cell r="AH62">
            <v>132.56256000000002</v>
          </cell>
          <cell r="AI62">
            <v>-0.68711999999999895</v>
          </cell>
          <cell r="AJ62">
            <v>2.7468400000000006</v>
          </cell>
          <cell r="AK62">
            <v>0.3095</v>
          </cell>
          <cell r="AL62">
            <v>-294.64965000000001</v>
          </cell>
          <cell r="AM62">
            <v>258.35585000000003</v>
          </cell>
          <cell r="AN62">
            <v>-99.815240000000017</v>
          </cell>
          <cell r="AO62">
            <v>-2.5461300000000002</v>
          </cell>
          <cell r="AP62">
            <v>-0.66283999999999998</v>
          </cell>
          <cell r="AQ62">
            <v>-41.246409999999997</v>
          </cell>
          <cell r="AR62">
            <v>-19.117339999999999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643.87365999999975</v>
          </cell>
        </row>
        <row r="63">
          <cell r="C63">
            <v>1603.33</v>
          </cell>
          <cell r="N63">
            <v>866.59078972376483</v>
          </cell>
          <cell r="O63">
            <v>-36.101910698838239</v>
          </cell>
          <cell r="P63">
            <v>0</v>
          </cell>
          <cell r="Q63">
            <v>0</v>
          </cell>
          <cell r="R63">
            <v>0</v>
          </cell>
          <cell r="S63">
            <v>-16.456912552517402</v>
          </cell>
          <cell r="T63">
            <v>0</v>
          </cell>
          <cell r="U63">
            <v>0</v>
          </cell>
          <cell r="V63">
            <v>-25.820134952116071</v>
          </cell>
          <cell r="W63">
            <v>0</v>
          </cell>
          <cell r="X63">
            <v>0</v>
          </cell>
          <cell r="Y63">
            <v>-0.64163730048640411</v>
          </cell>
          <cell r="Z63">
            <v>1.2065379118046111</v>
          </cell>
          <cell r="AA63">
            <v>0</v>
          </cell>
          <cell r="AB63">
            <v>0</v>
          </cell>
          <cell r="AC63">
            <v>-5.28364063288604E-2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5.28364063288604E-2</v>
          </cell>
          <cell r="AI63">
            <v>0.64163730048640411</v>
          </cell>
          <cell r="AJ63">
            <v>0</v>
          </cell>
          <cell r="AK63">
            <v>0</v>
          </cell>
          <cell r="AL63">
            <v>-161.75857910295062</v>
          </cell>
          <cell r="AM63">
            <v>0</v>
          </cell>
          <cell r="AN63">
            <v>0</v>
          </cell>
          <cell r="AO63">
            <v>-3.0143865838568749</v>
          </cell>
          <cell r="AP63">
            <v>-1.7389701789690628</v>
          </cell>
          <cell r="AQ63">
            <v>-72.398192770267499</v>
          </cell>
          <cell r="AR63">
            <v>-27.026108458484501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523.48213233756906</v>
          </cell>
        </row>
        <row r="65">
          <cell r="C65">
            <v>264335.04819</v>
          </cell>
          <cell r="N65">
            <v>145687.36048</v>
          </cell>
          <cell r="O65">
            <v>-2731.14669</v>
          </cell>
          <cell r="P65">
            <v>-4.1283400000000006</v>
          </cell>
          <cell r="Q65">
            <v>-50.304000000000002</v>
          </cell>
          <cell r="R65">
            <v>917.01946999999996</v>
          </cell>
          <cell r="S65">
            <v>-4247.1116200000006</v>
          </cell>
          <cell r="T65">
            <v>-1645.7947700000002</v>
          </cell>
          <cell r="U65">
            <v>-1489.5457200000001</v>
          </cell>
          <cell r="V65">
            <v>-65240.8095777825</v>
          </cell>
          <cell r="W65">
            <v>-591.29600000000005</v>
          </cell>
          <cell r="X65">
            <v>-21932.338302217508</v>
          </cell>
          <cell r="Y65">
            <v>-994.57206999999994</v>
          </cell>
          <cell r="Z65">
            <v>5683.7466800000002</v>
          </cell>
          <cell r="AA65">
            <v>84.668329999999997</v>
          </cell>
          <cell r="AB65">
            <v>0</v>
          </cell>
          <cell r="AC65">
            <v>-81685.973929999993</v>
          </cell>
          <cell r="AD65">
            <v>9292.0035599999992</v>
          </cell>
          <cell r="AE65">
            <v>-2092.7344699999999</v>
          </cell>
          <cell r="AF65">
            <v>-5117.3193700000002</v>
          </cell>
          <cell r="AG65">
            <v>0</v>
          </cell>
          <cell r="AH65">
            <v>75624.126590000014</v>
          </cell>
          <cell r="AI65">
            <v>8124.0765500000007</v>
          </cell>
          <cell r="AJ65">
            <v>-56.697510000000634</v>
          </cell>
          <cell r="AK65">
            <v>-594.45114999999998</v>
          </cell>
          <cell r="AL65">
            <v>-36089.837640000005</v>
          </cell>
          <cell r="AM65">
            <v>29090.455489999997</v>
          </cell>
          <cell r="AN65">
            <v>-11645.187470000001</v>
          </cell>
          <cell r="AO65">
            <v>-4234.7421299999996</v>
          </cell>
          <cell r="AP65">
            <v>-624.65124000000003</v>
          </cell>
          <cell r="AQ65">
            <v>-5990.2650199999989</v>
          </cell>
          <cell r="AR65">
            <v>-3079.0656199999999</v>
          </cell>
          <cell r="AT65">
            <v>-6523.8563200000026</v>
          </cell>
          <cell r="AU65">
            <v>-85.916139999999999</v>
          </cell>
          <cell r="AV65">
            <v>0</v>
          </cell>
          <cell r="AW65">
            <v>0</v>
          </cell>
          <cell r="AX65">
            <v>1773.7650126961307</v>
          </cell>
          <cell r="AY65">
            <v>0</v>
          </cell>
          <cell r="AZ65">
            <v>902.55771730386971</v>
          </cell>
          <cell r="BA65">
            <v>24.86964</v>
          </cell>
          <cell r="BB65">
            <v>-119.0209</v>
          </cell>
          <cell r="BC65">
            <v>-1.5462400000000003</v>
          </cell>
          <cell r="BD65">
            <v>0</v>
          </cell>
          <cell r="BE65">
            <v>6335.2590100000007</v>
          </cell>
          <cell r="BF65">
            <v>-8714.3830899999903</v>
          </cell>
          <cell r="BG65">
            <v>-626.84657000000027</v>
          </cell>
          <cell r="BH65">
            <v>-92.735490000000297</v>
          </cell>
          <cell r="BI65">
            <v>86.121390000000005</v>
          </cell>
          <cell r="BJ65">
            <v>1.142250738439543E-13</v>
          </cell>
          <cell r="BK65">
            <v>17323.752529999987</v>
          </cell>
        </row>
        <row r="66">
          <cell r="C66">
            <v>260560.84752999997</v>
          </cell>
          <cell r="N66">
            <v>138108.91672999997</v>
          </cell>
          <cell r="O66">
            <v>-3123.2560099999987</v>
          </cell>
          <cell r="P66">
            <v>0</v>
          </cell>
          <cell r="Q66">
            <v>-394.78700000000003</v>
          </cell>
          <cell r="R66">
            <v>731.77208999999993</v>
          </cell>
          <cell r="S66">
            <v>-4034.9333400000005</v>
          </cell>
          <cell r="T66">
            <v>-808.50671999999986</v>
          </cell>
          <cell r="U66">
            <v>-1236.0203100000001</v>
          </cell>
          <cell r="V66">
            <v>-62656.49822127146</v>
          </cell>
          <cell r="W66">
            <v>0</v>
          </cell>
          <cell r="X66">
            <v>-19477.162888728537</v>
          </cell>
          <cell r="Y66">
            <v>-1342.48478</v>
          </cell>
          <cell r="Z66">
            <v>4751.3539099999989</v>
          </cell>
          <cell r="AA66">
            <v>115.72553000000001</v>
          </cell>
          <cell r="AB66">
            <v>0</v>
          </cell>
          <cell r="AC66">
            <v>-76013.150250000006</v>
          </cell>
          <cell r="AD66">
            <v>7420.5161099999996</v>
          </cell>
          <cell r="AE66">
            <v>-2055.2369399999998</v>
          </cell>
          <cell r="AF66">
            <v>-5180.5101400000003</v>
          </cell>
          <cell r="AG66">
            <v>0</v>
          </cell>
          <cell r="AH66">
            <v>73940.069869999992</v>
          </cell>
          <cell r="AI66">
            <v>1533.3546099999999</v>
          </cell>
          <cell r="AJ66">
            <v>-1132.6919199999998</v>
          </cell>
          <cell r="AK66">
            <v>-19.398849999999978</v>
          </cell>
          <cell r="AL66">
            <v>-36149.370309999998</v>
          </cell>
          <cell r="AM66">
            <v>29186.346999999994</v>
          </cell>
          <cell r="AN66">
            <v>-11187.059720000001</v>
          </cell>
          <cell r="AO66">
            <v>-3521.30044</v>
          </cell>
          <cell r="AP66">
            <v>-316.70853</v>
          </cell>
          <cell r="AQ66">
            <v>-4991.6789099999996</v>
          </cell>
          <cell r="AR66">
            <v>-3363.2265799999996</v>
          </cell>
          <cell r="AT66">
            <v>-9906.1656900000053</v>
          </cell>
          <cell r="AU66">
            <v>15.312800000000003</v>
          </cell>
          <cell r="AV66">
            <v>0</v>
          </cell>
          <cell r="AW66">
            <v>0</v>
          </cell>
          <cell r="AX66">
            <v>4210.9265259243402</v>
          </cell>
          <cell r="AY66">
            <v>0</v>
          </cell>
          <cell r="AZ66">
            <v>762.07604407565964</v>
          </cell>
          <cell r="BA66">
            <v>69.597820000000013</v>
          </cell>
          <cell r="BB66">
            <v>-289.35376999999994</v>
          </cell>
          <cell r="BC66">
            <v>-6.1850300000000002</v>
          </cell>
          <cell r="BD66">
            <v>0</v>
          </cell>
          <cell r="BE66">
            <v>3429.8646000000008</v>
          </cell>
          <cell r="BF66">
            <v>-5210.4814099999976</v>
          </cell>
          <cell r="BG66">
            <v>-102.78957999999997</v>
          </cell>
          <cell r="BH66">
            <v>-171.56219000000002</v>
          </cell>
          <cell r="BI66">
            <v>-7.0785400000000029</v>
          </cell>
          <cell r="BJ66">
            <v>-4.6480153059746948E-14</v>
          </cell>
          <cell r="BK66">
            <v>11578.235569999981</v>
          </cell>
        </row>
        <row r="67">
          <cell r="C67">
            <v>266343.04000000004</v>
          </cell>
          <cell r="N67">
            <v>156971.60088096</v>
          </cell>
          <cell r="O67">
            <v>-27482.024550663133</v>
          </cell>
          <cell r="P67">
            <v>-3223.8009182194696</v>
          </cell>
          <cell r="Q67">
            <v>-9010.6407733491524</v>
          </cell>
          <cell r="R67">
            <v>0</v>
          </cell>
          <cell r="S67">
            <v>-7249.8975199603374</v>
          </cell>
          <cell r="T67">
            <v>-1805.5177396452489</v>
          </cell>
          <cell r="U67">
            <v>0</v>
          </cell>
          <cell r="V67">
            <v>-39460.529833033965</v>
          </cell>
          <cell r="W67">
            <v>-3350.6706561624155</v>
          </cell>
          <cell r="X67">
            <v>-14642.679576496532</v>
          </cell>
          <cell r="Y67">
            <v>-1403.8935969983943</v>
          </cell>
          <cell r="Z67">
            <v>3508.4987019937043</v>
          </cell>
          <cell r="AA67">
            <v>0</v>
          </cell>
          <cell r="AB67">
            <v>0</v>
          </cell>
          <cell r="AC67">
            <v>-44520.166284817329</v>
          </cell>
          <cell r="AD67">
            <v>0</v>
          </cell>
          <cell r="AE67">
            <v>0</v>
          </cell>
          <cell r="AF67">
            <v>-4471.6012178036772</v>
          </cell>
          <cell r="AG67">
            <v>0</v>
          </cell>
          <cell r="AH67">
            <v>50154.267502621013</v>
          </cell>
          <cell r="AI67">
            <v>1403.8935969983943</v>
          </cell>
          <cell r="AJ67">
            <v>0</v>
          </cell>
          <cell r="AK67">
            <v>0</v>
          </cell>
          <cell r="AL67">
            <v>-20669.141786923443</v>
          </cell>
          <cell r="AM67">
            <v>0</v>
          </cell>
          <cell r="AN67">
            <v>0</v>
          </cell>
          <cell r="AO67">
            <v>-4621.6834401190317</v>
          </cell>
          <cell r="AP67">
            <v>-534.60237583836613</v>
          </cell>
          <cell r="AQ67">
            <v>-6710.9986571432482</v>
          </cell>
          <cell r="AR67">
            <v>-4761.1287006260773</v>
          </cell>
          <cell r="AT67">
            <v>-12417.04020060201</v>
          </cell>
          <cell r="AU67">
            <v>1931.4718489830218</v>
          </cell>
          <cell r="AV67">
            <v>1195.499621966165</v>
          </cell>
          <cell r="AW67">
            <v>648.35215033539453</v>
          </cell>
          <cell r="AX67">
            <v>2773.9060399789387</v>
          </cell>
          <cell r="AY67">
            <v>1340.2541272899837</v>
          </cell>
          <cell r="AZ67">
            <v>912.50913408233578</v>
          </cell>
          <cell r="BA67">
            <v>115.07399253409105</v>
          </cell>
          <cell r="BB67">
            <v>-253.59518511860162</v>
          </cell>
          <cell r="BC67">
            <v>0</v>
          </cell>
          <cell r="BD67">
            <v>0</v>
          </cell>
          <cell r="BE67">
            <v>3623.2250524999972</v>
          </cell>
          <cell r="BF67">
            <v>-3899.5005412499972</v>
          </cell>
          <cell r="BG67">
            <v>-115.07399253409105</v>
          </cell>
          <cell r="BH67">
            <v>0</v>
          </cell>
          <cell r="BI67">
            <v>0</v>
          </cell>
          <cell r="BJ67">
            <v>0</v>
          </cell>
          <cell r="BK67">
            <v>13974.365102938544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</row>
        <row r="83">
          <cell r="C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</row>
        <row r="91">
          <cell r="C91">
            <v>260560.84752999997</v>
          </cell>
        </row>
        <row r="94">
          <cell r="C94">
            <v>104345.39023</v>
          </cell>
          <cell r="N94">
            <v>42170.181359999995</v>
          </cell>
          <cell r="O94">
            <v>-340.94204000000002</v>
          </cell>
          <cell r="P94">
            <v>-4.1283400000000006</v>
          </cell>
          <cell r="Q94">
            <v>-31.811</v>
          </cell>
          <cell r="R94">
            <v>9.6430699999999998</v>
          </cell>
          <cell r="S94">
            <v>-544.18334000000004</v>
          </cell>
          <cell r="T94">
            <v>-834.52053000000001</v>
          </cell>
          <cell r="U94">
            <v>0</v>
          </cell>
          <cell r="V94">
            <v>-10929.869913072005</v>
          </cell>
          <cell r="W94">
            <v>-591.29600000000005</v>
          </cell>
          <cell r="X94">
            <v>-11710.810216927999</v>
          </cell>
          <cell r="Y94">
            <v>-198.84046000000001</v>
          </cell>
          <cell r="Z94">
            <v>543.51299999999992</v>
          </cell>
          <cell r="AA94">
            <v>4.1882299999999999</v>
          </cell>
          <cell r="AB94">
            <v>0</v>
          </cell>
          <cell r="AC94">
            <v>-22880.993850000006</v>
          </cell>
          <cell r="AD94">
            <v>470.30072000000001</v>
          </cell>
          <cell r="AE94">
            <v>-162.52911999999998</v>
          </cell>
          <cell r="AF94">
            <v>-1113.4234899999999</v>
          </cell>
          <cell r="AG94">
            <v>0</v>
          </cell>
          <cell r="AH94">
            <v>27023.030000000002</v>
          </cell>
          <cell r="AI94">
            <v>912.15239999999972</v>
          </cell>
          <cell r="AJ94">
            <v>83.961150000000018</v>
          </cell>
          <cell r="AK94">
            <v>-14.997349999999997</v>
          </cell>
          <cell r="AL94">
            <v>-15473.82323</v>
          </cell>
          <cell r="AM94">
            <v>12932.96898</v>
          </cell>
          <cell r="AN94">
            <v>-3408.2990900000004</v>
          </cell>
          <cell r="AO94">
            <v>-1850.9433300000001</v>
          </cell>
          <cell r="AP94">
            <v>-197.82136999999997</v>
          </cell>
          <cell r="AQ94">
            <v>-1247.3909299999998</v>
          </cell>
          <cell r="AR94">
            <v>-871.89704000000006</v>
          </cell>
          <cell r="AT94">
            <v>-3775.1891300000016</v>
          </cell>
          <cell r="AU94">
            <v>0</v>
          </cell>
          <cell r="AV94">
            <v>0</v>
          </cell>
          <cell r="AW94">
            <v>0</v>
          </cell>
          <cell r="AX94">
            <v>663.73047703314137</v>
          </cell>
          <cell r="AY94">
            <v>0</v>
          </cell>
          <cell r="AZ94">
            <v>743.70886296685876</v>
          </cell>
          <cell r="BA94">
            <v>11.68844</v>
          </cell>
          <cell r="BB94">
            <v>-31.300900000000002</v>
          </cell>
          <cell r="BC94">
            <v>-0.22649</v>
          </cell>
          <cell r="BD94">
            <v>0</v>
          </cell>
          <cell r="BE94">
            <v>3656.4818500000001</v>
          </cell>
          <cell r="BF94">
            <v>-5585.6362399999998</v>
          </cell>
          <cell r="BG94">
            <v>34.73798</v>
          </cell>
          <cell r="BH94">
            <v>32.092790000000001</v>
          </cell>
          <cell r="BI94">
            <v>-1.5815400000000002</v>
          </cell>
          <cell r="BJ94">
            <v>0</v>
          </cell>
          <cell r="BK94">
            <v>7489.9243699999861</v>
          </cell>
        </row>
        <row r="95">
          <cell r="C95">
            <v>106733.45993000001</v>
          </cell>
          <cell r="N95">
            <v>41458.527979999992</v>
          </cell>
          <cell r="O95">
            <v>-385.10956999999996</v>
          </cell>
          <cell r="P95">
            <v>0</v>
          </cell>
          <cell r="Q95">
            <v>-274.56200000000001</v>
          </cell>
          <cell r="R95">
            <v>0</v>
          </cell>
          <cell r="S95">
            <v>-425.05516</v>
          </cell>
          <cell r="T95">
            <v>-517.18316000000004</v>
          </cell>
          <cell r="U95">
            <v>0</v>
          </cell>
          <cell r="V95">
            <v>-12529.721432557555</v>
          </cell>
          <cell r="W95">
            <v>0</v>
          </cell>
          <cell r="X95">
            <v>-10859.742787442441</v>
          </cell>
          <cell r="Y95">
            <v>-231.23561000000001</v>
          </cell>
          <cell r="Z95">
            <v>584.79500000000007</v>
          </cell>
          <cell r="AA95">
            <v>6.0361700000000003</v>
          </cell>
          <cell r="AB95">
            <v>0</v>
          </cell>
          <cell r="AC95">
            <v>-18414.053280000004</v>
          </cell>
          <cell r="AD95">
            <v>201.18211000000002</v>
          </cell>
          <cell r="AE95">
            <v>-111.15352999999999</v>
          </cell>
          <cell r="AF95">
            <v>-1222.09078</v>
          </cell>
          <cell r="AG95">
            <v>0</v>
          </cell>
          <cell r="AH95">
            <v>20886.77879</v>
          </cell>
          <cell r="AI95">
            <v>463.26580999999999</v>
          </cell>
          <cell r="AJ95">
            <v>348.08392000000003</v>
          </cell>
          <cell r="AK95">
            <v>0.12421000000000004</v>
          </cell>
          <cell r="AL95">
            <v>-15955.734970000001</v>
          </cell>
          <cell r="AM95">
            <v>13376.537489999999</v>
          </cell>
          <cell r="AN95">
            <v>-3516.9362799999999</v>
          </cell>
          <cell r="AO95">
            <v>-1473.10357</v>
          </cell>
          <cell r="AP95">
            <v>-103.43987</v>
          </cell>
          <cell r="AQ95">
            <v>-1054.69452</v>
          </cell>
          <cell r="AR95">
            <v>-1031.54169</v>
          </cell>
          <cell r="AT95">
            <v>-3853.9327500000018</v>
          </cell>
          <cell r="AU95">
            <v>0</v>
          </cell>
          <cell r="AV95">
            <v>0</v>
          </cell>
          <cell r="AW95">
            <v>0</v>
          </cell>
          <cell r="AX95">
            <v>734.108931074373</v>
          </cell>
          <cell r="AY95">
            <v>0</v>
          </cell>
          <cell r="AZ95">
            <v>681.45670892562703</v>
          </cell>
          <cell r="BA95">
            <v>13.46523</v>
          </cell>
          <cell r="BB95">
            <v>-33.628839999999997</v>
          </cell>
          <cell r="BC95">
            <v>-0.30837999999999999</v>
          </cell>
          <cell r="BD95">
            <v>0</v>
          </cell>
          <cell r="BE95">
            <v>714.11799999999994</v>
          </cell>
          <cell r="BF95">
            <v>-3077.9789600000004</v>
          </cell>
          <cell r="BG95">
            <v>-54.241139999999994</v>
          </cell>
          <cell r="BH95">
            <v>-23.247020000000003</v>
          </cell>
          <cell r="BI95">
            <v>0.24763999999999997</v>
          </cell>
          <cell r="BJ95">
            <v>-9.5923269327613524E-17</v>
          </cell>
          <cell r="BK95">
            <v>4320.03268999999</v>
          </cell>
        </row>
        <row r="96">
          <cell r="C96">
            <v>108027.06</v>
          </cell>
          <cell r="N96">
            <v>55411.310939651834</v>
          </cell>
          <cell r="O96">
            <v>-7051.0699972365655</v>
          </cell>
          <cell r="P96">
            <v>-2663.0353743465089</v>
          </cell>
          <cell r="Q96">
            <v>-6566.6163937603515</v>
          </cell>
          <cell r="R96">
            <v>0</v>
          </cell>
          <cell r="S96">
            <v>-722.24037085646228</v>
          </cell>
          <cell r="T96">
            <v>-649.7086375064348</v>
          </cell>
          <cell r="U96">
            <v>0</v>
          </cell>
          <cell r="V96">
            <v>-8734.4992140100749</v>
          </cell>
          <cell r="W96">
            <v>-3141.6619919513623</v>
          </cell>
          <cell r="X96">
            <v>-7896.3225330856476</v>
          </cell>
          <cell r="Y96">
            <v>-508.16470549796668</v>
          </cell>
          <cell r="Z96">
            <v>355.94827090944671</v>
          </cell>
          <cell r="AA96">
            <v>0</v>
          </cell>
          <cell r="AB96">
            <v>0</v>
          </cell>
          <cell r="AC96">
            <v>-13642.654341351661</v>
          </cell>
          <cell r="AD96">
            <v>0</v>
          </cell>
          <cell r="AE96">
            <v>0</v>
          </cell>
          <cell r="AF96">
            <v>-957.62322556360721</v>
          </cell>
          <cell r="AG96">
            <v>0</v>
          </cell>
          <cell r="AH96">
            <v>15200.277566915267</v>
          </cell>
          <cell r="AI96">
            <v>508.16470549796668</v>
          </cell>
          <cell r="AJ96">
            <v>0</v>
          </cell>
          <cell r="AK96">
            <v>0</v>
          </cell>
          <cell r="AL96">
            <v>-7901.4837733122131</v>
          </cell>
          <cell r="AM96">
            <v>0</v>
          </cell>
          <cell r="AN96">
            <v>0</v>
          </cell>
          <cell r="AO96">
            <v>-2050.6079201447874</v>
          </cell>
          <cell r="AP96">
            <v>-173.21446095316423</v>
          </cell>
          <cell r="AQ96">
            <v>-1422.9331664743299</v>
          </cell>
          <cell r="AR96">
            <v>-1463.7419751450911</v>
          </cell>
          <cell r="AT96">
            <v>-5014.2579803054823</v>
          </cell>
          <cell r="AU96">
            <v>425.21689646048571</v>
          </cell>
          <cell r="AV96">
            <v>1108.6204531971148</v>
          </cell>
          <cell r="AW96">
            <v>575.4076064861847</v>
          </cell>
          <cell r="AX96">
            <v>496.48632464419916</v>
          </cell>
          <cell r="AY96">
            <v>1307.8725032572852</v>
          </cell>
          <cell r="AZ96">
            <v>686.47159141795419</v>
          </cell>
          <cell r="BA96">
            <v>57.479559889096763</v>
          </cell>
          <cell r="BB96">
            <v>-39.549006458693711</v>
          </cell>
          <cell r="BC96">
            <v>0</v>
          </cell>
          <cell r="BD96">
            <v>0</v>
          </cell>
          <cell r="BE96">
            <v>1050.4097999999992</v>
          </cell>
          <cell r="BF96">
            <v>-1050.4097999999992</v>
          </cell>
          <cell r="BG96">
            <v>-57.479559889096763</v>
          </cell>
          <cell r="BH96">
            <v>0</v>
          </cell>
          <cell r="BI96">
            <v>0</v>
          </cell>
          <cell r="BJ96">
            <v>0</v>
          </cell>
          <cell r="BK96">
            <v>5476.3917904773389</v>
          </cell>
        </row>
        <row r="98">
          <cell r="C98">
            <v>48920.95983</v>
          </cell>
          <cell r="N98">
            <v>18003.895629999999</v>
          </cell>
          <cell r="O98">
            <v>-34.211100000000002</v>
          </cell>
          <cell r="P98">
            <v>0</v>
          </cell>
          <cell r="Q98">
            <v>-2.7149999999999999</v>
          </cell>
          <cell r="R98">
            <v>0</v>
          </cell>
          <cell r="S98">
            <v>-424.68126000000001</v>
          </cell>
          <cell r="T98">
            <v>-21.353740000000002</v>
          </cell>
          <cell r="U98">
            <v>0</v>
          </cell>
          <cell r="V98">
            <v>-7976.0867861338083</v>
          </cell>
          <cell r="W98">
            <v>0</v>
          </cell>
          <cell r="X98">
            <v>-2436.3866738661927</v>
          </cell>
          <cell r="Y98">
            <v>-218.98687999999999</v>
          </cell>
          <cell r="Z98">
            <v>1291.0950599999999</v>
          </cell>
          <cell r="AA98">
            <v>24.20373</v>
          </cell>
          <cell r="AB98">
            <v>0</v>
          </cell>
          <cell r="AC98">
            <v>-5436.7927900000013</v>
          </cell>
          <cell r="AD98">
            <v>1493.6351999999999</v>
          </cell>
          <cell r="AE98">
            <v>-209.51023000000001</v>
          </cell>
          <cell r="AF98">
            <v>-1682.3469099999998</v>
          </cell>
          <cell r="AG98">
            <v>0</v>
          </cell>
          <cell r="AH98">
            <v>6411.0295399999995</v>
          </cell>
          <cell r="AI98">
            <v>2814.8058500000006</v>
          </cell>
          <cell r="AJ98">
            <v>-496.65243000000044</v>
          </cell>
          <cell r="AK98">
            <v>-241.61349999999999</v>
          </cell>
          <cell r="AL98">
            <v>-8990.2233900000028</v>
          </cell>
          <cell r="AM98">
            <v>7771.7904099999987</v>
          </cell>
          <cell r="AN98">
            <v>-2107.5797600000001</v>
          </cell>
          <cell r="AO98">
            <v>-810.87921999999992</v>
          </cell>
          <cell r="AP98">
            <v>-87.468510000000009</v>
          </cell>
          <cell r="AQ98">
            <v>-511.78076999999996</v>
          </cell>
          <cell r="AR98">
            <v>-333.29775999999998</v>
          </cell>
          <cell r="AT98">
            <v>-403.42513999999994</v>
          </cell>
          <cell r="AU98">
            <v>0</v>
          </cell>
          <cell r="AV98">
            <v>0</v>
          </cell>
          <cell r="AW98">
            <v>0</v>
          </cell>
          <cell r="AX98">
            <v>77.389885922561689</v>
          </cell>
          <cell r="AY98">
            <v>0</v>
          </cell>
          <cell r="AZ98">
            <v>76.521274077438306</v>
          </cell>
          <cell r="BA98">
            <v>3.32884</v>
          </cell>
          <cell r="BB98">
            <v>-19.084220000000002</v>
          </cell>
          <cell r="BC98">
            <v>-0.36684</v>
          </cell>
          <cell r="BD98">
            <v>0</v>
          </cell>
          <cell r="BE98">
            <v>4.7512999999999987</v>
          </cell>
          <cell r="BF98">
            <v>-1371.8707499999978</v>
          </cell>
          <cell r="BG98">
            <v>-134.346</v>
          </cell>
          <cell r="BH98">
            <v>90.706070000000025</v>
          </cell>
          <cell r="BI98">
            <v>11.744490000000001</v>
          </cell>
          <cell r="BJ98">
            <v>5.3290705182007515E-18</v>
          </cell>
          <cell r="BK98">
            <v>4123.2376199999981</v>
          </cell>
        </row>
        <row r="99">
          <cell r="C99">
            <v>48344.52635</v>
          </cell>
          <cell r="N99">
            <v>18433.506699999998</v>
          </cell>
          <cell r="O99">
            <v>-44.063140000000004</v>
          </cell>
          <cell r="P99">
            <v>0</v>
          </cell>
          <cell r="Q99">
            <v>0</v>
          </cell>
          <cell r="R99">
            <v>0</v>
          </cell>
          <cell r="S99">
            <v>-310.86841000000004</v>
          </cell>
          <cell r="T99">
            <v>-23.595560000000003</v>
          </cell>
          <cell r="U99">
            <v>0</v>
          </cell>
          <cell r="V99">
            <v>-9175.6501425539791</v>
          </cell>
          <cell r="W99">
            <v>0</v>
          </cell>
          <cell r="X99">
            <v>-1902.1068174460211</v>
          </cell>
          <cell r="Y99">
            <v>-373.04808000000003</v>
          </cell>
          <cell r="Z99">
            <v>1251.6611699999999</v>
          </cell>
          <cell r="AA99">
            <v>43.085210000000004</v>
          </cell>
          <cell r="AB99">
            <v>0</v>
          </cell>
          <cell r="AC99">
            <v>-6729.5168999999987</v>
          </cell>
          <cell r="AD99">
            <v>436.2559</v>
          </cell>
          <cell r="AE99">
            <v>-181.22446000000002</v>
          </cell>
          <cell r="AF99">
            <v>-1729.20984</v>
          </cell>
          <cell r="AG99">
            <v>0</v>
          </cell>
          <cell r="AH99">
            <v>6859.0697399999981</v>
          </cell>
          <cell r="AI99">
            <v>-56.457020000000057</v>
          </cell>
          <cell r="AJ99">
            <v>-428.50879999999989</v>
          </cell>
          <cell r="AK99">
            <v>17.845210000000009</v>
          </cell>
          <cell r="AL99">
            <v>-8928.0942299999988</v>
          </cell>
          <cell r="AM99">
            <v>7519.6444699999993</v>
          </cell>
          <cell r="AN99">
            <v>-1966.85698</v>
          </cell>
          <cell r="AO99">
            <v>-657.38413000000003</v>
          </cell>
          <cell r="AP99">
            <v>-41.391380000000005</v>
          </cell>
          <cell r="AQ99">
            <v>-389.74903000000006</v>
          </cell>
          <cell r="AR99">
            <v>-378.45517999999998</v>
          </cell>
          <cell r="AT99">
            <v>-582.77705000000003</v>
          </cell>
          <cell r="AU99">
            <v>0</v>
          </cell>
          <cell r="AV99">
            <v>0</v>
          </cell>
          <cell r="AW99">
            <v>0</v>
          </cell>
          <cell r="AX99">
            <v>157.82995921120835</v>
          </cell>
          <cell r="AY99">
            <v>0</v>
          </cell>
          <cell r="AZ99">
            <v>85.170890788791667</v>
          </cell>
          <cell r="BA99">
            <v>7.6736400000000007</v>
          </cell>
          <cell r="BB99">
            <v>-27.456349999999997</v>
          </cell>
          <cell r="BC99">
            <v>-0.86260999999999999</v>
          </cell>
          <cell r="BD99">
            <v>0</v>
          </cell>
          <cell r="BE99">
            <v>70.742279999999994</v>
          </cell>
          <cell r="BF99">
            <v>-837.14840999999819</v>
          </cell>
          <cell r="BG99">
            <v>-27.622739999999983</v>
          </cell>
          <cell r="BH99">
            <v>117.22371999999999</v>
          </cell>
          <cell r="BI99">
            <v>3.19652</v>
          </cell>
          <cell r="BJ99">
            <v>0</v>
          </cell>
          <cell r="BK99">
            <v>210.85814999999684</v>
          </cell>
        </row>
        <row r="100">
          <cell r="C100">
            <v>51247.39</v>
          </cell>
          <cell r="N100">
            <v>20504.317930791432</v>
          </cell>
          <cell r="O100">
            <v>-1072.0887866621938</v>
          </cell>
          <cell r="P100">
            <v>0</v>
          </cell>
          <cell r="Q100">
            <v>-324.97667458383546</v>
          </cell>
          <cell r="R100">
            <v>0</v>
          </cell>
          <cell r="S100">
            <v>-700.73930401574898</v>
          </cell>
          <cell r="T100">
            <v>-129.083631970939</v>
          </cell>
          <cell r="U100">
            <v>0</v>
          </cell>
          <cell r="V100">
            <v>-7609.831611044292</v>
          </cell>
          <cell r="W100">
            <v>0</v>
          </cell>
          <cell r="X100">
            <v>-2306.7285115438408</v>
          </cell>
          <cell r="Y100">
            <v>-227.72589398605197</v>
          </cell>
          <cell r="Z100">
            <v>1122.3337349855246</v>
          </cell>
          <cell r="AA100">
            <v>0</v>
          </cell>
          <cell r="AB100">
            <v>0</v>
          </cell>
          <cell r="AC100">
            <v>-4088.676803795574</v>
          </cell>
          <cell r="AD100">
            <v>0</v>
          </cell>
          <cell r="AE100">
            <v>0</v>
          </cell>
          <cell r="AF100">
            <v>-1686.6363638163784</v>
          </cell>
          <cell r="AG100">
            <v>0</v>
          </cell>
          <cell r="AH100">
            <v>6087.8131676119519</v>
          </cell>
          <cell r="AI100">
            <v>227.72589398605197</v>
          </cell>
          <cell r="AJ100">
            <v>0</v>
          </cell>
          <cell r="AK100">
            <v>0</v>
          </cell>
          <cell r="AL100">
            <v>-3697.2703316759685</v>
          </cell>
          <cell r="AM100">
            <v>0</v>
          </cell>
          <cell r="AN100">
            <v>0</v>
          </cell>
          <cell r="AO100">
            <v>-933.60127223148004</v>
          </cell>
          <cell r="AP100">
            <v>-66.772931409043622</v>
          </cell>
          <cell r="AQ100">
            <v>-626.13518950179446</v>
          </cell>
          <cell r="AR100">
            <v>-548.22694285237026</v>
          </cell>
          <cell r="AT100">
            <v>-620.47559002374987</v>
          </cell>
          <cell r="AU100">
            <v>29.413601907295458</v>
          </cell>
          <cell r="AV100">
            <v>0</v>
          </cell>
          <cell r="AW100">
            <v>15.330783520027424</v>
          </cell>
          <cell r="AX100">
            <v>208.78173559270456</v>
          </cell>
          <cell r="AY100">
            <v>0</v>
          </cell>
          <cell r="AZ100">
            <v>108.81998068089266</v>
          </cell>
          <cell r="BA100">
            <v>7.0620705672310375</v>
          </cell>
          <cell r="BB100">
            <v>-36.15883182236017</v>
          </cell>
          <cell r="BC100">
            <v>0</v>
          </cell>
          <cell r="BD100">
            <v>0</v>
          </cell>
          <cell r="BE100">
            <v>305.67930000000001</v>
          </cell>
          <cell r="BF100">
            <v>-423.18858624999996</v>
          </cell>
          <cell r="BG100">
            <v>-7.0620705672310375</v>
          </cell>
          <cell r="BH100">
            <v>0</v>
          </cell>
          <cell r="BI100">
            <v>0</v>
          </cell>
          <cell r="BJ100">
            <v>0</v>
          </cell>
          <cell r="BK100">
            <v>3511.8988718902601</v>
          </cell>
        </row>
        <row r="102">
          <cell r="C102">
            <v>22349.017880000003</v>
          </cell>
          <cell r="N102">
            <v>13397.432049999999</v>
          </cell>
          <cell r="O102">
            <v>-514.93128000000013</v>
          </cell>
          <cell r="P102">
            <v>0</v>
          </cell>
          <cell r="Q102">
            <v>0</v>
          </cell>
          <cell r="R102">
            <v>11.118450000000001</v>
          </cell>
          <cell r="S102">
            <v>-197.21316000000002</v>
          </cell>
          <cell r="T102">
            <v>-25.815359999999998</v>
          </cell>
          <cell r="U102">
            <v>0</v>
          </cell>
          <cell r="V102">
            <v>-5891.9130100000002</v>
          </cell>
          <cell r="W102">
            <v>0</v>
          </cell>
          <cell r="X102">
            <v>-650</v>
          </cell>
          <cell r="Y102">
            <v>-54.920299999999997</v>
          </cell>
          <cell r="Z102">
            <v>300.78181000000001</v>
          </cell>
          <cell r="AA102">
            <v>2.7839299999999998</v>
          </cell>
          <cell r="AB102">
            <v>0</v>
          </cell>
          <cell r="AC102">
            <v>-5060.7400299999999</v>
          </cell>
          <cell r="AD102">
            <v>95.927340000000001</v>
          </cell>
          <cell r="AE102">
            <v>-53.929189999999998</v>
          </cell>
          <cell r="AF102">
            <v>-659.01004999999998</v>
          </cell>
          <cell r="AG102">
            <v>0</v>
          </cell>
          <cell r="AH102">
            <v>6683.4488300000003</v>
          </cell>
          <cell r="AI102">
            <v>871.89010000000007</v>
          </cell>
          <cell r="AJ102">
            <v>-550.77160000000003</v>
          </cell>
          <cell r="AK102">
            <v>-35.87697</v>
          </cell>
          <cell r="AL102">
            <v>-3304.1704500000001</v>
          </cell>
          <cell r="AM102">
            <v>2403.7229399999997</v>
          </cell>
          <cell r="AN102">
            <v>-1171.8546899999999</v>
          </cell>
          <cell r="AO102">
            <v>-572.78043999999989</v>
          </cell>
          <cell r="AP102">
            <v>-65.579120000000003</v>
          </cell>
          <cell r="AQ102">
            <v>-405.74433999999997</v>
          </cell>
          <cell r="AR102">
            <v>-228.45742999999999</v>
          </cell>
          <cell r="AT102">
            <v>-489.26944000000037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23.191160000000011</v>
          </cell>
          <cell r="BF102">
            <v>1181.7277799999997</v>
          </cell>
          <cell r="BG102">
            <v>-6.0193100000000008</v>
          </cell>
          <cell r="BH102">
            <v>-69.181169999999995</v>
          </cell>
          <cell r="BI102">
            <v>4.8340000000000091E-2</v>
          </cell>
          <cell r="BJ102">
            <v>2.1316282072803006E-17</v>
          </cell>
          <cell r="BK102">
            <v>4963.8953899999979</v>
          </cell>
        </row>
        <row r="103">
          <cell r="C103">
            <v>22422.075069999995</v>
          </cell>
          <cell r="N103">
            <v>12706.284109999997</v>
          </cell>
          <cell r="O103">
            <v>-232.19306999999998</v>
          </cell>
          <cell r="P103">
            <v>0</v>
          </cell>
          <cell r="Q103">
            <v>0</v>
          </cell>
          <cell r="R103">
            <v>2.75</v>
          </cell>
          <cell r="S103">
            <v>-176.16134</v>
          </cell>
          <cell r="T103">
            <v>-26.260429999999999</v>
          </cell>
          <cell r="U103">
            <v>0</v>
          </cell>
          <cell r="V103">
            <v>-6232.3686800000005</v>
          </cell>
          <cell r="W103">
            <v>0</v>
          </cell>
          <cell r="X103">
            <v>-973</v>
          </cell>
          <cell r="Y103">
            <v>-124.69178000000001</v>
          </cell>
          <cell r="Z103">
            <v>329.25579999999997</v>
          </cell>
          <cell r="AA103">
            <v>6.2691299999999996</v>
          </cell>
          <cell r="AB103">
            <v>0</v>
          </cell>
          <cell r="AC103">
            <v>-5381.7871499999992</v>
          </cell>
          <cell r="AD103">
            <v>241.72164000000001</v>
          </cell>
          <cell r="AE103">
            <v>-47.320790000000002</v>
          </cell>
          <cell r="AF103">
            <v>-625.59428000000003</v>
          </cell>
          <cell r="AG103">
            <v>0</v>
          </cell>
          <cell r="AH103">
            <v>6230.30314</v>
          </cell>
          <cell r="AI103">
            <v>201.29481000000001</v>
          </cell>
          <cell r="AJ103">
            <v>-98.291669999999939</v>
          </cell>
          <cell r="AK103">
            <v>-1.9987400000000002</v>
          </cell>
          <cell r="AL103">
            <v>-3329.2788099999998</v>
          </cell>
          <cell r="AM103">
            <v>2532.0499700000009</v>
          </cell>
          <cell r="AN103">
            <v>-1086.8104000000003</v>
          </cell>
          <cell r="AO103">
            <v>-498.63554000000005</v>
          </cell>
          <cell r="AP103">
            <v>-31.285019999999999</v>
          </cell>
          <cell r="AQ103">
            <v>-312.30460000000005</v>
          </cell>
          <cell r="AR103">
            <v>-264.33957000000004</v>
          </cell>
          <cell r="AT103">
            <v>-523.2958799999999</v>
          </cell>
          <cell r="AU103">
            <v>0</v>
          </cell>
          <cell r="AV103">
            <v>0</v>
          </cell>
          <cell r="AW103">
            <v>0</v>
          </cell>
          <cell r="AX103">
            <v>0.51</v>
          </cell>
          <cell r="AY103">
            <v>0</v>
          </cell>
          <cell r="AZ103">
            <v>0</v>
          </cell>
          <cell r="BA103">
            <v>9.9499999999999988E-3</v>
          </cell>
          <cell r="BB103">
            <v>-2.3210000000000001E-2</v>
          </cell>
          <cell r="BC103">
            <v>-4.4000000000000002E-4</v>
          </cell>
          <cell r="BD103">
            <v>0</v>
          </cell>
          <cell r="BE103">
            <v>45.533770000000004</v>
          </cell>
          <cell r="BF103">
            <v>68.798999999999921</v>
          </cell>
          <cell r="BG103">
            <v>-5.4729700000000001</v>
          </cell>
          <cell r="BH103">
            <v>-24.870220000000007</v>
          </cell>
          <cell r="BI103">
            <v>-0.42423</v>
          </cell>
          <cell r="BJ103">
            <v>0</v>
          </cell>
          <cell r="BK103">
            <v>2368.3724999999977</v>
          </cell>
        </row>
        <row r="104">
          <cell r="C104">
            <v>20558.590000000004</v>
          </cell>
          <cell r="N104">
            <v>13249.722010516683</v>
          </cell>
          <cell r="O104">
            <v>-2118.6000247815919</v>
          </cell>
          <cell r="P104">
            <v>0</v>
          </cell>
          <cell r="Q104">
            <v>-278.67147148720056</v>
          </cell>
          <cell r="R104">
            <v>0</v>
          </cell>
          <cell r="S104">
            <v>-231.60606109693944</v>
          </cell>
          <cell r="T104">
            <v>-116.70966685590204</v>
          </cell>
          <cell r="U104">
            <v>0</v>
          </cell>
          <cell r="V104">
            <v>-4115.9487435148094</v>
          </cell>
          <cell r="W104">
            <v>0</v>
          </cell>
          <cell r="X104">
            <v>-541.07342889325082</v>
          </cell>
          <cell r="Y104">
            <v>-116.01817323241369</v>
          </cell>
          <cell r="Z104">
            <v>206.494494028199</v>
          </cell>
          <cell r="AA104">
            <v>0</v>
          </cell>
          <cell r="AB104">
            <v>0</v>
          </cell>
          <cell r="AC104">
            <v>-2938.1548374001886</v>
          </cell>
          <cell r="AD104">
            <v>0</v>
          </cell>
          <cell r="AE104">
            <v>0</v>
          </cell>
          <cell r="AF104">
            <v>-288.06337828823291</v>
          </cell>
          <cell r="AG104">
            <v>0</v>
          </cell>
          <cell r="AH104">
            <v>3476.2182156884223</v>
          </cell>
          <cell r="AI104">
            <v>116.01817323241369</v>
          </cell>
          <cell r="AJ104">
            <v>0</v>
          </cell>
          <cell r="AK104">
            <v>0</v>
          </cell>
          <cell r="AL104">
            <v>-1966.2336488221038</v>
          </cell>
          <cell r="AM104">
            <v>0</v>
          </cell>
          <cell r="AN104">
            <v>0</v>
          </cell>
          <cell r="AO104">
            <v>-542.69137127440604</v>
          </cell>
          <cell r="AP104">
            <v>-33.414401079975455</v>
          </cell>
          <cell r="AQ104">
            <v>-478.3734692981788</v>
          </cell>
          <cell r="AR104">
            <v>-335.45194628367557</v>
          </cell>
          <cell r="AT104">
            <v>-553.73315739858947</v>
          </cell>
          <cell r="AU104">
            <v>50.691772125050811</v>
          </cell>
          <cell r="AV104">
            <v>0</v>
          </cell>
          <cell r="AW104">
            <v>27.32068240135937</v>
          </cell>
          <cell r="AX104">
            <v>94.84889823222575</v>
          </cell>
          <cell r="AY104">
            <v>0</v>
          </cell>
          <cell r="AZ104">
            <v>53.046317327412453</v>
          </cell>
          <cell r="BA104">
            <v>3.5471865541138099</v>
          </cell>
          <cell r="BB104">
            <v>-6.5301008992406757</v>
          </cell>
          <cell r="BC104">
            <v>0</v>
          </cell>
          <cell r="BD104">
            <v>0</v>
          </cell>
          <cell r="BE104">
            <v>385.26936749999993</v>
          </cell>
          <cell r="BF104">
            <v>-385.26936749999993</v>
          </cell>
          <cell r="BG104">
            <v>-3.5471865541138099</v>
          </cell>
          <cell r="BH104">
            <v>0</v>
          </cell>
          <cell r="BI104">
            <v>0</v>
          </cell>
          <cell r="BJ104">
            <v>0</v>
          </cell>
          <cell r="BK104">
            <v>2613.0866829450642</v>
          </cell>
        </row>
      </sheetData>
      <sheetData sheetId="4" refreshError="1">
        <row r="21">
          <cell r="C21">
            <v>18095.316599999998</v>
          </cell>
          <cell r="N21">
            <v>15471.581460000005</v>
          </cell>
          <cell r="O21">
            <v>-277.45635000000004</v>
          </cell>
          <cell r="P21">
            <v>0</v>
          </cell>
          <cell r="Q21">
            <v>0</v>
          </cell>
          <cell r="R21">
            <v>18.690750000000001</v>
          </cell>
          <cell r="S21">
            <v>-185.78554000000003</v>
          </cell>
          <cell r="T21">
            <v>0</v>
          </cell>
          <cell r="U21">
            <v>-438.49815999999993</v>
          </cell>
          <cell r="V21">
            <v>-9418.6504622799603</v>
          </cell>
          <cell r="W21">
            <v>0</v>
          </cell>
          <cell r="X21">
            <v>-1791.0994477200393</v>
          </cell>
          <cell r="Y21">
            <v>-113.78222</v>
          </cell>
          <cell r="Z21">
            <v>772.79940000000011</v>
          </cell>
          <cell r="AA21">
            <v>8.1888199999999998</v>
          </cell>
          <cell r="AB21">
            <v>0</v>
          </cell>
          <cell r="AC21">
            <v>-11783.555990000001</v>
          </cell>
          <cell r="AD21">
            <v>361.98930999999993</v>
          </cell>
          <cell r="AE21">
            <v>-116.44802000000001</v>
          </cell>
          <cell r="AF21">
            <v>0</v>
          </cell>
          <cell r="AG21">
            <v>0</v>
          </cell>
          <cell r="AH21">
            <v>10997.091060000008</v>
          </cell>
          <cell r="AI21">
            <v>1898.4951899999996</v>
          </cell>
          <cell r="AJ21">
            <v>-3237.1148799999992</v>
          </cell>
          <cell r="AK21">
            <v>-166.94303999999997</v>
          </cell>
          <cell r="AL21">
            <v>-4893.571570000001</v>
          </cell>
          <cell r="AM21">
            <v>5118.3656699999992</v>
          </cell>
          <cell r="AN21">
            <v>-4489.0400000000009</v>
          </cell>
          <cell r="AO21">
            <v>-251.62567999999999</v>
          </cell>
          <cell r="AP21">
            <v>-35.587159999999997</v>
          </cell>
          <cell r="AQ21">
            <v>-301.00501000000003</v>
          </cell>
          <cell r="AR21">
            <v>-286.75002000000001</v>
          </cell>
          <cell r="AT21">
            <v>-285.55266999999992</v>
          </cell>
          <cell r="AU21">
            <v>0</v>
          </cell>
          <cell r="AV21">
            <v>0</v>
          </cell>
          <cell r="AW21">
            <v>0</v>
          </cell>
          <cell r="AX21">
            <v>1.2097547775639441</v>
          </cell>
          <cell r="AY21">
            <v>0</v>
          </cell>
          <cell r="AZ21">
            <v>-1.2097547775639441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3.1670000000001437</v>
          </cell>
          <cell r="BG21">
            <v>-19.049769999999999</v>
          </cell>
          <cell r="BH21">
            <v>42.696550000000009</v>
          </cell>
          <cell r="BI21">
            <v>2.2349299999999999</v>
          </cell>
          <cell r="BJ21">
            <v>0</v>
          </cell>
          <cell r="BK21">
            <v>-3396.215849999991</v>
          </cell>
        </row>
        <row r="22">
          <cell r="C22">
            <v>16027.854949999999</v>
          </cell>
          <cell r="N22">
            <v>13696.608539999999</v>
          </cell>
          <cell r="O22">
            <v>-285.44598000000002</v>
          </cell>
          <cell r="P22">
            <v>0</v>
          </cell>
          <cell r="Q22">
            <v>0</v>
          </cell>
          <cell r="R22">
            <v>10.34609</v>
          </cell>
          <cell r="S22">
            <v>-190.43923000000001</v>
          </cell>
          <cell r="T22">
            <v>-9.8020999999999994</v>
          </cell>
          <cell r="U22">
            <v>-363.86299999999994</v>
          </cell>
          <cell r="V22">
            <v>-7306.2141137733943</v>
          </cell>
          <cell r="W22">
            <v>0</v>
          </cell>
          <cell r="X22">
            <v>-2007.1421562266057</v>
          </cell>
          <cell r="Y22">
            <v>-152.87433999999999</v>
          </cell>
          <cell r="Z22">
            <v>731.77607999999998</v>
          </cell>
          <cell r="AA22">
            <v>16.838150000000002</v>
          </cell>
          <cell r="AB22">
            <v>0</v>
          </cell>
          <cell r="AC22">
            <v>-11297.881049999996</v>
          </cell>
          <cell r="AD22">
            <v>424.00612000000001</v>
          </cell>
          <cell r="AE22">
            <v>-121.75532</v>
          </cell>
          <cell r="AF22">
            <v>0</v>
          </cell>
          <cell r="AG22">
            <v>0</v>
          </cell>
          <cell r="AH22">
            <v>10931.222400000001</v>
          </cell>
          <cell r="AI22">
            <v>-330.30254999999994</v>
          </cell>
          <cell r="AJ22">
            <v>2016.7458099999999</v>
          </cell>
          <cell r="AK22">
            <v>83.547119999999993</v>
          </cell>
          <cell r="AL22">
            <v>-4118.4181000000017</v>
          </cell>
          <cell r="AM22">
            <v>4912.7233799999995</v>
          </cell>
          <cell r="AN22">
            <v>-4375.4043500000007</v>
          </cell>
          <cell r="AO22">
            <v>-125.79254999999998</v>
          </cell>
          <cell r="AP22">
            <v>-69.065489999999997</v>
          </cell>
          <cell r="AQ22">
            <v>-290.53314</v>
          </cell>
          <cell r="AR22">
            <v>-318.72017999999997</v>
          </cell>
          <cell r="AT22">
            <v>-311.87772000000007</v>
          </cell>
          <cell r="AU22">
            <v>0</v>
          </cell>
          <cell r="AV22">
            <v>0</v>
          </cell>
          <cell r="AW22">
            <v>0</v>
          </cell>
          <cell r="AX22">
            <v>35.519100308444649</v>
          </cell>
          <cell r="AY22">
            <v>0</v>
          </cell>
          <cell r="AZ22">
            <v>-35.519100308444649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5.8660800000000002</v>
          </cell>
          <cell r="BF22">
            <v>-3.0620800000000021</v>
          </cell>
          <cell r="BG22">
            <v>12.444140000000001</v>
          </cell>
          <cell r="BH22">
            <v>-52.54251</v>
          </cell>
          <cell r="BI22">
            <v>-1.9505599999999998</v>
          </cell>
          <cell r="BJ22">
            <v>0</v>
          </cell>
          <cell r="BK22">
            <v>1109.0373900000004</v>
          </cell>
        </row>
        <row r="23">
          <cell r="C23">
            <v>16485.080000000002</v>
          </cell>
          <cell r="N23">
            <v>15074.523391691371</v>
          </cell>
          <cell r="O23">
            <v>-2436.6971797750916</v>
          </cell>
          <cell r="P23">
            <v>0</v>
          </cell>
          <cell r="Q23">
            <v>-580.37280261040769</v>
          </cell>
          <cell r="R23">
            <v>0</v>
          </cell>
          <cell r="S23">
            <v>-350.99336761640711</v>
          </cell>
          <cell r="T23">
            <v>0</v>
          </cell>
          <cell r="U23">
            <v>0</v>
          </cell>
          <cell r="V23">
            <v>-6295.831626100955</v>
          </cell>
          <cell r="W23">
            <v>0</v>
          </cell>
          <cell r="X23">
            <v>-1499.5418700081193</v>
          </cell>
          <cell r="Y23">
            <v>-211.78479491810083</v>
          </cell>
          <cell r="Z23">
            <v>806.80377805356216</v>
          </cell>
          <cell r="AA23">
            <v>0</v>
          </cell>
          <cell r="AB23">
            <v>0</v>
          </cell>
          <cell r="AC23">
            <v>-10850.572029047937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10938.072029047937</v>
          </cell>
          <cell r="AI23">
            <v>211.78479491810083</v>
          </cell>
          <cell r="AJ23">
            <v>0</v>
          </cell>
          <cell r="AK23">
            <v>0</v>
          </cell>
          <cell r="AL23">
            <v>-3772.0166048642818</v>
          </cell>
          <cell r="AM23">
            <v>0</v>
          </cell>
          <cell r="AN23">
            <v>0</v>
          </cell>
          <cell r="AO23">
            <v>-288.19793471728349</v>
          </cell>
          <cell r="AP23">
            <v>-71.869760852089598</v>
          </cell>
          <cell r="AQ23">
            <v>-328.59903774453824</v>
          </cell>
          <cell r="AR23">
            <v>-426.22957361860017</v>
          </cell>
          <cell r="AT23">
            <v>-489.76621842816485</v>
          </cell>
          <cell r="AU23">
            <v>9.0476889533484837</v>
          </cell>
          <cell r="AV23">
            <v>0</v>
          </cell>
          <cell r="AW23">
            <v>0</v>
          </cell>
          <cell r="AX23">
            <v>23.377023098485026</v>
          </cell>
          <cell r="AY23">
            <v>0</v>
          </cell>
          <cell r="AZ23">
            <v>0</v>
          </cell>
          <cell r="BA23">
            <v>0.53359443017418151</v>
          </cell>
          <cell r="BB23">
            <v>-2.1118213243517641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-0.53359443017418151</v>
          </cell>
          <cell r="BH23">
            <v>0</v>
          </cell>
          <cell r="BI23">
            <v>0</v>
          </cell>
          <cell r="BJ23">
            <v>0</v>
          </cell>
          <cell r="BK23">
            <v>-540.97591586352439</v>
          </cell>
        </row>
        <row r="25">
          <cell r="C25">
            <v>16548.543610000001</v>
          </cell>
          <cell r="N25">
            <v>12889.771580000008</v>
          </cell>
          <cell r="O25">
            <v>-1411.10681</v>
          </cell>
          <cell r="P25">
            <v>0</v>
          </cell>
          <cell r="Q25">
            <v>0</v>
          </cell>
          <cell r="R25">
            <v>82.909930000000003</v>
          </cell>
          <cell r="S25">
            <v>-49.244410000000002</v>
          </cell>
          <cell r="T25">
            <v>0</v>
          </cell>
          <cell r="U25">
            <v>0</v>
          </cell>
          <cell r="V25">
            <v>-6454.38346</v>
          </cell>
          <cell r="W25">
            <v>-2.5499999999999998</v>
          </cell>
          <cell r="X25">
            <v>0</v>
          </cell>
          <cell r="Y25">
            <v>-16.238130000000002</v>
          </cell>
          <cell r="Z25">
            <v>86.318919999999991</v>
          </cell>
          <cell r="AA25">
            <v>0.23916999999999999</v>
          </cell>
          <cell r="AB25">
            <v>0</v>
          </cell>
          <cell r="AC25">
            <v>-7112.5458999999992</v>
          </cell>
          <cell r="AD25">
            <v>2147.8536899999995</v>
          </cell>
          <cell r="AE25">
            <v>-14.686019999999999</v>
          </cell>
          <cell r="AF25">
            <v>0</v>
          </cell>
          <cell r="AG25">
            <v>0</v>
          </cell>
          <cell r="AH25">
            <v>7940.8850300000004</v>
          </cell>
          <cell r="AI25">
            <v>208.64185000000003</v>
          </cell>
          <cell r="AJ25">
            <v>-41.978070000000024</v>
          </cell>
          <cell r="AK25">
            <v>-4.1213599999999992</v>
          </cell>
          <cell r="AL25">
            <v>-4182.4399599999997</v>
          </cell>
          <cell r="AM25">
            <v>6307.5612599999986</v>
          </cell>
          <cell r="AN25">
            <v>-5490.0938700000006</v>
          </cell>
          <cell r="AO25">
            <v>-221.79953999999998</v>
          </cell>
          <cell r="AP25">
            <v>-31.921430000000001</v>
          </cell>
          <cell r="AQ25">
            <v>-293.77157</v>
          </cell>
          <cell r="AR25">
            <v>-276.20130999999998</v>
          </cell>
          <cell r="AT25">
            <v>-187.37653999999969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9.8997200000000056</v>
          </cell>
          <cell r="BF25">
            <v>0</v>
          </cell>
          <cell r="BG25">
            <v>-6.1700000000000001E-3</v>
          </cell>
          <cell r="BH25">
            <v>-1.9539999999999998E-2</v>
          </cell>
          <cell r="BI25">
            <v>1.1E-4</v>
          </cell>
          <cell r="BJ25">
            <v>0</v>
          </cell>
          <cell r="BK25">
            <v>3883.5971700000077</v>
          </cell>
        </row>
        <row r="26">
          <cell r="C26">
            <v>14175.313029999998</v>
          </cell>
          <cell r="N26">
            <v>11253.686709999998</v>
          </cell>
          <cell r="O26">
            <v>-1180.0123700000001</v>
          </cell>
          <cell r="P26">
            <v>0</v>
          </cell>
          <cell r="Q26">
            <v>0</v>
          </cell>
          <cell r="R26">
            <v>83.452400000000011</v>
          </cell>
          <cell r="S26">
            <v>-33.641659999999995</v>
          </cell>
          <cell r="T26">
            <v>-4.5731199999999994</v>
          </cell>
          <cell r="U26">
            <v>0</v>
          </cell>
          <cell r="V26">
            <v>-5825.5607299999992</v>
          </cell>
          <cell r="W26">
            <v>0</v>
          </cell>
          <cell r="X26">
            <v>0</v>
          </cell>
          <cell r="Y26">
            <v>-40.632689999999997</v>
          </cell>
          <cell r="Z26">
            <v>91.161869999999993</v>
          </cell>
          <cell r="AA26">
            <v>0.73083999999999993</v>
          </cell>
          <cell r="AB26">
            <v>0</v>
          </cell>
          <cell r="AC26">
            <v>-6987.7312900000015</v>
          </cell>
          <cell r="AD26">
            <v>2080.6554399999995</v>
          </cell>
          <cell r="AE26">
            <v>-6.12052</v>
          </cell>
          <cell r="AF26">
            <v>0</v>
          </cell>
          <cell r="AG26">
            <v>0</v>
          </cell>
          <cell r="AH26">
            <v>5047.8456200000001</v>
          </cell>
          <cell r="AI26">
            <v>54.570179999999993</v>
          </cell>
          <cell r="AJ26">
            <v>64.366289999999978</v>
          </cell>
          <cell r="AK26">
            <v>0.33635999999999983</v>
          </cell>
          <cell r="AL26">
            <v>-3602.5170700000003</v>
          </cell>
          <cell r="AM26">
            <v>5486.7676299999994</v>
          </cell>
          <cell r="AN26">
            <v>-4812.2975200000001</v>
          </cell>
          <cell r="AO26">
            <v>-105.81013999999999</v>
          </cell>
          <cell r="AP26">
            <v>-60.312739999999998</v>
          </cell>
          <cell r="AQ26">
            <v>-212.10998999999998</v>
          </cell>
          <cell r="AR26">
            <v>-275.75785999999999</v>
          </cell>
          <cell r="AT26">
            <v>-198.20880000000002</v>
          </cell>
          <cell r="AU26">
            <v>0.87667000000000006</v>
          </cell>
          <cell r="AV26">
            <v>0</v>
          </cell>
          <cell r="AW26">
            <v>0</v>
          </cell>
          <cell r="AX26">
            <v>0.43834000000000001</v>
          </cell>
          <cell r="AY26">
            <v>0</v>
          </cell>
          <cell r="AZ26">
            <v>0</v>
          </cell>
          <cell r="BA26">
            <v>4.9800000000000001E-3</v>
          </cell>
          <cell r="BB26">
            <v>-6.8599999999999998E-3</v>
          </cell>
          <cell r="BC26">
            <v>-8.0000000000000007E-5</v>
          </cell>
          <cell r="BD26">
            <v>0</v>
          </cell>
          <cell r="BE26">
            <v>8.3193999999999999</v>
          </cell>
          <cell r="BF26">
            <v>-0.43833000000000027</v>
          </cell>
          <cell r="BG26">
            <v>-5.3650000000000003E-2</v>
          </cell>
          <cell r="BH26">
            <v>-0.1024</v>
          </cell>
          <cell r="BI26">
            <v>1E-3</v>
          </cell>
          <cell r="BJ26">
            <v>0</v>
          </cell>
          <cell r="BK26">
            <v>827.32590999999729</v>
          </cell>
        </row>
        <row r="27">
          <cell r="C27">
            <v>16528.940000000002</v>
          </cell>
          <cell r="N27">
            <v>15114.644842129936</v>
          </cell>
          <cell r="O27">
            <v>-6244.1533270726813</v>
          </cell>
          <cell r="P27">
            <v>-350.93585646197562</v>
          </cell>
          <cell r="Q27">
            <v>0</v>
          </cell>
          <cell r="R27">
            <v>0</v>
          </cell>
          <cell r="S27">
            <v>-75.095010090825667</v>
          </cell>
          <cell r="T27">
            <v>0</v>
          </cell>
          <cell r="U27">
            <v>0</v>
          </cell>
          <cell r="V27">
            <v>-2037.9033752132596</v>
          </cell>
          <cell r="W27">
            <v>-114.53488229804503</v>
          </cell>
          <cell r="X27">
            <v>0</v>
          </cell>
          <cell r="Y27">
            <v>-64.462062962640701</v>
          </cell>
          <cell r="Z27">
            <v>40.093218599492452</v>
          </cell>
          <cell r="AA27">
            <v>0</v>
          </cell>
          <cell r="AB27">
            <v>0</v>
          </cell>
          <cell r="AC27">
            <v>-2188.6450393152081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2531.8950393152081</v>
          </cell>
          <cell r="AI27">
            <v>64.462062962640701</v>
          </cell>
          <cell r="AJ27">
            <v>0</v>
          </cell>
          <cell r="AK27">
            <v>0</v>
          </cell>
          <cell r="AL27">
            <v>-3738.4089979701102</v>
          </cell>
          <cell r="AM27">
            <v>0</v>
          </cell>
          <cell r="AN27">
            <v>0</v>
          </cell>
          <cell r="AO27">
            <v>-258.07802685774197</v>
          </cell>
          <cell r="AP27">
            <v>-68.112248810793801</v>
          </cell>
          <cell r="AQ27">
            <v>-322.60751065767823</v>
          </cell>
          <cell r="AR27">
            <v>-426.24822568941579</v>
          </cell>
          <cell r="AT27">
            <v>-287.90225935659333</v>
          </cell>
          <cell r="AU27">
            <v>73.338621401353379</v>
          </cell>
          <cell r="AV27">
            <v>54.370343958897607</v>
          </cell>
          <cell r="AW27">
            <v>0</v>
          </cell>
          <cell r="AX27">
            <v>23.935514754147178</v>
          </cell>
          <cell r="AY27">
            <v>17.744840919415424</v>
          </cell>
          <cell r="AZ27">
            <v>0</v>
          </cell>
          <cell r="BA27">
            <v>0.67064708405103246</v>
          </cell>
          <cell r="BB27">
            <v>-0.43334470933803187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-0.67064708405103246</v>
          </cell>
          <cell r="BH27">
            <v>0</v>
          </cell>
          <cell r="BI27">
            <v>0</v>
          </cell>
          <cell r="BJ27">
            <v>0</v>
          </cell>
          <cell r="BK27">
            <v>1742.9643165747834</v>
          </cell>
        </row>
        <row r="29">
          <cell r="C29">
            <v>34643.860209999999</v>
          </cell>
          <cell r="N29">
            <v>28361.353040000013</v>
          </cell>
          <cell r="O29">
            <v>-1688.5631600000002</v>
          </cell>
          <cell r="P29">
            <v>0</v>
          </cell>
          <cell r="Q29">
            <v>0</v>
          </cell>
          <cell r="R29">
            <v>101.60068000000001</v>
          </cell>
          <cell r="S29">
            <v>-235.02995000000004</v>
          </cell>
          <cell r="T29">
            <v>0</v>
          </cell>
          <cell r="U29">
            <v>-438.49815999999993</v>
          </cell>
          <cell r="V29">
            <v>-15873.033922279959</v>
          </cell>
          <cell r="W29">
            <v>-2.5499999999999998</v>
          </cell>
          <cell r="X29">
            <v>-1791.0994477200393</v>
          </cell>
          <cell r="Y29">
            <v>-130.02035000000001</v>
          </cell>
          <cell r="Z29">
            <v>859.11832000000004</v>
          </cell>
          <cell r="AA29">
            <v>8.4279899999999994</v>
          </cell>
          <cell r="AB29">
            <v>0</v>
          </cell>
          <cell r="AC29">
            <v>-18896.101889999998</v>
          </cell>
          <cell r="AD29">
            <v>2509.8429999999994</v>
          </cell>
          <cell r="AE29">
            <v>-131.13404000000003</v>
          </cell>
          <cell r="AF29">
            <v>0</v>
          </cell>
          <cell r="AG29">
            <v>0</v>
          </cell>
          <cell r="AH29">
            <v>18937.976090000007</v>
          </cell>
          <cell r="AI29">
            <v>2107.1370399999996</v>
          </cell>
          <cell r="AJ29">
            <v>-3279.0929499999993</v>
          </cell>
          <cell r="AK29">
            <v>-171.06439999999998</v>
          </cell>
          <cell r="AL29">
            <v>-9076.0115299999998</v>
          </cell>
          <cell r="AM29">
            <v>11425.926929999998</v>
          </cell>
          <cell r="AN29">
            <v>-9979.1338700000015</v>
          </cell>
          <cell r="AO29">
            <v>-473.42521999999997</v>
          </cell>
          <cell r="AP29">
            <v>-67.508589999999998</v>
          </cell>
          <cell r="AQ29">
            <v>-594.77657999999997</v>
          </cell>
          <cell r="AR29">
            <v>-562.95132999999998</v>
          </cell>
          <cell r="AT29">
            <v>-472.92920999999961</v>
          </cell>
          <cell r="AU29">
            <v>0</v>
          </cell>
          <cell r="AV29">
            <v>0</v>
          </cell>
          <cell r="AW29">
            <v>0</v>
          </cell>
          <cell r="AX29">
            <v>1.2097547775639441</v>
          </cell>
          <cell r="AY29">
            <v>0</v>
          </cell>
          <cell r="AZ29">
            <v>-1.2097547775639441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9.8997200000000056</v>
          </cell>
          <cell r="BF29">
            <v>3.1670000000001437</v>
          </cell>
          <cell r="BG29">
            <v>-19.05594</v>
          </cell>
          <cell r="BH29">
            <v>42.67701000000001</v>
          </cell>
          <cell r="BI29">
            <v>2.2350399999999997</v>
          </cell>
          <cell r="BJ29">
            <v>0</v>
          </cell>
          <cell r="BK29">
            <v>487.38132000001679</v>
          </cell>
        </row>
        <row r="30">
          <cell r="C30">
            <v>30203.167979999998</v>
          </cell>
          <cell r="N30">
            <v>24950.295249999996</v>
          </cell>
          <cell r="O30">
            <v>-1465.4583500000001</v>
          </cell>
          <cell r="P30">
            <v>0</v>
          </cell>
          <cell r="Q30">
            <v>0</v>
          </cell>
          <cell r="R30">
            <v>93.798490000000015</v>
          </cell>
          <cell r="S30">
            <v>-224.08089000000001</v>
          </cell>
          <cell r="T30">
            <v>-14.375219999999999</v>
          </cell>
          <cell r="U30">
            <v>-363.86299999999994</v>
          </cell>
          <cell r="V30">
            <v>-13131.774843773394</v>
          </cell>
          <cell r="W30">
            <v>0</v>
          </cell>
          <cell r="X30">
            <v>-2007.1421562266057</v>
          </cell>
          <cell r="Y30">
            <v>-193.50702999999999</v>
          </cell>
          <cell r="Z30">
            <v>822.93795</v>
          </cell>
          <cell r="AA30">
            <v>17.568990000000003</v>
          </cell>
          <cell r="AB30">
            <v>0</v>
          </cell>
          <cell r="AC30">
            <v>-18285.61234</v>
          </cell>
          <cell r="AD30">
            <v>2504.6615599999996</v>
          </cell>
          <cell r="AE30">
            <v>-127.87584</v>
          </cell>
          <cell r="AF30">
            <v>0</v>
          </cell>
          <cell r="AG30">
            <v>0</v>
          </cell>
          <cell r="AH30">
            <v>15979.068020000001</v>
          </cell>
          <cell r="AI30">
            <v>-275.73236999999995</v>
          </cell>
          <cell r="AJ30">
            <v>2081.1120999999998</v>
          </cell>
          <cell r="AK30">
            <v>83.883479999999992</v>
          </cell>
          <cell r="AL30">
            <v>-7720.9351700000025</v>
          </cell>
          <cell r="AM30">
            <v>10399.491009999998</v>
          </cell>
          <cell r="AN30">
            <v>-9187.7018700000008</v>
          </cell>
          <cell r="AO30">
            <v>-231.60268999999997</v>
          </cell>
          <cell r="AP30">
            <v>-129.37823</v>
          </cell>
          <cell r="AQ30">
            <v>-502.64312999999999</v>
          </cell>
          <cell r="AR30">
            <v>-594.47803999999996</v>
          </cell>
          <cell r="AT30">
            <v>-510.08652000000006</v>
          </cell>
          <cell r="AU30">
            <v>0.87667000000000006</v>
          </cell>
          <cell r="AV30">
            <v>0</v>
          </cell>
          <cell r="AW30">
            <v>0</v>
          </cell>
          <cell r="AX30">
            <v>35.957440308444646</v>
          </cell>
          <cell r="AY30">
            <v>0</v>
          </cell>
          <cell r="AZ30">
            <v>-35.519100308444649</v>
          </cell>
          <cell r="BA30">
            <v>4.9800000000000001E-3</v>
          </cell>
          <cell r="BB30">
            <v>-6.8599999999999998E-3</v>
          </cell>
          <cell r="BC30">
            <v>-8.0000000000000007E-5</v>
          </cell>
          <cell r="BD30">
            <v>0</v>
          </cell>
          <cell r="BE30">
            <v>14.18548</v>
          </cell>
          <cell r="BF30">
            <v>-3.5004100000000022</v>
          </cell>
          <cell r="BG30">
            <v>12.390490000000002</v>
          </cell>
          <cell r="BH30">
            <v>-52.644910000000003</v>
          </cell>
          <cell r="BI30">
            <v>-1.94956</v>
          </cell>
          <cell r="BJ30">
            <v>0</v>
          </cell>
          <cell r="BK30">
            <v>1936.3632999999977</v>
          </cell>
        </row>
        <row r="31">
          <cell r="C31">
            <v>33014.020000000004</v>
          </cell>
          <cell r="N31">
            <v>30189.168233821307</v>
          </cell>
          <cell r="O31">
            <v>-8680.8505068477734</v>
          </cell>
          <cell r="P31">
            <v>-350.93585646197562</v>
          </cell>
          <cell r="Q31">
            <v>-580.37280261040769</v>
          </cell>
          <cell r="R31">
            <v>0</v>
          </cell>
          <cell r="S31">
            <v>-426.08837770723278</v>
          </cell>
          <cell r="T31">
            <v>0</v>
          </cell>
          <cell r="U31">
            <v>0</v>
          </cell>
          <cell r="V31">
            <v>-8333.735001314215</v>
          </cell>
          <cell r="W31">
            <v>-114.53488229804503</v>
          </cell>
          <cell r="X31">
            <v>-1499.5418700081193</v>
          </cell>
          <cell r="Y31">
            <v>-276.24685788074152</v>
          </cell>
          <cell r="Z31">
            <v>846.89699665305466</v>
          </cell>
          <cell r="AA31">
            <v>0</v>
          </cell>
          <cell r="AB31">
            <v>0</v>
          </cell>
          <cell r="AC31">
            <v>-13039.217068363145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13469.967068363145</v>
          </cell>
          <cell r="AI31">
            <v>276.24685788074152</v>
          </cell>
          <cell r="AJ31">
            <v>0</v>
          </cell>
          <cell r="AK31">
            <v>0</v>
          </cell>
          <cell r="AL31">
            <v>-7510.4256028343916</v>
          </cell>
          <cell r="AM31">
            <v>0</v>
          </cell>
          <cell r="AN31">
            <v>0</v>
          </cell>
          <cell r="AO31">
            <v>-546.27596157502546</v>
          </cell>
          <cell r="AP31">
            <v>-139.9820096628834</v>
          </cell>
          <cell r="AQ31">
            <v>-651.20654840221641</v>
          </cell>
          <cell r="AR31">
            <v>-852.47779930801596</v>
          </cell>
          <cell r="AT31">
            <v>-777.66847778475812</v>
          </cell>
          <cell r="AU31">
            <v>82.386310354701862</v>
          </cell>
          <cell r="AV31">
            <v>54.370343958897607</v>
          </cell>
          <cell r="AW31">
            <v>0</v>
          </cell>
          <cell r="AX31">
            <v>47.312537852632204</v>
          </cell>
          <cell r="AY31">
            <v>17.744840919415424</v>
          </cell>
          <cell r="AZ31">
            <v>0</v>
          </cell>
          <cell r="BA31">
            <v>1.2042415142252141</v>
          </cell>
          <cell r="BB31">
            <v>-2.5451660336897959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-1.2042415142252141</v>
          </cell>
          <cell r="BH31">
            <v>0</v>
          </cell>
          <cell r="BI31">
            <v>0</v>
          </cell>
          <cell r="BJ31">
            <v>0</v>
          </cell>
          <cell r="BK31">
            <v>1201.9884007112591</v>
          </cell>
        </row>
        <row r="33">
          <cell r="C33">
            <v>3551.9553500000006</v>
          </cell>
          <cell r="N33">
            <v>3235.6591799999992</v>
          </cell>
          <cell r="O33">
            <v>-133.14467000000002</v>
          </cell>
          <cell r="P33">
            <v>-0.53</v>
          </cell>
          <cell r="Q33">
            <v>0</v>
          </cell>
          <cell r="R33">
            <v>0</v>
          </cell>
          <cell r="S33">
            <v>-9.8263800000000003</v>
          </cell>
          <cell r="T33">
            <v>0</v>
          </cell>
          <cell r="U33">
            <v>0</v>
          </cell>
          <cell r="V33">
            <v>-1387.5720194156575</v>
          </cell>
          <cell r="W33">
            <v>-4.73224</v>
          </cell>
          <cell r="X33">
            <v>-609.68855058434247</v>
          </cell>
          <cell r="Y33">
            <v>-12.612670000000001</v>
          </cell>
          <cell r="Z33">
            <v>32.053739999999998</v>
          </cell>
          <cell r="AA33">
            <v>0.19308000000000003</v>
          </cell>
          <cell r="AB33">
            <v>-210</v>
          </cell>
          <cell r="AC33">
            <v>-917.61673000000008</v>
          </cell>
          <cell r="AD33">
            <v>34.870239999999995</v>
          </cell>
          <cell r="AE33">
            <v>-3.7755100000000001</v>
          </cell>
          <cell r="AF33">
            <v>0</v>
          </cell>
          <cell r="AG33">
            <v>0</v>
          </cell>
          <cell r="AH33">
            <v>2065.6884800000003</v>
          </cell>
          <cell r="AI33">
            <v>-36.036760000000001</v>
          </cell>
          <cell r="AJ33">
            <v>-17.757159999999995</v>
          </cell>
          <cell r="AK33">
            <v>0.72665000000000002</v>
          </cell>
          <cell r="AL33">
            <v>-1283.5968000000003</v>
          </cell>
          <cell r="AM33">
            <v>2106.7656900000002</v>
          </cell>
          <cell r="AN33">
            <v>-1991.3745800000008</v>
          </cell>
          <cell r="AO33">
            <v>-65.590589999999992</v>
          </cell>
          <cell r="AP33">
            <v>-10.556049999999999</v>
          </cell>
          <cell r="AQ33">
            <v>-153.61476999999999</v>
          </cell>
          <cell r="AR33">
            <v>-123.83292</v>
          </cell>
          <cell r="AT33">
            <v>-389.56078000000002</v>
          </cell>
          <cell r="AU33">
            <v>0</v>
          </cell>
          <cell r="AV33">
            <v>0</v>
          </cell>
          <cell r="AW33">
            <v>0</v>
          </cell>
          <cell r="AX33">
            <v>-13.934787286857272</v>
          </cell>
          <cell r="AY33">
            <v>0</v>
          </cell>
          <cell r="AZ33">
            <v>13.934787286857272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114.53787999999813</v>
          </cell>
        </row>
        <row r="34">
          <cell r="C34">
            <v>3115.14066</v>
          </cell>
          <cell r="N34">
            <v>2887.7826899999995</v>
          </cell>
          <cell r="O34">
            <v>-127.02806000000002</v>
          </cell>
          <cell r="P34">
            <v>0</v>
          </cell>
          <cell r="Q34">
            <v>0</v>
          </cell>
          <cell r="R34">
            <v>0.23901</v>
          </cell>
          <cell r="S34">
            <v>-6.00021</v>
          </cell>
          <cell r="T34">
            <v>-1.08708</v>
          </cell>
          <cell r="U34">
            <v>0</v>
          </cell>
          <cell r="V34">
            <v>-954.42276656012814</v>
          </cell>
          <cell r="W34">
            <v>0</v>
          </cell>
          <cell r="X34">
            <v>-272.60144343987173</v>
          </cell>
          <cell r="Y34">
            <v>-9.1803600000000003</v>
          </cell>
          <cell r="Z34">
            <v>24.115269999999999</v>
          </cell>
          <cell r="AA34">
            <v>0.19357999999999997</v>
          </cell>
          <cell r="AB34">
            <v>0</v>
          </cell>
          <cell r="AC34">
            <v>-970.24743999999998</v>
          </cell>
          <cell r="AD34">
            <v>7.9594699999999996</v>
          </cell>
          <cell r="AE34">
            <v>-0.65737999999999996</v>
          </cell>
          <cell r="AF34">
            <v>0</v>
          </cell>
          <cell r="AG34">
            <v>0</v>
          </cell>
          <cell r="AH34">
            <v>1117.07186</v>
          </cell>
          <cell r="AI34">
            <v>-279.64391000000001</v>
          </cell>
          <cell r="AJ34">
            <v>-4.1490800000000263</v>
          </cell>
          <cell r="AK34">
            <v>1.7081900000000001</v>
          </cell>
          <cell r="AL34">
            <v>-1124.7303900000002</v>
          </cell>
          <cell r="AM34">
            <v>1912.69686</v>
          </cell>
          <cell r="AN34">
            <v>-1830.5302600000002</v>
          </cell>
          <cell r="AO34">
            <v>-288.69828999999999</v>
          </cell>
          <cell r="AP34">
            <v>-34.501310000000004</v>
          </cell>
          <cell r="AQ34">
            <v>-79.49718</v>
          </cell>
          <cell r="AR34">
            <v>-100.08589000000001</v>
          </cell>
          <cell r="AT34">
            <v>-337.95178000000004</v>
          </cell>
          <cell r="AU34">
            <v>0</v>
          </cell>
          <cell r="AV34">
            <v>0</v>
          </cell>
          <cell r="AW34">
            <v>0</v>
          </cell>
          <cell r="AX34">
            <v>-15.594274235756131</v>
          </cell>
          <cell r="AY34">
            <v>0</v>
          </cell>
          <cell r="AZ34">
            <v>15.594274235756131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-469.24590000000074</v>
          </cell>
        </row>
        <row r="35">
          <cell r="C35">
            <v>6517.19</v>
          </cell>
          <cell r="N35">
            <v>6224</v>
          </cell>
          <cell r="O35">
            <v>-1199.7713813550581</v>
          </cell>
          <cell r="P35">
            <v>-517.83026879147849</v>
          </cell>
          <cell r="Q35">
            <v>-285.70632612078998</v>
          </cell>
          <cell r="R35">
            <v>0</v>
          </cell>
          <cell r="S35">
            <v>-11.875603279058268</v>
          </cell>
          <cell r="T35">
            <v>0</v>
          </cell>
          <cell r="U35">
            <v>0</v>
          </cell>
          <cell r="V35">
            <v>-856.38209391260625</v>
          </cell>
          <cell r="W35">
            <v>-369.62089342230843</v>
          </cell>
          <cell r="X35">
            <v>-203.93367070571227</v>
          </cell>
          <cell r="Y35">
            <v>-41.994587880116384</v>
          </cell>
          <cell r="Z35">
            <v>23.079452234664465</v>
          </cell>
          <cell r="AA35">
            <v>0</v>
          </cell>
          <cell r="AB35">
            <v>0</v>
          </cell>
          <cell r="AC35">
            <v>-1245.0564690207063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1638.3064690207063</v>
          </cell>
          <cell r="AI35">
            <v>41.994587880116384</v>
          </cell>
          <cell r="AJ35">
            <v>0</v>
          </cell>
          <cell r="AK35">
            <v>0</v>
          </cell>
          <cell r="AL35">
            <v>-2239.2651952937772</v>
          </cell>
          <cell r="AM35">
            <v>0</v>
          </cell>
          <cell r="AN35">
            <v>0</v>
          </cell>
          <cell r="AO35">
            <v>-71.796646320183243</v>
          </cell>
          <cell r="AP35">
            <v>-30.147465380893827</v>
          </cell>
          <cell r="AQ35">
            <v>-163.34360132170499</v>
          </cell>
          <cell r="AR35">
            <v>-176.19286440313749</v>
          </cell>
          <cell r="AT35">
            <v>-451.11647961447648</v>
          </cell>
          <cell r="AU35">
            <v>0</v>
          </cell>
          <cell r="AV35">
            <v>215.57251277883137</v>
          </cell>
          <cell r="AW35">
            <v>0</v>
          </cell>
          <cell r="AX35">
            <v>0</v>
          </cell>
          <cell r="AY35">
            <v>153.87301510311963</v>
          </cell>
          <cell r="AZ35">
            <v>0</v>
          </cell>
          <cell r="BA35">
            <v>3.339409102223744</v>
          </cell>
          <cell r="BB35">
            <v>-1.9066656225638581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-3.339409102223744</v>
          </cell>
          <cell r="BH35">
            <v>0</v>
          </cell>
          <cell r="BI35">
            <v>0</v>
          </cell>
          <cell r="BJ35">
            <v>0</v>
          </cell>
          <cell r="BK35">
            <v>430.88582457286725</v>
          </cell>
        </row>
        <row r="37">
          <cell r="C37">
            <v>2.4634299999999998</v>
          </cell>
          <cell r="N37">
            <v>1.4849299999999999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-1E-4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-4.1799999999999997E-2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-1.7479100000000001</v>
          </cell>
          <cell r="AM37">
            <v>1.45909</v>
          </cell>
          <cell r="AN37">
            <v>-1.1142800000000002</v>
          </cell>
          <cell r="AO37">
            <v>0</v>
          </cell>
          <cell r="AP37">
            <v>-1.4000000000000001E-4</v>
          </cell>
          <cell r="AQ37">
            <v>0</v>
          </cell>
          <cell r="AR37">
            <v>-2.0000000000000002E-5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3.9769999999999577E-2</v>
          </cell>
        </row>
        <row r="38">
          <cell r="C38">
            <v>3.6837400000000002</v>
          </cell>
          <cell r="N38">
            <v>2.1137199999999989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-6.4999999999999997E-4</v>
          </cell>
          <cell r="U38">
            <v>0</v>
          </cell>
          <cell r="V38">
            <v>-3.9799999999999974E-3</v>
          </cell>
          <cell r="W38">
            <v>0</v>
          </cell>
          <cell r="X38">
            <v>0</v>
          </cell>
          <cell r="Y38">
            <v>-5.0000000000000002E-5</v>
          </cell>
          <cell r="Z38">
            <v>1.3000000000000012E-4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3.9800000000000009E-3</v>
          </cell>
          <cell r="AI38">
            <v>8.0000000000000007E-5</v>
          </cell>
          <cell r="AJ38">
            <v>-1.8999999999999996E-4</v>
          </cell>
          <cell r="AK38">
            <v>0</v>
          </cell>
          <cell r="AL38">
            <v>-1.3708300000000002</v>
          </cell>
          <cell r="AM38">
            <v>2.5231599999999994</v>
          </cell>
          <cell r="AN38">
            <v>-1.9315699999999991</v>
          </cell>
          <cell r="AO38">
            <v>-4.6300000000000004E-3</v>
          </cell>
          <cell r="AP38">
            <v>-1.6999999999999999E-4</v>
          </cell>
          <cell r="AQ38">
            <v>-8.8040000000000007E-2</v>
          </cell>
          <cell r="AR38">
            <v>-3.5300000000000002E-3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1.2374299999999994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1067.93541</v>
          </cell>
          <cell r="N41">
            <v>722.0391199999998</v>
          </cell>
          <cell r="O41">
            <v>-2.7605500000000003</v>
          </cell>
          <cell r="P41">
            <v>0</v>
          </cell>
          <cell r="Q41">
            <v>0</v>
          </cell>
          <cell r="R41">
            <v>0</v>
          </cell>
          <cell r="S41">
            <v>-3.0780700000000003</v>
          </cell>
          <cell r="T41">
            <v>0</v>
          </cell>
          <cell r="U41">
            <v>0</v>
          </cell>
          <cell r="V41">
            <v>-383.80995000000001</v>
          </cell>
          <cell r="W41">
            <v>0</v>
          </cell>
          <cell r="X41">
            <v>0</v>
          </cell>
          <cell r="Y41">
            <v>-4.7352499999999997</v>
          </cell>
          <cell r="Z41">
            <v>26.266639999999999</v>
          </cell>
          <cell r="AA41">
            <v>0.30269000000000001</v>
          </cell>
          <cell r="AB41">
            <v>-80</v>
          </cell>
          <cell r="AC41">
            <v>-359.77552000000003</v>
          </cell>
          <cell r="AD41">
            <v>12.204409999999999</v>
          </cell>
          <cell r="AE41">
            <v>-1.1807300000000001</v>
          </cell>
          <cell r="AF41">
            <v>0</v>
          </cell>
          <cell r="AG41">
            <v>0</v>
          </cell>
          <cell r="AH41">
            <v>1177.1510299999998</v>
          </cell>
          <cell r="AI41">
            <v>40.960400000000007</v>
          </cell>
          <cell r="AJ41">
            <v>-61.683929999999997</v>
          </cell>
          <cell r="AK41">
            <v>-2.4291099999999992</v>
          </cell>
          <cell r="AL41">
            <v>-357.37696000000005</v>
          </cell>
          <cell r="AM41">
            <v>623.43610000000024</v>
          </cell>
          <cell r="AN41">
            <v>-518.12001999999984</v>
          </cell>
          <cell r="AO41">
            <v>-27.45964</v>
          </cell>
          <cell r="AP41">
            <v>-2.9298999999999999</v>
          </cell>
          <cell r="AQ41">
            <v>-25.77092</v>
          </cell>
          <cell r="AR41">
            <v>-18.61121</v>
          </cell>
          <cell r="AT41">
            <v>-32.415140000000008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720.22348999999986</v>
          </cell>
        </row>
        <row r="42">
          <cell r="C42">
            <v>721.35706000000005</v>
          </cell>
          <cell r="N42">
            <v>564.84365999999966</v>
          </cell>
          <cell r="O42">
            <v>-7.7454699999999992</v>
          </cell>
          <cell r="P42">
            <v>0</v>
          </cell>
          <cell r="Q42">
            <v>0</v>
          </cell>
          <cell r="R42">
            <v>0</v>
          </cell>
          <cell r="S42">
            <v>-2.8036099999999999</v>
          </cell>
          <cell r="T42">
            <v>-0.74373999999999996</v>
          </cell>
          <cell r="U42">
            <v>0</v>
          </cell>
          <cell r="V42">
            <v>-268.22180000000003</v>
          </cell>
          <cell r="W42">
            <v>0</v>
          </cell>
          <cell r="X42">
            <v>0</v>
          </cell>
          <cell r="Y42">
            <v>-5.0903700000000001</v>
          </cell>
          <cell r="Z42">
            <v>18.15259</v>
          </cell>
          <cell r="AA42">
            <v>0.36395</v>
          </cell>
          <cell r="AB42">
            <v>0</v>
          </cell>
          <cell r="AC42">
            <v>-425.37513999999999</v>
          </cell>
          <cell r="AD42">
            <v>2.1016599999999999</v>
          </cell>
          <cell r="AE42">
            <v>-0.33361999999999997</v>
          </cell>
          <cell r="AF42">
            <v>0</v>
          </cell>
          <cell r="AG42">
            <v>0</v>
          </cell>
          <cell r="AH42">
            <v>1145.28979</v>
          </cell>
          <cell r="AI42">
            <v>9.6964900000000007</v>
          </cell>
          <cell r="AJ42">
            <v>19.90889</v>
          </cell>
          <cell r="AK42">
            <v>0.58755000000000002</v>
          </cell>
          <cell r="AL42">
            <v>-253.26159000000004</v>
          </cell>
          <cell r="AM42">
            <v>471.21725999999984</v>
          </cell>
          <cell r="AN42">
            <v>-417.09553</v>
          </cell>
          <cell r="AO42">
            <v>-16.055289999999999</v>
          </cell>
          <cell r="AP42">
            <v>-6.4498899999999999</v>
          </cell>
          <cell r="AQ42">
            <v>-19.2258</v>
          </cell>
          <cell r="AR42">
            <v>-26.606369999999998</v>
          </cell>
          <cell r="AT42">
            <v>-36.292760000000001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746.86085999999932</v>
          </cell>
        </row>
        <row r="43">
          <cell r="C43">
            <v>1170.1500000000001</v>
          </cell>
          <cell r="N43">
            <v>1095</v>
          </cell>
          <cell r="O43">
            <v>-125.58622133892501</v>
          </cell>
          <cell r="P43">
            <v>0</v>
          </cell>
          <cell r="Q43">
            <v>-16.201665829089478</v>
          </cell>
          <cell r="R43">
            <v>0</v>
          </cell>
          <cell r="S43">
            <v>-4.1126826231871298</v>
          </cell>
          <cell r="T43">
            <v>0</v>
          </cell>
          <cell r="U43">
            <v>0</v>
          </cell>
          <cell r="V43">
            <v>-369.48817253821142</v>
          </cell>
          <cell r="W43">
            <v>0</v>
          </cell>
          <cell r="X43">
            <v>-47.667043688730018</v>
          </cell>
          <cell r="Y43">
            <v>-10.95926675395701</v>
          </cell>
          <cell r="Z43">
            <v>31.359110129997308</v>
          </cell>
          <cell r="AA43">
            <v>0</v>
          </cell>
          <cell r="AB43">
            <v>0</v>
          </cell>
          <cell r="AC43">
            <v>-1596.535456673646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1601.035456673646</v>
          </cell>
          <cell r="AI43">
            <v>10.95926675395701</v>
          </cell>
          <cell r="AJ43">
            <v>0</v>
          </cell>
          <cell r="AK43">
            <v>0</v>
          </cell>
          <cell r="AL43">
            <v>-384.68164231743953</v>
          </cell>
          <cell r="AM43">
            <v>0</v>
          </cell>
          <cell r="AN43">
            <v>0</v>
          </cell>
          <cell r="AO43">
            <v>-31.318514255408274</v>
          </cell>
          <cell r="AP43">
            <v>-5.51849694061276</v>
          </cell>
          <cell r="AQ43">
            <v>-27.950863857996175</v>
          </cell>
          <cell r="AR43">
            <v>-28.785752751390852</v>
          </cell>
          <cell r="AT43">
            <v>-54.787242231423015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34.760811757583625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2.3092638912203256E-14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2.3092638912203256E-14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-8.8812571213669873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-8.8812571213669873</v>
          </cell>
        </row>
        <row r="49">
          <cell r="C49">
            <v>107.87987999999999</v>
          </cell>
          <cell r="N49">
            <v>99.852920000000054</v>
          </cell>
          <cell r="O49">
            <v>-0.76836000000000004</v>
          </cell>
          <cell r="P49">
            <v>0</v>
          </cell>
          <cell r="Q49">
            <v>0</v>
          </cell>
          <cell r="R49">
            <v>0</v>
          </cell>
          <cell r="S49">
            <v>-0.19602</v>
          </cell>
          <cell r="T49">
            <v>0</v>
          </cell>
          <cell r="U49">
            <v>0</v>
          </cell>
          <cell r="V49">
            <v>-1.8929499999999999</v>
          </cell>
          <cell r="W49">
            <v>0</v>
          </cell>
          <cell r="X49">
            <v>0</v>
          </cell>
          <cell r="Y49">
            <v>-1.5440000000000001E-2</v>
          </cell>
          <cell r="Z49">
            <v>8.6770000000000028E-2</v>
          </cell>
          <cell r="AA49">
            <v>7.7999999999999999E-4</v>
          </cell>
          <cell r="AB49">
            <v>0</v>
          </cell>
          <cell r="AC49">
            <v>-276.81551999999999</v>
          </cell>
          <cell r="AD49">
            <v>0.25</v>
          </cell>
          <cell r="AE49">
            <v>-7.7189999999999995E-2</v>
          </cell>
          <cell r="AF49">
            <v>0</v>
          </cell>
          <cell r="AG49">
            <v>0</v>
          </cell>
          <cell r="AH49">
            <v>31.654859999999985</v>
          </cell>
          <cell r="AI49">
            <v>18.429200000000002</v>
          </cell>
          <cell r="AJ49">
            <v>-1.9194200000000001</v>
          </cell>
          <cell r="AK49">
            <v>-0.72523000000000004</v>
          </cell>
          <cell r="AL49">
            <v>-29.669020000000007</v>
          </cell>
          <cell r="AM49">
            <v>53.44748000000002</v>
          </cell>
          <cell r="AN49">
            <v>-51.126470000000012</v>
          </cell>
          <cell r="AO49">
            <v>-1.4812000000000001</v>
          </cell>
          <cell r="AP49">
            <v>-0.22946</v>
          </cell>
          <cell r="AQ49">
            <v>-0.46156999999999998</v>
          </cell>
          <cell r="AR49">
            <v>-0.52485999999999999</v>
          </cell>
          <cell r="AT49">
            <v>-0.60960000000000103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-162.79029999999995</v>
          </cell>
        </row>
        <row r="50">
          <cell r="C50">
            <v>116.86346999999999</v>
          </cell>
          <cell r="N50">
            <v>107.83339999999997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-0.23497999999999999</v>
          </cell>
          <cell r="T50">
            <v>-5.4310000000000004E-2</v>
          </cell>
          <cell r="U50">
            <v>0</v>
          </cell>
          <cell r="V50">
            <v>-2.7160000000000295E-2</v>
          </cell>
          <cell r="W50">
            <v>0</v>
          </cell>
          <cell r="X50">
            <v>0</v>
          </cell>
          <cell r="Y50">
            <v>-4.4999999999999999E-4</v>
          </cell>
          <cell r="Z50">
            <v>1.2299999999999534E-3</v>
          </cell>
          <cell r="AA50">
            <v>2.0000000000000002E-5</v>
          </cell>
          <cell r="AB50">
            <v>0</v>
          </cell>
          <cell r="AC50">
            <v>-61.023650000000004</v>
          </cell>
          <cell r="AD50">
            <v>1.1009999999999999E-2</v>
          </cell>
          <cell r="AE50">
            <v>-1.3800000000000002E-2</v>
          </cell>
          <cell r="AF50">
            <v>0</v>
          </cell>
          <cell r="AG50">
            <v>0</v>
          </cell>
          <cell r="AH50">
            <v>-279.39751999999999</v>
          </cell>
          <cell r="AI50">
            <v>-6.3721000000000014</v>
          </cell>
          <cell r="AJ50">
            <v>14.02411</v>
          </cell>
          <cell r="AK50">
            <v>0.37739000000000006</v>
          </cell>
          <cell r="AL50">
            <v>-30.634029999999992</v>
          </cell>
          <cell r="AM50">
            <v>51.751260000000023</v>
          </cell>
          <cell r="AN50">
            <v>-48.529649999999997</v>
          </cell>
          <cell r="AO50">
            <v>-1.3779299999999999</v>
          </cell>
          <cell r="AP50">
            <v>-0.73621999999999999</v>
          </cell>
          <cell r="AQ50">
            <v>-3.6883800000000004</v>
          </cell>
          <cell r="AR50">
            <v>-3.7082600000000001</v>
          </cell>
          <cell r="AT50">
            <v>-5.9856000000000016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-267.78561999999994</v>
          </cell>
        </row>
        <row r="51">
          <cell r="C51">
            <v>16.86</v>
          </cell>
          <cell r="N51">
            <v>16.100000000000019</v>
          </cell>
          <cell r="O51">
            <v>1.9541989586175455E-2</v>
          </cell>
          <cell r="P51">
            <v>0</v>
          </cell>
          <cell r="Q51">
            <v>0</v>
          </cell>
          <cell r="R51">
            <v>0</v>
          </cell>
          <cell r="S51">
            <v>-6.9859167149557977E-2</v>
          </cell>
          <cell r="T51">
            <v>0</v>
          </cell>
          <cell r="U51">
            <v>0</v>
          </cell>
          <cell r="V51">
            <v>3.7943070585443134E-2</v>
          </cell>
          <cell r="W51">
            <v>0</v>
          </cell>
          <cell r="X51">
            <v>0</v>
          </cell>
          <cell r="Y51">
            <v>9.4547890627096304E-4</v>
          </cell>
          <cell r="Z51">
            <v>-1.6739247745209554E-3</v>
          </cell>
          <cell r="AA51">
            <v>0</v>
          </cell>
          <cell r="AB51">
            <v>0</v>
          </cell>
          <cell r="AC51">
            <v>-5.9435790565129363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5.9435790565129363</v>
          </cell>
          <cell r="AI51">
            <v>-9.4547890627096304E-4</v>
          </cell>
          <cell r="AJ51">
            <v>0</v>
          </cell>
          <cell r="AK51">
            <v>0</v>
          </cell>
          <cell r="AL51">
            <v>-4.1841856941889377</v>
          </cell>
          <cell r="AM51">
            <v>0</v>
          </cell>
          <cell r="AN51">
            <v>0</v>
          </cell>
          <cell r="AO51">
            <v>-1.6153272943802226</v>
          </cell>
          <cell r="AP51">
            <v>-0.15258426453223126</v>
          </cell>
          <cell r="AQ51">
            <v>-0.5143456231286031</v>
          </cell>
          <cell r="AR51">
            <v>-0.50928687894393276</v>
          </cell>
          <cell r="AT51">
            <v>-1.2771683724159923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7.83305384065764</v>
          </cell>
        </row>
        <row r="53">
          <cell r="C53">
            <v>71.004310000000004</v>
          </cell>
          <cell r="N53">
            <v>62.240860000000026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-0.31002999999999997</v>
          </cell>
          <cell r="T53">
            <v>0</v>
          </cell>
          <cell r="U53">
            <v>0</v>
          </cell>
          <cell r="V53">
            <v>-0.62514999999999965</v>
          </cell>
          <cell r="W53">
            <v>0</v>
          </cell>
          <cell r="X53">
            <v>0</v>
          </cell>
          <cell r="Y53">
            <v>-7.1690000000000004E-2</v>
          </cell>
          <cell r="Z53">
            <v>4.3129999999999974E-2</v>
          </cell>
          <cell r="AA53">
            <v>3.7200000000000002E-3</v>
          </cell>
          <cell r="AB53">
            <v>0</v>
          </cell>
          <cell r="AC53">
            <v>-29.006360000000001</v>
          </cell>
          <cell r="AD53">
            <v>0</v>
          </cell>
          <cell r="AE53">
            <v>-0.10195</v>
          </cell>
          <cell r="AF53">
            <v>0</v>
          </cell>
          <cell r="AG53">
            <v>0</v>
          </cell>
          <cell r="AH53">
            <v>2.8141600000000011</v>
          </cell>
          <cell r="AI53">
            <v>1.4540399999999998</v>
          </cell>
          <cell r="AJ53">
            <v>0.55737999999999999</v>
          </cell>
          <cell r="AK53">
            <v>-1.5889999999999998E-2</v>
          </cell>
          <cell r="AL53">
            <v>-21.771750000000008</v>
          </cell>
          <cell r="AM53">
            <v>38.948559999999986</v>
          </cell>
          <cell r="AN53">
            <v>-36.40620999999998</v>
          </cell>
          <cell r="AO53">
            <v>-1.6476299999999999</v>
          </cell>
          <cell r="AP53">
            <v>-0.25866</v>
          </cell>
          <cell r="AQ53">
            <v>-1.8618300000000003</v>
          </cell>
          <cell r="AR53">
            <v>-1.8065000000000002</v>
          </cell>
          <cell r="AT53">
            <v>-1.87677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10.301430000000028</v>
          </cell>
        </row>
        <row r="54">
          <cell r="C54">
            <v>85.579470000000015</v>
          </cell>
          <cell r="N54">
            <v>76.919479999999965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-2.9010000000000001E-2</v>
          </cell>
          <cell r="T54">
            <v>-2.8250000000000004E-2</v>
          </cell>
          <cell r="U54">
            <v>0</v>
          </cell>
          <cell r="V54">
            <v>-1.411999999999991E-2</v>
          </cell>
          <cell r="W54">
            <v>0</v>
          </cell>
          <cell r="X54">
            <v>0</v>
          </cell>
          <cell r="Y54">
            <v>-6.4000000000000005E-4</v>
          </cell>
          <cell r="Z54">
            <v>9.3000000000000027E-4</v>
          </cell>
          <cell r="AA54">
            <v>2.9999999999999997E-5</v>
          </cell>
          <cell r="AB54">
            <v>0</v>
          </cell>
          <cell r="AC54">
            <v>-7.8500199999999998</v>
          </cell>
          <cell r="AD54">
            <v>4.725E-2</v>
          </cell>
          <cell r="AE54">
            <v>-1.2139999999999998E-2</v>
          </cell>
          <cell r="AF54">
            <v>0</v>
          </cell>
          <cell r="AG54">
            <v>0</v>
          </cell>
          <cell r="AH54">
            <v>2.0094500000000082</v>
          </cell>
          <cell r="AI54">
            <v>2.2875399999999999</v>
          </cell>
          <cell r="AJ54">
            <v>-0.91322999999999999</v>
          </cell>
          <cell r="AK54">
            <v>-6.3269999999999993E-2</v>
          </cell>
          <cell r="AL54">
            <v>-26.724289999999996</v>
          </cell>
          <cell r="AM54">
            <v>45.843490000000003</v>
          </cell>
          <cell r="AN54">
            <v>-43.364239999999995</v>
          </cell>
          <cell r="AO54">
            <v>-1.0552600000000001</v>
          </cell>
          <cell r="AP54">
            <v>-0.55018</v>
          </cell>
          <cell r="AQ54">
            <v>-2.7413799999999999</v>
          </cell>
          <cell r="AR54">
            <v>-2.5945299999999998</v>
          </cell>
          <cell r="AT54">
            <v>-1.6183300000000003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39.549279999999975</v>
          </cell>
        </row>
        <row r="55">
          <cell r="C55">
            <v>94.92</v>
          </cell>
          <cell r="N55">
            <v>90.644932800574466</v>
          </cell>
          <cell r="O55">
            <v>-2.420234559916552</v>
          </cell>
          <cell r="P55">
            <v>0</v>
          </cell>
          <cell r="Q55">
            <v>0</v>
          </cell>
          <cell r="R55">
            <v>0</v>
          </cell>
          <cell r="S55">
            <v>-0.3534567058395981</v>
          </cell>
          <cell r="T55">
            <v>0</v>
          </cell>
          <cell r="U55">
            <v>0</v>
          </cell>
          <cell r="V55">
            <v>-8.3820104144623215</v>
          </cell>
          <cell r="W55">
            <v>0</v>
          </cell>
          <cell r="X55">
            <v>0</v>
          </cell>
          <cell r="Y55">
            <v>-0.21554471569710346</v>
          </cell>
          <cell r="Z55">
            <v>0.50658498799877993</v>
          </cell>
          <cell r="AA55">
            <v>0</v>
          </cell>
          <cell r="AB55">
            <v>0</v>
          </cell>
          <cell r="AC55">
            <v>-31.655397229398357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34.155397229398361</v>
          </cell>
          <cell r="AI55">
            <v>0.21554471569710346</v>
          </cell>
          <cell r="AJ55">
            <v>0</v>
          </cell>
          <cell r="AK55">
            <v>0</v>
          </cell>
          <cell r="AL55">
            <v>-28.244589280937209</v>
          </cell>
          <cell r="AM55">
            <v>0</v>
          </cell>
          <cell r="AN55">
            <v>0</v>
          </cell>
          <cell r="AO55">
            <v>-1.7881420553162588</v>
          </cell>
          <cell r="AP55">
            <v>-0.43059415190648498</v>
          </cell>
          <cell r="AQ55">
            <v>-1.9661708017585651</v>
          </cell>
          <cell r="AR55">
            <v>-2.7782494574096548</v>
          </cell>
          <cell r="AT55">
            <v>-1.9329709935920369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45.355099367434569</v>
          </cell>
        </row>
        <row r="57">
          <cell r="C57">
            <v>101.41809000000001</v>
          </cell>
          <cell r="N57">
            <v>77.954689999999999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-9.758E-2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-3.8000000000000006E-2</v>
          </cell>
          <cell r="AF57">
            <v>0</v>
          </cell>
          <cell r="AG57">
            <v>0</v>
          </cell>
          <cell r="AH57">
            <v>11.933169999999999</v>
          </cell>
          <cell r="AI57">
            <v>0.31179000000000001</v>
          </cell>
          <cell r="AJ57">
            <v>-0.41576999999999997</v>
          </cell>
          <cell r="AK57">
            <v>-1.4030000000000001E-2</v>
          </cell>
          <cell r="AL57">
            <v>-27.204650000000004</v>
          </cell>
          <cell r="AM57">
            <v>43.448930000000011</v>
          </cell>
          <cell r="AN57">
            <v>-37.379480000000008</v>
          </cell>
          <cell r="AO57">
            <v>-0.73022000000000009</v>
          </cell>
          <cell r="AP57">
            <v>-0.11225</v>
          </cell>
          <cell r="AQ57">
            <v>-0.25130999999999998</v>
          </cell>
          <cell r="AR57">
            <v>-0.1056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67.299690000000012</v>
          </cell>
        </row>
        <row r="58">
          <cell r="C58">
            <v>77.724170000000001</v>
          </cell>
          <cell r="N58">
            <v>56.675369999999972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-1.7080000000000001E-2</v>
          </cell>
          <cell r="T58">
            <v>-3.0000000000000003E-4</v>
          </cell>
          <cell r="U58">
            <v>0</v>
          </cell>
          <cell r="V58">
            <v>-1E-3</v>
          </cell>
          <cell r="W58">
            <v>0</v>
          </cell>
          <cell r="X58">
            <v>0</v>
          </cell>
          <cell r="Y58">
            <v>-2.0000000000000002E-5</v>
          </cell>
          <cell r="Z58">
            <v>2.9999999999999997E-5</v>
          </cell>
          <cell r="AA58">
            <v>0</v>
          </cell>
          <cell r="AB58">
            <v>0</v>
          </cell>
          <cell r="AC58">
            <v>-0.13219</v>
          </cell>
          <cell r="AD58">
            <v>2.3844000000000003</v>
          </cell>
          <cell r="AE58">
            <v>-6.9900000000000006E-3</v>
          </cell>
          <cell r="AF58">
            <v>0</v>
          </cell>
          <cell r="AG58">
            <v>0</v>
          </cell>
          <cell r="AH58">
            <v>0</v>
          </cell>
          <cell r="AI58">
            <v>-1.7079999999999998E-2</v>
          </cell>
          <cell r="AJ58">
            <v>4.4179999999999997E-2</v>
          </cell>
          <cell r="AK58">
            <v>1.83E-3</v>
          </cell>
          <cell r="AL58">
            <v>-20.989490000000007</v>
          </cell>
          <cell r="AM58">
            <v>37.00239000000002</v>
          </cell>
          <cell r="AN58">
            <v>-31.55801000000001</v>
          </cell>
          <cell r="AO58">
            <v>-0.30188000000000009</v>
          </cell>
          <cell r="AP58">
            <v>-0.29247000000000001</v>
          </cell>
          <cell r="AQ58">
            <v>-1.8790800000000001</v>
          </cell>
          <cell r="AR58">
            <v>-1.4698600000000002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39.442749999999968</v>
          </cell>
        </row>
        <row r="59">
          <cell r="C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-0.11037635168292215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-0.79409978459285746</v>
          </cell>
          <cell r="AP59">
            <v>-4.7955984722787101E-2</v>
          </cell>
          <cell r="AQ59">
            <v>-0.56823160456913069</v>
          </cell>
          <cell r="AR59">
            <v>-0.38808392954967197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-1.9087476551173692</v>
          </cell>
        </row>
        <row r="61">
          <cell r="C61">
            <v>1268.3266199999998</v>
          </cell>
          <cell r="N61">
            <v>1145.5273699999993</v>
          </cell>
          <cell r="O61">
            <v>-11.95</v>
          </cell>
          <cell r="P61">
            <v>0</v>
          </cell>
          <cell r="Q61">
            <v>0</v>
          </cell>
          <cell r="R61">
            <v>0</v>
          </cell>
          <cell r="S61">
            <v>-1.41221</v>
          </cell>
          <cell r="T61">
            <v>0</v>
          </cell>
          <cell r="U61">
            <v>0</v>
          </cell>
          <cell r="V61">
            <v>-605.79456000000005</v>
          </cell>
          <cell r="W61">
            <v>0</v>
          </cell>
          <cell r="X61">
            <v>0</v>
          </cell>
          <cell r="Y61">
            <v>-8.743739999999999</v>
          </cell>
          <cell r="Z61">
            <v>18.374200000000002</v>
          </cell>
          <cell r="AA61">
            <v>0.26075999999999999</v>
          </cell>
          <cell r="AB61">
            <v>0</v>
          </cell>
          <cell r="AC61">
            <v>-177.17899</v>
          </cell>
          <cell r="AD61">
            <v>15.18562</v>
          </cell>
          <cell r="AE61">
            <v>-0.55126000000000008</v>
          </cell>
          <cell r="AF61">
            <v>0</v>
          </cell>
          <cell r="AG61">
            <v>0</v>
          </cell>
          <cell r="AH61">
            <v>477.88089999999966</v>
          </cell>
          <cell r="AI61">
            <v>104.25154000000001</v>
          </cell>
          <cell r="AJ61">
            <v>-53.734890000000007</v>
          </cell>
          <cell r="AK61">
            <v>-4.3947500000000002</v>
          </cell>
          <cell r="AL61">
            <v>-344.94852999999995</v>
          </cell>
          <cell r="AM61">
            <v>455.8699400000001</v>
          </cell>
          <cell r="AN61">
            <v>-423.09712000000002</v>
          </cell>
          <cell r="AO61">
            <v>-10.463709999999999</v>
          </cell>
          <cell r="AP61">
            <v>-1.62452</v>
          </cell>
          <cell r="AQ61">
            <v>-4.6261099999999997</v>
          </cell>
          <cell r="AR61">
            <v>-4.8304099999999996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563.9995299999988</v>
          </cell>
        </row>
        <row r="62">
          <cell r="C62">
            <v>1109.4641200000001</v>
          </cell>
          <cell r="N62">
            <v>1006.5372999999996</v>
          </cell>
          <cell r="O62">
            <v>-0.5</v>
          </cell>
          <cell r="P62">
            <v>0</v>
          </cell>
          <cell r="Q62">
            <v>0</v>
          </cell>
          <cell r="R62">
            <v>0</v>
          </cell>
          <cell r="S62">
            <v>-2.8502800000000001</v>
          </cell>
          <cell r="T62">
            <v>-0.27905000000000002</v>
          </cell>
          <cell r="U62">
            <v>0</v>
          </cell>
          <cell r="V62">
            <v>-567.51094999999998</v>
          </cell>
          <cell r="W62">
            <v>0</v>
          </cell>
          <cell r="X62">
            <v>0</v>
          </cell>
          <cell r="Y62">
            <v>-12.743400000000001</v>
          </cell>
          <cell r="Z62">
            <v>19.193899999999999</v>
          </cell>
          <cell r="AA62">
            <v>0.54605999999999999</v>
          </cell>
          <cell r="AB62">
            <v>0</v>
          </cell>
          <cell r="AC62">
            <v>-296.86446000000001</v>
          </cell>
          <cell r="AD62">
            <v>7.9126899999999996</v>
          </cell>
          <cell r="AE62">
            <v>-9.4770000000000007E-2</v>
          </cell>
          <cell r="AF62">
            <v>0</v>
          </cell>
          <cell r="AG62">
            <v>0</v>
          </cell>
          <cell r="AH62">
            <v>648.81939000000011</v>
          </cell>
          <cell r="AI62">
            <v>-7.0552099999999944</v>
          </cell>
          <cell r="AJ62">
            <v>26.562450000000002</v>
          </cell>
          <cell r="AK62">
            <v>1.5089300000000001</v>
          </cell>
          <cell r="AL62">
            <v>-297.44071999999989</v>
          </cell>
          <cell r="AM62">
            <v>447.26405999999997</v>
          </cell>
          <cell r="AN62">
            <v>-420.77813999999989</v>
          </cell>
          <cell r="AO62">
            <v>-7.6798999999999999</v>
          </cell>
          <cell r="AP62">
            <v>-5.5395899999999996</v>
          </cell>
          <cell r="AQ62">
            <v>-18.730589999999999</v>
          </cell>
          <cell r="AR62">
            <v>-27.276770000000003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493.00094999999993</v>
          </cell>
        </row>
        <row r="63">
          <cell r="C63">
            <v>232.35</v>
          </cell>
          <cell r="N63">
            <v>221.89628565338904</v>
          </cell>
          <cell r="O63">
            <v>-58.989665779248007</v>
          </cell>
          <cell r="P63">
            <v>0</v>
          </cell>
          <cell r="Q63">
            <v>0</v>
          </cell>
          <cell r="R63">
            <v>0</v>
          </cell>
          <cell r="S63">
            <v>-1.6599424920720527</v>
          </cell>
          <cell r="T63">
            <v>0</v>
          </cell>
          <cell r="U63">
            <v>0</v>
          </cell>
          <cell r="V63">
            <v>-58.450715795319837</v>
          </cell>
          <cell r="W63">
            <v>0</v>
          </cell>
          <cell r="X63">
            <v>0</v>
          </cell>
          <cell r="Y63">
            <v>-1.8204855045149275</v>
          </cell>
          <cell r="Z63">
            <v>2.6426108876949148</v>
          </cell>
          <cell r="AA63">
            <v>0</v>
          </cell>
          <cell r="AB63">
            <v>0</v>
          </cell>
          <cell r="AC63">
            <v>-68.545359344740191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79.295359344740177</v>
          </cell>
          <cell r="AI63">
            <v>1.8204855045149275</v>
          </cell>
          <cell r="AJ63">
            <v>0</v>
          </cell>
          <cell r="AK63">
            <v>0</v>
          </cell>
          <cell r="AL63">
            <v>-59.706481771416492</v>
          </cell>
          <cell r="AM63">
            <v>0</v>
          </cell>
          <cell r="AN63">
            <v>0</v>
          </cell>
          <cell r="AO63">
            <v>-11.399910453082427</v>
          </cell>
          <cell r="AP63">
            <v>-1.6242356946935099</v>
          </cell>
          <cell r="AQ63">
            <v>-5.2105075546512207</v>
          </cell>
          <cell r="AR63">
            <v>-9.9303145293806008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28.31712247121979</v>
          </cell>
        </row>
        <row r="65">
          <cell r="C65">
            <v>40814.8433</v>
          </cell>
          <cell r="N65">
            <v>33706.112110000009</v>
          </cell>
          <cell r="O65">
            <v>-1837.1867400000003</v>
          </cell>
          <cell r="P65">
            <v>-0.53</v>
          </cell>
          <cell r="Q65">
            <v>0</v>
          </cell>
          <cell r="R65">
            <v>101.60068000000001</v>
          </cell>
          <cell r="S65">
            <v>-249.95034000000004</v>
          </cell>
          <cell r="T65">
            <v>0</v>
          </cell>
          <cell r="U65">
            <v>-438.49815999999993</v>
          </cell>
          <cell r="V65">
            <v>-18252.728551695614</v>
          </cell>
          <cell r="W65">
            <v>-7.2822399999999998</v>
          </cell>
          <cell r="X65">
            <v>-2400.7879983043817</v>
          </cell>
          <cell r="Y65">
            <v>-156.19914000000003</v>
          </cell>
          <cell r="Z65">
            <v>935.94280000000003</v>
          </cell>
          <cell r="AA65">
            <v>9.1890199999999993</v>
          </cell>
          <cell r="AB65">
            <v>-290</v>
          </cell>
          <cell r="AC65">
            <v>-20656.536809999998</v>
          </cell>
          <cell r="AD65">
            <v>2572.3532699999996</v>
          </cell>
          <cell r="AE65">
            <v>-136.85868000000005</v>
          </cell>
          <cell r="AF65">
            <v>0</v>
          </cell>
          <cell r="AG65">
            <v>0</v>
          </cell>
          <cell r="AH65">
            <v>22705.09869000001</v>
          </cell>
          <cell r="AI65">
            <v>2236.5072500000001</v>
          </cell>
          <cell r="AJ65">
            <v>-3414.0467399999998</v>
          </cell>
          <cell r="AK65">
            <v>-177.91675999999998</v>
          </cell>
          <cell r="AL65">
            <v>-11142.327149999997</v>
          </cell>
          <cell r="AM65">
            <v>14749.302720000002</v>
          </cell>
          <cell r="AN65">
            <v>-13037.752030000001</v>
          </cell>
          <cell r="AO65">
            <v>-580.79821000000004</v>
          </cell>
          <cell r="AP65">
            <v>-83.219570000000019</v>
          </cell>
          <cell r="AQ65">
            <v>-781.36309000000017</v>
          </cell>
          <cell r="AR65">
            <v>-712.66284999999993</v>
          </cell>
          <cell r="AT65">
            <v>-897.39149999999961</v>
          </cell>
          <cell r="AU65">
            <v>0</v>
          </cell>
          <cell r="AV65">
            <v>0</v>
          </cell>
          <cell r="AW65">
            <v>0</v>
          </cell>
          <cell r="AX65">
            <v>-12.725032509293328</v>
          </cell>
          <cell r="AY65">
            <v>0</v>
          </cell>
          <cell r="AZ65">
            <v>12.725032509293328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9.8997200000000056</v>
          </cell>
          <cell r="BF65">
            <v>3.1670000000001437</v>
          </cell>
          <cell r="BG65">
            <v>-19.05594</v>
          </cell>
          <cell r="BH65">
            <v>42.67701000000001</v>
          </cell>
          <cell r="BI65">
            <v>2.2350399999999997</v>
          </cell>
          <cell r="BJ65">
            <v>0</v>
          </cell>
          <cell r="BK65">
            <v>1800.9928100000138</v>
          </cell>
        </row>
        <row r="66">
          <cell r="C66">
            <v>35432.98066999999</v>
          </cell>
          <cell r="N66">
            <v>29653.000869999996</v>
          </cell>
          <cell r="O66">
            <v>-1600.7318800000003</v>
          </cell>
          <cell r="P66">
            <v>0</v>
          </cell>
          <cell r="Q66">
            <v>0</v>
          </cell>
          <cell r="R66">
            <v>94.037500000000009</v>
          </cell>
          <cell r="S66">
            <v>-236.01606000000001</v>
          </cell>
          <cell r="T66">
            <v>-16.5686</v>
          </cell>
          <cell r="U66">
            <v>-363.86299999999994</v>
          </cell>
          <cell r="V66">
            <v>-14921.97662033352</v>
          </cell>
          <cell r="W66">
            <v>0</v>
          </cell>
          <cell r="X66">
            <v>-2279.7435996664776</v>
          </cell>
          <cell r="Y66">
            <v>-220.52232000000001</v>
          </cell>
          <cell r="Z66">
            <v>884.40203000000008</v>
          </cell>
          <cell r="AA66">
            <v>18.672630000000002</v>
          </cell>
          <cell r="AB66">
            <v>0</v>
          </cell>
          <cell r="AC66">
            <v>-20047.105240000001</v>
          </cell>
          <cell r="AD66">
            <v>2525.0780399999994</v>
          </cell>
          <cell r="AE66">
            <v>-128.99454</v>
          </cell>
          <cell r="AF66">
            <v>0</v>
          </cell>
          <cell r="AG66">
            <v>0</v>
          </cell>
          <cell r="AH66">
            <v>18612.864970000006</v>
          </cell>
          <cell r="AI66">
            <v>-556.83655999999985</v>
          </cell>
          <cell r="AJ66">
            <v>2136.5892299999991</v>
          </cell>
          <cell r="AK66">
            <v>88.004099999999994</v>
          </cell>
          <cell r="AL66">
            <v>-9476.0865100000028</v>
          </cell>
          <cell r="AM66">
            <v>13367.789489999997</v>
          </cell>
          <cell r="AN66">
            <v>-11981.489270000004</v>
          </cell>
          <cell r="AO66">
            <v>-546.77586999999994</v>
          </cell>
          <cell r="AP66">
            <v>-177.44806000000005</v>
          </cell>
          <cell r="AQ66">
            <v>-628.49358000000018</v>
          </cell>
          <cell r="AR66">
            <v>-756.22325000000001</v>
          </cell>
          <cell r="AT66">
            <v>-891.9349900000002</v>
          </cell>
          <cell r="AU66">
            <v>0.87667000000000006</v>
          </cell>
          <cell r="AV66">
            <v>0</v>
          </cell>
          <cell r="AW66">
            <v>0</v>
          </cell>
          <cell r="AX66">
            <v>20.363166072688514</v>
          </cell>
          <cell r="AY66">
            <v>0</v>
          </cell>
          <cell r="AZ66">
            <v>-19.924826072688518</v>
          </cell>
          <cell r="BA66">
            <v>4.9800000000000001E-3</v>
          </cell>
          <cell r="BB66">
            <v>-6.8599999999999998E-3</v>
          </cell>
          <cell r="BC66">
            <v>-8.0000000000000007E-5</v>
          </cell>
          <cell r="BD66">
            <v>0</v>
          </cell>
          <cell r="BE66">
            <v>14.18548</v>
          </cell>
          <cell r="BF66">
            <v>-3.5004100000000022</v>
          </cell>
          <cell r="BG66">
            <v>12.390490000000002</v>
          </cell>
          <cell r="BH66">
            <v>-52.644910000000003</v>
          </cell>
          <cell r="BI66">
            <v>-1.94956</v>
          </cell>
          <cell r="BJ66">
            <v>0</v>
          </cell>
          <cell r="BK66">
            <v>2519.4230499999962</v>
          </cell>
        </row>
        <row r="67">
          <cell r="C67">
            <v>41045.490000000005</v>
          </cell>
          <cell r="N67">
            <v>37836.809452275273</v>
          </cell>
          <cell r="O67">
            <v>-10067.598467891336</v>
          </cell>
          <cell r="P67">
            <v>-868.76612525345411</v>
          </cell>
          <cell r="Q67">
            <v>-882.28079456028718</v>
          </cell>
          <cell r="R67">
            <v>0</v>
          </cell>
          <cell r="S67">
            <v>-444.27029832622236</v>
          </cell>
          <cell r="T67">
            <v>0</v>
          </cell>
          <cell r="U67">
            <v>0</v>
          </cell>
          <cell r="V67">
            <v>-9626.4000509042289</v>
          </cell>
          <cell r="W67">
            <v>-484.15577572035346</v>
          </cell>
          <cell r="X67">
            <v>-1751.1425844025616</v>
          </cell>
          <cell r="Y67">
            <v>-331.23579725612069</v>
          </cell>
          <cell r="Z67">
            <v>904.48308096863559</v>
          </cell>
          <cell r="AA67">
            <v>0</v>
          </cell>
          <cell r="AB67">
            <v>0</v>
          </cell>
          <cell r="AC67">
            <v>-15986.953329688149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16828.703329688149</v>
          </cell>
          <cell r="AI67">
            <v>331.23579725612069</v>
          </cell>
          <cell r="AJ67">
            <v>0</v>
          </cell>
          <cell r="AK67">
            <v>0</v>
          </cell>
          <cell r="AL67">
            <v>-10226.50769719215</v>
          </cell>
          <cell r="AM67">
            <v>0</v>
          </cell>
          <cell r="AN67">
            <v>0</v>
          </cell>
          <cell r="AO67">
            <v>-664.98860173798857</v>
          </cell>
          <cell r="AP67">
            <v>-177.90334208024501</v>
          </cell>
          <cell r="AQ67">
            <v>-850.7602691660253</v>
          </cell>
          <cell r="AR67">
            <v>-1071.0623512578279</v>
          </cell>
          <cell r="AT67">
            <v>-1295.663596118033</v>
          </cell>
          <cell r="AU67">
            <v>82.386310354701862</v>
          </cell>
          <cell r="AV67">
            <v>269.94285673772896</v>
          </cell>
          <cell r="AW67">
            <v>0</v>
          </cell>
          <cell r="AX67">
            <v>47.312537852632204</v>
          </cell>
          <cell r="AY67">
            <v>171.61785602253505</v>
          </cell>
          <cell r="AZ67">
            <v>0</v>
          </cell>
          <cell r="BA67">
            <v>4.5436506164489581</v>
          </cell>
          <cell r="BB67">
            <v>-4.4518316562536544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-4.5436506164489581</v>
          </cell>
          <cell r="BH67">
            <v>0</v>
          </cell>
          <cell r="BI67">
            <v>0</v>
          </cell>
          <cell r="BJ67">
            <v>0</v>
          </cell>
          <cell r="BK67">
            <v>1738.3503079445377</v>
          </cell>
        </row>
        <row r="69">
          <cell r="C69">
            <v>784.97925999999995</v>
          </cell>
        </row>
        <row r="70">
          <cell r="C70">
            <v>0</v>
          </cell>
          <cell r="N70">
            <v>0</v>
          </cell>
        </row>
        <row r="71">
          <cell r="C71">
            <v>436.36</v>
          </cell>
        </row>
        <row r="81">
          <cell r="C81">
            <v>784.97925999999995</v>
          </cell>
          <cell r="N81">
            <v>205.91491000000002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-0.29944999999999999</v>
          </cell>
          <cell r="T81">
            <v>0</v>
          </cell>
          <cell r="U81">
            <v>0</v>
          </cell>
          <cell r="V81">
            <v>-152.37702999999999</v>
          </cell>
          <cell r="W81">
            <v>0</v>
          </cell>
          <cell r="X81">
            <v>0</v>
          </cell>
          <cell r="Y81">
            <v>-1.0103899999999999</v>
          </cell>
          <cell r="Z81">
            <v>2.04562</v>
          </cell>
          <cell r="AA81">
            <v>1.332E-2</v>
          </cell>
          <cell r="AB81">
            <v>0</v>
          </cell>
          <cell r="AC81">
            <v>0</v>
          </cell>
          <cell r="AD81">
            <v>0</v>
          </cell>
          <cell r="AE81">
            <v>-5.6220000000000006E-2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-149.21797999999998</v>
          </cell>
          <cell r="AM81">
            <v>225.65078</v>
          </cell>
          <cell r="AN81">
            <v>-114.72796</v>
          </cell>
          <cell r="AO81">
            <v>-48.905889999999999</v>
          </cell>
          <cell r="AP81">
            <v>-2.5045900000000003</v>
          </cell>
          <cell r="AQ81">
            <v>-11.662479999999999</v>
          </cell>
          <cell r="AR81">
            <v>-8.5815799999999989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-55.718939999999975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-2.3100000000000004E-3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-2.3100000000000004E-3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-27.601509999999998</v>
          </cell>
          <cell r="AP82">
            <v>-1.14392</v>
          </cell>
          <cell r="AQ82">
            <v>-36.343840000000007</v>
          </cell>
          <cell r="AR82">
            <v>-1.8305200000000001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-66.924410000000009</v>
          </cell>
        </row>
        <row r="83">
          <cell r="C83">
            <v>436.36</v>
          </cell>
          <cell r="N83">
            <v>600</v>
          </cell>
          <cell r="O83">
            <v>-65.274930586787988</v>
          </cell>
          <cell r="P83">
            <v>0</v>
          </cell>
          <cell r="Q83">
            <v>-2.16</v>
          </cell>
          <cell r="R83">
            <v>0</v>
          </cell>
          <cell r="S83">
            <v>-2.577378786806312</v>
          </cell>
          <cell r="T83">
            <v>0</v>
          </cell>
          <cell r="U83">
            <v>0</v>
          </cell>
          <cell r="V83">
            <v>-369.89127332513192</v>
          </cell>
          <cell r="W83">
            <v>0</v>
          </cell>
          <cell r="X83">
            <v>-69.84</v>
          </cell>
          <cell r="Y83">
            <v>-7.5974083455660626</v>
          </cell>
          <cell r="Z83">
            <v>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7.5974083455660626</v>
          </cell>
          <cell r="AJ83">
            <v>0</v>
          </cell>
          <cell r="AK83">
            <v>0</v>
          </cell>
          <cell r="AL83">
            <v>-114</v>
          </cell>
          <cell r="AM83">
            <v>0</v>
          </cell>
          <cell r="AN83">
            <v>0</v>
          </cell>
          <cell r="AO83">
            <v>-55.752536937333751</v>
          </cell>
          <cell r="AP83">
            <v>-23.351126211499597</v>
          </cell>
          <cell r="AQ83">
            <v>-12.818936156942499</v>
          </cell>
          <cell r="AR83">
            <v>-28.651292931773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-138.317474936275</v>
          </cell>
        </row>
        <row r="94">
          <cell r="C94">
            <v>3554.4187800000004</v>
          </cell>
          <cell r="N94">
            <v>3237.1441099999993</v>
          </cell>
          <cell r="O94">
            <v>-133.14467000000002</v>
          </cell>
          <cell r="P94">
            <v>-0.53</v>
          </cell>
          <cell r="Q94">
            <v>0</v>
          </cell>
          <cell r="R94">
            <v>0</v>
          </cell>
          <cell r="S94">
            <v>-9.8264800000000001</v>
          </cell>
          <cell r="T94">
            <v>0</v>
          </cell>
          <cell r="U94">
            <v>0</v>
          </cell>
          <cell r="V94">
            <v>-1387.5720194156575</v>
          </cell>
          <cell r="W94">
            <v>-4.73224</v>
          </cell>
          <cell r="X94">
            <v>-609.68855058434247</v>
          </cell>
          <cell r="Y94">
            <v>-12.612670000000001</v>
          </cell>
          <cell r="Z94">
            <v>32.053739999999998</v>
          </cell>
          <cell r="AA94">
            <v>0.19308000000000003</v>
          </cell>
          <cell r="AB94">
            <v>-210</v>
          </cell>
          <cell r="AC94">
            <v>-917.65853000000004</v>
          </cell>
          <cell r="AD94">
            <v>34.870239999999995</v>
          </cell>
          <cell r="AE94">
            <v>-3.7755100000000001</v>
          </cell>
          <cell r="AF94">
            <v>0</v>
          </cell>
          <cell r="AG94">
            <v>0</v>
          </cell>
          <cell r="AH94">
            <v>2065.6884800000003</v>
          </cell>
          <cell r="AI94">
            <v>-36.036760000000001</v>
          </cell>
          <cell r="AJ94">
            <v>-17.757159999999995</v>
          </cell>
          <cell r="AK94">
            <v>0.72665000000000002</v>
          </cell>
          <cell r="AL94">
            <v>-1285.3447100000003</v>
          </cell>
          <cell r="AM94">
            <v>2108.22478</v>
          </cell>
          <cell r="AN94">
            <v>-1992.4888600000008</v>
          </cell>
          <cell r="AO94">
            <v>-65.590589999999992</v>
          </cell>
          <cell r="AP94">
            <v>-10.556189999999999</v>
          </cell>
          <cell r="AQ94">
            <v>-153.61476999999999</v>
          </cell>
          <cell r="AR94">
            <v>-123.83294000000001</v>
          </cell>
          <cell r="AT94">
            <v>-389.56078000000002</v>
          </cell>
          <cell r="AU94">
            <v>0</v>
          </cell>
          <cell r="AV94">
            <v>0</v>
          </cell>
          <cell r="AW94">
            <v>0</v>
          </cell>
          <cell r="AX94">
            <v>-13.934787286857272</v>
          </cell>
          <cell r="AY94">
            <v>0</v>
          </cell>
          <cell r="AZ94">
            <v>13.934787286857272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114.57764999999813</v>
          </cell>
        </row>
        <row r="95">
          <cell r="C95">
            <v>3118.8244</v>
          </cell>
          <cell r="N95">
            <v>2889.8964099999994</v>
          </cell>
          <cell r="O95">
            <v>-127.02806000000002</v>
          </cell>
          <cell r="P95">
            <v>0</v>
          </cell>
          <cell r="Q95">
            <v>0</v>
          </cell>
          <cell r="R95">
            <v>0.23901</v>
          </cell>
          <cell r="S95">
            <v>-6.00021</v>
          </cell>
          <cell r="T95">
            <v>-1.0877300000000001</v>
          </cell>
          <cell r="U95">
            <v>0</v>
          </cell>
          <cell r="V95">
            <v>-954.42674656012809</v>
          </cell>
          <cell r="W95">
            <v>0</v>
          </cell>
          <cell r="X95">
            <v>-272.60144343987173</v>
          </cell>
          <cell r="Y95">
            <v>-9.1804100000000002</v>
          </cell>
          <cell r="Z95">
            <v>24.115399999999998</v>
          </cell>
          <cell r="AA95">
            <v>0.19357999999999997</v>
          </cell>
          <cell r="AB95">
            <v>0</v>
          </cell>
          <cell r="AC95">
            <v>-970.24743999999998</v>
          </cell>
          <cell r="AD95">
            <v>7.9594699999999996</v>
          </cell>
          <cell r="AE95">
            <v>-0.65737999999999996</v>
          </cell>
          <cell r="AF95">
            <v>0</v>
          </cell>
          <cell r="AG95">
            <v>0</v>
          </cell>
          <cell r="AH95">
            <v>1117.07584</v>
          </cell>
          <cell r="AI95">
            <v>-279.64382999999998</v>
          </cell>
          <cell r="AJ95">
            <v>-4.1492700000000262</v>
          </cell>
          <cell r="AK95">
            <v>1.7081900000000001</v>
          </cell>
          <cell r="AL95">
            <v>-1126.1012200000002</v>
          </cell>
          <cell r="AM95">
            <v>1915.22002</v>
          </cell>
          <cell r="AN95">
            <v>-1832.4618300000002</v>
          </cell>
          <cell r="AO95">
            <v>-288.70292000000001</v>
          </cell>
          <cell r="AP95">
            <v>-34.501480000000001</v>
          </cell>
          <cell r="AQ95">
            <v>-79.585220000000007</v>
          </cell>
          <cell r="AR95">
            <v>-100.08942</v>
          </cell>
          <cell r="AT95">
            <v>-337.95178000000004</v>
          </cell>
          <cell r="AU95">
            <v>0</v>
          </cell>
          <cell r="AV95">
            <v>0</v>
          </cell>
          <cell r="AW95">
            <v>0</v>
          </cell>
          <cell r="AX95">
            <v>-15.594274235756131</v>
          </cell>
          <cell r="AY95">
            <v>0</v>
          </cell>
          <cell r="AZ95">
            <v>15.594274235756131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-468.00847000000073</v>
          </cell>
        </row>
        <row r="96">
          <cell r="C96">
            <v>6517.19</v>
          </cell>
          <cell r="N96">
            <v>6224</v>
          </cell>
          <cell r="O96">
            <v>-1199.7713813550581</v>
          </cell>
          <cell r="P96">
            <v>-517.83026879147849</v>
          </cell>
          <cell r="Q96">
            <v>-285.70632612078998</v>
          </cell>
          <cell r="R96">
            <v>0</v>
          </cell>
          <cell r="S96">
            <v>-11.875603279058268</v>
          </cell>
          <cell r="T96">
            <v>0</v>
          </cell>
          <cell r="U96">
            <v>0</v>
          </cell>
          <cell r="V96">
            <v>-856.38209391260625</v>
          </cell>
          <cell r="W96">
            <v>-369.62089342230843</v>
          </cell>
          <cell r="X96">
            <v>-203.93367070571227</v>
          </cell>
          <cell r="Y96">
            <v>-41.994587880116384</v>
          </cell>
          <cell r="Z96">
            <v>23.079452234664465</v>
          </cell>
          <cell r="AA96">
            <v>0</v>
          </cell>
          <cell r="AB96">
            <v>0</v>
          </cell>
          <cell r="AC96">
            <v>-1245.0564690207063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1638.3064690207063</v>
          </cell>
          <cell r="AI96">
            <v>41.994587880116384</v>
          </cell>
          <cell r="AJ96">
            <v>0</v>
          </cell>
          <cell r="AK96">
            <v>0</v>
          </cell>
          <cell r="AL96">
            <v>-2239.2651952937772</v>
          </cell>
          <cell r="AM96">
            <v>0</v>
          </cell>
          <cell r="AN96">
            <v>0</v>
          </cell>
          <cell r="AO96">
            <v>-71.796646320183243</v>
          </cell>
          <cell r="AP96">
            <v>-30.147465380893827</v>
          </cell>
          <cell r="AQ96">
            <v>-163.34360132170499</v>
          </cell>
          <cell r="AR96">
            <v>-176.19286440313749</v>
          </cell>
          <cell r="AT96">
            <v>-451.11647961447648</v>
          </cell>
          <cell r="AU96">
            <v>0</v>
          </cell>
          <cell r="AV96">
            <v>215.57251277883137</v>
          </cell>
          <cell r="AW96">
            <v>0</v>
          </cell>
          <cell r="AX96">
            <v>0</v>
          </cell>
          <cell r="AY96">
            <v>153.87301510311963</v>
          </cell>
          <cell r="AZ96">
            <v>0</v>
          </cell>
          <cell r="BA96">
            <v>3.339409102223744</v>
          </cell>
          <cell r="BB96">
            <v>-1.9066656225638581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-3.339409102223744</v>
          </cell>
          <cell r="BH96">
            <v>0</v>
          </cell>
          <cell r="BI96">
            <v>0</v>
          </cell>
          <cell r="BJ96">
            <v>0</v>
          </cell>
          <cell r="BK96">
            <v>430.88582457286725</v>
          </cell>
        </row>
        <row r="98">
          <cell r="C98">
            <v>1067.93541</v>
          </cell>
          <cell r="N98">
            <v>722.0391199999998</v>
          </cell>
          <cell r="O98">
            <v>-2.7605500000000003</v>
          </cell>
          <cell r="P98">
            <v>0</v>
          </cell>
          <cell r="Q98">
            <v>0</v>
          </cell>
          <cell r="R98">
            <v>0</v>
          </cell>
          <cell r="S98">
            <v>-3.0780700000000003</v>
          </cell>
          <cell r="T98">
            <v>0</v>
          </cell>
          <cell r="U98">
            <v>0</v>
          </cell>
          <cell r="V98">
            <v>-383.80995000000001</v>
          </cell>
          <cell r="W98">
            <v>0</v>
          </cell>
          <cell r="X98">
            <v>0</v>
          </cell>
          <cell r="Y98">
            <v>-4.7352499999999997</v>
          </cell>
          <cell r="Z98">
            <v>26.266639999999999</v>
          </cell>
          <cell r="AA98">
            <v>0.30269000000000001</v>
          </cell>
          <cell r="AB98">
            <v>-80</v>
          </cell>
          <cell r="AC98">
            <v>-359.77552000000003</v>
          </cell>
          <cell r="AD98">
            <v>12.204409999999999</v>
          </cell>
          <cell r="AE98">
            <v>-1.1807300000000001</v>
          </cell>
          <cell r="AF98">
            <v>0</v>
          </cell>
          <cell r="AG98">
            <v>0</v>
          </cell>
          <cell r="AH98">
            <v>1177.1510299999998</v>
          </cell>
          <cell r="AI98">
            <v>40.960400000000007</v>
          </cell>
          <cell r="AJ98">
            <v>-61.683929999999997</v>
          </cell>
          <cell r="AK98">
            <v>-2.4291099999999992</v>
          </cell>
          <cell r="AL98">
            <v>-357.37696000000005</v>
          </cell>
          <cell r="AM98">
            <v>623.43610000000024</v>
          </cell>
          <cell r="AN98">
            <v>-518.12001999999984</v>
          </cell>
          <cell r="AO98">
            <v>-27.45964</v>
          </cell>
          <cell r="AP98">
            <v>-2.9298999999999999</v>
          </cell>
          <cell r="AQ98">
            <v>-25.77092</v>
          </cell>
          <cell r="AR98">
            <v>-18.61121</v>
          </cell>
          <cell r="AT98">
            <v>-32.415139999999987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720.22348999999986</v>
          </cell>
        </row>
        <row r="99">
          <cell r="C99">
            <v>721.35706000000005</v>
          </cell>
          <cell r="N99">
            <v>564.84365999999966</v>
          </cell>
          <cell r="O99">
            <v>-7.7454699999999992</v>
          </cell>
          <cell r="P99">
            <v>0</v>
          </cell>
          <cell r="Q99">
            <v>0</v>
          </cell>
          <cell r="R99">
            <v>0</v>
          </cell>
          <cell r="S99">
            <v>-2.8036099999999999</v>
          </cell>
          <cell r="T99">
            <v>-0.74373999999999996</v>
          </cell>
          <cell r="U99">
            <v>0</v>
          </cell>
          <cell r="V99">
            <v>-268.22180000000003</v>
          </cell>
          <cell r="W99">
            <v>0</v>
          </cell>
          <cell r="X99">
            <v>0</v>
          </cell>
          <cell r="Y99">
            <v>-5.0903700000000001</v>
          </cell>
          <cell r="Z99">
            <v>18.15259</v>
          </cell>
          <cell r="AA99">
            <v>0.36395</v>
          </cell>
          <cell r="AB99">
            <v>0</v>
          </cell>
          <cell r="AC99">
            <v>-425.37513999999999</v>
          </cell>
          <cell r="AD99">
            <v>2.1016599999999999</v>
          </cell>
          <cell r="AE99">
            <v>-0.33361999999999997</v>
          </cell>
          <cell r="AF99">
            <v>0</v>
          </cell>
          <cell r="AG99">
            <v>0</v>
          </cell>
          <cell r="AH99">
            <v>1145.28979</v>
          </cell>
          <cell r="AI99">
            <v>9.6964900000000007</v>
          </cell>
          <cell r="AJ99">
            <v>19.90889</v>
          </cell>
          <cell r="AK99">
            <v>0.58755000000000002</v>
          </cell>
          <cell r="AL99">
            <v>-253.26159000000004</v>
          </cell>
          <cell r="AM99">
            <v>471.21725999999984</v>
          </cell>
          <cell r="AN99">
            <v>-417.09553</v>
          </cell>
          <cell r="AO99">
            <v>-16.055289999999999</v>
          </cell>
          <cell r="AP99">
            <v>-6.4498899999999999</v>
          </cell>
          <cell r="AQ99">
            <v>-19.2258</v>
          </cell>
          <cell r="AR99">
            <v>-26.606369999999998</v>
          </cell>
          <cell r="AT99">
            <v>-36.292760000000001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746.86085999999932</v>
          </cell>
        </row>
        <row r="100">
          <cell r="C100">
            <v>1170.1500000000001</v>
          </cell>
          <cell r="N100">
            <v>1095</v>
          </cell>
          <cell r="O100">
            <v>-125.58622133892501</v>
          </cell>
          <cell r="P100">
            <v>0</v>
          </cell>
          <cell r="Q100">
            <v>-16.201665829089478</v>
          </cell>
          <cell r="R100">
            <v>0</v>
          </cell>
          <cell r="S100">
            <v>-4.1126826231871298</v>
          </cell>
          <cell r="T100">
            <v>0</v>
          </cell>
          <cell r="U100">
            <v>0</v>
          </cell>
          <cell r="V100">
            <v>-369.48817253821142</v>
          </cell>
          <cell r="W100">
            <v>0</v>
          </cell>
          <cell r="X100">
            <v>-47.667043688730018</v>
          </cell>
          <cell r="Y100">
            <v>-10.95926675395701</v>
          </cell>
          <cell r="Z100">
            <v>31.359110129997308</v>
          </cell>
          <cell r="AA100">
            <v>0</v>
          </cell>
          <cell r="AB100">
            <v>0</v>
          </cell>
          <cell r="AC100">
            <v>-1596.535456673646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1601.035456673646</v>
          </cell>
          <cell r="AI100">
            <v>10.95926675395701</v>
          </cell>
          <cell r="AJ100">
            <v>0</v>
          </cell>
          <cell r="AK100">
            <v>0</v>
          </cell>
          <cell r="AL100">
            <v>-384.68164231743953</v>
          </cell>
          <cell r="AM100">
            <v>0</v>
          </cell>
          <cell r="AN100">
            <v>0</v>
          </cell>
          <cell r="AO100">
            <v>-31.318514255408274</v>
          </cell>
          <cell r="AP100">
            <v>-5.51849694061276</v>
          </cell>
          <cell r="AQ100">
            <v>-27.950863857996175</v>
          </cell>
          <cell r="AR100">
            <v>-28.785752751390852</v>
          </cell>
          <cell r="AT100">
            <v>-63.668499352790001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25.879554636216639</v>
          </cell>
        </row>
        <row r="102">
          <cell r="C102">
            <v>1548.6288999999997</v>
          </cell>
          <cell r="N102">
            <v>1385.5758399999995</v>
          </cell>
          <cell r="O102">
            <v>-12.718359999999999</v>
          </cell>
          <cell r="P102">
            <v>0</v>
          </cell>
          <cell r="Q102">
            <v>0</v>
          </cell>
          <cell r="R102">
            <v>0</v>
          </cell>
          <cell r="S102">
            <v>-2.0158399999999999</v>
          </cell>
          <cell r="T102">
            <v>0</v>
          </cell>
          <cell r="U102">
            <v>0</v>
          </cell>
          <cell r="V102">
            <v>-608.31266000000005</v>
          </cell>
          <cell r="W102">
            <v>0</v>
          </cell>
          <cell r="X102">
            <v>0</v>
          </cell>
          <cell r="Y102">
            <v>-8.8308699999999991</v>
          </cell>
          <cell r="Z102">
            <v>18.504100000000001</v>
          </cell>
          <cell r="AA102">
            <v>0.26526</v>
          </cell>
          <cell r="AB102">
            <v>0</v>
          </cell>
          <cell r="AC102">
            <v>-483.00086999999996</v>
          </cell>
          <cell r="AD102">
            <v>15.43562</v>
          </cell>
          <cell r="AE102">
            <v>-0.76840000000000008</v>
          </cell>
          <cell r="AF102">
            <v>0</v>
          </cell>
          <cell r="AG102">
            <v>0</v>
          </cell>
          <cell r="AH102">
            <v>524.28308999999967</v>
          </cell>
          <cell r="AI102">
            <v>124.44657000000001</v>
          </cell>
          <cell r="AJ102">
            <v>-55.512700000000009</v>
          </cell>
          <cell r="AK102">
            <v>-5.1499000000000006</v>
          </cell>
          <cell r="AL102">
            <v>-423.59394999999995</v>
          </cell>
          <cell r="AM102">
            <v>591.71491000000015</v>
          </cell>
          <cell r="AN102">
            <v>-548.00927999999999</v>
          </cell>
          <cell r="AO102">
            <v>-14.322759999999999</v>
          </cell>
          <cell r="AP102">
            <v>-2.2248899999999998</v>
          </cell>
          <cell r="AQ102">
            <v>-7.2008200000000002</v>
          </cell>
          <cell r="AR102">
            <v>-7.2673699999999997</v>
          </cell>
          <cell r="AT102">
            <v>-2.4863700000000009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478.81034999999889</v>
          </cell>
        </row>
        <row r="103">
          <cell r="C103">
            <v>1389.6312300000002</v>
          </cell>
          <cell r="N103">
            <v>1247.9655499999994</v>
          </cell>
          <cell r="O103">
            <v>-0.5</v>
          </cell>
          <cell r="P103">
            <v>0</v>
          </cell>
          <cell r="Q103">
            <v>0</v>
          </cell>
          <cell r="R103">
            <v>0</v>
          </cell>
          <cell r="S103">
            <v>-3.1313500000000003</v>
          </cell>
          <cell r="T103">
            <v>-0.36191000000000001</v>
          </cell>
          <cell r="U103">
            <v>0</v>
          </cell>
          <cell r="V103">
            <v>-567.55322999999999</v>
          </cell>
          <cell r="W103">
            <v>0</v>
          </cell>
          <cell r="X103">
            <v>0</v>
          </cell>
          <cell r="Y103">
            <v>-12.744510000000002</v>
          </cell>
          <cell r="Z103">
            <v>19.196089999999998</v>
          </cell>
          <cell r="AA103">
            <v>0.54610999999999998</v>
          </cell>
          <cell r="AB103">
            <v>0</v>
          </cell>
          <cell r="AC103">
            <v>-365.87031999999999</v>
          </cell>
          <cell r="AD103">
            <v>10.35535</v>
          </cell>
          <cell r="AE103">
            <v>-0.12770000000000001</v>
          </cell>
          <cell r="AF103">
            <v>0</v>
          </cell>
          <cell r="AG103">
            <v>0</v>
          </cell>
          <cell r="AH103">
            <v>371.43132000000014</v>
          </cell>
          <cell r="AI103">
            <v>-11.156849999999995</v>
          </cell>
          <cell r="AJ103">
            <v>39.717510000000004</v>
          </cell>
          <cell r="AK103">
            <v>1.8248800000000003</v>
          </cell>
          <cell r="AL103">
            <v>-375.78852999999987</v>
          </cell>
          <cell r="AM103">
            <v>581.86120000000005</v>
          </cell>
          <cell r="AN103">
            <v>-544.23003999999992</v>
          </cell>
          <cell r="AO103">
            <v>-10.41497</v>
          </cell>
          <cell r="AP103">
            <v>-7.1184599999999998</v>
          </cell>
          <cell r="AQ103">
            <v>-27.039429999999999</v>
          </cell>
          <cell r="AR103">
            <v>-35.049420000000005</v>
          </cell>
          <cell r="AT103">
            <v>-7.6039300000000019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304.20735999999994</v>
          </cell>
        </row>
        <row r="104">
          <cell r="C104">
            <v>344.13</v>
          </cell>
          <cell r="N104">
            <v>328.64121845396352</v>
          </cell>
          <cell r="O104">
            <v>-61.390358349578385</v>
          </cell>
          <cell r="P104">
            <v>0</v>
          </cell>
          <cell r="Q104">
            <v>0</v>
          </cell>
          <cell r="R104">
            <v>0</v>
          </cell>
          <cell r="S104">
            <v>-2.193634716744131</v>
          </cell>
          <cell r="T104">
            <v>0</v>
          </cell>
          <cell r="U104">
            <v>0</v>
          </cell>
          <cell r="V104">
            <v>-66.79478313919671</v>
          </cell>
          <cell r="W104">
            <v>0</v>
          </cell>
          <cell r="X104">
            <v>0</v>
          </cell>
          <cell r="Y104">
            <v>-2.0350847413057602</v>
          </cell>
          <cell r="Z104">
            <v>3.1475219509191739</v>
          </cell>
          <cell r="AA104">
            <v>0</v>
          </cell>
          <cell r="AB104">
            <v>0</v>
          </cell>
          <cell r="AC104">
            <v>-106.14433563065148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119.39433563065148</v>
          </cell>
          <cell r="AI104">
            <v>2.0350847413057602</v>
          </cell>
          <cell r="AJ104">
            <v>0</v>
          </cell>
          <cell r="AK104">
            <v>0</v>
          </cell>
          <cell r="AL104">
            <v>-92.135256746542638</v>
          </cell>
          <cell r="AM104">
            <v>0</v>
          </cell>
          <cell r="AN104">
            <v>0</v>
          </cell>
          <cell r="AO104">
            <v>-15.597479587371765</v>
          </cell>
          <cell r="AP104">
            <v>-2.2553700958550134</v>
          </cell>
          <cell r="AQ104">
            <v>-8.2592555841075193</v>
          </cell>
          <cell r="AR104">
            <v>-13.60593479528386</v>
          </cell>
          <cell r="AT104">
            <v>-3.2101393660080291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79.59652802419464</v>
          </cell>
        </row>
      </sheetData>
      <sheetData sheetId="5" refreshError="1"/>
      <sheetData sheetId="6" refreshError="1"/>
      <sheetData sheetId="7" refreshError="1"/>
      <sheetData sheetId="8" refreshError="1">
        <row r="21">
          <cell r="C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</row>
        <row r="22">
          <cell r="C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-10.81945</v>
          </cell>
          <cell r="AP22">
            <v>-0.37063999999999997</v>
          </cell>
          <cell r="AQ22">
            <v>-1.2021600000000001</v>
          </cell>
          <cell r="AR22">
            <v>-6.0090000000000005E-2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-12.452340000000001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</row>
        <row r="25">
          <cell r="C25">
            <v>47.75278999999999</v>
          </cell>
          <cell r="N25">
            <v>43.950409999999998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-7.1649100000000008</v>
          </cell>
          <cell r="AM25">
            <v>0.7035499999999999</v>
          </cell>
          <cell r="AN25">
            <v>-0.13352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37.355530000000002</v>
          </cell>
        </row>
        <row r="26">
          <cell r="C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-10.81945</v>
          </cell>
          <cell r="AP26">
            <v>-0.37063999999999997</v>
          </cell>
          <cell r="AQ26">
            <v>-1.2021600000000001</v>
          </cell>
          <cell r="AR26">
            <v>-6.0090000000000005E-2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-12.452340000000001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</row>
        <row r="29">
          <cell r="C29">
            <v>47.75278999999999</v>
          </cell>
          <cell r="N29">
            <v>43.950409999999998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-7.1649100000000008</v>
          </cell>
          <cell r="AM29">
            <v>0.7035499999999999</v>
          </cell>
          <cell r="AN29">
            <v>-0.13352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37.355530000000002</v>
          </cell>
        </row>
        <row r="30">
          <cell r="C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-21.6389</v>
          </cell>
          <cell r="AP30">
            <v>-0.74127999999999994</v>
          </cell>
          <cell r="AQ30">
            <v>-2.4043200000000002</v>
          </cell>
          <cell r="AR30">
            <v>-0.12018000000000001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-24.904680000000003</v>
          </cell>
        </row>
        <row r="31">
          <cell r="C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</row>
        <row r="33">
          <cell r="C33">
            <v>42.017579999999995</v>
          </cell>
          <cell r="N33">
            <v>26.223940000000006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-109.95618</v>
          </cell>
          <cell r="T33">
            <v>0</v>
          </cell>
          <cell r="U33">
            <v>0</v>
          </cell>
          <cell r="V33">
            <v>-29.108510000000003</v>
          </cell>
          <cell r="W33">
            <v>0</v>
          </cell>
          <cell r="X33">
            <v>0</v>
          </cell>
          <cell r="Y33">
            <v>-0.24086999999999997</v>
          </cell>
          <cell r="Z33">
            <v>0.64735999999999994</v>
          </cell>
          <cell r="AA33">
            <v>4.6700000000000005E-3</v>
          </cell>
          <cell r="AB33">
            <v>0</v>
          </cell>
          <cell r="AC33">
            <v>-10.45</v>
          </cell>
          <cell r="AD33">
            <v>0</v>
          </cell>
          <cell r="AE33">
            <v>-1.4052800000000001</v>
          </cell>
          <cell r="AF33">
            <v>-0.55659999999999998</v>
          </cell>
          <cell r="AG33">
            <v>0</v>
          </cell>
          <cell r="AH33">
            <v>14.188699999999999</v>
          </cell>
          <cell r="AI33">
            <v>2.7480000000000001E-2</v>
          </cell>
          <cell r="AJ33">
            <v>-0.12652999999999998</v>
          </cell>
          <cell r="AK33">
            <v>-1.9299999999999999E-3</v>
          </cell>
          <cell r="AL33">
            <v>-6.3035899999999989</v>
          </cell>
          <cell r="AM33">
            <v>2.7941400000000005</v>
          </cell>
          <cell r="AN33">
            <v>-0.42518000000000011</v>
          </cell>
          <cell r="AO33">
            <v>-51.330309999999997</v>
          </cell>
          <cell r="AP33">
            <v>-37.812200000000004</v>
          </cell>
          <cell r="AQ33">
            <v>-103.12879000000001</v>
          </cell>
          <cell r="AR33">
            <v>-283.29019</v>
          </cell>
          <cell r="AT33">
            <v>-20.725000000000001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-610.97487000000001</v>
          </cell>
        </row>
        <row r="34">
          <cell r="C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-222.68263000000002</v>
          </cell>
          <cell r="T34">
            <v>-3.9020000000000006E-2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-0.30412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-34.439799999999991</v>
          </cell>
          <cell r="AP34">
            <v>-75.433480000000003</v>
          </cell>
          <cell r="AQ34">
            <v>-10.53322</v>
          </cell>
          <cell r="AR34">
            <v>-434.05442999999997</v>
          </cell>
          <cell r="AT34">
            <v>-9.4870000000000001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-786.97370000000001</v>
          </cell>
        </row>
        <row r="35">
          <cell r="C35">
            <v>273.17</v>
          </cell>
          <cell r="N35">
            <v>308.94008499504946</v>
          </cell>
          <cell r="O35">
            <v>7.3883012278836144</v>
          </cell>
          <cell r="P35">
            <v>-54.489695731418266</v>
          </cell>
          <cell r="Q35">
            <v>-8.4090257323901465</v>
          </cell>
          <cell r="R35">
            <v>0</v>
          </cell>
          <cell r="S35">
            <v>-6.5255443470042813</v>
          </cell>
          <cell r="T35">
            <v>-3.5779177757593157</v>
          </cell>
          <cell r="U35">
            <v>0</v>
          </cell>
          <cell r="V35">
            <v>-54.995928989029629</v>
          </cell>
          <cell r="W35">
            <v>0</v>
          </cell>
          <cell r="X35">
            <v>-9.8184392823177742</v>
          </cell>
          <cell r="Y35">
            <v>-3.3232185856683065</v>
          </cell>
          <cell r="Z35">
            <v>2.1483567753938257</v>
          </cell>
          <cell r="AA35">
            <v>0</v>
          </cell>
          <cell r="AB35">
            <v>0</v>
          </cell>
          <cell r="AC35">
            <v>0.87620611515658409</v>
          </cell>
          <cell r="AD35">
            <v>0</v>
          </cell>
          <cell r="AE35">
            <v>0</v>
          </cell>
          <cell r="AF35">
            <v>-0.87620611515658409</v>
          </cell>
          <cell r="AG35">
            <v>0</v>
          </cell>
          <cell r="AH35">
            <v>0</v>
          </cell>
          <cell r="AI35">
            <v>3.3232185856683065</v>
          </cell>
          <cell r="AJ35">
            <v>0</v>
          </cell>
          <cell r="AK35">
            <v>0</v>
          </cell>
          <cell r="AL35">
            <v>-46.341012749257416</v>
          </cell>
          <cell r="AM35">
            <v>0</v>
          </cell>
          <cell r="AN35">
            <v>0</v>
          </cell>
          <cell r="AO35">
            <v>-87.146142386982248</v>
          </cell>
          <cell r="AP35">
            <v>-2.2801890059675674</v>
          </cell>
          <cell r="AQ35">
            <v>-143.59752440835751</v>
          </cell>
          <cell r="AR35">
            <v>-107.13539306840875</v>
          </cell>
          <cell r="AT35">
            <v>-19.61146281037308</v>
          </cell>
          <cell r="AU35">
            <v>8.3509673852620736</v>
          </cell>
          <cell r="AV35">
            <v>0</v>
          </cell>
          <cell r="AW35">
            <v>0</v>
          </cell>
          <cell r="AX35">
            <v>9.7506499361735486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-207.34991596750342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568.55008000000112</v>
          </cell>
          <cell r="N41">
            <v>383.9864199999995</v>
          </cell>
          <cell r="O41">
            <v>-11.79307</v>
          </cell>
          <cell r="P41">
            <v>0</v>
          </cell>
          <cell r="Q41">
            <v>0</v>
          </cell>
          <cell r="R41">
            <v>0</v>
          </cell>
          <cell r="S41">
            <v>-10.81531</v>
          </cell>
          <cell r="T41">
            <v>-1.4161199999999998</v>
          </cell>
          <cell r="U41">
            <v>0</v>
          </cell>
          <cell r="V41">
            <v>-178.57474999999999</v>
          </cell>
          <cell r="W41">
            <v>0</v>
          </cell>
          <cell r="X41">
            <v>0</v>
          </cell>
          <cell r="Y41">
            <v>-3.7556400000000001</v>
          </cell>
          <cell r="Z41">
            <v>22.142379999999999</v>
          </cell>
          <cell r="AA41">
            <v>0.41510000000000002</v>
          </cell>
          <cell r="AB41">
            <v>0</v>
          </cell>
          <cell r="AC41">
            <v>-58.132240000000003</v>
          </cell>
          <cell r="AD41">
            <v>0</v>
          </cell>
          <cell r="AE41">
            <v>-1.4215</v>
          </cell>
          <cell r="AF41">
            <v>-2.5654400000000002</v>
          </cell>
          <cell r="AG41">
            <v>0</v>
          </cell>
          <cell r="AH41">
            <v>342.42259000000001</v>
          </cell>
          <cell r="AI41">
            <v>14.709520000000001</v>
          </cell>
          <cell r="AJ41">
            <v>-35.734659999999991</v>
          </cell>
          <cell r="AK41">
            <v>-1.7623700000000002</v>
          </cell>
          <cell r="AL41">
            <v>-85.504769999999965</v>
          </cell>
          <cell r="AM41">
            <v>34.83341999999999</v>
          </cell>
          <cell r="AN41">
            <v>-5.830479999999997</v>
          </cell>
          <cell r="AO41">
            <v>-52.212460000000007</v>
          </cell>
          <cell r="AP41">
            <v>-5.8321100000000001</v>
          </cell>
          <cell r="AQ41">
            <v>-22.623989999999999</v>
          </cell>
          <cell r="AR41">
            <v>-36.95505</v>
          </cell>
          <cell r="AT41">
            <v>-12.849989999999998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270.72947999999963</v>
          </cell>
        </row>
        <row r="42">
          <cell r="C42">
            <v>227.20669999999981</v>
          </cell>
          <cell r="N42">
            <v>154.21565999999981</v>
          </cell>
          <cell r="O42">
            <v>-0.67345999999999995</v>
          </cell>
          <cell r="P42">
            <v>0</v>
          </cell>
          <cell r="Q42">
            <v>0</v>
          </cell>
          <cell r="R42">
            <v>0</v>
          </cell>
          <cell r="S42">
            <v>-3.2441</v>
          </cell>
          <cell r="T42">
            <v>-1E-4</v>
          </cell>
          <cell r="U42">
            <v>0</v>
          </cell>
          <cell r="V42">
            <v>-8.3979999999999997</v>
          </cell>
          <cell r="W42">
            <v>0</v>
          </cell>
          <cell r="X42">
            <v>0</v>
          </cell>
          <cell r="Y42">
            <v>-0.28281000000000001</v>
          </cell>
          <cell r="Z42">
            <v>0.94888000000000017</v>
          </cell>
          <cell r="AA42">
            <v>3.2659999999999995E-2</v>
          </cell>
          <cell r="AB42">
            <v>0</v>
          </cell>
          <cell r="AC42">
            <v>0</v>
          </cell>
          <cell r="AD42">
            <v>0</v>
          </cell>
          <cell r="AE42">
            <v>-1.1878799999999998</v>
          </cell>
          <cell r="AF42">
            <v>0</v>
          </cell>
          <cell r="AG42">
            <v>0</v>
          </cell>
          <cell r="AH42">
            <v>-50.327829999999999</v>
          </cell>
          <cell r="AI42">
            <v>-1.7506100000000002</v>
          </cell>
          <cell r="AJ42">
            <v>6.3438600000000003</v>
          </cell>
          <cell r="AK42">
            <v>0.23144000000000001</v>
          </cell>
          <cell r="AL42">
            <v>-34.515689999999999</v>
          </cell>
          <cell r="AM42">
            <v>14.660669999999998</v>
          </cell>
          <cell r="AN42">
            <v>-2.2044400000000008</v>
          </cell>
          <cell r="AO42">
            <v>-11.654749999999998</v>
          </cell>
          <cell r="AP42">
            <v>-0.50607999999999997</v>
          </cell>
          <cell r="AQ42">
            <v>-13.175920000000001</v>
          </cell>
          <cell r="AR42">
            <v>-27.916800000000002</v>
          </cell>
          <cell r="AT42">
            <v>-30.900520000000004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-10.305820000000182</v>
          </cell>
        </row>
        <row r="43">
          <cell r="C43">
            <v>464.99</v>
          </cell>
          <cell r="N43">
            <v>525.88297610942857</v>
          </cell>
          <cell r="O43">
            <v>-19.898601249176632</v>
          </cell>
          <cell r="P43">
            <v>0</v>
          </cell>
          <cell r="Q43">
            <v>-4.1889920072560498</v>
          </cell>
          <cell r="R43">
            <v>0</v>
          </cell>
          <cell r="S43">
            <v>-16.146875675013327</v>
          </cell>
          <cell r="T43">
            <v>-12.696057294556244</v>
          </cell>
          <cell r="U43">
            <v>0</v>
          </cell>
          <cell r="V43">
            <v>-141.24297043810282</v>
          </cell>
          <cell r="W43">
            <v>0</v>
          </cell>
          <cell r="X43">
            <v>-29.734033404523714</v>
          </cell>
          <cell r="Y43">
            <v>-8.150977526091987</v>
          </cell>
          <cell r="Z43">
            <v>40.171615475374679</v>
          </cell>
          <cell r="AA43">
            <v>0</v>
          </cell>
          <cell r="AB43">
            <v>0</v>
          </cell>
          <cell r="AC43">
            <v>10</v>
          </cell>
          <cell r="AD43">
            <v>0</v>
          </cell>
          <cell r="AE43">
            <v>0</v>
          </cell>
          <cell r="AF43">
            <v>-10</v>
          </cell>
          <cell r="AG43">
            <v>0</v>
          </cell>
          <cell r="AH43">
            <v>0</v>
          </cell>
          <cell r="AI43">
            <v>8.150977526091987</v>
          </cell>
          <cell r="AJ43">
            <v>0</v>
          </cell>
          <cell r="AK43">
            <v>0</v>
          </cell>
          <cell r="AL43">
            <v>-78.882446416414282</v>
          </cell>
          <cell r="AM43">
            <v>0</v>
          </cell>
          <cell r="AN43">
            <v>0</v>
          </cell>
          <cell r="AO43">
            <v>-62.601728422727419</v>
          </cell>
          <cell r="AP43">
            <v>-6.1416148821859053</v>
          </cell>
          <cell r="AQ43">
            <v>-33.51715931068275</v>
          </cell>
          <cell r="AR43">
            <v>-49.861455962530997</v>
          </cell>
          <cell r="AT43">
            <v>-18.804920903791906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92.337735617841176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</row>
        <row r="54">
          <cell r="C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</row>
        <row r="57">
          <cell r="C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-9.9380500000000005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-0.20856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-1.5570000000000001E-2</v>
          </cell>
          <cell r="AP57">
            <v>-3.52338</v>
          </cell>
          <cell r="AQ57">
            <v>-0.93503000000000003</v>
          </cell>
          <cell r="AR57">
            <v>-19.52101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-34.141599999999997</v>
          </cell>
        </row>
        <row r="58">
          <cell r="C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-23.159970000000001</v>
          </cell>
          <cell r="T58">
            <v>-3.2400000000000003E-3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-1.7294900000000002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-0.22889999999999999</v>
          </cell>
          <cell r="AP58">
            <v>-6.1851799999999999</v>
          </cell>
          <cell r="AQ58">
            <v>-3.2747300000000004</v>
          </cell>
          <cell r="AR58">
            <v>-42.425139999999999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-77.006650000000008</v>
          </cell>
        </row>
        <row r="59">
          <cell r="C59">
            <v>210</v>
          </cell>
          <cell r="N59">
            <v>216.49023937500002</v>
          </cell>
          <cell r="O59">
            <v>-77.828507794017824</v>
          </cell>
          <cell r="P59">
            <v>0</v>
          </cell>
          <cell r="Q59">
            <v>0</v>
          </cell>
          <cell r="R59">
            <v>0</v>
          </cell>
          <cell r="S59">
            <v>-3.6580168934378197</v>
          </cell>
          <cell r="T59">
            <v>-0.36132205372246312</v>
          </cell>
          <cell r="U59">
            <v>0</v>
          </cell>
          <cell r="V59">
            <v>-55.663053158790987</v>
          </cell>
          <cell r="W59">
            <v>0</v>
          </cell>
          <cell r="X59">
            <v>0</v>
          </cell>
          <cell r="Y59">
            <v>-1.7715427662661458</v>
          </cell>
          <cell r="Z59">
            <v>3.3312176681663841</v>
          </cell>
          <cell r="AA59">
            <v>0</v>
          </cell>
          <cell r="AB59">
            <v>0</v>
          </cell>
          <cell r="AC59">
            <v>0.1469620391332426</v>
          </cell>
          <cell r="AD59">
            <v>0</v>
          </cell>
          <cell r="AE59">
            <v>0</v>
          </cell>
          <cell r="AF59">
            <v>-0.1469620391332426</v>
          </cell>
          <cell r="AG59">
            <v>0</v>
          </cell>
          <cell r="AH59">
            <v>0</v>
          </cell>
          <cell r="AI59">
            <v>1.7715427662661458</v>
          </cell>
          <cell r="AJ59">
            <v>0</v>
          </cell>
          <cell r="AK59">
            <v>0</v>
          </cell>
          <cell r="AL59">
            <v>-32.47353590625</v>
          </cell>
          <cell r="AM59">
            <v>0</v>
          </cell>
          <cell r="AN59">
            <v>0</v>
          </cell>
          <cell r="AO59">
            <v>-7.9464682436042489E-2</v>
          </cell>
          <cell r="AP59">
            <v>-0.575920341390045</v>
          </cell>
          <cell r="AQ59">
            <v>-1.9515075772533272</v>
          </cell>
          <cell r="AR59">
            <v>-5.2928066506528006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41.937321985215071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-2.3264400000000003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-0.77546999999999999</v>
          </cell>
          <cell r="AQ61">
            <v>0</v>
          </cell>
          <cell r="AR61">
            <v>-4.2651300000000001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-7.3670400000000003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-4.9656199999999995</v>
          </cell>
          <cell r="T62">
            <v>-8.0000000000000004E-4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-1.6552</v>
          </cell>
          <cell r="AQ62">
            <v>0</v>
          </cell>
          <cell r="AR62">
            <v>-9.1036300000000008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-15.725249999999999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658.32045000000107</v>
          </cell>
          <cell r="N65">
            <v>454.1607699999995</v>
          </cell>
          <cell r="O65">
            <v>-11.79307</v>
          </cell>
          <cell r="P65">
            <v>0</v>
          </cell>
          <cell r="Q65">
            <v>0</v>
          </cell>
          <cell r="R65">
            <v>0</v>
          </cell>
          <cell r="S65">
            <v>-133.03598</v>
          </cell>
          <cell r="T65">
            <v>-1.4161199999999998</v>
          </cell>
          <cell r="U65">
            <v>0</v>
          </cell>
          <cell r="V65">
            <v>-207.68325999999999</v>
          </cell>
          <cell r="W65">
            <v>0</v>
          </cell>
          <cell r="X65">
            <v>0</v>
          </cell>
          <cell r="Y65">
            <v>-3.9965100000000002</v>
          </cell>
          <cell r="Z65">
            <v>22.789739999999998</v>
          </cell>
          <cell r="AA65">
            <v>0.41977000000000003</v>
          </cell>
          <cell r="AB65">
            <v>0</v>
          </cell>
          <cell r="AC65">
            <v>-68.582239999999999</v>
          </cell>
          <cell r="AD65">
            <v>0</v>
          </cell>
          <cell r="AE65">
            <v>-3.0353400000000001</v>
          </cell>
          <cell r="AF65">
            <v>-3.1220400000000001</v>
          </cell>
          <cell r="AG65">
            <v>0</v>
          </cell>
          <cell r="AH65">
            <v>356.61129</v>
          </cell>
          <cell r="AI65">
            <v>14.737000000000002</v>
          </cell>
          <cell r="AJ65">
            <v>-35.861189999999993</v>
          </cell>
          <cell r="AK65">
            <v>-1.7643000000000002</v>
          </cell>
          <cell r="AL65">
            <v>-98.973269999999957</v>
          </cell>
          <cell r="AM65">
            <v>38.331109999999988</v>
          </cell>
          <cell r="AN65">
            <v>-6.389179999999997</v>
          </cell>
          <cell r="AO65">
            <v>-103.55834</v>
          </cell>
          <cell r="AP65">
            <v>-47.943160000000006</v>
          </cell>
          <cell r="AQ65">
            <v>-126.68781</v>
          </cell>
          <cell r="AR65">
            <v>-344.03137999999996</v>
          </cell>
          <cell r="AT65">
            <v>-33.57499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-344.3985000000003</v>
          </cell>
        </row>
        <row r="66">
          <cell r="C66">
            <v>227.20669999999981</v>
          </cell>
          <cell r="N66">
            <v>154.21565999999981</v>
          </cell>
          <cell r="O66">
            <v>-0.67345999999999995</v>
          </cell>
          <cell r="P66">
            <v>0</v>
          </cell>
          <cell r="Q66">
            <v>0</v>
          </cell>
          <cell r="R66">
            <v>0</v>
          </cell>
          <cell r="S66">
            <v>-254.05232000000001</v>
          </cell>
          <cell r="T66">
            <v>-4.3160000000000011E-2</v>
          </cell>
          <cell r="U66">
            <v>0</v>
          </cell>
          <cell r="V66">
            <v>-8.3979999999999997</v>
          </cell>
          <cell r="W66">
            <v>0</v>
          </cell>
          <cell r="X66">
            <v>0</v>
          </cell>
          <cell r="Y66">
            <v>-0.28281000000000001</v>
          </cell>
          <cell r="Z66">
            <v>0.94888000000000017</v>
          </cell>
          <cell r="AA66">
            <v>3.2659999999999995E-2</v>
          </cell>
          <cell r="AB66">
            <v>0</v>
          </cell>
          <cell r="AC66">
            <v>0</v>
          </cell>
          <cell r="AD66">
            <v>0</v>
          </cell>
          <cell r="AE66">
            <v>-3.2214900000000002</v>
          </cell>
          <cell r="AF66">
            <v>0</v>
          </cell>
          <cell r="AG66">
            <v>0</v>
          </cell>
          <cell r="AH66">
            <v>-50.327829999999999</v>
          </cell>
          <cell r="AI66">
            <v>-1.7506100000000002</v>
          </cell>
          <cell r="AJ66">
            <v>6.3438600000000003</v>
          </cell>
          <cell r="AK66">
            <v>0.23144000000000001</v>
          </cell>
          <cell r="AL66">
            <v>-34.515689999999999</v>
          </cell>
          <cell r="AM66">
            <v>14.660669999999998</v>
          </cell>
          <cell r="AN66">
            <v>-2.2044400000000008</v>
          </cell>
          <cell r="AO66">
            <v>-67.962349999999986</v>
          </cell>
          <cell r="AP66">
            <v>-84.52122</v>
          </cell>
          <cell r="AQ66">
            <v>-29.388190000000005</v>
          </cell>
          <cell r="AR66">
            <v>-513.62018</v>
          </cell>
          <cell r="AT66">
            <v>-40.387520000000002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-914.91610000000014</v>
          </cell>
        </row>
        <row r="67">
          <cell r="C67">
            <v>948.16000000000008</v>
          </cell>
          <cell r="N67">
            <v>1051.3133004794781</v>
          </cell>
          <cell r="O67">
            <v>-90.338807815310844</v>
          </cell>
          <cell r="P67">
            <v>-54.489695731418266</v>
          </cell>
          <cell r="Q67">
            <v>-12.598017739646195</v>
          </cell>
          <cell r="R67">
            <v>0</v>
          </cell>
          <cell r="S67">
            <v>-26.330436915455429</v>
          </cell>
          <cell r="T67">
            <v>-16.635297124038022</v>
          </cell>
          <cell r="U67">
            <v>0</v>
          </cell>
          <cell r="V67">
            <v>-251.90195258592342</v>
          </cell>
          <cell r="W67">
            <v>0</v>
          </cell>
          <cell r="X67">
            <v>-39.55247268684149</v>
          </cell>
          <cell r="Y67">
            <v>-13.245738878026438</v>
          </cell>
          <cell r="Z67">
            <v>45.65118991893489</v>
          </cell>
          <cell r="AA67">
            <v>0</v>
          </cell>
          <cell r="AB67">
            <v>0</v>
          </cell>
          <cell r="AC67">
            <v>11.023168154289827</v>
          </cell>
          <cell r="AD67">
            <v>0</v>
          </cell>
          <cell r="AE67">
            <v>0</v>
          </cell>
          <cell r="AF67">
            <v>-11.023168154289827</v>
          </cell>
          <cell r="AG67">
            <v>0</v>
          </cell>
          <cell r="AH67">
            <v>0</v>
          </cell>
          <cell r="AI67">
            <v>13.245738878026438</v>
          </cell>
          <cell r="AJ67">
            <v>0</v>
          </cell>
          <cell r="AK67">
            <v>0</v>
          </cell>
          <cell r="AL67">
            <v>-157.69699507192169</v>
          </cell>
          <cell r="AM67">
            <v>0</v>
          </cell>
          <cell r="AN67">
            <v>0</v>
          </cell>
          <cell r="AO67">
            <v>-149.82733549214572</v>
          </cell>
          <cell r="AP67">
            <v>-8.9977242295435182</v>
          </cell>
          <cell r="AQ67">
            <v>-179.0661912962936</v>
          </cell>
          <cell r="AR67">
            <v>-162.28965568159256</v>
          </cell>
          <cell r="AT67">
            <v>-38.416383714164986</v>
          </cell>
          <cell r="AU67">
            <v>8.3509673852620736</v>
          </cell>
          <cell r="AV67">
            <v>0</v>
          </cell>
          <cell r="AW67">
            <v>0</v>
          </cell>
          <cell r="AX67">
            <v>9.7506499361735486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-73.074858364447181</v>
          </cell>
        </row>
        <row r="69">
          <cell r="C69">
            <v>0</v>
          </cell>
          <cell r="N69">
            <v>0</v>
          </cell>
          <cell r="BK69">
            <v>-85.218940000000003</v>
          </cell>
        </row>
        <row r="70">
          <cell r="C70">
            <v>0</v>
          </cell>
          <cell r="N70">
            <v>0</v>
          </cell>
          <cell r="BK70">
            <v>-84.157549999999986</v>
          </cell>
        </row>
        <row r="71">
          <cell r="C71">
            <v>134.63</v>
          </cell>
          <cell r="N71">
            <v>319.734375</v>
          </cell>
          <cell r="O71">
            <v>-35.439519040832415</v>
          </cell>
          <cell r="P71">
            <v>0</v>
          </cell>
          <cell r="Q71">
            <v>-5.7406492162175346E-2</v>
          </cell>
          <cell r="R71">
            <v>0</v>
          </cell>
          <cell r="S71">
            <v>-0.295975145607898</v>
          </cell>
          <cell r="T71">
            <v>-1.579571958942191</v>
          </cell>
          <cell r="U71">
            <v>0</v>
          </cell>
          <cell r="V71">
            <v>-200.82394123138369</v>
          </cell>
          <cell r="W71">
            <v>0</v>
          </cell>
          <cell r="X71">
            <v>-1.8561432465770031</v>
          </cell>
          <cell r="Y71">
            <v>-5.3536529976619427</v>
          </cell>
          <cell r="Z71">
            <v>1.3432378182187677E-8</v>
          </cell>
          <cell r="AA71">
            <v>0</v>
          </cell>
          <cell r="AB71">
            <v>0</v>
          </cell>
          <cell r="AC71">
            <v>1.0119820349768911</v>
          </cell>
          <cell r="AD71">
            <v>0</v>
          </cell>
          <cell r="AE71">
            <v>0</v>
          </cell>
          <cell r="AF71">
            <v>-1.0119820349768911</v>
          </cell>
          <cell r="AG71">
            <v>0</v>
          </cell>
          <cell r="AH71">
            <v>0</v>
          </cell>
          <cell r="AI71">
            <v>5.3536529976619427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-57.173496195401746</v>
          </cell>
          <cell r="AP71">
            <v>-0.117466573533655</v>
          </cell>
          <cell r="AQ71">
            <v>-86.175529467071499</v>
          </cell>
          <cell r="AR71">
            <v>-1.914348679672615</v>
          </cell>
          <cell r="AT71">
            <v>-9.8722000786979329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-75.571223096450396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-0.15598999999999999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-1.056E-2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-33.169820000000001</v>
          </cell>
          <cell r="AP81">
            <v>-7.4340000000000003E-2</v>
          </cell>
          <cell r="AQ81">
            <v>-50.271529999999998</v>
          </cell>
          <cell r="AR81">
            <v>-1.5367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-85.218940000000003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-25.917619999999999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-1.18E-2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-0.19545000000000001</v>
          </cell>
          <cell r="AP82">
            <v>-8.6349099999999996</v>
          </cell>
          <cell r="AQ82">
            <v>-0.76266999999999996</v>
          </cell>
          <cell r="AR82">
            <v>-48.635099999999994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-84.157549999999986</v>
          </cell>
        </row>
        <row r="83">
          <cell r="C83">
            <v>134.63</v>
          </cell>
          <cell r="N83">
            <v>319.734375</v>
          </cell>
          <cell r="O83">
            <v>-35.439519040832415</v>
          </cell>
          <cell r="P83">
            <v>0</v>
          </cell>
          <cell r="Q83">
            <v>-5.7406492162175346E-2</v>
          </cell>
          <cell r="R83">
            <v>0</v>
          </cell>
          <cell r="S83">
            <v>-0.295975145607898</v>
          </cell>
          <cell r="T83">
            <v>-1.579571958942191</v>
          </cell>
          <cell r="U83">
            <v>0</v>
          </cell>
          <cell r="V83">
            <v>-200.82394123138369</v>
          </cell>
          <cell r="W83">
            <v>0</v>
          </cell>
          <cell r="X83">
            <v>-1.8561432465770031</v>
          </cell>
          <cell r="Y83">
            <v>-5.3536529976619427</v>
          </cell>
          <cell r="Z83">
            <v>1.3432378182187677E-8</v>
          </cell>
          <cell r="AA83">
            <v>0</v>
          </cell>
          <cell r="AB83">
            <v>0</v>
          </cell>
          <cell r="AC83">
            <v>1.0119820349768911</v>
          </cell>
          <cell r="AD83">
            <v>0</v>
          </cell>
          <cell r="AE83">
            <v>0</v>
          </cell>
          <cell r="AF83">
            <v>-1.0119820349768911</v>
          </cell>
          <cell r="AG83">
            <v>0</v>
          </cell>
          <cell r="AH83">
            <v>0</v>
          </cell>
          <cell r="AI83">
            <v>5.3536529976619427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-57.173496195401746</v>
          </cell>
          <cell r="AP83">
            <v>-0.117466573533655</v>
          </cell>
          <cell r="AQ83">
            <v>-86.175529467071499</v>
          </cell>
          <cell r="AR83">
            <v>-1.914348679672615</v>
          </cell>
          <cell r="AT83">
            <v>-9.8722000786979329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-75.571223096450396</v>
          </cell>
        </row>
        <row r="85">
          <cell r="C85">
            <v>658.32045000000107</v>
          </cell>
          <cell r="N85">
            <v>454.1607699999995</v>
          </cell>
          <cell r="O85">
            <v>-11.79307</v>
          </cell>
          <cell r="P85">
            <v>0</v>
          </cell>
          <cell r="Q85">
            <v>0</v>
          </cell>
          <cell r="R85">
            <v>0</v>
          </cell>
          <cell r="S85">
            <v>-133.19197</v>
          </cell>
          <cell r="T85">
            <v>-1.4161199999999998</v>
          </cell>
          <cell r="U85">
            <v>0</v>
          </cell>
          <cell r="V85">
            <v>-207.68325999999999</v>
          </cell>
          <cell r="W85">
            <v>0</v>
          </cell>
          <cell r="X85">
            <v>0</v>
          </cell>
          <cell r="Y85">
            <v>-3.9965100000000002</v>
          </cell>
          <cell r="Z85">
            <v>22.789739999999998</v>
          </cell>
          <cell r="AA85">
            <v>0.41977000000000003</v>
          </cell>
          <cell r="AB85">
            <v>0</v>
          </cell>
          <cell r="AC85">
            <v>-68.582239999999999</v>
          </cell>
          <cell r="AD85">
            <v>0</v>
          </cell>
          <cell r="AE85">
            <v>-3.0459000000000001</v>
          </cell>
          <cell r="AF85">
            <v>-3.1220400000000001</v>
          </cell>
          <cell r="AG85">
            <v>0</v>
          </cell>
          <cell r="AH85">
            <v>356.61129</v>
          </cell>
          <cell r="AI85">
            <v>14.737000000000002</v>
          </cell>
          <cell r="AJ85">
            <v>-35.861189999999993</v>
          </cell>
          <cell r="AK85">
            <v>-1.7643000000000002</v>
          </cell>
          <cell r="AL85">
            <v>-98.973269999999957</v>
          </cell>
          <cell r="AM85">
            <v>38.331109999999988</v>
          </cell>
          <cell r="AN85">
            <v>-6.389179999999997</v>
          </cell>
          <cell r="AO85">
            <v>-136.72816</v>
          </cell>
          <cell r="AP85">
            <v>-48.017500000000005</v>
          </cell>
          <cell r="AQ85">
            <v>-176.95934</v>
          </cell>
          <cell r="AR85">
            <v>-345.56807999999995</v>
          </cell>
          <cell r="AT85">
            <v>-33.57499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-429.61744000000033</v>
          </cell>
        </row>
        <row r="86">
          <cell r="C86">
            <v>227.20669999999981</v>
          </cell>
          <cell r="N86">
            <v>154.21565999999981</v>
          </cell>
          <cell r="BK86">
            <v>-999.07365000000016</v>
          </cell>
        </row>
        <row r="87">
          <cell r="C87">
            <v>1082.79</v>
          </cell>
          <cell r="N87">
            <v>1371.0476754794781</v>
          </cell>
          <cell r="O87">
            <v>-125.77832685614325</v>
          </cell>
          <cell r="P87">
            <v>-54.489695731418266</v>
          </cell>
          <cell r="Q87">
            <v>-12.655424231808372</v>
          </cell>
          <cell r="R87">
            <v>0</v>
          </cell>
          <cell r="S87">
            <v>-26.626412061063327</v>
          </cell>
          <cell r="T87">
            <v>-18.214869082980215</v>
          </cell>
          <cell r="U87">
            <v>0</v>
          </cell>
          <cell r="V87">
            <v>-452.72589381730711</v>
          </cell>
          <cell r="W87">
            <v>0</v>
          </cell>
          <cell r="X87">
            <v>-41.408615933418496</v>
          </cell>
          <cell r="Y87">
            <v>-18.599391875688383</v>
          </cell>
          <cell r="Z87">
            <v>45.651189932367267</v>
          </cell>
          <cell r="AA87">
            <v>0</v>
          </cell>
          <cell r="AB87">
            <v>0</v>
          </cell>
          <cell r="AC87">
            <v>12.035150189266718</v>
          </cell>
          <cell r="AD87">
            <v>0</v>
          </cell>
          <cell r="AE87">
            <v>0</v>
          </cell>
          <cell r="AF87">
            <v>-12.035150189266718</v>
          </cell>
          <cell r="AG87">
            <v>0</v>
          </cell>
          <cell r="AH87">
            <v>0</v>
          </cell>
          <cell r="AI87">
            <v>18.599391875688383</v>
          </cell>
          <cell r="AJ87">
            <v>0</v>
          </cell>
          <cell r="AK87">
            <v>0</v>
          </cell>
          <cell r="AL87">
            <v>-157.69699507192169</v>
          </cell>
          <cell r="AM87">
            <v>0</v>
          </cell>
          <cell r="AN87">
            <v>0</v>
          </cell>
          <cell r="AO87">
            <v>-207.00083168754747</v>
          </cell>
          <cell r="AP87">
            <v>-9.1151908030771729</v>
          </cell>
          <cell r="AQ87">
            <v>-265.24172076336509</v>
          </cell>
          <cell r="AR87">
            <v>-164.20400436126519</v>
          </cell>
          <cell r="AT87">
            <v>-48.288583792862923</v>
          </cell>
          <cell r="AU87">
            <v>8.3509673852620736</v>
          </cell>
          <cell r="AV87">
            <v>0</v>
          </cell>
          <cell r="AW87">
            <v>0</v>
          </cell>
          <cell r="AX87">
            <v>9.7506499361735486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-148.64608146089756</v>
          </cell>
        </row>
        <row r="90">
          <cell r="C90">
            <v>658.32045000000107</v>
          </cell>
          <cell r="N90">
            <v>454.1607699999995</v>
          </cell>
          <cell r="O90">
            <v>-11.79307</v>
          </cell>
          <cell r="P90">
            <v>0</v>
          </cell>
          <cell r="Q90">
            <v>0</v>
          </cell>
          <cell r="R90">
            <v>0</v>
          </cell>
          <cell r="S90">
            <v>-133.03598</v>
          </cell>
          <cell r="T90">
            <v>-1.4161199999999998</v>
          </cell>
          <cell r="U90">
            <v>0</v>
          </cell>
          <cell r="V90">
            <v>-207.68325999999999</v>
          </cell>
          <cell r="W90">
            <v>0</v>
          </cell>
          <cell r="X90">
            <v>0</v>
          </cell>
          <cell r="Y90">
            <v>-3.9965100000000002</v>
          </cell>
          <cell r="Z90">
            <v>22.789739999999998</v>
          </cell>
          <cell r="AA90">
            <v>0.41977000000000003</v>
          </cell>
          <cell r="AB90">
            <v>0</v>
          </cell>
          <cell r="AC90">
            <v>-68.582239999999999</v>
          </cell>
          <cell r="AD90">
            <v>0</v>
          </cell>
          <cell r="AE90">
            <v>-3.0353400000000001</v>
          </cell>
          <cell r="AF90">
            <v>-3.1220400000000001</v>
          </cell>
          <cell r="AG90">
            <v>0</v>
          </cell>
          <cell r="AH90">
            <v>356.61129</v>
          </cell>
          <cell r="AI90">
            <v>14.737000000000002</v>
          </cell>
          <cell r="AJ90">
            <v>-35.861189999999993</v>
          </cell>
          <cell r="AK90">
            <v>-1.7643000000000002</v>
          </cell>
          <cell r="AL90">
            <v>-98.973269999999957</v>
          </cell>
          <cell r="AM90">
            <v>38.331109999999988</v>
          </cell>
          <cell r="AN90">
            <v>-6.389179999999997</v>
          </cell>
          <cell r="AO90">
            <v>-103.55834</v>
          </cell>
          <cell r="AP90">
            <v>-47.943160000000006</v>
          </cell>
          <cell r="AQ90">
            <v>-126.68781</v>
          </cell>
          <cell r="AR90">
            <v>-344.03137999999996</v>
          </cell>
          <cell r="AT90">
            <v>-33.57499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-344.3985000000003</v>
          </cell>
        </row>
        <row r="91">
          <cell r="C91">
            <v>227.20669999999981</v>
          </cell>
          <cell r="N91">
            <v>154.21565999999981</v>
          </cell>
          <cell r="BK91">
            <v>-914.91610000000014</v>
          </cell>
        </row>
        <row r="92">
          <cell r="C92">
            <v>948.16000000000008</v>
          </cell>
          <cell r="N92">
            <v>1051.3133004794781</v>
          </cell>
          <cell r="O92">
            <v>-90.338807815310844</v>
          </cell>
          <cell r="P92">
            <v>-54.489695731418266</v>
          </cell>
          <cell r="Q92">
            <v>-12.598017739646195</v>
          </cell>
          <cell r="R92">
            <v>0</v>
          </cell>
          <cell r="S92">
            <v>-26.330436915455429</v>
          </cell>
          <cell r="T92">
            <v>-16.635297124038022</v>
          </cell>
          <cell r="U92">
            <v>0</v>
          </cell>
          <cell r="V92">
            <v>-251.90195258592342</v>
          </cell>
          <cell r="W92">
            <v>0</v>
          </cell>
          <cell r="X92">
            <v>-39.55247268684149</v>
          </cell>
          <cell r="Y92">
            <v>-13.245738878026438</v>
          </cell>
          <cell r="Z92">
            <v>45.65118991893489</v>
          </cell>
          <cell r="AA92">
            <v>0</v>
          </cell>
          <cell r="AB92">
            <v>0</v>
          </cell>
          <cell r="AC92">
            <v>11.023168154289827</v>
          </cell>
          <cell r="AD92">
            <v>0</v>
          </cell>
          <cell r="AE92">
            <v>0</v>
          </cell>
          <cell r="AF92">
            <v>-11.023168154289827</v>
          </cell>
          <cell r="AG92">
            <v>0</v>
          </cell>
          <cell r="AH92">
            <v>0</v>
          </cell>
          <cell r="AI92">
            <v>13.245738878026438</v>
          </cell>
          <cell r="AJ92">
            <v>0</v>
          </cell>
          <cell r="AK92">
            <v>0</v>
          </cell>
          <cell r="AL92">
            <v>-157.69699507192169</v>
          </cell>
          <cell r="AM92">
            <v>0</v>
          </cell>
          <cell r="AN92">
            <v>0</v>
          </cell>
          <cell r="AO92">
            <v>-149.82733549214572</v>
          </cell>
          <cell r="AP92">
            <v>-8.9977242295435182</v>
          </cell>
          <cell r="AQ92">
            <v>-179.0661912962936</v>
          </cell>
          <cell r="AR92">
            <v>-162.28965568159256</v>
          </cell>
          <cell r="AT92">
            <v>-38.416383714164986</v>
          </cell>
          <cell r="AU92">
            <v>8.3509673852620736</v>
          </cell>
          <cell r="AV92">
            <v>0</v>
          </cell>
          <cell r="AW92">
            <v>0</v>
          </cell>
          <cell r="AX92">
            <v>9.7506499361735486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-73.074858364447181</v>
          </cell>
        </row>
        <row r="94">
          <cell r="C94">
            <v>42.017579999999995</v>
          </cell>
          <cell r="N94">
            <v>26.223940000000006</v>
          </cell>
          <cell r="BK94">
            <v>-610.97487000000001</v>
          </cell>
        </row>
        <row r="95">
          <cell r="C95">
            <v>0</v>
          </cell>
          <cell r="N95">
            <v>0</v>
          </cell>
          <cell r="BK95">
            <v>-786.97370000000001</v>
          </cell>
        </row>
        <row r="96">
          <cell r="C96">
            <v>273.17</v>
          </cell>
          <cell r="N96">
            <v>308.94008499504946</v>
          </cell>
          <cell r="O96">
            <v>7.3883012278836144</v>
          </cell>
          <cell r="P96">
            <v>-54.489695731418266</v>
          </cell>
          <cell r="Q96">
            <v>-8.4090257323901465</v>
          </cell>
          <cell r="R96">
            <v>0</v>
          </cell>
          <cell r="S96">
            <v>-6.5255443470042813</v>
          </cell>
          <cell r="T96">
            <v>-3.5779177757593157</v>
          </cell>
          <cell r="U96">
            <v>0</v>
          </cell>
          <cell r="V96">
            <v>-54.995928989029629</v>
          </cell>
          <cell r="W96">
            <v>0</v>
          </cell>
          <cell r="X96">
            <v>-9.8184392823177742</v>
          </cell>
          <cell r="Y96">
            <v>-3.3232185856683065</v>
          </cell>
          <cell r="Z96">
            <v>2.1483567753938257</v>
          </cell>
          <cell r="AA96">
            <v>0</v>
          </cell>
          <cell r="AB96">
            <v>0</v>
          </cell>
          <cell r="AC96">
            <v>0.87620611515658409</v>
          </cell>
          <cell r="AD96">
            <v>0</v>
          </cell>
          <cell r="AE96">
            <v>0</v>
          </cell>
          <cell r="AF96">
            <v>-0.87620611515658409</v>
          </cell>
          <cell r="AG96">
            <v>0</v>
          </cell>
          <cell r="AH96">
            <v>0</v>
          </cell>
          <cell r="AI96">
            <v>3.3232185856683065</v>
          </cell>
          <cell r="AJ96">
            <v>0</v>
          </cell>
          <cell r="AK96">
            <v>0</v>
          </cell>
          <cell r="AL96">
            <v>-46.341012749257416</v>
          </cell>
          <cell r="AM96">
            <v>0</v>
          </cell>
          <cell r="AN96">
            <v>0</v>
          </cell>
          <cell r="AO96">
            <v>-87.146142386982248</v>
          </cell>
          <cell r="AP96">
            <v>-2.2801890059675674</v>
          </cell>
          <cell r="AQ96">
            <v>-143.59752440835751</v>
          </cell>
          <cell r="AR96">
            <v>-107.13539306840875</v>
          </cell>
          <cell r="AT96">
            <v>-19.61146281037308</v>
          </cell>
          <cell r="AU96">
            <v>8.3509673852620736</v>
          </cell>
          <cell r="AV96">
            <v>0</v>
          </cell>
          <cell r="AW96">
            <v>0</v>
          </cell>
          <cell r="AX96">
            <v>9.7506499361735486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-207.34991596750342</v>
          </cell>
        </row>
        <row r="98">
          <cell r="C98">
            <v>568.55008000000112</v>
          </cell>
          <cell r="N98">
            <v>383.9864199999995</v>
          </cell>
          <cell r="O98">
            <v>-11.79307</v>
          </cell>
          <cell r="P98">
            <v>0</v>
          </cell>
          <cell r="Q98">
            <v>0</v>
          </cell>
          <cell r="R98">
            <v>0</v>
          </cell>
          <cell r="S98">
            <v>-10.81531</v>
          </cell>
          <cell r="T98">
            <v>-1.4161199999999998</v>
          </cell>
          <cell r="U98">
            <v>0</v>
          </cell>
          <cell r="V98">
            <v>-178.57474999999999</v>
          </cell>
          <cell r="W98">
            <v>0</v>
          </cell>
          <cell r="X98">
            <v>0</v>
          </cell>
          <cell r="Y98">
            <v>-3.7556400000000001</v>
          </cell>
          <cell r="Z98">
            <v>22.142379999999999</v>
          </cell>
          <cell r="AA98">
            <v>0.41510000000000002</v>
          </cell>
          <cell r="AB98">
            <v>0</v>
          </cell>
          <cell r="AC98">
            <v>-58.132240000000003</v>
          </cell>
          <cell r="AD98">
            <v>0</v>
          </cell>
          <cell r="AE98">
            <v>-1.4215</v>
          </cell>
          <cell r="AF98">
            <v>-2.5654400000000002</v>
          </cell>
          <cell r="AG98">
            <v>0</v>
          </cell>
          <cell r="AH98">
            <v>342.42259000000001</v>
          </cell>
          <cell r="AI98">
            <v>14.709520000000001</v>
          </cell>
          <cell r="AJ98">
            <v>-35.734659999999991</v>
          </cell>
          <cell r="AK98">
            <v>-1.7623700000000002</v>
          </cell>
          <cell r="AL98">
            <v>-85.504769999999965</v>
          </cell>
          <cell r="AM98">
            <v>34.83341999999999</v>
          </cell>
          <cell r="AN98">
            <v>-5.830479999999997</v>
          </cell>
          <cell r="AO98">
            <v>-52.212460000000007</v>
          </cell>
          <cell r="AP98">
            <v>-5.8321100000000001</v>
          </cell>
          <cell r="AQ98">
            <v>-22.623989999999999</v>
          </cell>
          <cell r="AR98">
            <v>-36.95505</v>
          </cell>
          <cell r="AT98">
            <v>-12.849989999999998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270.72947999999963</v>
          </cell>
        </row>
        <row r="99">
          <cell r="C99">
            <v>227.20669999999981</v>
          </cell>
          <cell r="N99">
            <v>154.21565999999981</v>
          </cell>
          <cell r="BK99">
            <v>-10.305820000000182</v>
          </cell>
        </row>
        <row r="100">
          <cell r="C100">
            <v>464.99</v>
          </cell>
          <cell r="N100">
            <v>525.88297610942857</v>
          </cell>
          <cell r="O100">
            <v>-19.898601249176632</v>
          </cell>
          <cell r="P100">
            <v>0</v>
          </cell>
          <cell r="Q100">
            <v>-4.1889920072560498</v>
          </cell>
          <cell r="R100">
            <v>0</v>
          </cell>
          <cell r="S100">
            <v>-16.146875675013327</v>
          </cell>
          <cell r="T100">
            <v>-12.696057294556244</v>
          </cell>
          <cell r="U100">
            <v>0</v>
          </cell>
          <cell r="V100">
            <v>-141.24297043810282</v>
          </cell>
          <cell r="W100">
            <v>0</v>
          </cell>
          <cell r="X100">
            <v>-29.734033404523714</v>
          </cell>
          <cell r="Y100">
            <v>-8.150977526091987</v>
          </cell>
          <cell r="Z100">
            <v>40.171615475374679</v>
          </cell>
          <cell r="AA100">
            <v>0</v>
          </cell>
          <cell r="AB100">
            <v>0</v>
          </cell>
          <cell r="AC100">
            <v>10</v>
          </cell>
          <cell r="AD100">
            <v>0</v>
          </cell>
          <cell r="AE100">
            <v>0</v>
          </cell>
          <cell r="AF100">
            <v>-10</v>
          </cell>
          <cell r="AG100">
            <v>0</v>
          </cell>
          <cell r="AH100">
            <v>0</v>
          </cell>
          <cell r="AI100">
            <v>8.150977526091987</v>
          </cell>
          <cell r="AJ100">
            <v>0</v>
          </cell>
          <cell r="AK100">
            <v>0</v>
          </cell>
          <cell r="AL100">
            <v>-78.882446416414282</v>
          </cell>
          <cell r="AM100">
            <v>0</v>
          </cell>
          <cell r="AN100">
            <v>0</v>
          </cell>
          <cell r="AO100">
            <v>-62.601728422727419</v>
          </cell>
          <cell r="AP100">
            <v>-6.1416148821859053</v>
          </cell>
          <cell r="AQ100">
            <v>-33.51715931068275</v>
          </cell>
          <cell r="AR100">
            <v>-49.861455962530997</v>
          </cell>
          <cell r="AT100">
            <v>-18.804920903791906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92.337735617841176</v>
          </cell>
        </row>
        <row r="102">
          <cell r="C102">
            <v>0</v>
          </cell>
          <cell r="N102">
            <v>0</v>
          </cell>
          <cell r="BK102">
            <v>-41.50864</v>
          </cell>
        </row>
        <row r="103">
          <cell r="C103">
            <v>0</v>
          </cell>
          <cell r="N103">
            <v>0</v>
          </cell>
          <cell r="BK103">
            <v>-92.73190000000001</v>
          </cell>
        </row>
        <row r="104">
          <cell r="C104">
            <v>210</v>
          </cell>
          <cell r="N104">
            <v>216.49023937500002</v>
          </cell>
          <cell r="O104">
            <v>-77.828507794017824</v>
          </cell>
          <cell r="P104">
            <v>0</v>
          </cell>
          <cell r="Q104">
            <v>0</v>
          </cell>
          <cell r="R104">
            <v>0</v>
          </cell>
          <cell r="S104">
            <v>-3.6580168934378197</v>
          </cell>
          <cell r="T104">
            <v>-0.36132205372246312</v>
          </cell>
          <cell r="U104">
            <v>0</v>
          </cell>
          <cell r="V104">
            <v>-55.663053158790987</v>
          </cell>
          <cell r="W104">
            <v>0</v>
          </cell>
          <cell r="X104">
            <v>0</v>
          </cell>
          <cell r="Y104">
            <v>-1.7715427662661458</v>
          </cell>
          <cell r="Z104">
            <v>3.3312176681663841</v>
          </cell>
          <cell r="AA104">
            <v>0</v>
          </cell>
          <cell r="AB104">
            <v>0</v>
          </cell>
          <cell r="AC104">
            <v>0.1469620391332426</v>
          </cell>
          <cell r="AD104">
            <v>0</v>
          </cell>
          <cell r="AE104">
            <v>0</v>
          </cell>
          <cell r="AF104">
            <v>-0.1469620391332426</v>
          </cell>
          <cell r="AG104">
            <v>0</v>
          </cell>
          <cell r="AH104">
            <v>0</v>
          </cell>
          <cell r="AI104">
            <v>1.7715427662661458</v>
          </cell>
          <cell r="AJ104">
            <v>0</v>
          </cell>
          <cell r="AK104">
            <v>0</v>
          </cell>
          <cell r="AL104">
            <v>-32.47353590625</v>
          </cell>
          <cell r="AM104">
            <v>0</v>
          </cell>
          <cell r="AN104">
            <v>0</v>
          </cell>
          <cell r="AO104">
            <v>-7.9464682436042489E-2</v>
          </cell>
          <cell r="AP104">
            <v>-0.575920341390045</v>
          </cell>
          <cell r="AQ104">
            <v>-1.9515075772533272</v>
          </cell>
          <cell r="AR104">
            <v>-5.2928066506528006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41.937321985215071</v>
          </cell>
        </row>
      </sheetData>
      <sheetData sheetId="9" refreshError="1">
        <row r="21">
          <cell r="C21">
            <v>194.33375000000001</v>
          </cell>
          <cell r="N21">
            <v>69.095929999999996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-22.763000000000002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137.30500000000001</v>
          </cell>
          <cell r="AI21">
            <v>50.365939999999995</v>
          </cell>
          <cell r="AJ21">
            <v>-35.119419999999984</v>
          </cell>
          <cell r="AK21">
            <v>-0.84894999999999998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297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495.03550000000001</v>
          </cell>
        </row>
        <row r="22">
          <cell r="C22">
            <v>122.00984</v>
          </cell>
          <cell r="N22">
            <v>14.821349999999995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-0.28699999999999998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-119.25853000000001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253.66058000000001</v>
          </cell>
          <cell r="AI22">
            <v>-27.522169999999996</v>
          </cell>
          <cell r="AJ22">
            <v>35.062570000000001</v>
          </cell>
          <cell r="AK22">
            <v>0.68706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308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465.16386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</row>
        <row r="25">
          <cell r="C25">
            <v>32.97486</v>
          </cell>
          <cell r="N25">
            <v>7.8764700000000003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129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136.87647000000001</v>
          </cell>
        </row>
        <row r="26">
          <cell r="C26">
            <v>30.641960000000001</v>
          </cell>
          <cell r="N26">
            <v>3.9638100000000009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115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118.96381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</row>
        <row r="29">
          <cell r="C29">
            <v>227.30861000000002</v>
          </cell>
          <cell r="N29">
            <v>76.972399999999993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-22.763000000000002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137.30500000000001</v>
          </cell>
          <cell r="AI29">
            <v>50.365939999999995</v>
          </cell>
          <cell r="AJ29">
            <v>-35.119419999999984</v>
          </cell>
          <cell r="AK29">
            <v>-0.84894999999999998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426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631.91197</v>
          </cell>
        </row>
        <row r="30">
          <cell r="C30">
            <v>152.65180000000001</v>
          </cell>
          <cell r="N30">
            <v>18.785159999999998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-0.28699999999999998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-119.25853000000001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253.66058000000001</v>
          </cell>
          <cell r="AI30">
            <v>-27.522169999999996</v>
          </cell>
          <cell r="AJ30">
            <v>35.062570000000001</v>
          </cell>
          <cell r="AK30">
            <v>0.68706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T30">
            <v>423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584.12766999999997</v>
          </cell>
        </row>
        <row r="31">
          <cell r="C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</row>
        <row r="33">
          <cell r="C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2.3400000000000001E-2</v>
          </cell>
          <cell r="AN33">
            <v>-2.3400000000000001E-2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</row>
        <row r="34">
          <cell r="C34">
            <v>-1.02</v>
          </cell>
          <cell r="N34">
            <v>-1.0088900000000001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2.0000000000000002E-5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3.0099999999999997E-3</v>
          </cell>
          <cell r="AJ34">
            <v>-7.9000000000000001E-4</v>
          </cell>
          <cell r="AK34">
            <v>0</v>
          </cell>
          <cell r="AL34">
            <v>0.20998999999999998</v>
          </cell>
          <cell r="AM34">
            <v>0</v>
          </cell>
          <cell r="AN34">
            <v>-2.33E-3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0.78122000000000003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-2.5000000000000001E-3</v>
          </cell>
          <cell r="BH34">
            <v>7.7000000000000007E-4</v>
          </cell>
          <cell r="BI34">
            <v>0</v>
          </cell>
          <cell r="BJ34">
            <v>0</v>
          </cell>
          <cell r="BK34">
            <v>-1.9499999999999962E-2</v>
          </cell>
        </row>
        <row r="35">
          <cell r="C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</row>
        <row r="37">
          <cell r="C37">
            <v>1.0691300000000001</v>
          </cell>
          <cell r="N37">
            <v>18.22823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-9.9990000000000006</v>
          </cell>
          <cell r="W37">
            <v>0</v>
          </cell>
          <cell r="X37">
            <v>0</v>
          </cell>
          <cell r="Y37">
            <v>-0.10357</v>
          </cell>
          <cell r="Z37">
            <v>0.30714999999999998</v>
          </cell>
          <cell r="AA37">
            <v>3.0600000000000002E-3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-1.6283099999999999</v>
          </cell>
          <cell r="AG37">
            <v>0</v>
          </cell>
          <cell r="AH37">
            <v>193.577</v>
          </cell>
          <cell r="AI37">
            <v>2.3641000000000001</v>
          </cell>
          <cell r="AJ37">
            <v>0.17942999999999998</v>
          </cell>
          <cell r="AK37">
            <v>-2.2299999999999998E-3</v>
          </cell>
          <cell r="AL37">
            <v>0</v>
          </cell>
          <cell r="AM37">
            <v>0</v>
          </cell>
          <cell r="AN37">
            <v>-2.60554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-13.26343</v>
          </cell>
          <cell r="AU37">
            <v>0</v>
          </cell>
          <cell r="AV37">
            <v>0</v>
          </cell>
          <cell r="AW37">
            <v>0</v>
          </cell>
          <cell r="AX37">
            <v>8.9990000000000006</v>
          </cell>
          <cell r="AY37">
            <v>0</v>
          </cell>
          <cell r="AZ37">
            <v>0</v>
          </cell>
          <cell r="BA37">
            <v>9.2620000000000008E-2</v>
          </cell>
          <cell r="BB37">
            <v>-0.27643000000000001</v>
          </cell>
          <cell r="BC37">
            <v>-2.7400000000000002E-3</v>
          </cell>
          <cell r="BD37">
            <v>0</v>
          </cell>
          <cell r="BE37">
            <v>1.6283099999999999</v>
          </cell>
          <cell r="BF37">
            <v>-176.43899999999999</v>
          </cell>
          <cell r="BG37">
            <v>0.40995999999999994</v>
          </cell>
          <cell r="BH37">
            <v>-0.17701000000000003</v>
          </cell>
          <cell r="BI37">
            <v>-8.1199999999999987E-3</v>
          </cell>
          <cell r="BJ37">
            <v>0</v>
          </cell>
          <cell r="BK37">
            <v>21.283480000000065</v>
          </cell>
        </row>
        <row r="38">
          <cell r="C38">
            <v>-1.5629999999999999</v>
          </cell>
          <cell r="N38">
            <v>17.283600000000003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-7.3000000000000001E-3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-15.616</v>
          </cell>
          <cell r="AG38">
            <v>0</v>
          </cell>
          <cell r="AH38">
            <v>-392.69300000000004</v>
          </cell>
          <cell r="AI38">
            <v>-1.27938</v>
          </cell>
          <cell r="AJ38">
            <v>-0.24444000000000002</v>
          </cell>
          <cell r="AK38">
            <v>3.9999999999999922E-5</v>
          </cell>
          <cell r="AL38">
            <v>0</v>
          </cell>
          <cell r="AM38">
            <v>0</v>
          </cell>
          <cell r="AN38">
            <v>-2.60555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-13.263409999999999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15.616</v>
          </cell>
          <cell r="BF38">
            <v>356.23500000000001</v>
          </cell>
          <cell r="BG38">
            <v>1.1915500000000001</v>
          </cell>
          <cell r="BH38">
            <v>0.23252</v>
          </cell>
          <cell r="BI38">
            <v>1.2800000000000001E-3</v>
          </cell>
          <cell r="BJ38">
            <v>0</v>
          </cell>
          <cell r="BK38">
            <v>-35.149089999999966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-12.832360000000001</v>
          </cell>
          <cell r="AD41">
            <v>0</v>
          </cell>
          <cell r="AE41">
            <v>0</v>
          </cell>
          <cell r="AF41">
            <v>-1.112E-2</v>
          </cell>
          <cell r="AG41">
            <v>0</v>
          </cell>
          <cell r="AH41">
            <v>3.9950000000000001</v>
          </cell>
          <cell r="AI41">
            <v>1.9096499999999996</v>
          </cell>
          <cell r="AJ41">
            <v>-3.0120000000000004E-2</v>
          </cell>
          <cell r="AK41">
            <v>-3.6199999999999996E-2</v>
          </cell>
          <cell r="AL41">
            <v>0</v>
          </cell>
          <cell r="AM41">
            <v>6.1200000000000004E-3</v>
          </cell>
          <cell r="AN41">
            <v>-6.1200000000000004E-3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9.7300000000000008E-3</v>
          </cell>
          <cell r="BF41">
            <v>1E-3</v>
          </cell>
          <cell r="BG41">
            <v>-3.1021499999999995</v>
          </cell>
          <cell r="BH41">
            <v>-1.7500000000000016E-3</v>
          </cell>
          <cell r="BI41">
            <v>4.2540000000000008E-2</v>
          </cell>
          <cell r="BJ41">
            <v>0</v>
          </cell>
          <cell r="BK41">
            <v>-10.05578</v>
          </cell>
        </row>
        <row r="42">
          <cell r="C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-19.424010000000003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-18182.498330000002</v>
          </cell>
          <cell r="AD42">
            <v>0</v>
          </cell>
          <cell r="AE42">
            <v>0</v>
          </cell>
          <cell r="AF42">
            <v>-48.431640000000002</v>
          </cell>
          <cell r="AG42">
            <v>0</v>
          </cell>
          <cell r="AH42">
            <v>17987.114170000001</v>
          </cell>
          <cell r="AI42">
            <v>564.68817999999999</v>
          </cell>
          <cell r="AJ42">
            <v>-276.54975000000002</v>
          </cell>
          <cell r="AK42">
            <v>-5.8288799999999998</v>
          </cell>
          <cell r="AL42">
            <v>8.0000000000000142E-5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18185.330199999997</v>
          </cell>
          <cell r="BF42">
            <v>-17939.885050000001</v>
          </cell>
          <cell r="BG42">
            <v>-536.79633000000001</v>
          </cell>
          <cell r="BH42">
            <v>275.87183999999996</v>
          </cell>
          <cell r="BI42">
            <v>5.3789700000000007</v>
          </cell>
          <cell r="BJ42">
            <v>0</v>
          </cell>
          <cell r="BK42">
            <v>8.9694499999970976</v>
          </cell>
        </row>
        <row r="43">
          <cell r="C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0</v>
          </cell>
          <cell r="N49">
            <v>1.8760000000000002E-2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5.62E-2</v>
          </cell>
          <cell r="AJ49">
            <v>2.0000000000000004E-4</v>
          </cell>
          <cell r="AK49">
            <v>0</v>
          </cell>
          <cell r="AL49">
            <v>0</v>
          </cell>
          <cell r="AM49">
            <v>0</v>
          </cell>
          <cell r="AN49">
            <v>-9.3999999999999997E-4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-1.5040000000000001E-2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5.9179999999999996E-2</v>
          </cell>
        </row>
        <row r="50">
          <cell r="C50">
            <v>6.7525500000000003</v>
          </cell>
          <cell r="N50">
            <v>1.6842400000000002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-0.73199999999999998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1.3220000000000001</v>
          </cell>
          <cell r="AI50">
            <v>1.9360000000000002E-2</v>
          </cell>
          <cell r="AJ50">
            <v>-5.9000000000000003E-4</v>
          </cell>
          <cell r="AK50">
            <v>-1.0000000000000001E-5</v>
          </cell>
          <cell r="AL50">
            <v>-0.33817000000000003</v>
          </cell>
          <cell r="AM50">
            <v>0.25414999999999999</v>
          </cell>
          <cell r="AN50">
            <v>-7.3999999999999999E-4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2.20824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</row>
        <row r="54">
          <cell r="C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2.0999999999999998E-4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2.0999999999999998E-4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</row>
        <row r="57">
          <cell r="C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</row>
        <row r="58">
          <cell r="C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</row>
        <row r="59">
          <cell r="C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8.1000000000000003E-2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1.08E-3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8.208E-2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1.0000000000000001E-5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3.7200000000000002E-3</v>
          </cell>
          <cell r="AJ62">
            <v>-1.0000000000000001E-5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3.7200000000000002E-3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228.37774000000002</v>
          </cell>
          <cell r="N65">
            <v>95.21938999999999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-9.9990000000000006</v>
          </cell>
          <cell r="W65">
            <v>0</v>
          </cell>
          <cell r="X65">
            <v>0</v>
          </cell>
          <cell r="Y65">
            <v>-0.10357</v>
          </cell>
          <cell r="Z65">
            <v>0.30714999999999998</v>
          </cell>
          <cell r="AA65">
            <v>3.0600000000000002E-3</v>
          </cell>
          <cell r="AB65">
            <v>0</v>
          </cell>
          <cell r="AC65">
            <v>-35.514359999999996</v>
          </cell>
          <cell r="AD65">
            <v>0</v>
          </cell>
          <cell r="AE65">
            <v>0</v>
          </cell>
          <cell r="AF65">
            <v>-1.6394299999999999</v>
          </cell>
          <cell r="AG65">
            <v>0</v>
          </cell>
          <cell r="AH65">
            <v>334.87700000000001</v>
          </cell>
          <cell r="AI65">
            <v>54.696969999999993</v>
          </cell>
          <cell r="AJ65">
            <v>-34.969909999999977</v>
          </cell>
          <cell r="AK65">
            <v>-0.88737999999999995</v>
          </cell>
          <cell r="AL65">
            <v>0</v>
          </cell>
          <cell r="AM65">
            <v>2.9520000000000001E-2</v>
          </cell>
          <cell r="AN65">
            <v>-2.6360000000000001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T65">
            <v>412.72153000000003</v>
          </cell>
          <cell r="AU65">
            <v>0</v>
          </cell>
          <cell r="AV65">
            <v>0</v>
          </cell>
          <cell r="AW65">
            <v>0</v>
          </cell>
          <cell r="AX65">
            <v>8.9990000000000006</v>
          </cell>
          <cell r="AY65">
            <v>0</v>
          </cell>
          <cell r="AZ65">
            <v>0</v>
          </cell>
          <cell r="BA65">
            <v>9.2620000000000008E-2</v>
          </cell>
          <cell r="BB65">
            <v>-0.27643000000000001</v>
          </cell>
          <cell r="BC65">
            <v>-2.7400000000000002E-3</v>
          </cell>
          <cell r="BD65">
            <v>0</v>
          </cell>
          <cell r="BE65">
            <v>1.6380399999999999</v>
          </cell>
          <cell r="BF65">
            <v>-176.43799999999999</v>
          </cell>
          <cell r="BG65">
            <v>-2.6921899999999996</v>
          </cell>
          <cell r="BH65">
            <v>-0.17876000000000003</v>
          </cell>
          <cell r="BI65">
            <v>3.4420000000000006E-2</v>
          </cell>
          <cell r="BJ65">
            <v>0</v>
          </cell>
          <cell r="BK65">
            <v>643.28093000000001</v>
          </cell>
        </row>
        <row r="66">
          <cell r="C66">
            <v>156.82135000000002</v>
          </cell>
          <cell r="N66">
            <v>36.744110000000006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-19.718280000000004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-18302.488860000001</v>
          </cell>
          <cell r="AD66">
            <v>0</v>
          </cell>
          <cell r="AE66">
            <v>0</v>
          </cell>
          <cell r="AF66">
            <v>-64.047640000000001</v>
          </cell>
          <cell r="AG66">
            <v>0</v>
          </cell>
          <cell r="AH66">
            <v>17849.403750000001</v>
          </cell>
          <cell r="AI66">
            <v>535.91272000000004</v>
          </cell>
          <cell r="AJ66">
            <v>-241.73301000000001</v>
          </cell>
          <cell r="AK66">
            <v>-5.1417899999999994</v>
          </cell>
          <cell r="AL66">
            <v>-0.12789000000000006</v>
          </cell>
          <cell r="AM66">
            <v>0.25414999999999999</v>
          </cell>
          <cell r="AN66">
            <v>-2.6086200000000002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T66">
            <v>410.51781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18200.946199999998</v>
          </cell>
          <cell r="BF66">
            <v>-17583.65005</v>
          </cell>
          <cell r="BG66">
            <v>-535.60728000000006</v>
          </cell>
          <cell r="BH66">
            <v>276.10512999999997</v>
          </cell>
          <cell r="BI66">
            <v>5.3802500000000011</v>
          </cell>
          <cell r="BJ66">
            <v>0</v>
          </cell>
          <cell r="BK66">
            <v>560.1406999999972</v>
          </cell>
        </row>
        <row r="67">
          <cell r="C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</row>
        <row r="69">
          <cell r="C69">
            <v>0</v>
          </cell>
          <cell r="N69">
            <v>0</v>
          </cell>
          <cell r="BK69">
            <v>-302.67144999999994</v>
          </cell>
        </row>
        <row r="70">
          <cell r="C70">
            <v>0</v>
          </cell>
          <cell r="N70">
            <v>0</v>
          </cell>
          <cell r="BK70">
            <v>-0.17061000000000001</v>
          </cell>
        </row>
        <row r="71">
          <cell r="C71">
            <v>0</v>
          </cell>
          <cell r="N71">
            <v>0</v>
          </cell>
          <cell r="BK71">
            <v>0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-302.67144999999994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-302.67144999999994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-0.17061000000000001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-0.17061000000000001</v>
          </cell>
        </row>
        <row r="83">
          <cell r="C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</row>
        <row r="85">
          <cell r="C85">
            <v>228.37774000000002</v>
          </cell>
          <cell r="N85">
            <v>95.21938999999999</v>
          </cell>
          <cell r="BK85">
            <v>340.60948000000008</v>
          </cell>
        </row>
        <row r="86">
          <cell r="C86">
            <v>156.82135000000002</v>
          </cell>
          <cell r="N86">
            <v>36.744110000000006</v>
          </cell>
          <cell r="BK86">
            <v>559.97008999999719</v>
          </cell>
        </row>
        <row r="87">
          <cell r="C87">
            <v>0</v>
          </cell>
          <cell r="N87">
            <v>0</v>
          </cell>
          <cell r="BK87">
            <v>0</v>
          </cell>
        </row>
        <row r="90">
          <cell r="C90">
            <v>228.37774000000002</v>
          </cell>
          <cell r="N90">
            <v>95.21938999999999</v>
          </cell>
          <cell r="BK90">
            <v>643.28093000000001</v>
          </cell>
        </row>
        <row r="91">
          <cell r="C91">
            <v>156.82135000000002</v>
          </cell>
          <cell r="N91">
            <v>36.744110000000006</v>
          </cell>
          <cell r="BK91">
            <v>560.1406999999972</v>
          </cell>
        </row>
        <row r="92">
          <cell r="C92">
            <v>0</v>
          </cell>
          <cell r="N92">
            <v>0</v>
          </cell>
          <cell r="BK92">
            <v>0</v>
          </cell>
        </row>
        <row r="94">
          <cell r="C94">
            <v>1.0691300000000001</v>
          </cell>
          <cell r="N94">
            <v>18.22823</v>
          </cell>
          <cell r="BK94">
            <v>21.283480000000065</v>
          </cell>
        </row>
        <row r="95">
          <cell r="C95">
            <v>-2.5830000000000002</v>
          </cell>
          <cell r="N95">
            <v>16.274710000000002</v>
          </cell>
          <cell r="BK95">
            <v>-35.168589999999966</v>
          </cell>
        </row>
        <row r="96">
          <cell r="C96">
            <v>0</v>
          </cell>
          <cell r="N96">
            <v>0</v>
          </cell>
          <cell r="BK96">
            <v>0</v>
          </cell>
        </row>
        <row r="98">
          <cell r="C98">
            <v>0</v>
          </cell>
          <cell r="N98">
            <v>0</v>
          </cell>
          <cell r="BK98">
            <v>-10.05578</v>
          </cell>
        </row>
        <row r="99">
          <cell r="C99">
            <v>0</v>
          </cell>
          <cell r="N99">
            <v>0</v>
          </cell>
          <cell r="BK99">
            <v>8.9694499999970976</v>
          </cell>
        </row>
        <row r="100">
          <cell r="C100">
            <v>0</v>
          </cell>
          <cell r="N100">
            <v>0</v>
          </cell>
          <cell r="BK100">
            <v>0</v>
          </cell>
        </row>
        <row r="102">
          <cell r="C102">
            <v>0</v>
          </cell>
          <cell r="N102">
            <v>1.8760000000000002E-2</v>
          </cell>
          <cell r="BK102">
            <v>0.14126</v>
          </cell>
        </row>
        <row r="103">
          <cell r="C103">
            <v>6.7525500000000003</v>
          </cell>
          <cell r="N103">
            <v>1.6842400000000002</v>
          </cell>
          <cell r="BK103">
            <v>2.21217</v>
          </cell>
        </row>
        <row r="104">
          <cell r="C104">
            <v>0</v>
          </cell>
          <cell r="N104">
            <v>0</v>
          </cell>
          <cell r="BK104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1">
          <cell r="C21">
            <v>85558.392770000006</v>
          </cell>
          <cell r="N21">
            <v>67304.319830000022</v>
          </cell>
          <cell r="O21">
            <v>5465.05717</v>
          </cell>
          <cell r="P21">
            <v>0</v>
          </cell>
          <cell r="Q21">
            <v>-15.778</v>
          </cell>
          <cell r="R21">
            <v>106.57904000000002</v>
          </cell>
          <cell r="S21">
            <v>-2308.9875999999999</v>
          </cell>
          <cell r="T21">
            <v>-613.92065000000002</v>
          </cell>
          <cell r="U21">
            <v>-2307.8780200000001</v>
          </cell>
          <cell r="V21">
            <v>-47389.475451154663</v>
          </cell>
          <cell r="W21">
            <v>0</v>
          </cell>
          <cell r="X21">
            <v>-10158.331538845341</v>
          </cell>
          <cell r="Y21">
            <v>-684.12192000000005</v>
          </cell>
          <cell r="Z21">
            <v>4764.8069500000001</v>
          </cell>
          <cell r="AA21">
            <v>69.872739999999993</v>
          </cell>
          <cell r="AB21">
            <v>210</v>
          </cell>
          <cell r="AC21">
            <v>-55599.549540000007</v>
          </cell>
          <cell r="AD21">
            <v>1615.5104999999996</v>
          </cell>
          <cell r="AE21">
            <v>-1545.2205299999998</v>
          </cell>
          <cell r="AF21">
            <v>-1659.5934400000003</v>
          </cell>
          <cell r="AG21">
            <v>0</v>
          </cell>
          <cell r="AH21">
            <v>51321.342010000022</v>
          </cell>
          <cell r="AI21">
            <v>6614.10707</v>
          </cell>
          <cell r="AJ21">
            <v>-2773.5888499999992</v>
          </cell>
          <cell r="AK21">
            <v>-572.93768999999998</v>
          </cell>
          <cell r="AL21">
            <v>-10611.423650000001</v>
          </cell>
          <cell r="AM21">
            <v>9242.6840499999998</v>
          </cell>
          <cell r="AN21">
            <v>-7423.3529800000006</v>
          </cell>
          <cell r="AO21">
            <v>-1033.66724</v>
          </cell>
          <cell r="AP21">
            <v>-231.21227999999996</v>
          </cell>
          <cell r="AQ21">
            <v>-2712.13364</v>
          </cell>
          <cell r="AR21">
            <v>-1382.7991499999998</v>
          </cell>
          <cell r="AT21">
            <v>-934.80542999999989</v>
          </cell>
          <cell r="AU21">
            <v>-150.82112999999998</v>
          </cell>
          <cell r="AV21">
            <v>0</v>
          </cell>
          <cell r="AW21">
            <v>0</v>
          </cell>
          <cell r="AX21">
            <v>676.33623359467538</v>
          </cell>
          <cell r="AY21">
            <v>0</v>
          </cell>
          <cell r="AZ21">
            <v>98.939556405324652</v>
          </cell>
          <cell r="BA21">
            <v>9.1413799999999998</v>
          </cell>
          <cell r="BB21">
            <v>-66.789739999999995</v>
          </cell>
          <cell r="BC21">
            <v>-0.99589000000000016</v>
          </cell>
          <cell r="BD21">
            <v>0</v>
          </cell>
          <cell r="BE21">
            <v>2400.8803800000005</v>
          </cell>
          <cell r="BF21">
            <v>-2352.993369999992</v>
          </cell>
          <cell r="BG21">
            <v>-549.83001000000024</v>
          </cell>
          <cell r="BH21">
            <v>-97.371570000000304</v>
          </cell>
          <cell r="BI21">
            <v>79.627780000000001</v>
          </cell>
          <cell r="BJ21">
            <v>4.8714809963712468E-14</v>
          </cell>
          <cell r="BK21">
            <v>-3198.3746199999673</v>
          </cell>
          <cell r="EA21">
            <v>18641.259969999999</v>
          </cell>
          <cell r="EL21">
            <v>23734.999630000013</v>
          </cell>
          <cell r="EM21">
            <v>-207.16744999999901</v>
          </cell>
          <cell r="EN21">
            <v>0</v>
          </cell>
          <cell r="EO21">
            <v>-6.5050000000000008</v>
          </cell>
          <cell r="EP21">
            <v>77.742040000000017</v>
          </cell>
          <cell r="EQ21">
            <v>-645.44054000000006</v>
          </cell>
          <cell r="ER21">
            <v>-397.36225000000002</v>
          </cell>
          <cell r="ES21">
            <v>-769.29295000000002</v>
          </cell>
          <cell r="ET21">
            <v>-14261.775601031091</v>
          </cell>
          <cell r="EU21">
            <v>0</v>
          </cell>
          <cell r="EV21">
            <v>-4138.2031489689125</v>
          </cell>
          <cell r="EW21">
            <v>-684.12192000000005</v>
          </cell>
          <cell r="EX21">
            <v>1522.6036600000002</v>
          </cell>
          <cell r="EY21">
            <v>69.872739999999993</v>
          </cell>
          <cell r="EZ21">
            <v>210</v>
          </cell>
          <cell r="FA21">
            <v>-16493.111720000001</v>
          </cell>
          <cell r="FB21">
            <v>592.19735999999978</v>
          </cell>
          <cell r="FC21">
            <v>-276.62416999999982</v>
          </cell>
          <cell r="FD21">
            <v>-447.99692000000005</v>
          </cell>
          <cell r="FE21">
            <v>0</v>
          </cell>
          <cell r="FF21">
            <v>10126.31195000001</v>
          </cell>
          <cell r="FG21">
            <v>6614.10707</v>
          </cell>
          <cell r="FH21">
            <v>-263.57463000000007</v>
          </cell>
          <cell r="FI21">
            <v>-572.93768999999998</v>
          </cell>
          <cell r="FJ21">
            <v>-2664.9477299999999</v>
          </cell>
          <cell r="FK21">
            <v>2688.1860300000008</v>
          </cell>
          <cell r="FL21">
            <v>-3176.7457900000009</v>
          </cell>
          <cell r="FM21">
            <v>-303.45238999999992</v>
          </cell>
          <cell r="FN21">
            <v>-109.64877999999997</v>
          </cell>
          <cell r="FO21">
            <v>-877.77822000000015</v>
          </cell>
          <cell r="FP21">
            <v>-536.68524999999988</v>
          </cell>
          <cell r="FR21">
            <v>-824.16766000000018</v>
          </cell>
          <cell r="FS21">
            <v>-28.677569999999989</v>
          </cell>
          <cell r="FT21">
            <v>0</v>
          </cell>
          <cell r="FU21">
            <v>0</v>
          </cell>
          <cell r="FV21">
            <v>381.6685392316565</v>
          </cell>
          <cell r="FW21">
            <v>0</v>
          </cell>
          <cell r="FX21">
            <v>131.44325076834352</v>
          </cell>
          <cell r="FY21">
            <v>9.1413799999999998</v>
          </cell>
          <cell r="FZ21">
            <v>-44.204399999999993</v>
          </cell>
          <cell r="GA21">
            <v>-0.99589000000000016</v>
          </cell>
          <cell r="GB21">
            <v>0</v>
          </cell>
          <cell r="GC21">
            <v>993.00313000000028</v>
          </cell>
          <cell r="GD21">
            <v>-1000.2040800000066</v>
          </cell>
          <cell r="GE21">
            <v>-549.83001000000024</v>
          </cell>
          <cell r="GF21">
            <v>43.590939999999534</v>
          </cell>
          <cell r="GG21">
            <v>79.627780000000001</v>
          </cell>
          <cell r="GH21">
            <v>4.8714809963712468E-14</v>
          </cell>
          <cell r="GI21">
            <v>-2006.9562599999804</v>
          </cell>
        </row>
        <row r="22">
          <cell r="C22">
            <v>78801.979589999988</v>
          </cell>
          <cell r="N22">
            <v>60242.664669999984</v>
          </cell>
          <cell r="O22">
            <v>3611.6320199999996</v>
          </cell>
          <cell r="P22">
            <v>0</v>
          </cell>
          <cell r="Q22">
            <v>-120.22499999999999</v>
          </cell>
          <cell r="R22">
            <v>134.27284</v>
          </cell>
          <cell r="S22">
            <v>-2574.7843899999998</v>
          </cell>
          <cell r="T22">
            <v>-86.44016000000002</v>
          </cell>
          <cell r="U22">
            <v>-1915.0685000000001</v>
          </cell>
          <cell r="V22">
            <v>-37725.786383637838</v>
          </cell>
          <cell r="W22">
            <v>0</v>
          </cell>
          <cell r="X22">
            <v>-9429.1594063621596</v>
          </cell>
          <cell r="Y22">
            <v>-774.76006000000007</v>
          </cell>
          <cell r="Z22">
            <v>3653.2403499999996</v>
          </cell>
          <cell r="AA22">
            <v>87.299630000000008</v>
          </cell>
          <cell r="AB22">
            <v>-270</v>
          </cell>
          <cell r="AC22">
            <v>-51307.576449999986</v>
          </cell>
          <cell r="AD22">
            <v>1695.9273100000003</v>
          </cell>
          <cell r="AE22">
            <v>-1789.2132899999999</v>
          </cell>
          <cell r="AF22">
            <v>-1754.9933199999998</v>
          </cell>
          <cell r="AG22">
            <v>0</v>
          </cell>
          <cell r="AH22">
            <v>50005.582630000004</v>
          </cell>
          <cell r="AI22">
            <v>811.50129000000015</v>
          </cell>
          <cell r="AJ22">
            <v>1278.9924100000001</v>
          </cell>
          <cell r="AK22">
            <v>49.498820000000002</v>
          </cell>
          <cell r="AL22">
            <v>-9738.0877000000019</v>
          </cell>
          <cell r="AM22">
            <v>9008.6196899999995</v>
          </cell>
          <cell r="AN22">
            <v>-7218.9447900000005</v>
          </cell>
          <cell r="AO22">
            <v>-708.28392999999994</v>
          </cell>
          <cell r="AP22">
            <v>-186.43231999999998</v>
          </cell>
          <cell r="AQ22">
            <v>-2682.0840199999998</v>
          </cell>
          <cell r="AR22">
            <v>-1449.6463200000003</v>
          </cell>
          <cell r="AT22">
            <v>-3668.766390000003</v>
          </cell>
          <cell r="AU22">
            <v>-17.455480000000001</v>
          </cell>
          <cell r="AV22">
            <v>0</v>
          </cell>
          <cell r="AW22">
            <v>0</v>
          </cell>
          <cell r="AX22">
            <v>3384.6056898204533</v>
          </cell>
          <cell r="AY22">
            <v>0</v>
          </cell>
          <cell r="AZ22">
            <v>-41.151899820453366</v>
          </cell>
          <cell r="BA22">
            <v>49.949110000000005</v>
          </cell>
          <cell r="BB22">
            <v>-258.12288999999998</v>
          </cell>
          <cell r="BC22">
            <v>-5.7651300000000001</v>
          </cell>
          <cell r="BD22">
            <v>0</v>
          </cell>
          <cell r="BE22">
            <v>2051.8940800000005</v>
          </cell>
          <cell r="BF22">
            <v>-771.49473999999952</v>
          </cell>
          <cell r="BG22">
            <v>5.5140400000000191</v>
          </cell>
          <cell r="BH22">
            <v>-278.18918999999994</v>
          </cell>
          <cell r="BI22">
            <v>-12.266680000000001</v>
          </cell>
          <cell r="BJ22">
            <v>-8.0145667880060492E-14</v>
          </cell>
          <cell r="BK22">
            <v>1286.4961400000002</v>
          </cell>
          <cell r="EA22">
            <v>16736.018029999992</v>
          </cell>
          <cell r="EL22">
            <v>21288.036449999992</v>
          </cell>
          <cell r="EM22">
            <v>-132.0579800000005</v>
          </cell>
          <cell r="EN22">
            <v>0</v>
          </cell>
          <cell r="EO22">
            <v>-86.852999999999994</v>
          </cell>
          <cell r="EP22">
            <v>107.47294000000001</v>
          </cell>
          <cell r="EQ22">
            <v>-813.18383999999969</v>
          </cell>
          <cell r="ER22">
            <v>-15.975020000000029</v>
          </cell>
          <cell r="ES22">
            <v>-638.35617000000002</v>
          </cell>
          <cell r="ET22">
            <v>-12099.270131688612</v>
          </cell>
          <cell r="EU22">
            <v>0</v>
          </cell>
          <cell r="EV22">
            <v>-2959.3531483113875</v>
          </cell>
          <cell r="EW22">
            <v>-774.76006000000007</v>
          </cell>
          <cell r="EX22">
            <v>1166.7431699999997</v>
          </cell>
          <cell r="EY22">
            <v>87.299630000000008</v>
          </cell>
          <cell r="EZ22">
            <v>-270</v>
          </cell>
          <cell r="FA22">
            <v>-13966.772779999992</v>
          </cell>
          <cell r="FB22">
            <v>563.85386999999992</v>
          </cell>
          <cell r="FC22">
            <v>-599.87885000000006</v>
          </cell>
          <cell r="FD22">
            <v>-533.20645999999965</v>
          </cell>
          <cell r="FE22">
            <v>0</v>
          </cell>
          <cell r="FF22">
            <v>16376.619250000003</v>
          </cell>
          <cell r="FG22">
            <v>811.50129000000015</v>
          </cell>
          <cell r="FH22">
            <v>-476.26679999999988</v>
          </cell>
          <cell r="FI22">
            <v>49.498820000000002</v>
          </cell>
          <cell r="FJ22">
            <v>-2288.3273100000006</v>
          </cell>
          <cell r="FK22">
            <v>2570.8590700000004</v>
          </cell>
          <cell r="FL22">
            <v>-3043.36445</v>
          </cell>
          <cell r="FM22">
            <v>-222.91001999999992</v>
          </cell>
          <cell r="FN22">
            <v>-69.923779999999965</v>
          </cell>
          <cell r="FO22">
            <v>-836.88179999999988</v>
          </cell>
          <cell r="FP22">
            <v>-495.29710000000011</v>
          </cell>
          <cell r="FR22">
            <v>-1288.866460000002</v>
          </cell>
          <cell r="FS22">
            <v>23.48639</v>
          </cell>
          <cell r="FT22">
            <v>0</v>
          </cell>
          <cell r="FU22">
            <v>0</v>
          </cell>
          <cell r="FV22">
            <v>1127.9319898204531</v>
          </cell>
          <cell r="FW22">
            <v>0</v>
          </cell>
          <cell r="FX22">
            <v>-41.151899820453366</v>
          </cell>
          <cell r="FY22">
            <v>49.949110000000005</v>
          </cell>
          <cell r="FZ22">
            <v>-83.902109999999965</v>
          </cell>
          <cell r="GA22">
            <v>-5.7651300000000001</v>
          </cell>
          <cell r="GB22">
            <v>0</v>
          </cell>
          <cell r="GC22">
            <v>538.22789000000103</v>
          </cell>
          <cell r="GD22">
            <v>-206.0032299999998</v>
          </cell>
          <cell r="GE22">
            <v>5.5140400000000191</v>
          </cell>
          <cell r="GF22">
            <v>1.8425900000000297</v>
          </cell>
          <cell r="GG22">
            <v>-12.266680000000001</v>
          </cell>
          <cell r="GH22">
            <v>-8.003553375601768E-14</v>
          </cell>
          <cell r="GI22">
            <v>2808.2422899999951</v>
          </cell>
        </row>
        <row r="23">
          <cell r="C23">
            <v>78149.570000000007</v>
          </cell>
          <cell r="N23">
            <v>61380.374515919611</v>
          </cell>
          <cell r="O23">
            <v>-11074.029851296413</v>
          </cell>
          <cell r="P23">
            <v>0</v>
          </cell>
          <cell r="Q23">
            <v>-2819.1415302110504</v>
          </cell>
          <cell r="R23">
            <v>0</v>
          </cell>
          <cell r="S23">
            <v>-4584.3271784944282</v>
          </cell>
          <cell r="T23">
            <v>-179.37365168530877</v>
          </cell>
          <cell r="U23">
            <v>0</v>
          </cell>
          <cell r="V23">
            <v>-24592.697641523053</v>
          </cell>
          <cell r="W23">
            <v>0</v>
          </cell>
          <cell r="X23">
            <v>-6242.0304375129663</v>
          </cell>
          <cell r="Y23">
            <v>-756.88530780107521</v>
          </cell>
          <cell r="Z23">
            <v>2948.1253549955072</v>
          </cell>
          <cell r="AA23">
            <v>0</v>
          </cell>
          <cell r="AB23">
            <v>0</v>
          </cell>
          <cell r="AC23">
            <v>-37225.932566688643</v>
          </cell>
          <cell r="AD23">
            <v>0</v>
          </cell>
          <cell r="AE23">
            <v>0</v>
          </cell>
          <cell r="AF23">
            <v>-1549.8732274476595</v>
          </cell>
          <cell r="AG23">
            <v>0</v>
          </cell>
          <cell r="AH23">
            <v>39363.3057941363</v>
          </cell>
          <cell r="AI23">
            <v>756.88530780107521</v>
          </cell>
          <cell r="AJ23">
            <v>0</v>
          </cell>
          <cell r="AK23">
            <v>0</v>
          </cell>
          <cell r="AL23">
            <v>-8023.8595274532599</v>
          </cell>
          <cell r="AM23">
            <v>0</v>
          </cell>
          <cell r="AN23">
            <v>0</v>
          </cell>
          <cell r="AO23">
            <v>-1126.8475644555813</v>
          </cell>
          <cell r="AP23">
            <v>-253.65923871581396</v>
          </cell>
          <cell r="AQ23">
            <v>-2926.1236396156337</v>
          </cell>
          <cell r="AR23">
            <v>-1986.53931205749</v>
          </cell>
          <cell r="AT23">
            <v>-4374.4113960075774</v>
          </cell>
          <cell r="AU23">
            <v>870.85432187206698</v>
          </cell>
          <cell r="AV23">
            <v>0</v>
          </cell>
          <cell r="AW23">
            <v>30.293077927822978</v>
          </cell>
          <cell r="AX23">
            <v>1848.9823451797656</v>
          </cell>
          <cell r="AY23">
            <v>0</v>
          </cell>
          <cell r="AZ23">
            <v>64.171244656076496</v>
          </cell>
          <cell r="BA23">
            <v>43.547729016942256</v>
          </cell>
          <cell r="BB23">
            <v>-177.65713038392417</v>
          </cell>
          <cell r="BC23">
            <v>0</v>
          </cell>
          <cell r="BD23">
            <v>0</v>
          </cell>
          <cell r="BE23">
            <v>1665.3805849999985</v>
          </cell>
          <cell r="BF23">
            <v>-1824.1467874999985</v>
          </cell>
          <cell r="BG23">
            <v>-43.547729016942256</v>
          </cell>
          <cell r="BH23">
            <v>0</v>
          </cell>
          <cell r="BI23">
            <v>0</v>
          </cell>
          <cell r="BJ23">
            <v>0</v>
          </cell>
          <cell r="BK23">
            <v>-789.16344136165571</v>
          </cell>
          <cell r="EA23">
            <v>17352.580000000002</v>
          </cell>
          <cell r="EL23">
            <v>20460.124838639873</v>
          </cell>
          <cell r="EM23">
            <v>-3691.3432837654709</v>
          </cell>
          <cell r="EN23">
            <v>0</v>
          </cell>
          <cell r="EO23">
            <v>-939.71384340368377</v>
          </cell>
          <cell r="EP23">
            <v>0</v>
          </cell>
          <cell r="EQ23">
            <v>-1528.1090594981433</v>
          </cell>
          <cell r="ER23">
            <v>-59.791217228436267</v>
          </cell>
          <cell r="ES23">
            <v>0</v>
          </cell>
          <cell r="ET23">
            <v>-8197.5658805076819</v>
          </cell>
          <cell r="EU23">
            <v>0</v>
          </cell>
          <cell r="EV23">
            <v>-2080.6768125043218</v>
          </cell>
          <cell r="EW23">
            <v>-252.29510260035835</v>
          </cell>
          <cell r="EX23">
            <v>982.70845166516938</v>
          </cell>
          <cell r="EY23">
            <v>0</v>
          </cell>
          <cell r="EZ23">
            <v>0</v>
          </cell>
          <cell r="FA23">
            <v>-12408.644188896214</v>
          </cell>
          <cell r="FB23">
            <v>0</v>
          </cell>
          <cell r="FC23">
            <v>0</v>
          </cell>
          <cell r="FD23">
            <v>-516.6244091492199</v>
          </cell>
          <cell r="FE23">
            <v>0</v>
          </cell>
          <cell r="FF23">
            <v>13121.101931378769</v>
          </cell>
          <cell r="FG23">
            <v>252.29510260035835</v>
          </cell>
          <cell r="FH23">
            <v>0</v>
          </cell>
          <cell r="FI23">
            <v>0</v>
          </cell>
          <cell r="FJ23">
            <v>-2674.6198424844197</v>
          </cell>
          <cell r="FK23">
            <v>0</v>
          </cell>
          <cell r="FL23">
            <v>0</v>
          </cell>
          <cell r="FM23">
            <v>-375.61585481852717</v>
          </cell>
          <cell r="FN23">
            <v>-84.553079571937957</v>
          </cell>
          <cell r="FO23">
            <v>-975.37454653854456</v>
          </cell>
          <cell r="FP23">
            <v>-662.17977068583014</v>
          </cell>
          <cell r="FR23">
            <v>-1458.1371320025255</v>
          </cell>
          <cell r="FS23">
            <v>290.2847739573557</v>
          </cell>
          <cell r="FT23">
            <v>0</v>
          </cell>
          <cell r="FU23">
            <v>10.097692642607658</v>
          </cell>
          <cell r="FV23">
            <v>616.32744839325551</v>
          </cell>
          <cell r="FW23">
            <v>0</v>
          </cell>
          <cell r="FX23">
            <v>21.39041488535883</v>
          </cell>
          <cell r="FY23">
            <v>14.515909672314084</v>
          </cell>
          <cell r="FZ23">
            <v>-59.219043461308033</v>
          </cell>
          <cell r="GA23">
            <v>0</v>
          </cell>
          <cell r="GB23">
            <v>0</v>
          </cell>
          <cell r="GC23">
            <v>555.12686166666617</v>
          </cell>
          <cell r="GD23">
            <v>-608.04892916666631</v>
          </cell>
          <cell r="GE23">
            <v>-14.515909672314084</v>
          </cell>
          <cell r="GF23">
            <v>0</v>
          </cell>
          <cell r="GG23">
            <v>0</v>
          </cell>
          <cell r="GH23">
            <v>0</v>
          </cell>
          <cell r="GI23">
            <v>-263.05448045387698</v>
          </cell>
        </row>
        <row r="25">
          <cell r="C25">
            <v>64353.881070000003</v>
          </cell>
          <cell r="N25">
            <v>50116.342850000001</v>
          </cell>
          <cell r="O25">
            <v>-11167.098239999999</v>
          </cell>
          <cell r="P25">
            <v>0</v>
          </cell>
          <cell r="Q25">
            <v>0</v>
          </cell>
          <cell r="R25">
            <v>1111.0185999999999</v>
          </cell>
          <cell r="S25">
            <v>-1523.8388799999998</v>
          </cell>
          <cell r="T25">
            <v>-200.27019000000001</v>
          </cell>
          <cell r="U25">
            <v>0</v>
          </cell>
          <cell r="V25">
            <v>-15661.263309999998</v>
          </cell>
          <cell r="W25">
            <v>-2.5499999999999998</v>
          </cell>
          <cell r="X25">
            <v>0</v>
          </cell>
          <cell r="Y25">
            <v>-53.582440000000005</v>
          </cell>
          <cell r="Z25">
            <v>227.42991000000001</v>
          </cell>
          <cell r="AA25">
            <v>0.76990999999999998</v>
          </cell>
          <cell r="AB25">
            <v>90</v>
          </cell>
          <cell r="AC25">
            <v>-21730.87341</v>
          </cell>
          <cell r="AD25">
            <v>9534.1064800000004</v>
          </cell>
          <cell r="AE25">
            <v>-538.94222000000002</v>
          </cell>
          <cell r="AF25">
            <v>-361.06505000000004</v>
          </cell>
          <cell r="AG25">
            <v>0</v>
          </cell>
          <cell r="AH25">
            <v>11644.81374</v>
          </cell>
          <cell r="AI25">
            <v>501.36122999999998</v>
          </cell>
          <cell r="AJ25">
            <v>158.02364</v>
          </cell>
          <cell r="AK25">
            <v>-5.5769299999999999</v>
          </cell>
          <cell r="AL25">
            <v>-11037.180460000001</v>
          </cell>
          <cell r="AM25">
            <v>11208.394049999999</v>
          </cell>
          <cell r="AN25">
            <v>-9083.6404700000003</v>
          </cell>
          <cell r="AO25">
            <v>-1154.7885200000001</v>
          </cell>
          <cell r="AP25">
            <v>-186.96887000000001</v>
          </cell>
          <cell r="AQ25">
            <v>-2533.27288</v>
          </cell>
          <cell r="AR25">
            <v>-1237.95073</v>
          </cell>
          <cell r="AT25">
            <v>-1459.7305299999994</v>
          </cell>
          <cell r="AU25">
            <v>64.904989999999984</v>
          </cell>
          <cell r="AV25">
            <v>0</v>
          </cell>
          <cell r="AW25">
            <v>0</v>
          </cell>
          <cell r="AX25">
            <v>387.14400000000001</v>
          </cell>
          <cell r="AY25">
            <v>0</v>
          </cell>
          <cell r="AZ25">
            <v>0</v>
          </cell>
          <cell r="BA25">
            <v>1.27044</v>
          </cell>
          <cell r="BB25">
            <v>-5.9336299999999991</v>
          </cell>
          <cell r="BC25">
            <v>-1.797E-2</v>
          </cell>
          <cell r="BD25">
            <v>0</v>
          </cell>
          <cell r="BE25">
            <v>259.85404</v>
          </cell>
          <cell r="BF25">
            <v>-808.05399999999997</v>
          </cell>
          <cell r="BG25">
            <v>-7.2833099999999975</v>
          </cell>
          <cell r="BH25">
            <v>-7.5677400000000006</v>
          </cell>
          <cell r="BI25">
            <v>1.9029999999999995E-2</v>
          </cell>
          <cell r="BJ25">
            <v>6.5483618527650828E-14</v>
          </cell>
          <cell r="BK25">
            <v>6538.003130000001</v>
          </cell>
          <cell r="EA25">
            <v>13747.922990000006</v>
          </cell>
          <cell r="EL25">
            <v>17395.874600000006</v>
          </cell>
          <cell r="EM25">
            <v>-6783.6811499999994</v>
          </cell>
          <cell r="EN25">
            <v>0</v>
          </cell>
          <cell r="EO25">
            <v>0</v>
          </cell>
          <cell r="EP25">
            <v>828.48259999999982</v>
          </cell>
          <cell r="EQ25">
            <v>-537.95681999999977</v>
          </cell>
          <cell r="ER25">
            <v>-118.24594</v>
          </cell>
          <cell r="ES25">
            <v>0</v>
          </cell>
          <cell r="ET25">
            <v>-3081.3396199999988</v>
          </cell>
          <cell r="EU25">
            <v>-2.5499999999999998</v>
          </cell>
          <cell r="EV25">
            <v>0</v>
          </cell>
          <cell r="EW25">
            <v>-53.582440000000005</v>
          </cell>
          <cell r="EX25">
            <v>43.985299999999995</v>
          </cell>
          <cell r="EY25">
            <v>0.76990999999999998</v>
          </cell>
          <cell r="EZ25">
            <v>90</v>
          </cell>
          <cell r="FA25">
            <v>-4817.704819999999</v>
          </cell>
          <cell r="FB25">
            <v>3059.9875700000011</v>
          </cell>
          <cell r="FC25">
            <v>-203.20181000000002</v>
          </cell>
          <cell r="FD25">
            <v>-70.705220000000054</v>
          </cell>
          <cell r="FE25">
            <v>0</v>
          </cell>
          <cell r="FF25">
            <v>2707.5854899999995</v>
          </cell>
          <cell r="FG25">
            <v>501.36122999999998</v>
          </cell>
          <cell r="FH25">
            <v>34.836890000000025</v>
          </cell>
          <cell r="FI25">
            <v>-5.5769299999999999</v>
          </cell>
          <cell r="FJ25">
            <v>-2549.8030300000009</v>
          </cell>
          <cell r="FK25">
            <v>3358.4597799999983</v>
          </cell>
          <cell r="FL25">
            <v>-3875.3948199999995</v>
          </cell>
          <cell r="FM25">
            <v>-360.64650000000006</v>
          </cell>
          <cell r="FN25">
            <v>-93.205910000000017</v>
          </cell>
          <cell r="FO25">
            <v>-840.31629999999996</v>
          </cell>
          <cell r="FP25">
            <v>-492.10248999999999</v>
          </cell>
          <cell r="FR25">
            <v>-493.25552999999934</v>
          </cell>
          <cell r="FS25">
            <v>22.444299999999984</v>
          </cell>
          <cell r="FT25">
            <v>0</v>
          </cell>
          <cell r="FU25">
            <v>0</v>
          </cell>
          <cell r="FV25">
            <v>181.38300000000001</v>
          </cell>
          <cell r="FW25">
            <v>0</v>
          </cell>
          <cell r="FX25">
            <v>0</v>
          </cell>
          <cell r="FY25">
            <v>1.27044</v>
          </cell>
          <cell r="FZ25">
            <v>-2.7799899999999993</v>
          </cell>
          <cell r="GA25">
            <v>-1.797E-2</v>
          </cell>
          <cell r="GB25">
            <v>0</v>
          </cell>
          <cell r="GC25">
            <v>99.123909999999967</v>
          </cell>
          <cell r="GD25">
            <v>-142.99400000000003</v>
          </cell>
          <cell r="GE25">
            <v>-7.2833099999999975</v>
          </cell>
          <cell r="GF25">
            <v>-4.0798200000000007</v>
          </cell>
          <cell r="GG25">
            <v>1.9029999999999995E-2</v>
          </cell>
          <cell r="GH25">
            <v>6.5483618527650828E-14</v>
          </cell>
          <cell r="GI25">
            <v>3789.1596300000065</v>
          </cell>
        </row>
        <row r="26">
          <cell r="C26">
            <v>62862.227680000011</v>
          </cell>
          <cell r="N26">
            <v>48487.033419999992</v>
          </cell>
          <cell r="O26">
            <v>-9469.3161699999982</v>
          </cell>
          <cell r="P26">
            <v>0</v>
          </cell>
          <cell r="Q26">
            <v>0</v>
          </cell>
          <cell r="R26">
            <v>832.03908999999999</v>
          </cell>
          <cell r="S26">
            <v>-1436.10304</v>
          </cell>
          <cell r="T26">
            <v>-213.23793999999998</v>
          </cell>
          <cell r="U26">
            <v>0</v>
          </cell>
          <cell r="V26">
            <v>-17484.770270000001</v>
          </cell>
          <cell r="W26">
            <v>0</v>
          </cell>
          <cell r="X26">
            <v>0</v>
          </cell>
          <cell r="Y26">
            <v>-161.99176</v>
          </cell>
          <cell r="Z26">
            <v>288.96220999999997</v>
          </cell>
          <cell r="AA26">
            <v>2.7653399999999997</v>
          </cell>
          <cell r="AB26">
            <v>-110</v>
          </cell>
          <cell r="AC26">
            <v>-23187.6299</v>
          </cell>
          <cell r="AD26">
            <v>9115.5084200000001</v>
          </cell>
          <cell r="AE26">
            <v>-491.61718000000002</v>
          </cell>
          <cell r="AF26">
            <v>-386.17656999999997</v>
          </cell>
          <cell r="AG26">
            <v>0</v>
          </cell>
          <cell r="AH26">
            <v>15623.884160000001</v>
          </cell>
          <cell r="AI26">
            <v>183.24547999999999</v>
          </cell>
          <cell r="AJ26">
            <v>51.555949999999989</v>
          </cell>
          <cell r="AK26">
            <v>4.4929999999999803E-2</v>
          </cell>
          <cell r="AL26">
            <v>-10469.05025</v>
          </cell>
          <cell r="AM26">
            <v>10450.79364</v>
          </cell>
          <cell r="AN26">
            <v>-8339.9794900000015</v>
          </cell>
          <cell r="AO26">
            <v>-1435.1458499999999</v>
          </cell>
          <cell r="AP26">
            <v>-171.46285</v>
          </cell>
          <cell r="AQ26">
            <v>-2223.3289399999999</v>
          </cell>
          <cell r="AR26">
            <v>-1258.1781699999999</v>
          </cell>
          <cell r="AT26">
            <v>-1946.6928800000003</v>
          </cell>
          <cell r="AU26">
            <v>33.644950000000001</v>
          </cell>
          <cell r="AV26">
            <v>0</v>
          </cell>
          <cell r="AW26">
            <v>0</v>
          </cell>
          <cell r="AX26">
            <v>458.59134</v>
          </cell>
          <cell r="AY26">
            <v>0</v>
          </cell>
          <cell r="AZ26">
            <v>0</v>
          </cell>
          <cell r="BA26">
            <v>5.7905099999999994</v>
          </cell>
          <cell r="BB26">
            <v>-7.7794900000000009</v>
          </cell>
          <cell r="BC26">
            <v>-8.9459999999999998E-2</v>
          </cell>
          <cell r="BD26">
            <v>0</v>
          </cell>
          <cell r="BE26">
            <v>561.8509499999999</v>
          </cell>
          <cell r="BF26">
            <v>-875.18804000000023</v>
          </cell>
          <cell r="BG26">
            <v>-13.849110000000003</v>
          </cell>
          <cell r="BH26">
            <v>-7.3605700000000001</v>
          </cell>
          <cell r="BI26">
            <v>-2.3480000000000008E-2</v>
          </cell>
          <cell r="BJ26">
            <v>3.3651303965598343E-14</v>
          </cell>
          <cell r="BK26">
            <v>6406.7389799999937</v>
          </cell>
          <cell r="EA26">
            <v>13798.889260000004</v>
          </cell>
          <cell r="EL26">
            <v>17086.598999999995</v>
          </cell>
          <cell r="EM26">
            <v>-5896.2585899999976</v>
          </cell>
          <cell r="EN26">
            <v>0</v>
          </cell>
          <cell r="EO26">
            <v>0</v>
          </cell>
          <cell r="EP26">
            <v>654.70160999999996</v>
          </cell>
          <cell r="EQ26">
            <v>-430.67661999999996</v>
          </cell>
          <cell r="ER26">
            <v>-126.23385999999999</v>
          </cell>
          <cell r="ES26">
            <v>0</v>
          </cell>
          <cell r="ET26">
            <v>-3870.8156000000017</v>
          </cell>
          <cell r="EU26">
            <v>0</v>
          </cell>
          <cell r="EV26">
            <v>0</v>
          </cell>
          <cell r="EW26">
            <v>-161.99176</v>
          </cell>
          <cell r="EX26">
            <v>63.68125999999998</v>
          </cell>
          <cell r="EY26">
            <v>2.7653399999999997</v>
          </cell>
          <cell r="EZ26">
            <v>-110</v>
          </cell>
          <cell r="FA26">
            <v>-4429.0063999999984</v>
          </cell>
          <cell r="FB26">
            <v>2707.5304500000002</v>
          </cell>
          <cell r="FC26">
            <v>-170.44721000000004</v>
          </cell>
          <cell r="FD26">
            <v>-103.04078000000004</v>
          </cell>
          <cell r="FE26">
            <v>0</v>
          </cell>
          <cell r="FF26">
            <v>1966.4486400000005</v>
          </cell>
          <cell r="FG26">
            <v>183.24547999999999</v>
          </cell>
          <cell r="FH26">
            <v>32.541540000000012</v>
          </cell>
          <cell r="FI26">
            <v>4.4929999999999803E-2</v>
          </cell>
          <cell r="FJ26">
            <v>-2449.9272200000005</v>
          </cell>
          <cell r="FK26">
            <v>3026.1798900000013</v>
          </cell>
          <cell r="FL26">
            <v>-3481.6780000000017</v>
          </cell>
          <cell r="FM26">
            <v>-466.61113</v>
          </cell>
          <cell r="FN26">
            <v>-66.474469999999997</v>
          </cell>
          <cell r="FO26">
            <v>-702.57679999999982</v>
          </cell>
          <cell r="FP26">
            <v>-436.61070999999993</v>
          </cell>
          <cell r="FR26">
            <v>-657.86564999999996</v>
          </cell>
          <cell r="FS26">
            <v>26.885460000000002</v>
          </cell>
          <cell r="FT26">
            <v>0</v>
          </cell>
          <cell r="FU26">
            <v>0</v>
          </cell>
          <cell r="FV26">
            <v>168.36243000000002</v>
          </cell>
          <cell r="FW26">
            <v>0</v>
          </cell>
          <cell r="FX26">
            <v>0</v>
          </cell>
          <cell r="FY26">
            <v>5.7905099999999994</v>
          </cell>
          <cell r="FZ26">
            <v>-2.8562900000000004</v>
          </cell>
          <cell r="GA26">
            <v>-8.9459999999999998E-2</v>
          </cell>
          <cell r="GB26">
            <v>0</v>
          </cell>
          <cell r="GC26">
            <v>149.24274999999989</v>
          </cell>
          <cell r="GD26">
            <v>-316.56474000000003</v>
          </cell>
          <cell r="GE26">
            <v>-13.849110000000003</v>
          </cell>
          <cell r="GF26">
            <v>-2.0888399999999994</v>
          </cell>
          <cell r="GG26">
            <v>-2.3480000000000008E-2</v>
          </cell>
          <cell r="GH26">
            <v>2.5465851649641988E-14</v>
          </cell>
          <cell r="GI26">
            <v>2178.332569999995</v>
          </cell>
        </row>
        <row r="27">
          <cell r="C27">
            <v>67473.13</v>
          </cell>
          <cell r="N27">
            <v>52746.794401640589</v>
          </cell>
          <cell r="O27">
            <v>-18751.496209857636</v>
          </cell>
          <cell r="P27">
            <v>-1078.3685133051597</v>
          </cell>
          <cell r="Q27">
            <v>0</v>
          </cell>
          <cell r="R27">
            <v>0</v>
          </cell>
          <cell r="S27">
            <v>-2455.3819997693072</v>
          </cell>
          <cell r="T27">
            <v>-871.10836699886067</v>
          </cell>
          <cell r="U27">
            <v>0</v>
          </cell>
          <cell r="V27">
            <v>-6699.6431295957645</v>
          </cell>
          <cell r="W27">
            <v>-385.66375170079044</v>
          </cell>
          <cell r="X27">
            <v>0</v>
          </cell>
          <cell r="Y27">
            <v>-189.79558152623741</v>
          </cell>
          <cell r="Z27">
            <v>99.879711965529481</v>
          </cell>
          <cell r="AA27">
            <v>0</v>
          </cell>
          <cell r="AB27">
            <v>0</v>
          </cell>
          <cell r="AC27">
            <v>-4942.6937092498329</v>
          </cell>
          <cell r="AD27">
            <v>0</v>
          </cell>
          <cell r="AE27">
            <v>0</v>
          </cell>
          <cell r="AF27">
            <v>-374.69506716674329</v>
          </cell>
          <cell r="AG27">
            <v>0</v>
          </cell>
          <cell r="AH27">
            <v>5660.6387764165756</v>
          </cell>
          <cell r="AI27">
            <v>189.79558152623741</v>
          </cell>
          <cell r="AJ27">
            <v>0</v>
          </cell>
          <cell r="AK27">
            <v>0</v>
          </cell>
          <cell r="AL27">
            <v>-9197.3193827725718</v>
          </cell>
          <cell r="AM27">
            <v>0</v>
          </cell>
          <cell r="AN27">
            <v>0</v>
          </cell>
          <cell r="AO27">
            <v>-1253.4421185447218</v>
          </cell>
          <cell r="AP27">
            <v>-210.18024981110824</v>
          </cell>
          <cell r="AQ27">
            <v>-2768.3960309797221</v>
          </cell>
          <cell r="AR27">
            <v>-1848.0932970581021</v>
          </cell>
          <cell r="AT27">
            <v>-2991.4411904428289</v>
          </cell>
          <cell r="AU27">
            <v>680.77741148458369</v>
          </cell>
          <cell r="AV27">
            <v>167.07117811770075</v>
          </cell>
          <cell r="AW27">
            <v>0</v>
          </cell>
          <cell r="AX27">
            <v>250.34024217091695</v>
          </cell>
          <cell r="AY27">
            <v>59.750722094488637</v>
          </cell>
          <cell r="AZ27">
            <v>0</v>
          </cell>
          <cell r="BA27">
            <v>6.4711094718011779</v>
          </cell>
          <cell r="BB27">
            <v>-3.3079035070013205</v>
          </cell>
          <cell r="BC27">
            <v>0</v>
          </cell>
          <cell r="BD27">
            <v>0</v>
          </cell>
          <cell r="BE27">
            <v>226.39174499999993</v>
          </cell>
          <cell r="BF27">
            <v>-226.39174499999993</v>
          </cell>
          <cell r="BG27">
            <v>-6.4711094718011779</v>
          </cell>
          <cell r="BH27">
            <v>0</v>
          </cell>
          <cell r="BI27">
            <v>0</v>
          </cell>
          <cell r="BJ27">
            <v>0</v>
          </cell>
          <cell r="BK27">
            <v>5834.0215231302263</v>
          </cell>
          <cell r="EA27">
            <v>14712.259999999995</v>
          </cell>
          <cell r="EL27">
            <v>17582.264800546865</v>
          </cell>
          <cell r="EM27">
            <v>-6250.4987366192108</v>
          </cell>
          <cell r="EN27">
            <v>-359.45617110171997</v>
          </cell>
          <cell r="EO27">
            <v>0</v>
          </cell>
          <cell r="EP27">
            <v>0</v>
          </cell>
          <cell r="EQ27">
            <v>-818.46066658976906</v>
          </cell>
          <cell r="ER27">
            <v>-290.36945566628697</v>
          </cell>
          <cell r="ES27">
            <v>0</v>
          </cell>
          <cell r="ET27">
            <v>-2233.2143765319215</v>
          </cell>
          <cell r="EU27">
            <v>-128.55458390026348</v>
          </cell>
          <cell r="EV27">
            <v>0</v>
          </cell>
          <cell r="EW27">
            <v>-63.265193842079157</v>
          </cell>
          <cell r="EX27">
            <v>33.293237321843151</v>
          </cell>
          <cell r="EY27">
            <v>0</v>
          </cell>
          <cell r="EZ27">
            <v>0</v>
          </cell>
          <cell r="FA27">
            <v>-1647.5645697499449</v>
          </cell>
          <cell r="FB27">
            <v>0</v>
          </cell>
          <cell r="FC27">
            <v>0</v>
          </cell>
          <cell r="FD27">
            <v>-124.89835572224777</v>
          </cell>
          <cell r="FE27">
            <v>0</v>
          </cell>
          <cell r="FF27">
            <v>1886.8795921388582</v>
          </cell>
          <cell r="FG27">
            <v>63.265193842079157</v>
          </cell>
          <cell r="FH27">
            <v>0</v>
          </cell>
          <cell r="FI27">
            <v>0</v>
          </cell>
          <cell r="FJ27">
            <v>-3065.7731275908573</v>
          </cell>
          <cell r="FK27">
            <v>0</v>
          </cell>
          <cell r="FL27">
            <v>0</v>
          </cell>
          <cell r="FM27">
            <v>-417.81403951490734</v>
          </cell>
          <cell r="FN27">
            <v>-70.060083270369432</v>
          </cell>
          <cell r="FO27">
            <v>-922.79867699324063</v>
          </cell>
          <cell r="FP27">
            <v>-616.03109901936728</v>
          </cell>
          <cell r="FR27">
            <v>-997.14706348094296</v>
          </cell>
          <cell r="FS27">
            <v>226.92580382819455</v>
          </cell>
          <cell r="FT27">
            <v>55.690392705900251</v>
          </cell>
          <cell r="FU27">
            <v>0</v>
          </cell>
          <cell r="FV27">
            <v>83.44674739030566</v>
          </cell>
          <cell r="FW27">
            <v>19.916907364829548</v>
          </cell>
          <cell r="FX27">
            <v>0</v>
          </cell>
          <cell r="FY27">
            <v>2.1570364906003929</v>
          </cell>
          <cell r="FZ27">
            <v>-1.1026345023337734</v>
          </cell>
          <cell r="GA27">
            <v>0</v>
          </cell>
          <cell r="GB27">
            <v>0</v>
          </cell>
          <cell r="GC27">
            <v>75.463914999999986</v>
          </cell>
          <cell r="GD27">
            <v>-75.463914999999986</v>
          </cell>
          <cell r="GE27">
            <v>-2.1570364906003929</v>
          </cell>
          <cell r="GF27">
            <v>0</v>
          </cell>
          <cell r="GG27">
            <v>0</v>
          </cell>
          <cell r="GH27">
            <v>0</v>
          </cell>
          <cell r="GI27">
            <v>1944.6738410434139</v>
          </cell>
        </row>
        <row r="29">
          <cell r="C29">
            <v>149912.27384000001</v>
          </cell>
          <cell r="N29">
            <v>117420.66268000002</v>
          </cell>
          <cell r="O29">
            <v>-5702.0410699999993</v>
          </cell>
          <cell r="P29">
            <v>0</v>
          </cell>
          <cell r="Q29">
            <v>-15.778</v>
          </cell>
          <cell r="R29">
            <v>1217.59764</v>
          </cell>
          <cell r="S29">
            <v>-3832.8264799999997</v>
          </cell>
          <cell r="T29">
            <v>-814.19083999999998</v>
          </cell>
          <cell r="U29">
            <v>-2307.8780200000001</v>
          </cell>
          <cell r="V29">
            <v>-63050.738761154658</v>
          </cell>
          <cell r="W29">
            <v>-2.5499999999999998</v>
          </cell>
          <cell r="X29">
            <v>-10158.331538845341</v>
          </cell>
          <cell r="Y29">
            <v>-737.70436000000007</v>
          </cell>
          <cell r="Z29">
            <v>4992.23686</v>
          </cell>
          <cell r="AA29">
            <v>70.642649999999989</v>
          </cell>
          <cell r="AB29">
            <v>300</v>
          </cell>
          <cell r="AC29">
            <v>-77330.422950000007</v>
          </cell>
          <cell r="AD29">
            <v>11149.616980000001</v>
          </cell>
          <cell r="AE29">
            <v>-2084.16275</v>
          </cell>
          <cell r="AF29">
            <v>-2020.6584900000003</v>
          </cell>
          <cell r="AG29">
            <v>0</v>
          </cell>
          <cell r="AH29">
            <v>62966.15575000002</v>
          </cell>
          <cell r="AI29">
            <v>7115.4683000000005</v>
          </cell>
          <cell r="AJ29">
            <v>-2615.5652099999993</v>
          </cell>
          <cell r="AK29">
            <v>-578.51461999999992</v>
          </cell>
          <cell r="AL29">
            <v>-21648.60411</v>
          </cell>
          <cell r="AM29">
            <v>20451.078099999999</v>
          </cell>
          <cell r="AN29">
            <v>-16506.993450000002</v>
          </cell>
          <cell r="AO29">
            <v>-2188.4557599999998</v>
          </cell>
          <cell r="AP29">
            <v>-418.18115</v>
          </cell>
          <cell r="AQ29">
            <v>-5245.4065200000005</v>
          </cell>
          <cell r="AR29">
            <v>-2620.7498799999998</v>
          </cell>
          <cell r="AT29">
            <v>-2394.5359599999992</v>
          </cell>
          <cell r="AU29">
            <v>-85.916139999999999</v>
          </cell>
          <cell r="AV29">
            <v>0</v>
          </cell>
          <cell r="AW29">
            <v>0</v>
          </cell>
          <cell r="AX29">
            <v>1063.4802335946754</v>
          </cell>
          <cell r="AY29">
            <v>0</v>
          </cell>
          <cell r="AZ29">
            <v>98.939556405324652</v>
          </cell>
          <cell r="BA29">
            <v>10.411820000000001</v>
          </cell>
          <cell r="BB29">
            <v>-72.723369999999989</v>
          </cell>
          <cell r="BC29">
            <v>-1.0138600000000002</v>
          </cell>
          <cell r="BD29">
            <v>0</v>
          </cell>
          <cell r="BE29">
            <v>2660.7344200000007</v>
          </cell>
          <cell r="BF29">
            <v>-3161.047369999992</v>
          </cell>
          <cell r="BG29">
            <v>-557.11332000000027</v>
          </cell>
          <cell r="BH29">
            <v>-104.9393100000003</v>
          </cell>
          <cell r="BI29">
            <v>79.646810000000002</v>
          </cell>
          <cell r="BJ29">
            <v>1.141984284913633E-13</v>
          </cell>
          <cell r="BK29">
            <v>3339.6285100000337</v>
          </cell>
          <cell r="EA29">
            <v>32389.182960000006</v>
          </cell>
          <cell r="EL29">
            <v>41130.874230000016</v>
          </cell>
          <cell r="EM29">
            <v>-6990.8485999999984</v>
          </cell>
          <cell r="EN29">
            <v>0</v>
          </cell>
          <cell r="EO29">
            <v>-6.5050000000000008</v>
          </cell>
          <cell r="EP29">
            <v>906.22463999999979</v>
          </cell>
          <cell r="EQ29">
            <v>-1183.3973599999999</v>
          </cell>
          <cell r="ER29">
            <v>-515.60819000000004</v>
          </cell>
          <cell r="ES29">
            <v>-769.29295000000002</v>
          </cell>
          <cell r="ET29">
            <v>-17343.11522103109</v>
          </cell>
          <cell r="EU29">
            <v>-2.5499999999999998</v>
          </cell>
          <cell r="EV29">
            <v>-4138.2031489689125</v>
          </cell>
          <cell r="EW29">
            <v>-737.70436000000007</v>
          </cell>
          <cell r="EX29">
            <v>1566.5889600000003</v>
          </cell>
          <cell r="EY29">
            <v>70.642649999999989</v>
          </cell>
          <cell r="EZ29">
            <v>300</v>
          </cell>
          <cell r="FA29">
            <v>-21310.81654</v>
          </cell>
          <cell r="FB29">
            <v>3652.1849300000008</v>
          </cell>
          <cell r="FC29">
            <v>-479.82597999999984</v>
          </cell>
          <cell r="FD29">
            <v>-518.7021400000001</v>
          </cell>
          <cell r="FE29">
            <v>0</v>
          </cell>
          <cell r="FF29">
            <v>12833.89744000001</v>
          </cell>
          <cell r="FG29">
            <v>7115.4683000000005</v>
          </cell>
          <cell r="FH29">
            <v>-228.73774000000003</v>
          </cell>
          <cell r="FI29">
            <v>-578.51461999999992</v>
          </cell>
          <cell r="FJ29">
            <v>-5214.7507600000008</v>
          </cell>
          <cell r="FK29">
            <v>6046.6458099999991</v>
          </cell>
          <cell r="FL29">
            <v>-7052.1406100000004</v>
          </cell>
          <cell r="FM29">
            <v>-664.09888999999998</v>
          </cell>
          <cell r="FN29">
            <v>-202.85469000000001</v>
          </cell>
          <cell r="FO29">
            <v>-1718.0945200000001</v>
          </cell>
          <cell r="FP29">
            <v>-1028.7877399999998</v>
          </cell>
          <cell r="FR29">
            <v>-1317.4231899999995</v>
          </cell>
          <cell r="FS29">
            <v>-6.2332700000000045</v>
          </cell>
          <cell r="FT29">
            <v>0</v>
          </cell>
          <cell r="FU29">
            <v>0</v>
          </cell>
          <cell r="FV29">
            <v>563.05153923165653</v>
          </cell>
          <cell r="FW29">
            <v>0</v>
          </cell>
          <cell r="FX29">
            <v>131.44325076834352</v>
          </cell>
          <cell r="FY29">
            <v>10.411820000000001</v>
          </cell>
          <cell r="FZ29">
            <v>-46.984389999999991</v>
          </cell>
          <cell r="GA29">
            <v>-1.0138600000000002</v>
          </cell>
          <cell r="GB29">
            <v>0</v>
          </cell>
          <cell r="GC29">
            <v>1092.1270400000003</v>
          </cell>
          <cell r="GD29">
            <v>-1143.1980800000065</v>
          </cell>
          <cell r="GE29">
            <v>-557.11332000000027</v>
          </cell>
          <cell r="GF29">
            <v>39.511119999999536</v>
          </cell>
          <cell r="GG29">
            <v>79.646810000000002</v>
          </cell>
          <cell r="GH29">
            <v>1.141984284913633E-13</v>
          </cell>
          <cell r="GI29">
            <v>1782.2033700000261</v>
          </cell>
        </row>
        <row r="30">
          <cell r="C30">
            <v>141664.20727000001</v>
          </cell>
          <cell r="N30">
            <v>108729.69808999998</v>
          </cell>
          <cell r="O30">
            <v>-5857.6841499999991</v>
          </cell>
          <cell r="P30">
            <v>0</v>
          </cell>
          <cell r="Q30">
            <v>-120.22499999999999</v>
          </cell>
          <cell r="R30">
            <v>966.31192999999996</v>
          </cell>
          <cell r="S30">
            <v>-4010.8874299999998</v>
          </cell>
          <cell r="T30">
            <v>-299.67809999999997</v>
          </cell>
          <cell r="U30">
            <v>-1915.0685000000001</v>
          </cell>
          <cell r="V30">
            <v>-55210.556653637839</v>
          </cell>
          <cell r="W30">
            <v>0</v>
          </cell>
          <cell r="X30">
            <v>-9429.1594063621596</v>
          </cell>
          <cell r="Y30">
            <v>-936.75182000000007</v>
          </cell>
          <cell r="Z30">
            <v>3942.2025599999997</v>
          </cell>
          <cell r="AA30">
            <v>90.064970000000002</v>
          </cell>
          <cell r="AB30">
            <v>-380</v>
          </cell>
          <cell r="AC30">
            <v>-74495.206349999993</v>
          </cell>
          <cell r="AD30">
            <v>10811.435730000001</v>
          </cell>
          <cell r="AE30">
            <v>-2280.8304699999999</v>
          </cell>
          <cell r="AF30">
            <v>-2141.1698899999997</v>
          </cell>
          <cell r="AG30">
            <v>0</v>
          </cell>
          <cell r="AH30">
            <v>65629.466790000006</v>
          </cell>
          <cell r="AI30">
            <v>994.7467700000002</v>
          </cell>
          <cell r="AJ30">
            <v>1330.54836</v>
          </cell>
          <cell r="AK30">
            <v>49.543750000000003</v>
          </cell>
          <cell r="AL30">
            <v>-20207.137950000004</v>
          </cell>
          <cell r="AM30">
            <v>19459.413329999999</v>
          </cell>
          <cell r="AN30">
            <v>-15558.924280000003</v>
          </cell>
          <cell r="AO30">
            <v>-2143.4297799999999</v>
          </cell>
          <cell r="AP30">
            <v>-357.89517000000001</v>
          </cell>
          <cell r="AQ30">
            <v>-4905.4129599999997</v>
          </cell>
          <cell r="AR30">
            <v>-2707.82449</v>
          </cell>
          <cell r="AT30">
            <v>-5615.459270000003</v>
          </cell>
          <cell r="AU30">
            <v>16.18947</v>
          </cell>
          <cell r="AV30">
            <v>0</v>
          </cell>
          <cell r="AW30">
            <v>0</v>
          </cell>
          <cell r="AX30">
            <v>3843.1970298204533</v>
          </cell>
          <cell r="AY30">
            <v>0</v>
          </cell>
          <cell r="AZ30">
            <v>-41.151899820453366</v>
          </cell>
          <cell r="BA30">
            <v>55.739620000000002</v>
          </cell>
          <cell r="BB30">
            <v>-265.90237999999999</v>
          </cell>
          <cell r="BC30">
            <v>-5.85459</v>
          </cell>
          <cell r="BD30">
            <v>0</v>
          </cell>
          <cell r="BE30">
            <v>2613.7450300000005</v>
          </cell>
          <cell r="BF30">
            <v>-1646.6827799999996</v>
          </cell>
          <cell r="BG30">
            <v>-8.335069999999984</v>
          </cell>
          <cell r="BH30">
            <v>-285.54975999999994</v>
          </cell>
          <cell r="BI30">
            <v>-12.29016</v>
          </cell>
          <cell r="BJ30">
            <v>-4.6494363914462148E-14</v>
          </cell>
          <cell r="BK30">
            <v>7693.2351199999939</v>
          </cell>
          <cell r="EA30">
            <v>30534.907289999996</v>
          </cell>
          <cell r="EL30">
            <v>38374.635449999987</v>
          </cell>
          <cell r="EM30">
            <v>-6028.3165699999981</v>
          </cell>
          <cell r="EN30">
            <v>0</v>
          </cell>
          <cell r="EO30">
            <v>-86.852999999999994</v>
          </cell>
          <cell r="EP30">
            <v>762.17454999999995</v>
          </cell>
          <cell r="EQ30">
            <v>-1243.8604599999996</v>
          </cell>
          <cell r="ER30">
            <v>-142.20888000000002</v>
          </cell>
          <cell r="ES30">
            <v>-638.35617000000002</v>
          </cell>
          <cell r="ET30">
            <v>-15970.085731688614</v>
          </cell>
          <cell r="EU30">
            <v>0</v>
          </cell>
          <cell r="EV30">
            <v>-2959.3531483113875</v>
          </cell>
          <cell r="EW30">
            <v>-936.75182000000007</v>
          </cell>
          <cell r="EX30">
            <v>1230.4244299999998</v>
          </cell>
          <cell r="EY30">
            <v>90.064970000000002</v>
          </cell>
          <cell r="EZ30">
            <v>-380</v>
          </cell>
          <cell r="FA30">
            <v>-18395.77917999999</v>
          </cell>
          <cell r="FB30">
            <v>3271.3843200000001</v>
          </cell>
          <cell r="FC30">
            <v>-770.3260600000001</v>
          </cell>
          <cell r="FD30">
            <v>-636.24723999999969</v>
          </cell>
          <cell r="FE30">
            <v>0</v>
          </cell>
          <cell r="FF30">
            <v>18343.067890000006</v>
          </cell>
          <cell r="FG30">
            <v>994.7467700000002</v>
          </cell>
          <cell r="FH30">
            <v>-443.72525999999988</v>
          </cell>
          <cell r="FI30">
            <v>49.543750000000003</v>
          </cell>
          <cell r="FJ30">
            <v>-4738.2545300000011</v>
          </cell>
          <cell r="FK30">
            <v>5597.0389600000017</v>
          </cell>
          <cell r="FL30">
            <v>-6525.0424500000017</v>
          </cell>
          <cell r="FM30">
            <v>-689.52114999999992</v>
          </cell>
          <cell r="FN30">
            <v>-136.39824999999996</v>
          </cell>
          <cell r="FO30">
            <v>-1539.4585999999997</v>
          </cell>
          <cell r="FP30">
            <v>-931.90781000000004</v>
          </cell>
          <cell r="FR30">
            <v>-1946.732110000002</v>
          </cell>
          <cell r="FS30">
            <v>50.371850000000002</v>
          </cell>
          <cell r="FT30">
            <v>0</v>
          </cell>
          <cell r="FU30">
            <v>0</v>
          </cell>
          <cell r="FV30">
            <v>1296.2944198204532</v>
          </cell>
          <cell r="FW30">
            <v>0</v>
          </cell>
          <cell r="FX30">
            <v>-41.151899820453366</v>
          </cell>
          <cell r="FY30">
            <v>55.739620000000002</v>
          </cell>
          <cell r="FZ30">
            <v>-86.758399999999966</v>
          </cell>
          <cell r="GA30">
            <v>-5.85459</v>
          </cell>
          <cell r="GB30">
            <v>0</v>
          </cell>
          <cell r="GC30">
            <v>687.47064000000091</v>
          </cell>
          <cell r="GD30">
            <v>-522.56796999999983</v>
          </cell>
          <cell r="GE30">
            <v>-8.335069999999984</v>
          </cell>
          <cell r="GF30">
            <v>-0.24624999999996966</v>
          </cell>
          <cell r="GG30">
            <v>-12.29016</v>
          </cell>
          <cell r="GH30">
            <v>-5.4569682106375692E-14</v>
          </cell>
          <cell r="GI30">
            <v>4986.5748599999897</v>
          </cell>
        </row>
        <row r="31">
          <cell r="C31">
            <v>145622.70000000001</v>
          </cell>
          <cell r="N31">
            <v>114127.16891756019</v>
          </cell>
          <cell r="O31">
            <v>-29825.526061154051</v>
          </cell>
          <cell r="P31">
            <v>-1078.3685133051597</v>
          </cell>
          <cell r="Q31">
            <v>-2819.1415302110504</v>
          </cell>
          <cell r="R31">
            <v>0</v>
          </cell>
          <cell r="S31">
            <v>-7039.7091782637353</v>
          </cell>
          <cell r="T31">
            <v>-1050.4820186841694</v>
          </cell>
          <cell r="U31">
            <v>0</v>
          </cell>
          <cell r="V31">
            <v>-31292.340771118819</v>
          </cell>
          <cell r="W31">
            <v>-385.66375170079044</v>
          </cell>
          <cell r="X31">
            <v>-6242.0304375129663</v>
          </cell>
          <cell r="Y31">
            <v>-946.68088932731257</v>
          </cell>
          <cell r="Z31">
            <v>3048.0050669610368</v>
          </cell>
          <cell r="AA31">
            <v>0</v>
          </cell>
          <cell r="AB31">
            <v>0</v>
          </cell>
          <cell r="AC31">
            <v>-42168.626275938477</v>
          </cell>
          <cell r="AD31">
            <v>0</v>
          </cell>
          <cell r="AE31">
            <v>0</v>
          </cell>
          <cell r="AF31">
            <v>-1924.5682946144027</v>
          </cell>
          <cell r="AG31">
            <v>0</v>
          </cell>
          <cell r="AH31">
            <v>45023.944570552878</v>
          </cell>
          <cell r="AI31">
            <v>946.68088932731257</v>
          </cell>
          <cell r="AJ31">
            <v>0</v>
          </cell>
          <cell r="AK31">
            <v>0</v>
          </cell>
          <cell r="AL31">
            <v>-17221.178910225834</v>
          </cell>
          <cell r="AM31">
            <v>0</v>
          </cell>
          <cell r="AN31">
            <v>0</v>
          </cell>
          <cell r="AO31">
            <v>-2380.2896830003028</v>
          </cell>
          <cell r="AP31">
            <v>-463.8394885269222</v>
          </cell>
          <cell r="AQ31">
            <v>-5694.5196705953558</v>
          </cell>
          <cell r="AR31">
            <v>-3834.632609115592</v>
          </cell>
          <cell r="AT31">
            <v>-7365.8525864504063</v>
          </cell>
          <cell r="AU31">
            <v>1551.6317333566508</v>
          </cell>
          <cell r="AV31">
            <v>167.07117811770075</v>
          </cell>
          <cell r="AW31">
            <v>30.293077927822978</v>
          </cell>
          <cell r="AX31">
            <v>2099.3225873506826</v>
          </cell>
          <cell r="AY31">
            <v>59.750722094488637</v>
          </cell>
          <cell r="AZ31">
            <v>64.171244656076496</v>
          </cell>
          <cell r="BA31">
            <v>50.018838488743434</v>
          </cell>
          <cell r="BB31">
            <v>-180.9650338909255</v>
          </cell>
          <cell r="BC31">
            <v>0</v>
          </cell>
          <cell r="BD31">
            <v>0</v>
          </cell>
          <cell r="BE31">
            <v>1891.7723299999984</v>
          </cell>
          <cell r="BF31">
            <v>-2050.5385324999984</v>
          </cell>
          <cell r="BG31">
            <v>-50.018838488743434</v>
          </cell>
          <cell r="BH31">
            <v>0</v>
          </cell>
          <cell r="BI31">
            <v>0</v>
          </cell>
          <cell r="BJ31">
            <v>0</v>
          </cell>
          <cell r="BK31">
            <v>5044.8580817685706</v>
          </cell>
          <cell r="EA31">
            <v>32064.839999999997</v>
          </cell>
          <cell r="EL31">
            <v>38042.389639186738</v>
          </cell>
          <cell r="EM31">
            <v>-9941.8420203846817</v>
          </cell>
          <cell r="EN31">
            <v>-359.45617110171997</v>
          </cell>
          <cell r="EO31">
            <v>-939.71384340368377</v>
          </cell>
          <cell r="EP31">
            <v>0</v>
          </cell>
          <cell r="EQ31">
            <v>-2346.5697260879124</v>
          </cell>
          <cell r="ER31">
            <v>-350.16067289472323</v>
          </cell>
          <cell r="ES31">
            <v>0</v>
          </cell>
          <cell r="ET31">
            <v>-10430.780257039603</v>
          </cell>
          <cell r="EU31">
            <v>-128.55458390026348</v>
          </cell>
          <cell r="EV31">
            <v>-2080.6768125043218</v>
          </cell>
          <cell r="EW31">
            <v>-315.5602964424375</v>
          </cell>
          <cell r="EX31">
            <v>1016.0016889870126</v>
          </cell>
          <cell r="EY31">
            <v>0</v>
          </cell>
          <cell r="EZ31">
            <v>0</v>
          </cell>
          <cell r="FA31">
            <v>-14056.20875864616</v>
          </cell>
          <cell r="FB31">
            <v>0</v>
          </cell>
          <cell r="FC31">
            <v>0</v>
          </cell>
          <cell r="FD31">
            <v>-641.52276487146764</v>
          </cell>
          <cell r="FE31">
            <v>0</v>
          </cell>
          <cell r="FF31">
            <v>15007.981523517628</v>
          </cell>
          <cell r="FG31">
            <v>315.5602964424375</v>
          </cell>
          <cell r="FH31">
            <v>0</v>
          </cell>
          <cell r="FI31">
            <v>0</v>
          </cell>
          <cell r="FJ31">
            <v>-5740.3929700752769</v>
          </cell>
          <cell r="FK31">
            <v>0</v>
          </cell>
          <cell r="FL31">
            <v>0</v>
          </cell>
          <cell r="FM31">
            <v>-793.4298943334345</v>
          </cell>
          <cell r="FN31">
            <v>-154.61316284230739</v>
          </cell>
          <cell r="FO31">
            <v>-1898.1732235317852</v>
          </cell>
          <cell r="FP31">
            <v>-1278.2108697051974</v>
          </cell>
          <cell r="FR31">
            <v>-2455.2841954834685</v>
          </cell>
          <cell r="FS31">
            <v>517.21057778555019</v>
          </cell>
          <cell r="FT31">
            <v>55.690392705900251</v>
          </cell>
          <cell r="FU31">
            <v>10.097692642607658</v>
          </cell>
          <cell r="FV31">
            <v>699.77419578356114</v>
          </cell>
          <cell r="FW31">
            <v>19.916907364829548</v>
          </cell>
          <cell r="FX31">
            <v>21.39041488535883</v>
          </cell>
          <cell r="FY31">
            <v>16.672946162914478</v>
          </cell>
          <cell r="FZ31">
            <v>-60.321677963641804</v>
          </cell>
          <cell r="GA31">
            <v>0</v>
          </cell>
          <cell r="GB31">
            <v>0</v>
          </cell>
          <cell r="GC31">
            <v>630.59077666666622</v>
          </cell>
          <cell r="GD31">
            <v>-683.51284416666635</v>
          </cell>
          <cell r="GE31">
            <v>-16.672946162914478</v>
          </cell>
          <cell r="GF31">
            <v>0</v>
          </cell>
          <cell r="GG31">
            <v>0</v>
          </cell>
          <cell r="GH31">
            <v>0</v>
          </cell>
          <cell r="GI31">
            <v>1681.6193605895369</v>
          </cell>
        </row>
        <row r="33">
          <cell r="C33">
            <v>24903.721190000004</v>
          </cell>
          <cell r="N33">
            <v>14232.206809999996</v>
          </cell>
          <cell r="O33">
            <v>-593.97295000000008</v>
          </cell>
          <cell r="P33">
            <v>-0.53</v>
          </cell>
          <cell r="Q33">
            <v>0</v>
          </cell>
          <cell r="R33">
            <v>1.67</v>
          </cell>
          <cell r="S33">
            <v>-260.74886000000004</v>
          </cell>
          <cell r="T33">
            <v>-95.740269999999995</v>
          </cell>
          <cell r="U33">
            <v>0</v>
          </cell>
          <cell r="V33">
            <v>-4005.7467343880389</v>
          </cell>
          <cell r="W33">
            <v>-6.5312400000000004</v>
          </cell>
          <cell r="X33">
            <v>-1331.7414556119606</v>
          </cell>
          <cell r="Y33">
            <v>-40.300490000000003</v>
          </cell>
          <cell r="Z33">
            <v>106.37912000000001</v>
          </cell>
          <cell r="AA33">
            <v>0.72967999999999988</v>
          </cell>
          <cell r="AB33">
            <v>-210</v>
          </cell>
          <cell r="AC33">
            <v>-3065.3001800000002</v>
          </cell>
          <cell r="AD33">
            <v>134.65845000000002</v>
          </cell>
          <cell r="AE33">
            <v>-42.330839999999995</v>
          </cell>
          <cell r="AF33">
            <v>-208.22427999999999</v>
          </cell>
          <cell r="AG33">
            <v>0</v>
          </cell>
          <cell r="AH33">
            <v>2166.0153099999998</v>
          </cell>
          <cell r="AI33">
            <v>75.552790000000002</v>
          </cell>
          <cell r="AJ33">
            <v>-42.167369999999991</v>
          </cell>
          <cell r="AK33">
            <v>-1.1484099999999999</v>
          </cell>
          <cell r="AL33">
            <v>-5677.3969700000007</v>
          </cell>
          <cell r="AM33">
            <v>5691.4082799999996</v>
          </cell>
          <cell r="AN33">
            <v>-3438.3300000000008</v>
          </cell>
          <cell r="AO33">
            <v>-609.98374999999999</v>
          </cell>
          <cell r="AP33">
            <v>-97.242779999999996</v>
          </cell>
          <cell r="AQ33">
            <v>-825.43675000000007</v>
          </cell>
          <cell r="AR33">
            <v>-697.65953999999988</v>
          </cell>
          <cell r="AT33">
            <v>-1096.4469400000019</v>
          </cell>
          <cell r="AU33">
            <v>0</v>
          </cell>
          <cell r="AV33">
            <v>0</v>
          </cell>
          <cell r="AW33">
            <v>0</v>
          </cell>
          <cell r="AX33">
            <v>207.60491478563569</v>
          </cell>
          <cell r="AY33">
            <v>0</v>
          </cell>
          <cell r="AZ33">
            <v>101.34518521436428</v>
          </cell>
          <cell r="BA33">
            <v>2.56576</v>
          </cell>
          <cell r="BB33">
            <v>-6.8709299999999995</v>
          </cell>
          <cell r="BC33">
            <v>-4.972E-2</v>
          </cell>
          <cell r="BD33">
            <v>0</v>
          </cell>
          <cell r="BE33">
            <v>0.97299999999999998</v>
          </cell>
          <cell r="BF33">
            <v>-367.78192999999999</v>
          </cell>
          <cell r="BG33">
            <v>-117.67396999999998</v>
          </cell>
          <cell r="BH33">
            <v>5.3375700000000119</v>
          </cell>
          <cell r="BI33">
            <v>0.91706999999999994</v>
          </cell>
          <cell r="BJ33">
            <v>0</v>
          </cell>
          <cell r="BK33">
            <v>-111.99242000000822</v>
          </cell>
          <cell r="EA33">
            <v>3125.0048700000007</v>
          </cell>
          <cell r="EL33">
            <v>4881.4390099999982</v>
          </cell>
          <cell r="EM33">
            <v>-383.52456000000006</v>
          </cell>
          <cell r="EN33">
            <v>-0.53</v>
          </cell>
          <cell r="EO33">
            <v>0</v>
          </cell>
          <cell r="EP33">
            <v>1.67</v>
          </cell>
          <cell r="EQ33">
            <v>-95.806700000000035</v>
          </cell>
          <cell r="ER33">
            <v>-10.173220000000001</v>
          </cell>
          <cell r="ES33">
            <v>0</v>
          </cell>
          <cell r="ET33">
            <v>-1756.1767282894243</v>
          </cell>
          <cell r="EU33">
            <v>-6.5312400000000004</v>
          </cell>
          <cell r="EV33">
            <v>-676.93349171057503</v>
          </cell>
          <cell r="EW33">
            <v>-40.300490000000003</v>
          </cell>
          <cell r="EX33">
            <v>44.281120000000008</v>
          </cell>
          <cell r="EY33">
            <v>0.72967999999999988</v>
          </cell>
          <cell r="EZ33">
            <v>-210</v>
          </cell>
          <cell r="FA33">
            <v>-823.44513000000006</v>
          </cell>
          <cell r="FB33">
            <v>45.551550000000006</v>
          </cell>
          <cell r="FC33">
            <v>-15.338049999999996</v>
          </cell>
          <cell r="FD33">
            <v>-38.602339999999998</v>
          </cell>
          <cell r="FE33">
            <v>0</v>
          </cell>
          <cell r="FF33">
            <v>143.7349499999998</v>
          </cell>
          <cell r="FG33">
            <v>75.552790000000002</v>
          </cell>
          <cell r="FH33">
            <v>27.260840000000016</v>
          </cell>
          <cell r="FI33">
            <v>-1.1484099999999999</v>
          </cell>
          <cell r="FJ33">
            <v>-801.82333999999992</v>
          </cell>
          <cell r="FK33">
            <v>1030.7824700000001</v>
          </cell>
          <cell r="FL33">
            <v>-1394.1497400000007</v>
          </cell>
          <cell r="FM33">
            <v>-196.34230999999994</v>
          </cell>
          <cell r="FN33">
            <v>-39.161779999999993</v>
          </cell>
          <cell r="FO33">
            <v>-280.19538000000011</v>
          </cell>
          <cell r="FP33">
            <v>-246.61649999999992</v>
          </cell>
          <cell r="FR33">
            <v>-366.39221000000191</v>
          </cell>
          <cell r="FS33">
            <v>0</v>
          </cell>
          <cell r="FT33">
            <v>0</v>
          </cell>
          <cell r="FU33">
            <v>0</v>
          </cell>
          <cell r="FV33">
            <v>65.99406448638365</v>
          </cell>
          <cell r="FW33">
            <v>0</v>
          </cell>
          <cell r="FX33">
            <v>26.418115513616343</v>
          </cell>
          <cell r="FY33">
            <v>2.56576</v>
          </cell>
          <cell r="FZ33">
            <v>-2.0552099999999998</v>
          </cell>
          <cell r="GA33">
            <v>-4.972E-2</v>
          </cell>
          <cell r="GB33">
            <v>0</v>
          </cell>
          <cell r="GC33">
            <v>0</v>
          </cell>
          <cell r="GD33">
            <v>0</v>
          </cell>
          <cell r="GE33">
            <v>-117.67396999999998</v>
          </cell>
          <cell r="GF33">
            <v>-0.9685699999999775</v>
          </cell>
          <cell r="GG33">
            <v>0.91706999999999994</v>
          </cell>
          <cell r="GH33">
            <v>0</v>
          </cell>
          <cell r="GI33">
            <v>-1157.0416700000035</v>
          </cell>
        </row>
        <row r="34">
          <cell r="C34">
            <v>24683.340409999997</v>
          </cell>
          <cell r="N34">
            <v>14192.690099999993</v>
          </cell>
          <cell r="O34">
            <v>-595.03395</v>
          </cell>
          <cell r="P34">
            <v>0</v>
          </cell>
          <cell r="Q34">
            <v>-109.619</v>
          </cell>
          <cell r="R34">
            <v>1.4890099999999999</v>
          </cell>
          <cell r="S34">
            <v>-354.00418000000002</v>
          </cell>
          <cell r="T34">
            <v>-133.82865999999999</v>
          </cell>
          <cell r="U34">
            <v>0</v>
          </cell>
          <cell r="V34">
            <v>-3910.181003356664</v>
          </cell>
          <cell r="W34">
            <v>0</v>
          </cell>
          <cell r="X34">
            <v>-2369.2580766433362</v>
          </cell>
          <cell r="Y34">
            <v>-56.43085</v>
          </cell>
          <cell r="Z34">
            <v>144.14281</v>
          </cell>
          <cell r="AA34">
            <v>1.3393999999999999</v>
          </cell>
          <cell r="AB34">
            <v>0</v>
          </cell>
          <cell r="AC34">
            <v>-6186.5994500000006</v>
          </cell>
          <cell r="AD34">
            <v>232.25477999999998</v>
          </cell>
          <cell r="AE34">
            <v>-66.209280000000007</v>
          </cell>
          <cell r="AF34">
            <v>-151.35631999999998</v>
          </cell>
          <cell r="AG34">
            <v>0</v>
          </cell>
          <cell r="AH34">
            <v>8577.6776099999988</v>
          </cell>
          <cell r="AI34">
            <v>-181.36144000000002</v>
          </cell>
          <cell r="AJ34">
            <v>-55.945790000000024</v>
          </cell>
          <cell r="AK34">
            <v>0.56170999999999993</v>
          </cell>
          <cell r="AL34">
            <v>-5577.0081200000004</v>
          </cell>
          <cell r="AM34">
            <v>5512.8170499999997</v>
          </cell>
          <cell r="AN34">
            <v>-3317.4998800000003</v>
          </cell>
          <cell r="AO34">
            <v>-1328.35374</v>
          </cell>
          <cell r="AP34">
            <v>-185.54568</v>
          </cell>
          <cell r="AQ34">
            <v>-872.00835000000006</v>
          </cell>
          <cell r="AR34">
            <v>-854.15714000000003</v>
          </cell>
          <cell r="AT34">
            <v>-1367.1783400000018</v>
          </cell>
          <cell r="AU34">
            <v>1.64</v>
          </cell>
          <cell r="AV34">
            <v>0</v>
          </cell>
          <cell r="AW34">
            <v>0</v>
          </cell>
          <cell r="AX34">
            <v>304.12050608557678</v>
          </cell>
          <cell r="AY34">
            <v>0</v>
          </cell>
          <cell r="AZ34">
            <v>125.7097939144232</v>
          </cell>
          <cell r="BA34">
            <v>4.08866</v>
          </cell>
          <cell r="BB34">
            <v>-10.211260000000001</v>
          </cell>
          <cell r="BC34">
            <v>-9.3629999999999991E-2</v>
          </cell>
          <cell r="BD34">
            <v>0</v>
          </cell>
          <cell r="BE34">
            <v>60.018000000000001</v>
          </cell>
          <cell r="BF34">
            <v>-540.2512099999999</v>
          </cell>
          <cell r="BG34">
            <v>-94.121510000000001</v>
          </cell>
          <cell r="BH34">
            <v>4.1989399999999932</v>
          </cell>
          <cell r="BI34">
            <v>-1.7389999999999961E-2</v>
          </cell>
          <cell r="BJ34">
            <v>0</v>
          </cell>
          <cell r="BK34">
            <v>846.47411999998781</v>
          </cell>
          <cell r="EA34">
            <v>3007.9467299999997</v>
          </cell>
          <cell r="EL34">
            <v>4861.0576299999975</v>
          </cell>
          <cell r="EM34">
            <v>-327.75315999999998</v>
          </cell>
          <cell r="EN34">
            <v>0</v>
          </cell>
          <cell r="EO34">
            <v>-9.6189999999999998</v>
          </cell>
          <cell r="EP34">
            <v>1.4890099999999999</v>
          </cell>
          <cell r="EQ34">
            <v>-131.26947000000001</v>
          </cell>
          <cell r="ER34">
            <v>-19.776219999999995</v>
          </cell>
          <cell r="ES34">
            <v>0</v>
          </cell>
          <cell r="ET34">
            <v>-1276.0837341000597</v>
          </cell>
          <cell r="EU34">
            <v>0</v>
          </cell>
          <cell r="EV34">
            <v>-774.0079658999407</v>
          </cell>
          <cell r="EW34">
            <v>-56.43085</v>
          </cell>
          <cell r="EX34">
            <v>47.232029999999995</v>
          </cell>
          <cell r="EY34">
            <v>1.3393999999999999</v>
          </cell>
          <cell r="EZ34">
            <v>0</v>
          </cell>
          <cell r="FA34">
            <v>-1928.6534500000007</v>
          </cell>
          <cell r="FB34">
            <v>25.729320000000001</v>
          </cell>
          <cell r="FC34">
            <v>-20.558440000000004</v>
          </cell>
          <cell r="FD34">
            <v>-38.128389999999982</v>
          </cell>
          <cell r="FE34">
            <v>0</v>
          </cell>
          <cell r="FF34">
            <v>2092.1583899999987</v>
          </cell>
          <cell r="FG34">
            <v>-181.36144000000002</v>
          </cell>
          <cell r="FH34">
            <v>1.3065300000000022</v>
          </cell>
          <cell r="FI34">
            <v>0.56170999999999993</v>
          </cell>
          <cell r="FJ34">
            <v>-766.19990000000053</v>
          </cell>
          <cell r="FK34">
            <v>944.27358000000004</v>
          </cell>
          <cell r="FL34">
            <v>-1327.7996800000005</v>
          </cell>
          <cell r="FM34">
            <v>-435.72426000000007</v>
          </cell>
          <cell r="FN34">
            <v>-71.755680000000012</v>
          </cell>
          <cell r="FO34">
            <v>-263.58707000000004</v>
          </cell>
          <cell r="FP34">
            <v>-319.35599999999999</v>
          </cell>
          <cell r="FR34">
            <v>-456.90052000000173</v>
          </cell>
          <cell r="FS34">
            <v>1.64</v>
          </cell>
          <cell r="FT34">
            <v>0</v>
          </cell>
          <cell r="FU34">
            <v>0</v>
          </cell>
          <cell r="FV34">
            <v>-5.7802139144232569</v>
          </cell>
          <cell r="FW34">
            <v>0</v>
          </cell>
          <cell r="FX34">
            <v>125.7097939144232</v>
          </cell>
          <cell r="FY34">
            <v>4.08866</v>
          </cell>
          <cell r="FZ34">
            <v>-2.8491100000000005</v>
          </cell>
          <cell r="GA34">
            <v>-9.3629999999999991E-2</v>
          </cell>
          <cell r="GB34">
            <v>0</v>
          </cell>
          <cell r="GC34">
            <v>60.018000000000001</v>
          </cell>
          <cell r="GD34">
            <v>-154.63024999999999</v>
          </cell>
          <cell r="GE34">
            <v>-94.121510000000001</v>
          </cell>
          <cell r="GF34">
            <v>-2.2803500000000048</v>
          </cell>
          <cell r="GG34">
            <v>-1.7389999999999961E-2</v>
          </cell>
          <cell r="GH34">
            <v>0</v>
          </cell>
          <cell r="GI34">
            <v>-498.13363000000879</v>
          </cell>
        </row>
        <row r="35">
          <cell r="C35">
            <v>24874.369999999995</v>
          </cell>
          <cell r="N35">
            <v>15970.252807445328</v>
          </cell>
          <cell r="O35">
            <v>-2246.7651193886113</v>
          </cell>
          <cell r="P35">
            <v>-1081.7172565682426</v>
          </cell>
          <cell r="Q35">
            <v>-1010.5642991348564</v>
          </cell>
          <cell r="R35">
            <v>0</v>
          </cell>
          <cell r="S35">
            <v>-265.31798641778016</v>
          </cell>
          <cell r="T35">
            <v>-70.823969742368448</v>
          </cell>
          <cell r="U35">
            <v>0</v>
          </cell>
          <cell r="V35">
            <v>-2142.4821201312561</v>
          </cell>
          <cell r="W35">
            <v>-964.39685697530899</v>
          </cell>
          <cell r="X35">
            <v>-1050.2830841614432</v>
          </cell>
          <cell r="Y35">
            <v>-114.38270101415571</v>
          </cell>
          <cell r="Z35">
            <v>69.876101188600643</v>
          </cell>
          <cell r="AA35">
            <v>0</v>
          </cell>
          <cell r="AB35">
            <v>0</v>
          </cell>
          <cell r="AC35">
            <v>-2776.5029920903226</v>
          </cell>
          <cell r="AD35">
            <v>0</v>
          </cell>
          <cell r="AE35">
            <v>0</v>
          </cell>
          <cell r="AF35">
            <v>-122.69543806389265</v>
          </cell>
          <cell r="AG35">
            <v>0</v>
          </cell>
          <cell r="AH35">
            <v>3442.4484301542152</v>
          </cell>
          <cell r="AI35">
            <v>114.38270101415571</v>
          </cell>
          <cell r="AJ35">
            <v>0</v>
          </cell>
          <cell r="AK35">
            <v>0</v>
          </cell>
          <cell r="AL35">
            <v>-4178.6387753182416</v>
          </cell>
          <cell r="AM35">
            <v>0</v>
          </cell>
          <cell r="AN35">
            <v>0</v>
          </cell>
          <cell r="AO35">
            <v>-696.17084352907432</v>
          </cell>
          <cell r="AP35">
            <v>-76.357295174572755</v>
          </cell>
          <cell r="AQ35">
            <v>-932.03990628499037</v>
          </cell>
          <cell r="AR35">
            <v>-1175.4265837847952</v>
          </cell>
          <cell r="AT35">
            <v>-1208.4227036744892</v>
          </cell>
          <cell r="AU35">
            <v>32.825355525178715</v>
          </cell>
          <cell r="AV35">
            <v>427.63438105321552</v>
          </cell>
          <cell r="AW35">
            <v>0</v>
          </cell>
          <cell r="AX35">
            <v>38.327122594362038</v>
          </cell>
          <cell r="AY35">
            <v>401.47798671439079</v>
          </cell>
          <cell r="AZ35">
            <v>0</v>
          </cell>
          <cell r="BA35">
            <v>9.3921651434899722</v>
          </cell>
          <cell r="BB35">
            <v>-5.971785953912244</v>
          </cell>
          <cell r="BC35">
            <v>0</v>
          </cell>
          <cell r="BD35">
            <v>0</v>
          </cell>
          <cell r="BE35">
            <v>41.991</v>
          </cell>
          <cell r="BF35">
            <v>-41.991</v>
          </cell>
          <cell r="BG35">
            <v>-9.3921651434899722</v>
          </cell>
          <cell r="BH35">
            <v>0</v>
          </cell>
          <cell r="BI35">
            <v>0</v>
          </cell>
          <cell r="BJ35">
            <v>0</v>
          </cell>
          <cell r="BK35">
            <v>378.2651682811304</v>
          </cell>
          <cell r="EA35">
            <v>3610.5499999999956</v>
          </cell>
          <cell r="EL35">
            <v>5323.4176024817752</v>
          </cell>
          <cell r="EM35">
            <v>-748.92170646287013</v>
          </cell>
          <cell r="EN35">
            <v>-360.57241885608084</v>
          </cell>
          <cell r="EO35">
            <v>-336.85476637828549</v>
          </cell>
          <cell r="EP35">
            <v>0</v>
          </cell>
          <cell r="EQ35">
            <v>-88.439328805926721</v>
          </cell>
          <cell r="ER35">
            <v>-23.607989914122818</v>
          </cell>
          <cell r="ES35">
            <v>0</v>
          </cell>
          <cell r="ET35">
            <v>-714.16070671041871</v>
          </cell>
          <cell r="EU35">
            <v>-321.46561899176959</v>
          </cell>
          <cell r="EV35">
            <v>-350.09436138714773</v>
          </cell>
          <cell r="EW35">
            <v>-38.127567004718571</v>
          </cell>
          <cell r="EX35">
            <v>23.29203372953355</v>
          </cell>
          <cell r="EY35">
            <v>0</v>
          </cell>
          <cell r="EZ35">
            <v>0</v>
          </cell>
          <cell r="FA35">
            <v>-925.500997363441</v>
          </cell>
          <cell r="FB35">
            <v>0</v>
          </cell>
          <cell r="FC35">
            <v>0</v>
          </cell>
          <cell r="FD35">
            <v>-40.898479354630879</v>
          </cell>
          <cell r="FE35">
            <v>0</v>
          </cell>
          <cell r="FF35">
            <v>1147.4828100514051</v>
          </cell>
          <cell r="FG35">
            <v>38.127567004718571</v>
          </cell>
          <cell r="FH35">
            <v>0</v>
          </cell>
          <cell r="FI35">
            <v>0</v>
          </cell>
          <cell r="FJ35">
            <v>-1392.8795917727475</v>
          </cell>
          <cell r="FK35">
            <v>0</v>
          </cell>
          <cell r="FL35">
            <v>0</v>
          </cell>
          <cell r="FM35">
            <v>-232.05694784302477</v>
          </cell>
          <cell r="FN35">
            <v>-25.452431724857583</v>
          </cell>
          <cell r="FO35">
            <v>-310.67996876166342</v>
          </cell>
          <cell r="FP35">
            <v>-391.80886126159839</v>
          </cell>
          <cell r="FR35">
            <v>-402.80756789149632</v>
          </cell>
          <cell r="FS35">
            <v>10.941785175059554</v>
          </cell>
          <cell r="FT35">
            <v>142.54479368440519</v>
          </cell>
          <cell r="FU35">
            <v>0</v>
          </cell>
          <cell r="FV35">
            <v>12.775707531454021</v>
          </cell>
          <cell r="FW35">
            <v>133.82599557146364</v>
          </cell>
          <cell r="FX35">
            <v>0</v>
          </cell>
          <cell r="FY35">
            <v>3.1307217144966568</v>
          </cell>
          <cell r="FZ35">
            <v>-1.9905953179707483</v>
          </cell>
          <cell r="GA35">
            <v>0</v>
          </cell>
          <cell r="GB35">
            <v>0</v>
          </cell>
          <cell r="GC35">
            <v>13.997</v>
          </cell>
          <cell r="GD35">
            <v>-13.997</v>
          </cell>
          <cell r="GE35">
            <v>-3.1307217144966568</v>
          </cell>
          <cell r="GF35">
            <v>0</v>
          </cell>
          <cell r="GG35">
            <v>0</v>
          </cell>
          <cell r="GH35">
            <v>0</v>
          </cell>
          <cell r="GI35">
            <v>126.08838942704369</v>
          </cell>
        </row>
        <row r="37">
          <cell r="C37">
            <v>2.4634299999999998</v>
          </cell>
          <cell r="N37">
            <v>1.4849299999999999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-1E-4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20</v>
          </cell>
          <cell r="AC37">
            <v>-4.1799999999999997E-2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-1.7479100000000001</v>
          </cell>
          <cell r="AM37">
            <v>1.45909</v>
          </cell>
          <cell r="AN37">
            <v>-1.1142800000000002</v>
          </cell>
          <cell r="AO37">
            <v>0</v>
          </cell>
          <cell r="AP37">
            <v>-1.4000000000000001E-4</v>
          </cell>
          <cell r="AQ37">
            <v>0</v>
          </cell>
          <cell r="AR37">
            <v>-2.0000000000000002E-5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20.039770000000001</v>
          </cell>
          <cell r="EA37">
            <v>0.10253999999999985</v>
          </cell>
          <cell r="EL37">
            <v>0.46835999999999989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20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-0.89168999999999987</v>
          </cell>
          <cell r="FK37">
            <v>0.55715000000000026</v>
          </cell>
          <cell r="FL37">
            <v>-0.69451000000000029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19.439309999999999</v>
          </cell>
        </row>
        <row r="38">
          <cell r="C38">
            <v>3.6837400000000002</v>
          </cell>
          <cell r="N38">
            <v>2.1137199999999989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-7.3999999999999999E-4</v>
          </cell>
          <cell r="U38">
            <v>0</v>
          </cell>
          <cell r="V38">
            <v>-3.9799999999999974E-3</v>
          </cell>
          <cell r="W38">
            <v>0</v>
          </cell>
          <cell r="X38">
            <v>0</v>
          </cell>
          <cell r="Y38">
            <v>-5.0000000000000002E-5</v>
          </cell>
          <cell r="Z38">
            <v>1.3000000000000012E-4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3.9800000000000009E-3</v>
          </cell>
          <cell r="AI38">
            <v>8.0000000000000007E-5</v>
          </cell>
          <cell r="AJ38">
            <v>-1.8999999999999996E-4</v>
          </cell>
          <cell r="AK38">
            <v>0</v>
          </cell>
          <cell r="AL38">
            <v>-1.3708300000000002</v>
          </cell>
          <cell r="AM38">
            <v>2.5231599999999994</v>
          </cell>
          <cell r="AN38">
            <v>-1.9315699999999991</v>
          </cell>
          <cell r="AO38">
            <v>-2.3689999999999996E-2</v>
          </cell>
          <cell r="AP38">
            <v>-8.9000000000000006E-4</v>
          </cell>
          <cell r="AQ38">
            <v>-0.45018999999999998</v>
          </cell>
          <cell r="AR38">
            <v>-1.8009999999999998E-2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0.84092999999999929</v>
          </cell>
          <cell r="EA38">
            <v>0.14890000000000025</v>
          </cell>
          <cell r="EL38">
            <v>0.56698000000000026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3.0370000000000001E-2</v>
          </cell>
          <cell r="EU38">
            <v>0</v>
          </cell>
          <cell r="EV38">
            <v>0</v>
          </cell>
          <cell r="EW38">
            <v>-5.0000000000000002E-5</v>
          </cell>
          <cell r="EX38">
            <v>-9.8999999999999999E-4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-1.7139999999999999E-2</v>
          </cell>
          <cell r="FG38">
            <v>8.0000000000000007E-5</v>
          </cell>
          <cell r="FH38">
            <v>6.4999999999999997E-4</v>
          </cell>
          <cell r="FI38">
            <v>0</v>
          </cell>
          <cell r="FJ38">
            <v>-5.367999999999995E-2</v>
          </cell>
          <cell r="FK38">
            <v>1.0194999999999999</v>
          </cell>
          <cell r="FL38">
            <v>-1.1740899999999994</v>
          </cell>
          <cell r="FM38">
            <v>-7.7899999999999983E-3</v>
          </cell>
          <cell r="FN38">
            <v>-3.2000000000000008E-4</v>
          </cell>
          <cell r="FO38">
            <v>-0.14809</v>
          </cell>
          <cell r="FP38">
            <v>-6.7399999999999977E-3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0.20869000000000079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EA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</row>
        <row r="41">
          <cell r="C41">
            <v>9891.9246400000011</v>
          </cell>
          <cell r="N41">
            <v>5514.8962899999988</v>
          </cell>
          <cell r="O41">
            <v>-118.27993000000001</v>
          </cell>
          <cell r="P41">
            <v>0</v>
          </cell>
          <cell r="Q41">
            <v>0</v>
          </cell>
          <cell r="R41">
            <v>10.57559</v>
          </cell>
          <cell r="S41">
            <v>-83.534059999999997</v>
          </cell>
          <cell r="T41">
            <v>-8.2493400000000001</v>
          </cell>
          <cell r="U41">
            <v>0</v>
          </cell>
          <cell r="V41">
            <v>-1699.2218939091283</v>
          </cell>
          <cell r="W41">
            <v>0</v>
          </cell>
          <cell r="X41">
            <v>-323.78103609087157</v>
          </cell>
          <cell r="Y41">
            <v>-39.295679999999997</v>
          </cell>
          <cell r="Z41">
            <v>229.51843</v>
          </cell>
          <cell r="AA41">
            <v>4.1225199999999997</v>
          </cell>
          <cell r="AB41">
            <v>-40</v>
          </cell>
          <cell r="AC41">
            <v>-1142.98477</v>
          </cell>
          <cell r="AD41">
            <v>143.73203000000001</v>
          </cell>
          <cell r="AE41">
            <v>-31.77694</v>
          </cell>
          <cell r="AF41">
            <v>-199.70789999999997</v>
          </cell>
          <cell r="AG41">
            <v>0</v>
          </cell>
          <cell r="AH41">
            <v>143.16542000000027</v>
          </cell>
          <cell r="AI41">
            <v>440.65744000000007</v>
          </cell>
          <cell r="AJ41">
            <v>-86.15218000000003</v>
          </cell>
          <cell r="AK41">
            <v>-39.843789999999991</v>
          </cell>
          <cell r="AL41">
            <v>-2284.2683999999999</v>
          </cell>
          <cell r="AM41">
            <v>1975.0920600000004</v>
          </cell>
          <cell r="AN41">
            <v>-981.39400000000001</v>
          </cell>
          <cell r="AO41">
            <v>-301.36446999999998</v>
          </cell>
          <cell r="AP41">
            <v>-30.266410000000004</v>
          </cell>
          <cell r="AQ41">
            <v>-308.97742</v>
          </cell>
          <cell r="AR41">
            <v>-178.87931999999998</v>
          </cell>
          <cell r="AT41">
            <v>-193.40501000000009</v>
          </cell>
          <cell r="AU41">
            <v>0</v>
          </cell>
          <cell r="AV41">
            <v>0</v>
          </cell>
          <cell r="AW41">
            <v>0</v>
          </cell>
          <cell r="AX41">
            <v>36.275101402046303</v>
          </cell>
          <cell r="AY41">
            <v>0</v>
          </cell>
          <cell r="AZ41">
            <v>9.6983585979536997</v>
          </cell>
          <cell r="BA41">
            <v>0.99433000000000005</v>
          </cell>
          <cell r="BB41">
            <v>-5.7004900000000003</v>
          </cell>
          <cell r="BC41">
            <v>-0.10956999999999999</v>
          </cell>
          <cell r="BD41">
            <v>0</v>
          </cell>
          <cell r="BE41">
            <v>0</v>
          </cell>
          <cell r="BF41">
            <v>68.273639999999943</v>
          </cell>
          <cell r="BG41">
            <v>-13.466680000000002</v>
          </cell>
          <cell r="BH41">
            <v>-37.274650000000008</v>
          </cell>
          <cell r="BI41">
            <v>0.88459999999999994</v>
          </cell>
          <cell r="BJ41">
            <v>5.6843418860808016E-16</v>
          </cell>
          <cell r="BK41">
            <v>429.95187000000055</v>
          </cell>
          <cell r="EA41">
            <v>979.41895000000113</v>
          </cell>
          <cell r="EL41">
            <v>1671.9601599999996</v>
          </cell>
          <cell r="EM41">
            <v>-77.406880000000001</v>
          </cell>
          <cell r="EN41">
            <v>0</v>
          </cell>
          <cell r="EO41">
            <v>0</v>
          </cell>
          <cell r="EP41">
            <v>10.57559</v>
          </cell>
          <cell r="EQ41">
            <v>-32.463699999999989</v>
          </cell>
          <cell r="ER41">
            <v>-6.8280600000000007</v>
          </cell>
          <cell r="ES41">
            <v>0</v>
          </cell>
          <cell r="ET41">
            <v>-568.07422178682873</v>
          </cell>
          <cell r="EU41">
            <v>0</v>
          </cell>
          <cell r="EV41">
            <v>-187.14530821317112</v>
          </cell>
          <cell r="EW41">
            <v>-39.295679999999997</v>
          </cell>
          <cell r="EX41">
            <v>86.504339999999985</v>
          </cell>
          <cell r="EY41">
            <v>4.1225199999999997</v>
          </cell>
          <cell r="EZ41">
            <v>-40</v>
          </cell>
          <cell r="FA41">
            <v>-326.56702999999993</v>
          </cell>
          <cell r="FB41">
            <v>1.5760500000000093</v>
          </cell>
          <cell r="FC41">
            <v>-9.8060100000000006</v>
          </cell>
          <cell r="FD41">
            <v>-60.157939999999996</v>
          </cell>
          <cell r="FE41">
            <v>0</v>
          </cell>
          <cell r="FF41">
            <v>-1825.6769199999999</v>
          </cell>
          <cell r="FG41">
            <v>440.65744000000007</v>
          </cell>
          <cell r="FH41">
            <v>84.903029999999987</v>
          </cell>
          <cell r="FI41">
            <v>-39.843789999999991</v>
          </cell>
          <cell r="FJ41">
            <v>-241.46550999999999</v>
          </cell>
          <cell r="FK41">
            <v>309.26810000000023</v>
          </cell>
          <cell r="FL41">
            <v>-463.85383000000002</v>
          </cell>
          <cell r="FM41">
            <v>-93.661730000000006</v>
          </cell>
          <cell r="FN41">
            <v>-13.138370000000005</v>
          </cell>
          <cell r="FO41">
            <v>-102.45401000000001</v>
          </cell>
          <cell r="FP41">
            <v>-67.059989999999999</v>
          </cell>
          <cell r="FR41">
            <v>-65.117460000000023</v>
          </cell>
          <cell r="FS41">
            <v>0</v>
          </cell>
          <cell r="FT41">
            <v>0</v>
          </cell>
          <cell r="FU41">
            <v>0</v>
          </cell>
          <cell r="FV41">
            <v>12.65961673656625</v>
          </cell>
          <cell r="FW41">
            <v>0</v>
          </cell>
          <cell r="FX41">
            <v>3.2246132634337528</v>
          </cell>
          <cell r="FY41">
            <v>0.99433000000000005</v>
          </cell>
          <cell r="FZ41">
            <v>-1.96957</v>
          </cell>
          <cell r="GA41">
            <v>-0.10956999999999999</v>
          </cell>
          <cell r="GB41">
            <v>0</v>
          </cell>
          <cell r="GC41">
            <v>0</v>
          </cell>
          <cell r="GD41">
            <v>4.4319800000000029</v>
          </cell>
          <cell r="GE41">
            <v>-13.466680000000002</v>
          </cell>
          <cell r="GF41">
            <v>-2.3767500000000013</v>
          </cell>
          <cell r="GG41">
            <v>0.88459999999999994</v>
          </cell>
          <cell r="GH41">
            <v>5.6843418860808016E-16</v>
          </cell>
          <cell r="GI41">
            <v>-1646.1766399999999</v>
          </cell>
        </row>
        <row r="42">
          <cell r="C42">
            <v>9630.8310000000001</v>
          </cell>
          <cell r="N42">
            <v>5493.0073899999988</v>
          </cell>
          <cell r="O42">
            <v>-76.350030000000004</v>
          </cell>
          <cell r="P42">
            <v>0</v>
          </cell>
          <cell r="Q42">
            <v>0</v>
          </cell>
          <cell r="R42">
            <v>1.325</v>
          </cell>
          <cell r="S42">
            <v>-78.816410000000005</v>
          </cell>
          <cell r="T42">
            <v>-9.3044399999999978</v>
          </cell>
          <cell r="U42">
            <v>0</v>
          </cell>
          <cell r="V42">
            <v>-1789.6561340836943</v>
          </cell>
          <cell r="W42">
            <v>0</v>
          </cell>
          <cell r="X42">
            <v>-444.86560591630564</v>
          </cell>
          <cell r="Y42">
            <v>-71.411580000000001</v>
          </cell>
          <cell r="Z42">
            <v>240.32222999999999</v>
          </cell>
          <cell r="AA42">
            <v>8.0237200000000009</v>
          </cell>
          <cell r="AB42">
            <v>-20</v>
          </cell>
          <cell r="AC42">
            <v>-1160.3967299999999</v>
          </cell>
          <cell r="AD42">
            <v>21.007949999999997</v>
          </cell>
          <cell r="AE42">
            <v>-42.385540000000006</v>
          </cell>
          <cell r="AF42">
            <v>-222.60031999999998</v>
          </cell>
          <cell r="AG42">
            <v>0</v>
          </cell>
          <cell r="AH42">
            <v>5035.8091400000012</v>
          </cell>
          <cell r="AI42">
            <v>91.310650000000024</v>
          </cell>
          <cell r="AJ42">
            <v>-283.90004999999985</v>
          </cell>
          <cell r="AK42">
            <v>-4.437549999999999</v>
          </cell>
          <cell r="AL42">
            <v>-2216.2601200000004</v>
          </cell>
          <cell r="AM42">
            <v>1823.8885400000004</v>
          </cell>
          <cell r="AN42">
            <v>-883.76197000000002</v>
          </cell>
          <cell r="AO42">
            <v>-503.59233999999987</v>
          </cell>
          <cell r="AP42">
            <v>-38.551749999999998</v>
          </cell>
          <cell r="AQ42">
            <v>-326.51752999999997</v>
          </cell>
          <cell r="AR42">
            <v>-197.26034999999999</v>
          </cell>
          <cell r="AT42">
            <v>-273.86856000000006</v>
          </cell>
          <cell r="AU42">
            <v>0</v>
          </cell>
          <cell r="AV42">
            <v>0</v>
          </cell>
          <cell r="AW42">
            <v>0</v>
          </cell>
          <cell r="AX42">
            <v>48.618893399410659</v>
          </cell>
          <cell r="AY42">
            <v>0</v>
          </cell>
          <cell r="AZ42">
            <v>19.919806600589347</v>
          </cell>
          <cell r="BA42">
            <v>2.1643599999999998</v>
          </cell>
          <cell r="BB42">
            <v>-7.7441000000000004</v>
          </cell>
          <cell r="BC42">
            <v>-0.24330000000000002</v>
          </cell>
          <cell r="BD42">
            <v>0</v>
          </cell>
          <cell r="BE42">
            <v>139.49589</v>
          </cell>
          <cell r="BF42">
            <v>-239.21822000000003</v>
          </cell>
          <cell r="BG42">
            <v>-6.2275300000000016</v>
          </cell>
          <cell r="BH42">
            <v>29.403350000000003</v>
          </cell>
          <cell r="BI42">
            <v>0.78305000000000013</v>
          </cell>
          <cell r="BJ42">
            <v>-4.0927261579781768E-15</v>
          </cell>
          <cell r="BK42">
            <v>4057.7098099999998</v>
          </cell>
          <cell r="EA42">
            <v>841.5877300000011</v>
          </cell>
          <cell r="EL42">
            <v>1522.2973299999999</v>
          </cell>
          <cell r="EM42">
            <v>-41.693650000000005</v>
          </cell>
          <cell r="EN42">
            <v>0</v>
          </cell>
          <cell r="EO42">
            <v>0</v>
          </cell>
          <cell r="EP42">
            <v>1.325</v>
          </cell>
          <cell r="EQ42">
            <v>-25.048030000000011</v>
          </cell>
          <cell r="ER42">
            <v>-4.8216599999999978</v>
          </cell>
          <cell r="ES42">
            <v>0</v>
          </cell>
          <cell r="ET42">
            <v>-454.76238358283831</v>
          </cell>
          <cell r="EU42">
            <v>0</v>
          </cell>
          <cell r="EV42">
            <v>-163.41134641716133</v>
          </cell>
          <cell r="EW42">
            <v>-71.411580000000001</v>
          </cell>
          <cell r="EX42">
            <v>65.413560000000018</v>
          </cell>
          <cell r="EY42">
            <v>8.0237200000000009</v>
          </cell>
          <cell r="EZ42">
            <v>-20</v>
          </cell>
          <cell r="FA42">
            <v>-350.00069000000008</v>
          </cell>
          <cell r="FB42">
            <v>16.54712</v>
          </cell>
          <cell r="FC42">
            <v>-13.504650000000005</v>
          </cell>
          <cell r="FD42">
            <v>-60.674890000000005</v>
          </cell>
          <cell r="FE42">
            <v>0</v>
          </cell>
          <cell r="FF42">
            <v>1862.5434300000002</v>
          </cell>
          <cell r="FG42">
            <v>91.310650000000024</v>
          </cell>
          <cell r="FH42">
            <v>60.143130000000042</v>
          </cell>
          <cell r="FI42">
            <v>-4.437549999999999</v>
          </cell>
          <cell r="FJ42">
            <v>-210.06415000000015</v>
          </cell>
          <cell r="FK42">
            <v>248.46304000000009</v>
          </cell>
          <cell r="FL42">
            <v>-402.15846999999985</v>
          </cell>
          <cell r="FM42">
            <v>-167.87459999999993</v>
          </cell>
          <cell r="FN42">
            <v>-14.147869999999998</v>
          </cell>
          <cell r="FO42">
            <v>-101.17784999999998</v>
          </cell>
          <cell r="FP42">
            <v>-65.388030000000015</v>
          </cell>
          <cell r="FR42">
            <v>-91.03094999999999</v>
          </cell>
          <cell r="FS42">
            <v>0</v>
          </cell>
          <cell r="FT42">
            <v>0</v>
          </cell>
          <cell r="FU42">
            <v>0</v>
          </cell>
          <cell r="FV42">
            <v>0.89031339941065823</v>
          </cell>
          <cell r="FW42">
            <v>0</v>
          </cell>
          <cell r="FX42">
            <v>19.919806600589347</v>
          </cell>
          <cell r="FY42">
            <v>2.1643599999999998</v>
          </cell>
          <cell r="FZ42">
            <v>-2.3513100000000007</v>
          </cell>
          <cell r="GA42">
            <v>-0.24330000000000002</v>
          </cell>
          <cell r="GB42">
            <v>0</v>
          </cell>
          <cell r="GC42">
            <v>11.626680000000007</v>
          </cell>
          <cell r="GD42">
            <v>-34.29182000000003</v>
          </cell>
          <cell r="GE42">
            <v>-6.2275300000000016</v>
          </cell>
          <cell r="GF42">
            <v>0.48279000000000138</v>
          </cell>
          <cell r="GG42">
            <v>0.78305000000000013</v>
          </cell>
          <cell r="GH42">
            <v>0</v>
          </cell>
          <cell r="GI42">
            <v>1607.2116700000001</v>
          </cell>
        </row>
        <row r="43">
          <cell r="C43">
            <v>9673.99</v>
          </cell>
          <cell r="N43">
            <v>5534.6893564587235</v>
          </cell>
          <cell r="O43">
            <v>-316.25598445418689</v>
          </cell>
          <cell r="P43">
            <v>0</v>
          </cell>
          <cell r="Q43">
            <v>-69.282479475298942</v>
          </cell>
          <cell r="R43">
            <v>0</v>
          </cell>
          <cell r="S43">
            <v>-147.77717998960685</v>
          </cell>
          <cell r="T43">
            <v>-44.97884302673873</v>
          </cell>
          <cell r="U43">
            <v>0</v>
          </cell>
          <cell r="V43">
            <v>-1722.8880109436041</v>
          </cell>
          <cell r="W43">
            <v>0</v>
          </cell>
          <cell r="X43">
            <v>-424.44185809797051</v>
          </cell>
          <cell r="Y43">
            <v>-55.12853676896006</v>
          </cell>
          <cell r="Z43">
            <v>249.04477119260525</v>
          </cell>
          <cell r="AA43">
            <v>0</v>
          </cell>
          <cell r="AB43">
            <v>0</v>
          </cell>
          <cell r="AC43">
            <v>-2065.87582199804</v>
          </cell>
          <cell r="AD43">
            <v>0</v>
          </cell>
          <cell r="AE43">
            <v>0</v>
          </cell>
          <cell r="AF43">
            <v>-318.74989069248034</v>
          </cell>
          <cell r="AG43">
            <v>0</v>
          </cell>
          <cell r="AH43">
            <v>2389.1257126905202</v>
          </cell>
          <cell r="AI43">
            <v>55.12853676896006</v>
          </cell>
          <cell r="AJ43">
            <v>0</v>
          </cell>
          <cell r="AK43">
            <v>0</v>
          </cell>
          <cell r="AL43">
            <v>-1326.8907435266524</v>
          </cell>
          <cell r="AM43">
            <v>0</v>
          </cell>
          <cell r="AN43">
            <v>0</v>
          </cell>
          <cell r="AO43">
            <v>-336.55158970422065</v>
          </cell>
          <cell r="AP43">
            <v>-32.842637782704763</v>
          </cell>
          <cell r="AQ43">
            <v>-352.78429863654344</v>
          </cell>
          <cell r="AR43">
            <v>-256.60524619231478</v>
          </cell>
          <cell r="AT43">
            <v>-228.10448053589721</v>
          </cell>
          <cell r="AU43">
            <v>15.922194743567772</v>
          </cell>
          <cell r="AV43">
            <v>0</v>
          </cell>
          <cell r="AW43">
            <v>4.0515879031340765</v>
          </cell>
          <cell r="AX43">
            <v>113.01789775643219</v>
          </cell>
          <cell r="AY43">
            <v>0</v>
          </cell>
          <cell r="AZ43">
            <v>28.758720437870991</v>
          </cell>
          <cell r="BA43">
            <v>3.1524907808427018</v>
          </cell>
          <cell r="BB43">
            <v>-16.141212810046039</v>
          </cell>
          <cell r="BC43">
            <v>0</v>
          </cell>
          <cell r="BD43">
            <v>0</v>
          </cell>
          <cell r="BE43">
            <v>0.44739249999999997</v>
          </cell>
          <cell r="BF43">
            <v>-0.44739249999999997</v>
          </cell>
          <cell r="BG43">
            <v>-3.1524907808427018</v>
          </cell>
          <cell r="BH43">
            <v>0</v>
          </cell>
          <cell r="BI43">
            <v>0</v>
          </cell>
          <cell r="BJ43">
            <v>0</v>
          </cell>
          <cell r="BK43">
            <v>674.43996331654864</v>
          </cell>
          <cell r="EA43">
            <v>1114.4899999999998</v>
          </cell>
          <cell r="EL43">
            <v>1844.8964521529078</v>
          </cell>
          <cell r="EM43">
            <v>-105.41866148472897</v>
          </cell>
          <cell r="EN43">
            <v>0</v>
          </cell>
          <cell r="EO43">
            <v>-23.094159825099645</v>
          </cell>
          <cell r="EP43">
            <v>0</v>
          </cell>
          <cell r="EQ43">
            <v>-49.259059996535612</v>
          </cell>
          <cell r="ER43">
            <v>-14.992947675579579</v>
          </cell>
          <cell r="ES43">
            <v>0</v>
          </cell>
          <cell r="ET43">
            <v>-574.29600364786825</v>
          </cell>
          <cell r="EU43">
            <v>0</v>
          </cell>
          <cell r="EV43">
            <v>-141.48061936599015</v>
          </cell>
          <cell r="EW43">
            <v>-18.376178922986682</v>
          </cell>
          <cell r="EX43">
            <v>83.014923730868446</v>
          </cell>
          <cell r="EY43">
            <v>0</v>
          </cell>
          <cell r="EZ43">
            <v>0</v>
          </cell>
          <cell r="FA43">
            <v>-688.62527399934652</v>
          </cell>
          <cell r="FB43">
            <v>0</v>
          </cell>
          <cell r="FC43">
            <v>0</v>
          </cell>
          <cell r="FD43">
            <v>-106.24996356416011</v>
          </cell>
          <cell r="FE43">
            <v>0</v>
          </cell>
          <cell r="FF43">
            <v>796.37523756350674</v>
          </cell>
          <cell r="FG43">
            <v>18.376178922986682</v>
          </cell>
          <cell r="FH43">
            <v>0</v>
          </cell>
          <cell r="FI43">
            <v>0</v>
          </cell>
          <cell r="FJ43">
            <v>-442.29691450888413</v>
          </cell>
          <cell r="FK43">
            <v>0</v>
          </cell>
          <cell r="FL43">
            <v>0</v>
          </cell>
          <cell r="FM43">
            <v>-112.18386323474024</v>
          </cell>
          <cell r="FN43">
            <v>-10.947545927568253</v>
          </cell>
          <cell r="FO43">
            <v>-117.59476621218113</v>
          </cell>
          <cell r="FP43">
            <v>-85.535082064104927</v>
          </cell>
          <cell r="FR43">
            <v>-76.034826845299079</v>
          </cell>
          <cell r="FS43">
            <v>5.3073982478559234</v>
          </cell>
          <cell r="FT43">
            <v>0</v>
          </cell>
          <cell r="FU43">
            <v>1.3505293010446922</v>
          </cell>
          <cell r="FV43">
            <v>37.672632585477402</v>
          </cell>
          <cell r="FW43">
            <v>0</v>
          </cell>
          <cell r="FX43">
            <v>9.5862401459569959</v>
          </cell>
          <cell r="FY43">
            <v>1.0508302602809008</v>
          </cell>
          <cell r="FZ43">
            <v>-5.3804042700153456</v>
          </cell>
          <cell r="GA43">
            <v>0</v>
          </cell>
          <cell r="GB43">
            <v>0</v>
          </cell>
          <cell r="GC43">
            <v>0.14913083333333332</v>
          </cell>
          <cell r="GD43">
            <v>-0.14913083333333332</v>
          </cell>
          <cell r="GE43">
            <v>-1.0508302602809008</v>
          </cell>
          <cell r="GF43">
            <v>0</v>
          </cell>
          <cell r="GG43">
            <v>0</v>
          </cell>
          <cell r="GH43">
            <v>0</v>
          </cell>
          <cell r="GI43">
            <v>224.81332110551591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-102.97301000000002</v>
          </cell>
          <cell r="AU45">
            <v>0</v>
          </cell>
          <cell r="AV45">
            <v>0</v>
          </cell>
          <cell r="AW45">
            <v>0</v>
          </cell>
          <cell r="AX45">
            <v>23.797999999999998</v>
          </cell>
          <cell r="AY45">
            <v>0</v>
          </cell>
          <cell r="AZ45">
            <v>0</v>
          </cell>
          <cell r="BA45">
            <v>0.51471</v>
          </cell>
          <cell r="BB45">
            <v>-2.9508299999999998</v>
          </cell>
          <cell r="BC45">
            <v>-5.672E-2</v>
          </cell>
          <cell r="BD45">
            <v>0</v>
          </cell>
          <cell r="BE45">
            <v>0</v>
          </cell>
          <cell r="BF45">
            <v>0</v>
          </cell>
          <cell r="BG45">
            <v>-0.23832</v>
          </cell>
          <cell r="BH45">
            <v>-0.18462000000000001</v>
          </cell>
          <cell r="BI45">
            <v>3.5810000000000002E-2</v>
          </cell>
          <cell r="BJ45">
            <v>1.2789769243681802E-16</v>
          </cell>
          <cell r="BK45">
            <v>-82.054980000000015</v>
          </cell>
          <cell r="EA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R45">
            <v>-33.629090000000005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0.51471</v>
          </cell>
          <cell r="FZ45">
            <v>0</v>
          </cell>
          <cell r="GA45">
            <v>-5.672E-2</v>
          </cell>
          <cell r="GB45">
            <v>0</v>
          </cell>
          <cell r="GC45">
            <v>0</v>
          </cell>
          <cell r="GD45">
            <v>0</v>
          </cell>
          <cell r="GE45">
            <v>-0.23832</v>
          </cell>
          <cell r="GF45">
            <v>-6.0859999999999997E-2</v>
          </cell>
          <cell r="GG45">
            <v>3.5810000000000002E-2</v>
          </cell>
          <cell r="GH45">
            <v>1.2789769243681802E-16</v>
          </cell>
          <cell r="GI45">
            <v>-33.434470000000005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-130.60803999999999</v>
          </cell>
          <cell r="AU46">
            <v>0</v>
          </cell>
          <cell r="AV46">
            <v>0</v>
          </cell>
          <cell r="AW46">
            <v>0</v>
          </cell>
          <cell r="AX46">
            <v>9.0990000000000002</v>
          </cell>
          <cell r="AY46">
            <v>0</v>
          </cell>
          <cell r="AZ46">
            <v>0</v>
          </cell>
          <cell r="BA46">
            <v>0.28732999999999997</v>
          </cell>
          <cell r="BB46">
            <v>-1.0280799999999999</v>
          </cell>
          <cell r="BC46">
            <v>-3.2299999999999995E-2</v>
          </cell>
          <cell r="BD46">
            <v>0</v>
          </cell>
          <cell r="BE46">
            <v>6.4027200000000004</v>
          </cell>
          <cell r="BF46">
            <v>-9.0990000000000002</v>
          </cell>
          <cell r="BG46">
            <v>-0.27250000000000002</v>
          </cell>
          <cell r="BH46">
            <v>1.0385199999999999</v>
          </cell>
          <cell r="BI46">
            <v>3.1140000000000001E-2</v>
          </cell>
          <cell r="BJ46">
            <v>0</v>
          </cell>
          <cell r="BK46">
            <v>-124.18120999999999</v>
          </cell>
          <cell r="EA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R46">
            <v>-20.375650000000007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0.28732999999999997</v>
          </cell>
          <cell r="FZ46">
            <v>0</v>
          </cell>
          <cell r="GA46">
            <v>-3.2299999999999995E-2</v>
          </cell>
          <cell r="GB46">
            <v>0</v>
          </cell>
          <cell r="GC46">
            <v>0</v>
          </cell>
          <cell r="GD46">
            <v>-20</v>
          </cell>
          <cell r="GE46">
            <v>-0.27250000000000002</v>
          </cell>
          <cell r="GF46">
            <v>2.3822399999999999</v>
          </cell>
          <cell r="GG46">
            <v>3.1140000000000001E-2</v>
          </cell>
          <cell r="GH46">
            <v>0</v>
          </cell>
          <cell r="GI46">
            <v>-37.97974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-8.8812571213669873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-8.8812571213669873</v>
          </cell>
          <cell r="EA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R47">
            <v>-2.9604190404556627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-2.9604190404556627</v>
          </cell>
        </row>
        <row r="49">
          <cell r="C49">
            <v>107.87987999999999</v>
          </cell>
          <cell r="N49">
            <v>99.852920000000054</v>
          </cell>
          <cell r="O49">
            <v>-0.76836000000000004</v>
          </cell>
          <cell r="P49">
            <v>0</v>
          </cell>
          <cell r="Q49">
            <v>0</v>
          </cell>
          <cell r="R49">
            <v>0</v>
          </cell>
          <cell r="S49">
            <v>-0.19602</v>
          </cell>
          <cell r="T49">
            <v>0</v>
          </cell>
          <cell r="U49">
            <v>0</v>
          </cell>
          <cell r="V49">
            <v>-1.8929499999999999</v>
          </cell>
          <cell r="W49">
            <v>0</v>
          </cell>
          <cell r="X49">
            <v>0</v>
          </cell>
          <cell r="Y49">
            <v>-1.5440000000000001E-2</v>
          </cell>
          <cell r="Z49">
            <v>8.6770000000000028E-2</v>
          </cell>
          <cell r="AA49">
            <v>7.7999999999999999E-4</v>
          </cell>
          <cell r="AB49">
            <v>0</v>
          </cell>
          <cell r="AC49">
            <v>-276.81551999999999</v>
          </cell>
          <cell r="AD49">
            <v>0.25</v>
          </cell>
          <cell r="AE49">
            <v>-7.7189999999999995E-2</v>
          </cell>
          <cell r="AF49">
            <v>0</v>
          </cell>
          <cell r="AG49">
            <v>0</v>
          </cell>
          <cell r="AH49">
            <v>31.654859999999985</v>
          </cell>
          <cell r="AI49">
            <v>18.429200000000002</v>
          </cell>
          <cell r="AJ49">
            <v>-1.9194200000000001</v>
          </cell>
          <cell r="AK49">
            <v>-0.72523000000000004</v>
          </cell>
          <cell r="AL49">
            <v>-29.669020000000007</v>
          </cell>
          <cell r="AM49">
            <v>53.44748000000002</v>
          </cell>
          <cell r="AN49">
            <v>-51.126470000000012</v>
          </cell>
          <cell r="AO49">
            <v>-1.4812000000000001</v>
          </cell>
          <cell r="AP49">
            <v>-0.22946</v>
          </cell>
          <cell r="AQ49">
            <v>-0.46736</v>
          </cell>
          <cell r="AR49">
            <v>-0.52654000000000001</v>
          </cell>
          <cell r="AT49">
            <v>-0.60704000000000102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2.2388100000000009</v>
          </cell>
          <cell r="BF49">
            <v>-0.20445000000000146</v>
          </cell>
          <cell r="BG49">
            <v>-4.3922400000000001</v>
          </cell>
          <cell r="BH49">
            <v>0.29409000000000002</v>
          </cell>
          <cell r="BI49">
            <v>0.30141000000000001</v>
          </cell>
          <cell r="BJ49">
            <v>0</v>
          </cell>
          <cell r="BK49">
            <v>-164.55758999999998</v>
          </cell>
          <cell r="EA49">
            <v>29.582059999999998</v>
          </cell>
          <cell r="EL49">
            <v>32.268470000000065</v>
          </cell>
          <cell r="EM49">
            <v>-0.76836000000000004</v>
          </cell>
          <cell r="EN49">
            <v>0</v>
          </cell>
          <cell r="EO49">
            <v>0</v>
          </cell>
          <cell r="EP49">
            <v>0</v>
          </cell>
          <cell r="EQ49">
            <v>-7.6479999999999979E-2</v>
          </cell>
          <cell r="ER49">
            <v>0</v>
          </cell>
          <cell r="ES49">
            <v>0</v>
          </cell>
          <cell r="ET49">
            <v>3.20418</v>
          </cell>
          <cell r="EU49">
            <v>0</v>
          </cell>
          <cell r="EV49">
            <v>0</v>
          </cell>
          <cell r="EW49">
            <v>-1.5440000000000001E-2</v>
          </cell>
          <cell r="EX49">
            <v>-0.14687</v>
          </cell>
          <cell r="EY49">
            <v>7.7999999999999999E-4</v>
          </cell>
          <cell r="EZ49">
            <v>0</v>
          </cell>
          <cell r="FA49">
            <v>-11.174289999999985</v>
          </cell>
          <cell r="FB49">
            <v>0</v>
          </cell>
          <cell r="FC49">
            <v>-2.8969999999999996E-2</v>
          </cell>
          <cell r="FD49">
            <v>0</v>
          </cell>
          <cell r="FE49">
            <v>0</v>
          </cell>
          <cell r="FF49">
            <v>-38.568180000000012</v>
          </cell>
          <cell r="FG49">
            <v>18.429200000000002</v>
          </cell>
          <cell r="FH49">
            <v>0.60528000000000004</v>
          </cell>
          <cell r="FI49">
            <v>-0.72523000000000004</v>
          </cell>
          <cell r="FJ49">
            <v>-8.1909799999999997</v>
          </cell>
          <cell r="FK49">
            <v>18.618490000000008</v>
          </cell>
          <cell r="FL49">
            <v>-19.313549999999999</v>
          </cell>
          <cell r="FM49">
            <v>-0.50326000000000004</v>
          </cell>
          <cell r="FN49">
            <v>-9.2609999999999998E-2</v>
          </cell>
          <cell r="FO49">
            <v>-0.15732000000000002</v>
          </cell>
          <cell r="FP49">
            <v>-0.20622000000000001</v>
          </cell>
          <cell r="FR49">
            <v>-0.20235000000000092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-29.831409999999998</v>
          </cell>
          <cell r="GD49">
            <v>-0.20445000000000146</v>
          </cell>
          <cell r="GE49">
            <v>-4.3922400000000001</v>
          </cell>
          <cell r="GF49">
            <v>-3.0399999999999872E-3</v>
          </cell>
          <cell r="GG49">
            <v>0.30141000000000001</v>
          </cell>
          <cell r="GH49">
            <v>0</v>
          </cell>
          <cell r="GI49">
            <v>-41.173439999999921</v>
          </cell>
        </row>
        <row r="50">
          <cell r="C50">
            <v>116.86346999999999</v>
          </cell>
          <cell r="N50">
            <v>107.83339999999997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-0.23497999999999999</v>
          </cell>
          <cell r="T50">
            <v>-5.4690000000000003E-2</v>
          </cell>
          <cell r="U50">
            <v>0</v>
          </cell>
          <cell r="V50">
            <v>-2.7160000000000295E-2</v>
          </cell>
          <cell r="W50">
            <v>0</v>
          </cell>
          <cell r="X50">
            <v>0</v>
          </cell>
          <cell r="Y50">
            <v>-4.4999999999999999E-4</v>
          </cell>
          <cell r="Z50">
            <v>1.2299999999999534E-3</v>
          </cell>
          <cell r="AA50">
            <v>2.0000000000000002E-5</v>
          </cell>
          <cell r="AB50">
            <v>0</v>
          </cell>
          <cell r="AC50">
            <v>-61.023650000000004</v>
          </cell>
          <cell r="AD50">
            <v>1.1009999999999999E-2</v>
          </cell>
          <cell r="AE50">
            <v>-1.3800000000000002E-2</v>
          </cell>
          <cell r="AF50">
            <v>0</v>
          </cell>
          <cell r="AG50">
            <v>0</v>
          </cell>
          <cell r="AH50">
            <v>-279.39751999999999</v>
          </cell>
          <cell r="AI50">
            <v>-6.3721000000000014</v>
          </cell>
          <cell r="AJ50">
            <v>14.02411</v>
          </cell>
          <cell r="AK50">
            <v>0.37739000000000006</v>
          </cell>
          <cell r="AL50">
            <v>-30.634029999999992</v>
          </cell>
          <cell r="AM50">
            <v>51.751260000000023</v>
          </cell>
          <cell r="AN50">
            <v>-48.529649999999997</v>
          </cell>
          <cell r="AO50">
            <v>-1.3779299999999999</v>
          </cell>
          <cell r="AP50">
            <v>-0.73621999999999999</v>
          </cell>
          <cell r="AQ50">
            <v>-3.6945300000000003</v>
          </cell>
          <cell r="AR50">
            <v>-3.70994</v>
          </cell>
          <cell r="AT50">
            <v>-5.9830400000000017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-0.99236000000000013</v>
          </cell>
          <cell r="BH50">
            <v>-1.3900000000000003E-2</v>
          </cell>
          <cell r="BI50">
            <v>2.0699999999999998E-3</v>
          </cell>
          <cell r="BJ50">
            <v>0</v>
          </cell>
          <cell r="BK50">
            <v>-268.79545999999993</v>
          </cell>
          <cell r="EA50">
            <v>32.628829999999994</v>
          </cell>
          <cell r="EL50">
            <v>34.828909999999993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-7.3019999999999974E-2</v>
          </cell>
          <cell r="ER50">
            <v>0</v>
          </cell>
          <cell r="ES50">
            <v>0</v>
          </cell>
          <cell r="ET50">
            <v>6.7591000000000001</v>
          </cell>
          <cell r="EU50">
            <v>0</v>
          </cell>
          <cell r="EV50">
            <v>0</v>
          </cell>
          <cell r="EW50">
            <v>-4.4999999999999999E-4</v>
          </cell>
          <cell r="EX50">
            <v>-0.30767</v>
          </cell>
          <cell r="EY50">
            <v>2.0000000000000002E-5</v>
          </cell>
          <cell r="EZ50">
            <v>0</v>
          </cell>
          <cell r="FA50">
            <v>-13.883350000000007</v>
          </cell>
          <cell r="FB50">
            <v>0</v>
          </cell>
          <cell r="FC50">
            <v>-4.5500000000000002E-3</v>
          </cell>
          <cell r="FD50">
            <v>0</v>
          </cell>
          <cell r="FE50">
            <v>0</v>
          </cell>
          <cell r="FF50">
            <v>-14.594130000000007</v>
          </cell>
          <cell r="FG50">
            <v>-6.3721000000000014</v>
          </cell>
          <cell r="FH50">
            <v>1.2399500000000021</v>
          </cell>
          <cell r="FI50">
            <v>0.37739000000000006</v>
          </cell>
          <cell r="FJ50">
            <v>-8.802850000000003</v>
          </cell>
          <cell r="FK50">
            <v>18.693820000000002</v>
          </cell>
          <cell r="FL50">
            <v>-19.003800000000005</v>
          </cell>
          <cell r="FM50">
            <v>-0.44040999999999997</v>
          </cell>
          <cell r="FN50">
            <v>-0.24826000000000004</v>
          </cell>
          <cell r="FO50">
            <v>-1.1859999999999999</v>
          </cell>
          <cell r="FP50">
            <v>-1.1963000000000004</v>
          </cell>
          <cell r="FR50">
            <v>-1.9953499999999997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-0.99236000000000013</v>
          </cell>
          <cell r="GF50">
            <v>-4.7870000000000003E-2</v>
          </cell>
          <cell r="GG50">
            <v>2.0699999999999998E-3</v>
          </cell>
          <cell r="GH50">
            <v>0</v>
          </cell>
          <cell r="GI50">
            <v>-7.247210000000031</v>
          </cell>
        </row>
        <row r="51">
          <cell r="C51">
            <v>16.86</v>
          </cell>
          <cell r="N51">
            <v>16.100000000000019</v>
          </cell>
          <cell r="O51">
            <v>1.9541989586175455E-2</v>
          </cell>
          <cell r="P51">
            <v>0</v>
          </cell>
          <cell r="Q51">
            <v>0</v>
          </cell>
          <cell r="R51">
            <v>0</v>
          </cell>
          <cell r="S51">
            <v>-6.9859167149557977E-2</v>
          </cell>
          <cell r="T51">
            <v>0</v>
          </cell>
          <cell r="U51">
            <v>0</v>
          </cell>
          <cell r="V51">
            <v>3.7943070585443134E-2</v>
          </cell>
          <cell r="W51">
            <v>0</v>
          </cell>
          <cell r="X51">
            <v>0</v>
          </cell>
          <cell r="Y51">
            <v>9.4547890627096304E-4</v>
          </cell>
          <cell r="Z51">
            <v>-1.6739247745209554E-3</v>
          </cell>
          <cell r="AA51">
            <v>0</v>
          </cell>
          <cell r="AB51">
            <v>0</v>
          </cell>
          <cell r="AC51">
            <v>-5.9435790565129363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5.9435790565129363</v>
          </cell>
          <cell r="AI51">
            <v>-9.4547890627096304E-4</v>
          </cell>
          <cell r="AJ51">
            <v>0</v>
          </cell>
          <cell r="AK51">
            <v>0</v>
          </cell>
          <cell r="AL51">
            <v>-4.1841856941889377</v>
          </cell>
          <cell r="AM51">
            <v>0</v>
          </cell>
          <cell r="AN51">
            <v>0</v>
          </cell>
          <cell r="AO51">
            <v>-1.6153272943802226</v>
          </cell>
          <cell r="AP51">
            <v>-0.15258426453223126</v>
          </cell>
          <cell r="AQ51">
            <v>-0.5143456231286031</v>
          </cell>
          <cell r="AR51">
            <v>-0.50928687894393276</v>
          </cell>
          <cell r="AT51">
            <v>-1.2771683724159923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7.83305384065764</v>
          </cell>
          <cell r="EA51">
            <v>4.8899999999999988</v>
          </cell>
          <cell r="EL51">
            <v>5.3666666666666725</v>
          </cell>
          <cell r="EM51">
            <v>6.5139965287251515E-3</v>
          </cell>
          <cell r="EN51">
            <v>0</v>
          </cell>
          <cell r="EO51">
            <v>0</v>
          </cell>
          <cell r="EP51">
            <v>0</v>
          </cell>
          <cell r="EQ51">
            <v>-2.3286389049852661E-2</v>
          </cell>
          <cell r="ER51">
            <v>0</v>
          </cell>
          <cell r="ES51">
            <v>0</v>
          </cell>
          <cell r="ET51">
            <v>1.264769019514771E-2</v>
          </cell>
          <cell r="EU51">
            <v>0</v>
          </cell>
          <cell r="EV51">
            <v>0</v>
          </cell>
          <cell r="EW51">
            <v>3.1515963542365431E-4</v>
          </cell>
          <cell r="EX51">
            <v>-5.579749248403184E-4</v>
          </cell>
          <cell r="EY51">
            <v>0</v>
          </cell>
          <cell r="EZ51">
            <v>0</v>
          </cell>
          <cell r="FA51">
            <v>-1.9811930188376454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1.9811930188376454</v>
          </cell>
          <cell r="FG51">
            <v>-3.1515963542365431E-4</v>
          </cell>
          <cell r="FH51">
            <v>0</v>
          </cell>
          <cell r="FI51">
            <v>0</v>
          </cell>
          <cell r="FJ51">
            <v>-1.3947285647296459</v>
          </cell>
          <cell r="FK51">
            <v>0</v>
          </cell>
          <cell r="FL51">
            <v>0</v>
          </cell>
          <cell r="FM51">
            <v>-0.5384424314600742</v>
          </cell>
          <cell r="FN51">
            <v>-5.0861421510743757E-2</v>
          </cell>
          <cell r="FO51">
            <v>-0.17144854104286772</v>
          </cell>
          <cell r="FP51">
            <v>-0.16976229298131096</v>
          </cell>
          <cell r="FR51">
            <v>-0.42572279080533082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2.6110179468858794</v>
          </cell>
        </row>
        <row r="53">
          <cell r="C53">
            <v>475.33717000000013</v>
          </cell>
          <cell r="N53">
            <v>-354.16648000000021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-1.5897599999999998</v>
          </cell>
          <cell r="T53">
            <v>0</v>
          </cell>
          <cell r="U53">
            <v>0</v>
          </cell>
          <cell r="V53">
            <v>-37.646470000000001</v>
          </cell>
          <cell r="W53">
            <v>0</v>
          </cell>
          <cell r="X53">
            <v>0</v>
          </cell>
          <cell r="Y53">
            <v>-1.1333099999999998</v>
          </cell>
          <cell r="Z53">
            <v>2.5972200000000005</v>
          </cell>
          <cell r="AA53">
            <v>5.8750000000000004E-2</v>
          </cell>
          <cell r="AB53">
            <v>0</v>
          </cell>
          <cell r="AC53">
            <v>-94.045370000000005</v>
          </cell>
          <cell r="AD53">
            <v>0</v>
          </cell>
          <cell r="AE53">
            <v>-0.29175999999999996</v>
          </cell>
          <cell r="AF53">
            <v>-3.3062</v>
          </cell>
          <cell r="AG53">
            <v>0</v>
          </cell>
          <cell r="AH53">
            <v>121.2736</v>
          </cell>
          <cell r="AI53">
            <v>7.7826300000000002</v>
          </cell>
          <cell r="AJ53">
            <v>-3.0191599999999994</v>
          </cell>
          <cell r="AK53">
            <v>-0.26400000000000001</v>
          </cell>
          <cell r="AL53">
            <v>-98.623579999999976</v>
          </cell>
          <cell r="AM53">
            <v>230.74423999999999</v>
          </cell>
          <cell r="AN53">
            <v>-78.225339999999989</v>
          </cell>
          <cell r="AO53">
            <v>-8.7863399999999992</v>
          </cell>
          <cell r="AP53">
            <v>-1.02921</v>
          </cell>
          <cell r="AQ53">
            <v>-24.607370000000003</v>
          </cell>
          <cell r="AR53">
            <v>-13.585999999999999</v>
          </cell>
          <cell r="AT53">
            <v>-16.680779999999999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2.5</v>
          </cell>
          <cell r="BG53">
            <v>0.37546999999999991</v>
          </cell>
          <cell r="BH53">
            <v>-0.16042000000000001</v>
          </cell>
          <cell r="BI53">
            <v>-3.1700000000000001E-3</v>
          </cell>
          <cell r="BJ53">
            <v>0</v>
          </cell>
          <cell r="BK53">
            <v>-371.83281000000022</v>
          </cell>
          <cell r="EA53">
            <v>63.036920000000009</v>
          </cell>
          <cell r="EL53">
            <v>169.08209999999997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-0.7013299999999999</v>
          </cell>
          <cell r="ER53">
            <v>0</v>
          </cell>
          <cell r="ES53">
            <v>0</v>
          </cell>
          <cell r="ET53">
            <v>-16.386680000000002</v>
          </cell>
          <cell r="EU53">
            <v>0</v>
          </cell>
          <cell r="EV53">
            <v>0</v>
          </cell>
          <cell r="EW53">
            <v>-1.1333099999999998</v>
          </cell>
          <cell r="EX53">
            <v>1.1305100000000003</v>
          </cell>
          <cell r="EY53">
            <v>5.8750000000000004E-2</v>
          </cell>
          <cell r="EZ53">
            <v>0</v>
          </cell>
          <cell r="FA53">
            <v>-36.823170000000005</v>
          </cell>
          <cell r="FB53">
            <v>0</v>
          </cell>
          <cell r="FC53">
            <v>-9.9479999999999957E-2</v>
          </cell>
          <cell r="FD53">
            <v>-0.8455499999999998</v>
          </cell>
          <cell r="FE53">
            <v>0</v>
          </cell>
          <cell r="FF53">
            <v>34.339950000000002</v>
          </cell>
          <cell r="FG53">
            <v>7.7826300000000002</v>
          </cell>
          <cell r="FH53">
            <v>-0.76144999999999952</v>
          </cell>
          <cell r="FI53">
            <v>-0.26400000000000001</v>
          </cell>
          <cell r="FJ53">
            <v>-12.75836000000001</v>
          </cell>
          <cell r="FK53">
            <v>20.82602</v>
          </cell>
          <cell r="FL53">
            <v>-42.010949999999994</v>
          </cell>
          <cell r="FM53">
            <v>-2.5501999999999994</v>
          </cell>
          <cell r="FN53">
            <v>-0.44840999999999998</v>
          </cell>
          <cell r="FO53">
            <v>-8.0835900000000009</v>
          </cell>
          <cell r="FP53">
            <v>-6.0542099999999985</v>
          </cell>
          <cell r="FR53">
            <v>-4.9909800000000004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2.5</v>
          </cell>
          <cell r="GE53">
            <v>0.37546999999999991</v>
          </cell>
          <cell r="GF53">
            <v>-0.15743000000000001</v>
          </cell>
          <cell r="GG53">
            <v>-3.1700000000000001E-3</v>
          </cell>
          <cell r="GH53">
            <v>0</v>
          </cell>
          <cell r="GI53">
            <v>102.02315999999996</v>
          </cell>
        </row>
        <row r="54">
          <cell r="C54">
            <v>463.15492</v>
          </cell>
          <cell r="N54">
            <v>259.18831999999998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-7.238E-2</v>
          </cell>
          <cell r="T54">
            <v>-0.12579000000000001</v>
          </cell>
          <cell r="U54">
            <v>0</v>
          </cell>
          <cell r="V54">
            <v>-42.982469999999999</v>
          </cell>
          <cell r="W54">
            <v>0</v>
          </cell>
          <cell r="X54">
            <v>0</v>
          </cell>
          <cell r="Y54">
            <v>-1.9631399999999999</v>
          </cell>
          <cell r="Z54">
            <v>2.8183100000000003</v>
          </cell>
          <cell r="AA54">
            <v>0.10479000000000001</v>
          </cell>
          <cell r="AB54">
            <v>0</v>
          </cell>
          <cell r="AC54">
            <v>-63.621850000000002</v>
          </cell>
          <cell r="AD54">
            <v>4.725E-2</v>
          </cell>
          <cell r="AE54">
            <v>-2.6079999999999999E-2</v>
          </cell>
          <cell r="AF54">
            <v>-6.8342499999999999</v>
          </cell>
          <cell r="AG54">
            <v>0</v>
          </cell>
          <cell r="AH54">
            <v>220.35354000000001</v>
          </cell>
          <cell r="AI54">
            <v>10.05467</v>
          </cell>
          <cell r="AJ54">
            <v>-9.4316499999999976</v>
          </cell>
          <cell r="AK54">
            <v>-0.31137999999999999</v>
          </cell>
          <cell r="AL54">
            <v>-98.206249999999997</v>
          </cell>
          <cell r="AM54">
            <v>106.85888</v>
          </cell>
          <cell r="AN54">
            <v>-68.855189999999993</v>
          </cell>
          <cell r="AO54">
            <v>-16.522570000000002</v>
          </cell>
          <cell r="AP54">
            <v>-1.2632599999999998</v>
          </cell>
          <cell r="AQ54">
            <v>-7.1179100000000002</v>
          </cell>
          <cell r="AR54">
            <v>-8.1172399999999989</v>
          </cell>
          <cell r="AT54">
            <v>-5.89072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-0.36175999999999997</v>
          </cell>
          <cell r="BH54">
            <v>1.5520000000000003E-2</v>
          </cell>
          <cell r="BI54">
            <v>1.4000000000000001E-4</v>
          </cell>
          <cell r="BJ54">
            <v>0</v>
          </cell>
          <cell r="BK54">
            <v>267.73752999999994</v>
          </cell>
          <cell r="EA54">
            <v>41.591589999999997</v>
          </cell>
          <cell r="EL54">
            <v>81.852989999999977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-3.1020000000000006E-2</v>
          </cell>
          <cell r="ER54">
            <v>0</v>
          </cell>
          <cell r="ES54">
            <v>0</v>
          </cell>
          <cell r="ET54">
            <v>-12.152730000000002</v>
          </cell>
          <cell r="EU54">
            <v>0</v>
          </cell>
          <cell r="EV54">
            <v>0</v>
          </cell>
          <cell r="EW54">
            <v>-1.9631399999999999</v>
          </cell>
          <cell r="EX54">
            <v>0.79684000000000044</v>
          </cell>
          <cell r="EY54">
            <v>0.10479000000000001</v>
          </cell>
          <cell r="EZ54">
            <v>0</v>
          </cell>
          <cell r="FA54">
            <v>-18.107060000000004</v>
          </cell>
          <cell r="FB54">
            <v>4.725E-2</v>
          </cell>
          <cell r="FC54">
            <v>-8.5999999999999965E-3</v>
          </cell>
          <cell r="FD54">
            <v>-0.28669999999999973</v>
          </cell>
          <cell r="FE54">
            <v>0</v>
          </cell>
          <cell r="FF54">
            <v>39.369929999999982</v>
          </cell>
          <cell r="FG54">
            <v>10.05467</v>
          </cell>
          <cell r="FH54">
            <v>-6.7189999999998307E-2</v>
          </cell>
          <cell r="FI54">
            <v>-0.31137999999999999</v>
          </cell>
          <cell r="FJ54">
            <v>-10.501940000000005</v>
          </cell>
          <cell r="FK54">
            <v>20.395870000000002</v>
          </cell>
          <cell r="FL54">
            <v>-28.692959999999985</v>
          </cell>
          <cell r="FM54">
            <v>-4.938270000000001</v>
          </cell>
          <cell r="FN54">
            <v>-0.44759999999999978</v>
          </cell>
          <cell r="FO54">
            <v>-2.2323500000000003</v>
          </cell>
          <cell r="FP54">
            <v>-2.6047699999999985</v>
          </cell>
          <cell r="FR54">
            <v>-2.0317099999999999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-0.36175999999999997</v>
          </cell>
          <cell r="GF54">
            <v>5.170000000000001E-3</v>
          </cell>
          <cell r="GG54">
            <v>1.4000000000000001E-4</v>
          </cell>
          <cell r="GH54">
            <v>0</v>
          </cell>
          <cell r="GI54">
            <v>67.88846999999997</v>
          </cell>
        </row>
        <row r="55">
          <cell r="C55">
            <v>469.05</v>
          </cell>
          <cell r="N55">
            <v>257.2952052992224</v>
          </cell>
          <cell r="O55">
            <v>-11.469605817462952</v>
          </cell>
          <cell r="P55">
            <v>0</v>
          </cell>
          <cell r="Q55">
            <v>0</v>
          </cell>
          <cell r="R55">
            <v>0</v>
          </cell>
          <cell r="S55">
            <v>-2.3266239805675699</v>
          </cell>
          <cell r="T55">
            <v>0</v>
          </cell>
          <cell r="U55">
            <v>0</v>
          </cell>
          <cell r="V55">
            <v>-39.722742995235507</v>
          </cell>
          <cell r="W55">
            <v>0</v>
          </cell>
          <cell r="X55">
            <v>0</v>
          </cell>
          <cell r="Y55">
            <v>-0.98538203728496432</v>
          </cell>
          <cell r="Z55">
            <v>2.3158897577764948</v>
          </cell>
          <cell r="AA55">
            <v>0</v>
          </cell>
          <cell r="AB55">
            <v>0</v>
          </cell>
          <cell r="AC55">
            <v>-103.41014878141276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105.91014878141276</v>
          </cell>
          <cell r="AI55">
            <v>0.98538203728496432</v>
          </cell>
          <cell r="AJ55">
            <v>0</v>
          </cell>
          <cell r="AK55">
            <v>0</v>
          </cell>
          <cell r="AL55">
            <v>-60.967808723147954</v>
          </cell>
          <cell r="AM55">
            <v>0</v>
          </cell>
          <cell r="AN55">
            <v>0</v>
          </cell>
          <cell r="AO55">
            <v>-10.246153676641885</v>
          </cell>
          <cell r="AP55">
            <v>-1.2288779766580245</v>
          </cell>
          <cell r="AQ55">
            <v>-27.321338143037636</v>
          </cell>
          <cell r="AR55">
            <v>-14.49206280590289</v>
          </cell>
          <cell r="AT55">
            <v>-6.1187878114411349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88.217093126903322</v>
          </cell>
          <cell r="EA55">
            <v>53.890000000000043</v>
          </cell>
          <cell r="EL55">
            <v>85.765068433074134</v>
          </cell>
          <cell r="EM55">
            <v>-3.8232019391543162</v>
          </cell>
          <cell r="EN55">
            <v>0</v>
          </cell>
          <cell r="EO55">
            <v>0</v>
          </cell>
          <cell r="EP55">
            <v>0</v>
          </cell>
          <cell r="EQ55">
            <v>-0.77554132685585664</v>
          </cell>
          <cell r="ER55">
            <v>0</v>
          </cell>
          <cell r="ES55">
            <v>0</v>
          </cell>
          <cell r="ET55">
            <v>-13.240914331745167</v>
          </cell>
          <cell r="EU55">
            <v>0</v>
          </cell>
          <cell r="EV55">
            <v>0</v>
          </cell>
          <cell r="EW55">
            <v>-0.32846067909498811</v>
          </cell>
          <cell r="EX55">
            <v>0.77196325259216492</v>
          </cell>
          <cell r="EY55">
            <v>0</v>
          </cell>
          <cell r="EZ55">
            <v>0</v>
          </cell>
          <cell r="FA55">
            <v>-34.470049593804262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35.303382927137591</v>
          </cell>
          <cell r="FG55">
            <v>0.32846067909498811</v>
          </cell>
          <cell r="FH55">
            <v>0</v>
          </cell>
          <cell r="FI55">
            <v>0</v>
          </cell>
          <cell r="FJ55">
            <v>-20.322602907715982</v>
          </cell>
          <cell r="FK55">
            <v>0</v>
          </cell>
          <cell r="FL55">
            <v>0</v>
          </cell>
          <cell r="FM55">
            <v>-3.4153845588806284</v>
          </cell>
          <cell r="FN55">
            <v>-0.40962599221934137</v>
          </cell>
          <cell r="FO55">
            <v>-9.1071127143458774</v>
          </cell>
          <cell r="FP55">
            <v>-4.8306876019676288</v>
          </cell>
          <cell r="FR55">
            <v>-2.0395959371470447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29.405697708967789</v>
          </cell>
        </row>
        <row r="57">
          <cell r="C57">
            <v>1851.5454900000002</v>
          </cell>
          <cell r="N57">
            <v>1193.7286300000001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-30.1463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-7.2389999999999999</v>
          </cell>
          <cell r="AF57">
            <v>0</v>
          </cell>
          <cell r="AG57">
            <v>0</v>
          </cell>
          <cell r="AH57">
            <v>25.481729999999999</v>
          </cell>
          <cell r="AI57">
            <v>1.0139100000000001</v>
          </cell>
          <cell r="AJ57">
            <v>-1.13053</v>
          </cell>
          <cell r="AK57">
            <v>-5.9549999999999999E-2</v>
          </cell>
          <cell r="AL57">
            <v>-352.41414000000003</v>
          </cell>
          <cell r="AM57">
            <v>249.49959000000004</v>
          </cell>
          <cell r="AN57">
            <v>-121.10840000000002</v>
          </cell>
          <cell r="AO57">
            <v>-27.954509999999999</v>
          </cell>
          <cell r="AP57">
            <v>-6.8707200000000004</v>
          </cell>
          <cell r="AQ57">
            <v>-54.415980000000005</v>
          </cell>
          <cell r="AR57">
            <v>-36.95928</v>
          </cell>
          <cell r="AT57">
            <v>-1044.3753400000001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-212.94989000000001</v>
          </cell>
          <cell r="EA57">
            <v>282.67289000000005</v>
          </cell>
          <cell r="EL57">
            <v>417.9735300000001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-11.638809999999999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-2.7184699999999999</v>
          </cell>
          <cell r="FD57">
            <v>0</v>
          </cell>
          <cell r="FE57">
            <v>0</v>
          </cell>
          <cell r="FF57">
            <v>0</v>
          </cell>
          <cell r="FG57">
            <v>1.0139100000000001</v>
          </cell>
          <cell r="FH57">
            <v>6.0359999999999969E-2</v>
          </cell>
          <cell r="FI57">
            <v>-5.9549999999999999E-2</v>
          </cell>
          <cell r="FJ57">
            <v>-52.976940000000013</v>
          </cell>
          <cell r="FK57">
            <v>30.546780000000012</v>
          </cell>
          <cell r="FL57">
            <v>-55.788730000000029</v>
          </cell>
          <cell r="FM57">
            <v>-8.1326399999999985</v>
          </cell>
          <cell r="FN57">
            <v>-2.6578500000000007</v>
          </cell>
          <cell r="FO57">
            <v>-17.867740000000005</v>
          </cell>
          <cell r="FP57">
            <v>-12.838900000000002</v>
          </cell>
          <cell r="FR57">
            <v>-189.47309999999993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95.44185000000013</v>
          </cell>
        </row>
        <row r="58">
          <cell r="C58">
            <v>1842.1648699999998</v>
          </cell>
          <cell r="N58">
            <v>1182.7088899999999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-37.665959999999998</v>
          </cell>
          <cell r="T58">
            <v>-7.5600000000000007E-3</v>
          </cell>
          <cell r="U58">
            <v>0</v>
          </cell>
          <cell r="V58">
            <v>-2.1089099999999998</v>
          </cell>
          <cell r="W58">
            <v>0</v>
          </cell>
          <cell r="X58">
            <v>0</v>
          </cell>
          <cell r="Y58">
            <v>-4.8550000000000003E-2</v>
          </cell>
          <cell r="Z58">
            <v>7.2620000000000004E-2</v>
          </cell>
          <cell r="AA58">
            <v>2.99E-3</v>
          </cell>
          <cell r="AB58">
            <v>0</v>
          </cell>
          <cell r="AC58">
            <v>-0.13219</v>
          </cell>
          <cell r="AD58">
            <v>2.3844000000000003</v>
          </cell>
          <cell r="AE58">
            <v>-13.38184</v>
          </cell>
          <cell r="AF58">
            <v>0</v>
          </cell>
          <cell r="AG58">
            <v>0</v>
          </cell>
          <cell r="AH58">
            <v>21.044800000000002</v>
          </cell>
          <cell r="AI58">
            <v>0.50107000000000002</v>
          </cell>
          <cell r="AJ58">
            <v>-0.28674999999999962</v>
          </cell>
          <cell r="AK58">
            <v>-9.5999999999999905E-4</v>
          </cell>
          <cell r="AL58">
            <v>-349.02260000000001</v>
          </cell>
          <cell r="AM58">
            <v>248.67206000000004</v>
          </cell>
          <cell r="AN58">
            <v>-120.42100000000003</v>
          </cell>
          <cell r="AO58">
            <v>-18.763960000000001</v>
          </cell>
          <cell r="AP58">
            <v>-8.6708400000000001</v>
          </cell>
          <cell r="AQ58">
            <v>-90.03273999999999</v>
          </cell>
          <cell r="AR58">
            <v>-65.262500000000003</v>
          </cell>
          <cell r="AT58">
            <v>-1063.1072099999999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-313.52674000000002</v>
          </cell>
          <cell r="EA58">
            <v>289.43585999999982</v>
          </cell>
          <cell r="EL58">
            <v>419.73381999999992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-14.149349999999995</v>
          </cell>
          <cell r="ER58">
            <v>0</v>
          </cell>
          <cell r="ES58">
            <v>0</v>
          </cell>
          <cell r="ET58">
            <v>0.97411000000000003</v>
          </cell>
          <cell r="EU58">
            <v>0</v>
          </cell>
          <cell r="EV58">
            <v>0</v>
          </cell>
          <cell r="EW58">
            <v>-4.8550000000000003E-2</v>
          </cell>
          <cell r="EX58">
            <v>-3.3549999999999996E-2</v>
          </cell>
          <cell r="EY58">
            <v>2.99E-3</v>
          </cell>
          <cell r="EZ58">
            <v>0</v>
          </cell>
          <cell r="FA58">
            <v>0</v>
          </cell>
          <cell r="FB58">
            <v>0</v>
          </cell>
          <cell r="FC58">
            <v>-4.427109999999999</v>
          </cell>
          <cell r="FD58">
            <v>0</v>
          </cell>
          <cell r="FE58">
            <v>0</v>
          </cell>
          <cell r="FF58">
            <v>14.559620000000002</v>
          </cell>
          <cell r="FG58">
            <v>0.50107000000000002</v>
          </cell>
          <cell r="FH58">
            <v>-0.72848999999999964</v>
          </cell>
          <cell r="FI58">
            <v>-9.5999999999999905E-4</v>
          </cell>
          <cell r="FJ58">
            <v>-53.863249999999994</v>
          </cell>
          <cell r="FK58">
            <v>29.688049999999976</v>
          </cell>
          <cell r="FL58">
            <v>-54.233320000000035</v>
          </cell>
          <cell r="FM58">
            <v>-5.4871000000000016</v>
          </cell>
          <cell r="FN58">
            <v>-3.5503300000000007</v>
          </cell>
          <cell r="FO58">
            <v>-25.354590000000002</v>
          </cell>
          <cell r="FP58">
            <v>-24.55980000000001</v>
          </cell>
          <cell r="FR58">
            <v>-195.88299999999992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83.140259999999941</v>
          </cell>
        </row>
        <row r="59">
          <cell r="C59">
            <v>1675.13</v>
          </cell>
          <cell r="N59">
            <v>1122.198744404993</v>
          </cell>
          <cell r="O59">
            <v>-72.55782311870388</v>
          </cell>
          <cell r="P59">
            <v>0</v>
          </cell>
          <cell r="Q59">
            <v>0</v>
          </cell>
          <cell r="R59">
            <v>0</v>
          </cell>
          <cell r="S59">
            <v>-44.146070359394528</v>
          </cell>
          <cell r="T59">
            <v>-8.7955930335225396</v>
          </cell>
          <cell r="U59">
            <v>0</v>
          </cell>
          <cell r="V59">
            <v>-51.893452409902217</v>
          </cell>
          <cell r="W59">
            <v>0</v>
          </cell>
          <cell r="X59">
            <v>0</v>
          </cell>
          <cell r="Y59">
            <v>-1.6778671734419082</v>
          </cell>
          <cell r="Z59">
            <v>3.1550696261888262</v>
          </cell>
          <cell r="AA59">
            <v>0</v>
          </cell>
          <cell r="AB59">
            <v>0</v>
          </cell>
          <cell r="AC59">
            <v>15.378383298536038</v>
          </cell>
          <cell r="AD59">
            <v>0</v>
          </cell>
          <cell r="AE59">
            <v>0</v>
          </cell>
          <cell r="AF59">
            <v>-15.378383298536038</v>
          </cell>
          <cell r="AG59">
            <v>0</v>
          </cell>
          <cell r="AH59">
            <v>0</v>
          </cell>
          <cell r="AI59">
            <v>1.6778671734419082</v>
          </cell>
          <cell r="AJ59">
            <v>0</v>
          </cell>
          <cell r="AK59">
            <v>0</v>
          </cell>
          <cell r="AL59">
            <v>-196.00425325855946</v>
          </cell>
          <cell r="AM59">
            <v>0</v>
          </cell>
          <cell r="AN59">
            <v>0</v>
          </cell>
          <cell r="AO59">
            <v>-31.354210292249579</v>
          </cell>
          <cell r="AP59">
            <v>-3.0878471895419342</v>
          </cell>
          <cell r="AQ59">
            <v>-59.202394699865593</v>
          </cell>
          <cell r="AR59">
            <v>-33.073885170843504</v>
          </cell>
          <cell r="AT59">
            <v>-742.17778767768357</v>
          </cell>
          <cell r="AU59">
            <v>134.96957729548538</v>
          </cell>
          <cell r="AV59">
            <v>0</v>
          </cell>
          <cell r="AW59">
            <v>0</v>
          </cell>
          <cell r="AX59">
            <v>96.530422704514621</v>
          </cell>
          <cell r="AY59">
            <v>0</v>
          </cell>
          <cell r="AZ59">
            <v>0</v>
          </cell>
          <cell r="BA59">
            <v>1.4961076025373894</v>
          </cell>
          <cell r="BB59">
            <v>-2.9227181610516562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-1.4961076025373894</v>
          </cell>
          <cell r="BH59">
            <v>0</v>
          </cell>
          <cell r="BI59">
            <v>0</v>
          </cell>
          <cell r="BJ59">
            <v>0</v>
          </cell>
          <cell r="BK59">
            <v>111.6377786598633</v>
          </cell>
          <cell r="EA59">
            <v>252.68000000000006</v>
          </cell>
          <cell r="EL59">
            <v>374.06624813499775</v>
          </cell>
          <cell r="EM59">
            <v>-24.185941039567965</v>
          </cell>
          <cell r="EN59">
            <v>0</v>
          </cell>
          <cell r="EO59">
            <v>0</v>
          </cell>
          <cell r="EP59">
            <v>0</v>
          </cell>
          <cell r="EQ59">
            <v>-14.715356786464842</v>
          </cell>
          <cell r="ER59">
            <v>-2.9318643445075123</v>
          </cell>
          <cell r="ES59">
            <v>0</v>
          </cell>
          <cell r="ET59">
            <v>-17.297817469967406</v>
          </cell>
          <cell r="EU59">
            <v>0</v>
          </cell>
          <cell r="EV59">
            <v>0</v>
          </cell>
          <cell r="EW59">
            <v>-0.55928905781396931</v>
          </cell>
          <cell r="EX59">
            <v>1.0516898753962756</v>
          </cell>
          <cell r="EY59">
            <v>0</v>
          </cell>
          <cell r="EZ59">
            <v>0</v>
          </cell>
          <cell r="FA59">
            <v>5.1261277661786799</v>
          </cell>
          <cell r="FB59">
            <v>0</v>
          </cell>
          <cell r="FC59">
            <v>0</v>
          </cell>
          <cell r="FD59">
            <v>-5.1261277661786799</v>
          </cell>
          <cell r="FE59">
            <v>0</v>
          </cell>
          <cell r="FF59">
            <v>0</v>
          </cell>
          <cell r="FG59">
            <v>0.55928905781396931</v>
          </cell>
          <cell r="FH59">
            <v>0</v>
          </cell>
          <cell r="FI59">
            <v>0</v>
          </cell>
          <cell r="FJ59">
            <v>-65.334751086186486</v>
          </cell>
          <cell r="FK59">
            <v>0</v>
          </cell>
          <cell r="FL59">
            <v>0</v>
          </cell>
          <cell r="FM59">
            <v>-10.45140343074986</v>
          </cell>
          <cell r="FN59">
            <v>-1.0292823965139783</v>
          </cell>
          <cell r="FO59">
            <v>-19.734131566621869</v>
          </cell>
          <cell r="FP59">
            <v>-11.024628390281165</v>
          </cell>
          <cell r="FR59">
            <v>-247.39259589256119</v>
          </cell>
          <cell r="FS59">
            <v>44.989859098495131</v>
          </cell>
          <cell r="FT59">
            <v>0</v>
          </cell>
          <cell r="FU59">
            <v>0</v>
          </cell>
          <cell r="FV59">
            <v>32.17680756817154</v>
          </cell>
          <cell r="FW59">
            <v>0</v>
          </cell>
          <cell r="FX59">
            <v>0</v>
          </cell>
          <cell r="FY59">
            <v>0.4987025341791298</v>
          </cell>
          <cell r="FZ59">
            <v>-0.97423938701721879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-0.4987025341791298</v>
          </cell>
          <cell r="GF59">
            <v>0</v>
          </cell>
          <cell r="GG59">
            <v>0</v>
          </cell>
          <cell r="GH59">
            <v>0</v>
          </cell>
          <cell r="GI59">
            <v>37.212592886621181</v>
          </cell>
        </row>
        <row r="61">
          <cell r="C61">
            <v>1713.2766399999996</v>
          </cell>
          <cell r="N61">
            <v>1414.6491899999994</v>
          </cell>
          <cell r="O61">
            <v>-28.862090000000002</v>
          </cell>
          <cell r="P61">
            <v>0</v>
          </cell>
          <cell r="Q61">
            <v>0</v>
          </cell>
          <cell r="R61">
            <v>0</v>
          </cell>
          <cell r="S61">
            <v>-18.565519999999999</v>
          </cell>
          <cell r="T61">
            <v>0</v>
          </cell>
          <cell r="U61">
            <v>0</v>
          </cell>
          <cell r="V61">
            <v>-644.3966200000001</v>
          </cell>
          <cell r="W61">
            <v>0</v>
          </cell>
          <cell r="X61">
            <v>0</v>
          </cell>
          <cell r="Y61">
            <v>-9.2274399999999996</v>
          </cell>
          <cell r="Z61">
            <v>19.412180000000003</v>
          </cell>
          <cell r="AA61">
            <v>0.27942</v>
          </cell>
          <cell r="AB61">
            <v>0</v>
          </cell>
          <cell r="AC61">
            <v>-274.21784000000002</v>
          </cell>
          <cell r="AD61">
            <v>15.18562</v>
          </cell>
          <cell r="AE61">
            <v>-7.1177599999999996</v>
          </cell>
          <cell r="AF61">
            <v>-34.972610000000003</v>
          </cell>
          <cell r="AG61">
            <v>0</v>
          </cell>
          <cell r="AH61">
            <v>626.34881999999971</v>
          </cell>
          <cell r="AI61">
            <v>120.00132000000001</v>
          </cell>
          <cell r="AJ61">
            <v>-63.138200000000005</v>
          </cell>
          <cell r="AK61">
            <v>-5.3977500000000003</v>
          </cell>
          <cell r="AL61">
            <v>-409.84538999999995</v>
          </cell>
          <cell r="AM61">
            <v>503.39546000000007</v>
          </cell>
          <cell r="AN61">
            <v>-447.34550000000002</v>
          </cell>
          <cell r="AO61">
            <v>-24.00413</v>
          </cell>
          <cell r="AP61">
            <v>-4.0130499999999998</v>
          </cell>
          <cell r="AQ61">
            <v>-29.909179999999999</v>
          </cell>
          <cell r="AR61">
            <v>-32.930980000000005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665.32794999999885</v>
          </cell>
          <cell r="EA61">
            <v>434.05786999999964</v>
          </cell>
          <cell r="EL61">
            <v>472.27068999999983</v>
          </cell>
          <cell r="EM61">
            <v>-13.883940000000001</v>
          </cell>
          <cell r="EN61">
            <v>0</v>
          </cell>
          <cell r="EO61">
            <v>0</v>
          </cell>
          <cell r="EP61">
            <v>0</v>
          </cell>
          <cell r="EQ61">
            <v>-6.7963999999999984</v>
          </cell>
          <cell r="ER61">
            <v>0</v>
          </cell>
          <cell r="ES61">
            <v>0</v>
          </cell>
          <cell r="ET61">
            <v>-222.4780100000001</v>
          </cell>
          <cell r="EU61">
            <v>0</v>
          </cell>
          <cell r="EV61">
            <v>0</v>
          </cell>
          <cell r="EW61">
            <v>-9.2274399999999996</v>
          </cell>
          <cell r="EX61">
            <v>6.6945000000000032</v>
          </cell>
          <cell r="EY61">
            <v>0.27942</v>
          </cell>
          <cell r="EZ61">
            <v>0</v>
          </cell>
          <cell r="FA61">
            <v>-95.283740000000023</v>
          </cell>
          <cell r="FB61">
            <v>1.5</v>
          </cell>
          <cell r="FC61">
            <v>-2.3749599999999997</v>
          </cell>
          <cell r="FD61">
            <v>-30.187800000000003</v>
          </cell>
          <cell r="FE61">
            <v>0</v>
          </cell>
          <cell r="FF61">
            <v>-481.74200999999994</v>
          </cell>
          <cell r="FG61">
            <v>120.00132000000001</v>
          </cell>
          <cell r="FH61">
            <v>14.914080000000006</v>
          </cell>
          <cell r="FI61">
            <v>-5.3977500000000003</v>
          </cell>
          <cell r="FJ61">
            <v>-106.01658999999995</v>
          </cell>
          <cell r="FK61">
            <v>169.61392000000001</v>
          </cell>
          <cell r="FL61">
            <v>-180.76020000000005</v>
          </cell>
          <cell r="FM61">
            <v>-7.3106200000000001</v>
          </cell>
          <cell r="FN61">
            <v>-1.6100099999999999</v>
          </cell>
          <cell r="FO61">
            <v>-9.7496799999999979</v>
          </cell>
          <cell r="FP61">
            <v>-13.260430000000007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-400.80565000000018</v>
          </cell>
        </row>
        <row r="62">
          <cell r="C62">
            <v>1545.7304800000002</v>
          </cell>
          <cell r="N62">
            <v>1286.6427999999996</v>
          </cell>
          <cell r="O62">
            <v>-11.158519999999999</v>
          </cell>
          <cell r="P62">
            <v>0</v>
          </cell>
          <cell r="Q62">
            <v>0</v>
          </cell>
          <cell r="R62">
            <v>0</v>
          </cell>
          <cell r="S62">
            <v>-46.301350000000006</v>
          </cell>
          <cell r="T62">
            <v>-0.40432000000000001</v>
          </cell>
          <cell r="U62">
            <v>0</v>
          </cell>
          <cell r="V62">
            <v>-635.05954999999994</v>
          </cell>
          <cell r="W62">
            <v>0</v>
          </cell>
          <cell r="X62">
            <v>0</v>
          </cell>
          <cell r="Y62">
            <v>-14.298680000000001</v>
          </cell>
          <cell r="Z62">
            <v>21.51999</v>
          </cell>
          <cell r="AA62">
            <v>0.64175000000000004</v>
          </cell>
          <cell r="AB62">
            <v>0</v>
          </cell>
          <cell r="AC62">
            <v>-410.40964000000002</v>
          </cell>
          <cell r="AD62">
            <v>7.9126899999999996</v>
          </cell>
          <cell r="AE62">
            <v>-22.24624</v>
          </cell>
          <cell r="AF62">
            <v>-29.801379999999998</v>
          </cell>
          <cell r="AG62">
            <v>0</v>
          </cell>
          <cell r="AH62">
            <v>923.90425000000016</v>
          </cell>
          <cell r="AI62">
            <v>-2.764069999999994</v>
          </cell>
          <cell r="AJ62">
            <v>24.257100000000001</v>
          </cell>
          <cell r="AK62">
            <v>1.5914800000000002</v>
          </cell>
          <cell r="AL62">
            <v>-364.4590399999999</v>
          </cell>
          <cell r="AM62">
            <v>496.08679000000001</v>
          </cell>
          <cell r="AN62">
            <v>-446.63388999999989</v>
          </cell>
          <cell r="AO62">
            <v>-32.73995</v>
          </cell>
          <cell r="AP62">
            <v>-9.6225899999999989</v>
          </cell>
          <cell r="AQ62">
            <v>-54.046279999999996</v>
          </cell>
          <cell r="AR62">
            <v>-58.020220000000002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624.59113000000025</v>
          </cell>
          <cell r="EA62">
            <v>375.90065000000004</v>
          </cell>
          <cell r="EL62">
            <v>431.04332999999997</v>
          </cell>
          <cell r="EM62">
            <v>-2.4501100000000005</v>
          </cell>
          <cell r="EN62">
            <v>0</v>
          </cell>
          <cell r="EO62">
            <v>0</v>
          </cell>
          <cell r="EP62">
            <v>0</v>
          </cell>
          <cell r="EQ62">
            <v>-14.841550000000005</v>
          </cell>
          <cell r="ER62">
            <v>0</v>
          </cell>
          <cell r="ES62">
            <v>0</v>
          </cell>
          <cell r="ET62">
            <v>-199.53828999999996</v>
          </cell>
          <cell r="EU62">
            <v>0</v>
          </cell>
          <cell r="EV62">
            <v>0</v>
          </cell>
          <cell r="EW62">
            <v>-14.298680000000001</v>
          </cell>
          <cell r="EX62">
            <v>6.7570699999999988</v>
          </cell>
          <cell r="EY62">
            <v>0.64175000000000004</v>
          </cell>
          <cell r="EZ62">
            <v>0</v>
          </cell>
          <cell r="FA62">
            <v>-141.34781000000004</v>
          </cell>
          <cell r="FB62">
            <v>7.9126899999999996</v>
          </cell>
          <cell r="FC62">
            <v>-6.9703100000000013</v>
          </cell>
          <cell r="FD62">
            <v>-4.7387300000000003</v>
          </cell>
          <cell r="FE62">
            <v>0</v>
          </cell>
          <cell r="FF62">
            <v>298.51002000000017</v>
          </cell>
          <cell r="FG62">
            <v>-2.764069999999994</v>
          </cell>
          <cell r="FH62">
            <v>-0.28601000000000099</v>
          </cell>
          <cell r="FI62">
            <v>1.5914800000000002</v>
          </cell>
          <cell r="FJ62">
            <v>-94.816699999999912</v>
          </cell>
          <cell r="FK62">
            <v>164.4844599999999</v>
          </cell>
          <cell r="FL62">
            <v>-174.96173000000005</v>
          </cell>
          <cell r="FM62">
            <v>-9.9614000000000011</v>
          </cell>
          <cell r="FN62">
            <v>-3.4102499999999996</v>
          </cell>
          <cell r="FO62">
            <v>-16.393799999999999</v>
          </cell>
          <cell r="FP62">
            <v>-19.574249999999999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204.58711000000011</v>
          </cell>
        </row>
        <row r="63">
          <cell r="C63">
            <v>548.30999999999995</v>
          </cell>
          <cell r="N63">
            <v>409.99612242528701</v>
          </cell>
          <cell r="O63">
            <v>-85.568887048592543</v>
          </cell>
          <cell r="P63">
            <v>0</v>
          </cell>
          <cell r="Q63">
            <v>0</v>
          </cell>
          <cell r="R63">
            <v>0</v>
          </cell>
          <cell r="S63">
            <v>-29.681920222161814</v>
          </cell>
          <cell r="T63">
            <v>0</v>
          </cell>
          <cell r="U63">
            <v>0</v>
          </cell>
          <cell r="V63">
            <v>-77.460210495519021</v>
          </cell>
          <cell r="W63">
            <v>0</v>
          </cell>
          <cell r="X63">
            <v>0</v>
          </cell>
          <cell r="Y63">
            <v>-2.2928765623151075</v>
          </cell>
          <cell r="Z63">
            <v>3.5308973393620402</v>
          </cell>
          <cell r="AA63">
            <v>0</v>
          </cell>
          <cell r="AB63">
            <v>0</v>
          </cell>
          <cell r="AC63">
            <v>-77.669375023085124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88.419375023085109</v>
          </cell>
          <cell r="AI63">
            <v>2.2928765623151075</v>
          </cell>
          <cell r="AJ63">
            <v>0</v>
          </cell>
          <cell r="AK63">
            <v>0</v>
          </cell>
          <cell r="AL63">
            <v>-87.080561475324089</v>
          </cell>
          <cell r="AM63">
            <v>0</v>
          </cell>
          <cell r="AN63">
            <v>0</v>
          </cell>
          <cell r="AO63">
            <v>-27.475043066383122</v>
          </cell>
          <cell r="AP63">
            <v>-3.3831378374461627</v>
          </cell>
          <cell r="AQ63">
            <v>-35.052958722648341</v>
          </cell>
          <cell r="AR63">
            <v>-37.4342016114459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41.140099285128059</v>
          </cell>
          <cell r="EA63">
            <v>104.48999999999995</v>
          </cell>
          <cell r="EL63">
            <v>136.6653741417623</v>
          </cell>
          <cell r="EM63">
            <v>-28.522962349530843</v>
          </cell>
          <cell r="EN63">
            <v>0</v>
          </cell>
          <cell r="EO63">
            <v>0</v>
          </cell>
          <cell r="EP63">
            <v>0</v>
          </cell>
          <cell r="EQ63">
            <v>-9.8939734073872714</v>
          </cell>
          <cell r="ER63">
            <v>0</v>
          </cell>
          <cell r="ES63">
            <v>0</v>
          </cell>
          <cell r="ET63">
            <v>-25.820070165173007</v>
          </cell>
          <cell r="EU63">
            <v>0</v>
          </cell>
          <cell r="EV63">
            <v>0</v>
          </cell>
          <cell r="EW63">
            <v>-0.76429218743836924</v>
          </cell>
          <cell r="EX63">
            <v>1.1769657797873467</v>
          </cell>
          <cell r="EY63">
            <v>0</v>
          </cell>
          <cell r="EZ63">
            <v>0</v>
          </cell>
          <cell r="FA63">
            <v>-25.88979167436171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29.473125007695032</v>
          </cell>
          <cell r="FG63">
            <v>0.76429218743836924</v>
          </cell>
          <cell r="FH63">
            <v>0</v>
          </cell>
          <cell r="FI63">
            <v>0</v>
          </cell>
          <cell r="FJ63">
            <v>-29.026853825108034</v>
          </cell>
          <cell r="FK63">
            <v>0</v>
          </cell>
          <cell r="FL63">
            <v>0</v>
          </cell>
          <cell r="FM63">
            <v>-9.1583476887943718</v>
          </cell>
          <cell r="FN63">
            <v>-1.1277126124820542</v>
          </cell>
          <cell r="FO63">
            <v>-11.684319574216111</v>
          </cell>
          <cell r="FP63">
            <v>-12.4780672038153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13.713366428375977</v>
          </cell>
        </row>
        <row r="65">
          <cell r="C65">
            <v>188858.42228000003</v>
          </cell>
          <cell r="N65">
            <v>139523.31497000001</v>
          </cell>
          <cell r="O65">
            <v>-6443.924399999999</v>
          </cell>
          <cell r="P65">
            <v>-0.53</v>
          </cell>
          <cell r="Q65">
            <v>-15.778</v>
          </cell>
          <cell r="R65">
            <v>1229.8432299999999</v>
          </cell>
          <cell r="S65">
            <v>-4227.6071000000011</v>
          </cell>
          <cell r="T65">
            <v>-918.18044999999995</v>
          </cell>
          <cell r="U65">
            <v>-2307.8780200000001</v>
          </cell>
          <cell r="V65">
            <v>-69439.643429451826</v>
          </cell>
          <cell r="W65">
            <v>-9.0812400000000011</v>
          </cell>
          <cell r="X65">
            <v>-11813.854030548173</v>
          </cell>
          <cell r="Y65">
            <v>-827.67672000000005</v>
          </cell>
          <cell r="Z65">
            <v>5350.2305799999995</v>
          </cell>
          <cell r="AA65">
            <v>75.833799999999997</v>
          </cell>
          <cell r="AB65">
            <v>70</v>
          </cell>
          <cell r="AC65">
            <v>-82183.828430000023</v>
          </cell>
          <cell r="AD65">
            <v>11443.443080000001</v>
          </cell>
          <cell r="AE65">
            <v>-2172.9962400000004</v>
          </cell>
          <cell r="AF65">
            <v>-2466.8694799999998</v>
          </cell>
          <cell r="AG65">
            <v>0</v>
          </cell>
          <cell r="AH65">
            <v>66080.095490000022</v>
          </cell>
          <cell r="AI65">
            <v>7778.9055899999994</v>
          </cell>
          <cell r="AJ65">
            <v>-2813.0920699999992</v>
          </cell>
          <cell r="AK65">
            <v>-625.95334999999989</v>
          </cell>
          <cell r="AL65">
            <v>-30502.569520000001</v>
          </cell>
          <cell r="AM65">
            <v>29156.124299999996</v>
          </cell>
          <cell r="AN65">
            <v>-21625.637440000006</v>
          </cell>
          <cell r="AO65">
            <v>-3162.0301599999998</v>
          </cell>
          <cell r="AP65">
            <v>-557.83292000000006</v>
          </cell>
          <cell r="AQ65">
            <v>-6489.2205799999992</v>
          </cell>
          <cell r="AR65">
            <v>-3581.2915599999997</v>
          </cell>
          <cell r="AT65">
            <v>-4849.024080000001</v>
          </cell>
          <cell r="AU65">
            <v>-85.916139999999999</v>
          </cell>
          <cell r="AV65">
            <v>0</v>
          </cell>
          <cell r="AW65">
            <v>0</v>
          </cell>
          <cell r="AX65">
            <v>1331.1582497823574</v>
          </cell>
          <cell r="AY65">
            <v>0</v>
          </cell>
          <cell r="AZ65">
            <v>209.98310021764263</v>
          </cell>
          <cell r="BA65">
            <v>14.486619999999998</v>
          </cell>
          <cell r="BB65">
            <v>-88.245619999999988</v>
          </cell>
          <cell r="BC65">
            <v>-1.2298700000000002</v>
          </cell>
          <cell r="BD65">
            <v>0</v>
          </cell>
          <cell r="BE65">
            <v>2663.9462300000005</v>
          </cell>
          <cell r="BF65">
            <v>-3458.2601099999924</v>
          </cell>
          <cell r="BG65">
            <v>-692.50906000000032</v>
          </cell>
          <cell r="BH65">
            <v>-136.92734000000027</v>
          </cell>
          <cell r="BI65">
            <v>81.782530000000008</v>
          </cell>
          <cell r="BJ65">
            <v>1.1489476037240819E-13</v>
          </cell>
          <cell r="BK65">
            <v>3511.5604100000246</v>
          </cell>
          <cell r="EA65">
            <v>37303.059060000007</v>
          </cell>
          <cell r="EL65">
            <v>48776.336550000022</v>
          </cell>
          <cell r="EM65">
            <v>-7466.4323399999976</v>
          </cell>
          <cell r="EN65">
            <v>-0.53</v>
          </cell>
          <cell r="EO65">
            <v>-6.5050000000000008</v>
          </cell>
          <cell r="EP65">
            <v>918.47022999999979</v>
          </cell>
          <cell r="EQ65">
            <v>-1330.88078</v>
          </cell>
          <cell r="ER65">
            <v>-532.6094700000001</v>
          </cell>
          <cell r="ES65">
            <v>-769.29295000000002</v>
          </cell>
          <cell r="ET65">
            <v>-19903.026681107342</v>
          </cell>
          <cell r="EU65">
            <v>-9.0812400000000011</v>
          </cell>
          <cell r="EV65">
            <v>-5002.2819488926589</v>
          </cell>
          <cell r="EW65">
            <v>-827.67672000000005</v>
          </cell>
          <cell r="EX65">
            <v>1705.0525600000003</v>
          </cell>
          <cell r="EY65">
            <v>75.833799999999997</v>
          </cell>
          <cell r="EZ65">
            <v>70</v>
          </cell>
          <cell r="FA65">
            <v>-22604.109899999996</v>
          </cell>
          <cell r="FB65">
            <v>3700.8125300000011</v>
          </cell>
          <cell r="FC65">
            <v>-510.19191999999993</v>
          </cell>
          <cell r="FD65">
            <v>-648.49577000000011</v>
          </cell>
          <cell r="FE65">
            <v>0</v>
          </cell>
          <cell r="FF65">
            <v>10665.985230000009</v>
          </cell>
          <cell r="FG65">
            <v>7778.9055899999994</v>
          </cell>
          <cell r="FH65">
            <v>-101.75560000000002</v>
          </cell>
          <cell r="FI65">
            <v>-625.95334999999989</v>
          </cell>
          <cell r="FJ65">
            <v>-6438.8741700000019</v>
          </cell>
          <cell r="FK65">
            <v>7626.8587399999988</v>
          </cell>
          <cell r="FL65">
            <v>-9208.712120000002</v>
          </cell>
          <cell r="FM65">
            <v>-972.59965</v>
          </cell>
          <cell r="FN65">
            <v>-259.96372000000002</v>
          </cell>
          <cell r="FO65">
            <v>-2136.6022400000002</v>
          </cell>
          <cell r="FP65">
            <v>-1374.8239899999996</v>
          </cell>
          <cell r="FR65">
            <v>-1977.2283800000012</v>
          </cell>
          <cell r="FS65">
            <v>-6.2332700000000045</v>
          </cell>
          <cell r="FT65">
            <v>0</v>
          </cell>
          <cell r="FU65">
            <v>0</v>
          </cell>
          <cell r="FV65">
            <v>641.70522045460643</v>
          </cell>
          <cell r="FW65">
            <v>0</v>
          </cell>
          <cell r="FX65">
            <v>161.08597954539363</v>
          </cell>
          <cell r="FY65">
            <v>14.486619999999998</v>
          </cell>
          <cell r="FZ65">
            <v>-51.00916999999999</v>
          </cell>
          <cell r="GA65">
            <v>-1.2298700000000002</v>
          </cell>
          <cell r="GB65">
            <v>0</v>
          </cell>
          <cell r="GC65">
            <v>1062.2956300000003</v>
          </cell>
          <cell r="GD65">
            <v>-1136.4705500000064</v>
          </cell>
          <cell r="GE65">
            <v>-692.50906000000032</v>
          </cell>
          <cell r="GF65">
            <v>35.944469999999562</v>
          </cell>
          <cell r="GG65">
            <v>81.782530000000008</v>
          </cell>
          <cell r="GH65">
            <v>1.1489476037240819E-13</v>
          </cell>
          <cell r="GI65">
            <v>-1279.5241799999774</v>
          </cell>
        </row>
        <row r="66">
          <cell r="C66">
            <v>179949.97616000005</v>
          </cell>
          <cell r="N66">
            <v>131253.88270999995</v>
          </cell>
          <cell r="O66">
            <v>-6540.2266499999987</v>
          </cell>
          <cell r="P66">
            <v>0</v>
          </cell>
          <cell r="Q66">
            <v>-229.84399999999999</v>
          </cell>
          <cell r="R66">
            <v>969.12594000000001</v>
          </cell>
          <cell r="S66">
            <v>-4527.9826899999998</v>
          </cell>
          <cell r="T66">
            <v>-443.40429999999998</v>
          </cell>
          <cell r="U66">
            <v>-1915.0685000000001</v>
          </cell>
          <cell r="V66">
            <v>-61590.5758610782</v>
          </cell>
          <cell r="W66">
            <v>0</v>
          </cell>
          <cell r="X66">
            <v>-12243.283088921802</v>
          </cell>
          <cell r="Y66">
            <v>-1080.9051200000001</v>
          </cell>
          <cell r="Z66">
            <v>4351.0798799999984</v>
          </cell>
          <cell r="AA66">
            <v>100.17764</v>
          </cell>
          <cell r="AB66">
            <v>-400</v>
          </cell>
          <cell r="AC66">
            <v>-82377.389859999981</v>
          </cell>
          <cell r="AD66">
            <v>11075.053809999999</v>
          </cell>
          <cell r="AE66">
            <v>-2425.0932500000004</v>
          </cell>
          <cell r="AF66">
            <v>-2551.7621599999993</v>
          </cell>
          <cell r="AG66">
            <v>0</v>
          </cell>
          <cell r="AH66">
            <v>80128.862590000004</v>
          </cell>
          <cell r="AI66">
            <v>906.11563000000024</v>
          </cell>
          <cell r="AJ66">
            <v>1019.2651400000002</v>
          </cell>
          <cell r="AK66">
            <v>47.324439999999996</v>
          </cell>
          <cell r="AL66">
            <v>-28844.098940000003</v>
          </cell>
          <cell r="AM66">
            <v>27702.011070000004</v>
          </cell>
          <cell r="AN66">
            <v>-20446.557430000001</v>
          </cell>
          <cell r="AO66">
            <v>-4044.8039600000002</v>
          </cell>
          <cell r="AP66">
            <v>-602.28639999999984</v>
          </cell>
          <cell r="AQ66">
            <v>-6259.2804899999983</v>
          </cell>
          <cell r="AR66">
            <v>-3894.3698899999999</v>
          </cell>
          <cell r="AT66">
            <v>-8462.0951800000057</v>
          </cell>
          <cell r="AU66">
            <v>17.829470000000001</v>
          </cell>
          <cell r="AV66">
            <v>0</v>
          </cell>
          <cell r="AW66">
            <v>0</v>
          </cell>
          <cell r="AX66">
            <v>4205.0354293054406</v>
          </cell>
          <cell r="AY66">
            <v>0</v>
          </cell>
          <cell r="AZ66">
            <v>104.47770069455919</v>
          </cell>
          <cell r="BA66">
            <v>62.279969999999999</v>
          </cell>
          <cell r="BB66">
            <v>-284.88581999999997</v>
          </cell>
          <cell r="BC66">
            <v>-6.2238199999999999</v>
          </cell>
          <cell r="BD66">
            <v>0</v>
          </cell>
          <cell r="BE66">
            <v>2819.6616400000007</v>
          </cell>
          <cell r="BF66">
            <v>-2435.2512099999999</v>
          </cell>
          <cell r="BG66">
            <v>-110.31072999999999</v>
          </cell>
          <cell r="BH66">
            <v>-250.90732999999994</v>
          </cell>
          <cell r="BI66">
            <v>-11.491150000000001</v>
          </cell>
          <cell r="BJ66">
            <v>-5.0587090072440323E-14</v>
          </cell>
          <cell r="BK66">
            <v>12784.085229999984</v>
          </cell>
          <cell r="EA66">
            <v>35124.147579999997</v>
          </cell>
          <cell r="EL66">
            <v>45726.016439999985</v>
          </cell>
          <cell r="EM66">
            <v>-6400.2134899999983</v>
          </cell>
          <cell r="EN66">
            <v>0</v>
          </cell>
          <cell r="EO66">
            <v>-96.471999999999994</v>
          </cell>
          <cell r="EP66">
            <v>764.98856000000001</v>
          </cell>
          <cell r="EQ66">
            <v>-1429.2728999999995</v>
          </cell>
          <cell r="ER66">
            <v>-166.80676000000003</v>
          </cell>
          <cell r="ES66">
            <v>-638.35617000000002</v>
          </cell>
          <cell r="ET66">
            <v>-17904.859289371514</v>
          </cell>
          <cell r="EU66">
            <v>0</v>
          </cell>
          <cell r="EV66">
            <v>-3896.7724606284896</v>
          </cell>
          <cell r="EW66">
            <v>-1080.9051200000001</v>
          </cell>
          <cell r="EX66">
            <v>1350.2817199999995</v>
          </cell>
          <cell r="EY66">
            <v>100.17764</v>
          </cell>
          <cell r="EZ66">
            <v>-400</v>
          </cell>
          <cell r="FA66">
            <v>-20847.771539999991</v>
          </cell>
          <cell r="FB66">
            <v>3321.6207000000004</v>
          </cell>
          <cell r="FC66">
            <v>-815.79972000000009</v>
          </cell>
          <cell r="FD66">
            <v>-740.07594999999969</v>
          </cell>
          <cell r="FE66">
            <v>0</v>
          </cell>
          <cell r="FF66">
            <v>22635.598010000005</v>
          </cell>
          <cell r="FG66">
            <v>906.11563000000024</v>
          </cell>
          <cell r="FH66">
            <v>-382.11668999999978</v>
          </cell>
          <cell r="FI66">
            <v>47.324439999999996</v>
          </cell>
          <cell r="FJ66">
            <v>-5882.5570000000025</v>
          </cell>
          <cell r="FK66">
            <v>7024.0572800000018</v>
          </cell>
          <cell r="FL66">
            <v>-8533.0665000000045</v>
          </cell>
          <cell r="FM66">
            <v>-1313.95498</v>
          </cell>
          <cell r="FN66">
            <v>-229.95855999999992</v>
          </cell>
          <cell r="FO66">
            <v>-1949.5383499999996</v>
          </cell>
          <cell r="FP66">
            <v>-1364.5936999999999</v>
          </cell>
          <cell r="FR66">
            <v>-2714.9492900000037</v>
          </cell>
          <cell r="FS66">
            <v>52.011850000000003</v>
          </cell>
          <cell r="FT66">
            <v>0</v>
          </cell>
          <cell r="FU66">
            <v>0</v>
          </cell>
          <cell r="FV66">
            <v>1291.4045193054405</v>
          </cell>
          <cell r="FW66">
            <v>0</v>
          </cell>
          <cell r="FX66">
            <v>104.47770069455919</v>
          </cell>
          <cell r="FY66">
            <v>62.279969999999999</v>
          </cell>
          <cell r="FZ66">
            <v>-91.95881999999996</v>
          </cell>
          <cell r="GA66">
            <v>-6.2238199999999999</v>
          </cell>
          <cell r="GB66">
            <v>0</v>
          </cell>
          <cell r="GC66">
            <v>759.11532000000091</v>
          </cell>
          <cell r="GD66">
            <v>-731.49003999999979</v>
          </cell>
          <cell r="GE66">
            <v>-110.31072999999999</v>
          </cell>
          <cell r="GF66">
            <v>0.29573000000002686</v>
          </cell>
          <cell r="GG66">
            <v>-11.491150000000001</v>
          </cell>
          <cell r="GH66">
            <v>-5.4569682106375692E-14</v>
          </cell>
          <cell r="GI66">
            <v>6406.2504799999824</v>
          </cell>
        </row>
        <row r="67">
          <cell r="C67">
            <v>182880.40999999997</v>
          </cell>
          <cell r="N67">
            <v>137437.70115359375</v>
          </cell>
          <cell r="O67">
            <v>-32558.123938992023</v>
          </cell>
          <cell r="P67">
            <v>-2160.0857698734026</v>
          </cell>
          <cell r="Q67">
            <v>-3898.9883088212055</v>
          </cell>
          <cell r="R67">
            <v>0</v>
          </cell>
          <cell r="S67">
            <v>-7529.0288184003975</v>
          </cell>
          <cell r="T67">
            <v>-1175.0804244867991</v>
          </cell>
          <cell r="U67">
            <v>0</v>
          </cell>
          <cell r="V67">
            <v>-35326.749365023752</v>
          </cell>
          <cell r="W67">
            <v>-1350.0606086760995</v>
          </cell>
          <cell r="X67">
            <v>-7716.7553797723804</v>
          </cell>
          <cell r="Y67">
            <v>-1121.1473074045639</v>
          </cell>
          <cell r="Z67">
            <v>3375.926122140796</v>
          </cell>
          <cell r="AA67">
            <v>0</v>
          </cell>
          <cell r="AB67">
            <v>0</v>
          </cell>
          <cell r="AC67">
            <v>-47182.649809589311</v>
          </cell>
          <cell r="AD67">
            <v>0</v>
          </cell>
          <cell r="AE67">
            <v>0</v>
          </cell>
          <cell r="AF67">
            <v>-2381.3920066693117</v>
          </cell>
          <cell r="AG67">
            <v>0</v>
          </cell>
          <cell r="AH67">
            <v>51055.791816258621</v>
          </cell>
          <cell r="AI67">
            <v>1121.1473074045639</v>
          </cell>
          <cell r="AJ67">
            <v>0</v>
          </cell>
          <cell r="AK67">
            <v>0</v>
          </cell>
          <cell r="AL67">
            <v>-23074.94523822195</v>
          </cell>
          <cell r="AM67">
            <v>0</v>
          </cell>
          <cell r="AN67">
            <v>0</v>
          </cell>
          <cell r="AO67">
            <v>-3483.7028505632525</v>
          </cell>
          <cell r="AP67">
            <v>-580.89186875237806</v>
          </cell>
          <cell r="AQ67">
            <v>-7101.4349127055693</v>
          </cell>
          <cell r="AR67">
            <v>-5352.173875559839</v>
          </cell>
          <cell r="AT67">
            <v>-9560.834771643702</v>
          </cell>
          <cell r="AU67">
            <v>1735.3488609208828</v>
          </cell>
          <cell r="AV67">
            <v>594.70555917091633</v>
          </cell>
          <cell r="AW67">
            <v>34.344665830957055</v>
          </cell>
          <cell r="AX67">
            <v>2347.1980304059916</v>
          </cell>
          <cell r="AY67">
            <v>461.22870880887945</v>
          </cell>
          <cell r="AZ67">
            <v>92.929965093947487</v>
          </cell>
          <cell r="BA67">
            <v>64.059602015613493</v>
          </cell>
          <cell r="BB67">
            <v>-206.00075081593542</v>
          </cell>
          <cell r="BC67">
            <v>0</v>
          </cell>
          <cell r="BD67">
            <v>0</v>
          </cell>
          <cell r="BE67">
            <v>1934.2107224999984</v>
          </cell>
          <cell r="BF67">
            <v>-2092.9769249999986</v>
          </cell>
          <cell r="BG67">
            <v>-64.059602015613493</v>
          </cell>
          <cell r="BH67">
            <v>0</v>
          </cell>
          <cell r="BI67">
            <v>0</v>
          </cell>
          <cell r="BJ67">
            <v>0</v>
          </cell>
          <cell r="BK67">
            <v>6337.5099811574346</v>
          </cell>
          <cell r="EA67">
            <v>37205.829999999987</v>
          </cell>
          <cell r="EL67">
            <v>45812.567051197926</v>
          </cell>
          <cell r="EM67">
            <v>-10852.707979664006</v>
          </cell>
          <cell r="EN67">
            <v>-720.02858995780082</v>
          </cell>
          <cell r="EO67">
            <v>-1299.6627696070691</v>
          </cell>
          <cell r="EP67">
            <v>0</v>
          </cell>
          <cell r="EQ67">
            <v>-2509.6762728001327</v>
          </cell>
          <cell r="ER67">
            <v>-391.69347482893312</v>
          </cell>
          <cell r="ES67">
            <v>0</v>
          </cell>
          <cell r="ET67">
            <v>-11775.583121674581</v>
          </cell>
          <cell r="EU67">
            <v>-450.02020289203307</v>
          </cell>
          <cell r="EV67">
            <v>-2572.2517932574597</v>
          </cell>
          <cell r="EW67">
            <v>-373.71576913485461</v>
          </cell>
          <cell r="EX67">
            <v>1125.3087073802658</v>
          </cell>
          <cell r="EY67">
            <v>0</v>
          </cell>
          <cell r="EZ67">
            <v>0</v>
          </cell>
          <cell r="FA67">
            <v>-15727.549936529773</v>
          </cell>
          <cell r="FB67">
            <v>0</v>
          </cell>
          <cell r="FC67">
            <v>0</v>
          </cell>
          <cell r="FD67">
            <v>-793.79733555643736</v>
          </cell>
          <cell r="FE67">
            <v>0</v>
          </cell>
          <cell r="FF67">
            <v>17018.597272086212</v>
          </cell>
          <cell r="FG67">
            <v>373.71576913485461</v>
          </cell>
          <cell r="FH67">
            <v>0</v>
          </cell>
          <cell r="FI67">
            <v>0</v>
          </cell>
          <cell r="FJ67">
            <v>-7691.6484127406493</v>
          </cell>
          <cell r="FK67">
            <v>0</v>
          </cell>
          <cell r="FL67">
            <v>0</v>
          </cell>
          <cell r="FM67">
            <v>-1161.2342835210843</v>
          </cell>
          <cell r="FN67">
            <v>-193.63062291745933</v>
          </cell>
          <cell r="FO67">
            <v>-2367.1449709018566</v>
          </cell>
          <cell r="FP67">
            <v>-1784.0579585199459</v>
          </cell>
          <cell r="FR67">
            <v>-3186.9449238812331</v>
          </cell>
          <cell r="FS67">
            <v>578.4496203069607</v>
          </cell>
          <cell r="FT67">
            <v>198.23518639030544</v>
          </cell>
          <cell r="FU67">
            <v>11.448221943652349</v>
          </cell>
          <cell r="FV67">
            <v>782.39934346866414</v>
          </cell>
          <cell r="FW67">
            <v>153.74290293629318</v>
          </cell>
          <cell r="FX67">
            <v>30.976655031315826</v>
          </cell>
          <cell r="FY67">
            <v>21.353200671871168</v>
          </cell>
          <cell r="FZ67">
            <v>-68.666916938645116</v>
          </cell>
          <cell r="GA67">
            <v>0</v>
          </cell>
          <cell r="GB67">
            <v>0</v>
          </cell>
          <cell r="GC67">
            <v>644.73690749999946</v>
          </cell>
          <cell r="GD67">
            <v>-697.6589749999996</v>
          </cell>
          <cell r="GE67">
            <v>-21.353200671871168</v>
          </cell>
          <cell r="GF67">
            <v>0</v>
          </cell>
          <cell r="GG67">
            <v>0</v>
          </cell>
          <cell r="GH67">
            <v>0</v>
          </cell>
          <cell r="GI67">
            <v>2112.5033270524918</v>
          </cell>
        </row>
        <row r="69">
          <cell r="EA69">
            <v>9905.44571</v>
          </cell>
          <cell r="EL69">
            <v>12607.068770000016</v>
          </cell>
          <cell r="EM69">
            <v>-383.68090000000007</v>
          </cell>
          <cell r="EN69">
            <v>0</v>
          </cell>
          <cell r="EO69">
            <v>0</v>
          </cell>
          <cell r="EP69">
            <v>0</v>
          </cell>
          <cell r="EQ69">
            <v>-146.40546999999998</v>
          </cell>
          <cell r="ER69">
            <v>0</v>
          </cell>
          <cell r="ES69">
            <v>0</v>
          </cell>
          <cell r="ET69">
            <v>-13109.133190000004</v>
          </cell>
          <cell r="EU69">
            <v>0</v>
          </cell>
          <cell r="EV69">
            <v>0</v>
          </cell>
          <cell r="EW69">
            <v>-356.18512999999996</v>
          </cell>
          <cell r="EX69">
            <v>3478.5371799999994</v>
          </cell>
          <cell r="EY69">
            <v>66.139560000000003</v>
          </cell>
          <cell r="EZ69">
            <v>0</v>
          </cell>
          <cell r="FA69">
            <v>-4765.1020499999977</v>
          </cell>
          <cell r="FB69">
            <v>0</v>
          </cell>
          <cell r="FC69">
            <v>-136.05751999999995</v>
          </cell>
          <cell r="FD69">
            <v>-1.1226800000000001</v>
          </cell>
          <cell r="FE69">
            <v>0</v>
          </cell>
          <cell r="FF69">
            <v>-769.85457999999926</v>
          </cell>
          <cell r="FG69">
            <v>2872.6560100000002</v>
          </cell>
          <cell r="FH69">
            <v>2390.5407300000002</v>
          </cell>
          <cell r="FI69">
            <v>-318.28685999999982</v>
          </cell>
          <cell r="FJ69">
            <v>-234.50671999999986</v>
          </cell>
          <cell r="FK69">
            <v>2539.0003099999994</v>
          </cell>
          <cell r="FL69">
            <v>-2792.6998299999973</v>
          </cell>
          <cell r="FM69">
            <v>-419.36597000000017</v>
          </cell>
          <cell r="FN69">
            <v>-28.080069999999999</v>
          </cell>
          <cell r="FO69">
            <v>-393.67558999999994</v>
          </cell>
          <cell r="FP69">
            <v>-199.60856000000007</v>
          </cell>
          <cell r="FR69">
            <v>-718.07007999999917</v>
          </cell>
          <cell r="FS69">
            <v>0</v>
          </cell>
          <cell r="FT69">
            <v>0</v>
          </cell>
          <cell r="FU69">
            <v>0</v>
          </cell>
          <cell r="FV69">
            <v>266.19583999999998</v>
          </cell>
          <cell r="FW69">
            <v>0</v>
          </cell>
          <cell r="FX69">
            <v>0</v>
          </cell>
          <cell r="FY69">
            <v>6.4181599999999994</v>
          </cell>
          <cell r="FZ69">
            <v>-63.084909999999994</v>
          </cell>
          <cell r="GA69">
            <v>-1.1535700000000002</v>
          </cell>
          <cell r="GB69">
            <v>0</v>
          </cell>
          <cell r="GC69">
            <v>255.17339999999979</v>
          </cell>
          <cell r="GD69">
            <v>1551.28946</v>
          </cell>
          <cell r="GE69">
            <v>-233.94793999999999</v>
          </cell>
          <cell r="GF69">
            <v>-562.35624000000007</v>
          </cell>
          <cell r="GG69">
            <v>-24.471799999999998</v>
          </cell>
          <cell r="GH69">
            <v>0</v>
          </cell>
          <cell r="GI69">
            <v>376.16976000001938</v>
          </cell>
        </row>
        <row r="70">
          <cell r="EA70">
            <v>8057.4293600000019</v>
          </cell>
          <cell r="EL70">
            <v>12567.821860000009</v>
          </cell>
          <cell r="EM70">
            <v>-362.93908999999996</v>
          </cell>
          <cell r="EN70">
            <v>0</v>
          </cell>
          <cell r="EO70">
            <v>0</v>
          </cell>
          <cell r="EP70">
            <v>0</v>
          </cell>
          <cell r="EQ70">
            <v>-157.73902000000004</v>
          </cell>
          <cell r="ER70">
            <v>0</v>
          </cell>
          <cell r="ES70">
            <v>0</v>
          </cell>
          <cell r="ET70">
            <v>-10296.93204</v>
          </cell>
          <cell r="EU70">
            <v>0</v>
          </cell>
          <cell r="EV70">
            <v>0</v>
          </cell>
          <cell r="EW70">
            <v>-455.43330999999995</v>
          </cell>
          <cell r="EX70">
            <v>2079.9712</v>
          </cell>
          <cell r="EY70">
            <v>66.971779999999995</v>
          </cell>
          <cell r="EZ70">
            <v>0</v>
          </cell>
          <cell r="FA70">
            <v>-8563.4627700000092</v>
          </cell>
          <cell r="FB70">
            <v>0</v>
          </cell>
          <cell r="FC70">
            <v>-129.68153000000001</v>
          </cell>
          <cell r="FD70">
            <v>0</v>
          </cell>
          <cell r="FE70">
            <v>0</v>
          </cell>
          <cell r="FF70">
            <v>4060.1519500000004</v>
          </cell>
          <cell r="FG70">
            <v>106.96166000000004</v>
          </cell>
          <cell r="FH70">
            <v>2257.5194400000009</v>
          </cell>
          <cell r="FI70">
            <v>87.340680000000006</v>
          </cell>
          <cell r="FJ70">
            <v>-356.82276000000002</v>
          </cell>
          <cell r="FK70">
            <v>3850.3677299999999</v>
          </cell>
          <cell r="FL70">
            <v>-4664.2109</v>
          </cell>
          <cell r="FM70">
            <v>-304.06116999999995</v>
          </cell>
          <cell r="FN70">
            <v>-68.315179999999998</v>
          </cell>
          <cell r="FO70">
            <v>-302.92692999999997</v>
          </cell>
          <cell r="FP70">
            <v>-235.07432999999986</v>
          </cell>
          <cell r="FR70">
            <v>-805.18144000000007</v>
          </cell>
          <cell r="FS70">
            <v>0</v>
          </cell>
          <cell r="FT70">
            <v>0</v>
          </cell>
          <cell r="FU70">
            <v>0</v>
          </cell>
          <cell r="FV70">
            <v>317.90156000000002</v>
          </cell>
          <cell r="FW70">
            <v>0</v>
          </cell>
          <cell r="FX70">
            <v>0</v>
          </cell>
          <cell r="FY70">
            <v>7.1634400000000005</v>
          </cell>
          <cell r="FZ70">
            <v>-62.366249999999994</v>
          </cell>
          <cell r="GA70">
            <v>-0.15525</v>
          </cell>
          <cell r="GB70">
            <v>0</v>
          </cell>
          <cell r="GC70">
            <v>432.15661</v>
          </cell>
          <cell r="GD70">
            <v>-55.260839999999689</v>
          </cell>
          <cell r="GE70">
            <v>-101.29629000000004</v>
          </cell>
          <cell r="GF70">
            <v>-107.52601999999996</v>
          </cell>
          <cell r="GG70">
            <v>-0.1183599999999999</v>
          </cell>
          <cell r="GH70">
            <v>0</v>
          </cell>
          <cell r="GI70">
            <v>-1195.1755699999987</v>
          </cell>
        </row>
        <row r="71">
          <cell r="EA71">
            <v>9171.739999999998</v>
          </cell>
          <cell r="EL71">
            <v>11419.078124999998</v>
          </cell>
          <cell r="EM71">
            <v>-1586.8513759089401</v>
          </cell>
          <cell r="EN71">
            <v>0</v>
          </cell>
          <cell r="EO71">
            <v>-3.2391354973873927</v>
          </cell>
          <cell r="EP71">
            <v>0</v>
          </cell>
          <cell r="EQ71">
            <v>-365.44768774453883</v>
          </cell>
          <cell r="ER71">
            <v>-88.788845934445533</v>
          </cell>
          <cell r="ES71">
            <v>0</v>
          </cell>
          <cell r="ET71">
            <v>-8992.1577968173297</v>
          </cell>
          <cell r="EU71">
            <v>0</v>
          </cell>
          <cell r="EV71">
            <v>-104.73204774885897</v>
          </cell>
          <cell r="EW71">
            <v>-193.61861270719891</v>
          </cell>
          <cell r="EX71">
            <v>1976.2742850733944</v>
          </cell>
          <cell r="EY71">
            <v>0</v>
          </cell>
          <cell r="EZ71">
            <v>0</v>
          </cell>
          <cell r="FA71">
            <v>-3298.8652437107567</v>
          </cell>
          <cell r="FB71">
            <v>0</v>
          </cell>
          <cell r="FC71">
            <v>0</v>
          </cell>
          <cell r="FD71">
            <v>-201.8220504044487</v>
          </cell>
          <cell r="FE71">
            <v>0</v>
          </cell>
          <cell r="FF71">
            <v>3500.6872941152051</v>
          </cell>
          <cell r="FG71">
            <v>193.61861270719891</v>
          </cell>
          <cell r="FH71">
            <v>0</v>
          </cell>
          <cell r="FI71">
            <v>0</v>
          </cell>
          <cell r="FJ71">
            <v>-431.38250000000005</v>
          </cell>
          <cell r="FK71">
            <v>0</v>
          </cell>
          <cell r="FL71">
            <v>0</v>
          </cell>
          <cell r="FM71">
            <v>-457.6434926906943</v>
          </cell>
          <cell r="FN71">
            <v>-31.267562769472846</v>
          </cell>
          <cell r="FO71">
            <v>-428.89026936465802</v>
          </cell>
          <cell r="FP71">
            <v>-274.2472930613651</v>
          </cell>
          <cell r="FR71">
            <v>-740.98939386036591</v>
          </cell>
          <cell r="FS71">
            <v>89.59159249999999</v>
          </cell>
          <cell r="FT71">
            <v>0</v>
          </cell>
          <cell r="FU71">
            <v>0</v>
          </cell>
          <cell r="FV71">
            <v>507.6856908333333</v>
          </cell>
          <cell r="FW71">
            <v>0</v>
          </cell>
          <cell r="FX71">
            <v>0</v>
          </cell>
          <cell r="FY71">
            <v>10.304056694886302</v>
          </cell>
          <cell r="FZ71">
            <v>-121.03209934947975</v>
          </cell>
          <cell r="GA71">
            <v>0</v>
          </cell>
          <cell r="GB71">
            <v>0</v>
          </cell>
          <cell r="GC71">
            <v>692.51291416666663</v>
          </cell>
          <cell r="GD71">
            <v>-692.51291416666663</v>
          </cell>
          <cell r="GE71">
            <v>-10.304056694886302</v>
          </cell>
          <cell r="GF71">
            <v>0</v>
          </cell>
          <cell r="GG71">
            <v>0</v>
          </cell>
          <cell r="GH71">
            <v>0</v>
          </cell>
          <cell r="GI71">
            <v>365.96019265918767</v>
          </cell>
        </row>
        <row r="73">
          <cell r="EA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</row>
        <row r="74">
          <cell r="EA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</row>
        <row r="75">
          <cell r="EA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</row>
        <row r="81">
          <cell r="C81">
            <v>64406.278969999999</v>
          </cell>
          <cell r="N81">
            <v>34753.877930000031</v>
          </cell>
          <cell r="O81">
            <v>-519.28938000000005</v>
          </cell>
          <cell r="P81">
            <v>0</v>
          </cell>
          <cell r="Q81">
            <v>0</v>
          </cell>
          <cell r="R81">
            <v>0</v>
          </cell>
          <cell r="S81">
            <v>-440.12960999999996</v>
          </cell>
          <cell r="T81">
            <v>0</v>
          </cell>
          <cell r="U81">
            <v>0</v>
          </cell>
          <cell r="V81">
            <v>-35337.501960000001</v>
          </cell>
          <cell r="W81">
            <v>0</v>
          </cell>
          <cell r="X81">
            <v>0</v>
          </cell>
          <cell r="Y81">
            <v>-356.18512999999996</v>
          </cell>
          <cell r="Z81">
            <v>8178.1966199999997</v>
          </cell>
          <cell r="AA81">
            <v>66.139560000000003</v>
          </cell>
          <cell r="AB81">
            <v>0</v>
          </cell>
          <cell r="AC81">
            <v>-18521.495990000007</v>
          </cell>
          <cell r="AD81">
            <v>0</v>
          </cell>
          <cell r="AE81">
            <v>-414.93925999999999</v>
          </cell>
          <cell r="AF81">
            <v>-1.1226800000000001</v>
          </cell>
          <cell r="AG81">
            <v>0</v>
          </cell>
          <cell r="AH81">
            <v>13117.198070000002</v>
          </cell>
          <cell r="AI81">
            <v>2872.6560100000002</v>
          </cell>
          <cell r="AJ81">
            <v>2777.8582500000007</v>
          </cell>
          <cell r="AK81">
            <v>-318.28685999999982</v>
          </cell>
          <cell r="AL81">
            <v>-3659.4282400000011</v>
          </cell>
          <cell r="AM81">
            <v>8226.2653999999984</v>
          </cell>
          <cell r="AN81">
            <v>-5878.2217799999989</v>
          </cell>
          <cell r="AO81">
            <v>-1351.6543800000004</v>
          </cell>
          <cell r="AP81">
            <v>-72.193049999999999</v>
          </cell>
          <cell r="AQ81">
            <v>-1214.0625299999999</v>
          </cell>
          <cell r="AR81">
            <v>-593.81848000000002</v>
          </cell>
          <cell r="AT81">
            <v>-1741.0248899999992</v>
          </cell>
          <cell r="AU81">
            <v>0</v>
          </cell>
          <cell r="AV81">
            <v>0</v>
          </cell>
          <cell r="AW81">
            <v>0</v>
          </cell>
          <cell r="AX81">
            <v>661.92548999999997</v>
          </cell>
          <cell r="AY81">
            <v>0</v>
          </cell>
          <cell r="AZ81">
            <v>0</v>
          </cell>
          <cell r="BA81">
            <v>6.4181599999999994</v>
          </cell>
          <cell r="BB81">
            <v>-148.75945999999999</v>
          </cell>
          <cell r="BC81">
            <v>-1.1535700000000002</v>
          </cell>
          <cell r="BD81">
            <v>0</v>
          </cell>
          <cell r="BE81">
            <v>972.03495999999996</v>
          </cell>
          <cell r="BF81">
            <v>1838.7395800000002</v>
          </cell>
          <cell r="BG81">
            <v>-233.94793999999999</v>
          </cell>
          <cell r="BH81">
            <v>-1290.1302500000002</v>
          </cell>
          <cell r="BI81">
            <v>-24.471799999999998</v>
          </cell>
          <cell r="BJ81">
            <v>0</v>
          </cell>
          <cell r="BK81">
            <v>1353.492790000018</v>
          </cell>
          <cell r="EA81">
            <v>9905.44571</v>
          </cell>
          <cell r="EL81">
            <v>12607.068770000016</v>
          </cell>
          <cell r="EM81">
            <v>-383.68090000000007</v>
          </cell>
          <cell r="EN81">
            <v>0</v>
          </cell>
          <cell r="EO81">
            <v>0</v>
          </cell>
          <cell r="EP81">
            <v>0</v>
          </cell>
          <cell r="EQ81">
            <v>-146.40546999999998</v>
          </cell>
          <cell r="ER81">
            <v>0</v>
          </cell>
          <cell r="ES81">
            <v>0</v>
          </cell>
          <cell r="ET81">
            <v>-13109.133190000004</v>
          </cell>
          <cell r="EU81">
            <v>0</v>
          </cell>
          <cell r="EV81">
            <v>0</v>
          </cell>
          <cell r="EW81">
            <v>-356.18512999999996</v>
          </cell>
          <cell r="EX81">
            <v>3478.5371799999994</v>
          </cell>
          <cell r="EY81">
            <v>66.139560000000003</v>
          </cell>
          <cell r="EZ81">
            <v>0</v>
          </cell>
          <cell r="FA81">
            <v>-4765.1020499999977</v>
          </cell>
          <cell r="FB81">
            <v>0</v>
          </cell>
          <cell r="FC81">
            <v>-136.05751999999995</v>
          </cell>
          <cell r="FD81">
            <v>-1.1226800000000001</v>
          </cell>
          <cell r="FE81">
            <v>0</v>
          </cell>
          <cell r="FF81">
            <v>-769.85457999999926</v>
          </cell>
          <cell r="FG81">
            <v>2872.6560100000002</v>
          </cell>
          <cell r="FH81">
            <v>2390.5407300000002</v>
          </cell>
          <cell r="FI81">
            <v>-318.28685999999982</v>
          </cell>
          <cell r="FJ81">
            <v>-234.50671999999986</v>
          </cell>
          <cell r="FK81">
            <v>2539.0003099999994</v>
          </cell>
          <cell r="FL81">
            <v>-2792.6998299999973</v>
          </cell>
          <cell r="FM81">
            <v>-419.36597000000017</v>
          </cell>
          <cell r="FN81">
            <v>-28.080069999999999</v>
          </cell>
          <cell r="FO81">
            <v>-393.67558999999994</v>
          </cell>
          <cell r="FP81">
            <v>-199.60856000000007</v>
          </cell>
          <cell r="FR81">
            <v>-718.07007999999917</v>
          </cell>
          <cell r="FS81">
            <v>0</v>
          </cell>
          <cell r="FT81">
            <v>0</v>
          </cell>
          <cell r="FU81">
            <v>0</v>
          </cell>
          <cell r="FV81">
            <v>266.19583999999998</v>
          </cell>
          <cell r="FW81">
            <v>0</v>
          </cell>
          <cell r="FX81">
            <v>0</v>
          </cell>
          <cell r="FY81">
            <v>6.4181599999999994</v>
          </cell>
          <cell r="FZ81">
            <v>-63.084909999999994</v>
          </cell>
          <cell r="GA81">
            <v>-1.1535700000000002</v>
          </cell>
          <cell r="GB81">
            <v>0</v>
          </cell>
          <cell r="GC81">
            <v>255.17339999999979</v>
          </cell>
          <cell r="GD81">
            <v>1551.28946</v>
          </cell>
          <cell r="GE81">
            <v>-233.94793999999999</v>
          </cell>
          <cell r="GF81">
            <v>-562.35624000000007</v>
          </cell>
          <cell r="GG81">
            <v>-24.471799999999998</v>
          </cell>
          <cell r="GH81">
            <v>0</v>
          </cell>
          <cell r="GI81">
            <v>376.16976000001938</v>
          </cell>
        </row>
        <row r="82">
          <cell r="C82">
            <v>59630.830390000032</v>
          </cell>
          <cell r="N82">
            <v>33016.125740000032</v>
          </cell>
          <cell r="O82">
            <v>-436.35792999999995</v>
          </cell>
          <cell r="P82">
            <v>0</v>
          </cell>
          <cell r="Q82">
            <v>0</v>
          </cell>
          <cell r="R82">
            <v>0</v>
          </cell>
          <cell r="S82">
            <v>-473.09551000000005</v>
          </cell>
          <cell r="T82">
            <v>-13.939580000000001</v>
          </cell>
          <cell r="U82">
            <v>0</v>
          </cell>
          <cell r="V82">
            <v>-29461.143489999999</v>
          </cell>
          <cell r="W82">
            <v>0</v>
          </cell>
          <cell r="X82">
            <v>0</v>
          </cell>
          <cell r="Y82">
            <v>-455.43330999999995</v>
          </cell>
          <cell r="Z82">
            <v>5830.04774</v>
          </cell>
          <cell r="AA82">
            <v>66.971779999999995</v>
          </cell>
          <cell r="AB82">
            <v>0</v>
          </cell>
          <cell r="AC82">
            <v>-15664.776680000006</v>
          </cell>
          <cell r="AD82">
            <v>0</v>
          </cell>
          <cell r="AE82">
            <v>-412.5761</v>
          </cell>
          <cell r="AF82">
            <v>-117.38951</v>
          </cell>
          <cell r="AG82">
            <v>0</v>
          </cell>
          <cell r="AH82">
            <v>7227.7305799999995</v>
          </cell>
          <cell r="AI82">
            <v>106.96166000000004</v>
          </cell>
          <cell r="AJ82">
            <v>6374.9509600000001</v>
          </cell>
          <cell r="AK82">
            <v>87.340680000000006</v>
          </cell>
          <cell r="AL82">
            <v>-3332.4299099999998</v>
          </cell>
          <cell r="AM82">
            <v>8768.8225300000013</v>
          </cell>
          <cell r="AN82">
            <v>-6655.4630900000011</v>
          </cell>
          <cell r="AO82">
            <v>-1067.0638299999998</v>
          </cell>
          <cell r="AP82">
            <v>-71.262659999999997</v>
          </cell>
          <cell r="AQ82">
            <v>-932.41175999999984</v>
          </cell>
          <cell r="AR82">
            <v>-695.80776999999989</v>
          </cell>
          <cell r="AT82">
            <v>-2201.0090000000009</v>
          </cell>
          <cell r="AU82">
            <v>0</v>
          </cell>
          <cell r="AV82">
            <v>0</v>
          </cell>
          <cell r="AW82">
            <v>0</v>
          </cell>
          <cell r="AX82">
            <v>926.13885000000005</v>
          </cell>
          <cell r="AY82">
            <v>0</v>
          </cell>
          <cell r="AZ82">
            <v>0</v>
          </cell>
          <cell r="BA82">
            <v>7.1634400000000005</v>
          </cell>
          <cell r="BB82">
            <v>-177.97852</v>
          </cell>
          <cell r="BC82">
            <v>-0.15525</v>
          </cell>
          <cell r="BD82">
            <v>0</v>
          </cell>
          <cell r="BE82">
            <v>685.67274000000009</v>
          </cell>
          <cell r="BF82">
            <v>647.37045000000001</v>
          </cell>
          <cell r="BG82">
            <v>-101.29629000000004</v>
          </cell>
          <cell r="BH82">
            <v>-541.92264999999986</v>
          </cell>
          <cell r="BI82">
            <v>-0.1183599999999999</v>
          </cell>
          <cell r="BJ82">
            <v>0</v>
          </cell>
          <cell r="BK82">
            <v>933.66595000002962</v>
          </cell>
          <cell r="EA82">
            <v>8057.4293600000019</v>
          </cell>
          <cell r="EL82">
            <v>12567.821860000009</v>
          </cell>
          <cell r="EM82">
            <v>-362.93908999999996</v>
          </cell>
          <cell r="EN82">
            <v>0</v>
          </cell>
          <cell r="EO82">
            <v>0</v>
          </cell>
          <cell r="EP82">
            <v>0</v>
          </cell>
          <cell r="EQ82">
            <v>-157.73902000000004</v>
          </cell>
          <cell r="ER82">
            <v>0</v>
          </cell>
          <cell r="ES82">
            <v>0</v>
          </cell>
          <cell r="ET82">
            <v>-10296.93204</v>
          </cell>
          <cell r="EU82">
            <v>0</v>
          </cell>
          <cell r="EV82">
            <v>0</v>
          </cell>
          <cell r="EW82">
            <v>-455.43330999999995</v>
          </cell>
          <cell r="EX82">
            <v>2079.9712</v>
          </cell>
          <cell r="EY82">
            <v>66.971779999999995</v>
          </cell>
          <cell r="EZ82">
            <v>0</v>
          </cell>
          <cell r="FA82">
            <v>-8563.4627700000092</v>
          </cell>
          <cell r="FB82">
            <v>0</v>
          </cell>
          <cell r="FC82">
            <v>-129.68153000000001</v>
          </cell>
          <cell r="FD82">
            <v>0</v>
          </cell>
          <cell r="FE82">
            <v>0</v>
          </cell>
          <cell r="FF82">
            <v>4060.1519500000004</v>
          </cell>
          <cell r="FG82">
            <v>106.96166000000004</v>
          </cell>
          <cell r="FH82">
            <v>2257.5194400000009</v>
          </cell>
          <cell r="FI82">
            <v>87.340680000000006</v>
          </cell>
          <cell r="FJ82">
            <v>-356.82276000000002</v>
          </cell>
          <cell r="FK82">
            <v>3850.3677299999999</v>
          </cell>
          <cell r="FL82">
            <v>-4664.2109</v>
          </cell>
          <cell r="FM82">
            <v>-304.06116999999995</v>
          </cell>
          <cell r="FN82">
            <v>-68.315179999999998</v>
          </cell>
          <cell r="FO82">
            <v>-302.92692999999997</v>
          </cell>
          <cell r="FP82">
            <v>-235.07432999999986</v>
          </cell>
          <cell r="FR82">
            <v>-805.18144000000007</v>
          </cell>
          <cell r="FS82">
            <v>0</v>
          </cell>
          <cell r="FT82">
            <v>0</v>
          </cell>
          <cell r="FU82">
            <v>0</v>
          </cell>
          <cell r="FV82">
            <v>317.90156000000002</v>
          </cell>
          <cell r="FW82">
            <v>0</v>
          </cell>
          <cell r="FX82">
            <v>0</v>
          </cell>
          <cell r="FY82">
            <v>7.1634400000000005</v>
          </cell>
          <cell r="FZ82">
            <v>-62.366249999999994</v>
          </cell>
          <cell r="GA82">
            <v>-0.15525</v>
          </cell>
          <cell r="GB82">
            <v>0</v>
          </cell>
          <cell r="GC82">
            <v>432.15661</v>
          </cell>
          <cell r="GD82">
            <v>-55.260839999999689</v>
          </cell>
          <cell r="GE82">
            <v>-101.29629000000004</v>
          </cell>
          <cell r="GF82">
            <v>-107.52601999999996</v>
          </cell>
          <cell r="GG82">
            <v>-0.1183599999999999</v>
          </cell>
          <cell r="GH82">
            <v>0</v>
          </cell>
          <cell r="GI82">
            <v>-1195.1755699999987</v>
          </cell>
        </row>
        <row r="83">
          <cell r="C83">
            <v>56759.92</v>
          </cell>
          <cell r="N83">
            <v>34257.234375</v>
          </cell>
          <cell r="O83">
            <v>-4760.5541277268203</v>
          </cell>
          <cell r="P83">
            <v>0</v>
          </cell>
          <cell r="Q83">
            <v>-9.7174064921621763</v>
          </cell>
          <cell r="R83">
            <v>0</v>
          </cell>
          <cell r="S83">
            <v>-1096.3430632336167</v>
          </cell>
          <cell r="T83">
            <v>-266.36653780333654</v>
          </cell>
          <cell r="U83">
            <v>0</v>
          </cell>
          <cell r="V83">
            <v>-26976.473390451985</v>
          </cell>
          <cell r="W83">
            <v>0</v>
          </cell>
          <cell r="X83">
            <v>-314.19614324657698</v>
          </cell>
          <cell r="Y83">
            <v>-580.85583812159689</v>
          </cell>
          <cell r="Z83">
            <v>5928.8228552201826</v>
          </cell>
          <cell r="AA83">
            <v>0</v>
          </cell>
          <cell r="AB83">
            <v>0</v>
          </cell>
          <cell r="AC83">
            <v>-9896.5957311322691</v>
          </cell>
          <cell r="AD83">
            <v>0</v>
          </cell>
          <cell r="AE83">
            <v>0</v>
          </cell>
          <cell r="AF83">
            <v>-605.46615121334617</v>
          </cell>
          <cell r="AG83">
            <v>0</v>
          </cell>
          <cell r="AH83">
            <v>10502.061882345615</v>
          </cell>
          <cell r="AI83">
            <v>580.85583812159689</v>
          </cell>
          <cell r="AJ83">
            <v>0</v>
          </cell>
          <cell r="AK83">
            <v>0</v>
          </cell>
          <cell r="AL83">
            <v>-1294.1475</v>
          </cell>
          <cell r="AM83">
            <v>0</v>
          </cell>
          <cell r="AN83">
            <v>0</v>
          </cell>
          <cell r="AO83">
            <v>-1372.9304780720829</v>
          </cell>
          <cell r="AP83">
            <v>-93.80268830841851</v>
          </cell>
          <cell r="AQ83">
            <v>-1286.6708080939741</v>
          </cell>
          <cell r="AR83">
            <v>-822.74187918409552</v>
          </cell>
          <cell r="AT83">
            <v>-2222.9681815810973</v>
          </cell>
          <cell r="AU83">
            <v>268.77477749999997</v>
          </cell>
          <cell r="AV83">
            <v>0</v>
          </cell>
          <cell r="AW83">
            <v>0</v>
          </cell>
          <cell r="AX83">
            <v>1523.0570725</v>
          </cell>
          <cell r="AY83">
            <v>0</v>
          </cell>
          <cell r="AZ83">
            <v>0</v>
          </cell>
          <cell r="BA83">
            <v>30.912170084658904</v>
          </cell>
          <cell r="BB83">
            <v>-363.09629804843922</v>
          </cell>
          <cell r="BC83">
            <v>0</v>
          </cell>
          <cell r="BD83">
            <v>0</v>
          </cell>
          <cell r="BE83">
            <v>2077.5387424999999</v>
          </cell>
          <cell r="BF83">
            <v>-2077.5387424999999</v>
          </cell>
          <cell r="BG83">
            <v>-30.912170084658904</v>
          </cell>
          <cell r="BH83">
            <v>0</v>
          </cell>
          <cell r="BI83">
            <v>0</v>
          </cell>
          <cell r="BJ83">
            <v>0</v>
          </cell>
          <cell r="BK83">
            <v>1097.880577977576</v>
          </cell>
          <cell r="EA83">
            <v>9171.739999999998</v>
          </cell>
          <cell r="EL83">
            <v>11419.078124999998</v>
          </cell>
          <cell r="EM83">
            <v>-1586.8513759089401</v>
          </cell>
          <cell r="EN83">
            <v>0</v>
          </cell>
          <cell r="EO83">
            <v>-3.2391354973873927</v>
          </cell>
          <cell r="EP83">
            <v>0</v>
          </cell>
          <cell r="EQ83">
            <v>-365.44768774453883</v>
          </cell>
          <cell r="ER83">
            <v>-88.788845934445533</v>
          </cell>
          <cell r="ES83">
            <v>0</v>
          </cell>
          <cell r="ET83">
            <v>-8992.1577968173297</v>
          </cell>
          <cell r="EU83">
            <v>0</v>
          </cell>
          <cell r="EV83">
            <v>-104.73204774885897</v>
          </cell>
          <cell r="EW83">
            <v>-193.61861270719891</v>
          </cell>
          <cell r="EX83">
            <v>1976.2742850733944</v>
          </cell>
          <cell r="EY83">
            <v>0</v>
          </cell>
          <cell r="EZ83">
            <v>0</v>
          </cell>
          <cell r="FA83">
            <v>-3298.8652437107567</v>
          </cell>
          <cell r="FB83">
            <v>0</v>
          </cell>
          <cell r="FC83">
            <v>0</v>
          </cell>
          <cell r="FD83">
            <v>-201.8220504044487</v>
          </cell>
          <cell r="FE83">
            <v>0</v>
          </cell>
          <cell r="FF83">
            <v>3500.6872941152051</v>
          </cell>
          <cell r="FG83">
            <v>193.61861270719891</v>
          </cell>
          <cell r="FH83">
            <v>0</v>
          </cell>
          <cell r="FI83">
            <v>0</v>
          </cell>
          <cell r="FJ83">
            <v>-431.38250000000005</v>
          </cell>
          <cell r="FK83">
            <v>0</v>
          </cell>
          <cell r="FL83">
            <v>0</v>
          </cell>
          <cell r="FM83">
            <v>-457.6434926906943</v>
          </cell>
          <cell r="FN83">
            <v>-31.267562769472846</v>
          </cell>
          <cell r="FO83">
            <v>-428.89026936465802</v>
          </cell>
          <cell r="FP83">
            <v>-274.2472930613651</v>
          </cell>
          <cell r="FR83">
            <v>-740.98939386036591</v>
          </cell>
          <cell r="FS83">
            <v>89.59159249999999</v>
          </cell>
          <cell r="FT83">
            <v>0</v>
          </cell>
          <cell r="FU83">
            <v>0</v>
          </cell>
          <cell r="FV83">
            <v>507.6856908333333</v>
          </cell>
          <cell r="FW83">
            <v>0</v>
          </cell>
          <cell r="FX83">
            <v>0</v>
          </cell>
          <cell r="FY83">
            <v>10.304056694886302</v>
          </cell>
          <cell r="FZ83">
            <v>-121.03209934947975</v>
          </cell>
          <cell r="GA83">
            <v>0</v>
          </cell>
          <cell r="GB83">
            <v>0</v>
          </cell>
          <cell r="GC83">
            <v>692.51291416666663</v>
          </cell>
          <cell r="GD83">
            <v>-692.51291416666663</v>
          </cell>
          <cell r="GE83">
            <v>-10.304056694886302</v>
          </cell>
          <cell r="GF83">
            <v>0</v>
          </cell>
          <cell r="GG83">
            <v>0</v>
          </cell>
          <cell r="GH83">
            <v>0</v>
          </cell>
          <cell r="GI83">
            <v>365.96019265918767</v>
          </cell>
        </row>
      </sheetData>
      <sheetData sheetId="22" refreshError="1">
        <row r="21">
          <cell r="C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EA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</row>
        <row r="22">
          <cell r="C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EA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EA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</row>
        <row r="25">
          <cell r="C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EA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</row>
        <row r="26">
          <cell r="C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EA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EA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</row>
        <row r="33">
          <cell r="C33">
            <v>90382.594320000004</v>
          </cell>
          <cell r="N33">
            <v>35856.156949999997</v>
          </cell>
          <cell r="O33">
            <v>-304.14668</v>
          </cell>
          <cell r="P33">
            <v>-4.1283400000000006</v>
          </cell>
          <cell r="Q33">
            <v>-31.811</v>
          </cell>
          <cell r="R33">
            <v>9.6430699999999998</v>
          </cell>
          <cell r="S33">
            <v>-464.00015999999999</v>
          </cell>
          <cell r="T33">
            <v>-830.58792000000005</v>
          </cell>
          <cell r="U33">
            <v>0</v>
          </cell>
          <cell r="V33">
            <v>-8821.2790830720041</v>
          </cell>
          <cell r="W33">
            <v>-583.79600000000005</v>
          </cell>
          <cell r="X33">
            <v>-10660.810216927999</v>
          </cell>
          <cell r="Y33">
            <v>-166.04728</v>
          </cell>
          <cell r="Z33">
            <v>446.25752999999997</v>
          </cell>
          <cell r="AA33">
            <v>3.2180500000000003</v>
          </cell>
          <cell r="AB33">
            <v>0</v>
          </cell>
          <cell r="AC33">
            <v>-21412.371620000005</v>
          </cell>
          <cell r="AD33">
            <v>450.70242000000002</v>
          </cell>
          <cell r="AE33">
            <v>-140.42914999999999</v>
          </cell>
          <cell r="AF33">
            <v>-879.61988999999994</v>
          </cell>
          <cell r="AG33">
            <v>0</v>
          </cell>
          <cell r="AH33">
            <v>26224.939630000001</v>
          </cell>
          <cell r="AI33">
            <v>716.14537999999982</v>
          </cell>
          <cell r="AJ33">
            <v>63.88698999999999</v>
          </cell>
          <cell r="AK33">
            <v>-10.143279999999997</v>
          </cell>
          <cell r="AL33">
            <v>-13660.306850000001</v>
          </cell>
          <cell r="AM33">
            <v>11449.97849</v>
          </cell>
          <cell r="AN33">
            <v>-2898.2134100000003</v>
          </cell>
          <cell r="AO33">
            <v>-1484.46929</v>
          </cell>
          <cell r="AP33">
            <v>-166.99635999999998</v>
          </cell>
          <cell r="AQ33">
            <v>-1093.8103799999999</v>
          </cell>
          <cell r="AR33">
            <v>-746.24185</v>
          </cell>
          <cell r="AT33">
            <v>-3360.396740000001</v>
          </cell>
          <cell r="AU33">
            <v>0</v>
          </cell>
          <cell r="AV33">
            <v>0</v>
          </cell>
          <cell r="AW33">
            <v>0</v>
          </cell>
          <cell r="AX33">
            <v>663.73047703314137</v>
          </cell>
          <cell r="AY33">
            <v>0</v>
          </cell>
          <cell r="AZ33">
            <v>743.70886296685876</v>
          </cell>
          <cell r="BA33">
            <v>11.68844</v>
          </cell>
          <cell r="BB33">
            <v>-31.300900000000002</v>
          </cell>
          <cell r="BC33">
            <v>-0.22649</v>
          </cell>
          <cell r="BD33">
            <v>0</v>
          </cell>
          <cell r="BE33">
            <v>3656.4818500000001</v>
          </cell>
          <cell r="BF33">
            <v>-5814.7012399999994</v>
          </cell>
          <cell r="BG33">
            <v>22.857810000000001</v>
          </cell>
          <cell r="BH33">
            <v>31.207350000000002</v>
          </cell>
          <cell r="BI33">
            <v>-1.3880100000000002</v>
          </cell>
          <cell r="BJ33">
            <v>0</v>
          </cell>
          <cell r="BK33">
            <v>6783.3811599999854</v>
          </cell>
          <cell r="EA33">
            <v>19087.312040000004</v>
          </cell>
          <cell r="EL33">
            <v>15583.612559999998</v>
          </cell>
          <cell r="EM33">
            <v>-181.93430000000001</v>
          </cell>
          <cell r="EN33">
            <v>-4.1283400000000006</v>
          </cell>
          <cell r="EO33">
            <v>-19.029</v>
          </cell>
          <cell r="EP33">
            <v>9.6430699999999998</v>
          </cell>
          <cell r="EQ33">
            <v>-174.34649999999999</v>
          </cell>
          <cell r="ER33">
            <v>-39.626430000000028</v>
          </cell>
          <cell r="ES33">
            <v>0</v>
          </cell>
          <cell r="ET33">
            <v>-3480.1154144436041</v>
          </cell>
          <cell r="EU33">
            <v>-583.79600000000005</v>
          </cell>
          <cell r="EV33">
            <v>-3381.8052755563986</v>
          </cell>
          <cell r="EW33">
            <v>-166.04728</v>
          </cell>
          <cell r="EX33">
            <v>149.99210999999997</v>
          </cell>
          <cell r="EY33">
            <v>3.2180500000000003</v>
          </cell>
          <cell r="EZ33">
            <v>0</v>
          </cell>
          <cell r="FA33">
            <v>-8777.4138000000039</v>
          </cell>
          <cell r="FB33">
            <v>245.32524000000001</v>
          </cell>
          <cell r="FC33">
            <v>-45.499099999999999</v>
          </cell>
          <cell r="FD33">
            <v>-304.28351999999995</v>
          </cell>
          <cell r="FE33">
            <v>0</v>
          </cell>
          <cell r="FF33">
            <v>9626.9151299999976</v>
          </cell>
          <cell r="FG33">
            <v>716.14537999999982</v>
          </cell>
          <cell r="FH33">
            <v>31.179460000000006</v>
          </cell>
          <cell r="FI33">
            <v>-10.143279999999997</v>
          </cell>
          <cell r="FJ33">
            <v>-2382.0791000000008</v>
          </cell>
          <cell r="FK33">
            <v>1874.4511300000013</v>
          </cell>
          <cell r="FL33">
            <v>-1579.3526800000002</v>
          </cell>
          <cell r="FM33">
            <v>-471.61775999999998</v>
          </cell>
          <cell r="FN33">
            <v>-86.351439999999982</v>
          </cell>
          <cell r="FO33">
            <v>-364.47189999999989</v>
          </cell>
          <cell r="FP33">
            <v>-250.00391000000002</v>
          </cell>
          <cell r="FR33">
            <v>-1117.4373299999997</v>
          </cell>
          <cell r="FS33">
            <v>0</v>
          </cell>
          <cell r="FT33">
            <v>0</v>
          </cell>
          <cell r="FU33">
            <v>0</v>
          </cell>
          <cell r="FV33">
            <v>160.16137902072796</v>
          </cell>
          <cell r="FW33">
            <v>0</v>
          </cell>
          <cell r="FX33">
            <v>190.06340097927205</v>
          </cell>
          <cell r="FY33">
            <v>11.68844</v>
          </cell>
          <cell r="FZ33">
            <v>-7.7888599999999997</v>
          </cell>
          <cell r="GA33">
            <v>-0.22649</v>
          </cell>
          <cell r="GB33">
            <v>0</v>
          </cell>
          <cell r="GC33">
            <v>3091.741</v>
          </cell>
          <cell r="GD33">
            <v>-4825.9690000000001</v>
          </cell>
          <cell r="GE33">
            <v>22.857810000000001</v>
          </cell>
          <cell r="GF33">
            <v>57.5154</v>
          </cell>
          <cell r="GG33">
            <v>-1.3880100000000002</v>
          </cell>
          <cell r="GH33">
            <v>0</v>
          </cell>
          <cell r="GI33">
            <v>3519.6548399999892</v>
          </cell>
        </row>
        <row r="34">
          <cell r="C34">
            <v>93410.961420000007</v>
          </cell>
          <cell r="N34">
            <v>35726.927989999996</v>
          </cell>
          <cell r="O34">
            <v>-358.51815999999997</v>
          </cell>
          <cell r="P34">
            <v>0</v>
          </cell>
          <cell r="Q34">
            <v>-274.56200000000001</v>
          </cell>
          <cell r="R34">
            <v>0</v>
          </cell>
          <cell r="S34">
            <v>-355.91768999999999</v>
          </cell>
          <cell r="T34">
            <v>-503.68596000000002</v>
          </cell>
          <cell r="U34">
            <v>0</v>
          </cell>
          <cell r="V34">
            <v>-9203.8376725575563</v>
          </cell>
          <cell r="W34">
            <v>0</v>
          </cell>
          <cell r="X34">
            <v>-10859.742787442441</v>
          </cell>
          <cell r="Y34">
            <v>-187.64437000000001</v>
          </cell>
          <cell r="Z34">
            <v>476.63985000000002</v>
          </cell>
          <cell r="AA34">
            <v>4.5503400000000003</v>
          </cell>
          <cell r="AB34">
            <v>0</v>
          </cell>
          <cell r="AC34">
            <v>-16169.127890000003</v>
          </cell>
          <cell r="AD34">
            <v>188.93154000000001</v>
          </cell>
          <cell r="AE34">
            <v>-93.644009999999994</v>
          </cell>
          <cell r="AF34">
            <v>-996.68983999999989</v>
          </cell>
          <cell r="AG34">
            <v>0</v>
          </cell>
          <cell r="AH34">
            <v>18332.87588</v>
          </cell>
          <cell r="AI34">
            <v>361.97298000000001</v>
          </cell>
          <cell r="AJ34">
            <v>311.91939000000002</v>
          </cell>
          <cell r="AK34">
            <v>-0.26093999999999995</v>
          </cell>
          <cell r="AL34">
            <v>-14261.697850000002</v>
          </cell>
          <cell r="AM34">
            <v>11962.554819999999</v>
          </cell>
          <cell r="AN34">
            <v>-3010.7603599999998</v>
          </cell>
          <cell r="AO34">
            <v>-1158.8494800000001</v>
          </cell>
          <cell r="AP34">
            <v>-85.245599999999996</v>
          </cell>
          <cell r="AQ34">
            <v>-930.11920999999995</v>
          </cell>
          <cell r="AR34">
            <v>-893.01120000000003</v>
          </cell>
          <cell r="AT34">
            <v>-3443.4198600000018</v>
          </cell>
          <cell r="AU34">
            <v>0</v>
          </cell>
          <cell r="AV34">
            <v>0</v>
          </cell>
          <cell r="AW34">
            <v>0</v>
          </cell>
          <cell r="AX34">
            <v>734.108931074373</v>
          </cell>
          <cell r="AY34">
            <v>0</v>
          </cell>
          <cell r="AZ34">
            <v>681.45670892562703</v>
          </cell>
          <cell r="BA34">
            <v>13.46523</v>
          </cell>
          <cell r="BB34">
            <v>-33.628839999999997</v>
          </cell>
          <cell r="BC34">
            <v>-0.30837999999999999</v>
          </cell>
          <cell r="BD34">
            <v>0</v>
          </cell>
          <cell r="BE34">
            <v>714.11799999999994</v>
          </cell>
          <cell r="BF34">
            <v>-3086.7169600000002</v>
          </cell>
          <cell r="BG34">
            <v>-52.475059999999992</v>
          </cell>
          <cell r="BH34">
            <v>-20.079240000000002</v>
          </cell>
          <cell r="BI34">
            <v>0.29946999999999996</v>
          </cell>
          <cell r="BJ34">
            <v>-9.5923269327613524E-17</v>
          </cell>
          <cell r="BK34">
            <v>3529.8777699999964</v>
          </cell>
          <cell r="EA34">
            <v>20556.340760000006</v>
          </cell>
          <cell r="EL34">
            <v>15788.827030000004</v>
          </cell>
          <cell r="EM34">
            <v>-269.92255</v>
          </cell>
          <cell r="EN34">
            <v>0</v>
          </cell>
          <cell r="EO34">
            <v>-48.322000000000003</v>
          </cell>
          <cell r="EP34">
            <v>0</v>
          </cell>
          <cell r="EQ34">
            <v>-117.55081999999999</v>
          </cell>
          <cell r="ER34">
            <v>-62.163160000000005</v>
          </cell>
          <cell r="ES34">
            <v>0</v>
          </cell>
          <cell r="ET34">
            <v>-2439.3402183418193</v>
          </cell>
          <cell r="EU34">
            <v>0</v>
          </cell>
          <cell r="EV34">
            <v>-5798.0985816581788</v>
          </cell>
          <cell r="EW34">
            <v>-187.64437000000001</v>
          </cell>
          <cell r="EX34">
            <v>195.69247000000001</v>
          </cell>
          <cell r="EY34">
            <v>4.5503400000000003</v>
          </cell>
          <cell r="EZ34">
            <v>0</v>
          </cell>
          <cell r="FA34">
            <v>-5161.5572700000012</v>
          </cell>
          <cell r="FB34">
            <v>16.693700000000007</v>
          </cell>
          <cell r="FC34">
            <v>-30.642259999999993</v>
          </cell>
          <cell r="FD34">
            <v>-262.94844999999998</v>
          </cell>
          <cell r="FE34">
            <v>0</v>
          </cell>
          <cell r="FF34">
            <v>6448.9697999999989</v>
          </cell>
          <cell r="FG34">
            <v>361.97298000000001</v>
          </cell>
          <cell r="FH34">
            <v>119.50283999999999</v>
          </cell>
          <cell r="FI34">
            <v>-0.26093999999999995</v>
          </cell>
          <cell r="FJ34">
            <v>-2355.9421500000008</v>
          </cell>
          <cell r="FK34">
            <v>1865.0502099999994</v>
          </cell>
          <cell r="FL34">
            <v>-1570.9501999999998</v>
          </cell>
          <cell r="FM34">
            <v>-394.97764000000006</v>
          </cell>
          <cell r="FN34">
            <v>-39.006919999999994</v>
          </cell>
          <cell r="FO34">
            <v>-306.67228999999998</v>
          </cell>
          <cell r="FP34">
            <v>-315.99607000000003</v>
          </cell>
          <cell r="FR34">
            <v>-1138.29754</v>
          </cell>
          <cell r="FS34">
            <v>0</v>
          </cell>
          <cell r="FT34">
            <v>0</v>
          </cell>
          <cell r="FU34">
            <v>0</v>
          </cell>
          <cell r="FV34">
            <v>-297.89432892562695</v>
          </cell>
          <cell r="FW34">
            <v>0</v>
          </cell>
          <cell r="FX34">
            <v>681.45670892562703</v>
          </cell>
          <cell r="FY34">
            <v>13.46523</v>
          </cell>
          <cell r="FZ34">
            <v>-9.1120899999999985</v>
          </cell>
          <cell r="GA34">
            <v>-0.30837999999999999</v>
          </cell>
          <cell r="GB34">
            <v>0</v>
          </cell>
          <cell r="GC34">
            <v>340.41699999999992</v>
          </cell>
          <cell r="GD34">
            <v>-760.80875000000015</v>
          </cell>
          <cell r="GE34">
            <v>-52.475059999999992</v>
          </cell>
          <cell r="GF34">
            <v>-8.8283100000000019</v>
          </cell>
          <cell r="GG34">
            <v>0.29946999999999996</v>
          </cell>
          <cell r="GH34">
            <v>0</v>
          </cell>
          <cell r="GI34">
            <v>4207.1774300000025</v>
          </cell>
        </row>
        <row r="35">
          <cell r="C35">
            <v>93716.800000000003</v>
          </cell>
          <cell r="N35">
            <v>47982.197257748106</v>
          </cell>
          <cell r="O35">
            <v>-6020.0080409767834</v>
          </cell>
          <cell r="P35">
            <v>-2596.6794501460145</v>
          </cell>
          <cell r="Q35">
            <v>-6095.7213854415313</v>
          </cell>
          <cell r="R35">
            <v>0</v>
          </cell>
          <cell r="S35">
            <v>-620.58607545811253</v>
          </cell>
          <cell r="T35">
            <v>-594.3731615531716</v>
          </cell>
          <cell r="U35">
            <v>0</v>
          </cell>
          <cell r="V35">
            <v>-7029.0049418834387</v>
          </cell>
          <cell r="W35">
            <v>-3031.9017123110007</v>
          </cell>
          <cell r="X35">
            <v>-7117.408390647417</v>
          </cell>
          <cell r="Y35">
            <v>-442.07918899229878</v>
          </cell>
          <cell r="Z35">
            <v>285.7903566290438</v>
          </cell>
          <cell r="AA35">
            <v>0</v>
          </cell>
          <cell r="AB35">
            <v>0</v>
          </cell>
          <cell r="AC35">
            <v>-12614.463443528868</v>
          </cell>
          <cell r="AD35">
            <v>0</v>
          </cell>
          <cell r="AE35">
            <v>0</v>
          </cell>
          <cell r="AF35">
            <v>-814.02687683949989</v>
          </cell>
          <cell r="AG35">
            <v>0</v>
          </cell>
          <cell r="AH35">
            <v>14028.490320368368</v>
          </cell>
          <cell r="AI35">
            <v>442.07918899229878</v>
          </cell>
          <cell r="AJ35">
            <v>0</v>
          </cell>
          <cell r="AK35">
            <v>0</v>
          </cell>
          <cell r="AL35">
            <v>-6890.8187853603322</v>
          </cell>
          <cell r="AM35">
            <v>0</v>
          </cell>
          <cell r="AN35">
            <v>0</v>
          </cell>
          <cell r="AO35">
            <v>-1705.662769701275</v>
          </cell>
          <cell r="AP35">
            <v>-153.47808222007649</v>
          </cell>
          <cell r="AQ35">
            <v>-1247.0754786888776</v>
          </cell>
          <cell r="AR35">
            <v>-1271.6899525491351</v>
          </cell>
          <cell r="AT35">
            <v>-4464.6643907418038</v>
          </cell>
          <cell r="AU35">
            <v>425.21689646048571</v>
          </cell>
          <cell r="AV35">
            <v>1080.9965111841336</v>
          </cell>
          <cell r="AW35">
            <v>545.35355430167442</v>
          </cell>
          <cell r="AX35">
            <v>496.48632464419916</v>
          </cell>
          <cell r="AY35">
            <v>1262.1793471955486</v>
          </cell>
          <cell r="AZ35">
            <v>636.75875549797297</v>
          </cell>
          <cell r="BA35">
            <v>55.288786558220593</v>
          </cell>
          <cell r="BB35">
            <v>-37.132765507409815</v>
          </cell>
          <cell r="BC35">
            <v>0</v>
          </cell>
          <cell r="BD35">
            <v>0</v>
          </cell>
          <cell r="BE35">
            <v>1032.6022999999993</v>
          </cell>
          <cell r="BF35">
            <v>-1032.6022999999993</v>
          </cell>
          <cell r="BG35">
            <v>-55.288786558220593</v>
          </cell>
          <cell r="BH35">
            <v>0</v>
          </cell>
          <cell r="BI35">
            <v>0</v>
          </cell>
          <cell r="BJ35">
            <v>0</v>
          </cell>
          <cell r="BK35">
            <v>4438.7736204747862</v>
          </cell>
          <cell r="EA35">
            <v>26395.360000000001</v>
          </cell>
          <cell r="EL35">
            <v>15994.065752582701</v>
          </cell>
          <cell r="EM35">
            <v>-2006.669346992262</v>
          </cell>
          <cell r="EN35">
            <v>-865.55981671533823</v>
          </cell>
          <cell r="EO35">
            <v>-2031.9071284805104</v>
          </cell>
          <cell r="EP35">
            <v>0</v>
          </cell>
          <cell r="EQ35">
            <v>-206.86202515270418</v>
          </cell>
          <cell r="ER35">
            <v>-198.12438718439051</v>
          </cell>
          <cell r="ES35">
            <v>0</v>
          </cell>
          <cell r="ET35">
            <v>-2343.0016472944799</v>
          </cell>
          <cell r="EU35">
            <v>-1010.633904103667</v>
          </cell>
          <cell r="EV35">
            <v>-2372.4694635491387</v>
          </cell>
          <cell r="EW35">
            <v>-147.35972966409958</v>
          </cell>
          <cell r="EX35">
            <v>95.263452209681276</v>
          </cell>
          <cell r="EY35">
            <v>0</v>
          </cell>
          <cell r="EZ35">
            <v>0</v>
          </cell>
          <cell r="FA35">
            <v>-4204.8211478429566</v>
          </cell>
          <cell r="FB35">
            <v>0</v>
          </cell>
          <cell r="FC35">
            <v>0</v>
          </cell>
          <cell r="FD35">
            <v>-271.34229227983326</v>
          </cell>
          <cell r="FE35">
            <v>0</v>
          </cell>
          <cell r="FF35">
            <v>4676.1634401227893</v>
          </cell>
          <cell r="FG35">
            <v>147.35972966409958</v>
          </cell>
          <cell r="FH35">
            <v>0</v>
          </cell>
          <cell r="FI35">
            <v>0</v>
          </cell>
          <cell r="FJ35">
            <v>-2296.9395951201104</v>
          </cell>
          <cell r="FK35">
            <v>0</v>
          </cell>
          <cell r="FL35">
            <v>0</v>
          </cell>
          <cell r="FM35">
            <v>-568.55425656709167</v>
          </cell>
          <cell r="FN35">
            <v>-51.159360740025491</v>
          </cell>
          <cell r="FO35">
            <v>-415.69182622962592</v>
          </cell>
          <cell r="FP35">
            <v>-423.8966508497117</v>
          </cell>
          <cell r="FR35">
            <v>-1488.2214635806013</v>
          </cell>
          <cell r="FS35">
            <v>141.73896548682859</v>
          </cell>
          <cell r="FT35">
            <v>360.33217039471117</v>
          </cell>
          <cell r="FU35">
            <v>181.78451810055816</v>
          </cell>
          <cell r="FV35">
            <v>165.49544154806642</v>
          </cell>
          <cell r="FW35">
            <v>420.72644906518292</v>
          </cell>
          <cell r="FX35">
            <v>212.25291849932432</v>
          </cell>
          <cell r="FY35">
            <v>18.429595519406867</v>
          </cell>
          <cell r="FZ35">
            <v>-12.377588502469937</v>
          </cell>
          <cell r="GA35">
            <v>0</v>
          </cell>
          <cell r="GB35">
            <v>0</v>
          </cell>
          <cell r="GC35">
            <v>344.20076666666648</v>
          </cell>
          <cell r="GD35">
            <v>-344.20076666666648</v>
          </cell>
          <cell r="GE35">
            <v>-18.429595519406867</v>
          </cell>
          <cell r="GF35">
            <v>0</v>
          </cell>
          <cell r="GG35">
            <v>0</v>
          </cell>
          <cell r="GH35">
            <v>0</v>
          </cell>
          <cell r="GI35">
            <v>1479.5912068249229</v>
          </cell>
        </row>
        <row r="37">
          <cell r="C37">
            <v>13963.865039999999</v>
          </cell>
          <cell r="N37">
            <v>6332.2526399999997</v>
          </cell>
          <cell r="O37">
            <v>-36.795360000000002</v>
          </cell>
          <cell r="P37">
            <v>0</v>
          </cell>
          <cell r="Q37">
            <v>0</v>
          </cell>
          <cell r="R37">
            <v>0</v>
          </cell>
          <cell r="S37">
            <v>-80.183179999999993</v>
          </cell>
          <cell r="T37">
            <v>-3.9326100000000004</v>
          </cell>
          <cell r="U37">
            <v>0</v>
          </cell>
          <cell r="V37">
            <v>-2118.5898299999999</v>
          </cell>
          <cell r="W37">
            <v>-7.5</v>
          </cell>
          <cell r="X37">
            <v>-1050</v>
          </cell>
          <cell r="Y37">
            <v>-32.896749999999997</v>
          </cell>
          <cell r="Z37">
            <v>97.562619999999995</v>
          </cell>
          <cell r="AA37">
            <v>0.97323999999999988</v>
          </cell>
          <cell r="AB37">
            <v>0</v>
          </cell>
          <cell r="AC37">
            <v>-1468.6222299999999</v>
          </cell>
          <cell r="AD37">
            <v>19.598300000000002</v>
          </cell>
          <cell r="AE37">
            <v>-22.099969999999999</v>
          </cell>
          <cell r="AF37">
            <v>-235.43191000000002</v>
          </cell>
          <cell r="AG37">
            <v>0</v>
          </cell>
          <cell r="AH37">
            <v>991.66737000000012</v>
          </cell>
          <cell r="AI37">
            <v>198.37111999999996</v>
          </cell>
          <cell r="AJ37">
            <v>20.253590000000028</v>
          </cell>
          <cell r="AK37">
            <v>-4.8563000000000001</v>
          </cell>
          <cell r="AL37">
            <v>-1813.5163799999996</v>
          </cell>
          <cell r="AM37">
            <v>1483.0138900000002</v>
          </cell>
          <cell r="AN37">
            <v>-512.71461999999997</v>
          </cell>
          <cell r="AO37">
            <v>-366.47404</v>
          </cell>
          <cell r="AP37">
            <v>-30.825010000000002</v>
          </cell>
          <cell r="AQ37">
            <v>-153.58054999999999</v>
          </cell>
          <cell r="AR37">
            <v>-125.65519</v>
          </cell>
          <cell r="AT37">
            <v>-428.05582000000027</v>
          </cell>
          <cell r="AU37">
            <v>0</v>
          </cell>
          <cell r="AV37">
            <v>0</v>
          </cell>
          <cell r="AW37">
            <v>0</v>
          </cell>
          <cell r="AX37">
            <v>8.9990000000000006</v>
          </cell>
          <cell r="AY37">
            <v>0</v>
          </cell>
          <cell r="AZ37">
            <v>0</v>
          </cell>
          <cell r="BA37">
            <v>9.2620000000000008E-2</v>
          </cell>
          <cell r="BB37">
            <v>-0.27643000000000001</v>
          </cell>
          <cell r="BC37">
            <v>-2.7400000000000002E-3</v>
          </cell>
          <cell r="BD37">
            <v>0</v>
          </cell>
          <cell r="BE37">
            <v>1.6283099999999999</v>
          </cell>
          <cell r="BF37">
            <v>52.626000000000062</v>
          </cell>
          <cell r="BG37">
            <v>12.290129999999998</v>
          </cell>
          <cell r="BH37">
            <v>0.70843</v>
          </cell>
          <cell r="BI37">
            <v>-0.20165</v>
          </cell>
          <cell r="BJ37">
            <v>0</v>
          </cell>
          <cell r="BK37">
            <v>727.82669000000055</v>
          </cell>
          <cell r="EA37">
            <v>2801.3850999999995</v>
          </cell>
          <cell r="EL37">
            <v>2407.706090000001</v>
          </cell>
          <cell r="EM37">
            <v>-28.042330000000003</v>
          </cell>
          <cell r="EN37">
            <v>0</v>
          </cell>
          <cell r="EO37">
            <v>0</v>
          </cell>
          <cell r="EP37">
            <v>0</v>
          </cell>
          <cell r="EQ37">
            <v>-26.294529999999995</v>
          </cell>
          <cell r="ER37">
            <v>-3.1683400000000006</v>
          </cell>
          <cell r="ES37">
            <v>0</v>
          </cell>
          <cell r="ET37">
            <v>-924.45108999999979</v>
          </cell>
          <cell r="EU37">
            <v>-7.5</v>
          </cell>
          <cell r="EV37">
            <v>-350</v>
          </cell>
          <cell r="EW37">
            <v>-32.896749999999997</v>
          </cell>
          <cell r="EX37">
            <v>39.378769999999996</v>
          </cell>
          <cell r="EY37">
            <v>0.97323999999999988</v>
          </cell>
          <cell r="EZ37">
            <v>0</v>
          </cell>
          <cell r="FA37">
            <v>-634.72983999999997</v>
          </cell>
          <cell r="FB37">
            <v>0</v>
          </cell>
          <cell r="FC37">
            <v>-5.6678700000000006</v>
          </cell>
          <cell r="FD37">
            <v>-72.277830000000023</v>
          </cell>
          <cell r="FE37">
            <v>0</v>
          </cell>
          <cell r="FF37">
            <v>764.07554000000005</v>
          </cell>
          <cell r="FG37">
            <v>198.37111999999996</v>
          </cell>
          <cell r="FH37">
            <v>24.99682</v>
          </cell>
          <cell r="FI37">
            <v>-4.8563000000000001</v>
          </cell>
          <cell r="FJ37">
            <v>-308.18713999999977</v>
          </cell>
          <cell r="FK37">
            <v>246.50483000000008</v>
          </cell>
          <cell r="FL37">
            <v>-228.99767999999989</v>
          </cell>
          <cell r="FM37">
            <v>-118.94569999999999</v>
          </cell>
          <cell r="FN37">
            <v>-16.690740000000002</v>
          </cell>
          <cell r="FO37">
            <v>-50.272709999999989</v>
          </cell>
          <cell r="FP37">
            <v>-43.065889999999996</v>
          </cell>
          <cell r="FR37">
            <v>-142.97347000000036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9.2620000000000008E-2</v>
          </cell>
          <cell r="FZ37">
            <v>0</v>
          </cell>
          <cell r="GA37">
            <v>-2.7400000000000002E-3</v>
          </cell>
          <cell r="GB37">
            <v>0</v>
          </cell>
          <cell r="GC37">
            <v>0.43230999999999997</v>
          </cell>
          <cell r="GD37">
            <v>-169.54599999999999</v>
          </cell>
          <cell r="GE37">
            <v>12.290129999999998</v>
          </cell>
          <cell r="GF37">
            <v>-0.75040999999999991</v>
          </cell>
          <cell r="GG37">
            <v>-0.20165</v>
          </cell>
          <cell r="GH37">
            <v>0</v>
          </cell>
          <cell r="GI37">
            <v>525.30246000000113</v>
          </cell>
        </row>
        <row r="38">
          <cell r="C38">
            <v>13319.915509999999</v>
          </cell>
          <cell r="N38">
            <v>5747.8746999999976</v>
          </cell>
          <cell r="O38">
            <v>-26.591409999999996</v>
          </cell>
          <cell r="P38">
            <v>0</v>
          </cell>
          <cell r="Q38">
            <v>0</v>
          </cell>
          <cell r="R38">
            <v>0</v>
          </cell>
          <cell r="S38">
            <v>-69.137470000000008</v>
          </cell>
          <cell r="T38">
            <v>-13.504480000000001</v>
          </cell>
          <cell r="U38">
            <v>0</v>
          </cell>
          <cell r="V38">
            <v>-3325.8837599999997</v>
          </cell>
          <cell r="W38">
            <v>0</v>
          </cell>
          <cell r="X38">
            <v>0</v>
          </cell>
          <cell r="Y38">
            <v>-43.591239999999999</v>
          </cell>
          <cell r="Z38">
            <v>108.15514999999999</v>
          </cell>
          <cell r="AA38">
            <v>1.48583</v>
          </cell>
          <cell r="AB38">
            <v>0</v>
          </cell>
          <cell r="AC38">
            <v>-2244.9253899999999</v>
          </cell>
          <cell r="AD38">
            <v>12.25057</v>
          </cell>
          <cell r="AE38">
            <v>-17.509519999999998</v>
          </cell>
          <cell r="AF38">
            <v>-241.01693999999998</v>
          </cell>
          <cell r="AG38">
            <v>0</v>
          </cell>
          <cell r="AH38">
            <v>2161.2099099999996</v>
          </cell>
          <cell r="AI38">
            <v>100.01646</v>
          </cell>
          <cell r="AJ38">
            <v>35.9193</v>
          </cell>
          <cell r="AK38">
            <v>0.38518999999999998</v>
          </cell>
          <cell r="AL38">
            <v>-1693.8271299999997</v>
          </cell>
          <cell r="AM38">
            <v>1413.9826699999996</v>
          </cell>
          <cell r="AN38">
            <v>-508.78379999999993</v>
          </cell>
          <cell r="AO38">
            <v>-314.25408999999996</v>
          </cell>
          <cell r="AP38">
            <v>-18.194269999999999</v>
          </cell>
          <cell r="AQ38">
            <v>-124.57531000000002</v>
          </cell>
          <cell r="AR38">
            <v>-138.53049000000001</v>
          </cell>
          <cell r="AT38">
            <v>-422.99507999999992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15.616</v>
          </cell>
          <cell r="BF38">
            <v>364.97300000000001</v>
          </cell>
          <cell r="BG38">
            <v>-0.57702999999999971</v>
          </cell>
          <cell r="BH38">
            <v>-2.9344899999999998</v>
          </cell>
          <cell r="BI38">
            <v>-5.0549999999999998E-2</v>
          </cell>
          <cell r="BJ38">
            <v>0</v>
          </cell>
          <cell r="BK38">
            <v>754.98632999999859</v>
          </cell>
          <cell r="EA38">
            <v>2114.1481199999998</v>
          </cell>
          <cell r="EL38">
            <v>2319.2839999999992</v>
          </cell>
          <cell r="EM38">
            <v>-21.037479999999995</v>
          </cell>
          <cell r="EN38">
            <v>0</v>
          </cell>
          <cell r="EO38">
            <v>0</v>
          </cell>
          <cell r="EP38">
            <v>0</v>
          </cell>
          <cell r="EQ38">
            <v>-25.490560000000009</v>
          </cell>
          <cell r="ER38">
            <v>-9.4706900000000012</v>
          </cell>
          <cell r="ES38">
            <v>0</v>
          </cell>
          <cell r="ET38">
            <v>-1270.3464399999998</v>
          </cell>
          <cell r="EU38">
            <v>0</v>
          </cell>
          <cell r="EV38">
            <v>0</v>
          </cell>
          <cell r="EW38">
            <v>-43.591239999999999</v>
          </cell>
          <cell r="EX38">
            <v>41.310679999999991</v>
          </cell>
          <cell r="EY38">
            <v>1.48583</v>
          </cell>
          <cell r="EZ38">
            <v>0</v>
          </cell>
          <cell r="FA38">
            <v>-1260.7975499999998</v>
          </cell>
          <cell r="FB38">
            <v>0</v>
          </cell>
          <cell r="FC38">
            <v>-6.4160399999999989</v>
          </cell>
          <cell r="FD38">
            <v>-55.284269999999992</v>
          </cell>
          <cell r="FE38">
            <v>0</v>
          </cell>
          <cell r="FF38">
            <v>-281.36957000000029</v>
          </cell>
          <cell r="FG38">
            <v>100.01646</v>
          </cell>
          <cell r="FH38">
            <v>25.988239999999998</v>
          </cell>
          <cell r="FI38">
            <v>0.38518999999999998</v>
          </cell>
          <cell r="FJ38">
            <v>-208.57351999999992</v>
          </cell>
          <cell r="FK38">
            <v>178.33158000000003</v>
          </cell>
          <cell r="FL38">
            <v>-240.23063999999994</v>
          </cell>
          <cell r="FM38">
            <v>-106.86616000000001</v>
          </cell>
          <cell r="FN38">
            <v>-7.57789</v>
          </cell>
          <cell r="FO38">
            <v>-39.613500000000002</v>
          </cell>
          <cell r="FP38">
            <v>-47.977910000000008</v>
          </cell>
          <cell r="FR38">
            <v>-141.33341000000001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371.851</v>
          </cell>
          <cell r="GE38">
            <v>-0.57702999999999971</v>
          </cell>
          <cell r="GF38">
            <v>-0.56593000000000027</v>
          </cell>
          <cell r="GG38">
            <v>-5.0549999999999998E-2</v>
          </cell>
          <cell r="GH38">
            <v>0</v>
          </cell>
          <cell r="GI38">
            <v>-728.51740000000086</v>
          </cell>
        </row>
        <row r="39">
          <cell r="C39">
            <v>14310.26</v>
          </cell>
          <cell r="N39">
            <v>7429.1136819037274</v>
          </cell>
          <cell r="O39">
            <v>-1031.0619562597817</v>
          </cell>
          <cell r="P39">
            <v>-66.355924200494229</v>
          </cell>
          <cell r="Q39">
            <v>-470.89500831882003</v>
          </cell>
          <cell r="R39">
            <v>0</v>
          </cell>
          <cell r="S39">
            <v>-101.65429539834972</v>
          </cell>
          <cell r="T39">
            <v>-55.33547595326317</v>
          </cell>
          <cell r="U39">
            <v>0</v>
          </cell>
          <cell r="V39">
            <v>-1705.4942721266355</v>
          </cell>
          <cell r="W39">
            <v>-109.76027964036177</v>
          </cell>
          <cell r="X39">
            <v>-778.91414243823033</v>
          </cell>
          <cell r="Y39">
            <v>-66.085516505667883</v>
          </cell>
          <cell r="Z39">
            <v>70.157914280402935</v>
          </cell>
          <cell r="AA39">
            <v>0</v>
          </cell>
          <cell r="AB39">
            <v>0</v>
          </cell>
          <cell r="AC39">
            <v>-1028.1908978227923</v>
          </cell>
          <cell r="AD39">
            <v>0</v>
          </cell>
          <cell r="AE39">
            <v>0</v>
          </cell>
          <cell r="AF39">
            <v>-143.59634872410729</v>
          </cell>
          <cell r="AG39">
            <v>0</v>
          </cell>
          <cell r="AH39">
            <v>1171.7872465468995</v>
          </cell>
          <cell r="AI39">
            <v>66.085516505667883</v>
          </cell>
          <cell r="AJ39">
            <v>0</v>
          </cell>
          <cell r="AK39">
            <v>0</v>
          </cell>
          <cell r="AL39">
            <v>-1010.6649879518807</v>
          </cell>
          <cell r="AM39">
            <v>0</v>
          </cell>
          <cell r="AN39">
            <v>0</v>
          </cell>
          <cell r="AO39">
            <v>-344.94515044351249</v>
          </cell>
          <cell r="AP39">
            <v>-19.736378733087751</v>
          </cell>
          <cell r="AQ39">
            <v>-175.85768778545227</v>
          </cell>
          <cell r="AR39">
            <v>-192.05202259595603</v>
          </cell>
          <cell r="AT39">
            <v>-549.59358956367828</v>
          </cell>
          <cell r="AU39">
            <v>0</v>
          </cell>
          <cell r="AV39">
            <v>27.623942012981075</v>
          </cell>
          <cell r="AW39">
            <v>30.054052184510319</v>
          </cell>
          <cell r="AX39">
            <v>0</v>
          </cell>
          <cell r="AY39">
            <v>45.693156061736502</v>
          </cell>
          <cell r="AZ39">
            <v>49.712835919981188</v>
          </cell>
          <cell r="BA39">
            <v>2.1907733308761723</v>
          </cell>
          <cell r="BB39">
            <v>-2.4162409512838932</v>
          </cell>
          <cell r="BC39">
            <v>0</v>
          </cell>
          <cell r="BD39">
            <v>0</v>
          </cell>
          <cell r="BE39">
            <v>17.807499999999997</v>
          </cell>
          <cell r="BF39">
            <v>-17.807499999999997</v>
          </cell>
          <cell r="BG39">
            <v>-2.1907733308761723</v>
          </cell>
          <cell r="BH39">
            <v>0</v>
          </cell>
          <cell r="BI39">
            <v>0</v>
          </cell>
          <cell r="BJ39">
            <v>0</v>
          </cell>
          <cell r="BK39">
            <v>1037.6181700025522</v>
          </cell>
          <cell r="EA39">
            <v>1892.1599999999999</v>
          </cell>
          <cell r="EL39">
            <v>2476.3712273012425</v>
          </cell>
          <cell r="EM39">
            <v>-343.68731875326057</v>
          </cell>
          <cell r="EN39">
            <v>-22.118641400164741</v>
          </cell>
          <cell r="EO39">
            <v>-156.96500277294001</v>
          </cell>
          <cell r="EP39">
            <v>0</v>
          </cell>
          <cell r="EQ39">
            <v>-33.884765132783244</v>
          </cell>
          <cell r="ER39">
            <v>-18.445158651087723</v>
          </cell>
          <cell r="ES39">
            <v>0</v>
          </cell>
          <cell r="ET39">
            <v>-568.49809070887864</v>
          </cell>
          <cell r="EU39">
            <v>-36.586759880120596</v>
          </cell>
          <cell r="EV39">
            <v>-259.63804747941015</v>
          </cell>
          <cell r="EW39">
            <v>-22.028505501889292</v>
          </cell>
          <cell r="EX39">
            <v>23.385971426800978</v>
          </cell>
          <cell r="EY39">
            <v>0</v>
          </cell>
          <cell r="EZ39">
            <v>0</v>
          </cell>
          <cell r="FA39">
            <v>-342.7302992742641</v>
          </cell>
          <cell r="FB39">
            <v>0</v>
          </cell>
          <cell r="FC39">
            <v>0</v>
          </cell>
          <cell r="FD39">
            <v>-47.865449574702424</v>
          </cell>
          <cell r="FE39">
            <v>0</v>
          </cell>
          <cell r="FF39">
            <v>390.59574884896654</v>
          </cell>
          <cell r="FG39">
            <v>22.028505501889292</v>
          </cell>
          <cell r="FH39">
            <v>0</v>
          </cell>
          <cell r="FI39">
            <v>0</v>
          </cell>
          <cell r="FJ39">
            <v>-336.8883293172936</v>
          </cell>
          <cell r="FK39">
            <v>0</v>
          </cell>
          <cell r="FL39">
            <v>0</v>
          </cell>
          <cell r="FM39">
            <v>-114.98171681450415</v>
          </cell>
          <cell r="FN39">
            <v>-6.5787929110292502</v>
          </cell>
          <cell r="FO39">
            <v>-58.619229261817424</v>
          </cell>
          <cell r="FP39">
            <v>-64.017340865318687</v>
          </cell>
          <cell r="FR39">
            <v>-183.19786318789278</v>
          </cell>
          <cell r="FS39">
            <v>0</v>
          </cell>
          <cell r="FT39">
            <v>9.2079806709936918</v>
          </cell>
          <cell r="FU39">
            <v>10.018017394836772</v>
          </cell>
          <cell r="FV39">
            <v>0</v>
          </cell>
          <cell r="FW39">
            <v>15.231052020578833</v>
          </cell>
          <cell r="FX39">
            <v>16.570945306660398</v>
          </cell>
          <cell r="FY39">
            <v>0.73025777695872418</v>
          </cell>
          <cell r="FZ39">
            <v>-0.80541365042796431</v>
          </cell>
          <cell r="GA39">
            <v>0</v>
          </cell>
          <cell r="GB39">
            <v>0</v>
          </cell>
          <cell r="GC39">
            <v>5.9358333333333331</v>
          </cell>
          <cell r="GD39">
            <v>-5.9358333333333331</v>
          </cell>
          <cell r="GE39">
            <v>-0.73025777695872418</v>
          </cell>
          <cell r="GF39">
            <v>0</v>
          </cell>
          <cell r="GG39">
            <v>0</v>
          </cell>
          <cell r="GH39">
            <v>0</v>
          </cell>
          <cell r="GI39">
            <v>345.87272333418377</v>
          </cell>
        </row>
        <row r="41">
          <cell r="C41">
            <v>34074.339359999998</v>
          </cell>
          <cell r="N41">
            <v>12091.597999999998</v>
          </cell>
          <cell r="O41">
            <v>-9.0022000000000002</v>
          </cell>
          <cell r="P41">
            <v>0</v>
          </cell>
          <cell r="Q41">
            <v>-2.7149999999999999</v>
          </cell>
          <cell r="R41">
            <v>0</v>
          </cell>
          <cell r="S41">
            <v>-331.46199000000001</v>
          </cell>
          <cell r="T41">
            <v>-6.8920700000000004</v>
          </cell>
          <cell r="U41">
            <v>0</v>
          </cell>
          <cell r="V41">
            <v>-5209.5955276724717</v>
          </cell>
          <cell r="W41">
            <v>0</v>
          </cell>
          <cell r="X41">
            <v>-1914.9134223275287</v>
          </cell>
          <cell r="Y41">
            <v>-149.83702</v>
          </cell>
          <cell r="Z41">
            <v>883.40376999999989</v>
          </cell>
          <cell r="AA41">
            <v>16.560880000000001</v>
          </cell>
          <cell r="AB41">
            <v>0</v>
          </cell>
          <cell r="AC41">
            <v>-4526.8690500000012</v>
          </cell>
          <cell r="AD41">
            <v>1303.70445</v>
          </cell>
          <cell r="AE41">
            <v>-157.39875000000001</v>
          </cell>
          <cell r="AF41">
            <v>-1301.8079099999998</v>
          </cell>
          <cell r="AG41">
            <v>0</v>
          </cell>
          <cell r="AH41">
            <v>4397.8566700000001</v>
          </cell>
          <cell r="AI41">
            <v>2306.8498300000006</v>
          </cell>
          <cell r="AJ41">
            <v>-355.29575000000034</v>
          </cell>
          <cell r="AK41">
            <v>-184.88177999999999</v>
          </cell>
          <cell r="AL41">
            <v>-6564.4380400000027</v>
          </cell>
          <cell r="AM41">
            <v>5605.7237499999992</v>
          </cell>
          <cell r="AN41">
            <v>-1412.2307599999999</v>
          </cell>
          <cell r="AO41">
            <v>-654.99582999999996</v>
          </cell>
          <cell r="AP41">
            <v>-68.01437</v>
          </cell>
          <cell r="AQ41">
            <v>-400.63448</v>
          </cell>
          <cell r="AR41">
            <v>-230.92827</v>
          </cell>
          <cell r="AT41">
            <v>-261.73435999999998</v>
          </cell>
          <cell r="AU41">
            <v>0</v>
          </cell>
          <cell r="AV41">
            <v>0</v>
          </cell>
          <cell r="AW41">
            <v>0</v>
          </cell>
          <cell r="AX41">
            <v>111.44824011718663</v>
          </cell>
          <cell r="AY41">
            <v>0</v>
          </cell>
          <cell r="AZ41">
            <v>42.462919882813367</v>
          </cell>
          <cell r="BA41">
            <v>3.32884</v>
          </cell>
          <cell r="BB41">
            <v>-19.084220000000002</v>
          </cell>
          <cell r="BC41">
            <v>-0.36684</v>
          </cell>
          <cell r="BD41">
            <v>0</v>
          </cell>
          <cell r="BE41">
            <v>4.761029999999999</v>
          </cell>
          <cell r="BF41">
            <v>128.13025000000212</v>
          </cell>
          <cell r="BG41">
            <v>-93.492729999999995</v>
          </cell>
          <cell r="BH41">
            <v>-108.76789999999997</v>
          </cell>
          <cell r="BI41">
            <v>5.6403300000000005</v>
          </cell>
          <cell r="BJ41">
            <v>5.3290705182007515E-18</v>
          </cell>
          <cell r="BK41">
            <v>2936.1106899999977</v>
          </cell>
          <cell r="EA41">
            <v>3868.2378599999975</v>
          </cell>
          <cell r="EL41">
            <v>4665.6350000000002</v>
          </cell>
          <cell r="EM41">
            <v>-2.7605500000000003</v>
          </cell>
          <cell r="EN41">
            <v>0</v>
          </cell>
          <cell r="EO41">
            <v>0</v>
          </cell>
          <cell r="EP41">
            <v>0</v>
          </cell>
          <cell r="EQ41">
            <v>-120.87639999999999</v>
          </cell>
          <cell r="ER41">
            <v>-4.5516900000000007</v>
          </cell>
          <cell r="ES41">
            <v>0</v>
          </cell>
          <cell r="ET41">
            <v>-1717.575227916027</v>
          </cell>
          <cell r="EU41">
            <v>0</v>
          </cell>
          <cell r="EV41">
            <v>-819.38981208397308</v>
          </cell>
          <cell r="EW41">
            <v>-149.83702</v>
          </cell>
          <cell r="EX41">
            <v>314.57107999999994</v>
          </cell>
          <cell r="EY41">
            <v>16.560880000000001</v>
          </cell>
          <cell r="EZ41">
            <v>0</v>
          </cell>
          <cell r="FA41">
            <v>-1135.1609700000008</v>
          </cell>
          <cell r="FB41">
            <v>57.723680000000058</v>
          </cell>
          <cell r="FC41">
            <v>-49.950820000000007</v>
          </cell>
          <cell r="FD41">
            <v>-354.1599799999999</v>
          </cell>
          <cell r="FE41">
            <v>0</v>
          </cell>
          <cell r="FF41">
            <v>2255.846</v>
          </cell>
          <cell r="FG41">
            <v>2306.8498300000006</v>
          </cell>
          <cell r="FH41">
            <v>-169.73831000000004</v>
          </cell>
          <cell r="FI41">
            <v>-184.88177999999999</v>
          </cell>
          <cell r="FJ41">
            <v>-625.48954000000049</v>
          </cell>
          <cell r="FK41">
            <v>472.40225999999984</v>
          </cell>
          <cell r="FL41">
            <v>-710.98186999999984</v>
          </cell>
          <cell r="FM41">
            <v>-210.77361999999999</v>
          </cell>
          <cell r="FN41">
            <v>-39.403099999999995</v>
          </cell>
          <cell r="FO41">
            <v>-132.86554000000001</v>
          </cell>
          <cell r="FP41">
            <v>-82.051410000000004</v>
          </cell>
          <cell r="FR41">
            <v>-87.137179999999972</v>
          </cell>
          <cell r="FS41">
            <v>0</v>
          </cell>
          <cell r="FT41">
            <v>0</v>
          </cell>
          <cell r="FU41">
            <v>0</v>
          </cell>
          <cell r="FV41">
            <v>33.112657440199314</v>
          </cell>
          <cell r="FW41">
            <v>0</v>
          </cell>
          <cell r="FX41">
            <v>14.118522559800681</v>
          </cell>
          <cell r="FY41">
            <v>3.32884</v>
          </cell>
          <cell r="FZ41">
            <v>-5.8564300000000014</v>
          </cell>
          <cell r="GA41">
            <v>-0.36684</v>
          </cell>
          <cell r="GB41">
            <v>0</v>
          </cell>
          <cell r="GC41">
            <v>10.22494</v>
          </cell>
          <cell r="GD41">
            <v>-14.646679999997872</v>
          </cell>
          <cell r="GE41">
            <v>-93.492729999999995</v>
          </cell>
          <cell r="GF41">
            <v>-3.3023100000000056</v>
          </cell>
          <cell r="GG41">
            <v>5.6403300000000005</v>
          </cell>
          <cell r="GH41">
            <v>0</v>
          </cell>
          <cell r="GI41">
            <v>3440.7642100000012</v>
          </cell>
        </row>
        <row r="42">
          <cell r="C42">
            <v>33936.046259999996</v>
          </cell>
          <cell r="N42">
            <v>12516.155129999996</v>
          </cell>
          <cell r="O42">
            <v>-19.249410000000001</v>
          </cell>
          <cell r="P42">
            <v>0</v>
          </cell>
          <cell r="Q42">
            <v>0</v>
          </cell>
          <cell r="R42">
            <v>0</v>
          </cell>
          <cell r="S42">
            <v>-234.70744000000002</v>
          </cell>
          <cell r="T42">
            <v>-35.934380000000004</v>
          </cell>
          <cell r="U42">
            <v>0</v>
          </cell>
          <cell r="V42">
            <v>-6051.2322125539795</v>
          </cell>
          <cell r="W42">
            <v>0</v>
          </cell>
          <cell r="X42">
            <v>-1902.1068174460211</v>
          </cell>
          <cell r="Y42">
            <v>-267.83199999999999</v>
          </cell>
          <cell r="Z42">
            <v>898.63729999999998</v>
          </cell>
          <cell r="AA42">
            <v>30.93327</v>
          </cell>
          <cell r="AB42">
            <v>0</v>
          </cell>
          <cell r="AC42">
            <v>-23356.437150000002</v>
          </cell>
          <cell r="AD42">
            <v>242.57560000000001</v>
          </cell>
          <cell r="AE42">
            <v>-135.78157000000002</v>
          </cell>
          <cell r="AF42">
            <v>-1462.60069</v>
          </cell>
          <cell r="AG42">
            <v>0</v>
          </cell>
          <cell r="AH42">
            <v>20214.907189999998</v>
          </cell>
          <cell r="AI42">
            <v>393.17301999999995</v>
          </cell>
          <cell r="AJ42">
            <v>-412.05824000000001</v>
          </cell>
          <cell r="AK42">
            <v>15.741400000000008</v>
          </cell>
          <cell r="AL42">
            <v>-6617.0495099999989</v>
          </cell>
          <cell r="AM42">
            <v>5502.2537499999999</v>
          </cell>
          <cell r="AN42">
            <v>-1342.2821200000001</v>
          </cell>
          <cell r="AO42">
            <v>-483.11225000000002</v>
          </cell>
          <cell r="AP42">
            <v>-33.315020000000004</v>
          </cell>
          <cell r="AQ42">
            <v>-303.71171000000004</v>
          </cell>
          <cell r="AR42">
            <v>-274.17734999999999</v>
          </cell>
          <cell r="AT42">
            <v>-391.01914000000005</v>
          </cell>
          <cell r="AU42">
            <v>0</v>
          </cell>
          <cell r="AV42">
            <v>0</v>
          </cell>
          <cell r="AW42">
            <v>0</v>
          </cell>
          <cell r="AX42">
            <v>157.82995921120835</v>
          </cell>
          <cell r="AY42">
            <v>0</v>
          </cell>
          <cell r="AZ42">
            <v>85.170890788791667</v>
          </cell>
          <cell r="BA42">
            <v>7.6736400000000007</v>
          </cell>
          <cell r="BB42">
            <v>-27.456349999999997</v>
          </cell>
          <cell r="BC42">
            <v>-0.86260999999999999</v>
          </cell>
          <cell r="BD42">
            <v>0</v>
          </cell>
          <cell r="BE42">
            <v>18256.072479999995</v>
          </cell>
          <cell r="BF42">
            <v>-18777.033459999999</v>
          </cell>
          <cell r="BG42">
            <v>-564.41907000000003</v>
          </cell>
          <cell r="BH42">
            <v>393.09555999999998</v>
          </cell>
          <cell r="BI42">
            <v>8.5754900000000003</v>
          </cell>
          <cell r="BJ42">
            <v>0</v>
          </cell>
          <cell r="BK42">
            <v>-3969.5838200000103</v>
          </cell>
          <cell r="EA42">
            <v>3836.6098399999973</v>
          </cell>
          <cell r="EL42">
            <v>4377.4166100000002</v>
          </cell>
          <cell r="EM42">
            <v>-3.2989100000000011</v>
          </cell>
          <cell r="EN42">
            <v>0</v>
          </cell>
          <cell r="EO42">
            <v>0</v>
          </cell>
          <cell r="EP42">
            <v>0</v>
          </cell>
          <cell r="EQ42">
            <v>-76.432860000000005</v>
          </cell>
          <cell r="ER42">
            <v>-4.9411000000000023</v>
          </cell>
          <cell r="ES42">
            <v>0</v>
          </cell>
          <cell r="ET42">
            <v>-1969.0739825126861</v>
          </cell>
          <cell r="EU42">
            <v>0</v>
          </cell>
          <cell r="EV42">
            <v>-698.69603748731424</v>
          </cell>
          <cell r="EW42">
            <v>-267.83199999999999</v>
          </cell>
          <cell r="EX42">
            <v>301.42782</v>
          </cell>
          <cell r="EY42">
            <v>30.93327</v>
          </cell>
          <cell r="EZ42">
            <v>0</v>
          </cell>
          <cell r="FA42">
            <v>-1147.0486400000009</v>
          </cell>
          <cell r="FB42">
            <v>67.794669999999996</v>
          </cell>
          <cell r="FC42">
            <v>-43.221370000000007</v>
          </cell>
          <cell r="FD42">
            <v>-461.8447799999999</v>
          </cell>
          <cell r="FE42">
            <v>0</v>
          </cell>
          <cell r="FF42">
            <v>781.95701999999801</v>
          </cell>
          <cell r="FG42">
            <v>393.17301999999995</v>
          </cell>
          <cell r="FH42">
            <v>139.30578999999994</v>
          </cell>
          <cell r="FI42">
            <v>15.741400000000008</v>
          </cell>
          <cell r="FJ42">
            <v>-666.04097000000002</v>
          </cell>
          <cell r="FK42">
            <v>577.34767999999985</v>
          </cell>
          <cell r="FL42">
            <v>-712.68644000000018</v>
          </cell>
          <cell r="FM42">
            <v>-167.42052999999999</v>
          </cell>
          <cell r="FN42">
            <v>-14.949040000000004</v>
          </cell>
          <cell r="FO42">
            <v>-98.484050000000025</v>
          </cell>
          <cell r="FP42">
            <v>-99.923159999999996</v>
          </cell>
          <cell r="FR42">
            <v>-129.89015000000001</v>
          </cell>
          <cell r="FS42">
            <v>0</v>
          </cell>
          <cell r="FT42">
            <v>0</v>
          </cell>
          <cell r="FU42">
            <v>0</v>
          </cell>
          <cell r="FV42">
            <v>-11.389540788791663</v>
          </cell>
          <cell r="FW42">
            <v>0</v>
          </cell>
          <cell r="FX42">
            <v>85.170890788791667</v>
          </cell>
          <cell r="FY42">
            <v>7.6736400000000007</v>
          </cell>
          <cell r="FZ42">
            <v>-8.3364599999999989</v>
          </cell>
          <cell r="GA42">
            <v>-0.86260999999999999</v>
          </cell>
          <cell r="GB42">
            <v>0</v>
          </cell>
          <cell r="GC42">
            <v>48.807129999997414</v>
          </cell>
          <cell r="GD42">
            <v>-2.348519999999553</v>
          </cell>
          <cell r="GE42">
            <v>-564.41907000000003</v>
          </cell>
          <cell r="GF42">
            <v>-11.294379999999933</v>
          </cell>
          <cell r="GG42">
            <v>8.5754900000000003</v>
          </cell>
          <cell r="GH42">
            <v>0</v>
          </cell>
          <cell r="GI42">
            <v>-325.11017000000561</v>
          </cell>
        </row>
        <row r="43">
          <cell r="C43">
            <v>35573.32</v>
          </cell>
          <cell r="N43">
            <v>13506.44242949651</v>
          </cell>
          <cell r="O43">
            <v>-735.4426257941459</v>
          </cell>
          <cell r="P43">
            <v>0</v>
          </cell>
          <cell r="Q43">
            <v>-214.0660694499081</v>
          </cell>
          <cell r="R43">
            <v>0</v>
          </cell>
          <cell r="S43">
            <v>-517.60364615794879</v>
          </cell>
          <cell r="T43">
            <v>-129.083631970939</v>
          </cell>
          <cell r="U43">
            <v>0</v>
          </cell>
          <cell r="V43">
            <v>-5220.2715031671623</v>
          </cell>
          <cell r="W43">
            <v>0</v>
          </cell>
          <cell r="X43">
            <v>-1519.4699939205684</v>
          </cell>
          <cell r="Y43">
            <v>-154.96785820024698</v>
          </cell>
          <cell r="Z43">
            <v>763.75001537151536</v>
          </cell>
          <cell r="AA43">
            <v>0</v>
          </cell>
          <cell r="AB43">
            <v>0</v>
          </cell>
          <cell r="AC43">
            <v>-2117.6323309020681</v>
          </cell>
          <cell r="AD43">
            <v>0</v>
          </cell>
          <cell r="AE43">
            <v>0</v>
          </cell>
          <cell r="AF43">
            <v>-1686.6363638163784</v>
          </cell>
          <cell r="AG43">
            <v>0</v>
          </cell>
          <cell r="AH43">
            <v>4116.7686947184466</v>
          </cell>
          <cell r="AI43">
            <v>154.96785820024698</v>
          </cell>
          <cell r="AJ43">
            <v>0</v>
          </cell>
          <cell r="AK43">
            <v>0</v>
          </cell>
          <cell r="AL43">
            <v>-2662.1109644980675</v>
          </cell>
          <cell r="AM43">
            <v>0</v>
          </cell>
          <cell r="AN43">
            <v>0</v>
          </cell>
          <cell r="AO43">
            <v>-718.92419967000831</v>
          </cell>
          <cell r="AP43">
            <v>-49.45010662915567</v>
          </cell>
          <cell r="AQ43">
            <v>-466.65068406274497</v>
          </cell>
          <cell r="AR43">
            <v>-370.22416884891254</v>
          </cell>
          <cell r="AT43">
            <v>-440.10502914018878</v>
          </cell>
          <cell r="AU43">
            <v>29.413601907295458</v>
          </cell>
          <cell r="AV43">
            <v>0</v>
          </cell>
          <cell r="AW43">
            <v>15.330783520027424</v>
          </cell>
          <cell r="AX43">
            <v>208.78173559270456</v>
          </cell>
          <cell r="AY43">
            <v>0</v>
          </cell>
          <cell r="AZ43">
            <v>108.81998068089266</v>
          </cell>
          <cell r="BA43">
            <v>7.0620705672310375</v>
          </cell>
          <cell r="BB43">
            <v>-36.15883182236017</v>
          </cell>
          <cell r="BC43">
            <v>0</v>
          </cell>
          <cell r="BD43">
            <v>0</v>
          </cell>
          <cell r="BE43">
            <v>305.67930000000001</v>
          </cell>
          <cell r="BF43">
            <v>-423.18858624999996</v>
          </cell>
          <cell r="BG43">
            <v>-7.0620705672310375</v>
          </cell>
          <cell r="BH43">
            <v>0</v>
          </cell>
          <cell r="BI43">
            <v>0</v>
          </cell>
          <cell r="BJ43">
            <v>0</v>
          </cell>
          <cell r="BK43">
            <v>1747.967805186835</v>
          </cell>
          <cell r="EA43">
            <v>2647.7200000000012</v>
          </cell>
          <cell r="EL43">
            <v>4502.1474764988361</v>
          </cell>
          <cell r="EM43">
            <v>-245.14754193138191</v>
          </cell>
          <cell r="EN43">
            <v>0</v>
          </cell>
          <cell r="EO43">
            <v>-71.3553564833027</v>
          </cell>
          <cell r="EP43">
            <v>0</v>
          </cell>
          <cell r="EQ43">
            <v>-172.53454871931626</v>
          </cell>
          <cell r="ER43">
            <v>-43.027877323646337</v>
          </cell>
          <cell r="ES43">
            <v>0</v>
          </cell>
          <cell r="ET43">
            <v>-1740.0905010557208</v>
          </cell>
          <cell r="EU43">
            <v>0</v>
          </cell>
          <cell r="EV43">
            <v>-506.4899979735228</v>
          </cell>
          <cell r="EW43">
            <v>-51.65595273341566</v>
          </cell>
          <cell r="EX43">
            <v>254.58333845717181</v>
          </cell>
          <cell r="EY43">
            <v>0</v>
          </cell>
          <cell r="EZ43">
            <v>0</v>
          </cell>
          <cell r="FA43">
            <v>-705.87744363402271</v>
          </cell>
          <cell r="FB43">
            <v>0</v>
          </cell>
          <cell r="FC43">
            <v>0</v>
          </cell>
          <cell r="FD43">
            <v>-562.21212127212607</v>
          </cell>
          <cell r="FE43">
            <v>0</v>
          </cell>
          <cell r="FF43">
            <v>1372.2562315728155</v>
          </cell>
          <cell r="FG43">
            <v>51.65595273341566</v>
          </cell>
          <cell r="FH43">
            <v>0</v>
          </cell>
          <cell r="FI43">
            <v>0</v>
          </cell>
          <cell r="FJ43">
            <v>-887.3703214993559</v>
          </cell>
          <cell r="FK43">
            <v>0</v>
          </cell>
          <cell r="FL43">
            <v>0</v>
          </cell>
          <cell r="FM43">
            <v>-239.64139989000279</v>
          </cell>
          <cell r="FN43">
            <v>-16.483368876385221</v>
          </cell>
          <cell r="FO43">
            <v>-155.55022802091497</v>
          </cell>
          <cell r="FP43">
            <v>-123.40805628297085</v>
          </cell>
          <cell r="FR43">
            <v>-146.70167638006291</v>
          </cell>
          <cell r="FS43">
            <v>9.8045339690984861</v>
          </cell>
          <cell r="FT43">
            <v>0</v>
          </cell>
          <cell r="FU43">
            <v>5.1102611733424741</v>
          </cell>
          <cell r="FV43">
            <v>69.593911864234855</v>
          </cell>
          <cell r="FW43">
            <v>0</v>
          </cell>
          <cell r="FX43">
            <v>36.27332689363088</v>
          </cell>
          <cell r="FY43">
            <v>2.3540235224103458</v>
          </cell>
          <cell r="FZ43">
            <v>-12.052943940786722</v>
          </cell>
          <cell r="GA43">
            <v>0</v>
          </cell>
          <cell r="GB43">
            <v>0</v>
          </cell>
          <cell r="GC43">
            <v>101.8931</v>
          </cell>
          <cell r="GD43">
            <v>-141.0628620833333</v>
          </cell>
          <cell r="GE43">
            <v>-2.3540235224103458</v>
          </cell>
          <cell r="GF43">
            <v>0</v>
          </cell>
          <cell r="GG43">
            <v>0</v>
          </cell>
          <cell r="GH43">
            <v>0</v>
          </cell>
          <cell r="GI43">
            <v>582.6559350622781</v>
          </cell>
        </row>
        <row r="45">
          <cell r="C45">
            <v>14846.62047</v>
          </cell>
          <cell r="N45">
            <v>5912.2976300000009</v>
          </cell>
          <cell r="O45">
            <v>-25.2089</v>
          </cell>
          <cell r="P45">
            <v>0</v>
          </cell>
          <cell r="Q45">
            <v>0</v>
          </cell>
          <cell r="R45">
            <v>0</v>
          </cell>
          <cell r="S45">
            <v>-93.219270000000009</v>
          </cell>
          <cell r="T45">
            <v>-14.46167</v>
          </cell>
          <cell r="U45">
            <v>0</v>
          </cell>
          <cell r="V45">
            <v>-2766.4912584613362</v>
          </cell>
          <cell r="W45">
            <v>0</v>
          </cell>
          <cell r="X45">
            <v>-521.47325153866393</v>
          </cell>
          <cell r="Y45">
            <v>-69.149860000000004</v>
          </cell>
          <cell r="Z45">
            <v>407.69129000000004</v>
          </cell>
          <cell r="AA45">
            <v>7.6428500000000001</v>
          </cell>
          <cell r="AB45">
            <v>0</v>
          </cell>
          <cell r="AC45">
            <v>-922.75610000000006</v>
          </cell>
          <cell r="AD45">
            <v>189.93075000000002</v>
          </cell>
          <cell r="AE45">
            <v>-52.11148</v>
          </cell>
          <cell r="AF45">
            <v>-380.55011999999999</v>
          </cell>
          <cell r="AG45">
            <v>0</v>
          </cell>
          <cell r="AH45">
            <v>2017.1678699999998</v>
          </cell>
          <cell r="AI45">
            <v>509.86567000000008</v>
          </cell>
          <cell r="AJ45">
            <v>-141.38680000000008</v>
          </cell>
          <cell r="AK45">
            <v>-56.767919999999997</v>
          </cell>
          <cell r="AL45">
            <v>-2425.7853499999997</v>
          </cell>
          <cell r="AM45">
            <v>2166.0727799999995</v>
          </cell>
          <cell r="AN45">
            <v>-695.35512000000006</v>
          </cell>
          <cell r="AO45">
            <v>-155.88338999999999</v>
          </cell>
          <cell r="AP45">
            <v>-19.454140000000002</v>
          </cell>
          <cell r="AQ45">
            <v>-111.14628999999999</v>
          </cell>
          <cell r="AR45">
            <v>-102.36949</v>
          </cell>
          <cell r="AT45">
            <v>-141.69077999999993</v>
          </cell>
          <cell r="AU45">
            <v>0</v>
          </cell>
          <cell r="AV45">
            <v>0</v>
          </cell>
          <cell r="AW45">
            <v>0</v>
          </cell>
          <cell r="AX45">
            <v>-34.05835419462494</v>
          </cell>
          <cell r="AY45">
            <v>0</v>
          </cell>
          <cell r="AZ45">
            <v>34.05835419462494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-1500</v>
          </cell>
          <cell r="BG45">
            <v>-43.955419999999997</v>
          </cell>
          <cell r="BH45">
            <v>199.47221999999999</v>
          </cell>
          <cell r="BI45">
            <v>6.1467000000000001</v>
          </cell>
          <cell r="BJ45">
            <v>0</v>
          </cell>
          <cell r="BK45">
            <v>1177.0711500000011</v>
          </cell>
          <cell r="EA45">
            <v>764.55925999999999</v>
          </cell>
          <cell r="EL45">
            <v>2052.3659300000008</v>
          </cell>
          <cell r="EM45">
            <v>-22.854900000000001</v>
          </cell>
          <cell r="EN45">
            <v>0</v>
          </cell>
          <cell r="EO45">
            <v>0</v>
          </cell>
          <cell r="EP45">
            <v>0</v>
          </cell>
          <cell r="EQ45">
            <v>-35.251260000000002</v>
          </cell>
          <cell r="ER45">
            <v>-14.46167</v>
          </cell>
          <cell r="ES45">
            <v>0</v>
          </cell>
          <cell r="ET45">
            <v>-971.0123535891496</v>
          </cell>
          <cell r="EU45">
            <v>0</v>
          </cell>
          <cell r="EV45">
            <v>-246.22504641085033</v>
          </cell>
          <cell r="EW45">
            <v>-69.149860000000004</v>
          </cell>
          <cell r="EX45">
            <v>150.9314</v>
          </cell>
          <cell r="EY45">
            <v>7.6428500000000001</v>
          </cell>
          <cell r="EZ45">
            <v>0</v>
          </cell>
          <cell r="FA45">
            <v>-491.82014000000004</v>
          </cell>
          <cell r="FB45">
            <v>25.979759999999999</v>
          </cell>
          <cell r="FC45">
            <v>-15.886310000000002</v>
          </cell>
          <cell r="FD45">
            <v>-136.33193000000006</v>
          </cell>
          <cell r="FE45">
            <v>0</v>
          </cell>
          <cell r="FF45">
            <v>-110.89951999999994</v>
          </cell>
          <cell r="FG45">
            <v>509.86567000000008</v>
          </cell>
          <cell r="FH45">
            <v>74.610690000000005</v>
          </cell>
          <cell r="FI45">
            <v>-56.767919999999997</v>
          </cell>
          <cell r="FJ45">
            <v>-93.2196899999999</v>
          </cell>
          <cell r="FK45">
            <v>104.55117000000018</v>
          </cell>
          <cell r="FL45">
            <v>-336.53072000000009</v>
          </cell>
          <cell r="FM45">
            <v>-50.142409999999998</v>
          </cell>
          <cell r="FN45">
            <v>-13.644110000000001</v>
          </cell>
          <cell r="FO45">
            <v>-35.834589999999992</v>
          </cell>
          <cell r="FP45">
            <v>-35.708500000000001</v>
          </cell>
          <cell r="FR45">
            <v>-47.191500000000005</v>
          </cell>
          <cell r="FS45">
            <v>0</v>
          </cell>
          <cell r="FT45">
            <v>0</v>
          </cell>
          <cell r="FU45">
            <v>0</v>
          </cell>
          <cell r="FV45">
            <v>-11.029508063211608</v>
          </cell>
          <cell r="FW45">
            <v>0</v>
          </cell>
          <cell r="FX45">
            <v>11.029508063211608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-43.955419999999997</v>
          </cell>
          <cell r="GF45">
            <v>-3.6334600000000137</v>
          </cell>
          <cell r="GG45">
            <v>6.1467000000000001</v>
          </cell>
          <cell r="GH45">
            <v>0</v>
          </cell>
          <cell r="GI45">
            <v>101.57286000000114</v>
          </cell>
        </row>
        <row r="46">
          <cell r="C46">
            <v>14408.480090000001</v>
          </cell>
          <cell r="N46">
            <v>5917.3515700000016</v>
          </cell>
          <cell r="O46">
            <v>-24.81373</v>
          </cell>
          <cell r="P46">
            <v>0</v>
          </cell>
          <cell r="Q46">
            <v>0</v>
          </cell>
          <cell r="R46">
            <v>0</v>
          </cell>
          <cell r="S46">
            <v>-76.160970000000006</v>
          </cell>
          <cell r="T46">
            <v>-7.0851900000000008</v>
          </cell>
          <cell r="U46">
            <v>0</v>
          </cell>
          <cell r="V46">
            <v>-3124.4179300000001</v>
          </cell>
          <cell r="W46">
            <v>0</v>
          </cell>
          <cell r="X46">
            <v>0</v>
          </cell>
          <cell r="Y46">
            <v>-105.21608000000001</v>
          </cell>
          <cell r="Z46">
            <v>353.02386999999999</v>
          </cell>
          <cell r="AA46">
            <v>12.15194</v>
          </cell>
          <cell r="AB46">
            <v>0</v>
          </cell>
          <cell r="AC46">
            <v>-1555.5780799999998</v>
          </cell>
          <cell r="AD46">
            <v>193.68030000000002</v>
          </cell>
          <cell r="AE46">
            <v>-45.442889999999998</v>
          </cell>
          <cell r="AF46">
            <v>-315.04079000000002</v>
          </cell>
          <cell r="AG46">
            <v>0</v>
          </cell>
          <cell r="AH46">
            <v>4631.2767199999998</v>
          </cell>
          <cell r="AI46">
            <v>115.05813999999998</v>
          </cell>
          <cell r="AJ46">
            <v>-293.0003099999999</v>
          </cell>
          <cell r="AK46">
            <v>-3.7250700000000001</v>
          </cell>
          <cell r="AL46">
            <v>-2311.0446400000001</v>
          </cell>
          <cell r="AM46">
            <v>2017.3907199999999</v>
          </cell>
          <cell r="AN46">
            <v>-624.57485999999994</v>
          </cell>
          <cell r="AO46">
            <v>-174.27187999999998</v>
          </cell>
          <cell r="AP46">
            <v>-8.0763599999999993</v>
          </cell>
          <cell r="AQ46">
            <v>-86.037319999999994</v>
          </cell>
          <cell r="AR46">
            <v>-104.27783000000001</v>
          </cell>
          <cell r="AT46">
            <v>-191.75790999999995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4189.4114200000004</v>
          </cell>
          <cell r="EA46">
            <v>759.74905000000035</v>
          </cell>
          <cell r="EL46">
            <v>2008.5262100000004</v>
          </cell>
          <cell r="EM46">
            <v>-16.252980000000001</v>
          </cell>
          <cell r="EN46">
            <v>0</v>
          </cell>
          <cell r="EO46">
            <v>0</v>
          </cell>
          <cell r="EP46">
            <v>0</v>
          </cell>
          <cell r="EQ46">
            <v>-24.695240000000005</v>
          </cell>
          <cell r="ER46">
            <v>0</v>
          </cell>
          <cell r="ES46">
            <v>0</v>
          </cell>
          <cell r="ET46">
            <v>-1044.57179</v>
          </cell>
          <cell r="EU46">
            <v>0</v>
          </cell>
          <cell r="EV46">
            <v>0</v>
          </cell>
          <cell r="EW46">
            <v>-105.21608000000001</v>
          </cell>
          <cell r="EX46">
            <v>118.02479</v>
          </cell>
          <cell r="EY46">
            <v>12.15194</v>
          </cell>
          <cell r="EZ46">
            <v>0</v>
          </cell>
          <cell r="FA46">
            <v>-182.29052999999999</v>
          </cell>
          <cell r="FB46">
            <v>27.098980000000012</v>
          </cell>
          <cell r="FC46">
            <v>-14.467739999999999</v>
          </cell>
          <cell r="FD46">
            <v>-93.291280000000029</v>
          </cell>
          <cell r="FE46">
            <v>0</v>
          </cell>
          <cell r="FF46">
            <v>645.45687000000044</v>
          </cell>
          <cell r="FG46">
            <v>115.05813999999998</v>
          </cell>
          <cell r="FH46">
            <v>-12.933800000000019</v>
          </cell>
          <cell r="FI46">
            <v>-3.7250700000000001</v>
          </cell>
          <cell r="FJ46">
            <v>-145.51935000000003</v>
          </cell>
          <cell r="FK46">
            <v>126.72979000000009</v>
          </cell>
          <cell r="FL46">
            <v>-291.41345999999993</v>
          </cell>
          <cell r="FM46">
            <v>-60.39873</v>
          </cell>
          <cell r="FN46">
            <v>-2.8899899999999992</v>
          </cell>
          <cell r="FO46">
            <v>-26.620309999999996</v>
          </cell>
          <cell r="FP46">
            <v>-32.153509999999997</v>
          </cell>
          <cell r="FR46">
            <v>-61.270309999999995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935.33655000000101</v>
          </cell>
        </row>
        <row r="47">
          <cell r="C47">
            <v>15674.07</v>
          </cell>
          <cell r="N47">
            <v>6997.8755012949223</v>
          </cell>
          <cell r="O47">
            <v>-336.6461608680479</v>
          </cell>
          <cell r="P47">
            <v>0</v>
          </cell>
          <cell r="Q47">
            <v>-110.91060513392733</v>
          </cell>
          <cell r="R47">
            <v>0</v>
          </cell>
          <cell r="S47">
            <v>-183.13565785780025</v>
          </cell>
          <cell r="T47">
            <v>0</v>
          </cell>
          <cell r="U47">
            <v>0</v>
          </cell>
          <cell r="V47">
            <v>-2389.5601078771297</v>
          </cell>
          <cell r="W47">
            <v>0</v>
          </cell>
          <cell r="X47">
            <v>-787.25851762327227</v>
          </cell>
          <cell r="Y47">
            <v>-72.758035785805006</v>
          </cell>
          <cell r="Z47">
            <v>358.5837196140094</v>
          </cell>
          <cell r="AA47">
            <v>0</v>
          </cell>
          <cell r="AB47">
            <v>0</v>
          </cell>
          <cell r="AC47">
            <v>-1971.0444728935058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1971.0444728935058</v>
          </cell>
          <cell r="AI47">
            <v>72.758035785805006</v>
          </cell>
          <cell r="AJ47">
            <v>0</v>
          </cell>
          <cell r="AK47">
            <v>0</v>
          </cell>
          <cell r="AL47">
            <v>-1035.159367177901</v>
          </cell>
          <cell r="AM47">
            <v>0</v>
          </cell>
          <cell r="AN47">
            <v>0</v>
          </cell>
          <cell r="AO47">
            <v>-214.67707256147173</v>
          </cell>
          <cell r="AP47">
            <v>-17.322824779887949</v>
          </cell>
          <cell r="AQ47">
            <v>-159.48450543904951</v>
          </cell>
          <cell r="AR47">
            <v>-178.00277400345774</v>
          </cell>
          <cell r="AT47">
            <v>-180.37056088356113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1763.9310667034251</v>
          </cell>
          <cell r="EA47">
            <v>1315.0299999999988</v>
          </cell>
          <cell r="EL47">
            <v>2332.6251670983074</v>
          </cell>
          <cell r="EM47">
            <v>-112.21538695601595</v>
          </cell>
          <cell r="EN47">
            <v>0</v>
          </cell>
          <cell r="EO47">
            <v>-36.970201711309116</v>
          </cell>
          <cell r="EP47">
            <v>0</v>
          </cell>
          <cell r="EQ47">
            <v>-61.045219285933413</v>
          </cell>
          <cell r="ER47">
            <v>0</v>
          </cell>
          <cell r="ES47">
            <v>0</v>
          </cell>
          <cell r="ET47">
            <v>-271.68102421019512</v>
          </cell>
          <cell r="EU47">
            <v>0</v>
          </cell>
          <cell r="EV47">
            <v>-262.41950587442409</v>
          </cell>
          <cell r="EW47">
            <v>-24.252678595268335</v>
          </cell>
          <cell r="EX47">
            <v>119.52790653800312</v>
          </cell>
          <cell r="EY47">
            <v>0</v>
          </cell>
          <cell r="EZ47">
            <v>0</v>
          </cell>
          <cell r="FA47">
            <v>-657.01482429783528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657.01482429783528</v>
          </cell>
          <cell r="FG47">
            <v>24.252678595268335</v>
          </cell>
          <cell r="FH47">
            <v>0</v>
          </cell>
          <cell r="FI47">
            <v>0</v>
          </cell>
          <cell r="FJ47">
            <v>-345.05312239263367</v>
          </cell>
          <cell r="FK47">
            <v>0</v>
          </cell>
          <cell r="FL47">
            <v>0</v>
          </cell>
          <cell r="FM47">
            <v>-71.559024187157235</v>
          </cell>
          <cell r="FN47">
            <v>-5.7742749266293156</v>
          </cell>
          <cell r="FO47">
            <v>-53.1615018130165</v>
          </cell>
          <cell r="FP47">
            <v>-59.334258001152577</v>
          </cell>
          <cell r="FR47">
            <v>-60.123520294520375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1112.8160339833232</v>
          </cell>
        </row>
        <row r="49">
          <cell r="C49">
            <v>19322.857210000002</v>
          </cell>
          <cell r="N49">
            <v>11585.34944</v>
          </cell>
          <cell r="O49">
            <v>-514.33128000000011</v>
          </cell>
          <cell r="P49">
            <v>0</v>
          </cell>
          <cell r="Q49">
            <v>0</v>
          </cell>
          <cell r="R49">
            <v>11.118450000000001</v>
          </cell>
          <cell r="S49">
            <v>-183.85109</v>
          </cell>
          <cell r="T49">
            <v>-25.815359999999998</v>
          </cell>
          <cell r="U49">
            <v>0</v>
          </cell>
          <cell r="V49">
            <v>-5802.7625399999997</v>
          </cell>
          <cell r="W49">
            <v>0</v>
          </cell>
          <cell r="X49">
            <v>-650</v>
          </cell>
          <cell r="Y49">
            <v>-52.802699999999994</v>
          </cell>
          <cell r="Z49">
            <v>295.77573999999998</v>
          </cell>
          <cell r="AA49">
            <v>2.6786799999999999</v>
          </cell>
          <cell r="AB49">
            <v>0</v>
          </cell>
          <cell r="AC49">
            <v>-4985.9162900000001</v>
          </cell>
          <cell r="AD49">
            <v>95.927340000000001</v>
          </cell>
          <cell r="AE49">
            <v>-48.914419999999993</v>
          </cell>
          <cell r="AF49">
            <v>-647.22080999999991</v>
          </cell>
          <cell r="AG49">
            <v>0</v>
          </cell>
          <cell r="AH49">
            <v>6381.4345300000004</v>
          </cell>
          <cell r="AI49">
            <v>853.08171000000004</v>
          </cell>
          <cell r="AJ49">
            <v>-537.95017000000007</v>
          </cell>
          <cell r="AK49">
            <v>-34.841889999999999</v>
          </cell>
          <cell r="AL49">
            <v>-2742.2644099999998</v>
          </cell>
          <cell r="AM49">
            <v>1902.5063999999998</v>
          </cell>
          <cell r="AN49">
            <v>-898.10291999999993</v>
          </cell>
          <cell r="AO49">
            <v>-569.31982999999991</v>
          </cell>
          <cell r="AP49">
            <v>-56.88449</v>
          </cell>
          <cell r="AQ49">
            <v>-341.64832999999999</v>
          </cell>
          <cell r="AR49">
            <v>-201.46960999999999</v>
          </cell>
          <cell r="AT49">
            <v>-468.82251000000036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23.191160000000011</v>
          </cell>
          <cell r="BF49">
            <v>1181.7277799999997</v>
          </cell>
          <cell r="BG49">
            <v>-6.5572100000000004</v>
          </cell>
          <cell r="BH49">
            <v>-69.174109999999999</v>
          </cell>
          <cell r="BI49">
            <v>4.838000000000009E-2</v>
          </cell>
          <cell r="BJ49">
            <v>2.1316282072803006E-17</v>
          </cell>
          <cell r="BK49">
            <v>3494.1896399999987</v>
          </cell>
          <cell r="EA49">
            <v>3356.1733400000012</v>
          </cell>
          <cell r="EL49">
            <v>4435.7582900000025</v>
          </cell>
          <cell r="EM49">
            <v>-246.35669000000007</v>
          </cell>
          <cell r="EN49">
            <v>0</v>
          </cell>
          <cell r="EO49">
            <v>0</v>
          </cell>
          <cell r="EP49">
            <v>11.118450000000001</v>
          </cell>
          <cell r="EQ49">
            <v>-68.923789999999997</v>
          </cell>
          <cell r="ER49">
            <v>-18.776199999999999</v>
          </cell>
          <cell r="ES49">
            <v>0</v>
          </cell>
          <cell r="ET49">
            <v>-2311.2400699999994</v>
          </cell>
          <cell r="EU49">
            <v>0</v>
          </cell>
          <cell r="EV49">
            <v>-150</v>
          </cell>
          <cell r="EW49">
            <v>-52.802699999999994</v>
          </cell>
          <cell r="EX49">
            <v>112.81603999999999</v>
          </cell>
          <cell r="EY49">
            <v>2.6786799999999999</v>
          </cell>
          <cell r="EZ49">
            <v>0</v>
          </cell>
          <cell r="FA49">
            <v>-1001.0915100000002</v>
          </cell>
          <cell r="FB49">
            <v>17.674220000000005</v>
          </cell>
          <cell r="FC49">
            <v>-14.775799999999997</v>
          </cell>
          <cell r="FD49">
            <v>-176.35681</v>
          </cell>
          <cell r="FE49">
            <v>0</v>
          </cell>
          <cell r="FF49">
            <v>-1792.7379799999999</v>
          </cell>
          <cell r="FG49">
            <v>853.08171000000004</v>
          </cell>
          <cell r="FH49">
            <v>33.525869999999941</v>
          </cell>
          <cell r="FI49">
            <v>-34.841889999999999</v>
          </cell>
          <cell r="FJ49">
            <v>-455.29477999999972</v>
          </cell>
          <cell r="FK49">
            <v>218.11465999999996</v>
          </cell>
          <cell r="FL49">
            <v>-415.11864000000008</v>
          </cell>
          <cell r="FM49">
            <v>-185.13181999999995</v>
          </cell>
          <cell r="FN49">
            <v>-34.245550000000001</v>
          </cell>
          <cell r="FO49">
            <v>-112.93176</v>
          </cell>
          <cell r="FP49">
            <v>-72.393969999999996</v>
          </cell>
          <cell r="FR49">
            <v>-156.18982000000045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-66.199359999999999</v>
          </cell>
          <cell r="GD49">
            <v>1093.6060799999998</v>
          </cell>
          <cell r="GE49">
            <v>-6.5572100000000004</v>
          </cell>
          <cell r="GF49">
            <v>-54.198719999999994</v>
          </cell>
          <cell r="GG49">
            <v>4.838000000000009E-2</v>
          </cell>
          <cell r="GH49">
            <v>0</v>
          </cell>
          <cell r="GI49">
            <v>-647.74268999999788</v>
          </cell>
        </row>
        <row r="50">
          <cell r="C50">
            <v>19459.368179999998</v>
          </cell>
          <cell r="N50">
            <v>11520.724119999999</v>
          </cell>
          <cell r="O50">
            <v>-226.82358999999997</v>
          </cell>
          <cell r="P50">
            <v>0</v>
          </cell>
          <cell r="Q50">
            <v>0</v>
          </cell>
          <cell r="R50">
            <v>2.75</v>
          </cell>
          <cell r="S50">
            <v>-168.42316</v>
          </cell>
          <cell r="T50">
            <v>-26.16892</v>
          </cell>
          <cell r="U50">
            <v>0</v>
          </cell>
          <cell r="V50">
            <v>-6081.2565700000005</v>
          </cell>
          <cell r="W50">
            <v>0</v>
          </cell>
          <cell r="X50">
            <v>-973</v>
          </cell>
          <cell r="Y50">
            <v>-119.06688</v>
          </cell>
          <cell r="Z50">
            <v>321.10278</v>
          </cell>
          <cell r="AA50">
            <v>5.9582899999999999</v>
          </cell>
          <cell r="AB50">
            <v>0</v>
          </cell>
          <cell r="AC50">
            <v>-5341.3664499999995</v>
          </cell>
          <cell r="AD50">
            <v>241.72164000000001</v>
          </cell>
          <cell r="AE50">
            <v>-43.153800000000004</v>
          </cell>
          <cell r="AF50">
            <v>-615.10775000000001</v>
          </cell>
          <cell r="AG50">
            <v>0</v>
          </cell>
          <cell r="AH50">
            <v>5774.6263600000002</v>
          </cell>
          <cell r="AI50">
            <v>188.96462</v>
          </cell>
          <cell r="AJ50">
            <v>-85.591209999999947</v>
          </cell>
          <cell r="AK50">
            <v>-1.8536600000000001</v>
          </cell>
          <cell r="AL50">
            <v>-2792.96416</v>
          </cell>
          <cell r="AM50">
            <v>2057.474940000001</v>
          </cell>
          <cell r="AN50">
            <v>-935.05825000000027</v>
          </cell>
          <cell r="AO50">
            <v>-494.30487000000005</v>
          </cell>
          <cell r="AP50">
            <v>-30.541340000000002</v>
          </cell>
          <cell r="AQ50">
            <v>-264.46123</v>
          </cell>
          <cell r="AR50">
            <v>-238.03748000000002</v>
          </cell>
          <cell r="AT50">
            <v>-506.86477999999988</v>
          </cell>
          <cell r="AU50">
            <v>0</v>
          </cell>
          <cell r="AV50">
            <v>0</v>
          </cell>
          <cell r="AW50">
            <v>0</v>
          </cell>
          <cell r="AX50">
            <v>0.51</v>
          </cell>
          <cell r="AY50">
            <v>0</v>
          </cell>
          <cell r="AZ50">
            <v>0</v>
          </cell>
          <cell r="BA50">
            <v>9.9499999999999988E-3</v>
          </cell>
          <cell r="BB50">
            <v>-2.3210000000000001E-2</v>
          </cell>
          <cell r="BC50">
            <v>-4.4000000000000002E-4</v>
          </cell>
          <cell r="BD50">
            <v>0</v>
          </cell>
          <cell r="BE50">
            <v>45.533770000000004</v>
          </cell>
          <cell r="BF50">
            <v>68.798999999999921</v>
          </cell>
          <cell r="BG50">
            <v>-4.8600900000000005</v>
          </cell>
          <cell r="BH50">
            <v>-24.896520000000006</v>
          </cell>
          <cell r="BI50">
            <v>-0.42444999999999999</v>
          </cell>
          <cell r="BJ50">
            <v>0</v>
          </cell>
          <cell r="BK50">
            <v>1253.9266600000005</v>
          </cell>
          <cell r="EA50">
            <v>3000.7975399999996</v>
          </cell>
          <cell r="EL50">
            <v>4124.6549800000003</v>
          </cell>
          <cell r="EM50">
            <v>-135.94951999999995</v>
          </cell>
          <cell r="EN50">
            <v>0</v>
          </cell>
          <cell r="EO50">
            <v>0</v>
          </cell>
          <cell r="EP50">
            <v>2.5</v>
          </cell>
          <cell r="EQ50">
            <v>-55.555319999999995</v>
          </cell>
          <cell r="ER50">
            <v>-15.3889</v>
          </cell>
          <cell r="ES50">
            <v>0</v>
          </cell>
          <cell r="ET50">
            <v>-2099.5662000000002</v>
          </cell>
          <cell r="EU50">
            <v>0</v>
          </cell>
          <cell r="EV50">
            <v>-460</v>
          </cell>
          <cell r="EW50">
            <v>-119.06688</v>
          </cell>
          <cell r="EX50">
            <v>116.50892000000002</v>
          </cell>
          <cell r="EY50">
            <v>5.9582899999999999</v>
          </cell>
          <cell r="EZ50">
            <v>0</v>
          </cell>
          <cell r="FA50">
            <v>-2076.0825099999993</v>
          </cell>
          <cell r="FB50">
            <v>49.613889999999998</v>
          </cell>
          <cell r="FC50">
            <v>-14.178240000000002</v>
          </cell>
          <cell r="FD50">
            <v>-224.17362000000003</v>
          </cell>
          <cell r="FE50">
            <v>0</v>
          </cell>
          <cell r="FF50">
            <v>1116.2202200000002</v>
          </cell>
          <cell r="FG50">
            <v>188.96462</v>
          </cell>
          <cell r="FH50">
            <v>7.092250000000007</v>
          </cell>
          <cell r="FI50">
            <v>-1.8536600000000001</v>
          </cell>
          <cell r="FJ50">
            <v>-421.46121000000039</v>
          </cell>
          <cell r="FK50">
            <v>241.0784000000001</v>
          </cell>
          <cell r="FL50">
            <v>-423.17918000000014</v>
          </cell>
          <cell r="FM50">
            <v>-165.88837000000001</v>
          </cell>
          <cell r="FN50">
            <v>-13.007490000000001</v>
          </cell>
          <cell r="FO50">
            <v>-84.032720000000012</v>
          </cell>
          <cell r="FP50">
            <v>-84.057620000000014</v>
          </cell>
          <cell r="FR50">
            <v>-159.13673999999997</v>
          </cell>
          <cell r="FS50">
            <v>0</v>
          </cell>
          <cell r="FT50">
            <v>0</v>
          </cell>
          <cell r="FU50">
            <v>0</v>
          </cell>
          <cell r="FV50">
            <v>0.51</v>
          </cell>
          <cell r="FW50">
            <v>0</v>
          </cell>
          <cell r="FX50">
            <v>0</v>
          </cell>
          <cell r="FY50">
            <v>9.9499999999999988E-3</v>
          </cell>
          <cell r="FZ50">
            <v>-2.3210000000000001E-2</v>
          </cell>
          <cell r="GA50">
            <v>-4.4000000000000002E-4</v>
          </cell>
          <cell r="GB50">
            <v>0</v>
          </cell>
          <cell r="GC50">
            <v>0.56152000000000157</v>
          </cell>
          <cell r="GD50">
            <v>14.796999999999919</v>
          </cell>
          <cell r="GE50">
            <v>-4.8600900000000005</v>
          </cell>
          <cell r="GF50">
            <v>-4.8159700000000001</v>
          </cell>
          <cell r="GG50">
            <v>-0.42444999999999999</v>
          </cell>
          <cell r="GH50">
            <v>0</v>
          </cell>
          <cell r="GI50">
            <v>-694.23229999999978</v>
          </cell>
        </row>
        <row r="51">
          <cell r="C51">
            <v>17744.02</v>
          </cell>
          <cell r="N51">
            <v>11947.373838708574</v>
          </cell>
          <cell r="O51">
            <v>-2073.2248218984887</v>
          </cell>
          <cell r="P51">
            <v>0</v>
          </cell>
          <cell r="Q51">
            <v>-278.67147148720056</v>
          </cell>
          <cell r="R51">
            <v>0</v>
          </cell>
          <cell r="S51">
            <v>-213.044528283087</v>
          </cell>
          <cell r="T51">
            <v>-94.191998673032955</v>
          </cell>
          <cell r="U51">
            <v>0</v>
          </cell>
          <cell r="V51">
            <v>-4025.4097675109078</v>
          </cell>
          <cell r="W51">
            <v>0</v>
          </cell>
          <cell r="X51">
            <v>-541.07342889325082</v>
          </cell>
          <cell r="Y51">
            <v>-113.78924982865092</v>
          </cell>
          <cell r="Z51">
            <v>201.45837524962889</v>
          </cell>
          <cell r="AA51">
            <v>0</v>
          </cell>
          <cell r="AB51">
            <v>0</v>
          </cell>
          <cell r="AC51">
            <v>-2947.7900950401322</v>
          </cell>
          <cell r="AD51">
            <v>0</v>
          </cell>
          <cell r="AE51">
            <v>0</v>
          </cell>
          <cell r="AF51">
            <v>-224.65175577614525</v>
          </cell>
          <cell r="AG51">
            <v>0</v>
          </cell>
          <cell r="AH51">
            <v>3422.441850816278</v>
          </cell>
          <cell r="AI51">
            <v>113.78924982865092</v>
          </cell>
          <cell r="AJ51">
            <v>0</v>
          </cell>
          <cell r="AK51">
            <v>0</v>
          </cell>
          <cell r="AL51">
            <v>-1722.1225970670885</v>
          </cell>
          <cell r="AM51">
            <v>0</v>
          </cell>
          <cell r="AN51">
            <v>0</v>
          </cell>
          <cell r="AO51">
            <v>-538.24436174710752</v>
          </cell>
          <cell r="AP51">
            <v>-31.294359899953754</v>
          </cell>
          <cell r="AQ51">
            <v>-398.9773177799425</v>
          </cell>
          <cell r="AR51">
            <v>-298.20569065566752</v>
          </cell>
          <cell r="AT51">
            <v>-521.87228514210506</v>
          </cell>
          <cell r="AU51">
            <v>47.776662464241191</v>
          </cell>
          <cell r="AV51">
            <v>0</v>
          </cell>
          <cell r="AW51">
            <v>27.32068240135937</v>
          </cell>
          <cell r="AX51">
            <v>92.76400789303537</v>
          </cell>
          <cell r="AY51">
            <v>0</v>
          </cell>
          <cell r="AZ51">
            <v>53.046317327412453</v>
          </cell>
          <cell r="BA51">
            <v>3.4973163006852745</v>
          </cell>
          <cell r="BB51">
            <v>-6.4326769609623007</v>
          </cell>
          <cell r="BC51">
            <v>0</v>
          </cell>
          <cell r="BD51">
            <v>0</v>
          </cell>
          <cell r="BE51">
            <v>378.62661749999995</v>
          </cell>
          <cell r="BF51">
            <v>-378.62661749999995</v>
          </cell>
          <cell r="BG51">
            <v>-3.4973163006852745</v>
          </cell>
          <cell r="BH51">
            <v>0</v>
          </cell>
          <cell r="BI51">
            <v>0</v>
          </cell>
          <cell r="BJ51">
            <v>0</v>
          </cell>
          <cell r="BK51">
            <v>1876.9745780454543</v>
          </cell>
          <cell r="EA51">
            <v>3678.5600000000013</v>
          </cell>
          <cell r="EL51">
            <v>3982.4579462361917</v>
          </cell>
          <cell r="EM51">
            <v>-691.07494063282957</v>
          </cell>
          <cell r="EN51">
            <v>0</v>
          </cell>
          <cell r="EO51">
            <v>-92.89049049573353</v>
          </cell>
          <cell r="EP51">
            <v>0</v>
          </cell>
          <cell r="EQ51">
            <v>-71.014842761029001</v>
          </cell>
          <cell r="ER51">
            <v>-31.397332891010983</v>
          </cell>
          <cell r="ES51">
            <v>0</v>
          </cell>
          <cell r="ET51">
            <v>-1341.8032558369696</v>
          </cell>
          <cell r="EU51">
            <v>0</v>
          </cell>
          <cell r="EV51">
            <v>-180.35780963108363</v>
          </cell>
          <cell r="EW51">
            <v>-37.929749942883646</v>
          </cell>
          <cell r="EX51">
            <v>67.152791749876286</v>
          </cell>
          <cell r="EY51">
            <v>0</v>
          </cell>
          <cell r="EZ51">
            <v>0</v>
          </cell>
          <cell r="FA51">
            <v>-982.59669834671081</v>
          </cell>
          <cell r="FB51">
            <v>0</v>
          </cell>
          <cell r="FC51">
            <v>0</v>
          </cell>
          <cell r="FD51">
            <v>-74.883918592048417</v>
          </cell>
          <cell r="FE51">
            <v>0</v>
          </cell>
          <cell r="FF51">
            <v>1140.8139502720928</v>
          </cell>
          <cell r="FG51">
            <v>37.929749942883646</v>
          </cell>
          <cell r="FH51">
            <v>0</v>
          </cell>
          <cell r="FI51">
            <v>0</v>
          </cell>
          <cell r="FJ51">
            <v>-574.04086568902949</v>
          </cell>
          <cell r="FK51">
            <v>0</v>
          </cell>
          <cell r="FL51">
            <v>0</v>
          </cell>
          <cell r="FM51">
            <v>-179.41478724903584</v>
          </cell>
          <cell r="FN51">
            <v>-10.431453299984586</v>
          </cell>
          <cell r="FO51">
            <v>-132.99243925998081</v>
          </cell>
          <cell r="FP51">
            <v>-99.401896885222499</v>
          </cell>
          <cell r="FR51">
            <v>-173.95742838070169</v>
          </cell>
          <cell r="FS51">
            <v>15.925554154747065</v>
          </cell>
          <cell r="FT51">
            <v>0</v>
          </cell>
          <cell r="FU51">
            <v>9.106894133786458</v>
          </cell>
          <cell r="FV51">
            <v>30.921335964345126</v>
          </cell>
          <cell r="FW51">
            <v>0</v>
          </cell>
          <cell r="FX51">
            <v>17.682105775804153</v>
          </cell>
          <cell r="FY51">
            <v>1.1657721002284247</v>
          </cell>
          <cell r="FZ51">
            <v>-2.1442256536541002</v>
          </cell>
          <cell r="GA51">
            <v>0</v>
          </cell>
          <cell r="GB51">
            <v>0</v>
          </cell>
          <cell r="GC51">
            <v>126.20887249999998</v>
          </cell>
          <cell r="GD51">
            <v>-126.20887249999998</v>
          </cell>
          <cell r="GE51">
            <v>-1.1657721002284247</v>
          </cell>
          <cell r="GF51">
            <v>0</v>
          </cell>
          <cell r="GG51">
            <v>0</v>
          </cell>
          <cell r="GH51">
            <v>0</v>
          </cell>
          <cell r="GI51">
            <v>625.65819268181929</v>
          </cell>
        </row>
        <row r="53">
          <cell r="C53">
            <v>1114.0608300000001</v>
          </cell>
          <cell r="N53">
            <v>930.34387000000004</v>
          </cell>
          <cell r="O53">
            <v>-0.6</v>
          </cell>
          <cell r="P53">
            <v>0</v>
          </cell>
          <cell r="Q53">
            <v>0</v>
          </cell>
          <cell r="R53">
            <v>0</v>
          </cell>
          <cell r="S53">
            <v>-1.5648599999999999</v>
          </cell>
          <cell r="T53">
            <v>0</v>
          </cell>
          <cell r="U53">
            <v>0</v>
          </cell>
          <cell r="V53">
            <v>-61.968409999999999</v>
          </cell>
          <cell r="W53">
            <v>0</v>
          </cell>
          <cell r="X53">
            <v>0</v>
          </cell>
          <cell r="Y53">
            <v>-1.7769999999999999</v>
          </cell>
          <cell r="Z53">
            <v>4.2751700000000001</v>
          </cell>
          <cell r="AA53">
            <v>9.2109999999999997E-2</v>
          </cell>
          <cell r="AB53">
            <v>0</v>
          </cell>
          <cell r="AC53">
            <v>-74.823740000000001</v>
          </cell>
          <cell r="AD53">
            <v>0</v>
          </cell>
          <cell r="AE53">
            <v>-0.48016999999999999</v>
          </cell>
          <cell r="AF53">
            <v>-2.8791700000000002</v>
          </cell>
          <cell r="AG53">
            <v>0</v>
          </cell>
          <cell r="AH53">
            <v>294.7878</v>
          </cell>
          <cell r="AI53">
            <v>14.574190000000002</v>
          </cell>
          <cell r="AJ53">
            <v>-12.765000000000001</v>
          </cell>
          <cell r="AK53">
            <v>-0.63044999999999995</v>
          </cell>
          <cell r="AL53">
            <v>-211.13410999999994</v>
          </cell>
          <cell r="AM53">
            <v>200.59953000000004</v>
          </cell>
          <cell r="AN53">
            <v>-161.44777999999999</v>
          </cell>
          <cell r="AO53">
            <v>-1.0833699999999999</v>
          </cell>
          <cell r="AP53">
            <v>-1.2065000000000001</v>
          </cell>
          <cell r="AQ53">
            <v>-5.7934799999999997</v>
          </cell>
          <cell r="AR53">
            <v>-6.1664599999999998</v>
          </cell>
          <cell r="AT53">
            <v>-7.3312899999999974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0.53789999999999993</v>
          </cell>
          <cell r="BH53">
            <v>-7.0600000000000003E-3</v>
          </cell>
          <cell r="BI53">
            <v>-4.0000000000000003E-5</v>
          </cell>
          <cell r="BJ53">
            <v>0</v>
          </cell>
          <cell r="BK53">
            <v>893.55167999999981</v>
          </cell>
          <cell r="EA53">
            <v>16.979829999999993</v>
          </cell>
          <cell r="EL53">
            <v>32.220860000000016</v>
          </cell>
          <cell r="EM53">
            <v>-0.6</v>
          </cell>
          <cell r="EN53">
            <v>0</v>
          </cell>
          <cell r="EO53">
            <v>0</v>
          </cell>
          <cell r="EP53">
            <v>0</v>
          </cell>
          <cell r="EQ53">
            <v>-0.72704999999999997</v>
          </cell>
          <cell r="ER53">
            <v>0</v>
          </cell>
          <cell r="ES53">
            <v>0</v>
          </cell>
          <cell r="ET53">
            <v>-17.0503</v>
          </cell>
          <cell r="EU53">
            <v>0</v>
          </cell>
          <cell r="EV53">
            <v>0</v>
          </cell>
          <cell r="EW53">
            <v>-1.7769999999999999</v>
          </cell>
          <cell r="EX53">
            <v>1.1762899999999998</v>
          </cell>
          <cell r="EY53">
            <v>9.2109999999999997E-2</v>
          </cell>
          <cell r="EZ53">
            <v>0</v>
          </cell>
          <cell r="FA53">
            <v>-1.3250000000000028</v>
          </cell>
          <cell r="FB53">
            <v>0</v>
          </cell>
          <cell r="FC53">
            <v>-0.18328</v>
          </cell>
          <cell r="FD53">
            <v>0</v>
          </cell>
          <cell r="FE53">
            <v>0</v>
          </cell>
          <cell r="FF53">
            <v>14.91579999999999</v>
          </cell>
          <cell r="FG53">
            <v>14.574190000000002</v>
          </cell>
          <cell r="FH53">
            <v>0.59141999999999939</v>
          </cell>
          <cell r="FI53">
            <v>-0.63044999999999995</v>
          </cell>
          <cell r="FJ53">
            <v>-3.378389999999996</v>
          </cell>
          <cell r="FK53">
            <v>3.037949999999995</v>
          </cell>
          <cell r="FL53">
            <v>-6.1667099999999948</v>
          </cell>
          <cell r="FM53">
            <v>-0.34065999999999996</v>
          </cell>
          <cell r="FN53">
            <v>-0.78203000000000011</v>
          </cell>
          <cell r="FO53">
            <v>-1.8697499999999998</v>
          </cell>
          <cell r="FP53">
            <v>-2.2883100000000001</v>
          </cell>
          <cell r="FR53">
            <v>-2.0583200000000001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0.53789999999999993</v>
          </cell>
          <cell r="GF53">
            <v>-2.3500000000000005E-3</v>
          </cell>
          <cell r="GG53">
            <v>-4.0000000000000003E-5</v>
          </cell>
          <cell r="GH53">
            <v>0</v>
          </cell>
          <cell r="GI53">
            <v>27.96688000000001</v>
          </cell>
        </row>
        <row r="54">
          <cell r="C54">
            <v>1248.7556599999998</v>
          </cell>
          <cell r="N54">
            <v>387.38824999999991</v>
          </cell>
          <cell r="O54">
            <v>-5.3694800000000003</v>
          </cell>
          <cell r="P54">
            <v>0</v>
          </cell>
          <cell r="Q54">
            <v>0</v>
          </cell>
          <cell r="R54">
            <v>0</v>
          </cell>
          <cell r="S54">
            <v>-0.10423</v>
          </cell>
          <cell r="T54">
            <v>-7.8900000000000012E-2</v>
          </cell>
          <cell r="U54">
            <v>0</v>
          </cell>
          <cell r="V54">
            <v>-94.7346</v>
          </cell>
          <cell r="W54">
            <v>0</v>
          </cell>
          <cell r="X54">
            <v>0</v>
          </cell>
          <cell r="Y54">
            <v>-4.3268399999999998</v>
          </cell>
          <cell r="Z54">
            <v>6.2116199999999999</v>
          </cell>
          <cell r="AA54">
            <v>0.23097999999999999</v>
          </cell>
          <cell r="AB54">
            <v>0</v>
          </cell>
          <cell r="AC54">
            <v>-41.152699999999996</v>
          </cell>
          <cell r="AD54">
            <v>0</v>
          </cell>
          <cell r="AE54">
            <v>-4.3620000000000006E-2</v>
          </cell>
          <cell r="AF54">
            <v>-6.9655199999999997</v>
          </cell>
          <cell r="AG54">
            <v>0</v>
          </cell>
          <cell r="AH54">
            <v>324.43621999999999</v>
          </cell>
          <cell r="AI54">
            <v>13.036670000000003</v>
          </cell>
          <cell r="AJ54">
            <v>-15.447890000000003</v>
          </cell>
          <cell r="AK54">
            <v>-0.45458999999999994</v>
          </cell>
          <cell r="AL54">
            <v>-238.13252999999992</v>
          </cell>
          <cell r="AM54">
            <v>212.91465000000002</v>
          </cell>
          <cell r="AN54">
            <v>-48.190629999999999</v>
          </cell>
          <cell r="AO54">
            <v>-1.7760500000000004</v>
          </cell>
          <cell r="AP54">
            <v>-7.8960000000000002E-2</v>
          </cell>
          <cell r="AQ54">
            <v>-6.1694599999999999</v>
          </cell>
          <cell r="AR54">
            <v>-6.9123599999999996</v>
          </cell>
          <cell r="AT54">
            <v>-3.8012199999999989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-0.61287999999999998</v>
          </cell>
          <cell r="BH54">
            <v>2.63E-2</v>
          </cell>
          <cell r="BI54">
            <v>2.2000000000000001E-4</v>
          </cell>
          <cell r="BJ54">
            <v>0</v>
          </cell>
          <cell r="BK54">
            <v>469.89244999999988</v>
          </cell>
          <cell r="EA54">
            <v>24.122530000000097</v>
          </cell>
          <cell r="EL54">
            <v>128.65017</v>
          </cell>
          <cell r="EM54">
            <v>-5.0257200000000006</v>
          </cell>
          <cell r="EN54">
            <v>0</v>
          </cell>
          <cell r="EO54">
            <v>0</v>
          </cell>
          <cell r="EP54">
            <v>0</v>
          </cell>
          <cell r="EQ54">
            <v>-3.4729999999999997E-2</v>
          </cell>
          <cell r="ER54">
            <v>0</v>
          </cell>
          <cell r="ES54">
            <v>0</v>
          </cell>
          <cell r="ET54">
            <v>-26.402659999999997</v>
          </cell>
          <cell r="EU54">
            <v>0</v>
          </cell>
          <cell r="EV54">
            <v>0</v>
          </cell>
          <cell r="EW54">
            <v>-4.3268399999999998</v>
          </cell>
          <cell r="EX54">
            <v>1.7311899999999998</v>
          </cell>
          <cell r="EY54">
            <v>0.23097999999999999</v>
          </cell>
          <cell r="EZ54">
            <v>0</v>
          </cell>
          <cell r="FA54">
            <v>-17.656009999999998</v>
          </cell>
          <cell r="FB54">
            <v>0</v>
          </cell>
          <cell r="FC54">
            <v>-1.4380000000000004E-2</v>
          </cell>
          <cell r="FD54">
            <v>-3.2936899999999998</v>
          </cell>
          <cell r="FE54">
            <v>0</v>
          </cell>
          <cell r="FF54">
            <v>12.828570000000013</v>
          </cell>
          <cell r="FG54">
            <v>13.036670000000003</v>
          </cell>
          <cell r="FH54">
            <v>1.8818000000000001</v>
          </cell>
          <cell r="FI54">
            <v>-0.45458999999999994</v>
          </cell>
          <cell r="FJ54">
            <v>-3.902089999999987</v>
          </cell>
          <cell r="FK54">
            <v>3.0844199999999944</v>
          </cell>
          <cell r="FL54">
            <v>-23.656880000000001</v>
          </cell>
          <cell r="FM54">
            <v>-0.58172000000000001</v>
          </cell>
          <cell r="FN54">
            <v>-2.8460000000000006E-2</v>
          </cell>
          <cell r="FO54">
            <v>-1.9251499999999995</v>
          </cell>
          <cell r="FP54">
            <v>-2.1243800000000004</v>
          </cell>
          <cell r="FR54">
            <v>-1.2563199999999997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-0.61287999999999998</v>
          </cell>
          <cell r="GF54">
            <v>8.77E-3</v>
          </cell>
          <cell r="GG54">
            <v>2.2000000000000001E-4</v>
          </cell>
          <cell r="GH54">
            <v>0</v>
          </cell>
          <cell r="GI54">
            <v>70.156290000000027</v>
          </cell>
        </row>
        <row r="55">
          <cell r="C55">
            <v>1195.9100000000001</v>
          </cell>
          <cell r="N55">
            <v>418.26758347666481</v>
          </cell>
          <cell r="O55">
            <v>-21.136964826953001</v>
          </cell>
          <cell r="P55">
            <v>0</v>
          </cell>
          <cell r="Q55">
            <v>0</v>
          </cell>
          <cell r="R55">
            <v>0</v>
          </cell>
          <cell r="S55">
            <v>-1.9394115197589699</v>
          </cell>
          <cell r="T55">
            <v>0</v>
          </cell>
          <cell r="U55">
            <v>0</v>
          </cell>
          <cell r="V55">
            <v>-73.203755637533149</v>
          </cell>
          <cell r="W55">
            <v>0</v>
          </cell>
          <cell r="X55">
            <v>0</v>
          </cell>
          <cell r="Y55">
            <v>-1.7981385135900214</v>
          </cell>
          <cell r="Z55">
            <v>4.2260687689263285</v>
          </cell>
          <cell r="AA55">
            <v>0</v>
          </cell>
          <cell r="AB55">
            <v>0</v>
          </cell>
          <cell r="AC55">
            <v>-53.723528465815654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53.723528465815654</v>
          </cell>
          <cell r="AI55">
            <v>1.7981385135900214</v>
          </cell>
          <cell r="AJ55">
            <v>0</v>
          </cell>
          <cell r="AK55">
            <v>0</v>
          </cell>
          <cell r="AL55">
            <v>-78.864647167711325</v>
          </cell>
          <cell r="AM55">
            <v>0</v>
          </cell>
          <cell r="AN55">
            <v>0</v>
          </cell>
          <cell r="AO55">
            <v>-1.3744070139219551</v>
          </cell>
          <cell r="AP55">
            <v>-0.33327357023090254</v>
          </cell>
          <cell r="AQ55">
            <v>-6.4384639961945496</v>
          </cell>
          <cell r="AR55">
            <v>-9.5987028111728243</v>
          </cell>
          <cell r="AT55">
            <v>-17.858899133158722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6.6427500000000013</v>
          </cell>
          <cell r="BF55">
            <v>-6.6427500000000013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211.74512656895575</v>
          </cell>
          <cell r="EA55">
            <v>235.85000000000014</v>
          </cell>
          <cell r="EL55">
            <v>139.42252782555494</v>
          </cell>
          <cell r="EM55">
            <v>-7.0456549423176664</v>
          </cell>
          <cell r="EN55">
            <v>0</v>
          </cell>
          <cell r="EO55">
            <v>0</v>
          </cell>
          <cell r="EP55">
            <v>0</v>
          </cell>
          <cell r="EQ55">
            <v>-0.64647050658632321</v>
          </cell>
          <cell r="ER55">
            <v>0</v>
          </cell>
          <cell r="ES55">
            <v>0</v>
          </cell>
          <cell r="ET55">
            <v>-24.401251879177714</v>
          </cell>
          <cell r="EU55">
            <v>0</v>
          </cell>
          <cell r="EV55">
            <v>0</v>
          </cell>
          <cell r="EW55">
            <v>-0.59937950453000721</v>
          </cell>
          <cell r="EX55">
            <v>1.4086895896421097</v>
          </cell>
          <cell r="EY55">
            <v>0</v>
          </cell>
          <cell r="EZ55">
            <v>0</v>
          </cell>
          <cell r="FA55">
            <v>-17.907842821938551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17.907842821938551</v>
          </cell>
          <cell r="FG55">
            <v>0.59937950453000721</v>
          </cell>
          <cell r="FH55">
            <v>0</v>
          </cell>
          <cell r="FI55">
            <v>0</v>
          </cell>
          <cell r="FJ55">
            <v>-26.288215722570442</v>
          </cell>
          <cell r="FK55">
            <v>0</v>
          </cell>
          <cell r="FL55">
            <v>0</v>
          </cell>
          <cell r="FM55">
            <v>-0.45813567130731836</v>
          </cell>
          <cell r="FN55">
            <v>-0.11109119007696752</v>
          </cell>
          <cell r="FO55">
            <v>-2.1461546653981829</v>
          </cell>
          <cell r="FP55">
            <v>-3.1995676037242751</v>
          </cell>
          <cell r="FR55">
            <v>-5.9529663777195747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2.2142500000000007</v>
          </cell>
          <cell r="GD55">
            <v>-2.2142500000000007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70.581708856318556</v>
          </cell>
        </row>
        <row r="57">
          <cell r="C57">
            <v>19.737839999999998</v>
          </cell>
          <cell r="N57">
            <v>20.557409999999997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-0.17632999999999999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-1.5229999999999999E-2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-3.9477699999999998</v>
          </cell>
          <cell r="AM57">
            <v>3.6301600000000005</v>
          </cell>
          <cell r="AN57">
            <v>-3.7941600000000002</v>
          </cell>
          <cell r="AO57">
            <v>-4.4170000000000001E-2</v>
          </cell>
          <cell r="AP57">
            <v>-0.24761000000000002</v>
          </cell>
          <cell r="AQ57">
            <v>-0.50917000000000001</v>
          </cell>
          <cell r="AR57">
            <v>-0.47670999999999997</v>
          </cell>
          <cell r="AT57">
            <v>-13.13068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1.8457399999999982</v>
          </cell>
          <cell r="EA57">
            <v>0</v>
          </cell>
          <cell r="EL57">
            <v>7.3106599999999986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-0.11640999999999999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-1.0799999999999994E-3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-1.4621900000000001</v>
          </cell>
          <cell r="FM57">
            <v>-1.4159999999999999E-2</v>
          </cell>
          <cell r="FN57">
            <v>-0.21833000000000002</v>
          </cell>
          <cell r="FO57">
            <v>-0.16620999999999997</v>
          </cell>
          <cell r="FP57">
            <v>-0.23999999999999996</v>
          </cell>
          <cell r="FR57">
            <v>-1.2669999999999995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3.8252799999999998</v>
          </cell>
        </row>
        <row r="58">
          <cell r="C58">
            <v>19.352150000000002</v>
          </cell>
          <cell r="N58">
            <v>20.293139999999998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-4.2599999999999999E-3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-1.7899999999999999E-3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-3.8704300000000003</v>
          </cell>
          <cell r="AM58">
            <v>3.5586799999999998</v>
          </cell>
          <cell r="AN58">
            <v>-3.74702</v>
          </cell>
          <cell r="AO58">
            <v>-8.490000000000001E-3</v>
          </cell>
          <cell r="AP58">
            <v>-1.8800000000000002E-3</v>
          </cell>
          <cell r="AQ58">
            <v>-0.42749999999999994</v>
          </cell>
          <cell r="AR58">
            <v>-0.27239000000000002</v>
          </cell>
          <cell r="AT58">
            <v>-12.62988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2.8881799999999975</v>
          </cell>
          <cell r="EA58">
            <v>0</v>
          </cell>
          <cell r="EL58">
            <v>7.2169899999999991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-1.4200000000000003E-3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-5.9000000000000003E-4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-1.4438400000000002</v>
          </cell>
          <cell r="FM58">
            <v>-3.0200000000000001E-3</v>
          </cell>
          <cell r="FN58">
            <v>-6.4000000000000016E-4</v>
          </cell>
          <cell r="FO58">
            <v>-0.13686999999999999</v>
          </cell>
          <cell r="FP58">
            <v>-8.390000000000003E-2</v>
          </cell>
          <cell r="FR58">
            <v>-1.0169999999999995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4.5297099999999997</v>
          </cell>
        </row>
        <row r="59">
          <cell r="C59">
            <v>15.33</v>
          </cell>
          <cell r="N59">
            <v>17.489798607679127</v>
          </cell>
          <cell r="O59">
            <v>11.863672642688137</v>
          </cell>
          <cell r="P59">
            <v>0</v>
          </cell>
          <cell r="Q59">
            <v>0</v>
          </cell>
          <cell r="R59">
            <v>0</v>
          </cell>
          <cell r="S59">
            <v>-0.16520874157605844</v>
          </cell>
          <cell r="T59">
            <v>-22.517668182869087</v>
          </cell>
          <cell r="U59">
            <v>0</v>
          </cell>
          <cell r="V59">
            <v>8.4849145857477488</v>
          </cell>
          <cell r="W59">
            <v>0</v>
          </cell>
          <cell r="X59">
            <v>0</v>
          </cell>
          <cell r="Y59">
            <v>0.21085241031366331</v>
          </cell>
          <cell r="Z59">
            <v>-0.39648790216082852</v>
          </cell>
          <cell r="AA59">
            <v>0</v>
          </cell>
          <cell r="AB59">
            <v>0</v>
          </cell>
          <cell r="AC59">
            <v>63.411622512087682</v>
          </cell>
          <cell r="AD59">
            <v>0</v>
          </cell>
          <cell r="AE59">
            <v>0</v>
          </cell>
          <cell r="AF59">
            <v>-63.411622512087682</v>
          </cell>
          <cell r="AG59">
            <v>0</v>
          </cell>
          <cell r="AH59">
            <v>0</v>
          </cell>
          <cell r="AI59">
            <v>-0.21085241031366331</v>
          </cell>
          <cell r="AJ59">
            <v>0</v>
          </cell>
          <cell r="AK59">
            <v>0</v>
          </cell>
          <cell r="AL59">
            <v>-3.4878254843534036</v>
          </cell>
          <cell r="AM59">
            <v>0</v>
          </cell>
          <cell r="AN59">
            <v>0</v>
          </cell>
          <cell r="AO59">
            <v>-5.8215929519609744E-2</v>
          </cell>
          <cell r="AP59">
            <v>-4.7797430821733503E-2</v>
          </cell>
          <cell r="AQ59">
            <v>-0.55949475177425745</v>
          </cell>
          <cell r="AR59">
            <v>-0.62144435835074752</v>
          </cell>
          <cell r="AT59">
            <v>-14.001973123325723</v>
          </cell>
          <cell r="AU59">
            <v>2.9151096608096196</v>
          </cell>
          <cell r="AV59">
            <v>0</v>
          </cell>
          <cell r="AW59">
            <v>0</v>
          </cell>
          <cell r="AX59">
            <v>2.0848903391903804</v>
          </cell>
          <cell r="AY59">
            <v>0</v>
          </cell>
          <cell r="AZ59">
            <v>0</v>
          </cell>
          <cell r="BA59">
            <v>4.9870253428535558E-2</v>
          </cell>
          <cell r="BB59">
            <v>-9.7423938278375311E-2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-4.9870253428535558E-2</v>
          </cell>
          <cell r="BH59">
            <v>0</v>
          </cell>
          <cell r="BI59">
            <v>0</v>
          </cell>
          <cell r="BJ59">
            <v>0</v>
          </cell>
          <cell r="BK59">
            <v>0.8848459930851883</v>
          </cell>
          <cell r="EA59">
            <v>0</v>
          </cell>
          <cell r="EL59">
            <v>5.8299328692263757</v>
          </cell>
          <cell r="EM59">
            <v>3.9545575475627119</v>
          </cell>
          <cell r="EN59">
            <v>0</v>
          </cell>
          <cell r="EO59">
            <v>0</v>
          </cell>
          <cell r="EP59">
            <v>0</v>
          </cell>
          <cell r="EQ59">
            <v>-5.506958052535281E-2</v>
          </cell>
          <cell r="ER59">
            <v>-7.5058893942896958</v>
          </cell>
          <cell r="ES59">
            <v>0</v>
          </cell>
          <cell r="ET59">
            <v>2.8283048619159166</v>
          </cell>
          <cell r="EU59">
            <v>0</v>
          </cell>
          <cell r="EV59">
            <v>0</v>
          </cell>
          <cell r="EW59">
            <v>7.0284136771221112E-2</v>
          </cell>
          <cell r="EX59">
            <v>-0.13216263405360951</v>
          </cell>
          <cell r="EY59">
            <v>0</v>
          </cell>
          <cell r="EZ59">
            <v>0</v>
          </cell>
          <cell r="FA59">
            <v>21.137207504029227</v>
          </cell>
          <cell r="FB59">
            <v>0</v>
          </cell>
          <cell r="FC59">
            <v>0</v>
          </cell>
          <cell r="FD59">
            <v>-21.137207504029227</v>
          </cell>
          <cell r="FE59">
            <v>0</v>
          </cell>
          <cell r="FF59">
            <v>0</v>
          </cell>
          <cell r="FG59">
            <v>-7.0284136771221112E-2</v>
          </cell>
          <cell r="FH59">
            <v>0</v>
          </cell>
          <cell r="FI59">
            <v>0</v>
          </cell>
          <cell r="FJ59">
            <v>-1.1626084947844677</v>
          </cell>
          <cell r="FK59">
            <v>0</v>
          </cell>
          <cell r="FL59">
            <v>0</v>
          </cell>
          <cell r="FM59">
            <v>-1.9405309839869912E-2</v>
          </cell>
          <cell r="FN59">
            <v>-1.5932476940577832E-2</v>
          </cell>
          <cell r="FO59">
            <v>-0.18649825059141917</v>
          </cell>
          <cell r="FP59">
            <v>-0.20714811945024919</v>
          </cell>
          <cell r="FR59">
            <v>-4.6673243744419075</v>
          </cell>
          <cell r="FS59">
            <v>0.97170322026987321</v>
          </cell>
          <cell r="FT59">
            <v>0</v>
          </cell>
          <cell r="FU59">
            <v>0</v>
          </cell>
          <cell r="FV59">
            <v>0.69496344639679353</v>
          </cell>
          <cell r="FW59">
            <v>0</v>
          </cell>
          <cell r="FX59">
            <v>0</v>
          </cell>
          <cell r="FY59">
            <v>1.6623417809511855E-2</v>
          </cell>
          <cell r="FZ59">
            <v>-3.247464609279177E-2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-1.6623417809511855E-2</v>
          </cell>
          <cell r="GF59">
            <v>0</v>
          </cell>
          <cell r="GG59">
            <v>0</v>
          </cell>
          <cell r="GH59">
            <v>0</v>
          </cell>
          <cell r="GI59">
            <v>0.29494866436172845</v>
          </cell>
        </row>
        <row r="61">
          <cell r="C61">
            <v>1892.3619999999999</v>
          </cell>
          <cell r="N61">
            <v>861.2000899999997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-11.62088</v>
          </cell>
          <cell r="T61">
            <v>0</v>
          </cell>
          <cell r="U61">
            <v>0</v>
          </cell>
          <cell r="V61">
            <v>-27.18206</v>
          </cell>
          <cell r="W61">
            <v>0</v>
          </cell>
          <cell r="X61">
            <v>0</v>
          </cell>
          <cell r="Y61">
            <v>-0.34060000000000001</v>
          </cell>
          <cell r="Z61">
            <v>0.73090000000000011</v>
          </cell>
          <cell r="AA61">
            <v>1.3140000000000001E-2</v>
          </cell>
          <cell r="AB61">
            <v>0</v>
          </cell>
          <cell r="AC61">
            <v>8.1000000000000003E-2</v>
          </cell>
          <cell r="AD61">
            <v>0</v>
          </cell>
          <cell r="AE61">
            <v>-4.5193699999999994</v>
          </cell>
          <cell r="AF61">
            <v>-8.910070000000001</v>
          </cell>
          <cell r="AG61">
            <v>0</v>
          </cell>
          <cell r="AH61">
            <v>7.2264999999999953</v>
          </cell>
          <cell r="AI61">
            <v>4.2914800000000008</v>
          </cell>
          <cell r="AJ61">
            <v>-5.6229999999999877E-2</v>
          </cell>
          <cell r="AK61">
            <v>-0.40462999999999999</v>
          </cell>
          <cell r="AL61">
            <v>-346.82416000000001</v>
          </cell>
          <cell r="AM61">
            <v>296.98684999999995</v>
          </cell>
          <cell r="AN61">
            <v>-108.51077000000002</v>
          </cell>
          <cell r="AO61">
            <v>-2.3330700000000002</v>
          </cell>
          <cell r="AP61">
            <v>-7.2405200000000001</v>
          </cell>
          <cell r="AQ61">
            <v>-57.793360000000007</v>
          </cell>
          <cell r="AR61">
            <v>-20.344650000000001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574.44958999999972</v>
          </cell>
          <cell r="EA61">
            <v>214.19374999999991</v>
          </cell>
          <cell r="EL61">
            <v>304.0323699999999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-5.5149299999999997</v>
          </cell>
          <cell r="ER61">
            <v>0</v>
          </cell>
          <cell r="ES61">
            <v>0</v>
          </cell>
          <cell r="ET61">
            <v>-8.2000799999999998</v>
          </cell>
          <cell r="EU61">
            <v>0</v>
          </cell>
          <cell r="EV61">
            <v>0</v>
          </cell>
          <cell r="EW61">
            <v>-0.34060000000000001</v>
          </cell>
          <cell r="EX61">
            <v>0.22049000000000007</v>
          </cell>
          <cell r="EY61">
            <v>1.3140000000000001E-2</v>
          </cell>
          <cell r="EZ61">
            <v>0</v>
          </cell>
          <cell r="FA61">
            <v>8.1000000000000003E-2</v>
          </cell>
          <cell r="FB61">
            <v>0</v>
          </cell>
          <cell r="FC61">
            <v>-1.3225499999999997</v>
          </cell>
          <cell r="FD61">
            <v>0</v>
          </cell>
          <cell r="FE61">
            <v>0</v>
          </cell>
          <cell r="FF61">
            <v>10.48282</v>
          </cell>
          <cell r="FG61">
            <v>4.2914800000000008</v>
          </cell>
          <cell r="FH61">
            <v>0.12192999999999997</v>
          </cell>
          <cell r="FI61">
            <v>-0.40462999999999999</v>
          </cell>
          <cell r="FJ61">
            <v>-38.526650000000018</v>
          </cell>
          <cell r="FK61">
            <v>31.939540000000022</v>
          </cell>
          <cell r="FL61">
            <v>-49.301290000000023</v>
          </cell>
          <cell r="FM61">
            <v>-0.73380000000000001</v>
          </cell>
          <cell r="FN61">
            <v>-6.0264000000000006</v>
          </cell>
          <cell r="FO61">
            <v>-19.479440000000004</v>
          </cell>
          <cell r="FP61">
            <v>-8.9638600000000004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212.36853999999991</v>
          </cell>
        </row>
        <row r="62">
          <cell r="C62">
            <v>1701.3516300000001</v>
          </cell>
          <cell r="N62">
            <v>779.5628399999996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-7.6296900000000001</v>
          </cell>
          <cell r="T62">
            <v>-1.2600000000000002E-2</v>
          </cell>
          <cell r="U62">
            <v>0</v>
          </cell>
          <cell r="V62">
            <v>-56.377510000000001</v>
          </cell>
          <cell r="W62">
            <v>0</v>
          </cell>
          <cell r="X62">
            <v>0</v>
          </cell>
          <cell r="Y62">
            <v>-1.29806</v>
          </cell>
          <cell r="Z62">
            <v>1.9414</v>
          </cell>
          <cell r="AA62">
            <v>7.986E-2</v>
          </cell>
          <cell r="AB62">
            <v>0</v>
          </cell>
          <cell r="AC62">
            <v>0</v>
          </cell>
          <cell r="AD62">
            <v>0</v>
          </cell>
          <cell r="AE62">
            <v>-4.1215799999999998</v>
          </cell>
          <cell r="AF62">
            <v>-3.5210100000000004</v>
          </cell>
          <cell r="AG62">
            <v>0</v>
          </cell>
          <cell r="AH62">
            <v>132.56256000000002</v>
          </cell>
          <cell r="AI62">
            <v>-0.68339999999999901</v>
          </cell>
          <cell r="AJ62">
            <v>2.7468300000000005</v>
          </cell>
          <cell r="AK62">
            <v>0.3095</v>
          </cell>
          <cell r="AL62">
            <v>-294.64965000000001</v>
          </cell>
          <cell r="AM62">
            <v>258.35585000000003</v>
          </cell>
          <cell r="AN62">
            <v>-99.815240000000017</v>
          </cell>
          <cell r="AO62">
            <v>-2.5461300000000002</v>
          </cell>
          <cell r="AP62">
            <v>-0.66283999999999998</v>
          </cell>
          <cell r="AQ62">
            <v>-41.246409999999997</v>
          </cell>
          <cell r="AR62">
            <v>-19.117339999999999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643.87737999999968</v>
          </cell>
          <cell r="EA62">
            <v>235.28170999999998</v>
          </cell>
          <cell r="EL62">
            <v>284.57027000000005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-2.4633599999999998</v>
          </cell>
          <cell r="ER62">
            <v>0</v>
          </cell>
          <cell r="ES62">
            <v>0</v>
          </cell>
          <cell r="ET62">
            <v>-14.436149999999998</v>
          </cell>
          <cell r="EU62">
            <v>0</v>
          </cell>
          <cell r="EV62">
            <v>0</v>
          </cell>
          <cell r="EW62">
            <v>-1.29806</v>
          </cell>
          <cell r="EX62">
            <v>0.49712000000000001</v>
          </cell>
          <cell r="EY62">
            <v>7.986E-2</v>
          </cell>
          <cell r="EZ62">
            <v>0</v>
          </cell>
          <cell r="FA62">
            <v>0</v>
          </cell>
          <cell r="FB62">
            <v>0</v>
          </cell>
          <cell r="FC62">
            <v>-1.3124899999999999</v>
          </cell>
          <cell r="FD62">
            <v>0</v>
          </cell>
          <cell r="FE62">
            <v>0</v>
          </cell>
          <cell r="FF62">
            <v>91.183800000000005</v>
          </cell>
          <cell r="FG62">
            <v>-0.68339999999999901</v>
          </cell>
          <cell r="FH62">
            <v>-4.4026700000000005</v>
          </cell>
          <cell r="FI62">
            <v>0.3095</v>
          </cell>
          <cell r="FJ62">
            <v>-39.145770000000027</v>
          </cell>
          <cell r="FK62">
            <v>32.944900000000018</v>
          </cell>
          <cell r="FL62">
            <v>-43.420180000000009</v>
          </cell>
          <cell r="FM62">
            <v>-0.83760999999999997</v>
          </cell>
          <cell r="FN62">
            <v>-0.28732999999999997</v>
          </cell>
          <cell r="FO62">
            <v>-13.540519999999997</v>
          </cell>
          <cell r="FP62">
            <v>-6.4619299999999988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281.29597999999999</v>
          </cell>
        </row>
        <row r="63">
          <cell r="C63">
            <v>1603.33</v>
          </cell>
          <cell r="N63">
            <v>866.59078972376483</v>
          </cell>
          <cell r="O63">
            <v>-36.101910698838239</v>
          </cell>
          <cell r="P63">
            <v>0</v>
          </cell>
          <cell r="Q63">
            <v>0</v>
          </cell>
          <cell r="R63">
            <v>0</v>
          </cell>
          <cell r="S63">
            <v>-16.456912552517402</v>
          </cell>
          <cell r="T63">
            <v>0</v>
          </cell>
          <cell r="U63">
            <v>0</v>
          </cell>
          <cell r="V63">
            <v>-25.820134952116071</v>
          </cell>
          <cell r="W63">
            <v>0</v>
          </cell>
          <cell r="X63">
            <v>0</v>
          </cell>
          <cell r="Y63">
            <v>-0.64163730048640411</v>
          </cell>
          <cell r="Z63">
            <v>1.2065379118046111</v>
          </cell>
          <cell r="AA63">
            <v>0</v>
          </cell>
          <cell r="AB63">
            <v>0</v>
          </cell>
          <cell r="AC63">
            <v>-5.28364063288604E-2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5.28364063288604E-2</v>
          </cell>
          <cell r="AI63">
            <v>0.64163730048640411</v>
          </cell>
          <cell r="AJ63">
            <v>0</v>
          </cell>
          <cell r="AK63">
            <v>0</v>
          </cell>
          <cell r="AL63">
            <v>-161.75857910295062</v>
          </cell>
          <cell r="AM63">
            <v>0</v>
          </cell>
          <cell r="AN63">
            <v>0</v>
          </cell>
          <cell r="AO63">
            <v>-3.0143865838568749</v>
          </cell>
          <cell r="AP63">
            <v>-1.7389701789690628</v>
          </cell>
          <cell r="AQ63">
            <v>-72.398192770267499</v>
          </cell>
          <cell r="AR63">
            <v>-27.026108458484501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523.48213233756906</v>
          </cell>
          <cell r="EA63">
            <v>248.96000000000004</v>
          </cell>
          <cell r="EL63">
            <v>288.86359657458831</v>
          </cell>
          <cell r="EM63">
            <v>-12.033970232946078</v>
          </cell>
          <cell r="EN63">
            <v>0</v>
          </cell>
          <cell r="EO63">
            <v>0</v>
          </cell>
          <cell r="EP63">
            <v>0</v>
          </cell>
          <cell r="EQ63">
            <v>-5.4856375175058005</v>
          </cell>
          <cell r="ER63">
            <v>0</v>
          </cell>
          <cell r="ES63">
            <v>0</v>
          </cell>
          <cell r="ET63">
            <v>-8.6067116507053569</v>
          </cell>
          <cell r="EU63">
            <v>0</v>
          </cell>
          <cell r="EV63">
            <v>0</v>
          </cell>
          <cell r="EW63">
            <v>-0.21387910016213468</v>
          </cell>
          <cell r="EX63">
            <v>0.40217930393487034</v>
          </cell>
          <cell r="EY63">
            <v>0</v>
          </cell>
          <cell r="EZ63">
            <v>0</v>
          </cell>
          <cell r="FA63">
            <v>-1.7612135442953467E-2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1.7612135442953467E-2</v>
          </cell>
          <cell r="FG63">
            <v>0.21387910016213468</v>
          </cell>
          <cell r="FH63">
            <v>0</v>
          </cell>
          <cell r="FI63">
            <v>0</v>
          </cell>
          <cell r="FJ63">
            <v>-53.919526367650207</v>
          </cell>
          <cell r="FK63">
            <v>0</v>
          </cell>
          <cell r="FL63">
            <v>0</v>
          </cell>
          <cell r="FM63">
            <v>-1.0047955279522918</v>
          </cell>
          <cell r="FN63">
            <v>-0.57965672632302101</v>
          </cell>
          <cell r="FO63">
            <v>-24.1327309234225</v>
          </cell>
          <cell r="FP63">
            <v>-9.0087028194948324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174.49404411252311</v>
          </cell>
        </row>
        <row r="65">
          <cell r="C65">
            <v>175616.43707000001</v>
          </cell>
          <cell r="N65">
            <v>73589.75602999999</v>
          </cell>
          <cell r="O65">
            <v>-890.08442000000014</v>
          </cell>
          <cell r="P65">
            <v>-4.1283400000000006</v>
          </cell>
          <cell r="Q65">
            <v>-34.525999999999996</v>
          </cell>
          <cell r="R65">
            <v>20.761520000000001</v>
          </cell>
          <cell r="S65">
            <v>-1166.0777599999999</v>
          </cell>
          <cell r="T65">
            <v>-881.68963000000008</v>
          </cell>
          <cell r="U65">
            <v>0</v>
          </cell>
          <cell r="V65">
            <v>-24807.868709205814</v>
          </cell>
          <cell r="W65">
            <v>-591.29600000000005</v>
          </cell>
          <cell r="X65">
            <v>-14797.196890794192</v>
          </cell>
          <cell r="Y65">
            <v>-472.85120999999998</v>
          </cell>
          <cell r="Z65">
            <v>2135.6970199999996</v>
          </cell>
          <cell r="AA65">
            <v>31.17895</v>
          </cell>
          <cell r="AB65">
            <v>0</v>
          </cell>
          <cell r="AC65">
            <v>-33391.278030000009</v>
          </cell>
          <cell r="AD65">
            <v>2059.8632600000001</v>
          </cell>
          <cell r="AE65">
            <v>-425.96853999999996</v>
          </cell>
          <cell r="AF65">
            <v>-3456.4198799999995</v>
          </cell>
          <cell r="AG65">
            <v>0</v>
          </cell>
          <cell r="AH65">
            <v>40315.080369999996</v>
          </cell>
          <cell r="AI65">
            <v>4603.1793800000005</v>
          </cell>
          <cell r="AJ65">
            <v>-963.31337000000053</v>
          </cell>
          <cell r="AK65">
            <v>-292.52624999999995</v>
          </cell>
          <cell r="AL65">
            <v>-27768.217069999999</v>
          </cell>
          <cell r="AM65">
            <v>23108.511849999999</v>
          </cell>
          <cell r="AN65">
            <v>-6690.3695400000006</v>
          </cell>
          <cell r="AO65">
            <v>-3234.6029899999999</v>
          </cell>
          <cell r="AP65">
            <v>-350.86899999999997</v>
          </cell>
          <cell r="AQ65">
            <v>-2164.9160399999996</v>
          </cell>
          <cell r="AR65">
            <v>-1433.6522300000001</v>
          </cell>
          <cell r="AT65">
            <v>-4681.1621800000021</v>
          </cell>
          <cell r="AU65">
            <v>0</v>
          </cell>
          <cell r="AV65">
            <v>0</v>
          </cell>
          <cell r="AW65">
            <v>0</v>
          </cell>
          <cell r="AX65">
            <v>750.11936295570308</v>
          </cell>
          <cell r="AY65">
            <v>0</v>
          </cell>
          <cell r="AZ65">
            <v>820.23013704429707</v>
          </cell>
          <cell r="BA65">
            <v>15.1099</v>
          </cell>
          <cell r="BB65">
            <v>-50.661550000000005</v>
          </cell>
          <cell r="BC65">
            <v>-0.59606999999999999</v>
          </cell>
          <cell r="BD65">
            <v>0</v>
          </cell>
          <cell r="BE65">
            <v>3686.0623500000002</v>
          </cell>
          <cell r="BF65">
            <v>-5952.2172099999971</v>
          </cell>
          <cell r="BG65">
            <v>-108.31952</v>
          </cell>
          <cell r="BH65">
            <v>53.43893000000002</v>
          </cell>
          <cell r="BI65">
            <v>10.245709999999999</v>
          </cell>
          <cell r="BJ65">
            <v>2.6645352591003756E-17</v>
          </cell>
          <cell r="BK65">
            <v>16588.426339999984</v>
          </cell>
          <cell r="EA65">
            <v>30108.841179999999</v>
          </cell>
          <cell r="EL65">
            <v>29488.641759999999</v>
          </cell>
          <cell r="EM65">
            <v>-482.5487700000001</v>
          </cell>
          <cell r="EN65">
            <v>-4.1283400000000006</v>
          </cell>
          <cell r="EO65">
            <v>-19.029</v>
          </cell>
          <cell r="EP65">
            <v>20.761520000000001</v>
          </cell>
          <cell r="EQ65">
            <v>-432.05086999999997</v>
          </cell>
          <cell r="ER65">
            <v>-80.584330000000023</v>
          </cell>
          <cell r="ES65">
            <v>0</v>
          </cell>
          <cell r="ET65">
            <v>-9429.6445359487807</v>
          </cell>
          <cell r="EU65">
            <v>-591.29600000000005</v>
          </cell>
          <cell r="EV65">
            <v>-4947.4201340512218</v>
          </cell>
          <cell r="EW65">
            <v>-472.85120999999998</v>
          </cell>
          <cell r="EX65">
            <v>769.08617999999979</v>
          </cell>
          <cell r="EY65">
            <v>31.17895</v>
          </cell>
          <cell r="EZ65">
            <v>0</v>
          </cell>
          <cell r="FA65">
            <v>-12041.460260000005</v>
          </cell>
          <cell r="FB65">
            <v>346.70290000000006</v>
          </cell>
          <cell r="FC65">
            <v>-133.28681000000003</v>
          </cell>
          <cell r="FD65">
            <v>-1043.4100699999999</v>
          </cell>
          <cell r="FE65">
            <v>0</v>
          </cell>
          <cell r="FF65">
            <v>10768.597789999998</v>
          </cell>
          <cell r="FG65">
            <v>4603.1793800000005</v>
          </cell>
          <cell r="FH65">
            <v>-4.7121200000000902</v>
          </cell>
          <cell r="FI65">
            <v>-292.52624999999995</v>
          </cell>
          <cell r="FJ65">
            <v>-3906.175290000001</v>
          </cell>
          <cell r="FK65">
            <v>2951.0015400000007</v>
          </cell>
          <cell r="FL65">
            <v>-3327.9117800000004</v>
          </cell>
          <cell r="FM65">
            <v>-1037.69993</v>
          </cell>
          <cell r="FN65">
            <v>-197.36169999999998</v>
          </cell>
          <cell r="FO65">
            <v>-717.89189999999974</v>
          </cell>
          <cell r="FP65">
            <v>-494.7158500000001</v>
          </cell>
          <cell r="FR65">
            <v>-1554.2546200000006</v>
          </cell>
          <cell r="FS65">
            <v>0</v>
          </cell>
          <cell r="FT65">
            <v>0</v>
          </cell>
          <cell r="FU65">
            <v>0</v>
          </cell>
          <cell r="FV65">
            <v>182.24452839771567</v>
          </cell>
          <cell r="FW65">
            <v>0</v>
          </cell>
          <cell r="FX65">
            <v>215.21143160228434</v>
          </cell>
          <cell r="FY65">
            <v>15.1099</v>
          </cell>
          <cell r="FZ65">
            <v>-13.645290000000001</v>
          </cell>
          <cell r="GA65">
            <v>-0.59606999999999999</v>
          </cell>
          <cell r="GB65">
            <v>0</v>
          </cell>
          <cell r="GC65">
            <v>3036.1988900000001</v>
          </cell>
          <cell r="GD65">
            <v>-3916.5555999999988</v>
          </cell>
          <cell r="GE65">
            <v>-108.31952</v>
          </cell>
          <cell r="GF65">
            <v>-4.3718500000000162</v>
          </cell>
          <cell r="GG65">
            <v>10.245709999999999</v>
          </cell>
          <cell r="GH65">
            <v>0</v>
          </cell>
          <cell r="GI65">
            <v>7183.7123799999945</v>
          </cell>
        </row>
        <row r="66">
          <cell r="C66">
            <v>177504.23089999997</v>
          </cell>
          <cell r="N66">
            <v>72616.27773999999</v>
          </cell>
          <cell r="O66">
            <v>-661.36577999999997</v>
          </cell>
          <cell r="P66">
            <v>0</v>
          </cell>
          <cell r="Q66">
            <v>-274.56200000000001</v>
          </cell>
          <cell r="R66">
            <v>2.75</v>
          </cell>
          <cell r="S66">
            <v>-912.08491000000004</v>
          </cell>
          <cell r="T66">
            <v>-586.47043000000008</v>
          </cell>
          <cell r="U66">
            <v>0</v>
          </cell>
          <cell r="V66">
            <v>-27937.740255111534</v>
          </cell>
          <cell r="W66">
            <v>0</v>
          </cell>
          <cell r="X66">
            <v>-13734.849604888463</v>
          </cell>
          <cell r="Y66">
            <v>-728.97546999999986</v>
          </cell>
          <cell r="Z66">
            <v>2165.7119700000003</v>
          </cell>
          <cell r="AA66">
            <v>55.390509999999999</v>
          </cell>
          <cell r="AB66">
            <v>0</v>
          </cell>
          <cell r="AC66">
            <v>-48708.587660000005</v>
          </cell>
          <cell r="AD66">
            <v>879.15965000000006</v>
          </cell>
          <cell r="AE66">
            <v>-339.69878</v>
          </cell>
          <cell r="AF66">
            <v>-3640.94254</v>
          </cell>
          <cell r="AG66">
            <v>0</v>
          </cell>
          <cell r="AH66">
            <v>51571.894840000001</v>
          </cell>
          <cell r="AI66">
            <v>1171.5384900000001</v>
          </cell>
          <cell r="AJ66">
            <v>-455.51212999999984</v>
          </cell>
          <cell r="AK66">
            <v>10.141830000000008</v>
          </cell>
          <cell r="AL66">
            <v>-28213.235899999996</v>
          </cell>
          <cell r="AM66">
            <v>23428.486079999995</v>
          </cell>
          <cell r="AN66">
            <v>-6573.2122799999988</v>
          </cell>
          <cell r="AO66">
            <v>-2629.1232399999999</v>
          </cell>
          <cell r="AP66">
            <v>-176.11626999999996</v>
          </cell>
          <cell r="AQ66">
            <v>-1756.7481499999999</v>
          </cell>
          <cell r="AR66">
            <v>-1674.33644</v>
          </cell>
          <cell r="AT66">
            <v>-4972.4878700000027</v>
          </cell>
          <cell r="AU66">
            <v>0</v>
          </cell>
          <cell r="AV66">
            <v>0</v>
          </cell>
          <cell r="AW66">
            <v>0</v>
          </cell>
          <cell r="AX66">
            <v>892.44889028558134</v>
          </cell>
          <cell r="AY66">
            <v>0</v>
          </cell>
          <cell r="AZ66">
            <v>766.62759971441869</v>
          </cell>
          <cell r="BA66">
            <v>21.148820000000001</v>
          </cell>
          <cell r="BB66">
            <v>-61.108399999999996</v>
          </cell>
          <cell r="BC66">
            <v>-1.17143</v>
          </cell>
          <cell r="BD66">
            <v>0</v>
          </cell>
          <cell r="BE66">
            <v>19031.340249999994</v>
          </cell>
          <cell r="BF66">
            <v>-21429.978419999999</v>
          </cell>
          <cell r="BG66">
            <v>-622.94413000000009</v>
          </cell>
          <cell r="BH66">
            <v>345.21160999999995</v>
          </cell>
          <cell r="BI66">
            <v>8.4001800000000006</v>
          </cell>
          <cell r="BJ66">
            <v>-9.5923269327613524E-17</v>
          </cell>
          <cell r="BK66">
            <v>6875.2763699999859</v>
          </cell>
          <cell r="EA66">
            <v>30527.04955</v>
          </cell>
          <cell r="EL66">
            <v>29039.146260000005</v>
          </cell>
          <cell r="EM66">
            <v>-451.4871599999999</v>
          </cell>
          <cell r="EN66">
            <v>0</v>
          </cell>
          <cell r="EO66">
            <v>-48.322000000000003</v>
          </cell>
          <cell r="EP66">
            <v>2.5</v>
          </cell>
          <cell r="EQ66">
            <v>-302.22431000000006</v>
          </cell>
          <cell r="ER66">
            <v>-91.963850000000008</v>
          </cell>
          <cell r="ES66">
            <v>0</v>
          </cell>
          <cell r="ET66">
            <v>-8863.7374408545056</v>
          </cell>
          <cell r="EU66">
            <v>0</v>
          </cell>
          <cell r="EV66">
            <v>-6956.794619145493</v>
          </cell>
          <cell r="EW66">
            <v>-728.97546999999986</v>
          </cell>
          <cell r="EX66">
            <v>775.19299000000001</v>
          </cell>
          <cell r="EY66">
            <v>55.390509999999999</v>
          </cell>
          <cell r="EZ66">
            <v>0</v>
          </cell>
          <cell r="FA66">
            <v>-9845.4325100000005</v>
          </cell>
          <cell r="FB66">
            <v>161.20124000000001</v>
          </cell>
          <cell r="FC66">
            <v>-110.25311000000001</v>
          </cell>
          <cell r="FD66">
            <v>-1100.8360899999998</v>
          </cell>
          <cell r="FE66">
            <v>0</v>
          </cell>
          <cell r="FF66">
            <v>8815.2467099999958</v>
          </cell>
          <cell r="FG66">
            <v>1171.5384900000001</v>
          </cell>
          <cell r="FH66">
            <v>276.43444999999991</v>
          </cell>
          <cell r="FI66">
            <v>10.141830000000008</v>
          </cell>
          <cell r="FJ66">
            <v>-3840.5850600000012</v>
          </cell>
          <cell r="FK66">
            <v>3024.5669800000001</v>
          </cell>
          <cell r="FL66">
            <v>-3306.9808199999998</v>
          </cell>
          <cell r="FM66">
            <v>-896.97378000000015</v>
          </cell>
          <cell r="FN66">
            <v>-77.74776</v>
          </cell>
          <cell r="FO66">
            <v>-571.02541000000008</v>
          </cell>
          <cell r="FP66">
            <v>-588.77848000000006</v>
          </cell>
          <cell r="FR66">
            <v>-1632.2014699999997</v>
          </cell>
          <cell r="FS66">
            <v>0</v>
          </cell>
          <cell r="FT66">
            <v>0</v>
          </cell>
          <cell r="FU66">
            <v>0</v>
          </cell>
          <cell r="FV66">
            <v>-308.77386971441865</v>
          </cell>
          <cell r="FW66">
            <v>0</v>
          </cell>
          <cell r="FX66">
            <v>766.62759971441869</v>
          </cell>
          <cell r="FY66">
            <v>21.148820000000001</v>
          </cell>
          <cell r="FZ66">
            <v>-17.471759999999996</v>
          </cell>
          <cell r="GA66">
            <v>-1.17143</v>
          </cell>
          <cell r="GB66">
            <v>0</v>
          </cell>
          <cell r="GC66">
            <v>389.7856499999973</v>
          </cell>
          <cell r="GD66">
            <v>-376.50926999999979</v>
          </cell>
          <cell r="GE66">
            <v>-622.94413000000009</v>
          </cell>
          <cell r="GF66">
            <v>-25.495819999999938</v>
          </cell>
          <cell r="GG66">
            <v>8.4001800000000006</v>
          </cell>
          <cell r="GH66">
            <v>0</v>
          </cell>
          <cell r="GI66">
            <v>3750.6360899999972</v>
          </cell>
        </row>
        <row r="67">
          <cell r="C67">
            <v>179833.03999999998</v>
          </cell>
          <cell r="N67">
            <v>89165.350880959959</v>
          </cell>
          <cell r="O67">
            <v>-10241.758808680352</v>
          </cell>
          <cell r="P67">
            <v>-2663.0353743465089</v>
          </cell>
          <cell r="Q67">
            <v>-7170.264539831388</v>
          </cell>
          <cell r="R67">
            <v>0</v>
          </cell>
          <cell r="S67">
            <v>-1654.5857359691506</v>
          </cell>
          <cell r="T67">
            <v>-895.50193633327581</v>
          </cell>
          <cell r="U67">
            <v>0</v>
          </cell>
          <cell r="V67">
            <v>-20460.279568569174</v>
          </cell>
          <cell r="W67">
            <v>-3141.6619919513623</v>
          </cell>
          <cell r="X67">
            <v>-10744.124473522737</v>
          </cell>
          <cell r="Y67">
            <v>-851.90877271643228</v>
          </cell>
          <cell r="Z67">
            <v>1684.7764999231706</v>
          </cell>
          <cell r="AA67">
            <v>0</v>
          </cell>
          <cell r="AB67">
            <v>0</v>
          </cell>
          <cell r="AC67">
            <v>-20669.485982547423</v>
          </cell>
          <cell r="AD67">
            <v>0</v>
          </cell>
          <cell r="AE67">
            <v>0</v>
          </cell>
          <cell r="AF67">
            <v>-2932.322967668219</v>
          </cell>
          <cell r="AG67">
            <v>0</v>
          </cell>
          <cell r="AH67">
            <v>24764.308950215644</v>
          </cell>
          <cell r="AI67">
            <v>851.90877271643228</v>
          </cell>
          <cell r="AJ67">
            <v>0</v>
          </cell>
          <cell r="AK67">
            <v>0</v>
          </cell>
          <cell r="AL67">
            <v>-13564.987753810285</v>
          </cell>
          <cell r="AM67">
            <v>0</v>
          </cell>
          <cell r="AN67">
            <v>0</v>
          </cell>
          <cell r="AO67">
            <v>-3526.9005636506731</v>
          </cell>
          <cell r="AP67">
            <v>-273.4017934421833</v>
          </cell>
          <cell r="AQ67">
            <v>-2527.441825274303</v>
          </cell>
          <cell r="AR67">
            <v>-2347.4208642811368</v>
          </cell>
          <cell r="AT67">
            <v>-6188.4667277278222</v>
          </cell>
          <cell r="AU67">
            <v>505.32227049283199</v>
          </cell>
          <cell r="AV67">
            <v>1108.6204531971148</v>
          </cell>
          <cell r="AW67">
            <v>618.05907240757153</v>
          </cell>
          <cell r="AX67">
            <v>800.11695846912937</v>
          </cell>
          <cell r="AY67">
            <v>1307.8725032572852</v>
          </cell>
          <cell r="AZ67">
            <v>848.33788942625927</v>
          </cell>
          <cell r="BA67">
            <v>68.088817010441602</v>
          </cell>
          <cell r="BB67">
            <v>-82.237939180294561</v>
          </cell>
          <cell r="BC67">
            <v>0</v>
          </cell>
          <cell r="BD67">
            <v>0</v>
          </cell>
          <cell r="BE67">
            <v>1741.3584674999993</v>
          </cell>
          <cell r="BF67">
            <v>-1858.8677537499993</v>
          </cell>
          <cell r="BG67">
            <v>-68.088817010441602</v>
          </cell>
          <cell r="BH67">
            <v>0</v>
          </cell>
          <cell r="BI67">
            <v>0</v>
          </cell>
          <cell r="BJ67">
            <v>0</v>
          </cell>
          <cell r="BK67">
            <v>11601.377345312663</v>
          </cell>
          <cell r="EA67">
            <v>36413.64</v>
          </cell>
          <cell r="EL67">
            <v>29721.783626986646</v>
          </cell>
          <cell r="EM67">
            <v>-3413.9196028934512</v>
          </cell>
          <cell r="EN67">
            <v>-887.67845811550296</v>
          </cell>
          <cell r="EO67">
            <v>-2390.0881799437957</v>
          </cell>
          <cell r="EP67">
            <v>0</v>
          </cell>
          <cell r="EQ67">
            <v>-551.5285786563835</v>
          </cell>
          <cell r="ER67">
            <v>-298.50064544442523</v>
          </cell>
          <cell r="ES67">
            <v>0</v>
          </cell>
          <cell r="ET67">
            <v>-6295.2541777742117</v>
          </cell>
          <cell r="EU67">
            <v>-1047.2206639837875</v>
          </cell>
          <cell r="EV67">
            <v>-3581.374824507579</v>
          </cell>
          <cell r="EW67">
            <v>-283.96959090547745</v>
          </cell>
          <cell r="EX67">
            <v>561.59216664105679</v>
          </cell>
          <cell r="EY67">
            <v>0</v>
          </cell>
          <cell r="EZ67">
            <v>0</v>
          </cell>
          <cell r="FA67">
            <v>-6889.8286608491417</v>
          </cell>
          <cell r="FB67">
            <v>0</v>
          </cell>
          <cell r="FC67">
            <v>0</v>
          </cell>
          <cell r="FD67">
            <v>-977.4409892227394</v>
          </cell>
          <cell r="FE67">
            <v>0</v>
          </cell>
          <cell r="FF67">
            <v>8254.7696500718812</v>
          </cell>
          <cell r="FG67">
            <v>283.96959090547745</v>
          </cell>
          <cell r="FH67">
            <v>0</v>
          </cell>
          <cell r="FI67">
            <v>0</v>
          </cell>
          <cell r="FJ67">
            <v>-4521.6625846034285</v>
          </cell>
          <cell r="FK67">
            <v>0</v>
          </cell>
          <cell r="FL67">
            <v>0</v>
          </cell>
          <cell r="FM67">
            <v>-1175.6335212168908</v>
          </cell>
          <cell r="FN67">
            <v>-91.133931147394421</v>
          </cell>
          <cell r="FO67">
            <v>-842.48060842476764</v>
          </cell>
          <cell r="FP67">
            <v>-782.47362142704571</v>
          </cell>
          <cell r="FR67">
            <v>-2062.8222425759404</v>
          </cell>
          <cell r="FS67">
            <v>168.440756830944</v>
          </cell>
          <cell r="FT67">
            <v>369.54015106570489</v>
          </cell>
          <cell r="FU67">
            <v>206.01969080252385</v>
          </cell>
          <cell r="FV67">
            <v>266.70565282304318</v>
          </cell>
          <cell r="FW67">
            <v>435.95750108576175</v>
          </cell>
          <cell r="FX67">
            <v>282.77929647541976</v>
          </cell>
          <cell r="FY67">
            <v>22.69627233681387</v>
          </cell>
          <cell r="FZ67">
            <v>-27.412646393431515</v>
          </cell>
          <cell r="GA67">
            <v>0</v>
          </cell>
          <cell r="GB67">
            <v>0</v>
          </cell>
          <cell r="GC67">
            <v>580.4528224999998</v>
          </cell>
          <cell r="GD67">
            <v>-619.62258458333304</v>
          </cell>
          <cell r="GE67">
            <v>-22.69627233681387</v>
          </cell>
          <cell r="GF67">
            <v>0</v>
          </cell>
          <cell r="GG67">
            <v>0</v>
          </cell>
          <cell r="GH67">
            <v>0</v>
          </cell>
          <cell r="GI67">
            <v>4391.9647935197308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-302.67144999999994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-302.67144999999994</v>
          </cell>
          <cell r="EA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-144.69740999999996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-144.69740999999996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-0.17061000000000001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-0.17061000000000001</v>
          </cell>
          <cell r="EA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</row>
        <row r="83">
          <cell r="C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EA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otal P&amp;C"/>
      <sheetName val="Retail"/>
      <sheetName val="SME"/>
      <sheetName val="MidCorp"/>
      <sheetName val="MGA"/>
      <sheetName val="Bancassurance"/>
      <sheetName val="Specials"/>
      <sheetName val="VC Retail"/>
      <sheetName val="VC Commercial"/>
      <sheetName val="VC Health"/>
      <sheetName val="S2 Retail Motor"/>
      <sheetName val="S2 Retail Non-Motor"/>
      <sheetName val="S2 SMC"/>
      <sheetName val="S2 Fleet"/>
      <sheetName val="S2 MidCorp Property"/>
      <sheetName val="S2 MidCorp Engineering"/>
      <sheetName val="S2 MidCorp Liability"/>
      <sheetName val="S2 MidCorp Other"/>
      <sheetName val="H7"/>
      <sheetName val="H9"/>
      <sheetName val="COR BR"/>
      <sheetName val="COR OT"/>
      <sheetName val="COR UA"/>
      <sheetName val="FLE BR"/>
      <sheetName val="FLE OT"/>
      <sheetName val="FLE UA"/>
      <sheetName val="LCO BR"/>
      <sheetName val="LCO OT"/>
      <sheetName val="LCO UA"/>
      <sheetName val="OTH BR"/>
      <sheetName val="REL BR"/>
      <sheetName val="REL OT"/>
      <sheetName val="REL UA"/>
      <sheetName val="REO BR"/>
      <sheetName val="RET BR"/>
      <sheetName val="RET OT"/>
      <sheetName val="RET UA"/>
      <sheetName val="SME BI"/>
      <sheetName val="SME BR"/>
      <sheetName val="SME OT"/>
      <sheetName val="SME UA"/>
      <sheetName val="A"/>
      <sheetName val="2026"/>
      <sheetName val="2025"/>
      <sheetName val="Plan"/>
      <sheetName val="LL"/>
      <sheetName val="NatCat"/>
      <sheetName val="Segments"/>
      <sheetName val="mapping LoB BE"/>
      <sheetName val="mapping P&amp;L"/>
    </sheetNames>
    <sheetDataSet>
      <sheetData sheetId="0" refreshError="1">
        <row r="21">
          <cell r="C21">
            <v>16294.070280000004</v>
          </cell>
          <cell r="N21">
            <v>13734.727210000008</v>
          </cell>
          <cell r="O21">
            <v>-253.76949999999994</v>
          </cell>
          <cell r="P21">
            <v>0</v>
          </cell>
          <cell r="Q21">
            <v>0</v>
          </cell>
          <cell r="R21">
            <v>-9.9999999999909054E-6</v>
          </cell>
          <cell r="S21">
            <v>-780.72208999999998</v>
          </cell>
          <cell r="T21">
            <v>-136.48693</v>
          </cell>
          <cell r="U21">
            <v>0</v>
          </cell>
          <cell r="V21">
            <v>-8139.4792667263791</v>
          </cell>
          <cell r="W21">
            <v>0</v>
          </cell>
          <cell r="X21">
            <v>-1602.3310732736215</v>
          </cell>
          <cell r="Y21">
            <v>-126.71000000000001</v>
          </cell>
          <cell r="Z21">
            <v>1074.2703000000001</v>
          </cell>
          <cell r="AA21">
            <v>22.849510000000002</v>
          </cell>
          <cell r="AB21">
            <v>-1700</v>
          </cell>
          <cell r="AC21">
            <v>-8337.4896499999995</v>
          </cell>
          <cell r="AD21">
            <v>248.09350999999998</v>
          </cell>
          <cell r="AE21">
            <v>-358.71963</v>
          </cell>
          <cell r="AF21">
            <v>-574.30642999999975</v>
          </cell>
          <cell r="AG21">
            <v>0</v>
          </cell>
          <cell r="AH21">
            <v>-2427.306630000005</v>
          </cell>
          <cell r="AI21">
            <v>1207.5714399999999</v>
          </cell>
          <cell r="AJ21">
            <v>15007.51872</v>
          </cell>
          <cell r="AK21">
            <v>164.67368999999997</v>
          </cell>
          <cell r="AL21">
            <v>-2131.8626800000002</v>
          </cell>
          <cell r="AM21">
            <v>1204.8327100000001</v>
          </cell>
          <cell r="AN21">
            <v>-961.22593000000063</v>
          </cell>
          <cell r="AO21">
            <v>-1091.25956</v>
          </cell>
          <cell r="AP21">
            <v>-123.3257</v>
          </cell>
          <cell r="AQ21">
            <v>-758.93420000000003</v>
          </cell>
          <cell r="AR21">
            <v>-463.08255000000003</v>
          </cell>
          <cell r="AT21">
            <v>-859.51870999999994</v>
          </cell>
          <cell r="AU21">
            <v>0.72236999999999996</v>
          </cell>
          <cell r="AV21">
            <v>0</v>
          </cell>
          <cell r="AW21">
            <v>0</v>
          </cell>
          <cell r="AX21">
            <v>-39.975264850871753</v>
          </cell>
          <cell r="AY21">
            <v>0</v>
          </cell>
          <cell r="AZ21">
            <v>131.18826485087175</v>
          </cell>
          <cell r="BA21">
            <v>1.2073399999999999</v>
          </cell>
          <cell r="BB21">
            <v>-10.058450000000001</v>
          </cell>
          <cell r="BC21">
            <v>-0.22254000000000002</v>
          </cell>
          <cell r="BD21">
            <v>0</v>
          </cell>
          <cell r="BE21">
            <v>563.02054999999996</v>
          </cell>
          <cell r="BF21">
            <v>-64.99399000000794</v>
          </cell>
          <cell r="BG21">
            <v>2.9182599999999965</v>
          </cell>
          <cell r="BH21">
            <v>-2539.2877599999997</v>
          </cell>
          <cell r="BI21">
            <v>-54.163709999999995</v>
          </cell>
          <cell r="BJ21">
            <v>0</v>
          </cell>
          <cell r="BK21">
            <v>-171.63838000000402</v>
          </cell>
        </row>
        <row r="22">
          <cell r="C22">
            <v>17593.410430000004</v>
          </cell>
          <cell r="N22">
            <v>14344.922869999999</v>
          </cell>
          <cell r="O22">
            <v>7.2663399999999996</v>
          </cell>
          <cell r="P22">
            <v>0</v>
          </cell>
          <cell r="Q22">
            <v>-250.923</v>
          </cell>
          <cell r="R22">
            <v>13.668000000000001</v>
          </cell>
          <cell r="S22">
            <v>-1137.4261099999999</v>
          </cell>
          <cell r="T22">
            <v>-187.86560000000006</v>
          </cell>
          <cell r="U22">
            <v>0</v>
          </cell>
          <cell r="V22">
            <v>-8410.5543200000011</v>
          </cell>
          <cell r="W22">
            <v>0</v>
          </cell>
          <cell r="X22">
            <v>-1259.7240000000002</v>
          </cell>
          <cell r="Y22">
            <v>-157.48609999999999</v>
          </cell>
          <cell r="Z22">
            <v>748.00459000000001</v>
          </cell>
          <cell r="AA22">
            <v>19.7591</v>
          </cell>
          <cell r="AB22">
            <v>-30</v>
          </cell>
          <cell r="AC22">
            <v>-13769.8511</v>
          </cell>
          <cell r="AD22">
            <v>138.22659999999999</v>
          </cell>
          <cell r="AE22">
            <v>-547.14274999999998</v>
          </cell>
          <cell r="AF22">
            <v>-652.68590000000006</v>
          </cell>
          <cell r="AG22">
            <v>0</v>
          </cell>
          <cell r="AH22">
            <v>15203.337619999995</v>
          </cell>
          <cell r="AI22">
            <v>-88.012529999999984</v>
          </cell>
          <cell r="AJ22">
            <v>914.17419000000007</v>
          </cell>
          <cell r="AK22">
            <v>64.218809999999991</v>
          </cell>
          <cell r="AL22">
            <v>-2360.5081600000003</v>
          </cell>
          <cell r="AM22">
            <v>1351.19372</v>
          </cell>
          <cell r="AN22">
            <v>-1001.1050799999997</v>
          </cell>
          <cell r="AO22">
            <v>-971.38998000000015</v>
          </cell>
          <cell r="AP22">
            <v>-143.42991000000001</v>
          </cell>
          <cell r="AQ22">
            <v>-714.01109999999994</v>
          </cell>
          <cell r="AR22">
            <v>-457.51844999999997</v>
          </cell>
          <cell r="AT22">
            <v>-1292.5770399999997</v>
          </cell>
          <cell r="AU22">
            <v>11.09778</v>
          </cell>
          <cell r="AV22">
            <v>0</v>
          </cell>
          <cell r="AW22">
            <v>0</v>
          </cell>
          <cell r="AX22">
            <v>-9.1410000000000053</v>
          </cell>
          <cell r="AY22">
            <v>0</v>
          </cell>
          <cell r="AZ22">
            <v>153.32499999999999</v>
          </cell>
          <cell r="BA22">
            <v>2.1620999999999997</v>
          </cell>
          <cell r="BB22">
            <v>-11.152749999999999</v>
          </cell>
          <cell r="BC22">
            <v>-0.27609</v>
          </cell>
          <cell r="BD22">
            <v>0</v>
          </cell>
          <cell r="BE22">
            <v>1629.9663399999999</v>
          </cell>
          <cell r="BF22">
            <v>-1650.4395399999828</v>
          </cell>
          <cell r="BG22">
            <v>173.6097</v>
          </cell>
          <cell r="BH22">
            <v>-139.88186999999996</v>
          </cell>
          <cell r="BI22">
            <v>-21.992439999999995</v>
          </cell>
          <cell r="BJ22">
            <v>0</v>
          </cell>
          <cell r="BK22">
            <v>-490.16205999999028</v>
          </cell>
        </row>
        <row r="23">
          <cell r="C23">
            <v>17898.638255777369</v>
          </cell>
          <cell r="N23">
            <v>14520.999154972349</v>
          </cell>
          <cell r="O23">
            <v>-2720.0482303583503</v>
          </cell>
          <cell r="P23">
            <v>0</v>
          </cell>
          <cell r="Q23">
            <v>-600.89854022018199</v>
          </cell>
          <cell r="R23">
            <v>0</v>
          </cell>
          <cell r="S23">
            <v>-1236.3313934194111</v>
          </cell>
          <cell r="T23">
            <v>-213.38074035579621</v>
          </cell>
          <cell r="U23">
            <v>0</v>
          </cell>
          <cell r="V23">
            <v>-4135.4400657969654</v>
          </cell>
          <cell r="W23">
            <v>0</v>
          </cell>
          <cell r="X23">
            <v>-1090.9168089647844</v>
          </cell>
          <cell r="Y23">
            <v>-133.40201698784546</v>
          </cell>
          <cell r="Z23">
            <v>532.14575270376326</v>
          </cell>
          <cell r="AA23">
            <v>0</v>
          </cell>
          <cell r="AB23">
            <v>0</v>
          </cell>
          <cell r="AC23">
            <v>-5505.6903175923362</v>
          </cell>
          <cell r="AD23">
            <v>0</v>
          </cell>
          <cell r="AE23">
            <v>0</v>
          </cell>
          <cell r="AF23">
            <v>-390.26165404282938</v>
          </cell>
          <cell r="AG23">
            <v>0</v>
          </cell>
          <cell r="AH23">
            <v>5924.4519716351642</v>
          </cell>
          <cell r="AI23">
            <v>133.40201698784546</v>
          </cell>
          <cell r="AJ23">
            <v>0</v>
          </cell>
          <cell r="AK23">
            <v>0</v>
          </cell>
          <cell r="AL23">
            <v>-2135.2060282296111</v>
          </cell>
          <cell r="AM23">
            <v>0</v>
          </cell>
          <cell r="AN23">
            <v>0</v>
          </cell>
          <cell r="AO23">
            <v>-1062.4722727264586</v>
          </cell>
          <cell r="AP23">
            <v>-110.06348134673756</v>
          </cell>
          <cell r="AQ23">
            <v>-802.3303146026974</v>
          </cell>
          <cell r="AR23">
            <v>-518.32019458339846</v>
          </cell>
          <cell r="AT23">
            <v>-1156.8008355890215</v>
          </cell>
          <cell r="AU23">
            <v>223.18473654332809</v>
          </cell>
          <cell r="AV23">
            <v>0</v>
          </cell>
          <cell r="AW23">
            <v>65.360187545812806</v>
          </cell>
          <cell r="AX23">
            <v>-87.94211868341921</v>
          </cell>
          <cell r="AY23">
            <v>0</v>
          </cell>
          <cell r="AZ23">
            <v>118.65984431363606</v>
          </cell>
          <cell r="BA23">
            <v>4.6989988128924427</v>
          </cell>
          <cell r="BB23">
            <v>-19.473601419575722</v>
          </cell>
          <cell r="BC23">
            <v>0</v>
          </cell>
          <cell r="BD23">
            <v>0</v>
          </cell>
          <cell r="BE23">
            <v>-78.030477910403846</v>
          </cell>
          <cell r="BF23">
            <v>-470.46952208959618</v>
          </cell>
          <cell r="BG23">
            <v>-4.6989988128924427</v>
          </cell>
          <cell r="BH23">
            <v>0</v>
          </cell>
          <cell r="BI23">
            <v>0</v>
          </cell>
          <cell r="BJ23">
            <v>0</v>
          </cell>
          <cell r="BK23">
            <v>-949.27495021751974</v>
          </cell>
        </row>
        <row r="25">
          <cell r="C25">
            <v>14137.034029999995</v>
          </cell>
          <cell r="N25">
            <v>11261.222739999992</v>
          </cell>
          <cell r="O25">
            <v>-3021.1830200000004</v>
          </cell>
          <cell r="P25">
            <v>-9.9448799999999995</v>
          </cell>
          <cell r="Q25">
            <v>0</v>
          </cell>
          <cell r="R25">
            <v>101.32453</v>
          </cell>
          <cell r="S25">
            <v>-623.4555499999999</v>
          </cell>
          <cell r="T25">
            <v>-62.65146</v>
          </cell>
          <cell r="U25">
            <v>0</v>
          </cell>
          <cell r="V25">
            <v>-4081.2516799999994</v>
          </cell>
          <cell r="W25">
            <v>-13.985760000000001</v>
          </cell>
          <cell r="X25">
            <v>0</v>
          </cell>
          <cell r="Y25">
            <v>-6.4724399999999997</v>
          </cell>
          <cell r="Z25">
            <v>59.914230000000003</v>
          </cell>
          <cell r="AA25">
            <v>8.8070000000000009E-2</v>
          </cell>
          <cell r="AB25">
            <v>-150</v>
          </cell>
          <cell r="AC25">
            <v>-4989.1122399999995</v>
          </cell>
          <cell r="AD25">
            <v>1030.70892</v>
          </cell>
          <cell r="AE25">
            <v>-157.67520999999999</v>
          </cell>
          <cell r="AF25">
            <v>-145.73194000000001</v>
          </cell>
          <cell r="AG25">
            <v>0</v>
          </cell>
          <cell r="AH25">
            <v>4822.52574</v>
          </cell>
          <cell r="AI25">
            <v>47.576600000000013</v>
          </cell>
          <cell r="AJ25">
            <v>24.63328000000002</v>
          </cell>
          <cell r="AK25">
            <v>0.83886000000000016</v>
          </cell>
          <cell r="AL25">
            <v>-2348.0270800000026</v>
          </cell>
          <cell r="AM25">
            <v>1235.82864</v>
          </cell>
          <cell r="AN25">
            <v>-837.5252200000001</v>
          </cell>
          <cell r="AO25">
            <v>-960.90242999999987</v>
          </cell>
          <cell r="AP25">
            <v>-104.83774</v>
          </cell>
          <cell r="AQ25">
            <v>-657.58570999999995</v>
          </cell>
          <cell r="AR25">
            <v>-394.07866000000001</v>
          </cell>
          <cell r="AT25">
            <v>-83.409540000000007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0.54513</v>
          </cell>
          <cell r="BH25">
            <v>-1.6330000000000001E-2</v>
          </cell>
          <cell r="BI25">
            <v>-3.7199999999999998E-3</v>
          </cell>
          <cell r="BJ25">
            <v>0</v>
          </cell>
          <cell r="BK25">
            <v>-62.643870000008747</v>
          </cell>
        </row>
        <row r="26">
          <cell r="C26">
            <v>15591.294820000006</v>
          </cell>
          <cell r="N26">
            <v>11862.410830000004</v>
          </cell>
          <cell r="O26">
            <v>-3088.1217099999999</v>
          </cell>
          <cell r="P26">
            <v>0</v>
          </cell>
          <cell r="Q26">
            <v>0</v>
          </cell>
          <cell r="R26">
            <v>176.25167000000002</v>
          </cell>
          <cell r="S26">
            <v>-764.59743000000003</v>
          </cell>
          <cell r="T26">
            <v>-58.181369999999994</v>
          </cell>
          <cell r="U26">
            <v>0</v>
          </cell>
          <cell r="V26">
            <v>-4985.46533</v>
          </cell>
          <cell r="W26">
            <v>0</v>
          </cell>
          <cell r="X26">
            <v>0</v>
          </cell>
          <cell r="Y26">
            <v>-37.606580000000001</v>
          </cell>
          <cell r="Z26">
            <v>82.033179999999987</v>
          </cell>
          <cell r="AA26">
            <v>0.60797000000000001</v>
          </cell>
          <cell r="AB26">
            <v>-270</v>
          </cell>
          <cell r="AC26">
            <v>-6192.1197700000012</v>
          </cell>
          <cell r="AD26">
            <v>1584.5081699999998</v>
          </cell>
          <cell r="AE26">
            <v>-192.70874999999998</v>
          </cell>
          <cell r="AF26">
            <v>-189.327</v>
          </cell>
          <cell r="AG26">
            <v>0</v>
          </cell>
          <cell r="AH26">
            <v>5659.3961799999997</v>
          </cell>
          <cell r="AI26">
            <v>54.320740000000015</v>
          </cell>
          <cell r="AJ26">
            <v>-69.367220000000003</v>
          </cell>
          <cell r="AK26">
            <v>-0.65177000000000007</v>
          </cell>
          <cell r="AL26">
            <v>-2549.6801199999982</v>
          </cell>
          <cell r="AM26">
            <v>1360.6706599999998</v>
          </cell>
          <cell r="AN26">
            <v>-844.5073799999999</v>
          </cell>
          <cell r="AO26">
            <v>-824.95344</v>
          </cell>
          <cell r="AP26">
            <v>-114.55064</v>
          </cell>
          <cell r="AQ26">
            <v>-548.35348999999997</v>
          </cell>
          <cell r="AR26">
            <v>-375.83284000000003</v>
          </cell>
          <cell r="AT26">
            <v>-125.08499999999999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-0.88532</v>
          </cell>
          <cell r="BF26">
            <v>-7.3619999999999992</v>
          </cell>
          <cell r="BG26">
            <v>-1.915E-2</v>
          </cell>
          <cell r="BH26">
            <v>-1.75E-3</v>
          </cell>
          <cell r="BI26">
            <v>1.0000000000000001E-5</v>
          </cell>
          <cell r="BJ26">
            <v>0</v>
          </cell>
          <cell r="BK26">
            <v>-459.17864999999466</v>
          </cell>
        </row>
        <row r="27">
          <cell r="C27">
            <v>15026.638435819481</v>
          </cell>
          <cell r="N27">
            <v>11664.135320954661</v>
          </cell>
          <cell r="O27">
            <v>-5634.556979228566</v>
          </cell>
          <cell r="P27">
            <v>-263.30801373170476</v>
          </cell>
          <cell r="Q27">
            <v>0</v>
          </cell>
          <cell r="R27">
            <v>0</v>
          </cell>
          <cell r="S27">
            <v>-917.04034765188135</v>
          </cell>
          <cell r="T27">
            <v>-240.42352383203865</v>
          </cell>
          <cell r="U27">
            <v>0</v>
          </cell>
          <cell r="V27">
            <v>-864.10005339284135</v>
          </cell>
          <cell r="W27">
            <v>-47.659721262345187</v>
          </cell>
          <cell r="X27">
            <v>0</v>
          </cell>
          <cell r="Y27">
            <v>-27.190975124348967</v>
          </cell>
          <cell r="Z27">
            <v>11.34460628512525</v>
          </cell>
          <cell r="AA27">
            <v>0</v>
          </cell>
          <cell r="AB27">
            <v>0</v>
          </cell>
          <cell r="AC27">
            <v>-1256.1230472460329</v>
          </cell>
          <cell r="AD27">
            <v>0</v>
          </cell>
          <cell r="AE27">
            <v>0</v>
          </cell>
          <cell r="AF27">
            <v>-130.56877360403809</v>
          </cell>
          <cell r="AG27">
            <v>0</v>
          </cell>
          <cell r="AH27">
            <v>1400.6918208500708</v>
          </cell>
          <cell r="AI27">
            <v>27.190975124348967</v>
          </cell>
          <cell r="AJ27">
            <v>0</v>
          </cell>
          <cell r="AK27">
            <v>0</v>
          </cell>
          <cell r="AL27">
            <v>-2024.2607342278134</v>
          </cell>
          <cell r="AM27">
            <v>0</v>
          </cell>
          <cell r="AN27">
            <v>0</v>
          </cell>
          <cell r="AO27">
            <v>-925.60330913430289</v>
          </cell>
          <cell r="AP27">
            <v>-88.650708473938053</v>
          </cell>
          <cell r="AQ27">
            <v>-691.32526887042673</v>
          </cell>
          <cell r="AR27">
            <v>-449.28313377111954</v>
          </cell>
          <cell r="AT27">
            <v>-278.3189557755328</v>
          </cell>
          <cell r="AU27">
            <v>7.3839004772647474</v>
          </cell>
          <cell r="AV27">
            <v>40.7941993105458</v>
          </cell>
          <cell r="AW27">
            <v>0</v>
          </cell>
          <cell r="AX27">
            <v>-7.3839004772647456</v>
          </cell>
          <cell r="AY27">
            <v>7.3839004772647456</v>
          </cell>
          <cell r="AZ27">
            <v>0</v>
          </cell>
          <cell r="BA27">
            <v>3.3391800247488689E-2</v>
          </cell>
          <cell r="BB27">
            <v>-1.4473621608180793E-2</v>
          </cell>
          <cell r="BC27">
            <v>0</v>
          </cell>
          <cell r="BD27">
            <v>0</v>
          </cell>
          <cell r="BE27">
            <v>1.6722744193738424</v>
          </cell>
          <cell r="BF27">
            <v>-1.6722744193738424</v>
          </cell>
          <cell r="BG27">
            <v>-3.3391800247488689E-2</v>
          </cell>
          <cell r="BH27">
            <v>0</v>
          </cell>
          <cell r="BI27">
            <v>0</v>
          </cell>
          <cell r="BJ27">
            <v>0</v>
          </cell>
          <cell r="BK27">
            <v>-686.88719594652139</v>
          </cell>
        </row>
        <row r="29">
          <cell r="C29">
            <v>30431.104309999999</v>
          </cell>
          <cell r="N29">
            <v>24995.949950000002</v>
          </cell>
          <cell r="O29">
            <v>-3274.9525200000003</v>
          </cell>
          <cell r="P29">
            <v>-9.9448799999999995</v>
          </cell>
          <cell r="Q29">
            <v>0</v>
          </cell>
          <cell r="R29">
            <v>101.32451999999999</v>
          </cell>
          <cell r="S29">
            <v>-1404.1776399999999</v>
          </cell>
          <cell r="T29">
            <v>-199.13839000000002</v>
          </cell>
          <cell r="U29">
            <v>0</v>
          </cell>
          <cell r="V29">
            <v>-12220.730946726379</v>
          </cell>
          <cell r="W29">
            <v>-13.985760000000001</v>
          </cell>
          <cell r="X29">
            <v>-1602.3310732736215</v>
          </cell>
          <cell r="Y29">
            <v>-133.18244000000001</v>
          </cell>
          <cell r="Z29">
            <v>1134.1845300000002</v>
          </cell>
          <cell r="AA29">
            <v>22.937580000000001</v>
          </cell>
          <cell r="AB29">
            <v>-1850</v>
          </cell>
          <cell r="AC29">
            <v>-13326.601889999998</v>
          </cell>
          <cell r="AD29">
            <v>1278.80243</v>
          </cell>
          <cell r="AE29">
            <v>-516.39483999999993</v>
          </cell>
          <cell r="AF29">
            <v>-720.03836999999976</v>
          </cell>
          <cell r="AG29">
            <v>0</v>
          </cell>
          <cell r="AH29">
            <v>2395.219109999995</v>
          </cell>
          <cell r="AI29">
            <v>1255.14804</v>
          </cell>
          <cell r="AJ29">
            <v>15032.152</v>
          </cell>
          <cell r="AK29">
            <v>165.51254999999998</v>
          </cell>
          <cell r="AL29">
            <v>-4479.8897600000028</v>
          </cell>
          <cell r="AM29">
            <v>2440.6613500000003</v>
          </cell>
          <cell r="AN29">
            <v>-1798.7511500000007</v>
          </cell>
          <cell r="AO29">
            <v>-2052.1619899999996</v>
          </cell>
          <cell r="AP29">
            <v>-228.16343999999998</v>
          </cell>
          <cell r="AQ29">
            <v>-1416.51991</v>
          </cell>
          <cell r="AR29">
            <v>-857.16120999999998</v>
          </cell>
          <cell r="AT29">
            <v>-942.92824999999993</v>
          </cell>
          <cell r="AU29">
            <v>0.72236999999999996</v>
          </cell>
          <cell r="AV29">
            <v>0</v>
          </cell>
          <cell r="AW29">
            <v>0</v>
          </cell>
          <cell r="AX29">
            <v>-39.975264850871753</v>
          </cell>
          <cell r="AY29">
            <v>0</v>
          </cell>
          <cell r="AZ29">
            <v>131.18826485087175</v>
          </cell>
          <cell r="BA29">
            <v>1.2073399999999999</v>
          </cell>
          <cell r="BB29">
            <v>-10.058450000000001</v>
          </cell>
          <cell r="BC29">
            <v>-0.22254000000000002</v>
          </cell>
          <cell r="BD29">
            <v>0</v>
          </cell>
          <cell r="BE29">
            <v>563.02054999999996</v>
          </cell>
          <cell r="BF29">
            <v>-64.99399000000794</v>
          </cell>
          <cell r="BG29">
            <v>3.4633899999999964</v>
          </cell>
          <cell r="BH29">
            <v>-2539.3040899999996</v>
          </cell>
          <cell r="BI29">
            <v>-54.167429999999996</v>
          </cell>
          <cell r="BJ29">
            <v>0</v>
          </cell>
          <cell r="BK29">
            <v>-234.28225000001277</v>
          </cell>
        </row>
        <row r="30">
          <cell r="C30">
            <v>33184.705250000014</v>
          </cell>
          <cell r="N30">
            <v>26207.333700000003</v>
          </cell>
          <cell r="O30">
            <v>-3080.8553699999998</v>
          </cell>
          <cell r="P30">
            <v>0</v>
          </cell>
          <cell r="Q30">
            <v>-250.923</v>
          </cell>
          <cell r="R30">
            <v>189.91967000000002</v>
          </cell>
          <cell r="S30">
            <v>-1902.0235399999999</v>
          </cell>
          <cell r="T30">
            <v>-246.04697000000004</v>
          </cell>
          <cell r="U30">
            <v>0</v>
          </cell>
          <cell r="V30">
            <v>-13396.019650000002</v>
          </cell>
          <cell r="W30">
            <v>0</v>
          </cell>
          <cell r="X30">
            <v>-1259.7240000000002</v>
          </cell>
          <cell r="Y30">
            <v>-195.09268</v>
          </cell>
          <cell r="Z30">
            <v>830.03777000000002</v>
          </cell>
          <cell r="AA30">
            <v>20.367070000000002</v>
          </cell>
          <cell r="AB30">
            <v>-300</v>
          </cell>
          <cell r="AC30">
            <v>-19961.970870000001</v>
          </cell>
          <cell r="AD30">
            <v>1722.7347699999998</v>
          </cell>
          <cell r="AE30">
            <v>-739.85149999999999</v>
          </cell>
          <cell r="AF30">
            <v>-842.01290000000006</v>
          </cell>
          <cell r="AG30">
            <v>0</v>
          </cell>
          <cell r="AH30">
            <v>20862.733799999995</v>
          </cell>
          <cell r="AI30">
            <v>-33.691789999999969</v>
          </cell>
          <cell r="AJ30">
            <v>844.80697000000009</v>
          </cell>
          <cell r="AK30">
            <v>63.567039999999992</v>
          </cell>
          <cell r="AL30">
            <v>-4910.1882799999985</v>
          </cell>
          <cell r="AM30">
            <v>2711.86438</v>
          </cell>
          <cell r="AN30">
            <v>-1845.6124599999996</v>
          </cell>
          <cell r="AO30">
            <v>-1796.3434200000002</v>
          </cell>
          <cell r="AP30">
            <v>-257.98054999999999</v>
          </cell>
          <cell r="AQ30">
            <v>-1262.3645899999999</v>
          </cell>
          <cell r="AR30">
            <v>-833.35129000000006</v>
          </cell>
          <cell r="AT30">
            <v>-1417.6620399999997</v>
          </cell>
          <cell r="AU30">
            <v>11.09778</v>
          </cell>
          <cell r="AV30">
            <v>0</v>
          </cell>
          <cell r="AW30">
            <v>0</v>
          </cell>
          <cell r="AX30">
            <v>-9.1410000000000053</v>
          </cell>
          <cell r="AY30">
            <v>0</v>
          </cell>
          <cell r="AZ30">
            <v>153.32499999999999</v>
          </cell>
          <cell r="BA30">
            <v>2.1620999999999997</v>
          </cell>
          <cell r="BB30">
            <v>-11.152749999999999</v>
          </cell>
          <cell r="BC30">
            <v>-0.27609</v>
          </cell>
          <cell r="BD30">
            <v>0</v>
          </cell>
          <cell r="BE30">
            <v>1629.0810199999999</v>
          </cell>
          <cell r="BF30">
            <v>-1657.8015399999829</v>
          </cell>
          <cell r="BG30">
            <v>173.59055000000001</v>
          </cell>
          <cell r="BH30">
            <v>-139.88361999999995</v>
          </cell>
          <cell r="BI30">
            <v>-21.992429999999995</v>
          </cell>
          <cell r="BJ30">
            <v>0</v>
          </cell>
          <cell r="BK30">
            <v>-949.34070999998494</v>
          </cell>
        </row>
        <row r="31">
          <cell r="C31">
            <v>32925.276691596853</v>
          </cell>
          <cell r="N31">
            <v>26185.13447592701</v>
          </cell>
          <cell r="O31">
            <v>-8354.6052095869163</v>
          </cell>
          <cell r="P31">
            <v>-263.30801373170476</v>
          </cell>
          <cell r="Q31">
            <v>-600.89854022018199</v>
          </cell>
          <cell r="R31">
            <v>0</v>
          </cell>
          <cell r="S31">
            <v>-2153.3717410712925</v>
          </cell>
          <cell r="T31">
            <v>-453.80426418783486</v>
          </cell>
          <cell r="U31">
            <v>0</v>
          </cell>
          <cell r="V31">
            <v>-4999.5401191898072</v>
          </cell>
          <cell r="W31">
            <v>-47.659721262345187</v>
          </cell>
          <cell r="X31">
            <v>-1090.9168089647844</v>
          </cell>
          <cell r="Y31">
            <v>-160.59299211219442</v>
          </cell>
          <cell r="Z31">
            <v>543.49035898888849</v>
          </cell>
          <cell r="AA31">
            <v>0</v>
          </cell>
          <cell r="AB31">
            <v>0</v>
          </cell>
          <cell r="AC31">
            <v>-6761.8133648383691</v>
          </cell>
          <cell r="AD31">
            <v>0</v>
          </cell>
          <cell r="AE31">
            <v>0</v>
          </cell>
          <cell r="AF31">
            <v>-520.83042764686752</v>
          </cell>
          <cell r="AG31">
            <v>0</v>
          </cell>
          <cell r="AH31">
            <v>7325.1437924852353</v>
          </cell>
          <cell r="AI31">
            <v>160.59299211219442</v>
          </cell>
          <cell r="AJ31">
            <v>0</v>
          </cell>
          <cell r="AK31">
            <v>0</v>
          </cell>
          <cell r="AL31">
            <v>-4159.4667624574249</v>
          </cell>
          <cell r="AM31">
            <v>0</v>
          </cell>
          <cell r="AN31">
            <v>0</v>
          </cell>
          <cell r="AO31">
            <v>-1988.0755818607615</v>
          </cell>
          <cell r="AP31">
            <v>-198.71418982067561</v>
          </cell>
          <cell r="AQ31">
            <v>-1493.6555834731241</v>
          </cell>
          <cell r="AR31">
            <v>-967.603328354518</v>
          </cell>
          <cell r="AT31">
            <v>-1435.1197913645542</v>
          </cell>
          <cell r="AU31">
            <v>230.56863702059283</v>
          </cell>
          <cell r="AV31">
            <v>40.7941993105458</v>
          </cell>
          <cell r="AW31">
            <v>65.360187545812806</v>
          </cell>
          <cell r="AX31">
            <v>-95.326019160683956</v>
          </cell>
          <cell r="AY31">
            <v>7.3839004772647456</v>
          </cell>
          <cell r="AZ31">
            <v>118.65984431363606</v>
          </cell>
          <cell r="BA31">
            <v>4.7323906131399314</v>
          </cell>
          <cell r="BB31">
            <v>-19.488075041183905</v>
          </cell>
          <cell r="BC31">
            <v>0</v>
          </cell>
          <cell r="BD31">
            <v>0</v>
          </cell>
          <cell r="BE31">
            <v>-76.358203491029997</v>
          </cell>
          <cell r="BF31">
            <v>-472.14179650897</v>
          </cell>
          <cell r="BG31">
            <v>-4.7323906131399314</v>
          </cell>
          <cell r="BH31">
            <v>0</v>
          </cell>
          <cell r="BI31">
            <v>0</v>
          </cell>
          <cell r="BJ31">
            <v>0</v>
          </cell>
          <cell r="BK31">
            <v>-1636.1621461640411</v>
          </cell>
        </row>
        <row r="33">
          <cell r="C33">
            <v>36753.020719999993</v>
          </cell>
          <cell r="N33">
            <v>26288.031939999997</v>
          </cell>
          <cell r="O33">
            <v>-1106.55629</v>
          </cell>
          <cell r="P33">
            <v>-95.090830000000025</v>
          </cell>
          <cell r="Q33">
            <v>0</v>
          </cell>
          <cell r="R33">
            <v>39.280279999999998</v>
          </cell>
          <cell r="S33">
            <v>-731.90985000000001</v>
          </cell>
          <cell r="T33">
            <v>-76.046350000000018</v>
          </cell>
          <cell r="U33">
            <v>0</v>
          </cell>
          <cell r="V33">
            <v>-6172.5776051317644</v>
          </cell>
          <cell r="W33">
            <v>-128.68622999999999</v>
          </cell>
          <cell r="X33">
            <v>-2556.1094648682351</v>
          </cell>
          <cell r="Y33">
            <v>-59.829570000000004</v>
          </cell>
          <cell r="Z33">
            <v>295.85717</v>
          </cell>
          <cell r="AA33">
            <v>2.6938599999999999</v>
          </cell>
          <cell r="AB33">
            <v>0</v>
          </cell>
          <cell r="AC33">
            <v>-6944.2751900000003</v>
          </cell>
          <cell r="AD33">
            <v>1557.8128999999999</v>
          </cell>
          <cell r="AE33">
            <v>-179.07089000000002</v>
          </cell>
          <cell r="AF33">
            <v>-550.10784000000001</v>
          </cell>
          <cell r="AG33">
            <v>0</v>
          </cell>
          <cell r="AH33">
            <v>3465.9087300000019</v>
          </cell>
          <cell r="AI33">
            <v>774.48375999999985</v>
          </cell>
          <cell r="AJ33">
            <v>372.32604999999978</v>
          </cell>
          <cell r="AK33">
            <v>-11.528359999999999</v>
          </cell>
          <cell r="AL33">
            <v>-7726.1014500000047</v>
          </cell>
          <cell r="AM33">
            <v>4882.8934600000011</v>
          </cell>
          <cell r="AN33">
            <v>-3621.6098100000008</v>
          </cell>
          <cell r="AO33">
            <v>-2113.2635399999999</v>
          </cell>
          <cell r="AP33">
            <v>-261.00049999999999</v>
          </cell>
          <cell r="AQ33">
            <v>-1448.00325</v>
          </cell>
          <cell r="AR33">
            <v>-853.18124999999998</v>
          </cell>
          <cell r="AT33">
            <v>-2908.9444599999988</v>
          </cell>
          <cell r="AU33">
            <v>0</v>
          </cell>
          <cell r="AV33">
            <v>0</v>
          </cell>
          <cell r="AW33">
            <v>0</v>
          </cell>
          <cell r="AX33">
            <v>-229.72649261680365</v>
          </cell>
          <cell r="AY33">
            <v>0</v>
          </cell>
          <cell r="AZ33">
            <v>229.72649261680365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4.6453600000000028</v>
          </cell>
          <cell r="BF33">
            <v>4.0120099999991954</v>
          </cell>
          <cell r="BG33">
            <v>92.40782999999999</v>
          </cell>
          <cell r="BH33">
            <v>-113.36106999999998</v>
          </cell>
          <cell r="BI33">
            <v>-6.5717799999999995</v>
          </cell>
          <cell r="BJ33">
            <v>0</v>
          </cell>
          <cell r="BK33">
            <v>116.52776999999185</v>
          </cell>
        </row>
        <row r="34">
          <cell r="C34">
            <v>36190.519210000013</v>
          </cell>
          <cell r="N34">
            <v>26271.493589999991</v>
          </cell>
          <cell r="O34">
            <v>-1003.31237</v>
          </cell>
          <cell r="P34">
            <v>0</v>
          </cell>
          <cell r="Q34">
            <v>-300</v>
          </cell>
          <cell r="R34">
            <v>24.819680000000002</v>
          </cell>
          <cell r="S34">
            <v>-717.07707000000005</v>
          </cell>
          <cell r="T34">
            <v>-68.28783</v>
          </cell>
          <cell r="U34">
            <v>0</v>
          </cell>
          <cell r="V34">
            <v>-8449.6072299999996</v>
          </cell>
          <cell r="W34">
            <v>0</v>
          </cell>
          <cell r="X34">
            <v>-1303.92</v>
          </cell>
          <cell r="Y34">
            <v>-131.53876</v>
          </cell>
          <cell r="Z34">
            <v>331.33426000000003</v>
          </cell>
          <cell r="AA34">
            <v>5.4390699999999992</v>
          </cell>
          <cell r="AB34">
            <v>0</v>
          </cell>
          <cell r="AC34">
            <v>-8455.9600399999981</v>
          </cell>
          <cell r="AD34">
            <v>1605.9784299999999</v>
          </cell>
          <cell r="AE34">
            <v>-176.44675999999998</v>
          </cell>
          <cell r="AF34">
            <v>-701.56504999999993</v>
          </cell>
          <cell r="AG34">
            <v>0</v>
          </cell>
          <cell r="AH34">
            <v>12004.046340000001</v>
          </cell>
          <cell r="AI34">
            <v>322.83145999999999</v>
          </cell>
          <cell r="AJ34">
            <v>-84.679050000000004</v>
          </cell>
          <cell r="AK34">
            <v>-0.5125599999999999</v>
          </cell>
          <cell r="AL34">
            <v>-7650.8484799999896</v>
          </cell>
          <cell r="AM34">
            <v>4975.9253200000021</v>
          </cell>
          <cell r="AN34">
            <v>-3781.9234700000015</v>
          </cell>
          <cell r="AO34">
            <v>-1814.6723999999999</v>
          </cell>
          <cell r="AP34">
            <v>-255.98698000000002</v>
          </cell>
          <cell r="AQ34">
            <v>-1324.3199199999999</v>
          </cell>
          <cell r="AR34">
            <v>-791.99669999999992</v>
          </cell>
          <cell r="AT34">
            <v>-2904.2141700000047</v>
          </cell>
          <cell r="AU34">
            <v>0</v>
          </cell>
          <cell r="AV34">
            <v>0</v>
          </cell>
          <cell r="AW34">
            <v>0</v>
          </cell>
          <cell r="AX34">
            <v>-195.44900000000001</v>
          </cell>
          <cell r="AY34">
            <v>0</v>
          </cell>
          <cell r="AZ34">
            <v>195.44900000000001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531.81214999999997</v>
          </cell>
          <cell r="BF34">
            <v>-2093.1521200000007</v>
          </cell>
          <cell r="BG34">
            <v>-41.201909999999998</v>
          </cell>
          <cell r="BH34">
            <v>10.421099999999992</v>
          </cell>
          <cell r="BI34">
            <v>0.69438</v>
          </cell>
          <cell r="BJ34">
            <v>0</v>
          </cell>
          <cell r="BK34">
            <v>4033.572909999999</v>
          </cell>
        </row>
        <row r="35">
          <cell r="C35">
            <v>38217.444122685367</v>
          </cell>
          <cell r="N35">
            <v>28458.987140765996</v>
          </cell>
          <cell r="O35">
            <v>-6408.1459100338116</v>
          </cell>
          <cell r="P35">
            <v>-1730.3471282966721</v>
          </cell>
          <cell r="Q35">
            <v>-1505.8289735432406</v>
          </cell>
          <cell r="R35">
            <v>0</v>
          </cell>
          <cell r="S35">
            <v>-943.14409300509828</v>
          </cell>
          <cell r="T35">
            <v>-505.54800723458499</v>
          </cell>
          <cell r="U35">
            <v>0</v>
          </cell>
          <cell r="V35">
            <v>-1371.250944804425</v>
          </cell>
          <cell r="W35">
            <v>-1615.4650995615216</v>
          </cell>
          <cell r="X35">
            <v>-1405.8532608207261</v>
          </cell>
          <cell r="Y35">
            <v>-171.98612118825548</v>
          </cell>
          <cell r="Z35">
            <v>216.67169901363457</v>
          </cell>
          <cell r="AA35">
            <v>0</v>
          </cell>
          <cell r="AB35">
            <v>0</v>
          </cell>
          <cell r="AC35">
            <v>-6415.7122930519854</v>
          </cell>
          <cell r="AD35">
            <v>0</v>
          </cell>
          <cell r="AE35">
            <v>0</v>
          </cell>
          <cell r="AF35">
            <v>-555.93960797388172</v>
          </cell>
          <cell r="AG35">
            <v>0</v>
          </cell>
          <cell r="AH35">
            <v>7018.4019010258671</v>
          </cell>
          <cell r="AI35">
            <v>171.98612118825548</v>
          </cell>
          <cell r="AJ35">
            <v>0</v>
          </cell>
          <cell r="AK35">
            <v>0</v>
          </cell>
          <cell r="AL35">
            <v>-6988.1896156123266</v>
          </cell>
          <cell r="AM35">
            <v>0</v>
          </cell>
          <cell r="AN35">
            <v>0</v>
          </cell>
          <cell r="AO35">
            <v>-2158.6574606128452</v>
          </cell>
          <cell r="AP35">
            <v>-235.46045182885126</v>
          </cell>
          <cell r="AQ35">
            <v>-1513.4499572208238</v>
          </cell>
          <cell r="AR35">
            <v>-1001.9892476765652</v>
          </cell>
          <cell r="AT35">
            <v>-3222.6725523711784</v>
          </cell>
          <cell r="AU35">
            <v>798.79933269355786</v>
          </cell>
          <cell r="AV35">
            <v>720.3427472424471</v>
          </cell>
          <cell r="AW35">
            <v>135.26232388336049</v>
          </cell>
          <cell r="AX35">
            <v>-862.28535279623884</v>
          </cell>
          <cell r="AY35">
            <v>672.51740928882737</v>
          </cell>
          <cell r="AZ35">
            <v>126.28192340473052</v>
          </cell>
          <cell r="BA35">
            <v>16.608424676308772</v>
          </cell>
          <cell r="BB35">
            <v>-21.737518561896838</v>
          </cell>
          <cell r="BC35">
            <v>0</v>
          </cell>
          <cell r="BD35">
            <v>0</v>
          </cell>
          <cell r="BE35">
            <v>2527.1284892452572</v>
          </cell>
          <cell r="BF35">
            <v>-2527.1284892452572</v>
          </cell>
          <cell r="BG35">
            <v>-16.608424676308772</v>
          </cell>
          <cell r="BH35">
            <v>0</v>
          </cell>
          <cell r="BI35">
            <v>0</v>
          </cell>
          <cell r="BJ35">
            <v>0</v>
          </cell>
          <cell r="BK35">
            <v>-314.41299768825309</v>
          </cell>
        </row>
        <row r="37">
          <cell r="C37">
            <v>7532.4710100000029</v>
          </cell>
          <cell r="N37">
            <v>5375.610319999997</v>
          </cell>
          <cell r="O37">
            <v>-163.21939</v>
          </cell>
          <cell r="P37">
            <v>0</v>
          </cell>
          <cell r="Q37">
            <v>0</v>
          </cell>
          <cell r="R37">
            <v>0.35469000000000001</v>
          </cell>
          <cell r="S37">
            <v>-269.39062000000001</v>
          </cell>
          <cell r="T37">
            <v>-15.682830000000001</v>
          </cell>
          <cell r="U37">
            <v>0</v>
          </cell>
          <cell r="V37">
            <v>-1598.2227699999999</v>
          </cell>
          <cell r="W37">
            <v>-2.5</v>
          </cell>
          <cell r="X37">
            <v>-320</v>
          </cell>
          <cell r="Y37">
            <v>-22.424009999999999</v>
          </cell>
          <cell r="Z37">
            <v>137.89139</v>
          </cell>
          <cell r="AA37">
            <v>2.6191999999999998</v>
          </cell>
          <cell r="AB37">
            <v>0</v>
          </cell>
          <cell r="AC37">
            <v>-1754.8318999999999</v>
          </cell>
          <cell r="AD37">
            <v>22.623779999999996</v>
          </cell>
          <cell r="AE37">
            <v>-65.203270000000003</v>
          </cell>
          <cell r="AF37">
            <v>-314.86581000000001</v>
          </cell>
          <cell r="AG37">
            <v>0</v>
          </cell>
          <cell r="AH37">
            <v>1881.9250699999998</v>
          </cell>
          <cell r="AI37">
            <v>544.82676999999978</v>
          </cell>
          <cell r="AJ37">
            <v>230.24743999999998</v>
          </cell>
          <cell r="AK37">
            <v>-22.678429999999999</v>
          </cell>
          <cell r="AL37">
            <v>-1239.5426200000015</v>
          </cell>
          <cell r="AM37">
            <v>561.50204000000008</v>
          </cell>
          <cell r="AN37">
            <v>-274.10121000000078</v>
          </cell>
          <cell r="AO37">
            <v>-522.47847000000002</v>
          </cell>
          <cell r="AP37">
            <v>-62.442259999999997</v>
          </cell>
          <cell r="AQ37">
            <v>-803.39861000000008</v>
          </cell>
          <cell r="AR37">
            <v>-235.98412000000002</v>
          </cell>
          <cell r="AT37">
            <v>-742.91940000000318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5.5778400000000046</v>
          </cell>
          <cell r="BF37">
            <v>1.7140000000007993</v>
          </cell>
          <cell r="BG37">
            <v>39.603659999999998</v>
          </cell>
          <cell r="BH37">
            <v>-18.566659999999999</v>
          </cell>
          <cell r="BI37">
            <v>-2.4331299999999998</v>
          </cell>
          <cell r="BJ37">
            <v>0</v>
          </cell>
          <cell r="BK37">
            <v>353.61068999999128</v>
          </cell>
        </row>
        <row r="38">
          <cell r="C38">
            <v>8049.3241200000066</v>
          </cell>
          <cell r="N38">
            <v>5340.1845700000049</v>
          </cell>
          <cell r="O38">
            <v>-86.953140000000005</v>
          </cell>
          <cell r="P38">
            <v>0</v>
          </cell>
          <cell r="Q38">
            <v>0</v>
          </cell>
          <cell r="R38">
            <v>0</v>
          </cell>
          <cell r="S38">
            <v>-238.43051000000003</v>
          </cell>
          <cell r="T38">
            <v>-7.3249700000000004</v>
          </cell>
          <cell r="U38">
            <v>0</v>
          </cell>
          <cell r="V38">
            <v>-2096.7672299999999</v>
          </cell>
          <cell r="W38">
            <v>0</v>
          </cell>
          <cell r="X38">
            <v>0</v>
          </cell>
          <cell r="Y38">
            <v>-49.171410000000002</v>
          </cell>
          <cell r="Z38">
            <v>127.59916000000001</v>
          </cell>
          <cell r="AA38">
            <v>4.4460500000000005</v>
          </cell>
          <cell r="AB38">
            <v>0</v>
          </cell>
          <cell r="AC38">
            <v>-1288.31627</v>
          </cell>
          <cell r="AD38">
            <v>194.88556</v>
          </cell>
          <cell r="AE38">
            <v>-56.829070000000002</v>
          </cell>
          <cell r="AF38">
            <v>-253.64722999999995</v>
          </cell>
          <cell r="AG38">
            <v>0</v>
          </cell>
          <cell r="AH38">
            <v>228.33200999999983</v>
          </cell>
          <cell r="AI38">
            <v>-10.768669999999995</v>
          </cell>
          <cell r="AJ38">
            <v>133.09591</v>
          </cell>
          <cell r="AK38">
            <v>13.12208</v>
          </cell>
          <cell r="AL38">
            <v>-1229.2723300000007</v>
          </cell>
          <cell r="AM38">
            <v>565.96190000000001</v>
          </cell>
          <cell r="AN38">
            <v>-235.62870000000061</v>
          </cell>
          <cell r="AO38">
            <v>-432.91561999999999</v>
          </cell>
          <cell r="AP38">
            <v>-53.373989999999999</v>
          </cell>
          <cell r="AQ38">
            <v>-689.86728999999991</v>
          </cell>
          <cell r="AR38">
            <v>-205.15476999999998</v>
          </cell>
          <cell r="AT38">
            <v>-838.74194000000409</v>
          </cell>
          <cell r="AU38">
            <v>0</v>
          </cell>
          <cell r="AV38">
            <v>0</v>
          </cell>
          <cell r="AW38">
            <v>0</v>
          </cell>
          <cell r="AX38">
            <v>13.5</v>
          </cell>
          <cell r="AY38">
            <v>0</v>
          </cell>
          <cell r="AZ38">
            <v>0</v>
          </cell>
          <cell r="BA38">
            <v>0.28973000000000004</v>
          </cell>
          <cell r="BB38">
            <v>-0.82153999999999994</v>
          </cell>
          <cell r="BC38">
            <v>-2.2760000000000002E-2</v>
          </cell>
          <cell r="BD38">
            <v>0</v>
          </cell>
          <cell r="BE38">
            <v>3.7188099999999995</v>
          </cell>
          <cell r="BF38">
            <v>-106.26999999999896</v>
          </cell>
          <cell r="BG38">
            <v>-4.5278799999999988</v>
          </cell>
          <cell r="BH38">
            <v>2.2546899999999912</v>
          </cell>
          <cell r="BI38">
            <v>-0.86934999999999973</v>
          </cell>
          <cell r="BJ38">
            <v>0</v>
          </cell>
          <cell r="BK38">
            <v>-1258.2841999999987</v>
          </cell>
        </row>
        <row r="39">
          <cell r="C39">
            <v>9495.7032843232919</v>
          </cell>
          <cell r="N39">
            <v>6992.5416828876114</v>
          </cell>
          <cell r="O39">
            <v>-864.30047099960348</v>
          </cell>
          <cell r="P39">
            <v>-53.892490249435525</v>
          </cell>
          <cell r="Q39">
            <v>-147.80624679039107</v>
          </cell>
          <cell r="R39">
            <v>0</v>
          </cell>
          <cell r="S39">
            <v>-329.32188976254002</v>
          </cell>
          <cell r="T39">
            <v>-30.303347847692635</v>
          </cell>
          <cell r="U39">
            <v>0</v>
          </cell>
          <cell r="V39">
            <v>-1353.0016434822392</v>
          </cell>
          <cell r="W39">
            <v>-110.49130590970847</v>
          </cell>
          <cell r="X39">
            <v>-303.03489695679849</v>
          </cell>
          <cell r="Y39">
            <v>-46.546167866074157</v>
          </cell>
          <cell r="Z39">
            <v>119.79235967230099</v>
          </cell>
          <cell r="AA39">
            <v>0</v>
          </cell>
          <cell r="AB39">
            <v>0</v>
          </cell>
          <cell r="AC39">
            <v>102.39975356855703</v>
          </cell>
          <cell r="AD39">
            <v>0</v>
          </cell>
          <cell r="AE39">
            <v>0</v>
          </cell>
          <cell r="AF39">
            <v>-116.55036707159226</v>
          </cell>
          <cell r="AG39">
            <v>0</v>
          </cell>
          <cell r="AH39">
            <v>14.150613503035245</v>
          </cell>
          <cell r="AI39">
            <v>46.546167866074157</v>
          </cell>
          <cell r="AJ39">
            <v>0</v>
          </cell>
          <cell r="AK39">
            <v>0</v>
          </cell>
          <cell r="AL39">
            <v>-1296.6977135161885</v>
          </cell>
          <cell r="AM39">
            <v>0</v>
          </cell>
          <cell r="AN39">
            <v>0</v>
          </cell>
          <cell r="AO39">
            <v>-522.79650713094247</v>
          </cell>
          <cell r="AP39">
            <v>-41.125870074366503</v>
          </cell>
          <cell r="AQ39">
            <v>-847.12089818598747</v>
          </cell>
          <cell r="AR39">
            <v>-297.50306841374749</v>
          </cell>
          <cell r="AT39">
            <v>-757.71194562394487</v>
          </cell>
          <cell r="AU39">
            <v>114.89894428750105</v>
          </cell>
          <cell r="AV39">
            <v>22.435419949654879</v>
          </cell>
          <cell r="AW39">
            <v>33.606910111542298</v>
          </cell>
          <cell r="AX39">
            <v>-114.89894428750108</v>
          </cell>
          <cell r="AY39">
            <v>45.997481975627529</v>
          </cell>
          <cell r="AZ39">
            <v>68.901462311873559</v>
          </cell>
          <cell r="BA39">
            <v>2.6028082215747559</v>
          </cell>
          <cell r="BB39">
            <v>-6.9592146510890167</v>
          </cell>
          <cell r="BC39">
            <v>0</v>
          </cell>
          <cell r="BD39">
            <v>0</v>
          </cell>
          <cell r="BE39">
            <v>-1000.886118748023</v>
          </cell>
          <cell r="BF39">
            <v>1000.886118748023</v>
          </cell>
          <cell r="BG39">
            <v>-2.6028082215747559</v>
          </cell>
          <cell r="BH39">
            <v>0</v>
          </cell>
          <cell r="BI39">
            <v>0</v>
          </cell>
          <cell r="BJ39">
            <v>0</v>
          </cell>
          <cell r="BK39">
            <v>321.20780731393512</v>
          </cell>
        </row>
        <row r="41">
          <cell r="C41">
            <v>14455.829870000007</v>
          </cell>
          <cell r="N41">
            <v>7789.5508300000092</v>
          </cell>
          <cell r="O41">
            <v>-133.08731999999998</v>
          </cell>
          <cell r="P41">
            <v>0</v>
          </cell>
          <cell r="Q41">
            <v>0</v>
          </cell>
          <cell r="R41">
            <v>0</v>
          </cell>
          <cell r="S41">
            <v>-440.36162999999999</v>
          </cell>
          <cell r="T41">
            <v>-98.695729999999998</v>
          </cell>
          <cell r="U41">
            <v>0</v>
          </cell>
          <cell r="V41">
            <v>-3284.6727903617352</v>
          </cell>
          <cell r="W41">
            <v>-2.0423100000000001</v>
          </cell>
          <cell r="X41">
            <v>-677.50978963826481</v>
          </cell>
          <cell r="Y41">
            <v>-66.091200000000001</v>
          </cell>
          <cell r="Z41">
            <v>480.25378999999998</v>
          </cell>
          <cell r="AA41">
            <v>7.6509599999999995</v>
          </cell>
          <cell r="AB41">
            <v>0</v>
          </cell>
          <cell r="AC41">
            <v>-4203.6390499999998</v>
          </cell>
          <cell r="AD41">
            <v>292.35296</v>
          </cell>
          <cell r="AE41">
            <v>-324.82659000000001</v>
          </cell>
          <cell r="AF41">
            <v>-929.06090999999992</v>
          </cell>
          <cell r="AG41">
            <v>0</v>
          </cell>
          <cell r="AH41">
            <v>2070.6954000000005</v>
          </cell>
          <cell r="AI41">
            <v>1206.4986099999999</v>
          </cell>
          <cell r="AJ41">
            <v>1081.3958600000001</v>
          </cell>
          <cell r="AK41">
            <v>-95.923439999999999</v>
          </cell>
          <cell r="AL41">
            <v>-2879.3720499999999</v>
          </cell>
          <cell r="AM41">
            <v>1684.0683300000014</v>
          </cell>
          <cell r="AN41">
            <v>-491.72544999999991</v>
          </cell>
          <cell r="AO41">
            <v>-982.63623000000007</v>
          </cell>
          <cell r="AP41">
            <v>-105.90690000000002</v>
          </cell>
          <cell r="AQ41">
            <v>-544.39240999999993</v>
          </cell>
          <cell r="AR41">
            <v>-335.01585999999998</v>
          </cell>
          <cell r="AT41">
            <v>-510.58537999999976</v>
          </cell>
          <cell r="AU41">
            <v>158.95562000000001</v>
          </cell>
          <cell r="AV41">
            <v>0</v>
          </cell>
          <cell r="AW41">
            <v>0</v>
          </cell>
          <cell r="AX41">
            <v>49.629481538185914</v>
          </cell>
          <cell r="AY41">
            <v>0</v>
          </cell>
          <cell r="AZ41">
            <v>54.675518461814079</v>
          </cell>
          <cell r="BA41">
            <v>2.3705100000000003</v>
          </cell>
          <cell r="BB41">
            <v>-12.636230000000001</v>
          </cell>
          <cell r="BC41">
            <v>-0.27799000000000001</v>
          </cell>
          <cell r="BD41">
            <v>0</v>
          </cell>
          <cell r="BE41">
            <v>103.62525000000001</v>
          </cell>
          <cell r="BF41">
            <v>-132.32397999999992</v>
          </cell>
          <cell r="BG41">
            <v>96.077730000000003</v>
          </cell>
          <cell r="BH41">
            <v>-134.58362000000002</v>
          </cell>
          <cell r="BI41">
            <v>0.17158999999999969</v>
          </cell>
          <cell r="BJ41">
            <v>0</v>
          </cell>
          <cell r="BK41">
            <v>-1307.3944199999887</v>
          </cell>
        </row>
        <row r="42">
          <cell r="C42">
            <v>14608.113019999999</v>
          </cell>
          <cell r="N42">
            <v>7958.1210999999948</v>
          </cell>
          <cell r="O42">
            <v>-88.853639999999999</v>
          </cell>
          <cell r="P42">
            <v>0</v>
          </cell>
          <cell r="Q42">
            <v>0</v>
          </cell>
          <cell r="R42">
            <v>0</v>
          </cell>
          <cell r="S42">
            <v>-458.81180000000006</v>
          </cell>
          <cell r="T42">
            <v>-12.718159999999999</v>
          </cell>
          <cell r="U42">
            <v>0</v>
          </cell>
          <cell r="V42">
            <v>-4019.3971700000006</v>
          </cell>
          <cell r="W42">
            <v>0</v>
          </cell>
          <cell r="X42">
            <v>-196.21800000000002</v>
          </cell>
          <cell r="Y42">
            <v>-134.69646</v>
          </cell>
          <cell r="Z42">
            <v>458.02242999999999</v>
          </cell>
          <cell r="AA42">
            <v>15.144690000000001</v>
          </cell>
          <cell r="AB42">
            <v>0</v>
          </cell>
          <cell r="AC42">
            <v>-5879.2067200000001</v>
          </cell>
          <cell r="AD42">
            <v>597.63092000000006</v>
          </cell>
          <cell r="AE42">
            <v>-354.78044</v>
          </cell>
          <cell r="AF42">
            <v>-751.75383999999997</v>
          </cell>
          <cell r="AG42">
            <v>0</v>
          </cell>
          <cell r="AH42">
            <v>5738.0402299999987</v>
          </cell>
          <cell r="AI42">
            <v>1623.3673299999998</v>
          </cell>
          <cell r="AJ42">
            <v>-1520.4645300000002</v>
          </cell>
          <cell r="AK42">
            <v>-97.772799999999961</v>
          </cell>
          <cell r="AL42">
            <v>-2921.9552800000029</v>
          </cell>
          <cell r="AM42">
            <v>1696.0222000000003</v>
          </cell>
          <cell r="AN42">
            <v>-504.3046700000001</v>
          </cell>
          <cell r="AO42">
            <v>-901.34679000000006</v>
          </cell>
          <cell r="AP42">
            <v>-102.22416</v>
          </cell>
          <cell r="AQ42">
            <v>-572.45122000000003</v>
          </cell>
          <cell r="AR42">
            <v>-320.25973999999997</v>
          </cell>
          <cell r="AT42">
            <v>-521.60914999999977</v>
          </cell>
          <cell r="AU42">
            <v>5.5733600000000001</v>
          </cell>
          <cell r="AV42">
            <v>0</v>
          </cell>
          <cell r="AW42">
            <v>0</v>
          </cell>
          <cell r="AX42">
            <v>168.42699999999999</v>
          </cell>
          <cell r="AY42">
            <v>0</v>
          </cell>
          <cell r="AZ42">
            <v>11.936999999999999</v>
          </cell>
          <cell r="BA42">
            <v>5.3825600000000007</v>
          </cell>
          <cell r="BB42">
            <v>-19.59637</v>
          </cell>
          <cell r="BC42">
            <v>-0.58784000000000003</v>
          </cell>
          <cell r="BD42">
            <v>0</v>
          </cell>
          <cell r="BE42">
            <v>1230.04213</v>
          </cell>
          <cell r="BF42">
            <v>-1454.2205399999928</v>
          </cell>
          <cell r="BG42">
            <v>-405.76336000000003</v>
          </cell>
          <cell r="BH42">
            <v>174.52063999999996</v>
          </cell>
          <cell r="BI42">
            <v>11.746329999999999</v>
          </cell>
          <cell r="BJ42">
            <v>0</v>
          </cell>
          <cell r="BK42">
            <v>-1545.0147600000028</v>
          </cell>
        </row>
        <row r="43">
          <cell r="C43">
            <v>14751.32764425373</v>
          </cell>
          <cell r="N43">
            <v>7822.9564796681525</v>
          </cell>
          <cell r="O43">
            <v>-983.92467389650949</v>
          </cell>
          <cell r="P43">
            <v>0</v>
          </cell>
          <cell r="Q43">
            <v>-124.63492845820096</v>
          </cell>
          <cell r="R43">
            <v>0</v>
          </cell>
          <cell r="S43">
            <v>-652.72729683753641</v>
          </cell>
          <cell r="T43">
            <v>-43.629736676006445</v>
          </cell>
          <cell r="U43">
            <v>0</v>
          </cell>
          <cell r="V43">
            <v>-1785.6588984034265</v>
          </cell>
          <cell r="W43">
            <v>0</v>
          </cell>
          <cell r="X43">
            <v>-559.12716621311051</v>
          </cell>
          <cell r="Y43">
            <v>-66.726074099071951</v>
          </cell>
          <cell r="Z43">
            <v>323.30363105796999</v>
          </cell>
          <cell r="AA43">
            <v>0</v>
          </cell>
          <cell r="AB43">
            <v>0</v>
          </cell>
          <cell r="AC43">
            <v>-2222.1004056696411</v>
          </cell>
          <cell r="AD43">
            <v>0</v>
          </cell>
          <cell r="AE43">
            <v>0</v>
          </cell>
          <cell r="AF43">
            <v>-897.55313466209145</v>
          </cell>
          <cell r="AG43">
            <v>0</v>
          </cell>
          <cell r="AH43">
            <v>3118.653540331733</v>
          </cell>
          <cell r="AI43">
            <v>66.726074099071951</v>
          </cell>
          <cell r="AJ43">
            <v>0</v>
          </cell>
          <cell r="AK43">
            <v>0</v>
          </cell>
          <cell r="AL43">
            <v>-1759.5700456598186</v>
          </cell>
          <cell r="AM43">
            <v>0</v>
          </cell>
          <cell r="AN43">
            <v>0</v>
          </cell>
          <cell r="AO43">
            <v>-1032.7213186505026</v>
          </cell>
          <cell r="AP43">
            <v>-81.373656714293617</v>
          </cell>
          <cell r="AQ43">
            <v>-557.287674321601</v>
          </cell>
          <cell r="AR43">
            <v>-376.36688299945297</v>
          </cell>
          <cell r="AT43">
            <v>-521.67073213871811</v>
          </cell>
          <cell r="AU43">
            <v>-0.54989451193616645</v>
          </cell>
          <cell r="AV43">
            <v>0</v>
          </cell>
          <cell r="AW43">
            <v>18.736630028773497</v>
          </cell>
          <cell r="AX43">
            <v>42.25416014980803</v>
          </cell>
          <cell r="AY43">
            <v>0</v>
          </cell>
          <cell r="AZ43">
            <v>84.054758822162782</v>
          </cell>
          <cell r="BA43">
            <v>2.7105030747648984</v>
          </cell>
          <cell r="BB43">
            <v>-13.643872425016561</v>
          </cell>
          <cell r="BC43">
            <v>0</v>
          </cell>
          <cell r="BD43">
            <v>0</v>
          </cell>
          <cell r="BE43">
            <v>341.37931829267382</v>
          </cell>
          <cell r="BF43">
            <v>-473.75431829267382</v>
          </cell>
          <cell r="BG43">
            <v>-2.7273362024933476</v>
          </cell>
          <cell r="BH43">
            <v>0</v>
          </cell>
          <cell r="BI43">
            <v>0</v>
          </cell>
          <cell r="BJ43">
            <v>0</v>
          </cell>
          <cell r="BK43">
            <v>-334.97295130699115</v>
          </cell>
        </row>
        <row r="45">
          <cell r="C45">
            <v>5928.1893200000004</v>
          </cell>
          <cell r="N45">
            <v>2176.0641500000006</v>
          </cell>
          <cell r="O45">
            <v>-2.9350399999999999</v>
          </cell>
          <cell r="P45">
            <v>0</v>
          </cell>
          <cell r="Q45">
            <v>0</v>
          </cell>
          <cell r="R45">
            <v>0</v>
          </cell>
          <cell r="S45">
            <v>-105.48111</v>
          </cell>
          <cell r="T45">
            <v>-1.03139</v>
          </cell>
          <cell r="U45">
            <v>0</v>
          </cell>
          <cell r="V45">
            <v>-988.59458745286724</v>
          </cell>
          <cell r="W45">
            <v>0</v>
          </cell>
          <cell r="X45">
            <v>-189.51187254713278</v>
          </cell>
          <cell r="Y45">
            <v>0</v>
          </cell>
          <cell r="Z45">
            <v>142.72402</v>
          </cell>
          <cell r="AA45">
            <v>0</v>
          </cell>
          <cell r="AB45">
            <v>0</v>
          </cell>
          <cell r="AC45">
            <v>-453.27535999999998</v>
          </cell>
          <cell r="AD45">
            <v>75.175150000000002</v>
          </cell>
          <cell r="AE45">
            <v>-83.466829999999987</v>
          </cell>
          <cell r="AF45">
            <v>-233.48065</v>
          </cell>
          <cell r="AG45">
            <v>0</v>
          </cell>
          <cell r="AH45">
            <v>-684.53917999999999</v>
          </cell>
          <cell r="AI45">
            <v>370.47087999999997</v>
          </cell>
          <cell r="AJ45">
            <v>253.51600999999994</v>
          </cell>
          <cell r="AK45">
            <v>-14.053609999999999</v>
          </cell>
          <cell r="AL45">
            <v>-1191.1585600000014</v>
          </cell>
          <cell r="AM45">
            <v>376.17408</v>
          </cell>
          <cell r="AN45">
            <v>357.46307000000013</v>
          </cell>
          <cell r="AO45">
            <v>-123.45555999999999</v>
          </cell>
          <cell r="AP45">
            <v>-14.9671</v>
          </cell>
          <cell r="AQ45">
            <v>-170.31868</v>
          </cell>
          <cell r="AR45">
            <v>-58.150040000000004</v>
          </cell>
          <cell r="AT45">
            <v>-329.97435000000019</v>
          </cell>
          <cell r="AU45">
            <v>0</v>
          </cell>
          <cell r="AV45">
            <v>0</v>
          </cell>
          <cell r="AW45">
            <v>0</v>
          </cell>
          <cell r="AX45">
            <v>-6.2985754338820783</v>
          </cell>
          <cell r="AY45">
            <v>0</v>
          </cell>
          <cell r="AZ45">
            <v>39.71257543388208</v>
          </cell>
          <cell r="BA45">
            <v>0</v>
          </cell>
          <cell r="BB45">
            <v>-4.0480100000000006</v>
          </cell>
          <cell r="BC45">
            <v>0</v>
          </cell>
          <cell r="BD45">
            <v>0</v>
          </cell>
          <cell r="BE45">
            <v>107.17620999999997</v>
          </cell>
          <cell r="BF45">
            <v>-107.06999999999991</v>
          </cell>
          <cell r="BG45">
            <v>-16.979140000000001</v>
          </cell>
          <cell r="BH45">
            <v>-0.32284999999999986</v>
          </cell>
          <cell r="BI45">
            <v>0.94584000000000013</v>
          </cell>
          <cell r="BJ45">
            <v>0</v>
          </cell>
          <cell r="BK45">
            <v>-879.69051000000104</v>
          </cell>
        </row>
        <row r="46">
          <cell r="C46">
            <v>4915.9755299999997</v>
          </cell>
          <cell r="N46">
            <v>2307.0754900000002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-168.35636</v>
          </cell>
          <cell r="T46">
            <v>0</v>
          </cell>
          <cell r="U46">
            <v>0</v>
          </cell>
          <cell r="V46">
            <v>-1113.8681299999998</v>
          </cell>
          <cell r="W46">
            <v>0</v>
          </cell>
          <cell r="X46">
            <v>0</v>
          </cell>
          <cell r="Y46">
            <v>-13.28167</v>
          </cell>
          <cell r="Z46">
            <v>121.02067</v>
          </cell>
          <cell r="AA46">
            <v>1.5055699999999999</v>
          </cell>
          <cell r="AB46">
            <v>0</v>
          </cell>
          <cell r="AC46">
            <v>-392.59631999999999</v>
          </cell>
          <cell r="AD46">
            <v>236.58744000000002</v>
          </cell>
          <cell r="AE46">
            <v>-151.45818</v>
          </cell>
          <cell r="AF46">
            <v>-245.65821000000003</v>
          </cell>
          <cell r="AG46">
            <v>0</v>
          </cell>
          <cell r="AH46">
            <v>-169.34836000000001</v>
          </cell>
          <cell r="AI46">
            <v>339.41242999999997</v>
          </cell>
          <cell r="AJ46">
            <v>-195.63192999999998</v>
          </cell>
          <cell r="AK46">
            <v>-29.703049999999998</v>
          </cell>
          <cell r="AL46">
            <v>-971.04617000000007</v>
          </cell>
          <cell r="AM46">
            <v>341.72589999999991</v>
          </cell>
          <cell r="AN46">
            <v>143.66798999999975</v>
          </cell>
          <cell r="AO46">
            <v>-258.28258</v>
          </cell>
          <cell r="AP46">
            <v>-17.03566</v>
          </cell>
          <cell r="AQ46">
            <v>-340.02322000000004</v>
          </cell>
          <cell r="AR46">
            <v>-58.264080000000007</v>
          </cell>
          <cell r="AT46">
            <v>-244.43753000000001</v>
          </cell>
          <cell r="AU46">
            <v>0</v>
          </cell>
          <cell r="AV46">
            <v>0</v>
          </cell>
          <cell r="AW46">
            <v>0</v>
          </cell>
          <cell r="AX46">
            <v>11.638999999999999</v>
          </cell>
          <cell r="AY46">
            <v>0</v>
          </cell>
          <cell r="AZ46">
            <v>0</v>
          </cell>
          <cell r="BA46">
            <v>0.34734000000000004</v>
          </cell>
          <cell r="BB46">
            <v>-1.26457</v>
          </cell>
          <cell r="BC46">
            <v>-3.7929999999999998E-2</v>
          </cell>
          <cell r="BD46">
            <v>0</v>
          </cell>
          <cell r="BE46">
            <v>93.130630000000011</v>
          </cell>
          <cell r="BF46">
            <v>-142.40168</v>
          </cell>
          <cell r="BG46">
            <v>-6.8737400000000006</v>
          </cell>
          <cell r="BH46">
            <v>17.34075</v>
          </cell>
          <cell r="BI46">
            <v>0.74377999999999989</v>
          </cell>
          <cell r="BJ46">
            <v>0</v>
          </cell>
          <cell r="BK46">
            <v>-905.37238000000002</v>
          </cell>
        </row>
        <row r="47">
          <cell r="C47">
            <v>4899.8894861386098</v>
          </cell>
          <cell r="N47">
            <v>2182.8917926409849</v>
          </cell>
          <cell r="O47">
            <v>-292.37902474934123</v>
          </cell>
          <cell r="P47">
            <v>0</v>
          </cell>
          <cell r="Q47">
            <v>-39.107546226542397</v>
          </cell>
          <cell r="R47">
            <v>0</v>
          </cell>
          <cell r="S47">
            <v>-166.95312532672699</v>
          </cell>
          <cell r="T47">
            <v>-10.544020156617039</v>
          </cell>
          <cell r="U47">
            <v>0</v>
          </cell>
          <cell r="V47">
            <v>-524.09037060668925</v>
          </cell>
          <cell r="W47">
            <v>0</v>
          </cell>
          <cell r="X47">
            <v>-175.44112047633695</v>
          </cell>
          <cell r="Y47">
            <v>-19.513238075241944</v>
          </cell>
          <cell r="Z47">
            <v>94.546259590694092</v>
          </cell>
          <cell r="AA47">
            <v>0</v>
          </cell>
          <cell r="AB47">
            <v>0</v>
          </cell>
          <cell r="AC47">
            <v>-802.29833174485702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802.29833174485702</v>
          </cell>
          <cell r="AI47">
            <v>19.513238075241944</v>
          </cell>
          <cell r="AJ47">
            <v>0</v>
          </cell>
          <cell r="AK47">
            <v>0</v>
          </cell>
          <cell r="AL47">
            <v>-273.77952791247424</v>
          </cell>
          <cell r="AM47">
            <v>0</v>
          </cell>
          <cell r="AN47">
            <v>0</v>
          </cell>
          <cell r="AO47">
            <v>-137.7102283725475</v>
          </cell>
          <cell r="AP47">
            <v>-10.522052298056325</v>
          </cell>
          <cell r="AQ47">
            <v>-197.97656941944399</v>
          </cell>
          <cell r="AR47">
            <v>-77.262339283078248</v>
          </cell>
          <cell r="AT47">
            <v>-292.41453569924954</v>
          </cell>
          <cell r="AU47">
            <v>0</v>
          </cell>
          <cell r="AV47">
            <v>0</v>
          </cell>
          <cell r="AW47">
            <v>0</v>
          </cell>
          <cell r="AX47">
            <v>82.746922444246692</v>
          </cell>
          <cell r="AY47">
            <v>0</v>
          </cell>
          <cell r="AZ47">
            <v>0</v>
          </cell>
          <cell r="BA47">
            <v>1.5074474555356994</v>
          </cell>
          <cell r="BB47">
            <v>-7.588045543677814</v>
          </cell>
          <cell r="BC47">
            <v>0</v>
          </cell>
          <cell r="BD47">
            <v>0</v>
          </cell>
          <cell r="BE47">
            <v>50.666567715288281</v>
          </cell>
          <cell r="BF47">
            <v>-50.666567715288281</v>
          </cell>
          <cell r="BG47">
            <v>-1.5074474555356994</v>
          </cell>
          <cell r="BH47">
            <v>0</v>
          </cell>
          <cell r="BI47">
            <v>0</v>
          </cell>
          <cell r="BJ47">
            <v>0</v>
          </cell>
          <cell r="BK47">
            <v>154.41646860514442</v>
          </cell>
        </row>
        <row r="49">
          <cell r="C49">
            <v>2605.3870899999997</v>
          </cell>
          <cell r="N49">
            <v>2107.0664299999999</v>
          </cell>
          <cell r="O49">
            <v>-22.59731</v>
          </cell>
          <cell r="P49">
            <v>0</v>
          </cell>
          <cell r="Q49">
            <v>0</v>
          </cell>
          <cell r="R49">
            <v>0</v>
          </cell>
          <cell r="S49">
            <v>-54.982630000000007</v>
          </cell>
          <cell r="T49">
            <v>-2.3420900000000002</v>
          </cell>
          <cell r="U49">
            <v>0</v>
          </cell>
          <cell r="V49">
            <v>-692.20776999999998</v>
          </cell>
          <cell r="W49">
            <v>0</v>
          </cell>
          <cell r="X49">
            <v>0</v>
          </cell>
          <cell r="Y49">
            <v>-2.9944099999999998</v>
          </cell>
          <cell r="Z49">
            <v>23.391010000000001</v>
          </cell>
          <cell r="AA49">
            <v>8.541E-2</v>
          </cell>
          <cell r="AB49">
            <v>0</v>
          </cell>
          <cell r="AC49">
            <v>-850.10842000000002</v>
          </cell>
          <cell r="AD49">
            <v>68.412360000000007</v>
          </cell>
          <cell r="AE49">
            <v>-16.109299999999998</v>
          </cell>
          <cell r="AF49">
            <v>-95.890109999999993</v>
          </cell>
          <cell r="AG49">
            <v>0</v>
          </cell>
          <cell r="AH49">
            <v>1252.1839299999992</v>
          </cell>
          <cell r="AI49">
            <v>46.940120000000007</v>
          </cell>
          <cell r="AJ49">
            <v>-14.351540000000004</v>
          </cell>
          <cell r="AK49">
            <v>-1.03077</v>
          </cell>
          <cell r="AL49">
            <v>-368.03685999999999</v>
          </cell>
          <cell r="AM49">
            <v>119.7311</v>
          </cell>
          <cell r="AN49">
            <v>-27.215670000000003</v>
          </cell>
          <cell r="AO49">
            <v>-122.81751000000003</v>
          </cell>
          <cell r="AP49">
            <v>-13.144080000000001</v>
          </cell>
          <cell r="AQ49">
            <v>-161.75196</v>
          </cell>
          <cell r="AR49">
            <v>-57.851480000000009</v>
          </cell>
          <cell r="AT49">
            <v>-554.60140000000001</v>
          </cell>
          <cell r="AU49">
            <v>0</v>
          </cell>
          <cell r="AV49">
            <v>0</v>
          </cell>
          <cell r="AW49">
            <v>0</v>
          </cell>
          <cell r="AX49">
            <v>26.768999999999998</v>
          </cell>
          <cell r="AY49">
            <v>0</v>
          </cell>
          <cell r="AZ49">
            <v>0</v>
          </cell>
          <cell r="BA49">
            <v>9.7310000000000008E-2</v>
          </cell>
          <cell r="BB49">
            <v>-0.90457999999999972</v>
          </cell>
          <cell r="BC49">
            <v>-2.6900000000000001E-3</v>
          </cell>
          <cell r="BD49">
            <v>0</v>
          </cell>
          <cell r="BE49">
            <v>107.00375</v>
          </cell>
          <cell r="BF49">
            <v>-99.991999999999862</v>
          </cell>
          <cell r="BG49">
            <v>-7.5752500000000005</v>
          </cell>
          <cell r="BH49">
            <v>-0.78225999999999996</v>
          </cell>
          <cell r="BI49">
            <v>0.21125999999999998</v>
          </cell>
          <cell r="BJ49">
            <v>0</v>
          </cell>
          <cell r="BK49">
            <v>584.60158999999862</v>
          </cell>
        </row>
        <row r="50">
          <cell r="C50">
            <v>2971.9992899999997</v>
          </cell>
          <cell r="N50">
            <v>2393.8242099999998</v>
          </cell>
          <cell r="O50">
            <v>-11.019000000000005</v>
          </cell>
          <cell r="P50">
            <v>0</v>
          </cell>
          <cell r="Q50">
            <v>0</v>
          </cell>
          <cell r="R50">
            <v>0</v>
          </cell>
          <cell r="S50">
            <v>-65.083299999999994</v>
          </cell>
          <cell r="T50">
            <v>-2.592559999999994</v>
          </cell>
          <cell r="U50">
            <v>0</v>
          </cell>
          <cell r="V50">
            <v>-775.01487999999995</v>
          </cell>
          <cell r="W50">
            <v>0</v>
          </cell>
          <cell r="X50">
            <v>0</v>
          </cell>
          <cell r="Y50">
            <v>-9.3924099999999999</v>
          </cell>
          <cell r="Z50">
            <v>24.927399999999999</v>
          </cell>
          <cell r="AA50">
            <v>0.27257999999999999</v>
          </cell>
          <cell r="AB50">
            <v>0</v>
          </cell>
          <cell r="AC50">
            <v>-633.94636000000014</v>
          </cell>
          <cell r="AD50">
            <v>73.033539999999988</v>
          </cell>
          <cell r="AE50">
            <v>-18.663220000000003</v>
          </cell>
          <cell r="AF50">
            <v>-75.413460000000001</v>
          </cell>
          <cell r="AG50">
            <v>0</v>
          </cell>
          <cell r="AH50">
            <v>173.19624999999996</v>
          </cell>
          <cell r="AI50">
            <v>10.234309999999999</v>
          </cell>
          <cell r="AJ50">
            <v>-4.033240000000001</v>
          </cell>
          <cell r="AK50">
            <v>-7.4149999999999952E-2</v>
          </cell>
          <cell r="AL50">
            <v>-426.19095999999996</v>
          </cell>
          <cell r="AM50">
            <v>114.02194999999996</v>
          </cell>
          <cell r="AN50">
            <v>-29.460860000000014</v>
          </cell>
          <cell r="AO50">
            <v>-148.99414999999999</v>
          </cell>
          <cell r="AP50">
            <v>-13.017980000000001</v>
          </cell>
          <cell r="AQ50">
            <v>-181.39854</v>
          </cell>
          <cell r="AR50">
            <v>-67.080740000000006</v>
          </cell>
          <cell r="AT50">
            <v>-808.58667999999989</v>
          </cell>
          <cell r="AU50">
            <v>0</v>
          </cell>
          <cell r="AV50">
            <v>0</v>
          </cell>
          <cell r="AW50">
            <v>0</v>
          </cell>
          <cell r="AX50">
            <v>28</v>
          </cell>
          <cell r="AY50">
            <v>0</v>
          </cell>
          <cell r="AZ50">
            <v>0</v>
          </cell>
          <cell r="BA50">
            <v>0.41990000000000005</v>
          </cell>
          <cell r="BB50">
            <v>-0.90058000000000005</v>
          </cell>
          <cell r="BC50">
            <v>-1.107E-2</v>
          </cell>
          <cell r="BD50">
            <v>0</v>
          </cell>
          <cell r="BE50">
            <v>82.335550000000012</v>
          </cell>
          <cell r="BF50">
            <v>-57.152000000000001</v>
          </cell>
          <cell r="BG50">
            <v>-1.1190100000000001</v>
          </cell>
          <cell r="BH50">
            <v>-3.1566100000000001</v>
          </cell>
          <cell r="BI50">
            <v>-3.2239999999999991E-2</v>
          </cell>
          <cell r="BJ50">
            <v>0</v>
          </cell>
          <cell r="BK50">
            <v>-432.06831000000034</v>
          </cell>
        </row>
        <row r="51">
          <cell r="C51">
            <v>2387.2297670028233</v>
          </cell>
          <cell r="N51">
            <v>2098.3124239665394</v>
          </cell>
          <cell r="O51">
            <v>-70.589609747978116</v>
          </cell>
          <cell r="P51">
            <v>0</v>
          </cell>
          <cell r="Q51">
            <v>0</v>
          </cell>
          <cell r="R51">
            <v>0</v>
          </cell>
          <cell r="S51">
            <v>-71.780437876450549</v>
          </cell>
          <cell r="T51">
            <v>-53.523947379385703</v>
          </cell>
          <cell r="U51">
            <v>0</v>
          </cell>
          <cell r="V51">
            <v>-543.38267921940565</v>
          </cell>
          <cell r="W51">
            <v>0</v>
          </cell>
          <cell r="X51">
            <v>0</v>
          </cell>
          <cell r="Y51">
            <v>-10.141883757474247</v>
          </cell>
          <cell r="Z51">
            <v>6.9257919139923754</v>
          </cell>
          <cell r="AA51">
            <v>0</v>
          </cell>
          <cell r="AB51">
            <v>0</v>
          </cell>
          <cell r="AC51">
            <v>-623.60153757039268</v>
          </cell>
          <cell r="AD51">
            <v>0</v>
          </cell>
          <cell r="AE51">
            <v>0</v>
          </cell>
          <cell r="AF51">
            <v>-107.04789475877141</v>
          </cell>
          <cell r="AG51">
            <v>0</v>
          </cell>
          <cell r="AH51">
            <v>730.64943232916414</v>
          </cell>
          <cell r="AI51">
            <v>10.141883757474247</v>
          </cell>
          <cell r="AJ51">
            <v>0</v>
          </cell>
          <cell r="AK51">
            <v>0</v>
          </cell>
          <cell r="AL51">
            <v>-298.5115318491392</v>
          </cell>
          <cell r="AM51">
            <v>0</v>
          </cell>
          <cell r="AN51">
            <v>0</v>
          </cell>
          <cell r="AO51">
            <v>-122.48016823824952</v>
          </cell>
          <cell r="AP51">
            <v>-8.0738326402866747</v>
          </cell>
          <cell r="AQ51">
            <v>-159.3644179883245</v>
          </cell>
          <cell r="AR51">
            <v>-80.646954914295492</v>
          </cell>
          <cell r="AT51">
            <v>-523.31868495267054</v>
          </cell>
          <cell r="AU51">
            <v>6.0722971684327849</v>
          </cell>
          <cell r="AV51">
            <v>0</v>
          </cell>
          <cell r="AW51">
            <v>0</v>
          </cell>
          <cell r="AX51">
            <v>118.08029852971413</v>
          </cell>
          <cell r="AY51">
            <v>0</v>
          </cell>
          <cell r="AZ51">
            <v>0</v>
          </cell>
          <cell r="BA51">
            <v>1.7725679089070061</v>
          </cell>
          <cell r="BB51">
            <v>-1.2575534074116295</v>
          </cell>
          <cell r="BC51">
            <v>0</v>
          </cell>
          <cell r="BD51">
            <v>0</v>
          </cell>
          <cell r="BE51">
            <v>230.50322097825881</v>
          </cell>
          <cell r="BF51">
            <v>-230.50322097825881</v>
          </cell>
          <cell r="BG51">
            <v>-1.7725679089070061</v>
          </cell>
          <cell r="BH51">
            <v>0</v>
          </cell>
          <cell r="BI51">
            <v>0</v>
          </cell>
          <cell r="BJ51">
            <v>0</v>
          </cell>
          <cell r="BK51">
            <v>296.46099336508144</v>
          </cell>
        </row>
        <row r="53">
          <cell r="C53">
            <v>5970.7574200000063</v>
          </cell>
          <cell r="N53">
            <v>4212.7364900000075</v>
          </cell>
          <cell r="O53">
            <v>-29.80293</v>
          </cell>
          <cell r="P53">
            <v>0</v>
          </cell>
          <cell r="Q53">
            <v>0</v>
          </cell>
          <cell r="R53">
            <v>0</v>
          </cell>
          <cell r="S53">
            <v>-39.256419999999999</v>
          </cell>
          <cell r="T53">
            <v>0</v>
          </cell>
          <cell r="U53">
            <v>0</v>
          </cell>
          <cell r="V53">
            <v>-703.37145999999996</v>
          </cell>
          <cell r="W53">
            <v>0</v>
          </cell>
          <cell r="X53">
            <v>0</v>
          </cell>
          <cell r="Y53">
            <v>-10.59183</v>
          </cell>
          <cell r="Z53">
            <v>37.068980000000003</v>
          </cell>
          <cell r="AA53">
            <v>0.49262999999999996</v>
          </cell>
          <cell r="AB53">
            <v>0</v>
          </cell>
          <cell r="AC53">
            <v>-340.08169999999996</v>
          </cell>
          <cell r="AD53">
            <v>24.339020000000001</v>
          </cell>
          <cell r="AE53">
            <v>-10.006509999999999</v>
          </cell>
          <cell r="AF53">
            <v>-16.469460000000002</v>
          </cell>
          <cell r="AG53">
            <v>0</v>
          </cell>
          <cell r="AH53">
            <v>373.53987000000029</v>
          </cell>
          <cell r="AI53">
            <v>3665.7535599999997</v>
          </cell>
          <cell r="AJ53">
            <v>54.443890000000003</v>
          </cell>
          <cell r="AK53">
            <v>-531.74007999999992</v>
          </cell>
          <cell r="AL53">
            <v>-904.5334699999994</v>
          </cell>
          <cell r="AM53">
            <v>247.12173000000001</v>
          </cell>
          <cell r="AN53">
            <v>3.6645300000000987</v>
          </cell>
          <cell r="AO53">
            <v>-275.93027000000001</v>
          </cell>
          <cell r="AP53">
            <v>-38.201160000000002</v>
          </cell>
          <cell r="AQ53">
            <v>-134.55063999999999</v>
          </cell>
          <cell r="AR53">
            <v>-138.87336999999999</v>
          </cell>
          <cell r="AT53">
            <v>-178.94074000000003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6.0344699999999998</v>
          </cell>
          <cell r="BF53">
            <v>-7.9790000000000001</v>
          </cell>
          <cell r="BG53">
            <v>-2.7515400000000003</v>
          </cell>
          <cell r="BH53">
            <v>0.18528999999999998</v>
          </cell>
          <cell r="BI53">
            <v>0.14702999999999999</v>
          </cell>
          <cell r="BJ53">
            <v>0</v>
          </cell>
          <cell r="BK53">
            <v>5262.4469100000088</v>
          </cell>
        </row>
        <row r="54">
          <cell r="C54">
            <v>5612.7341799999977</v>
          </cell>
          <cell r="N54">
            <v>3857.9397099999992</v>
          </cell>
          <cell r="O54">
            <v>-32.639809999999997</v>
          </cell>
          <cell r="P54">
            <v>0</v>
          </cell>
          <cell r="Q54">
            <v>0</v>
          </cell>
          <cell r="R54">
            <v>0</v>
          </cell>
          <cell r="S54">
            <v>-18.01192</v>
          </cell>
          <cell r="T54">
            <v>0</v>
          </cell>
          <cell r="U54">
            <v>0</v>
          </cell>
          <cell r="V54">
            <v>-647.15636999999992</v>
          </cell>
          <cell r="W54">
            <v>0</v>
          </cell>
          <cell r="X54">
            <v>0</v>
          </cell>
          <cell r="Y54">
            <v>-185.77010000000001</v>
          </cell>
          <cell r="Z54">
            <v>33.109650000000002</v>
          </cell>
          <cell r="AA54">
            <v>26.211579999999998</v>
          </cell>
          <cell r="AB54">
            <v>0</v>
          </cell>
          <cell r="AC54">
            <v>-409.91354000000001</v>
          </cell>
          <cell r="AD54">
            <v>41.61327</v>
          </cell>
          <cell r="AE54">
            <v>-10.59914</v>
          </cell>
          <cell r="AF54">
            <v>-10.51192</v>
          </cell>
          <cell r="AG54">
            <v>0</v>
          </cell>
          <cell r="AH54">
            <v>634.9974199999981</v>
          </cell>
          <cell r="AI54">
            <v>1257.0116</v>
          </cell>
          <cell r="AJ54">
            <v>-3.3554100000000027</v>
          </cell>
          <cell r="AK54">
            <v>-171.23197999999999</v>
          </cell>
          <cell r="AL54">
            <v>-883.02904000000012</v>
          </cell>
          <cell r="AM54">
            <v>255.53429999999994</v>
          </cell>
          <cell r="AN54">
            <v>-1.0569600000001742</v>
          </cell>
          <cell r="AO54">
            <v>-221.55627999999999</v>
          </cell>
          <cell r="AP54">
            <v>-24.238600000000002</v>
          </cell>
          <cell r="AQ54">
            <v>-103.70830000000001</v>
          </cell>
          <cell r="AR54">
            <v>-76.824420000000003</v>
          </cell>
          <cell r="AT54">
            <v>-127.37896000000003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1.2879400000000001</v>
          </cell>
          <cell r="BF54">
            <v>13.487999999999998</v>
          </cell>
          <cell r="BG54">
            <v>0.63489000000000007</v>
          </cell>
          <cell r="BH54">
            <v>-0.82713999999999999</v>
          </cell>
          <cell r="BI54">
            <v>-4.7829999999999998E-2</v>
          </cell>
          <cell r="BJ54">
            <v>0</v>
          </cell>
          <cell r="BK54">
            <v>3193.9706399999968</v>
          </cell>
        </row>
        <row r="55">
          <cell r="C55">
            <v>4976.9896670286907</v>
          </cell>
          <cell r="N55">
            <v>4002.4792059521519</v>
          </cell>
          <cell r="O55">
            <v>-244.4166808686814</v>
          </cell>
          <cell r="P55">
            <v>0</v>
          </cell>
          <cell r="Q55">
            <v>0</v>
          </cell>
          <cell r="R55">
            <v>0</v>
          </cell>
          <cell r="S55">
            <v>-43.716637969267097</v>
          </cell>
          <cell r="T55">
            <v>0</v>
          </cell>
          <cell r="U55">
            <v>0</v>
          </cell>
          <cell r="V55">
            <v>-404.57789590124247</v>
          </cell>
          <cell r="W55">
            <v>0</v>
          </cell>
          <cell r="X55">
            <v>0</v>
          </cell>
          <cell r="Y55">
            <v>-11.898143454005638</v>
          </cell>
          <cell r="Z55">
            <v>20.762499027907296</v>
          </cell>
          <cell r="AA55">
            <v>0</v>
          </cell>
          <cell r="AB55">
            <v>0</v>
          </cell>
          <cell r="AC55">
            <v>-443.52501920993302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443.52501920993302</v>
          </cell>
          <cell r="AI55">
            <v>11.898143454005638</v>
          </cell>
          <cell r="AJ55">
            <v>0</v>
          </cell>
          <cell r="AK55">
            <v>0</v>
          </cell>
          <cell r="AL55">
            <v>-633.12060894850833</v>
          </cell>
          <cell r="AM55">
            <v>0</v>
          </cell>
          <cell r="AN55">
            <v>0</v>
          </cell>
          <cell r="AO55">
            <v>-280.32753775995576</v>
          </cell>
          <cell r="AP55">
            <v>-24.212916675242553</v>
          </cell>
          <cell r="AQ55">
            <v>-142.30666298196326</v>
          </cell>
          <cell r="AR55">
            <v>-152.1528096543</v>
          </cell>
          <cell r="AT55">
            <v>-151.90807328168705</v>
          </cell>
          <cell r="AU55">
            <v>2.8349549733767487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5.0027900562436223E-2</v>
          </cell>
          <cell r="BB55">
            <v>-9.0691999909404783E-2</v>
          </cell>
          <cell r="BC55">
            <v>0</v>
          </cell>
          <cell r="BD55">
            <v>0</v>
          </cell>
          <cell r="BE55">
            <v>20.736762290992729</v>
          </cell>
          <cell r="BF55">
            <v>-20.736762290992729</v>
          </cell>
          <cell r="BG55">
            <v>-5.0027900562436223E-2</v>
          </cell>
          <cell r="BH55">
            <v>0</v>
          </cell>
          <cell r="BI55">
            <v>0</v>
          </cell>
          <cell r="BJ55">
            <v>0</v>
          </cell>
          <cell r="BK55">
            <v>1949.2461439126794</v>
          </cell>
        </row>
        <row r="57">
          <cell r="C57">
            <v>1262.1987999999997</v>
          </cell>
          <cell r="N57">
            <v>1153.9846599999996</v>
          </cell>
          <cell r="O57">
            <v>-4.1128000000000009</v>
          </cell>
          <cell r="P57">
            <v>0</v>
          </cell>
          <cell r="Q57">
            <v>0</v>
          </cell>
          <cell r="R57">
            <v>0</v>
          </cell>
          <cell r="S57">
            <v>-340.03908999999999</v>
          </cell>
          <cell r="T57">
            <v>0</v>
          </cell>
          <cell r="U57">
            <v>0</v>
          </cell>
          <cell r="V57">
            <v>-475.09320000000002</v>
          </cell>
          <cell r="W57">
            <v>0</v>
          </cell>
          <cell r="X57">
            <v>0</v>
          </cell>
          <cell r="Y57">
            <v>-2.22587</v>
          </cell>
          <cell r="Z57">
            <v>36.170079999999999</v>
          </cell>
          <cell r="AA57">
            <v>7.8579999999999997E-2</v>
          </cell>
          <cell r="AB57">
            <v>0</v>
          </cell>
          <cell r="AC57">
            <v>-623.65548999999999</v>
          </cell>
          <cell r="AD57">
            <v>70.149069999999995</v>
          </cell>
          <cell r="AE57">
            <v>-85.042239999999993</v>
          </cell>
          <cell r="AF57">
            <v>8.1172402133233842E-14</v>
          </cell>
          <cell r="AG57">
            <v>0</v>
          </cell>
          <cell r="AH57">
            <v>824.14427000000001</v>
          </cell>
          <cell r="AI57">
            <v>224.02340000000004</v>
          </cell>
          <cell r="AJ57">
            <v>-103.90872</v>
          </cell>
          <cell r="AK57">
            <v>-10.03112</v>
          </cell>
          <cell r="AL57">
            <v>-210.16914000000006</v>
          </cell>
          <cell r="AM57">
            <v>125.76463000000004</v>
          </cell>
          <cell r="AN57">
            <v>-109.45860999999998</v>
          </cell>
          <cell r="AO57">
            <v>-50.146110000000007</v>
          </cell>
          <cell r="AP57">
            <v>-9.1428900000000013</v>
          </cell>
          <cell r="AQ57">
            <v>-39.353459999999998</v>
          </cell>
          <cell r="AR57">
            <v>-35.58099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336.35495999999955</v>
          </cell>
        </row>
        <row r="58">
          <cell r="C58">
            <v>1296.8107500000006</v>
          </cell>
          <cell r="N58">
            <v>1150.8831200000002</v>
          </cell>
          <cell r="O58">
            <v>-4.03329</v>
          </cell>
          <cell r="P58">
            <v>0</v>
          </cell>
          <cell r="Q58">
            <v>0</v>
          </cell>
          <cell r="R58">
            <v>1.01</v>
          </cell>
          <cell r="S58">
            <v>-316.02472999999998</v>
          </cell>
          <cell r="T58">
            <v>0</v>
          </cell>
          <cell r="U58">
            <v>0</v>
          </cell>
          <cell r="V58">
            <v>-560.82426000000009</v>
          </cell>
          <cell r="W58">
            <v>0</v>
          </cell>
          <cell r="X58">
            <v>0</v>
          </cell>
          <cell r="Y58">
            <v>-18.325489999999999</v>
          </cell>
          <cell r="Z58">
            <v>45.356870000000001</v>
          </cell>
          <cell r="AA58">
            <v>1.1303899999999998</v>
          </cell>
          <cell r="AB58">
            <v>0</v>
          </cell>
          <cell r="AC58">
            <v>-649.44299999999998</v>
          </cell>
          <cell r="AD58">
            <v>16.890090000000001</v>
          </cell>
          <cell r="AE58">
            <v>-79.156310000000005</v>
          </cell>
          <cell r="AF58">
            <v>0</v>
          </cell>
          <cell r="AG58">
            <v>0</v>
          </cell>
          <cell r="AH58">
            <v>1167.7363100000002</v>
          </cell>
          <cell r="AI58">
            <v>20.618390000000002</v>
          </cell>
          <cell r="AJ58">
            <v>17.33150999999998</v>
          </cell>
          <cell r="AK58">
            <v>2.2473099999999997</v>
          </cell>
          <cell r="AL58">
            <v>-217.91002000000009</v>
          </cell>
          <cell r="AM58">
            <v>133.43683999999999</v>
          </cell>
          <cell r="AN58">
            <v>-110.52439999999996</v>
          </cell>
          <cell r="AO58">
            <v>-43.780599999999993</v>
          </cell>
          <cell r="AP58">
            <v>-5.4847900000000003</v>
          </cell>
          <cell r="AQ58">
            <v>-31.37058</v>
          </cell>
          <cell r="AR58">
            <v>-20.46724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499.29612000000014</v>
          </cell>
        </row>
        <row r="59">
          <cell r="C59">
            <v>1392.2837854433055</v>
          </cell>
          <cell r="N59">
            <v>1192.25</v>
          </cell>
          <cell r="O59">
            <v>-22.032698591346541</v>
          </cell>
          <cell r="P59">
            <v>0</v>
          </cell>
          <cell r="Q59">
            <v>0</v>
          </cell>
          <cell r="R59">
            <v>0</v>
          </cell>
          <cell r="S59">
            <v>-316.08004534500708</v>
          </cell>
          <cell r="T59">
            <v>0</v>
          </cell>
          <cell r="U59">
            <v>0</v>
          </cell>
          <cell r="V59">
            <v>-409.46488177530676</v>
          </cell>
          <cell r="W59">
            <v>0</v>
          </cell>
          <cell r="X59">
            <v>0</v>
          </cell>
          <cell r="Y59">
            <v>-9.0394628162042885</v>
          </cell>
          <cell r="Z59">
            <v>31.198073058710708</v>
          </cell>
          <cell r="AA59">
            <v>0</v>
          </cell>
          <cell r="AB59">
            <v>0</v>
          </cell>
          <cell r="AC59">
            <v>-487.70233010807033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487.70233010807033</v>
          </cell>
          <cell r="AI59">
            <v>9.0394628162042885</v>
          </cell>
          <cell r="AJ59">
            <v>0</v>
          </cell>
          <cell r="AK59">
            <v>0</v>
          </cell>
          <cell r="AL59">
            <v>-206.42324162812469</v>
          </cell>
          <cell r="AM59">
            <v>0</v>
          </cell>
          <cell r="AN59">
            <v>0</v>
          </cell>
          <cell r="AO59">
            <v>-43.449376905886908</v>
          </cell>
          <cell r="AP59">
            <v>-6.3953972433734148</v>
          </cell>
          <cell r="AQ59">
            <v>-40.689579619176847</v>
          </cell>
          <cell r="AR59">
            <v>-39.161376699526372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139.75147525096202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14.245850000000026</v>
          </cell>
          <cell r="AR61">
            <v>-14.930250000000001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-0.68439999999997525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-67.719820000000055</v>
          </cell>
          <cell r="AR62">
            <v>53.175139999999992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-14.544680000000064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104938.95854000002</v>
          </cell>
          <cell r="N65">
            <v>74098.994770000019</v>
          </cell>
          <cell r="O65">
            <v>-4737.2636000000002</v>
          </cell>
          <cell r="P65">
            <v>-105.03571000000002</v>
          </cell>
          <cell r="Q65">
            <v>0</v>
          </cell>
          <cell r="R65">
            <v>140.95948999999999</v>
          </cell>
          <cell r="S65">
            <v>-3385.5989900000004</v>
          </cell>
          <cell r="T65">
            <v>-392.93678</v>
          </cell>
          <cell r="U65">
            <v>0</v>
          </cell>
          <cell r="V65">
            <v>-26135.471129672744</v>
          </cell>
          <cell r="W65">
            <v>-147.21429999999998</v>
          </cell>
          <cell r="X65">
            <v>-5345.4622003272543</v>
          </cell>
          <cell r="Y65">
            <v>-297.33933000000007</v>
          </cell>
          <cell r="Z65">
            <v>2287.54097</v>
          </cell>
          <cell r="AA65">
            <v>36.558220000000006</v>
          </cell>
          <cell r="AB65">
            <v>-1850</v>
          </cell>
          <cell r="AC65">
            <v>-28496.469000000001</v>
          </cell>
          <cell r="AD65">
            <v>3389.6676699999994</v>
          </cell>
          <cell r="AE65">
            <v>-1280.1204700000001</v>
          </cell>
          <cell r="AF65">
            <v>-2859.9131499999994</v>
          </cell>
          <cell r="AG65">
            <v>0</v>
          </cell>
          <cell r="AH65">
            <v>11579.077199999998</v>
          </cell>
          <cell r="AI65">
            <v>8088.1451399999987</v>
          </cell>
          <cell r="AJ65">
            <v>16905.820989999997</v>
          </cell>
          <cell r="AK65">
            <v>-521.47325999999998</v>
          </cell>
          <cell r="AL65">
            <v>-18998.80391000001</v>
          </cell>
          <cell r="AM65">
            <v>10437.916720000005</v>
          </cell>
          <cell r="AN65">
            <v>-5961.7343000000019</v>
          </cell>
          <cell r="AO65">
            <v>-6242.8896799999993</v>
          </cell>
          <cell r="AP65">
            <v>-732.96832999999992</v>
          </cell>
          <cell r="AQ65">
            <v>-4704.0430699999997</v>
          </cell>
          <cell r="AR65">
            <v>-2586.7285699999993</v>
          </cell>
          <cell r="AT65">
            <v>-6168.8939800000026</v>
          </cell>
          <cell r="AU65">
            <v>159.67799000000002</v>
          </cell>
          <cell r="AV65">
            <v>0</v>
          </cell>
          <cell r="AW65">
            <v>0</v>
          </cell>
          <cell r="AX65">
            <v>-199.60185136337157</v>
          </cell>
          <cell r="AY65">
            <v>0</v>
          </cell>
          <cell r="AZ65">
            <v>455.30285136337153</v>
          </cell>
          <cell r="BA65">
            <v>3.67516</v>
          </cell>
          <cell r="BB65">
            <v>-27.647270000000002</v>
          </cell>
          <cell r="BC65">
            <v>-0.50322</v>
          </cell>
          <cell r="BD65">
            <v>0</v>
          </cell>
          <cell r="BE65">
            <v>897.08343000000002</v>
          </cell>
          <cell r="BF65">
            <v>-406.63296000000759</v>
          </cell>
          <cell r="BG65">
            <v>204.24667999999997</v>
          </cell>
          <cell r="BH65">
            <v>-2806.7352599999995</v>
          </cell>
          <cell r="BI65">
            <v>-61.696619999999989</v>
          </cell>
          <cell r="BJ65">
            <v>0</v>
          </cell>
          <cell r="BK65">
            <v>4231.4903399999876</v>
          </cell>
        </row>
        <row r="66">
          <cell r="C66">
            <v>106830.18135000003</v>
          </cell>
          <cell r="N66">
            <v>75486.855490000002</v>
          </cell>
          <cell r="O66">
            <v>-4307.66662</v>
          </cell>
          <cell r="P66">
            <v>0</v>
          </cell>
          <cell r="Q66">
            <v>-550.923</v>
          </cell>
          <cell r="R66">
            <v>215.74935000000002</v>
          </cell>
          <cell r="S66">
            <v>-3883.8192299999996</v>
          </cell>
          <cell r="T66">
            <v>-336.97049000000004</v>
          </cell>
          <cell r="U66">
            <v>0</v>
          </cell>
          <cell r="V66">
            <v>-31058.654920000004</v>
          </cell>
          <cell r="W66">
            <v>0</v>
          </cell>
          <cell r="X66">
            <v>-2759.8620000000001</v>
          </cell>
          <cell r="Y66">
            <v>-737.26898000000006</v>
          </cell>
          <cell r="Z66">
            <v>1971.4082100000003</v>
          </cell>
          <cell r="AA66">
            <v>74.516999999999996</v>
          </cell>
          <cell r="AB66">
            <v>-300</v>
          </cell>
          <cell r="AC66">
            <v>-37671.35312</v>
          </cell>
          <cell r="AD66">
            <v>4489.3540200000007</v>
          </cell>
          <cell r="AE66">
            <v>-1587.7846200000001</v>
          </cell>
          <cell r="AF66">
            <v>-2880.5626099999999</v>
          </cell>
          <cell r="AG66">
            <v>0</v>
          </cell>
          <cell r="AH66">
            <v>40639.733999999989</v>
          </cell>
          <cell r="AI66">
            <v>3529.0150600000002</v>
          </cell>
          <cell r="AJ66">
            <v>-812.92977000000008</v>
          </cell>
          <cell r="AK66">
            <v>-220.35810999999995</v>
          </cell>
          <cell r="AL66">
            <v>-19210.440559999992</v>
          </cell>
          <cell r="AM66">
            <v>10794.492790000002</v>
          </cell>
          <cell r="AN66">
            <v>-6364.8435300000019</v>
          </cell>
          <cell r="AO66">
            <v>-5617.8918399999993</v>
          </cell>
          <cell r="AP66">
            <v>-729.34271000000001</v>
          </cell>
          <cell r="AQ66">
            <v>-4573.2234800000006</v>
          </cell>
          <cell r="AR66">
            <v>-2320.2238399999997</v>
          </cell>
          <cell r="AT66">
            <v>-6862.6304700000073</v>
          </cell>
          <cell r="AU66">
            <v>16.671140000000001</v>
          </cell>
          <cell r="AV66">
            <v>0</v>
          </cell>
          <cell r="AW66">
            <v>0</v>
          </cell>
          <cell r="AX66">
            <v>16.97599999999996</v>
          </cell>
          <cell r="AY66">
            <v>0</v>
          </cell>
          <cell r="AZ66">
            <v>360.71100000000001</v>
          </cell>
          <cell r="BA66">
            <v>8.6016300000000019</v>
          </cell>
          <cell r="BB66">
            <v>-33.735810000000001</v>
          </cell>
          <cell r="BC66">
            <v>-0.93569000000000002</v>
          </cell>
          <cell r="BD66">
            <v>0</v>
          </cell>
          <cell r="BE66">
            <v>3571.40823</v>
          </cell>
          <cell r="BF66">
            <v>-5497.5098799999751</v>
          </cell>
          <cell r="BG66">
            <v>-285.26046000000002</v>
          </cell>
          <cell r="BH66">
            <v>60.669809999999998</v>
          </cell>
          <cell r="BI66">
            <v>-9.7573599999999985</v>
          </cell>
          <cell r="BJ66">
            <v>0</v>
          </cell>
          <cell r="BK66">
            <v>2622.214630000009</v>
          </cell>
        </row>
        <row r="67">
          <cell r="C67">
            <v>109046.14444847267</v>
          </cell>
          <cell r="N67">
            <v>78935.553201808463</v>
          </cell>
          <cell r="O67">
            <v>-17240.394278474188</v>
          </cell>
          <cell r="P67">
            <v>-2047.5476322778122</v>
          </cell>
          <cell r="Q67">
            <v>-2418.2762352385571</v>
          </cell>
          <cell r="R67">
            <v>0</v>
          </cell>
          <cell r="S67">
            <v>-4677.0952671939194</v>
          </cell>
          <cell r="T67">
            <v>-1097.3533234821216</v>
          </cell>
          <cell r="U67">
            <v>0</v>
          </cell>
          <cell r="V67">
            <v>-11390.967433382541</v>
          </cell>
          <cell r="W67">
            <v>-1773.6161267335751</v>
          </cell>
          <cell r="X67">
            <v>-3534.3732534317564</v>
          </cell>
          <cell r="Y67">
            <v>-496.44408336852212</v>
          </cell>
          <cell r="Z67">
            <v>1356.6906723240984</v>
          </cell>
          <cell r="AA67">
            <v>0</v>
          </cell>
          <cell r="AB67">
            <v>0</v>
          </cell>
          <cell r="AC67">
            <v>-17654.353528624692</v>
          </cell>
          <cell r="AD67">
            <v>0</v>
          </cell>
          <cell r="AE67">
            <v>0</v>
          </cell>
          <cell r="AF67">
            <v>-2197.9214321132044</v>
          </cell>
          <cell r="AG67">
            <v>0</v>
          </cell>
          <cell r="AH67">
            <v>19940.524960737894</v>
          </cell>
          <cell r="AI67">
            <v>496.44408336852212</v>
          </cell>
          <cell r="AJ67">
            <v>0</v>
          </cell>
          <cell r="AK67">
            <v>0</v>
          </cell>
          <cell r="AL67">
            <v>-15615.759047584004</v>
          </cell>
          <cell r="AM67">
            <v>0</v>
          </cell>
          <cell r="AN67">
            <v>0</v>
          </cell>
          <cell r="AO67">
            <v>-6286.218179531691</v>
          </cell>
          <cell r="AP67">
            <v>-605.87836729514595</v>
          </cell>
          <cell r="AQ67">
            <v>-4951.8513432104446</v>
          </cell>
          <cell r="AR67">
            <v>-2992.686007995484</v>
          </cell>
          <cell r="AT67">
            <v>-6904.8163154320046</v>
          </cell>
          <cell r="AU67">
            <v>1152.6242716315253</v>
          </cell>
          <cell r="AV67">
            <v>783.5723665026477</v>
          </cell>
          <cell r="AW67">
            <v>252.96605156948911</v>
          </cell>
          <cell r="AX67">
            <v>-829.42893512065496</v>
          </cell>
          <cell r="AY67">
            <v>725.89879174171972</v>
          </cell>
          <cell r="AZ67">
            <v>397.89798885240293</v>
          </cell>
          <cell r="BA67">
            <v>29.984169850793499</v>
          </cell>
          <cell r="BB67">
            <v>-70.764971630185173</v>
          </cell>
          <cell r="BC67">
            <v>0</v>
          </cell>
          <cell r="BD67">
            <v>0</v>
          </cell>
          <cell r="BE67">
            <v>2093.1700362834181</v>
          </cell>
          <cell r="BF67">
            <v>-2774.0450362834181</v>
          </cell>
          <cell r="BG67">
            <v>-30.001002978521949</v>
          </cell>
          <cell r="BH67">
            <v>0</v>
          </cell>
          <cell r="BI67">
            <v>0</v>
          </cell>
          <cell r="BJ67">
            <v>0</v>
          </cell>
          <cell r="BK67">
            <v>575.53479328851688</v>
          </cell>
        </row>
        <row r="69">
          <cell r="C69">
            <v>35415.75962000015</v>
          </cell>
          <cell r="N69">
            <v>26314.280150000137</v>
          </cell>
          <cell r="O69">
            <v>-1952.8294999999994</v>
          </cell>
          <cell r="P69">
            <v>0</v>
          </cell>
          <cell r="Q69">
            <v>0</v>
          </cell>
          <cell r="R69">
            <v>13.834570000000001</v>
          </cell>
          <cell r="S69">
            <v>-1209.4678700000002</v>
          </cell>
          <cell r="T69">
            <v>-24.5776</v>
          </cell>
          <cell r="U69">
            <v>0</v>
          </cell>
          <cell r="V69">
            <v>-15232.242539999999</v>
          </cell>
          <cell r="W69">
            <v>0</v>
          </cell>
          <cell r="X69">
            <v>-4143.2266799999998</v>
          </cell>
          <cell r="Y69">
            <v>-183.27110999999999</v>
          </cell>
          <cell r="Z69">
            <v>1918.3047000000001</v>
          </cell>
          <cell r="AA69">
            <v>25.256489999999999</v>
          </cell>
          <cell r="AB69">
            <v>0</v>
          </cell>
          <cell r="AC69">
            <v>-26773.349800000004</v>
          </cell>
          <cell r="AD69">
            <v>1741.7109100000002</v>
          </cell>
          <cell r="AE69">
            <v>-981.8281199999999</v>
          </cell>
          <cell r="AF69">
            <v>-779.79061999999851</v>
          </cell>
          <cell r="AG69">
            <v>0</v>
          </cell>
          <cell r="AH69">
            <v>23528.697969999939</v>
          </cell>
          <cell r="AI69">
            <v>5425.9200400000027</v>
          </cell>
          <cell r="AJ69">
            <v>1627.1021899999714</v>
          </cell>
          <cell r="AK69">
            <v>-2561.9403000000016</v>
          </cell>
          <cell r="AL69">
            <v>-2551.716990000004</v>
          </cell>
          <cell r="AM69">
            <v>0</v>
          </cell>
          <cell r="AN69">
            <v>519.38657000000012</v>
          </cell>
          <cell r="AO69">
            <v>-878.33573000000001</v>
          </cell>
          <cell r="AP69">
            <v>-162.68412000000001</v>
          </cell>
          <cell r="AQ69">
            <v>-1374.7626600000001</v>
          </cell>
          <cell r="AR69">
            <v>-850.51345000000003</v>
          </cell>
          <cell r="AT69">
            <v>-1080.9202400000001</v>
          </cell>
          <cell r="AU69">
            <v>81.987109999999987</v>
          </cell>
          <cell r="AV69">
            <v>0</v>
          </cell>
          <cell r="AW69">
            <v>0</v>
          </cell>
          <cell r="AX69">
            <v>216.49054999999998</v>
          </cell>
          <cell r="AY69">
            <v>0</v>
          </cell>
          <cell r="AZ69">
            <v>0</v>
          </cell>
          <cell r="BA69">
            <v>1.1962899999999999</v>
          </cell>
          <cell r="BB69">
            <v>-32.41001</v>
          </cell>
          <cell r="BC69">
            <v>-0.30675000000000002</v>
          </cell>
          <cell r="BD69">
            <v>0</v>
          </cell>
          <cell r="BE69">
            <v>577.43285999999966</v>
          </cell>
          <cell r="BF69">
            <v>826.28411000003166</v>
          </cell>
          <cell r="BG69">
            <v>-743.11024999999938</v>
          </cell>
          <cell r="BH69">
            <v>-403.91059000000007</v>
          </cell>
          <cell r="BI69">
            <v>74.417379999999994</v>
          </cell>
          <cell r="BJ69">
            <v>0</v>
          </cell>
          <cell r="BK69">
            <v>971.10696000007522</v>
          </cell>
        </row>
        <row r="70">
          <cell r="C70">
            <v>36181.49723999999</v>
          </cell>
          <cell r="N70">
            <v>28187.819659999986</v>
          </cell>
          <cell r="O70">
            <v>-1219.4206500000003</v>
          </cell>
          <cell r="P70">
            <v>0</v>
          </cell>
          <cell r="Q70">
            <v>-582.577</v>
          </cell>
          <cell r="R70">
            <v>28.482149999999997</v>
          </cell>
          <cell r="S70">
            <v>-1061.2174399999999</v>
          </cell>
          <cell r="T70">
            <v>-23.333930000000002</v>
          </cell>
          <cell r="U70">
            <v>0</v>
          </cell>
          <cell r="V70">
            <v>-19136.513850000003</v>
          </cell>
          <cell r="W70">
            <v>0</v>
          </cell>
          <cell r="X70">
            <v>-1000</v>
          </cell>
          <cell r="Y70">
            <v>-431.56599</v>
          </cell>
          <cell r="Z70">
            <v>1626.4288200000001</v>
          </cell>
          <cell r="AA70">
            <v>71.184699999999992</v>
          </cell>
          <cell r="AB70">
            <v>0</v>
          </cell>
          <cell r="AC70">
            <v>-27227.322640000006</v>
          </cell>
          <cell r="AD70">
            <v>1974.8033700000001</v>
          </cell>
          <cell r="AE70">
            <v>-854.58046999999999</v>
          </cell>
          <cell r="AF70">
            <v>-853.27600999999981</v>
          </cell>
          <cell r="AG70">
            <v>0</v>
          </cell>
          <cell r="AH70">
            <v>28116.203609999997</v>
          </cell>
          <cell r="AI70">
            <v>1701.5938599999993</v>
          </cell>
          <cell r="AJ70">
            <v>2521.30566</v>
          </cell>
          <cell r="AK70">
            <v>-124.49100000000001</v>
          </cell>
          <cell r="AL70">
            <v>-2646.0356000000002</v>
          </cell>
          <cell r="AM70">
            <v>0</v>
          </cell>
          <cell r="AN70">
            <v>513.71026000000006</v>
          </cell>
          <cell r="AO70">
            <v>-1416.22109</v>
          </cell>
          <cell r="AP70">
            <v>-189.55127000000002</v>
          </cell>
          <cell r="AQ70">
            <v>-1618.4807799999999</v>
          </cell>
          <cell r="AR70">
            <v>-818.39796999999999</v>
          </cell>
          <cell r="AT70">
            <v>-1045.43004</v>
          </cell>
          <cell r="AU70">
            <v>49.870710000000003</v>
          </cell>
          <cell r="AV70">
            <v>0</v>
          </cell>
          <cell r="AW70">
            <v>0</v>
          </cell>
          <cell r="AX70">
            <v>162.32989000000001</v>
          </cell>
          <cell r="AY70">
            <v>0</v>
          </cell>
          <cell r="AZ70">
            <v>0</v>
          </cell>
          <cell r="BA70">
            <v>1.1528900000000002</v>
          </cell>
          <cell r="BB70">
            <v>-21.09581</v>
          </cell>
          <cell r="BC70">
            <v>-1.9539999999999998E-2</v>
          </cell>
          <cell r="BD70">
            <v>0</v>
          </cell>
          <cell r="BE70">
            <v>397.29020000000025</v>
          </cell>
          <cell r="BF70">
            <v>-784.49907000002361</v>
          </cell>
          <cell r="BG70">
            <v>-263.32799</v>
          </cell>
          <cell r="BH70">
            <v>23.797280000000015</v>
          </cell>
          <cell r="BI70">
            <v>0.25554000000000004</v>
          </cell>
          <cell r="BJ70">
            <v>0</v>
          </cell>
          <cell r="BK70">
            <v>4058.8704599999473</v>
          </cell>
        </row>
        <row r="71">
          <cell r="C71">
            <v>27974.91626383326</v>
          </cell>
          <cell r="N71">
            <v>26959.171549999992</v>
          </cell>
          <cell r="O71">
            <v>-7510.7204803523437</v>
          </cell>
          <cell r="P71">
            <v>0</v>
          </cell>
          <cell r="Q71">
            <v>-1047.687722619685</v>
          </cell>
          <cell r="R71">
            <v>0</v>
          </cell>
          <cell r="S71">
            <v>-2112.3821642121875</v>
          </cell>
          <cell r="T71">
            <v>-128.80258189217</v>
          </cell>
          <cell r="U71">
            <v>0</v>
          </cell>
          <cell r="V71">
            <v>-9807.2890259563137</v>
          </cell>
          <cell r="W71">
            <v>0</v>
          </cell>
          <cell r="X71">
            <v>-3952.3122773803152</v>
          </cell>
          <cell r="Y71">
            <v>-368.70409351474137</v>
          </cell>
          <cell r="Z71">
            <v>3581.911985294536</v>
          </cell>
          <cell r="AA71">
            <v>0</v>
          </cell>
          <cell r="AB71">
            <v>0</v>
          </cell>
          <cell r="AC71">
            <v>-23044.769297499999</v>
          </cell>
          <cell r="AD71">
            <v>0</v>
          </cell>
          <cell r="AE71">
            <v>0</v>
          </cell>
          <cell r="AF71">
            <v>-624.43567562268197</v>
          </cell>
          <cell r="AG71">
            <v>0</v>
          </cell>
          <cell r="AH71">
            <v>23890.006115815875</v>
          </cell>
          <cell r="AI71">
            <v>368.70409351474137</v>
          </cell>
          <cell r="AJ71">
            <v>0</v>
          </cell>
          <cell r="AK71">
            <v>0</v>
          </cell>
          <cell r="AL71">
            <v>-1939.93614779066</v>
          </cell>
          <cell r="AM71">
            <v>0</v>
          </cell>
          <cell r="AN71">
            <v>0</v>
          </cell>
          <cell r="AO71">
            <v>-905.862384189605</v>
          </cell>
          <cell r="AP71">
            <v>-109.95672275166075</v>
          </cell>
          <cell r="AQ71">
            <v>-1645.3047755602747</v>
          </cell>
          <cell r="AR71">
            <v>-814.37639854124518</v>
          </cell>
          <cell r="AT71">
            <v>-1196.340690078659</v>
          </cell>
          <cell r="AU71">
            <v>258.0201892697491</v>
          </cell>
          <cell r="AV71">
            <v>0</v>
          </cell>
          <cell r="AW71">
            <v>15.460286204844127</v>
          </cell>
          <cell r="AX71">
            <v>179.40924816806603</v>
          </cell>
          <cell r="AY71">
            <v>0</v>
          </cell>
          <cell r="AZ71">
            <v>58.322606688977999</v>
          </cell>
          <cell r="BA71">
            <v>8.0800274033346202</v>
          </cell>
          <cell r="BB71">
            <v>-81.549728907722169</v>
          </cell>
          <cell r="BC71">
            <v>0</v>
          </cell>
          <cell r="BD71">
            <v>0</v>
          </cell>
          <cell r="BE71">
            <v>199.6975825807711</v>
          </cell>
          <cell r="BF71">
            <v>37.73185485704402</v>
          </cell>
          <cell r="BG71">
            <v>-8.0800274033346202</v>
          </cell>
          <cell r="BH71">
            <v>0</v>
          </cell>
          <cell r="BI71">
            <v>0</v>
          </cell>
          <cell r="BJ71">
            <v>0</v>
          </cell>
          <cell r="BK71">
            <v>258.00534552433737</v>
          </cell>
        </row>
        <row r="73">
          <cell r="C73">
            <v>16762.979899999998</v>
          </cell>
          <cell r="N73">
            <v>16827.413349999999</v>
          </cell>
          <cell r="O73">
            <v>-159.24642999999995</v>
          </cell>
          <cell r="P73">
            <v>0</v>
          </cell>
          <cell r="Q73">
            <v>0</v>
          </cell>
          <cell r="R73">
            <v>48.9998</v>
          </cell>
          <cell r="S73">
            <v>-135.98161999999999</v>
          </cell>
          <cell r="T73">
            <v>0</v>
          </cell>
          <cell r="U73">
            <v>0</v>
          </cell>
          <cell r="V73">
            <v>-12706.276459999999</v>
          </cell>
          <cell r="W73">
            <v>0</v>
          </cell>
          <cell r="X73">
            <v>0</v>
          </cell>
          <cell r="Y73">
            <v>-36.574129999999997</v>
          </cell>
          <cell r="Z73">
            <v>347.53107999999997</v>
          </cell>
          <cell r="AA73">
            <v>6.5187900000000001</v>
          </cell>
          <cell r="AB73">
            <v>0</v>
          </cell>
          <cell r="AC73">
            <v>-10358.549370000001</v>
          </cell>
          <cell r="AD73">
            <v>0</v>
          </cell>
          <cell r="AE73">
            <v>-76.360079999999982</v>
          </cell>
          <cell r="AF73">
            <v>-12.230849999999998</v>
          </cell>
          <cell r="AG73">
            <v>0</v>
          </cell>
          <cell r="AH73">
            <v>14329.482500000007</v>
          </cell>
          <cell r="AI73">
            <v>-1340.551909999999</v>
          </cell>
          <cell r="AJ73">
            <v>-1995.2577800000001</v>
          </cell>
          <cell r="AK73">
            <v>194.84571</v>
          </cell>
          <cell r="AL73">
            <v>-1135.6946899999998</v>
          </cell>
          <cell r="AM73">
            <v>135.22403</v>
          </cell>
          <cell r="AN73">
            <v>-116.80186</v>
          </cell>
          <cell r="AO73">
            <v>-523.54792000000009</v>
          </cell>
          <cell r="AP73">
            <v>-57.814299999999996</v>
          </cell>
          <cell r="AQ73">
            <v>-1124.66911</v>
          </cell>
          <cell r="AR73">
            <v>-542.88609999999994</v>
          </cell>
          <cell r="AT73">
            <v>-1347.3256500000002</v>
          </cell>
          <cell r="AU73">
            <v>3.7230400000000001</v>
          </cell>
          <cell r="AV73">
            <v>0</v>
          </cell>
          <cell r="AW73">
            <v>0</v>
          </cell>
          <cell r="AX73">
            <v>599.80565999999999</v>
          </cell>
          <cell r="AY73">
            <v>0</v>
          </cell>
          <cell r="AZ73">
            <v>0</v>
          </cell>
          <cell r="BA73">
            <v>0.17824999999999999</v>
          </cell>
          <cell r="BB73">
            <v>-1.51542</v>
          </cell>
          <cell r="BC73">
            <v>-1.4670000000000001E-2</v>
          </cell>
          <cell r="BD73">
            <v>0</v>
          </cell>
          <cell r="BE73">
            <v>879.18129999999974</v>
          </cell>
          <cell r="BF73">
            <v>-3361.055629999998</v>
          </cell>
          <cell r="BG73">
            <v>30.052339999999997</v>
          </cell>
          <cell r="BH73">
            <v>2534.6011500000004</v>
          </cell>
          <cell r="BI73">
            <v>-8.1840000000000011</v>
          </cell>
          <cell r="BJ73">
            <v>0</v>
          </cell>
          <cell r="BK73">
            <v>897.01902000000791</v>
          </cell>
        </row>
        <row r="74">
          <cell r="C74">
            <v>15874.847610000003</v>
          </cell>
          <cell r="N74">
            <v>15675.564450000002</v>
          </cell>
          <cell r="O74">
            <v>-102.24328</v>
          </cell>
          <cell r="P74">
            <v>0</v>
          </cell>
          <cell r="Q74">
            <v>0</v>
          </cell>
          <cell r="R74">
            <v>44.189889999999998</v>
          </cell>
          <cell r="S74">
            <v>-35.024320000000003</v>
          </cell>
          <cell r="T74">
            <v>0</v>
          </cell>
          <cell r="U74">
            <v>0</v>
          </cell>
          <cell r="V74">
            <v>-15151.428599999999</v>
          </cell>
          <cell r="W74">
            <v>0</v>
          </cell>
          <cell r="X74">
            <v>0</v>
          </cell>
          <cell r="Y74">
            <v>-161.30385999999999</v>
          </cell>
          <cell r="Z74">
            <v>2801.9606299999996</v>
          </cell>
          <cell r="AA74">
            <v>24.996820000000003</v>
          </cell>
          <cell r="AB74">
            <v>0</v>
          </cell>
          <cell r="AC74">
            <v>-8613.3159300000007</v>
          </cell>
          <cell r="AD74">
            <v>0</v>
          </cell>
          <cell r="AE74">
            <v>-15.764389999999999</v>
          </cell>
          <cell r="AF74">
            <v>-5.7474799999999995</v>
          </cell>
          <cell r="AG74">
            <v>0</v>
          </cell>
          <cell r="AH74">
            <v>7429.6293499999992</v>
          </cell>
          <cell r="AI74">
            <v>150.78711000000001</v>
          </cell>
          <cell r="AJ74">
            <v>-713.69965000000116</v>
          </cell>
          <cell r="AK74">
            <v>-8.8023699999999998</v>
          </cell>
          <cell r="AL74">
            <v>-1168.3492999999999</v>
          </cell>
          <cell r="AM74">
            <v>146.47613000000001</v>
          </cell>
          <cell r="AN74">
            <v>-116.60205999999997</v>
          </cell>
          <cell r="AO74">
            <v>-458.55628999999999</v>
          </cell>
          <cell r="AP74">
            <v>-43.597819999999999</v>
          </cell>
          <cell r="AQ74">
            <v>-606.88151000000005</v>
          </cell>
          <cell r="AR74">
            <v>-336.22401000000002</v>
          </cell>
          <cell r="AT74">
            <v>-2232.8840900000005</v>
          </cell>
          <cell r="AU74">
            <v>0</v>
          </cell>
          <cell r="AV74">
            <v>0</v>
          </cell>
          <cell r="AW74">
            <v>0</v>
          </cell>
          <cell r="AX74">
            <v>2035.47867</v>
          </cell>
          <cell r="AY74">
            <v>0</v>
          </cell>
          <cell r="AZ74">
            <v>0</v>
          </cell>
          <cell r="BA74">
            <v>6.6341000000000001</v>
          </cell>
          <cell r="BB74">
            <v>-353.37985000000003</v>
          </cell>
          <cell r="BC74">
            <v>-0.11647</v>
          </cell>
          <cell r="BD74">
            <v>0</v>
          </cell>
          <cell r="BE74">
            <v>575.66580000000022</v>
          </cell>
          <cell r="BF74">
            <v>-183.94961000003099</v>
          </cell>
          <cell r="BG74">
            <v>-35.99871000000001</v>
          </cell>
          <cell r="BH74">
            <v>327.92973000000018</v>
          </cell>
          <cell r="BI74">
            <v>0.18189</v>
          </cell>
          <cell r="BJ74">
            <v>0</v>
          </cell>
          <cell r="BK74">
            <v>-1124.3750300000338</v>
          </cell>
        </row>
        <row r="75">
          <cell r="C75">
            <v>17416.689024312909</v>
          </cell>
          <cell r="N75">
            <v>17253.636448104677</v>
          </cell>
          <cell r="O75">
            <v>-2345.6912591632718</v>
          </cell>
          <cell r="P75">
            <v>0</v>
          </cell>
          <cell r="Q75">
            <v>0</v>
          </cell>
          <cell r="R75">
            <v>0</v>
          </cell>
          <cell r="S75">
            <v>-451.18143287034445</v>
          </cell>
          <cell r="T75">
            <v>0</v>
          </cell>
          <cell r="U75">
            <v>0</v>
          </cell>
          <cell r="V75">
            <v>-13159.094003479539</v>
          </cell>
          <cell r="W75">
            <v>0</v>
          </cell>
          <cell r="X75">
            <v>0</v>
          </cell>
          <cell r="Y75">
            <v>-268.1334885990309</v>
          </cell>
          <cell r="Z75">
            <v>2873.3303229914318</v>
          </cell>
          <cell r="AA75">
            <v>0</v>
          </cell>
          <cell r="AB75">
            <v>0</v>
          </cell>
          <cell r="AC75">
            <v>-7399.8187819749983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7947.0766384972567</v>
          </cell>
          <cell r="AI75">
            <v>268.1334885990309</v>
          </cell>
          <cell r="AJ75">
            <v>0</v>
          </cell>
          <cell r="AK75">
            <v>0</v>
          </cell>
          <cell r="AL75">
            <v>-1256.1231673897412</v>
          </cell>
          <cell r="AM75">
            <v>0</v>
          </cell>
          <cell r="AN75">
            <v>0</v>
          </cell>
          <cell r="AO75">
            <v>-515.59415517317552</v>
          </cell>
          <cell r="AP75">
            <v>-51.436538238894606</v>
          </cell>
          <cell r="AQ75">
            <v>-1201.604239839879</v>
          </cell>
          <cell r="AR75">
            <v>-601.91006035215707</v>
          </cell>
          <cell r="AT75">
            <v>-1703.0930402884339</v>
          </cell>
          <cell r="AU75">
            <v>325.44236259738869</v>
          </cell>
          <cell r="AV75">
            <v>0</v>
          </cell>
          <cell r="AW75">
            <v>0</v>
          </cell>
          <cell r="AX75">
            <v>1825.6991943863532</v>
          </cell>
          <cell r="AY75">
            <v>0</v>
          </cell>
          <cell r="AZ75">
            <v>0</v>
          </cell>
          <cell r="BA75">
            <v>35.80812297525641</v>
          </cell>
          <cell r="BB75">
            <v>-398.64726662683955</v>
          </cell>
          <cell r="BC75">
            <v>0</v>
          </cell>
          <cell r="BD75">
            <v>0</v>
          </cell>
          <cell r="BE75">
            <v>-370.00000000000023</v>
          </cell>
          <cell r="BF75">
            <v>0</v>
          </cell>
          <cell r="BG75">
            <v>-35.80812297525641</v>
          </cell>
          <cell r="BH75">
            <v>0</v>
          </cell>
          <cell r="BI75">
            <v>0</v>
          </cell>
          <cell r="BJ75">
            <v>0</v>
          </cell>
          <cell r="BK75">
            <v>770.99102117983455</v>
          </cell>
        </row>
        <row r="77">
          <cell r="C77">
            <v>21438.51123</v>
          </cell>
          <cell r="N77">
            <v>16910.640050000002</v>
          </cell>
          <cell r="O77">
            <v>-1255.86607</v>
          </cell>
          <cell r="P77">
            <v>0</v>
          </cell>
          <cell r="Q77">
            <v>0</v>
          </cell>
          <cell r="R77">
            <v>0</v>
          </cell>
          <cell r="S77">
            <v>-550.52026999999998</v>
          </cell>
          <cell r="T77">
            <v>0</v>
          </cell>
          <cell r="U77">
            <v>0</v>
          </cell>
          <cell r="V77">
            <v>-11965.480940000003</v>
          </cell>
          <cell r="W77">
            <v>0</v>
          </cell>
          <cell r="X77">
            <v>0</v>
          </cell>
          <cell r="Y77">
            <v>-29.853380000000001</v>
          </cell>
          <cell r="Z77">
            <v>196.84054000000003</v>
          </cell>
          <cell r="AA77">
            <v>0.42625000000000002</v>
          </cell>
          <cell r="AB77">
            <v>0</v>
          </cell>
          <cell r="AC77">
            <v>-10904.234530000002</v>
          </cell>
          <cell r="AD77">
            <v>197.76732000000001</v>
          </cell>
          <cell r="AE77">
            <v>-290.39060000000001</v>
          </cell>
          <cell r="AF77">
            <v>0</v>
          </cell>
          <cell r="AG77">
            <v>0</v>
          </cell>
          <cell r="AH77">
            <v>12416.12024</v>
          </cell>
          <cell r="AI77">
            <v>531.20354999999995</v>
          </cell>
          <cell r="AJ77">
            <v>-0.46661999999993498</v>
          </cell>
          <cell r="AK77">
            <v>-29.665990000000019</v>
          </cell>
          <cell r="AL77">
            <v>-2360.3773700000002</v>
          </cell>
          <cell r="AM77">
            <v>643.93407999999999</v>
          </cell>
          <cell r="AN77">
            <v>-401.82125000000002</v>
          </cell>
          <cell r="AO77">
            <v>-272.51947999999999</v>
          </cell>
          <cell r="AP77">
            <v>-25.08736</v>
          </cell>
          <cell r="AQ77">
            <v>-641.6707899999999</v>
          </cell>
          <cell r="AR77">
            <v>-323.93842999999998</v>
          </cell>
          <cell r="AT77">
            <v>-880.90075000000002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1345.82996</v>
          </cell>
          <cell r="BF77">
            <v>141.33521999999996</v>
          </cell>
          <cell r="BG77">
            <v>-26.612089999999995</v>
          </cell>
          <cell r="BH77">
            <v>-4.8919599999999992</v>
          </cell>
          <cell r="BI77">
            <v>0.72611000000000003</v>
          </cell>
          <cell r="BJ77">
            <v>0</v>
          </cell>
          <cell r="BK77">
            <v>2420.5254399999958</v>
          </cell>
        </row>
        <row r="78">
          <cell r="C78">
            <v>20226.444560000004</v>
          </cell>
          <cell r="N78">
            <v>17696.824699999997</v>
          </cell>
          <cell r="O78">
            <v>-1167.5751400000001</v>
          </cell>
          <cell r="P78">
            <v>0</v>
          </cell>
          <cell r="Q78">
            <v>0</v>
          </cell>
          <cell r="R78">
            <v>12.65169</v>
          </cell>
          <cell r="S78">
            <v>-259.30796999999995</v>
          </cell>
          <cell r="T78">
            <v>0</v>
          </cell>
          <cell r="U78">
            <v>0</v>
          </cell>
          <cell r="V78">
            <v>-11772.183249999998</v>
          </cell>
          <cell r="W78">
            <v>0</v>
          </cell>
          <cell r="X78">
            <v>0</v>
          </cell>
          <cell r="Y78">
            <v>-122.99845000000002</v>
          </cell>
          <cell r="Z78">
            <v>211.19963999999999</v>
          </cell>
          <cell r="AA78">
            <v>1.7716300000000003</v>
          </cell>
          <cell r="AB78">
            <v>0</v>
          </cell>
          <cell r="AC78">
            <v>-11281.772960000002</v>
          </cell>
          <cell r="AD78">
            <v>660.40837999999997</v>
          </cell>
          <cell r="AE78">
            <v>-132.81900999999999</v>
          </cell>
          <cell r="AF78">
            <v>0</v>
          </cell>
          <cell r="AG78">
            <v>0</v>
          </cell>
          <cell r="AH78">
            <v>12167.280310000002</v>
          </cell>
          <cell r="AI78">
            <v>56.578100000000049</v>
          </cell>
          <cell r="AJ78">
            <v>0.29176000000048674</v>
          </cell>
          <cell r="AK78">
            <v>13.142359999999989</v>
          </cell>
          <cell r="AL78">
            <v>-2277.1605300000001</v>
          </cell>
          <cell r="AM78">
            <v>558.36796000000004</v>
          </cell>
          <cell r="AN78">
            <v>-386.54005000000001</v>
          </cell>
          <cell r="AO78">
            <v>-321.31238999999999</v>
          </cell>
          <cell r="AP78">
            <v>-29.37171</v>
          </cell>
          <cell r="AQ78">
            <v>-458.60413999999997</v>
          </cell>
          <cell r="AR78">
            <v>-248.88333</v>
          </cell>
          <cell r="AT78">
            <v>-1172.19982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1123.5928600000002</v>
          </cell>
          <cell r="BF78">
            <v>-68.924000000000476</v>
          </cell>
          <cell r="BG78">
            <v>1.8468799999999925</v>
          </cell>
          <cell r="BH78">
            <v>-6.6202699999999979</v>
          </cell>
          <cell r="BI78">
            <v>-1.0327999999999997</v>
          </cell>
          <cell r="BJ78">
            <v>0</v>
          </cell>
          <cell r="BK78">
            <v>2796.6504499999974</v>
          </cell>
        </row>
        <row r="79">
          <cell r="C79">
            <v>18835.481761060088</v>
          </cell>
          <cell r="N79">
            <v>15358.187411086048</v>
          </cell>
          <cell r="O79">
            <v>-6749.2707741861886</v>
          </cell>
          <cell r="P79">
            <v>0</v>
          </cell>
          <cell r="Q79">
            <v>0</v>
          </cell>
          <cell r="R79">
            <v>0</v>
          </cell>
          <cell r="S79">
            <v>-831.27392793773106</v>
          </cell>
          <cell r="T79">
            <v>0</v>
          </cell>
          <cell r="U79">
            <v>0</v>
          </cell>
          <cell r="V79">
            <v>-4920.8134344078153</v>
          </cell>
          <cell r="W79">
            <v>0</v>
          </cell>
          <cell r="X79">
            <v>0</v>
          </cell>
          <cell r="Y79">
            <v>-139.8042291478333</v>
          </cell>
          <cell r="Z79">
            <v>68.588186292470908</v>
          </cell>
          <cell r="AA79">
            <v>0</v>
          </cell>
          <cell r="AB79">
            <v>0</v>
          </cell>
          <cell r="AC79">
            <v>-5844.720874749999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6459.4078559608515</v>
          </cell>
          <cell r="AI79">
            <v>139.8042291478333</v>
          </cell>
          <cell r="AJ79">
            <v>0</v>
          </cell>
          <cell r="AK79">
            <v>0</v>
          </cell>
          <cell r="AL79">
            <v>-1614.9291988564037</v>
          </cell>
          <cell r="AM79">
            <v>0</v>
          </cell>
          <cell r="AN79">
            <v>0</v>
          </cell>
          <cell r="AO79">
            <v>-299.96464811263468</v>
          </cell>
          <cell r="AP79">
            <v>-27.873822051207753</v>
          </cell>
          <cell r="AQ79">
            <v>-677.69705800391671</v>
          </cell>
          <cell r="AR79">
            <v>-330.84588061255522</v>
          </cell>
          <cell r="AT79">
            <v>-995.88803749999943</v>
          </cell>
          <cell r="AU79">
            <v>485.62610561043499</v>
          </cell>
          <cell r="AV79">
            <v>0</v>
          </cell>
          <cell r="AW79">
            <v>0</v>
          </cell>
          <cell r="AX79">
            <v>390.81392438956578</v>
          </cell>
          <cell r="AY79">
            <v>0</v>
          </cell>
          <cell r="AZ79">
            <v>0</v>
          </cell>
          <cell r="BA79">
            <v>9.6826168180550081</v>
          </cell>
          <cell r="BB79">
            <v>-4.9350832810798897</v>
          </cell>
          <cell r="BC79">
            <v>0</v>
          </cell>
          <cell r="BD79">
            <v>0</v>
          </cell>
          <cell r="BE79">
            <v>13.228362499999946</v>
          </cell>
          <cell r="BF79">
            <v>0</v>
          </cell>
          <cell r="BG79">
            <v>-9.6826168180550081</v>
          </cell>
          <cell r="BH79">
            <v>0</v>
          </cell>
          <cell r="BI79">
            <v>0</v>
          </cell>
          <cell r="BJ79">
            <v>0</v>
          </cell>
          <cell r="BK79">
            <v>477.63910613983944</v>
          </cell>
        </row>
        <row r="81">
          <cell r="C81">
            <v>73617.250750000152</v>
          </cell>
          <cell r="N81">
            <v>60052.333550000141</v>
          </cell>
          <cell r="O81">
            <v>-3367.9419999999996</v>
          </cell>
          <cell r="P81">
            <v>0</v>
          </cell>
          <cell r="Q81">
            <v>0</v>
          </cell>
          <cell r="R81">
            <v>62.83437</v>
          </cell>
          <cell r="S81">
            <v>-1895.9697600000002</v>
          </cell>
          <cell r="T81">
            <v>-24.5776</v>
          </cell>
          <cell r="U81">
            <v>0</v>
          </cell>
          <cell r="V81">
            <v>-39903.999940000002</v>
          </cell>
          <cell r="W81">
            <v>0</v>
          </cell>
          <cell r="X81">
            <v>-4143.2266799999998</v>
          </cell>
          <cell r="Y81">
            <v>-249.69862000000001</v>
          </cell>
          <cell r="Z81">
            <v>2462.6763200000005</v>
          </cell>
          <cell r="AA81">
            <v>32.201529999999998</v>
          </cell>
          <cell r="AB81">
            <v>0</v>
          </cell>
          <cell r="AC81">
            <v>-48036.133700000006</v>
          </cell>
          <cell r="AD81">
            <v>1939.4782300000002</v>
          </cell>
          <cell r="AE81">
            <v>-1348.5787999999998</v>
          </cell>
          <cell r="AF81">
            <v>-792.02146999999854</v>
          </cell>
          <cell r="AG81">
            <v>0</v>
          </cell>
          <cell r="AH81">
            <v>50274.300709999952</v>
          </cell>
          <cell r="AI81">
            <v>4616.5716800000037</v>
          </cell>
          <cell r="AJ81">
            <v>-368.62221000002864</v>
          </cell>
          <cell r="AK81">
            <v>-2396.7605800000015</v>
          </cell>
          <cell r="AL81">
            <v>-6047.789050000004</v>
          </cell>
          <cell r="AM81">
            <v>779.15810999999997</v>
          </cell>
          <cell r="AN81">
            <v>0.76346000000006597</v>
          </cell>
          <cell r="AO81">
            <v>-1674.4031300000001</v>
          </cell>
          <cell r="AP81">
            <v>-245.58578</v>
          </cell>
          <cell r="AQ81">
            <v>-3141.1025600000003</v>
          </cell>
          <cell r="AR81">
            <v>-1717.33798</v>
          </cell>
          <cell r="AT81">
            <v>-3309.1466399999999</v>
          </cell>
          <cell r="AU81">
            <v>85.710149999999985</v>
          </cell>
          <cell r="AV81">
            <v>0</v>
          </cell>
          <cell r="AW81">
            <v>0</v>
          </cell>
          <cell r="AX81">
            <v>816.29620999999997</v>
          </cell>
          <cell r="AY81">
            <v>0</v>
          </cell>
          <cell r="AZ81">
            <v>0</v>
          </cell>
          <cell r="BA81">
            <v>1.3745399999999999</v>
          </cell>
          <cell r="BB81">
            <v>-33.925429999999999</v>
          </cell>
          <cell r="BC81">
            <v>-0.32142000000000004</v>
          </cell>
          <cell r="BD81">
            <v>0</v>
          </cell>
          <cell r="BE81">
            <v>2802.4441199999992</v>
          </cell>
          <cell r="BF81">
            <v>-2393.4362999999666</v>
          </cell>
          <cell r="BG81">
            <v>-739.66999999999939</v>
          </cell>
          <cell r="BH81">
            <v>2125.7986000000005</v>
          </cell>
          <cell r="BI81">
            <v>66.959490000000002</v>
          </cell>
          <cell r="BJ81">
            <v>0</v>
          </cell>
          <cell r="BK81">
            <v>4288.6514200000784</v>
          </cell>
        </row>
        <row r="82">
          <cell r="C82">
            <v>72282.789409999998</v>
          </cell>
          <cell r="N82">
            <v>61560.208809999982</v>
          </cell>
          <cell r="O82">
            <v>-2489.2390700000005</v>
          </cell>
          <cell r="P82">
            <v>0</v>
          </cell>
          <cell r="Q82">
            <v>-582.577</v>
          </cell>
          <cell r="R82">
            <v>85.323729999999998</v>
          </cell>
          <cell r="S82">
            <v>-1355.5497299999997</v>
          </cell>
          <cell r="T82">
            <v>-23.333930000000002</v>
          </cell>
          <cell r="U82">
            <v>0</v>
          </cell>
          <cell r="V82">
            <v>-46060.125700000004</v>
          </cell>
          <cell r="W82">
            <v>0</v>
          </cell>
          <cell r="X82">
            <v>-1000</v>
          </cell>
          <cell r="Y82">
            <v>-715.86830000000009</v>
          </cell>
          <cell r="Z82">
            <v>4639.5890899999995</v>
          </cell>
          <cell r="AA82">
            <v>97.953149999999994</v>
          </cell>
          <cell r="AB82">
            <v>0</v>
          </cell>
          <cell r="AC82">
            <v>-47122.411530000012</v>
          </cell>
          <cell r="AD82">
            <v>2635.2117499999999</v>
          </cell>
          <cell r="AE82">
            <v>-1003.1638700000001</v>
          </cell>
          <cell r="AF82">
            <v>-859.02348999999981</v>
          </cell>
          <cell r="AG82">
            <v>0</v>
          </cell>
          <cell r="AH82">
            <v>47713.113270000002</v>
          </cell>
          <cell r="AI82">
            <v>1908.9590699999992</v>
          </cell>
          <cell r="AJ82">
            <v>1807.8977699999994</v>
          </cell>
          <cell r="AK82">
            <v>-120.15101000000001</v>
          </cell>
          <cell r="AL82">
            <v>-6091.5454300000001</v>
          </cell>
          <cell r="AM82">
            <v>704.84409000000005</v>
          </cell>
          <cell r="AN82">
            <v>10.568150000000117</v>
          </cell>
          <cell r="AO82">
            <v>-2196.08977</v>
          </cell>
          <cell r="AP82">
            <v>-262.52080000000001</v>
          </cell>
          <cell r="AQ82">
            <v>-2683.9664299999999</v>
          </cell>
          <cell r="AR82">
            <v>-1403.50531</v>
          </cell>
          <cell r="AT82">
            <v>-4450.5139500000005</v>
          </cell>
          <cell r="AU82">
            <v>49.870710000000003</v>
          </cell>
          <cell r="AV82">
            <v>0</v>
          </cell>
          <cell r="AW82">
            <v>0</v>
          </cell>
          <cell r="AX82">
            <v>2197.8085599999999</v>
          </cell>
          <cell r="AY82">
            <v>0</v>
          </cell>
          <cell r="AZ82">
            <v>0</v>
          </cell>
          <cell r="BA82">
            <v>7.7869900000000003</v>
          </cell>
          <cell r="BB82">
            <v>-374.47566000000006</v>
          </cell>
          <cell r="BC82">
            <v>-0.13600999999999999</v>
          </cell>
          <cell r="BD82">
            <v>0</v>
          </cell>
          <cell r="BE82">
            <v>2096.5488600000008</v>
          </cell>
          <cell r="BF82">
            <v>-1037.372680000055</v>
          </cell>
          <cell r="BG82">
            <v>-297.47982000000002</v>
          </cell>
          <cell r="BH82">
            <v>345.10674000000017</v>
          </cell>
          <cell r="BI82">
            <v>-0.59536999999999973</v>
          </cell>
          <cell r="BJ82">
            <v>0</v>
          </cell>
          <cell r="BK82">
            <v>5731.1458799999109</v>
          </cell>
        </row>
        <row r="83">
          <cell r="C83">
            <v>64227.087049206253</v>
          </cell>
          <cell r="N83">
            <v>59570.995409190713</v>
          </cell>
          <cell r="O83">
            <v>-16605.682513701802</v>
          </cell>
          <cell r="P83">
            <v>0</v>
          </cell>
          <cell r="Q83">
            <v>-1047.687722619685</v>
          </cell>
          <cell r="R83">
            <v>0</v>
          </cell>
          <cell r="S83">
            <v>-3394.837525020263</v>
          </cell>
          <cell r="T83">
            <v>-128.80258189217</v>
          </cell>
          <cell r="U83">
            <v>0</v>
          </cell>
          <cell r="V83">
            <v>-27887.196463843669</v>
          </cell>
          <cell r="W83">
            <v>0</v>
          </cell>
          <cell r="X83">
            <v>-3952.3122773803152</v>
          </cell>
          <cell r="Y83">
            <v>-776.64181126160554</v>
          </cell>
          <cell r="Z83">
            <v>6523.8304945784384</v>
          </cell>
          <cell r="AA83">
            <v>0</v>
          </cell>
          <cell r="AB83">
            <v>0</v>
          </cell>
          <cell r="AC83">
            <v>-36289.308954224995</v>
          </cell>
          <cell r="AD83">
            <v>0</v>
          </cell>
          <cell r="AE83">
            <v>0</v>
          </cell>
          <cell r="AF83">
            <v>-624.43567562268197</v>
          </cell>
          <cell r="AG83">
            <v>0</v>
          </cell>
          <cell r="AH83">
            <v>38296.490610273984</v>
          </cell>
          <cell r="AI83">
            <v>776.64181126160554</v>
          </cell>
          <cell r="AJ83">
            <v>0</v>
          </cell>
          <cell r="AK83">
            <v>0</v>
          </cell>
          <cell r="AL83">
            <v>-4810.9885140368051</v>
          </cell>
          <cell r="AM83">
            <v>0</v>
          </cell>
          <cell r="AN83">
            <v>0</v>
          </cell>
          <cell r="AO83">
            <v>-1721.4211874754151</v>
          </cell>
          <cell r="AP83">
            <v>-189.2670830417631</v>
          </cell>
          <cell r="AQ83">
            <v>-3524.6060734040702</v>
          </cell>
          <cell r="AR83">
            <v>-1747.1323395059574</v>
          </cell>
          <cell r="AT83">
            <v>-3895.3217678670921</v>
          </cell>
          <cell r="AU83">
            <v>1069.0886574775727</v>
          </cell>
          <cell r="AV83">
            <v>0</v>
          </cell>
          <cell r="AW83">
            <v>15.460286204844127</v>
          </cell>
          <cell r="AX83">
            <v>2395.9223669439848</v>
          </cell>
          <cell r="AY83">
            <v>0</v>
          </cell>
          <cell r="AZ83">
            <v>58.322606688977999</v>
          </cell>
          <cell r="BA83">
            <v>53.570767196646038</v>
          </cell>
          <cell r="BB83">
            <v>-485.13207881564159</v>
          </cell>
          <cell r="BC83">
            <v>0</v>
          </cell>
          <cell r="BD83">
            <v>0</v>
          </cell>
          <cell r="BE83">
            <v>-157.07405491922918</v>
          </cell>
          <cell r="BF83">
            <v>37.73185485704402</v>
          </cell>
          <cell r="BG83">
            <v>-53.570767196646038</v>
          </cell>
          <cell r="BH83">
            <v>0</v>
          </cell>
          <cell r="BI83">
            <v>0</v>
          </cell>
          <cell r="BJ83">
            <v>0</v>
          </cell>
          <cell r="BK83">
            <v>1506.6354728440115</v>
          </cell>
        </row>
        <row r="91">
          <cell r="BK91">
            <v>6681.0850899999568</v>
          </cell>
        </row>
        <row r="94">
          <cell r="C94">
            <v>44285.491729999994</v>
          </cell>
          <cell r="N94">
            <v>31663.642259999993</v>
          </cell>
          <cell r="O94">
            <v>-1269.77568</v>
          </cell>
          <cell r="P94">
            <v>-95.090830000000025</v>
          </cell>
          <cell r="Q94">
            <v>0</v>
          </cell>
          <cell r="R94">
            <v>39.634969999999996</v>
          </cell>
          <cell r="S94">
            <v>-1001.30047</v>
          </cell>
          <cell r="T94">
            <v>-91.729180000000014</v>
          </cell>
          <cell r="U94">
            <v>0</v>
          </cell>
          <cell r="V94">
            <v>-7770.8003751317647</v>
          </cell>
          <cell r="W94">
            <v>-131.18622999999999</v>
          </cell>
          <cell r="X94">
            <v>-2876.1094648682351</v>
          </cell>
          <cell r="Y94">
            <v>-82.253579999999999</v>
          </cell>
          <cell r="Z94">
            <v>433.74856</v>
          </cell>
          <cell r="AA94">
            <v>5.3130600000000001</v>
          </cell>
          <cell r="AB94">
            <v>0</v>
          </cell>
          <cell r="AC94">
            <v>-8699.1070899999995</v>
          </cell>
          <cell r="AD94">
            <v>1580.4366799999998</v>
          </cell>
          <cell r="AE94">
            <v>-244.27416000000002</v>
          </cell>
          <cell r="AF94">
            <v>-864.97365000000002</v>
          </cell>
          <cell r="AG94">
            <v>0</v>
          </cell>
          <cell r="AH94">
            <v>5347.8338000000022</v>
          </cell>
          <cell r="AI94">
            <v>1319.3105299999997</v>
          </cell>
          <cell r="AJ94">
            <v>602.57348999999977</v>
          </cell>
          <cell r="AK94">
            <v>-34.206789999999998</v>
          </cell>
          <cell r="AL94">
            <v>-8965.6440700000057</v>
          </cell>
          <cell r="AM94">
            <v>5444.3955000000014</v>
          </cell>
          <cell r="AN94">
            <v>-3895.7110200000016</v>
          </cell>
          <cell r="AO94">
            <v>-2635.7420099999999</v>
          </cell>
          <cell r="AP94">
            <v>-323.44275999999996</v>
          </cell>
          <cell r="AQ94">
            <v>-2251.4018599999999</v>
          </cell>
          <cell r="AR94">
            <v>-1089.1653699999999</v>
          </cell>
          <cell r="AT94">
            <v>-3651.8638600000022</v>
          </cell>
          <cell r="AU94">
            <v>0</v>
          </cell>
          <cell r="AV94">
            <v>0</v>
          </cell>
          <cell r="AW94">
            <v>0</v>
          </cell>
          <cell r="AX94">
            <v>-229.72649261680365</v>
          </cell>
          <cell r="AY94">
            <v>0</v>
          </cell>
          <cell r="AZ94">
            <v>229.72649261680365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10.223200000000007</v>
          </cell>
          <cell r="BF94">
            <v>5.7260099999999952</v>
          </cell>
          <cell r="BG94">
            <v>132.01148999999998</v>
          </cell>
          <cell r="BH94">
            <v>-131.92773</v>
          </cell>
          <cell r="BI94">
            <v>-9.0049099999999989</v>
          </cell>
          <cell r="BJ94">
            <v>0</v>
          </cell>
          <cell r="BK94">
            <v>470.13845999998313</v>
          </cell>
        </row>
        <row r="95">
          <cell r="C95">
            <v>44239.843330000018</v>
          </cell>
          <cell r="N95">
            <v>31611.678159999996</v>
          </cell>
          <cell r="O95">
            <v>-1090.2655099999999</v>
          </cell>
          <cell r="P95">
            <v>0</v>
          </cell>
          <cell r="Q95">
            <v>-300</v>
          </cell>
          <cell r="R95">
            <v>24.819680000000002</v>
          </cell>
          <cell r="S95">
            <v>-955.50758000000008</v>
          </cell>
          <cell r="T95">
            <v>-75.612799999999993</v>
          </cell>
          <cell r="U95">
            <v>0</v>
          </cell>
          <cell r="V95">
            <v>-10546.374459999999</v>
          </cell>
          <cell r="W95">
            <v>0</v>
          </cell>
          <cell r="X95">
            <v>-1303.92</v>
          </cell>
          <cell r="Y95">
            <v>-180.71017000000001</v>
          </cell>
          <cell r="Z95">
            <v>458.93342000000007</v>
          </cell>
          <cell r="AA95">
            <v>9.8851200000000006</v>
          </cell>
          <cell r="AB95">
            <v>0</v>
          </cell>
          <cell r="AC95">
            <v>-9744.2763099999975</v>
          </cell>
          <cell r="AD95">
            <v>1800.8639899999998</v>
          </cell>
          <cell r="AE95">
            <v>-233.27582999999998</v>
          </cell>
          <cell r="AF95">
            <v>-955.21227999999985</v>
          </cell>
          <cell r="AG95">
            <v>0</v>
          </cell>
          <cell r="AH95">
            <v>12232.378350000001</v>
          </cell>
          <cell r="AI95">
            <v>312.06279000000001</v>
          </cell>
          <cell r="AJ95">
            <v>48.41686</v>
          </cell>
          <cell r="AK95">
            <v>12.60952</v>
          </cell>
          <cell r="AL95">
            <v>-8880.1208099999894</v>
          </cell>
          <cell r="AM95">
            <v>5541.8872200000023</v>
          </cell>
          <cell r="AN95">
            <v>-4017.5521700000022</v>
          </cell>
          <cell r="AO95">
            <v>-2247.5880200000001</v>
          </cell>
          <cell r="AP95">
            <v>-309.36097000000001</v>
          </cell>
          <cell r="AQ95">
            <v>-2014.1872099999998</v>
          </cell>
          <cell r="AR95">
            <v>-997.1514699999999</v>
          </cell>
          <cell r="AT95">
            <v>-3742.9561100000087</v>
          </cell>
          <cell r="AU95">
            <v>0</v>
          </cell>
          <cell r="AV95">
            <v>0</v>
          </cell>
          <cell r="AW95">
            <v>0</v>
          </cell>
          <cell r="AX95">
            <v>-181.94900000000001</v>
          </cell>
          <cell r="AY95">
            <v>0</v>
          </cell>
          <cell r="AZ95">
            <v>195.44900000000001</v>
          </cell>
          <cell r="BA95">
            <v>0.28973000000000004</v>
          </cell>
          <cell r="BB95">
            <v>-0.82153999999999994</v>
          </cell>
          <cell r="BC95">
            <v>-2.2760000000000002E-2</v>
          </cell>
          <cell r="BD95">
            <v>0</v>
          </cell>
          <cell r="BE95">
            <v>535.53095999999994</v>
          </cell>
          <cell r="BF95">
            <v>-2199.4221199999997</v>
          </cell>
          <cell r="BG95">
            <v>-45.729789999999994</v>
          </cell>
          <cell r="BH95">
            <v>12.675789999999983</v>
          </cell>
          <cell r="BI95">
            <v>-0.17496999999999974</v>
          </cell>
          <cell r="BJ95">
            <v>0</v>
          </cell>
          <cell r="BK95">
            <v>2775.2887100000003</v>
          </cell>
        </row>
        <row r="96">
          <cell r="C96">
            <v>47713.147407008655</v>
          </cell>
          <cell r="N96">
            <v>35451.528823653607</v>
          </cell>
          <cell r="O96">
            <v>-7272.4463810334146</v>
          </cell>
          <cell r="P96">
            <v>-1784.2396185461075</v>
          </cell>
          <cell r="Q96">
            <v>-1653.6352203336317</v>
          </cell>
          <cell r="R96">
            <v>0</v>
          </cell>
          <cell r="S96">
            <v>-1272.4659827676383</v>
          </cell>
          <cell r="T96">
            <v>-535.85135508227768</v>
          </cell>
          <cell r="U96">
            <v>0</v>
          </cell>
          <cell r="V96">
            <v>-2724.2525882866639</v>
          </cell>
          <cell r="W96">
            <v>-1725.95640547123</v>
          </cell>
          <cell r="X96">
            <v>-1708.8881577775246</v>
          </cell>
          <cell r="Y96">
            <v>-218.53228905432962</v>
          </cell>
          <cell r="Z96">
            <v>336.46405868593558</v>
          </cell>
          <cell r="AA96">
            <v>0</v>
          </cell>
          <cell r="AB96">
            <v>0</v>
          </cell>
          <cell r="AC96">
            <v>-6313.3125394834287</v>
          </cell>
          <cell r="AD96">
            <v>0</v>
          </cell>
          <cell r="AE96">
            <v>0</v>
          </cell>
          <cell r="AF96">
            <v>-672.48997504547401</v>
          </cell>
          <cell r="AG96">
            <v>0</v>
          </cell>
          <cell r="AH96">
            <v>7032.5525145289021</v>
          </cell>
          <cell r="AI96">
            <v>218.53228905432962</v>
          </cell>
          <cell r="AJ96">
            <v>0</v>
          </cell>
          <cell r="AK96">
            <v>0</v>
          </cell>
          <cell r="AL96">
            <v>-8284.8873291285145</v>
          </cell>
          <cell r="AM96">
            <v>0</v>
          </cell>
          <cell r="AN96">
            <v>0</v>
          </cell>
          <cell r="AO96">
            <v>-2681.4539677437879</v>
          </cell>
          <cell r="AP96">
            <v>-276.58632190321777</v>
          </cell>
          <cell r="AQ96">
            <v>-2360.5708554068115</v>
          </cell>
          <cell r="AR96">
            <v>-1299.4923160903127</v>
          </cell>
          <cell r="AT96">
            <v>-3980.3844979951232</v>
          </cell>
          <cell r="AU96">
            <v>913.69827698105894</v>
          </cell>
          <cell r="AV96">
            <v>742.77816719210193</v>
          </cell>
          <cell r="AW96">
            <v>168.8692339949028</v>
          </cell>
          <cell r="AX96">
            <v>-977.18429708373992</v>
          </cell>
          <cell r="AY96">
            <v>718.51489126445495</v>
          </cell>
          <cell r="AZ96">
            <v>195.18338571660408</v>
          </cell>
          <cell r="BA96">
            <v>19.211232897883527</v>
          </cell>
          <cell r="BB96">
            <v>-28.696733212985855</v>
          </cell>
          <cell r="BC96">
            <v>0</v>
          </cell>
          <cell r="BD96">
            <v>0</v>
          </cell>
          <cell r="BE96">
            <v>1526.2423704972343</v>
          </cell>
          <cell r="BF96">
            <v>-1526.2423704972343</v>
          </cell>
          <cell r="BG96">
            <v>-19.211232897883527</v>
          </cell>
          <cell r="BH96">
            <v>0</v>
          </cell>
          <cell r="BI96">
            <v>0</v>
          </cell>
          <cell r="BJ96">
            <v>0</v>
          </cell>
          <cell r="BK96">
            <v>6.7948096256820349</v>
          </cell>
        </row>
        <row r="98">
          <cell r="C98">
            <v>20384.019190000006</v>
          </cell>
          <cell r="N98">
            <v>9965.6149800000094</v>
          </cell>
          <cell r="O98">
            <v>-136.02235999999996</v>
          </cell>
          <cell r="P98">
            <v>0</v>
          </cell>
          <cell r="Q98">
            <v>0</v>
          </cell>
          <cell r="R98">
            <v>0</v>
          </cell>
          <cell r="S98">
            <v>-545.84274000000005</v>
          </cell>
          <cell r="T98">
            <v>-99.727119999999999</v>
          </cell>
          <cell r="U98">
            <v>0</v>
          </cell>
          <cell r="V98">
            <v>-4273.2673778146027</v>
          </cell>
          <cell r="W98">
            <v>-2.0423100000000001</v>
          </cell>
          <cell r="X98">
            <v>-867.02166218539764</v>
          </cell>
          <cell r="Y98">
            <v>-66.091200000000001</v>
          </cell>
          <cell r="Z98">
            <v>622.97780999999998</v>
          </cell>
          <cell r="AA98">
            <v>7.6509599999999995</v>
          </cell>
          <cell r="AB98">
            <v>0</v>
          </cell>
          <cell r="AC98">
            <v>-4656.9144099999994</v>
          </cell>
          <cell r="AD98">
            <v>367.52810999999997</v>
          </cell>
          <cell r="AE98">
            <v>-408.29341999999997</v>
          </cell>
          <cell r="AF98">
            <v>-1162.5415599999999</v>
          </cell>
          <cell r="AG98">
            <v>0</v>
          </cell>
          <cell r="AH98">
            <v>1386.1562200000005</v>
          </cell>
          <cell r="AI98">
            <v>1576.96949</v>
          </cell>
          <cell r="AJ98">
            <v>1334.9118699999999</v>
          </cell>
          <cell r="AK98">
            <v>-109.97704999999999</v>
          </cell>
          <cell r="AL98">
            <v>-4070.5306100000016</v>
          </cell>
          <cell r="AM98">
            <v>2060.2424100000017</v>
          </cell>
          <cell r="AN98">
            <v>-134.26237999999978</v>
          </cell>
          <cell r="AO98">
            <v>-1106.0917899999999</v>
          </cell>
          <cell r="AP98">
            <v>-120.87400000000002</v>
          </cell>
          <cell r="AQ98">
            <v>-714.7110899999999</v>
          </cell>
          <cell r="AR98">
            <v>-393.16589999999997</v>
          </cell>
          <cell r="AT98">
            <v>-840.55972999999994</v>
          </cell>
          <cell r="AU98">
            <v>158.95562000000001</v>
          </cell>
          <cell r="AV98">
            <v>0</v>
          </cell>
          <cell r="AW98">
            <v>0</v>
          </cell>
          <cell r="AX98">
            <v>43.330906104303835</v>
          </cell>
          <cell r="AY98">
            <v>0</v>
          </cell>
          <cell r="AZ98">
            <v>94.388093895696159</v>
          </cell>
          <cell r="BA98">
            <v>2.3705100000000003</v>
          </cell>
          <cell r="BB98">
            <v>-16.684240000000003</v>
          </cell>
          <cell r="BC98">
            <v>-0.27799000000000001</v>
          </cell>
          <cell r="BD98">
            <v>0</v>
          </cell>
          <cell r="BE98">
            <v>210.80145999999996</v>
          </cell>
          <cell r="BF98">
            <v>-239.39397999999983</v>
          </cell>
          <cell r="BG98">
            <v>79.098590000000002</v>
          </cell>
          <cell r="BH98">
            <v>-134.90647000000001</v>
          </cell>
          <cell r="BI98">
            <v>1.1174299999999997</v>
          </cell>
          <cell r="BJ98">
            <v>0</v>
          </cell>
          <cell r="BK98">
            <v>-2187.08492999999</v>
          </cell>
        </row>
        <row r="99">
          <cell r="C99">
            <v>19524.08855</v>
          </cell>
          <cell r="N99">
            <v>10265.196589999996</v>
          </cell>
          <cell r="O99">
            <v>-88.853639999999999</v>
          </cell>
          <cell r="P99">
            <v>0</v>
          </cell>
          <cell r="Q99">
            <v>0</v>
          </cell>
          <cell r="R99">
            <v>0</v>
          </cell>
          <cell r="S99">
            <v>-627.16816000000006</v>
          </cell>
          <cell r="T99">
            <v>-12.718159999999999</v>
          </cell>
          <cell r="U99">
            <v>0</v>
          </cell>
          <cell r="V99">
            <v>-5133.2653000000009</v>
          </cell>
          <cell r="W99">
            <v>0</v>
          </cell>
          <cell r="X99">
            <v>-196.21800000000002</v>
          </cell>
          <cell r="Y99">
            <v>-147.97812999999999</v>
          </cell>
          <cell r="Z99">
            <v>579.04309999999998</v>
          </cell>
          <cell r="AA99">
            <v>16.650259999999999</v>
          </cell>
          <cell r="AB99">
            <v>0</v>
          </cell>
          <cell r="AC99">
            <v>-6271.8030399999998</v>
          </cell>
          <cell r="AD99">
            <v>834.21836000000008</v>
          </cell>
          <cell r="AE99">
            <v>-506.23861999999997</v>
          </cell>
          <cell r="AF99">
            <v>-997.41205000000002</v>
          </cell>
          <cell r="AG99">
            <v>0</v>
          </cell>
          <cell r="AH99">
            <v>5568.6918699999987</v>
          </cell>
          <cell r="AI99">
            <v>1962.7797599999999</v>
          </cell>
          <cell r="AJ99">
            <v>-1716.0964600000002</v>
          </cell>
          <cell r="AK99">
            <v>-127.47584999999995</v>
          </cell>
          <cell r="AL99">
            <v>-3893.0014500000029</v>
          </cell>
          <cell r="AM99">
            <v>2037.7481000000002</v>
          </cell>
          <cell r="AN99">
            <v>-360.63668000000035</v>
          </cell>
          <cell r="AO99">
            <v>-1159.6293700000001</v>
          </cell>
          <cell r="AP99">
            <v>-119.25981999999999</v>
          </cell>
          <cell r="AQ99">
            <v>-912.47444000000007</v>
          </cell>
          <cell r="AR99">
            <v>-378.52382</v>
          </cell>
          <cell r="AT99">
            <v>-766.04667999999981</v>
          </cell>
          <cell r="AU99">
            <v>5.5733600000000001</v>
          </cell>
          <cell r="AV99">
            <v>0</v>
          </cell>
          <cell r="AW99">
            <v>0</v>
          </cell>
          <cell r="AX99">
            <v>180.066</v>
          </cell>
          <cell r="AY99">
            <v>0</v>
          </cell>
          <cell r="AZ99">
            <v>11.936999999999999</v>
          </cell>
          <cell r="BA99">
            <v>5.7299000000000007</v>
          </cell>
          <cell r="BB99">
            <v>-20.860939999999999</v>
          </cell>
          <cell r="BC99">
            <v>-0.62577000000000005</v>
          </cell>
          <cell r="BD99">
            <v>0</v>
          </cell>
          <cell r="BE99">
            <v>1323.1727600000002</v>
          </cell>
          <cell r="BF99">
            <v>-1596.6222199999927</v>
          </cell>
          <cell r="BG99">
            <v>-412.63710000000003</v>
          </cell>
          <cell r="BH99">
            <v>191.86138999999997</v>
          </cell>
          <cell r="BI99">
            <v>12.490109999999998</v>
          </cell>
          <cell r="BJ99">
            <v>0</v>
          </cell>
          <cell r="BK99">
            <v>-2450.3871400000025</v>
          </cell>
        </row>
        <row r="100">
          <cell r="C100">
            <v>19651.217130392339</v>
          </cell>
          <cell r="N100">
            <v>10005.848272309137</v>
          </cell>
          <cell r="O100">
            <v>-1276.3036986458508</v>
          </cell>
          <cell r="P100">
            <v>0</v>
          </cell>
          <cell r="Q100">
            <v>-163.74247468474334</v>
          </cell>
          <cell r="R100">
            <v>0</v>
          </cell>
          <cell r="S100">
            <v>-819.6804221642634</v>
          </cell>
          <cell r="T100">
            <v>-54.173756832623482</v>
          </cell>
          <cell r="U100">
            <v>0</v>
          </cell>
          <cell r="V100">
            <v>-2309.7492690101158</v>
          </cell>
          <cell r="W100">
            <v>0</v>
          </cell>
          <cell r="X100">
            <v>-734.5682866894474</v>
          </cell>
          <cell r="Y100">
            <v>-86.239312174313895</v>
          </cell>
          <cell r="Z100">
            <v>417.84989064866409</v>
          </cell>
          <cell r="AA100">
            <v>0</v>
          </cell>
          <cell r="AB100">
            <v>0</v>
          </cell>
          <cell r="AC100">
            <v>-3024.3987374144981</v>
          </cell>
          <cell r="AD100">
            <v>0</v>
          </cell>
          <cell r="AE100">
            <v>0</v>
          </cell>
          <cell r="AF100">
            <v>-897.55313466209145</v>
          </cell>
          <cell r="AG100">
            <v>0</v>
          </cell>
          <cell r="AH100">
            <v>3920.95187207659</v>
          </cell>
          <cell r="AI100">
            <v>86.239312174313895</v>
          </cell>
          <cell r="AJ100">
            <v>0</v>
          </cell>
          <cell r="AK100">
            <v>0</v>
          </cell>
          <cell r="AL100">
            <v>-2033.3495735722927</v>
          </cell>
          <cell r="AM100">
            <v>0</v>
          </cell>
          <cell r="AN100">
            <v>0</v>
          </cell>
          <cell r="AO100">
            <v>-1170.4315470230501</v>
          </cell>
          <cell r="AP100">
            <v>-91.89570901234994</v>
          </cell>
          <cell r="AQ100">
            <v>-755.26424374104499</v>
          </cell>
          <cell r="AR100">
            <v>-453.6292222825312</v>
          </cell>
          <cell r="AT100">
            <v>-814.08526783796765</v>
          </cell>
          <cell r="AU100">
            <v>-0.54989451193616645</v>
          </cell>
          <cell r="AV100">
            <v>0</v>
          </cell>
          <cell r="AW100">
            <v>18.736630028773497</v>
          </cell>
          <cell r="AX100">
            <v>125.00108259405472</v>
          </cell>
          <cell r="AY100">
            <v>0</v>
          </cell>
          <cell r="AZ100">
            <v>84.054758822162782</v>
          </cell>
          <cell r="BA100">
            <v>4.2179505303005982</v>
          </cell>
          <cell r="BB100">
            <v>-21.231917968694376</v>
          </cell>
          <cell r="BC100">
            <v>0</v>
          </cell>
          <cell r="BD100">
            <v>0</v>
          </cell>
          <cell r="BE100">
            <v>392.04588600796211</v>
          </cell>
          <cell r="BF100">
            <v>-524.42088600796205</v>
          </cell>
          <cell r="BG100">
            <v>-4.2347836580290465</v>
          </cell>
          <cell r="BH100">
            <v>0</v>
          </cell>
          <cell r="BI100">
            <v>0</v>
          </cell>
          <cell r="BJ100">
            <v>0</v>
          </cell>
          <cell r="BK100">
            <v>-180.55648270184673</v>
          </cell>
        </row>
        <row r="102">
          <cell r="C102">
            <v>9838.3433100000057</v>
          </cell>
          <cell r="N102">
            <v>7473.7875800000074</v>
          </cell>
          <cell r="O102">
            <v>-56.513039999999997</v>
          </cell>
          <cell r="P102">
            <v>0</v>
          </cell>
          <cell r="Q102">
            <v>0</v>
          </cell>
          <cell r="R102">
            <v>0</v>
          </cell>
          <cell r="S102">
            <v>-434.27814000000001</v>
          </cell>
          <cell r="T102">
            <v>-2.3420900000000002</v>
          </cell>
          <cell r="U102">
            <v>0</v>
          </cell>
          <cell r="V102">
            <v>-1870.6724299999998</v>
          </cell>
          <cell r="W102">
            <v>0</v>
          </cell>
          <cell r="X102">
            <v>0</v>
          </cell>
          <cell r="Y102">
            <v>-15.812110000000001</v>
          </cell>
          <cell r="Z102">
            <v>96.630070000000003</v>
          </cell>
          <cell r="AA102">
            <v>0.65661999999999998</v>
          </cell>
          <cell r="AB102">
            <v>0</v>
          </cell>
          <cell r="AC102">
            <v>-1813.8456099999999</v>
          </cell>
          <cell r="AD102">
            <v>162.90045000000001</v>
          </cell>
          <cell r="AE102">
            <v>-111.15804999999999</v>
          </cell>
          <cell r="AF102">
            <v>-112.35956999999991</v>
          </cell>
          <cell r="AG102">
            <v>0</v>
          </cell>
          <cell r="AH102">
            <v>2449.8680699999995</v>
          </cell>
          <cell r="AI102">
            <v>3936.7170799999999</v>
          </cell>
          <cell r="AJ102">
            <v>-63.816370000000006</v>
          </cell>
          <cell r="AK102">
            <v>-542.80196999999987</v>
          </cell>
          <cell r="AL102">
            <v>-1482.7394699999993</v>
          </cell>
          <cell r="AM102">
            <v>492.61746000000005</v>
          </cell>
          <cell r="AN102">
            <v>-133.00974999999988</v>
          </cell>
          <cell r="AO102">
            <v>-448.89389000000006</v>
          </cell>
          <cell r="AP102">
            <v>-60.488130000000005</v>
          </cell>
          <cell r="AQ102">
            <v>-321.41020999999995</v>
          </cell>
          <cell r="AR102">
            <v>-247.23608999999999</v>
          </cell>
          <cell r="AT102">
            <v>-733.54214000000002</v>
          </cell>
          <cell r="AU102">
            <v>0</v>
          </cell>
          <cell r="AV102">
            <v>0</v>
          </cell>
          <cell r="AW102">
            <v>0</v>
          </cell>
          <cell r="AX102">
            <v>26.768999999999998</v>
          </cell>
          <cell r="AY102">
            <v>0</v>
          </cell>
          <cell r="AZ102">
            <v>0</v>
          </cell>
          <cell r="BA102">
            <v>9.7310000000000008E-2</v>
          </cell>
          <cell r="BB102">
            <v>-0.90457999999999972</v>
          </cell>
          <cell r="BC102">
            <v>-2.6900000000000001E-3</v>
          </cell>
          <cell r="BD102">
            <v>0</v>
          </cell>
          <cell r="BE102">
            <v>113.03822</v>
          </cell>
          <cell r="BF102">
            <v>-107.97099999999986</v>
          </cell>
          <cell r="BG102">
            <v>-10.326790000000001</v>
          </cell>
          <cell r="BH102">
            <v>-0.59697</v>
          </cell>
          <cell r="BI102">
            <v>0.35829</v>
          </cell>
          <cell r="BJ102">
            <v>0</v>
          </cell>
          <cell r="BK102">
            <v>6182.7190600000067</v>
          </cell>
        </row>
        <row r="103">
          <cell r="C103">
            <v>9881.5442199999979</v>
          </cell>
          <cell r="N103">
            <v>7402.6470399999998</v>
          </cell>
          <cell r="O103">
            <v>-47.692100000000003</v>
          </cell>
          <cell r="P103">
            <v>0</v>
          </cell>
          <cell r="Q103">
            <v>0</v>
          </cell>
          <cell r="R103">
            <v>1.01</v>
          </cell>
          <cell r="S103">
            <v>-399.11994999999996</v>
          </cell>
          <cell r="T103">
            <v>-2.592559999999994</v>
          </cell>
          <cell r="U103">
            <v>0</v>
          </cell>
          <cell r="V103">
            <v>-1982.99551</v>
          </cell>
          <cell r="W103">
            <v>0</v>
          </cell>
          <cell r="X103">
            <v>0</v>
          </cell>
          <cell r="Y103">
            <v>-213.48800000000003</v>
          </cell>
          <cell r="Z103">
            <v>103.39392000000001</v>
          </cell>
          <cell r="AA103">
            <v>27.614549999999998</v>
          </cell>
          <cell r="AB103">
            <v>0</v>
          </cell>
          <cell r="AC103">
            <v>-1693.3029000000001</v>
          </cell>
          <cell r="AD103">
            <v>131.5369</v>
          </cell>
          <cell r="AE103">
            <v>-108.41867000000001</v>
          </cell>
          <cell r="AF103">
            <v>-85.925380000000004</v>
          </cell>
          <cell r="AG103">
            <v>0</v>
          </cell>
          <cell r="AH103">
            <v>1975.9299799999983</v>
          </cell>
          <cell r="AI103">
            <v>1287.8643000000002</v>
          </cell>
          <cell r="AJ103">
            <v>9.9428599999999765</v>
          </cell>
          <cell r="AK103">
            <v>-169.05882</v>
          </cell>
          <cell r="AL103">
            <v>-1527.1300200000001</v>
          </cell>
          <cell r="AM103">
            <v>502.99308999999994</v>
          </cell>
          <cell r="AN103">
            <v>-141.04222000000016</v>
          </cell>
          <cell r="AO103">
            <v>-414.33103</v>
          </cell>
          <cell r="AP103">
            <v>-42.741370000000003</v>
          </cell>
          <cell r="AQ103">
            <v>-384.19724000000008</v>
          </cell>
          <cell r="AR103">
            <v>-111.19726000000003</v>
          </cell>
          <cell r="AT103">
            <v>-935.96563999999989</v>
          </cell>
          <cell r="AU103">
            <v>0</v>
          </cell>
          <cell r="AV103">
            <v>0</v>
          </cell>
          <cell r="AW103">
            <v>0</v>
          </cell>
          <cell r="AX103">
            <v>28</v>
          </cell>
          <cell r="AY103">
            <v>0</v>
          </cell>
          <cell r="AZ103">
            <v>0</v>
          </cell>
          <cell r="BA103">
            <v>0.41990000000000005</v>
          </cell>
          <cell r="BB103">
            <v>-0.90058000000000005</v>
          </cell>
          <cell r="BC103">
            <v>-1.107E-2</v>
          </cell>
          <cell r="BD103">
            <v>0</v>
          </cell>
          <cell r="BE103">
            <v>83.623490000000018</v>
          </cell>
          <cell r="BF103">
            <v>-43.664000000000001</v>
          </cell>
          <cell r="BG103">
            <v>-0.48411999999999999</v>
          </cell>
          <cell r="BH103">
            <v>-3.9837500000000001</v>
          </cell>
          <cell r="BI103">
            <v>-8.0069999999999988E-2</v>
          </cell>
          <cell r="BJ103">
            <v>0</v>
          </cell>
          <cell r="BK103">
            <v>3246.6537699999963</v>
          </cell>
        </row>
        <row r="104">
          <cell r="C104">
            <v>8756.5032194748201</v>
          </cell>
          <cell r="N104">
            <v>7293.0416299186909</v>
          </cell>
          <cell r="O104">
            <v>-337.03898920800606</v>
          </cell>
          <cell r="P104">
            <v>0</v>
          </cell>
          <cell r="Q104">
            <v>0</v>
          </cell>
          <cell r="R104">
            <v>0</v>
          </cell>
          <cell r="S104">
            <v>-431.57712119072471</v>
          </cell>
          <cell r="T104">
            <v>-53.523947379385703</v>
          </cell>
          <cell r="U104">
            <v>0</v>
          </cell>
          <cell r="V104">
            <v>-1357.425456895955</v>
          </cell>
          <cell r="W104">
            <v>0</v>
          </cell>
          <cell r="X104">
            <v>0</v>
          </cell>
          <cell r="Y104">
            <v>-31.079490027684173</v>
          </cell>
          <cell r="Z104">
            <v>58.886364000610385</v>
          </cell>
          <cell r="AA104">
            <v>0</v>
          </cell>
          <cell r="AB104">
            <v>0</v>
          </cell>
          <cell r="AC104">
            <v>-1554.828886888396</v>
          </cell>
          <cell r="AD104">
            <v>0</v>
          </cell>
          <cell r="AE104">
            <v>0</v>
          </cell>
          <cell r="AF104">
            <v>-107.04789475877141</v>
          </cell>
          <cell r="AG104">
            <v>0</v>
          </cell>
          <cell r="AH104">
            <v>1661.8767816471675</v>
          </cell>
          <cell r="AI104">
            <v>31.079490027684173</v>
          </cell>
          <cell r="AJ104">
            <v>0</v>
          </cell>
          <cell r="AK104">
            <v>0</v>
          </cell>
          <cell r="AL104">
            <v>-1138.0553824257722</v>
          </cell>
          <cell r="AM104">
            <v>0</v>
          </cell>
          <cell r="AN104">
            <v>0</v>
          </cell>
          <cell r="AO104">
            <v>-446.25708290409216</v>
          </cell>
          <cell r="AP104">
            <v>-38.682146558902645</v>
          </cell>
          <cell r="AQ104">
            <v>-342.36066058946466</v>
          </cell>
          <cell r="AR104">
            <v>-271.96114126812188</v>
          </cell>
          <cell r="AT104">
            <v>-675.22675823435759</v>
          </cell>
          <cell r="AU104">
            <v>8.9072521418095327</v>
          </cell>
          <cell r="AV104">
            <v>0</v>
          </cell>
          <cell r="AW104">
            <v>0</v>
          </cell>
          <cell r="AX104">
            <v>118.08029852971413</v>
          </cell>
          <cell r="AY104">
            <v>0</v>
          </cell>
          <cell r="AZ104">
            <v>0</v>
          </cell>
          <cell r="BA104">
            <v>1.8225958094694423</v>
          </cell>
          <cell r="BB104">
            <v>-1.3482454073210342</v>
          </cell>
          <cell r="BC104">
            <v>0</v>
          </cell>
          <cell r="BD104">
            <v>0</v>
          </cell>
          <cell r="BE104">
            <v>251.23998326925152</v>
          </cell>
          <cell r="BF104">
            <v>-251.23998326925152</v>
          </cell>
          <cell r="BG104">
            <v>-1.8225958094694423</v>
          </cell>
          <cell r="BH104">
            <v>0</v>
          </cell>
          <cell r="BI104">
            <v>0</v>
          </cell>
          <cell r="BJ104">
            <v>0</v>
          </cell>
          <cell r="BK104">
            <v>2385.4586125287228</v>
          </cell>
        </row>
      </sheetData>
      <sheetData sheetId="1" refreshError="1">
        <row r="21">
          <cell r="C21">
            <v>7772.7622200000023</v>
          </cell>
          <cell r="N21">
            <v>7591.6696600000068</v>
          </cell>
          <cell r="O21">
            <v>86.429610000000082</v>
          </cell>
          <cell r="P21">
            <v>0</v>
          </cell>
          <cell r="Q21">
            <v>0</v>
          </cell>
          <cell r="R21">
            <v>0</v>
          </cell>
          <cell r="S21">
            <v>-373.24165000000005</v>
          </cell>
          <cell r="T21">
            <v>-32.457700000000003</v>
          </cell>
          <cell r="U21">
            <v>0</v>
          </cell>
          <cell r="V21">
            <v>-4060.4520661552106</v>
          </cell>
          <cell r="W21">
            <v>0</v>
          </cell>
          <cell r="X21">
            <v>-716.71089384479023</v>
          </cell>
          <cell r="Y21">
            <v>-62.135709999999996</v>
          </cell>
          <cell r="Z21">
            <v>526.79781000000003</v>
          </cell>
          <cell r="AA21">
            <v>11.204879999999999</v>
          </cell>
          <cell r="AB21">
            <v>0</v>
          </cell>
          <cell r="AC21">
            <v>-3708.76667</v>
          </cell>
          <cell r="AD21">
            <v>90.833870000000019</v>
          </cell>
          <cell r="AE21">
            <v>-167.11004</v>
          </cell>
          <cell r="AF21">
            <v>-307.40471999999983</v>
          </cell>
          <cell r="AG21">
            <v>0</v>
          </cell>
          <cell r="AH21">
            <v>-3304.2126700000044</v>
          </cell>
          <cell r="AI21">
            <v>598.46528999999987</v>
          </cell>
          <cell r="AJ21">
            <v>8838.9961199999998</v>
          </cell>
          <cell r="AK21">
            <v>95.984960000000001</v>
          </cell>
          <cell r="AL21">
            <v>-1224.61697</v>
          </cell>
          <cell r="AM21">
            <v>731.29336000000001</v>
          </cell>
          <cell r="AN21">
            <v>-708.12240000000043</v>
          </cell>
          <cell r="AO21">
            <v>-633.92719000000011</v>
          </cell>
          <cell r="AP21">
            <v>-74.69726</v>
          </cell>
          <cell r="AQ21">
            <v>-323.81529</v>
          </cell>
          <cell r="AR21">
            <v>-278.85574000000003</v>
          </cell>
          <cell r="AT21">
            <v>-194.97451000000012</v>
          </cell>
          <cell r="AU21">
            <v>0</v>
          </cell>
          <cell r="AV21">
            <v>0</v>
          </cell>
          <cell r="AW21">
            <v>0</v>
          </cell>
          <cell r="AX21">
            <v>-58.679545152376477</v>
          </cell>
          <cell r="AY21">
            <v>0</v>
          </cell>
          <cell r="AZ21">
            <v>58.679545152376477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103.71096000000003</v>
          </cell>
          <cell r="BF21">
            <v>141.95086999999037</v>
          </cell>
          <cell r="BG21">
            <v>7.2088300000000034</v>
          </cell>
          <cell r="BH21">
            <v>-1055.6177699999998</v>
          </cell>
          <cell r="BI21">
            <v>-16.950580000000006</v>
          </cell>
          <cell r="BJ21">
            <v>0</v>
          </cell>
          <cell r="BK21">
            <v>1580.4763899999903</v>
          </cell>
        </row>
        <row r="22">
          <cell r="C22">
            <v>7975.8582299999989</v>
          </cell>
          <cell r="N22">
            <v>7668.9382899999982</v>
          </cell>
          <cell r="O22">
            <v>298.81952999999999</v>
          </cell>
          <cell r="P22">
            <v>0</v>
          </cell>
          <cell r="Q22">
            <v>-250.923</v>
          </cell>
          <cell r="R22">
            <v>6.5329999999999941</v>
          </cell>
          <cell r="S22">
            <v>-545.97465</v>
          </cell>
          <cell r="T22">
            <v>-33.165230000000037</v>
          </cell>
          <cell r="U22">
            <v>0</v>
          </cell>
          <cell r="V22">
            <v>-3922.01854</v>
          </cell>
          <cell r="W22">
            <v>0</v>
          </cell>
          <cell r="X22">
            <v>-700.03700000000003</v>
          </cell>
          <cell r="Y22">
            <v>-75.272859999999994</v>
          </cell>
          <cell r="Z22">
            <v>357.52008999999998</v>
          </cell>
          <cell r="AA22">
            <v>9.4441600000000001</v>
          </cell>
          <cell r="AB22">
            <v>0</v>
          </cell>
          <cell r="AC22">
            <v>-6941.0537100000001</v>
          </cell>
          <cell r="AD22">
            <v>74.171360000000021</v>
          </cell>
          <cell r="AE22">
            <v>-257.57135</v>
          </cell>
          <cell r="AF22">
            <v>-394.98625000000004</v>
          </cell>
          <cell r="AG22">
            <v>0</v>
          </cell>
          <cell r="AH22">
            <v>9772.5699499999973</v>
          </cell>
          <cell r="AI22">
            <v>2.5935300000000243</v>
          </cell>
          <cell r="AJ22">
            <v>578.18948999999986</v>
          </cell>
          <cell r="AK22">
            <v>30.778649999999995</v>
          </cell>
          <cell r="AL22">
            <v>-1255.6116199999999</v>
          </cell>
          <cell r="AM22">
            <v>772.98386000000005</v>
          </cell>
          <cell r="AN22">
            <v>-727.84982999999966</v>
          </cell>
          <cell r="AO22">
            <v>-590.20442000000003</v>
          </cell>
          <cell r="AP22">
            <v>-85.549880000000002</v>
          </cell>
          <cell r="AQ22">
            <v>-327.43367000000001</v>
          </cell>
          <cell r="AR22">
            <v>-249.11735999999999</v>
          </cell>
          <cell r="AT22">
            <v>-658.22116999999957</v>
          </cell>
          <cell r="AU22">
            <v>0</v>
          </cell>
          <cell r="AV22">
            <v>0</v>
          </cell>
          <cell r="AW22">
            <v>0</v>
          </cell>
          <cell r="AX22">
            <v>-92.89</v>
          </cell>
          <cell r="AY22">
            <v>0</v>
          </cell>
          <cell r="AZ22">
            <v>92.89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1021.0603999999998</v>
          </cell>
          <cell r="BF22">
            <v>214.17540000001617</v>
          </cell>
          <cell r="BG22">
            <v>84.846609999999998</v>
          </cell>
          <cell r="BH22">
            <v>-114.51036999999999</v>
          </cell>
          <cell r="BI22">
            <v>-6.6076999999999995</v>
          </cell>
          <cell r="BJ22">
            <v>0</v>
          </cell>
          <cell r="BK22">
            <v>3756.5157100000119</v>
          </cell>
        </row>
        <row r="23">
          <cell r="C23">
            <v>9007.1362122563278</v>
          </cell>
          <cell r="N23">
            <v>8403.2178728811959</v>
          </cell>
          <cell r="O23">
            <v>-1114.7981461036572</v>
          </cell>
          <cell r="P23">
            <v>0</v>
          </cell>
          <cell r="Q23">
            <v>-268.77749364952427</v>
          </cell>
          <cell r="R23">
            <v>0</v>
          </cell>
          <cell r="S23">
            <v>-573.936473143939</v>
          </cell>
          <cell r="T23">
            <v>-104.07956158263974</v>
          </cell>
          <cell r="U23">
            <v>0</v>
          </cell>
          <cell r="V23">
            <v>-2058.1675458686445</v>
          </cell>
          <cell r="W23">
            <v>0</v>
          </cell>
          <cell r="X23">
            <v>-487.95905809032558</v>
          </cell>
          <cell r="Y23">
            <v>-60.959138300178125</v>
          </cell>
          <cell r="Z23">
            <v>243.16833641756841</v>
          </cell>
          <cell r="AA23">
            <v>0</v>
          </cell>
          <cell r="AB23">
            <v>0</v>
          </cell>
          <cell r="AC23">
            <v>-3070.8048602097488</v>
          </cell>
          <cell r="AD23">
            <v>0</v>
          </cell>
          <cell r="AE23">
            <v>0</v>
          </cell>
          <cell r="AF23">
            <v>-250.70270030030335</v>
          </cell>
          <cell r="AG23">
            <v>0</v>
          </cell>
          <cell r="AH23">
            <v>3347.7575605100519</v>
          </cell>
          <cell r="AI23">
            <v>60.959138300178125</v>
          </cell>
          <cell r="AJ23">
            <v>0</v>
          </cell>
          <cell r="AK23">
            <v>0</v>
          </cell>
          <cell r="AL23">
            <v>-1355.3948973759998</v>
          </cell>
          <cell r="AM23">
            <v>0</v>
          </cell>
          <cell r="AN23">
            <v>0</v>
          </cell>
          <cell r="AO23">
            <v>-631.60748187927993</v>
          </cell>
          <cell r="AP23">
            <v>-77.675267920782005</v>
          </cell>
          <cell r="AQ23">
            <v>-354.91785153999251</v>
          </cell>
          <cell r="AR23">
            <v>-275.81636274192499</v>
          </cell>
          <cell r="AT23">
            <v>-360.0094529962584</v>
          </cell>
          <cell r="AU23">
            <v>76.686981698269079</v>
          </cell>
          <cell r="AV23">
            <v>0</v>
          </cell>
          <cell r="AW23">
            <v>42.240705228577355</v>
          </cell>
          <cell r="AX23">
            <v>-108.77600189854937</v>
          </cell>
          <cell r="AY23">
            <v>0</v>
          </cell>
          <cell r="AZ23">
            <v>76.686981698269079</v>
          </cell>
          <cell r="BA23">
            <v>1.2639107303676234</v>
          </cell>
          <cell r="BB23">
            <v>-5.2379016799349918</v>
          </cell>
          <cell r="BC23">
            <v>0</v>
          </cell>
          <cell r="BD23">
            <v>0</v>
          </cell>
          <cell r="BE23">
            <v>-159.1029067571437</v>
          </cell>
          <cell r="BF23">
            <v>-23.730426576189643</v>
          </cell>
          <cell r="BG23">
            <v>-1.2639107303676234</v>
          </cell>
          <cell r="BH23">
            <v>0</v>
          </cell>
          <cell r="BI23">
            <v>0</v>
          </cell>
          <cell r="BJ23">
            <v>0</v>
          </cell>
          <cell r="BK23">
            <v>908.26404811909413</v>
          </cell>
        </row>
        <row r="25">
          <cell r="C25">
            <v>5613.1757199999984</v>
          </cell>
          <cell r="N25">
            <v>5344.1295399999963</v>
          </cell>
          <cell r="O25">
            <v>-1638.1086300000002</v>
          </cell>
          <cell r="P25">
            <v>-4.8120399999999997</v>
          </cell>
          <cell r="Q25">
            <v>0</v>
          </cell>
          <cell r="R25">
            <v>32.569929999999999</v>
          </cell>
          <cell r="S25">
            <v>-319.3587</v>
          </cell>
          <cell r="T25">
            <v>-32.537890000000004</v>
          </cell>
          <cell r="U25">
            <v>0</v>
          </cell>
          <cell r="V25">
            <v>-1889.3035</v>
          </cell>
          <cell r="W25">
            <v>-3.4964400000000002</v>
          </cell>
          <cell r="X25">
            <v>0</v>
          </cell>
          <cell r="Y25">
            <v>-2.99153</v>
          </cell>
          <cell r="Z25">
            <v>27.692080000000001</v>
          </cell>
          <cell r="AA25">
            <v>4.0710000000000003E-2</v>
          </cell>
          <cell r="AB25">
            <v>-150</v>
          </cell>
          <cell r="AC25">
            <v>-2286.9028400000002</v>
          </cell>
          <cell r="AD25">
            <v>563.30906999999991</v>
          </cell>
          <cell r="AE25">
            <v>-79.1965</v>
          </cell>
          <cell r="AF25">
            <v>-64.979729999999989</v>
          </cell>
          <cell r="AG25">
            <v>0</v>
          </cell>
          <cell r="AH25">
            <v>2209.1103000000003</v>
          </cell>
          <cell r="AI25">
            <v>23.201539999999998</v>
          </cell>
          <cell r="AJ25">
            <v>7.5494400000000077</v>
          </cell>
          <cell r="AK25">
            <v>0.18065000000000003</v>
          </cell>
          <cell r="AL25">
            <v>-973.96096000000034</v>
          </cell>
          <cell r="AM25">
            <v>527.54944</v>
          </cell>
          <cell r="AN25">
            <v>-484.81435000000027</v>
          </cell>
          <cell r="AO25">
            <v>-520.5092699999999</v>
          </cell>
          <cell r="AP25">
            <v>-56.94359</v>
          </cell>
          <cell r="AQ25">
            <v>-227.99326999999997</v>
          </cell>
          <cell r="AR25">
            <v>-210.94918999999999</v>
          </cell>
          <cell r="AT25">
            <v>-51.714020000000005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0.5373</v>
          </cell>
          <cell r="BH25">
            <v>-1.677E-2</v>
          </cell>
          <cell r="BI25">
            <v>-3.4399999999999999E-3</v>
          </cell>
          <cell r="BJ25">
            <v>0</v>
          </cell>
          <cell r="BK25">
            <v>-262.72266000000377</v>
          </cell>
        </row>
        <row r="26">
          <cell r="C26">
            <v>5581.0265400000026</v>
          </cell>
          <cell r="N26">
            <v>5178.1473300000034</v>
          </cell>
          <cell r="O26">
            <v>-1537.8694499999999</v>
          </cell>
          <cell r="P26">
            <v>0</v>
          </cell>
          <cell r="Q26">
            <v>0</v>
          </cell>
          <cell r="R26">
            <v>64.377530000000007</v>
          </cell>
          <cell r="S26">
            <v>-384.49338</v>
          </cell>
          <cell r="T26">
            <v>-30.638449999999999</v>
          </cell>
          <cell r="U26">
            <v>0</v>
          </cell>
          <cell r="V26">
            <v>-2342.0757800000001</v>
          </cell>
          <cell r="W26">
            <v>0</v>
          </cell>
          <cell r="X26">
            <v>0</v>
          </cell>
          <cell r="Y26">
            <v>-17.66685</v>
          </cell>
          <cell r="Z26">
            <v>38.537610000000001</v>
          </cell>
          <cell r="AA26">
            <v>0.28561000000000003</v>
          </cell>
          <cell r="AB26">
            <v>-270</v>
          </cell>
          <cell r="AC26">
            <v>-2457.4524999999999</v>
          </cell>
          <cell r="AD26">
            <v>808.14636999999982</v>
          </cell>
          <cell r="AE26">
            <v>-96.786389999999997</v>
          </cell>
          <cell r="AF26">
            <v>-88.999420000000001</v>
          </cell>
          <cell r="AG26">
            <v>0</v>
          </cell>
          <cell r="AH26">
            <v>2555.6004800000001</v>
          </cell>
          <cell r="AI26">
            <v>23.672100000000007</v>
          </cell>
          <cell r="AJ26">
            <v>-30.906069999999996</v>
          </cell>
          <cell r="AK26">
            <v>-0.28685000000000005</v>
          </cell>
          <cell r="AL26">
            <v>-967.12963999999897</v>
          </cell>
          <cell r="AM26">
            <v>541.85592999999994</v>
          </cell>
          <cell r="AN26">
            <v>-475.24272999999999</v>
          </cell>
          <cell r="AO26">
            <v>-467.39501999999999</v>
          </cell>
          <cell r="AP26">
            <v>-60.949860000000001</v>
          </cell>
          <cell r="AQ26">
            <v>-198.94626</v>
          </cell>
          <cell r="AR26">
            <v>-180.01591999999999</v>
          </cell>
          <cell r="AT26">
            <v>-77.552999999999997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-0.65532000000000001</v>
          </cell>
          <cell r="BF26">
            <v>-4.6559999999999997</v>
          </cell>
          <cell r="BG26">
            <v>-3.5200000000000001E-3</v>
          </cell>
          <cell r="BH26">
            <v>-9.1000000000000011E-4</v>
          </cell>
          <cell r="BI26">
            <v>1.0000000000000001E-5</v>
          </cell>
          <cell r="BJ26">
            <v>0</v>
          </cell>
          <cell r="BK26">
            <v>-479.1003499999951</v>
          </cell>
        </row>
        <row r="27">
          <cell r="C27">
            <v>6043.8989373344748</v>
          </cell>
          <cell r="N27">
            <v>5483.1789536431143</v>
          </cell>
          <cell r="O27">
            <v>-2851.1477827718986</v>
          </cell>
          <cell r="P27">
            <v>-124.02552170694241</v>
          </cell>
          <cell r="Q27">
            <v>0</v>
          </cell>
          <cell r="R27">
            <v>0</v>
          </cell>
          <cell r="S27">
            <v>-458.48424080538655</v>
          </cell>
          <cell r="T27">
            <v>-141.17228714893596</v>
          </cell>
          <cell r="U27">
            <v>0</v>
          </cell>
          <cell r="V27">
            <v>-499.79665580276367</v>
          </cell>
          <cell r="W27">
            <v>-22.449076692336448</v>
          </cell>
          <cell r="X27">
            <v>0</v>
          </cell>
          <cell r="Y27">
            <v>-13.894825831280791</v>
          </cell>
          <cell r="Z27">
            <v>5.7971928802737969</v>
          </cell>
          <cell r="AA27">
            <v>0</v>
          </cell>
          <cell r="AB27">
            <v>0</v>
          </cell>
          <cell r="AC27">
            <v>-424.17544160908722</v>
          </cell>
          <cell r="AD27">
            <v>0</v>
          </cell>
          <cell r="AE27">
            <v>0</v>
          </cell>
          <cell r="AF27">
            <v>-77.364056177181467</v>
          </cell>
          <cell r="AG27">
            <v>0</v>
          </cell>
          <cell r="AH27">
            <v>510.03949778626867</v>
          </cell>
          <cell r="AI27">
            <v>13.894825831280791</v>
          </cell>
          <cell r="AJ27">
            <v>0</v>
          </cell>
          <cell r="AK27">
            <v>0</v>
          </cell>
          <cell r="AL27">
            <v>-952.89535841166639</v>
          </cell>
          <cell r="AM27">
            <v>0</v>
          </cell>
          <cell r="AN27">
            <v>0</v>
          </cell>
          <cell r="AO27">
            <v>-514.48741402206497</v>
          </cell>
          <cell r="AP27">
            <v>-57.225283731108995</v>
          </cell>
          <cell r="AQ27">
            <v>-250.02547979392</v>
          </cell>
          <cell r="AR27">
            <v>-205.09528049605626</v>
          </cell>
          <cell r="AT27">
            <v>-58.305660658244591</v>
          </cell>
          <cell r="AU27">
            <v>3.478025966418322</v>
          </cell>
          <cell r="AV27">
            <v>19.215221672906569</v>
          </cell>
          <cell r="AW27">
            <v>0</v>
          </cell>
          <cell r="AX27">
            <v>-3.478025966418322</v>
          </cell>
          <cell r="AY27">
            <v>3.478025966418322</v>
          </cell>
          <cell r="AZ27">
            <v>0</v>
          </cell>
          <cell r="BA27">
            <v>1.5690192886653197E-2</v>
          </cell>
          <cell r="BB27">
            <v>-6.8008886211264313E-3</v>
          </cell>
          <cell r="BC27">
            <v>0</v>
          </cell>
          <cell r="BD27">
            <v>0</v>
          </cell>
          <cell r="BE27">
            <v>1.1495076334727852</v>
          </cell>
          <cell r="BF27">
            <v>-1.1495076334727852</v>
          </cell>
          <cell r="BG27">
            <v>-1.5690192886653197E-2</v>
          </cell>
          <cell r="BH27">
            <v>0</v>
          </cell>
          <cell r="BI27">
            <v>0</v>
          </cell>
          <cell r="BJ27">
            <v>0</v>
          </cell>
          <cell r="BK27">
            <v>-614.94744876723337</v>
          </cell>
        </row>
        <row r="29">
          <cell r="C29">
            <v>13385.93794</v>
          </cell>
          <cell r="N29">
            <v>12935.799200000003</v>
          </cell>
          <cell r="O29">
            <v>-1551.67902</v>
          </cell>
          <cell r="P29">
            <v>-4.8120399999999997</v>
          </cell>
          <cell r="Q29">
            <v>0</v>
          </cell>
          <cell r="R29">
            <v>32.569929999999999</v>
          </cell>
          <cell r="S29">
            <v>-692.60035000000005</v>
          </cell>
          <cell r="T29">
            <v>-64.995590000000007</v>
          </cell>
          <cell r="U29">
            <v>0</v>
          </cell>
          <cell r="V29">
            <v>-5949.7555661552105</v>
          </cell>
          <cell r="W29">
            <v>-3.4964400000000002</v>
          </cell>
          <cell r="X29">
            <v>-716.71089384479023</v>
          </cell>
          <cell r="Y29">
            <v>-65.12724</v>
          </cell>
          <cell r="Z29">
            <v>554.48989000000006</v>
          </cell>
          <cell r="AA29">
            <v>11.24559</v>
          </cell>
          <cell r="AB29">
            <v>-150</v>
          </cell>
          <cell r="AC29">
            <v>-5995.6695099999997</v>
          </cell>
          <cell r="AD29">
            <v>654.14293999999995</v>
          </cell>
          <cell r="AE29">
            <v>-246.30653999999998</v>
          </cell>
          <cell r="AF29">
            <v>-372.38444999999979</v>
          </cell>
          <cell r="AG29">
            <v>0</v>
          </cell>
          <cell r="AH29">
            <v>-1095.1023700000042</v>
          </cell>
          <cell r="AI29">
            <v>621.66682999999989</v>
          </cell>
          <cell r="AJ29">
            <v>8846.5455600000005</v>
          </cell>
          <cell r="AK29">
            <v>96.165610000000001</v>
          </cell>
          <cell r="AL29">
            <v>-2198.5779300000004</v>
          </cell>
          <cell r="AM29">
            <v>1258.8427999999999</v>
          </cell>
          <cell r="AN29">
            <v>-1192.9367500000008</v>
          </cell>
          <cell r="AO29">
            <v>-1154.4364599999999</v>
          </cell>
          <cell r="AP29">
            <v>-131.64085</v>
          </cell>
          <cell r="AQ29">
            <v>-551.80855999999994</v>
          </cell>
          <cell r="AR29">
            <v>-489.80493000000001</v>
          </cell>
          <cell r="AT29">
            <v>-246.68853000000013</v>
          </cell>
          <cell r="AU29">
            <v>0</v>
          </cell>
          <cell r="AV29">
            <v>0</v>
          </cell>
          <cell r="AW29">
            <v>0</v>
          </cell>
          <cell r="AX29">
            <v>-58.679545152376477</v>
          </cell>
          <cell r="AY29">
            <v>0</v>
          </cell>
          <cell r="AZ29">
            <v>58.679545152376477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103.71096000000003</v>
          </cell>
          <cell r="BF29">
            <v>141.95086999999037</v>
          </cell>
          <cell r="BG29">
            <v>7.7461300000000035</v>
          </cell>
          <cell r="BH29">
            <v>-1055.6345399999998</v>
          </cell>
          <cell r="BI29">
            <v>-16.954020000000007</v>
          </cell>
          <cell r="BJ29">
            <v>0</v>
          </cell>
          <cell r="BK29">
            <v>1317.7537299999865</v>
          </cell>
        </row>
        <row r="30">
          <cell r="C30">
            <v>13556.884770000001</v>
          </cell>
          <cell r="N30">
            <v>12847.085620000002</v>
          </cell>
          <cell r="O30">
            <v>-1239.0499199999999</v>
          </cell>
          <cell r="P30">
            <v>0</v>
          </cell>
          <cell r="Q30">
            <v>-250.923</v>
          </cell>
          <cell r="R30">
            <v>70.910529999999994</v>
          </cell>
          <cell r="S30">
            <v>-930.46803</v>
          </cell>
          <cell r="T30">
            <v>-63.803680000000035</v>
          </cell>
          <cell r="U30">
            <v>0</v>
          </cell>
          <cell r="V30">
            <v>-6264.0943200000002</v>
          </cell>
          <cell r="W30">
            <v>0</v>
          </cell>
          <cell r="X30">
            <v>-700.03700000000003</v>
          </cell>
          <cell r="Y30">
            <v>-92.939709999999991</v>
          </cell>
          <cell r="Z30">
            <v>396.05769999999995</v>
          </cell>
          <cell r="AA30">
            <v>9.7297700000000003</v>
          </cell>
          <cell r="AB30">
            <v>-270</v>
          </cell>
          <cell r="AC30">
            <v>-9398.5062099999996</v>
          </cell>
          <cell r="AD30">
            <v>882.31772999999987</v>
          </cell>
          <cell r="AE30">
            <v>-354.35773999999998</v>
          </cell>
          <cell r="AF30">
            <v>-483.98567000000003</v>
          </cell>
          <cell r="AG30">
            <v>0</v>
          </cell>
          <cell r="AH30">
            <v>12328.170429999998</v>
          </cell>
          <cell r="AI30">
            <v>26.26563000000003</v>
          </cell>
          <cell r="AJ30">
            <v>547.28341999999986</v>
          </cell>
          <cell r="AK30">
            <v>30.491799999999994</v>
          </cell>
          <cell r="AL30">
            <v>-2222.7412599999989</v>
          </cell>
          <cell r="AM30">
            <v>1314.83979</v>
          </cell>
          <cell r="AN30">
            <v>-1203.0925599999996</v>
          </cell>
          <cell r="AO30">
            <v>-1057.59944</v>
          </cell>
          <cell r="AP30">
            <v>-146.49974</v>
          </cell>
          <cell r="AQ30">
            <v>-526.37993000000006</v>
          </cell>
          <cell r="AR30">
            <v>-429.13328000000001</v>
          </cell>
          <cell r="AT30">
            <v>-735.77416999999957</v>
          </cell>
          <cell r="AU30">
            <v>0</v>
          </cell>
          <cell r="AV30">
            <v>0</v>
          </cell>
          <cell r="AW30">
            <v>0</v>
          </cell>
          <cell r="AX30">
            <v>-92.89</v>
          </cell>
          <cell r="AY30">
            <v>0</v>
          </cell>
          <cell r="AZ30">
            <v>92.89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1020.4050799999999</v>
          </cell>
          <cell r="BF30">
            <v>209.51940000001616</v>
          </cell>
          <cell r="BG30">
            <v>84.843090000000004</v>
          </cell>
          <cell r="BH30">
            <v>-114.51128</v>
          </cell>
          <cell r="BI30">
            <v>-6.6076899999999998</v>
          </cell>
          <cell r="BJ30">
            <v>0</v>
          </cell>
          <cell r="BK30">
            <v>3277.4153600000168</v>
          </cell>
        </row>
        <row r="31">
          <cell r="C31">
            <v>15051.035149590803</v>
          </cell>
          <cell r="N31">
            <v>13886.396826524309</v>
          </cell>
          <cell r="O31">
            <v>-3965.9459288755561</v>
          </cell>
          <cell r="P31">
            <v>-124.02552170694241</v>
          </cell>
          <cell r="Q31">
            <v>-268.77749364952427</v>
          </cell>
          <cell r="R31">
            <v>0</v>
          </cell>
          <cell r="S31">
            <v>-1032.4207139493255</v>
          </cell>
          <cell r="T31">
            <v>-245.25184873157571</v>
          </cell>
          <cell r="U31">
            <v>0</v>
          </cell>
          <cell r="V31">
            <v>-2557.9642016714083</v>
          </cell>
          <cell r="W31">
            <v>-22.449076692336448</v>
          </cell>
          <cell r="X31">
            <v>-487.95905809032558</v>
          </cell>
          <cell r="Y31">
            <v>-74.853964131458923</v>
          </cell>
          <cell r="Z31">
            <v>248.96552929784221</v>
          </cell>
          <cell r="AA31">
            <v>0</v>
          </cell>
          <cell r="AB31">
            <v>0</v>
          </cell>
          <cell r="AC31">
            <v>-3494.9803018188359</v>
          </cell>
          <cell r="AD31">
            <v>0</v>
          </cell>
          <cell r="AE31">
            <v>0</v>
          </cell>
          <cell r="AF31">
            <v>-328.06675647748483</v>
          </cell>
          <cell r="AG31">
            <v>0</v>
          </cell>
          <cell r="AH31">
            <v>3857.7970582963208</v>
          </cell>
          <cell r="AI31">
            <v>74.853964131458923</v>
          </cell>
          <cell r="AJ31">
            <v>0</v>
          </cell>
          <cell r="AK31">
            <v>0</v>
          </cell>
          <cell r="AL31">
            <v>-2308.290255787666</v>
          </cell>
          <cell r="AM31">
            <v>0</v>
          </cell>
          <cell r="AN31">
            <v>0</v>
          </cell>
          <cell r="AO31">
            <v>-1146.0948959013449</v>
          </cell>
          <cell r="AP31">
            <v>-134.90055165189099</v>
          </cell>
          <cell r="AQ31">
            <v>-604.94333133391251</v>
          </cell>
          <cell r="AR31">
            <v>-480.91164323798125</v>
          </cell>
          <cell r="AT31">
            <v>-418.31511365450297</v>
          </cell>
          <cell r="AU31">
            <v>80.165007664687408</v>
          </cell>
          <cell r="AV31">
            <v>19.215221672906569</v>
          </cell>
          <cell r="AW31">
            <v>42.240705228577355</v>
          </cell>
          <cell r="AX31">
            <v>-112.2540278649677</v>
          </cell>
          <cell r="AY31">
            <v>3.478025966418322</v>
          </cell>
          <cell r="AZ31">
            <v>76.686981698269079</v>
          </cell>
          <cell r="BA31">
            <v>1.2796009232542767</v>
          </cell>
          <cell r="BB31">
            <v>-5.2447025685561179</v>
          </cell>
          <cell r="BC31">
            <v>0</v>
          </cell>
          <cell r="BD31">
            <v>0</v>
          </cell>
          <cell r="BE31">
            <v>-157.95339912367092</v>
          </cell>
          <cell r="BF31">
            <v>-24.87993420966243</v>
          </cell>
          <cell r="BG31">
            <v>-1.2796009232542767</v>
          </cell>
          <cell r="BH31">
            <v>0</v>
          </cell>
          <cell r="BI31">
            <v>0</v>
          </cell>
          <cell r="BJ31">
            <v>0</v>
          </cell>
          <cell r="BK31">
            <v>293.31659935186076</v>
          </cell>
        </row>
        <row r="33">
          <cell r="C33">
            <v>12459.516709999991</v>
          </cell>
          <cell r="N33">
            <v>12519.300509999995</v>
          </cell>
          <cell r="O33">
            <v>-713.40449000000001</v>
          </cell>
          <cell r="P33">
            <v>-76.77527000000002</v>
          </cell>
          <cell r="Q33">
            <v>0</v>
          </cell>
          <cell r="R33">
            <v>6.9703600000000003</v>
          </cell>
          <cell r="S33">
            <v>-417.87133999999998</v>
          </cell>
          <cell r="T33">
            <v>-44.868150000000007</v>
          </cell>
          <cell r="U33">
            <v>0</v>
          </cell>
          <cell r="V33">
            <v>-4416.4273924743038</v>
          </cell>
          <cell r="W33">
            <v>-64.727599999999995</v>
          </cell>
          <cell r="X33">
            <v>-364.54618752569576</v>
          </cell>
          <cell r="Y33">
            <v>-32.731630000000003</v>
          </cell>
          <cell r="Z33">
            <v>161.85784999999998</v>
          </cell>
          <cell r="AA33">
            <v>1.47376</v>
          </cell>
          <cell r="AB33">
            <v>0</v>
          </cell>
          <cell r="AC33">
            <v>-3352.1333599999998</v>
          </cell>
          <cell r="AD33">
            <v>780.87563</v>
          </cell>
          <cell r="AE33">
            <v>-100.80978</v>
          </cell>
          <cell r="AF33">
            <v>-258.98824000000002</v>
          </cell>
          <cell r="AG33">
            <v>0</v>
          </cell>
          <cell r="AH33">
            <v>3406.4638200000004</v>
          </cell>
          <cell r="AI33">
            <v>227.65339999999992</v>
          </cell>
          <cell r="AJ33">
            <v>42.28722999999988</v>
          </cell>
          <cell r="AK33">
            <v>-3.9961800000000007</v>
          </cell>
          <cell r="AL33">
            <v>-3084.6894800000055</v>
          </cell>
          <cell r="AM33">
            <v>2216.8054599999996</v>
          </cell>
          <cell r="AN33">
            <v>-2233.9738900000002</v>
          </cell>
          <cell r="AO33">
            <v>-948.35295999999994</v>
          </cell>
          <cell r="AP33">
            <v>-115.47414000000001</v>
          </cell>
          <cell r="AQ33">
            <v>-474.98321999999996</v>
          </cell>
          <cell r="AR33">
            <v>-436.08998000000003</v>
          </cell>
          <cell r="AT33">
            <v>-1239.9330099999997</v>
          </cell>
          <cell r="AU33">
            <v>0</v>
          </cell>
          <cell r="AV33">
            <v>0</v>
          </cell>
          <cell r="AW33">
            <v>0</v>
          </cell>
          <cell r="AX33">
            <v>-44.639622687721101</v>
          </cell>
          <cell r="AY33">
            <v>0</v>
          </cell>
          <cell r="AZ33">
            <v>44.639622687721101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1.5307800000000003</v>
          </cell>
          <cell r="BG33">
            <v>15.17742</v>
          </cell>
          <cell r="BH33">
            <v>44.254560000000005</v>
          </cell>
          <cell r="BI33">
            <v>-0.52572000000000008</v>
          </cell>
          <cell r="BJ33">
            <v>0</v>
          </cell>
          <cell r="BK33">
            <v>1043.3487599999883</v>
          </cell>
        </row>
        <row r="34">
          <cell r="C34">
            <v>12835.577450000004</v>
          </cell>
          <cell r="N34">
            <v>12809.171130000002</v>
          </cell>
          <cell r="O34">
            <v>-714.32292000000007</v>
          </cell>
          <cell r="P34">
            <v>0</v>
          </cell>
          <cell r="Q34">
            <v>-300</v>
          </cell>
          <cell r="R34">
            <v>10.345000000000006</v>
          </cell>
          <cell r="S34">
            <v>-446.37670000000003</v>
          </cell>
          <cell r="T34">
            <v>-47.576900000000002</v>
          </cell>
          <cell r="U34">
            <v>0</v>
          </cell>
          <cell r="V34">
            <v>-5320.08781</v>
          </cell>
          <cell r="W34">
            <v>0</v>
          </cell>
          <cell r="X34">
            <v>-234.74100000000001</v>
          </cell>
          <cell r="Y34">
            <v>-74.91395</v>
          </cell>
          <cell r="Z34">
            <v>188.70148</v>
          </cell>
          <cell r="AA34">
            <v>3.0976599999999999</v>
          </cell>
          <cell r="AB34">
            <v>0</v>
          </cell>
          <cell r="AC34">
            <v>-3969.1705099999999</v>
          </cell>
          <cell r="AD34">
            <v>520.56335000000001</v>
          </cell>
          <cell r="AE34">
            <v>-111.43332999999998</v>
          </cell>
          <cell r="AF34">
            <v>-318.54993000000002</v>
          </cell>
          <cell r="AG34">
            <v>0</v>
          </cell>
          <cell r="AH34">
            <v>6923.1104799999994</v>
          </cell>
          <cell r="AI34">
            <v>161.67761999999996</v>
          </cell>
          <cell r="AJ34">
            <v>-122.30784000000001</v>
          </cell>
          <cell r="AK34">
            <v>-1.3199700000000001</v>
          </cell>
          <cell r="AL34">
            <v>-3415.6911999999948</v>
          </cell>
          <cell r="AM34">
            <v>2309.4284499999999</v>
          </cell>
          <cell r="AN34">
            <v>-2300.0447000000017</v>
          </cell>
          <cell r="AO34">
            <v>-853.75136999999995</v>
          </cell>
          <cell r="AP34">
            <v>-131.25335000000001</v>
          </cell>
          <cell r="AQ34">
            <v>-423.49362000000002</v>
          </cell>
          <cell r="AR34">
            <v>-389.10708999999997</v>
          </cell>
          <cell r="AT34">
            <v>-1315.4281500000052</v>
          </cell>
          <cell r="AU34">
            <v>0</v>
          </cell>
          <cell r="AV34">
            <v>0</v>
          </cell>
          <cell r="AW34">
            <v>0</v>
          </cell>
          <cell r="AX34">
            <v>-32.715000000000003</v>
          </cell>
          <cell r="AY34">
            <v>0</v>
          </cell>
          <cell r="AZ34">
            <v>32.715000000000003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271.60442999999992</v>
          </cell>
          <cell r="BF34">
            <v>-1116.32114</v>
          </cell>
          <cell r="BG34">
            <v>3.6394300000000004</v>
          </cell>
          <cell r="BH34">
            <v>36.427979999999991</v>
          </cell>
          <cell r="BI34">
            <v>0.22134999999999996</v>
          </cell>
          <cell r="BJ34">
            <v>0</v>
          </cell>
          <cell r="BK34">
            <v>1632.0968799999994</v>
          </cell>
        </row>
        <row r="35">
          <cell r="C35">
            <v>13131.483596439135</v>
          </cell>
          <cell r="N35">
            <v>13142.971363986242</v>
          </cell>
          <cell r="O35">
            <v>-3195.3064829503351</v>
          </cell>
          <cell r="P35">
            <v>-802.07637728324039</v>
          </cell>
          <cell r="Q35">
            <v>-292.60724980176605</v>
          </cell>
          <cell r="R35">
            <v>0</v>
          </cell>
          <cell r="S35">
            <v>-516.88600631095392</v>
          </cell>
          <cell r="T35">
            <v>-363.57471697757626</v>
          </cell>
          <cell r="U35">
            <v>0</v>
          </cell>
          <cell r="V35">
            <v>-615.69195087498269</v>
          </cell>
          <cell r="W35">
            <v>-748.82454132732801</v>
          </cell>
          <cell r="X35">
            <v>-273.18033023740662</v>
          </cell>
          <cell r="Y35">
            <v>-72.970205734350472</v>
          </cell>
          <cell r="Z35">
            <v>91.929385517781597</v>
          </cell>
          <cell r="AA35">
            <v>0</v>
          </cell>
          <cell r="AB35">
            <v>0</v>
          </cell>
          <cell r="AC35">
            <v>-1162.1517225507152</v>
          </cell>
          <cell r="AD35">
            <v>0</v>
          </cell>
          <cell r="AE35">
            <v>0</v>
          </cell>
          <cell r="AF35">
            <v>-220.25040673458258</v>
          </cell>
          <cell r="AG35">
            <v>0</v>
          </cell>
          <cell r="AH35">
            <v>1427.9021292852979</v>
          </cell>
          <cell r="AI35">
            <v>72.970205734350472</v>
          </cell>
          <cell r="AJ35">
            <v>0</v>
          </cell>
          <cell r="AK35">
            <v>0</v>
          </cell>
          <cell r="AL35">
            <v>-3396.4040363740532</v>
          </cell>
          <cell r="AM35">
            <v>0</v>
          </cell>
          <cell r="AN35">
            <v>0</v>
          </cell>
          <cell r="AO35">
            <v>-928.05854916879753</v>
          </cell>
          <cell r="AP35">
            <v>-119.74586690231675</v>
          </cell>
          <cell r="AQ35">
            <v>-522.59673284633493</v>
          </cell>
          <cell r="AR35">
            <v>-428.80394984495501</v>
          </cell>
          <cell r="AT35">
            <v>-1362.9662086034673</v>
          </cell>
          <cell r="AU35">
            <v>311.73532667591411</v>
          </cell>
          <cell r="AV35">
            <v>333.90404252540185</v>
          </cell>
          <cell r="AW35">
            <v>0</v>
          </cell>
          <cell r="AX35">
            <v>-322.66736776164652</v>
          </cell>
          <cell r="AY35">
            <v>311.73532667591411</v>
          </cell>
          <cell r="AZ35">
            <v>0</v>
          </cell>
          <cell r="BA35">
            <v>6.5085100873895332</v>
          </cell>
          <cell r="BB35">
            <v>-8.5184995884321388</v>
          </cell>
          <cell r="BC35">
            <v>0</v>
          </cell>
          <cell r="BD35">
            <v>0</v>
          </cell>
          <cell r="BE35">
            <v>244.67270436084874</v>
          </cell>
          <cell r="BF35">
            <v>-244.67270436084874</v>
          </cell>
          <cell r="BG35">
            <v>-6.5085100873895332</v>
          </cell>
          <cell r="BH35">
            <v>0</v>
          </cell>
          <cell r="BI35">
            <v>0</v>
          </cell>
          <cell r="BJ35">
            <v>0</v>
          </cell>
          <cell r="BK35">
            <v>339.86657852766359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1756.2625100000002</v>
          </cell>
          <cell r="N41">
            <v>1747.4754400000004</v>
          </cell>
          <cell r="O41">
            <v>-17.780989999999999</v>
          </cell>
          <cell r="P41">
            <v>0</v>
          </cell>
          <cell r="Q41">
            <v>0</v>
          </cell>
          <cell r="R41">
            <v>0</v>
          </cell>
          <cell r="S41">
            <v>-120.40612999999999</v>
          </cell>
          <cell r="T41">
            <v>-1.69703</v>
          </cell>
          <cell r="U41">
            <v>0</v>
          </cell>
          <cell r="V41">
            <v>-575.88454426234853</v>
          </cell>
          <cell r="W41">
            <v>-1.3740000000000001</v>
          </cell>
          <cell r="X41">
            <v>-81.739545737651497</v>
          </cell>
          <cell r="Y41">
            <v>-10.98676</v>
          </cell>
          <cell r="Z41">
            <v>79.835610000000003</v>
          </cell>
          <cell r="AA41">
            <v>1.2718699999999998</v>
          </cell>
          <cell r="AB41">
            <v>0</v>
          </cell>
          <cell r="AC41">
            <v>-612.79469000000006</v>
          </cell>
          <cell r="AD41">
            <v>20.431810000000006</v>
          </cell>
          <cell r="AE41">
            <v>-77.09966</v>
          </cell>
          <cell r="AF41">
            <v>-91.725839999999906</v>
          </cell>
          <cell r="AG41">
            <v>0</v>
          </cell>
          <cell r="AH41">
            <v>-219.13909999999996</v>
          </cell>
          <cell r="AI41">
            <v>281.42048000000005</v>
          </cell>
          <cell r="AJ41">
            <v>279.03143000000006</v>
          </cell>
          <cell r="AK41">
            <v>-17.572500000000012</v>
          </cell>
          <cell r="AL41">
            <v>-384.18612000000019</v>
          </cell>
          <cell r="AM41">
            <v>279.87639999999999</v>
          </cell>
          <cell r="AN41">
            <v>-278.51428999999996</v>
          </cell>
          <cell r="AO41">
            <v>-262.92059</v>
          </cell>
          <cell r="AP41">
            <v>-30.447300000000006</v>
          </cell>
          <cell r="AQ41">
            <v>-81.557569999999998</v>
          </cell>
          <cell r="AR41">
            <v>-142.95161999999999</v>
          </cell>
          <cell r="AT41">
            <v>-45.138929999999988</v>
          </cell>
          <cell r="AU41">
            <v>0</v>
          </cell>
          <cell r="AV41">
            <v>0</v>
          </cell>
          <cell r="AW41">
            <v>0</v>
          </cell>
          <cell r="AX41">
            <v>-6.5964390631542358</v>
          </cell>
          <cell r="AY41">
            <v>0</v>
          </cell>
          <cell r="AZ41">
            <v>6.5964390631542358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-11.194719999999267</v>
          </cell>
          <cell r="BG41">
            <v>29.812079999999998</v>
          </cell>
          <cell r="BH41">
            <v>-23.672720000000002</v>
          </cell>
          <cell r="BI41">
            <v>-0.6530800000000001</v>
          </cell>
          <cell r="BJ41">
            <v>0</v>
          </cell>
          <cell r="BK41">
            <v>-370.28260999999895</v>
          </cell>
        </row>
        <row r="42">
          <cell r="C42">
            <v>1792.75864</v>
          </cell>
          <cell r="N42">
            <v>1768.154700000001</v>
          </cell>
          <cell r="O42">
            <v>-22.264879999999998</v>
          </cell>
          <cell r="P42">
            <v>0</v>
          </cell>
          <cell r="Q42">
            <v>0</v>
          </cell>
          <cell r="R42">
            <v>0</v>
          </cell>
          <cell r="S42">
            <v>-105.72316000000001</v>
          </cell>
          <cell r="T42">
            <v>-0.25047000000000003</v>
          </cell>
          <cell r="U42">
            <v>0</v>
          </cell>
          <cell r="V42">
            <v>-1159.9028599999999</v>
          </cell>
          <cell r="W42">
            <v>0</v>
          </cell>
          <cell r="X42">
            <v>-19.934000000000001</v>
          </cell>
          <cell r="Y42">
            <v>-37.697900000000004</v>
          </cell>
          <cell r="Z42">
            <v>128.18810999999999</v>
          </cell>
          <cell r="AA42">
            <v>4.2385900000000003</v>
          </cell>
          <cell r="AB42">
            <v>0</v>
          </cell>
          <cell r="AC42">
            <v>-636.72095999999999</v>
          </cell>
          <cell r="AD42">
            <v>71.41367000000001</v>
          </cell>
          <cell r="AE42">
            <v>-75.187310000000011</v>
          </cell>
          <cell r="AF42">
            <v>-61.556880000000035</v>
          </cell>
          <cell r="AG42">
            <v>0</v>
          </cell>
          <cell r="AH42">
            <v>-1281.0076299999985</v>
          </cell>
          <cell r="AI42">
            <v>207.69542999999999</v>
          </cell>
          <cell r="AJ42">
            <v>-43.879819999999995</v>
          </cell>
          <cell r="AK42">
            <v>-8.7252299999999892</v>
          </cell>
          <cell r="AL42">
            <v>-392.27270000000055</v>
          </cell>
          <cell r="AM42">
            <v>287.99628000000007</v>
          </cell>
          <cell r="AN42">
            <v>-282.70301999999992</v>
          </cell>
          <cell r="AO42">
            <v>-229.80076</v>
          </cell>
          <cell r="AP42">
            <v>-30.108790000000003</v>
          </cell>
          <cell r="AQ42">
            <v>-74.227759999999989</v>
          </cell>
          <cell r="AR42">
            <v>-108.29098</v>
          </cell>
          <cell r="AT42">
            <v>-79.928230000000013</v>
          </cell>
          <cell r="AU42">
            <v>0</v>
          </cell>
          <cell r="AV42">
            <v>0</v>
          </cell>
          <cell r="AW42">
            <v>0</v>
          </cell>
          <cell r="AX42">
            <v>-1.2130000000000001</v>
          </cell>
          <cell r="AY42">
            <v>0</v>
          </cell>
          <cell r="AZ42">
            <v>1.2130000000000001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25.2</v>
          </cell>
          <cell r="BF42">
            <v>157.15943999999988</v>
          </cell>
          <cell r="BG42">
            <v>-52.433480000000003</v>
          </cell>
          <cell r="BH42">
            <v>2.565019999999997</v>
          </cell>
          <cell r="BI42">
            <v>0.96715999999999991</v>
          </cell>
          <cell r="BJ42">
            <v>0</v>
          </cell>
          <cell r="BK42">
            <v>-2049.038419999998</v>
          </cell>
        </row>
        <row r="43">
          <cell r="C43">
            <v>1800.8952833722701</v>
          </cell>
          <cell r="N43">
            <v>1794.8952092239717</v>
          </cell>
          <cell r="O43">
            <v>-142.90744522783203</v>
          </cell>
          <cell r="P43">
            <v>0</v>
          </cell>
          <cell r="Q43">
            <v>-15.036834287896257</v>
          </cell>
          <cell r="R43">
            <v>0</v>
          </cell>
          <cell r="S43">
            <v>-161.9691822468605</v>
          </cell>
          <cell r="T43">
            <v>-7.4193741115205345</v>
          </cell>
          <cell r="U43">
            <v>0</v>
          </cell>
          <cell r="V43">
            <v>-382.5103292099144</v>
          </cell>
          <cell r="W43">
            <v>0</v>
          </cell>
          <cell r="X43">
            <v>-67.457033499459243</v>
          </cell>
          <cell r="Y43">
            <v>-12.522730323553585</v>
          </cell>
          <cell r="Z43">
            <v>60.675594049824511</v>
          </cell>
          <cell r="AA43">
            <v>0</v>
          </cell>
          <cell r="AB43">
            <v>0</v>
          </cell>
          <cell r="AC43">
            <v>-385.94473200638117</v>
          </cell>
          <cell r="AD43">
            <v>0</v>
          </cell>
          <cell r="AE43">
            <v>0</v>
          </cell>
          <cell r="AF43">
            <v>-79.735047731177445</v>
          </cell>
          <cell r="AG43">
            <v>0</v>
          </cell>
          <cell r="AH43">
            <v>465.67977973755865</v>
          </cell>
          <cell r="AI43">
            <v>12.522730323553585</v>
          </cell>
          <cell r="AJ43">
            <v>0</v>
          </cell>
          <cell r="AK43">
            <v>0</v>
          </cell>
          <cell r="AL43">
            <v>-393.73118764851711</v>
          </cell>
          <cell r="AM43">
            <v>0</v>
          </cell>
          <cell r="AN43">
            <v>0</v>
          </cell>
          <cell r="AO43">
            <v>-256.40006838721251</v>
          </cell>
          <cell r="AP43">
            <v>-26.906397166460749</v>
          </cell>
          <cell r="AQ43">
            <v>-93.566557959237997</v>
          </cell>
          <cell r="AR43">
            <v>-129.4050034528625</v>
          </cell>
          <cell r="AT43">
            <v>-66.690244219767081</v>
          </cell>
          <cell r="AU43">
            <v>0</v>
          </cell>
          <cell r="AV43">
            <v>0</v>
          </cell>
          <cell r="AW43">
            <v>0</v>
          </cell>
          <cell r="AX43">
            <v>-0.92400535058501587</v>
          </cell>
          <cell r="AY43">
            <v>0</v>
          </cell>
          <cell r="AZ43">
            <v>0</v>
          </cell>
          <cell r="BA43">
            <v>-1.6833127728449464E-2</v>
          </cell>
          <cell r="BB43">
            <v>8.473299641555912E-2</v>
          </cell>
          <cell r="BC43">
            <v>0</v>
          </cell>
          <cell r="BD43">
            <v>0</v>
          </cell>
          <cell r="BE43">
            <v>-25.469134846588709</v>
          </cell>
          <cell r="BF43">
            <v>-18.655865153411291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66.590040374357244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-1.1300000000000001E-2</v>
          </cell>
          <cell r="N49">
            <v>-1.1280000000000002E-2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1.98E-3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-9.3000000000000027E-3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1218.5501199999992</v>
          </cell>
          <cell r="N53">
            <v>1100.55699</v>
          </cell>
          <cell r="O53">
            <v>-7.2462299999999997</v>
          </cell>
          <cell r="P53">
            <v>0</v>
          </cell>
          <cell r="Q53">
            <v>0</v>
          </cell>
          <cell r="R53">
            <v>0</v>
          </cell>
          <cell r="S53">
            <v>-26.06588</v>
          </cell>
          <cell r="T53">
            <v>0</v>
          </cell>
          <cell r="U53">
            <v>0</v>
          </cell>
          <cell r="V53">
            <v>-199.01865999999998</v>
          </cell>
          <cell r="W53">
            <v>0</v>
          </cell>
          <cell r="X53">
            <v>0</v>
          </cell>
          <cell r="Y53">
            <v>-2.6017399999999999</v>
          </cell>
          <cell r="Z53">
            <v>8.8976800000000011</v>
          </cell>
          <cell r="AA53">
            <v>0.11184999999999999</v>
          </cell>
          <cell r="AB53">
            <v>0</v>
          </cell>
          <cell r="AC53">
            <v>-108.7585</v>
          </cell>
          <cell r="AD53">
            <v>0.41186</v>
          </cell>
          <cell r="AE53">
            <v>-5.8559599999999996</v>
          </cell>
          <cell r="AF53">
            <v>-6.3992899999999997</v>
          </cell>
          <cell r="AG53">
            <v>0</v>
          </cell>
          <cell r="AH53">
            <v>273.82816999999994</v>
          </cell>
          <cell r="AI53">
            <v>1986.6713599999998</v>
          </cell>
          <cell r="AJ53">
            <v>-2.6173800000000025</v>
          </cell>
          <cell r="AK53">
            <v>-400.97490999999997</v>
          </cell>
          <cell r="AL53">
            <v>-306.6265600000001</v>
          </cell>
          <cell r="AM53">
            <v>246.16845000000001</v>
          </cell>
          <cell r="AN53">
            <v>-218.12054999999989</v>
          </cell>
          <cell r="AO53">
            <v>-220.98246999999998</v>
          </cell>
          <cell r="AP53">
            <v>-22.702629999999999</v>
          </cell>
          <cell r="AQ53">
            <v>-46.005269999999996</v>
          </cell>
          <cell r="AR53">
            <v>-77.638689999999997</v>
          </cell>
          <cell r="AT53">
            <v>-28.228000000000002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1936.8036399999994</v>
          </cell>
        </row>
        <row r="54">
          <cell r="C54">
            <v>1023.5148199999992</v>
          </cell>
          <cell r="N54">
            <v>887.49872000000062</v>
          </cell>
          <cell r="O54">
            <v>-3.03165</v>
          </cell>
          <cell r="P54">
            <v>0</v>
          </cell>
          <cell r="Q54">
            <v>0</v>
          </cell>
          <cell r="R54">
            <v>0</v>
          </cell>
          <cell r="S54">
            <v>-11.11834</v>
          </cell>
          <cell r="T54">
            <v>0</v>
          </cell>
          <cell r="U54">
            <v>0</v>
          </cell>
          <cell r="V54">
            <v>-166.25719000000001</v>
          </cell>
          <cell r="W54">
            <v>0</v>
          </cell>
          <cell r="X54">
            <v>0</v>
          </cell>
          <cell r="Y54">
            <v>-50.954160000000002</v>
          </cell>
          <cell r="Z54">
            <v>7.3185600000000006</v>
          </cell>
          <cell r="AA54">
            <v>11.98216</v>
          </cell>
          <cell r="AB54">
            <v>0</v>
          </cell>
          <cell r="AC54">
            <v>-84.010570000000001</v>
          </cell>
          <cell r="AD54">
            <v>2.8561000000000001</v>
          </cell>
          <cell r="AE54">
            <v>-7.1605399999999992</v>
          </cell>
          <cell r="AF54">
            <v>-3.9890599999999998</v>
          </cell>
          <cell r="AG54">
            <v>0</v>
          </cell>
          <cell r="AH54">
            <v>253.28247999999996</v>
          </cell>
          <cell r="AI54">
            <v>359.73355000000004</v>
          </cell>
          <cell r="AJ54">
            <v>10.667949999999999</v>
          </cell>
          <cell r="AK54">
            <v>-79.204349999999991</v>
          </cell>
          <cell r="AL54">
            <v>-287.33310999999964</v>
          </cell>
          <cell r="AM54">
            <v>254.09178999999995</v>
          </cell>
          <cell r="AN54">
            <v>-220.87276000000011</v>
          </cell>
          <cell r="AO54">
            <v>-176.87106</v>
          </cell>
          <cell r="AP54">
            <v>-14.69847</v>
          </cell>
          <cell r="AQ54">
            <v>-34.326920000000001</v>
          </cell>
          <cell r="AR54">
            <v>-33.252830000000003</v>
          </cell>
          <cell r="AT54">
            <v>-15.407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598.94330000000093</v>
          </cell>
        </row>
        <row r="55">
          <cell r="C55">
            <v>1154.9591886022802</v>
          </cell>
          <cell r="N55">
            <v>1219.115612933284</v>
          </cell>
          <cell r="O55">
            <v>-37.378104015346374</v>
          </cell>
          <cell r="P55">
            <v>0</v>
          </cell>
          <cell r="Q55">
            <v>0</v>
          </cell>
          <cell r="R55">
            <v>0</v>
          </cell>
          <cell r="S55">
            <v>-25.854509642323301</v>
          </cell>
          <cell r="T55">
            <v>0</v>
          </cell>
          <cell r="U55">
            <v>0</v>
          </cell>
          <cell r="V55">
            <v>-173.93725069487363</v>
          </cell>
          <cell r="W55">
            <v>0</v>
          </cell>
          <cell r="X55">
            <v>0</v>
          </cell>
          <cell r="Y55">
            <v>-3.8740853873551027</v>
          </cell>
          <cell r="Z55">
            <v>6.7603566017026022</v>
          </cell>
          <cell r="AA55">
            <v>0</v>
          </cell>
          <cell r="AB55">
            <v>0</v>
          </cell>
          <cell r="AC55">
            <v>-84.383628048886408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84.383628048886408</v>
          </cell>
          <cell r="AI55">
            <v>3.8740853873551027</v>
          </cell>
          <cell r="AJ55">
            <v>0</v>
          </cell>
          <cell r="AK55">
            <v>0</v>
          </cell>
          <cell r="AL55">
            <v>-297.63400546000156</v>
          </cell>
          <cell r="AM55">
            <v>0</v>
          </cell>
          <cell r="AN55">
            <v>0</v>
          </cell>
          <cell r="AO55">
            <v>-225.18284050476149</v>
          </cell>
          <cell r="AP55">
            <v>-16.326736287577827</v>
          </cell>
          <cell r="AQ55">
            <v>-51.117087756953254</v>
          </cell>
          <cell r="AR55">
            <v>-70.446775797200999</v>
          </cell>
          <cell r="AT55">
            <v>-20.675774600448573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307.32288477549918</v>
          </cell>
        </row>
        <row r="57">
          <cell r="C57">
            <v>854.30343999999945</v>
          </cell>
          <cell r="N57">
            <v>823.57932999999935</v>
          </cell>
          <cell r="O57">
            <v>-3.8632500000000003</v>
          </cell>
          <cell r="P57">
            <v>0</v>
          </cell>
          <cell r="Q57">
            <v>0</v>
          </cell>
          <cell r="R57">
            <v>0</v>
          </cell>
          <cell r="S57">
            <v>-213.74260000000001</v>
          </cell>
          <cell r="T57">
            <v>0</v>
          </cell>
          <cell r="U57">
            <v>0</v>
          </cell>
          <cell r="V57">
            <v>-295.43671000000001</v>
          </cell>
          <cell r="W57">
            <v>0</v>
          </cell>
          <cell r="X57">
            <v>0</v>
          </cell>
          <cell r="Y57">
            <v>-1.3841600000000001</v>
          </cell>
          <cell r="Z57">
            <v>22.492370000000001</v>
          </cell>
          <cell r="AA57">
            <v>4.8869999999999997E-2</v>
          </cell>
          <cell r="AB57">
            <v>0</v>
          </cell>
          <cell r="AC57">
            <v>-392.87198999999998</v>
          </cell>
          <cell r="AD57">
            <v>30.547430000000006</v>
          </cell>
          <cell r="AE57">
            <v>-53.471339999999998</v>
          </cell>
          <cell r="AF57">
            <v>6.6847860580310222E-14</v>
          </cell>
          <cell r="AG57">
            <v>0</v>
          </cell>
          <cell r="AH57">
            <v>484.4779299999999</v>
          </cell>
          <cell r="AI57">
            <v>128.07984999999999</v>
          </cell>
          <cell r="AJ57">
            <v>-57.100009999999997</v>
          </cell>
          <cell r="AK57">
            <v>-5.6664899999999996</v>
          </cell>
          <cell r="AL57">
            <v>-151.81383000000005</v>
          </cell>
          <cell r="AM57">
            <v>91.744030000000024</v>
          </cell>
          <cell r="AN57">
            <v>-86.715189999999993</v>
          </cell>
          <cell r="AO57">
            <v>-43.096810000000005</v>
          </cell>
          <cell r="AP57">
            <v>-5.3033600000000005</v>
          </cell>
          <cell r="AQ57">
            <v>-28.688389999999998</v>
          </cell>
          <cell r="AR57">
            <v>-20.326149999999998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221.48952999999926</v>
          </cell>
        </row>
        <row r="58">
          <cell r="C58">
            <v>854.19222000000059</v>
          </cell>
          <cell r="N58">
            <v>805.95925000000011</v>
          </cell>
          <cell r="O58">
            <v>-2.0036199999999997</v>
          </cell>
          <cell r="P58">
            <v>0</v>
          </cell>
          <cell r="Q58">
            <v>0</v>
          </cell>
          <cell r="R58">
            <v>0.53300000000000036</v>
          </cell>
          <cell r="S58">
            <v>-202.98265000000001</v>
          </cell>
          <cell r="T58">
            <v>0</v>
          </cell>
          <cell r="U58">
            <v>0</v>
          </cell>
          <cell r="V58">
            <v>-295.84838999999999</v>
          </cell>
          <cell r="W58">
            <v>0</v>
          </cell>
          <cell r="X58">
            <v>0</v>
          </cell>
          <cell r="Y58">
            <v>-9.6671399999999998</v>
          </cell>
          <cell r="Z58">
            <v>23.926850000000002</v>
          </cell>
          <cell r="AA58">
            <v>0.5963099999999999</v>
          </cell>
          <cell r="AB58">
            <v>0</v>
          </cell>
          <cell r="AC58">
            <v>-439.41354000000001</v>
          </cell>
          <cell r="AD58">
            <v>12.13607</v>
          </cell>
          <cell r="AE58">
            <v>-50.845150000000004</v>
          </cell>
          <cell r="AF58">
            <v>0</v>
          </cell>
          <cell r="AG58">
            <v>0</v>
          </cell>
          <cell r="AH58">
            <v>759.22669000000008</v>
          </cell>
          <cell r="AI58">
            <v>13.330810000000001</v>
          </cell>
          <cell r="AJ58">
            <v>15.055719999999987</v>
          </cell>
          <cell r="AK58">
            <v>1.4669099999999997</v>
          </cell>
          <cell r="AL58">
            <v>-152.48979000000006</v>
          </cell>
          <cell r="AM58">
            <v>94.888779999999997</v>
          </cell>
          <cell r="AN58">
            <v>-86.773249999999962</v>
          </cell>
          <cell r="AO58">
            <v>-37.380659999999992</v>
          </cell>
          <cell r="AP58">
            <v>-4.0622499999999997</v>
          </cell>
          <cell r="AQ58">
            <v>-21.361979999999999</v>
          </cell>
          <cell r="AR58">
            <v>-13.746969999999999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410.54500000000013</v>
          </cell>
        </row>
        <row r="59">
          <cell r="C59">
            <v>939.51843763641796</v>
          </cell>
          <cell r="N59">
            <v>850</v>
          </cell>
          <cell r="O59">
            <v>-15.896547987730848</v>
          </cell>
          <cell r="P59">
            <v>0</v>
          </cell>
          <cell r="Q59">
            <v>0</v>
          </cell>
          <cell r="R59">
            <v>0</v>
          </cell>
          <cell r="S59">
            <v>-196.33252991264874</v>
          </cell>
          <cell r="T59">
            <v>0</v>
          </cell>
          <cell r="U59">
            <v>0</v>
          </cell>
          <cell r="V59">
            <v>-222.91323791615929</v>
          </cell>
          <cell r="W59">
            <v>0</v>
          </cell>
          <cell r="X59">
            <v>0</v>
          </cell>
          <cell r="Y59">
            <v>-5.002837276333274</v>
          </cell>
          <cell r="Z59">
            <v>17.266389178731973</v>
          </cell>
          <cell r="AA59">
            <v>0</v>
          </cell>
          <cell r="AB59">
            <v>0</v>
          </cell>
          <cell r="AC59">
            <v>-345.98911044385909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345.98911044385909</v>
          </cell>
          <cell r="AI59">
            <v>5.002837276333274</v>
          </cell>
          <cell r="AJ59">
            <v>0</v>
          </cell>
          <cell r="AK59">
            <v>0</v>
          </cell>
          <cell r="AL59">
            <v>-151.9607032342156</v>
          </cell>
          <cell r="AM59">
            <v>0</v>
          </cell>
          <cell r="AN59">
            <v>0</v>
          </cell>
          <cell r="AO59">
            <v>-36.375040713949254</v>
          </cell>
          <cell r="AP59">
            <v>-3.4058751778631251</v>
          </cell>
          <cell r="AQ59">
            <v>-29.60815642668075</v>
          </cell>
          <cell r="AR59">
            <v>-20.737493953448748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190.03680385603559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29674.559419999994</v>
          </cell>
          <cell r="N65">
            <v>29126.700190000003</v>
          </cell>
          <cell r="O65">
            <v>-2293.9739800000002</v>
          </cell>
          <cell r="P65">
            <v>-81.587310000000016</v>
          </cell>
          <cell r="Q65">
            <v>0</v>
          </cell>
          <cell r="R65">
            <v>39.540289999999999</v>
          </cell>
          <cell r="S65">
            <v>-1470.6863000000003</v>
          </cell>
          <cell r="T65">
            <v>-111.56077000000001</v>
          </cell>
          <cell r="U65">
            <v>0</v>
          </cell>
          <cell r="V65">
            <v>-11436.522872891861</v>
          </cell>
          <cell r="W65">
            <v>-69.598039999999997</v>
          </cell>
          <cell r="X65">
            <v>-1162.9966271081375</v>
          </cell>
          <cell r="Y65">
            <v>-112.83153</v>
          </cell>
          <cell r="Z65">
            <v>827.57340000000011</v>
          </cell>
          <cell r="AA65">
            <v>14.151940000000002</v>
          </cell>
          <cell r="AB65">
            <v>-150</v>
          </cell>
          <cell r="AC65">
            <v>-10462.22805</v>
          </cell>
          <cell r="AD65">
            <v>1486.40967</v>
          </cell>
          <cell r="AE65">
            <v>-483.54327999999992</v>
          </cell>
          <cell r="AF65">
            <v>-729.49781999999959</v>
          </cell>
          <cell r="AG65">
            <v>0</v>
          </cell>
          <cell r="AH65">
            <v>2850.5284499999962</v>
          </cell>
          <cell r="AI65">
            <v>3245.4919199999995</v>
          </cell>
          <cell r="AJ65">
            <v>9108.1468300000015</v>
          </cell>
          <cell r="AK65">
            <v>-332.04446999999999</v>
          </cell>
          <cell r="AL65">
            <v>-6125.8919400000059</v>
          </cell>
          <cell r="AM65">
            <v>4093.4371399999995</v>
          </cell>
          <cell r="AN65">
            <v>-4010.260670000001</v>
          </cell>
          <cell r="AO65">
            <v>-2629.7892900000002</v>
          </cell>
          <cell r="AP65">
            <v>-305.56828000000002</v>
          </cell>
          <cell r="AQ65">
            <v>-1183.0430100000001</v>
          </cell>
          <cell r="AR65">
            <v>-1166.8113700000001</v>
          </cell>
          <cell r="AT65">
            <v>-1559.98847</v>
          </cell>
          <cell r="AU65">
            <v>0</v>
          </cell>
          <cell r="AV65">
            <v>0</v>
          </cell>
          <cell r="AW65">
            <v>0</v>
          </cell>
          <cell r="AX65">
            <v>-109.91560690325181</v>
          </cell>
          <cell r="AY65">
            <v>0</v>
          </cell>
          <cell r="AZ65">
            <v>109.91560690325181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103.71096000000003</v>
          </cell>
          <cell r="BF65">
            <v>132.28692999999109</v>
          </cell>
          <cell r="BG65">
            <v>52.73563</v>
          </cell>
          <cell r="BH65">
            <v>-1035.0526999999997</v>
          </cell>
          <cell r="BI65">
            <v>-18.132820000000006</v>
          </cell>
          <cell r="BJ65">
            <v>0</v>
          </cell>
          <cell r="BK65">
            <v>4149.1037499999748</v>
          </cell>
        </row>
        <row r="66">
          <cell r="C66">
            <v>30062.927900000006</v>
          </cell>
          <cell r="N66">
            <v>29117.869420000006</v>
          </cell>
          <cell r="O66">
            <v>-1980.6729899999998</v>
          </cell>
          <cell r="P66">
            <v>0</v>
          </cell>
          <cell r="Q66">
            <v>-550.923</v>
          </cell>
          <cell r="R66">
            <v>81.788529999999994</v>
          </cell>
          <cell r="S66">
            <v>-1696.6688799999999</v>
          </cell>
          <cell r="T66">
            <v>-111.63105000000004</v>
          </cell>
          <cell r="U66">
            <v>0</v>
          </cell>
          <cell r="V66">
            <v>-13206.190570000001</v>
          </cell>
          <cell r="W66">
            <v>0</v>
          </cell>
          <cell r="X66">
            <v>-954.71199999999999</v>
          </cell>
          <cell r="Y66">
            <v>-266.17286000000001</v>
          </cell>
          <cell r="Z66">
            <v>744.19270000000006</v>
          </cell>
          <cell r="AA66">
            <v>29.644490000000001</v>
          </cell>
          <cell r="AB66">
            <v>-270</v>
          </cell>
          <cell r="AC66">
            <v>-14527.82179</v>
          </cell>
          <cell r="AD66">
            <v>1489.2869199999998</v>
          </cell>
          <cell r="AE66">
            <v>-598.98406999999997</v>
          </cell>
          <cell r="AF66">
            <v>-868.08154000000002</v>
          </cell>
          <cell r="AG66">
            <v>0</v>
          </cell>
          <cell r="AH66">
            <v>18982.782449999999</v>
          </cell>
          <cell r="AI66">
            <v>768.70303999999999</v>
          </cell>
          <cell r="AJ66">
            <v>406.8194299999999</v>
          </cell>
          <cell r="AK66">
            <v>-57.290839999999989</v>
          </cell>
          <cell r="AL66">
            <v>-6470.5280599999933</v>
          </cell>
          <cell r="AM66">
            <v>4261.2450899999994</v>
          </cell>
          <cell r="AN66">
            <v>-4093.4862900000016</v>
          </cell>
          <cell r="AO66">
            <v>-2355.4032899999997</v>
          </cell>
          <cell r="AP66">
            <v>-326.62260000000003</v>
          </cell>
          <cell r="AQ66">
            <v>-1079.7902099999999</v>
          </cell>
          <cell r="AR66">
            <v>-973.53115000000003</v>
          </cell>
          <cell r="AT66">
            <v>-2146.537550000005</v>
          </cell>
          <cell r="AU66">
            <v>0</v>
          </cell>
          <cell r="AV66">
            <v>0</v>
          </cell>
          <cell r="AW66">
            <v>0</v>
          </cell>
          <cell r="AX66">
            <v>-126.818</v>
          </cell>
          <cell r="AY66">
            <v>0</v>
          </cell>
          <cell r="AZ66">
            <v>126.818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1317.2095099999999</v>
          </cell>
          <cell r="BF66">
            <v>-749.64229999998395</v>
          </cell>
          <cell r="BG66">
            <v>36.049040000000005</v>
          </cell>
          <cell r="BH66">
            <v>-75.518280000000004</v>
          </cell>
          <cell r="BI66">
            <v>-5.4191799999999999</v>
          </cell>
          <cell r="BJ66">
            <v>0</v>
          </cell>
          <cell r="BK66">
            <v>3869.9621200000192</v>
          </cell>
        </row>
        <row r="67">
          <cell r="C67">
            <v>32077.891655640906</v>
          </cell>
          <cell r="N67">
            <v>30893.379012667807</v>
          </cell>
          <cell r="O67">
            <v>-7357.4345090568004</v>
          </cell>
          <cell r="P67">
            <v>-926.1018989901828</v>
          </cell>
          <cell r="Q67">
            <v>-576.42157773918655</v>
          </cell>
          <cell r="R67">
            <v>0</v>
          </cell>
          <cell r="S67">
            <v>-1933.4629420621122</v>
          </cell>
          <cell r="T67">
            <v>-616.24593982067245</v>
          </cell>
          <cell r="U67">
            <v>0</v>
          </cell>
          <cell r="V67">
            <v>-3953.0169703673382</v>
          </cell>
          <cell r="W67">
            <v>-771.27361801966447</v>
          </cell>
          <cell r="X67">
            <v>-828.59642182719142</v>
          </cell>
          <cell r="Y67">
            <v>-169.22382285305136</v>
          </cell>
          <cell r="Z67">
            <v>425.59725464588286</v>
          </cell>
          <cell r="AA67">
            <v>0</v>
          </cell>
          <cell r="AB67">
            <v>0</v>
          </cell>
          <cell r="AC67">
            <v>-5473.4494948686779</v>
          </cell>
          <cell r="AD67">
            <v>0</v>
          </cell>
          <cell r="AE67">
            <v>0</v>
          </cell>
          <cell r="AF67">
            <v>-628.05221094324486</v>
          </cell>
          <cell r="AG67">
            <v>0</v>
          </cell>
          <cell r="AH67">
            <v>6181.7517058119229</v>
          </cell>
          <cell r="AI67">
            <v>169.22382285305136</v>
          </cell>
          <cell r="AJ67">
            <v>0</v>
          </cell>
          <cell r="AK67">
            <v>0</v>
          </cell>
          <cell r="AL67">
            <v>-6548.0201885044535</v>
          </cell>
          <cell r="AM67">
            <v>0</v>
          </cell>
          <cell r="AN67">
            <v>0</v>
          </cell>
          <cell r="AO67">
            <v>-2592.1113946760652</v>
          </cell>
          <cell r="AP67">
            <v>-301.28542718610947</v>
          </cell>
          <cell r="AQ67">
            <v>-1301.8318663231196</v>
          </cell>
          <cell r="AR67">
            <v>-1130.3048662864487</v>
          </cell>
          <cell r="AT67">
            <v>-1868.6473410781859</v>
          </cell>
          <cell r="AU67">
            <v>391.90033434060149</v>
          </cell>
          <cell r="AV67">
            <v>353.11926419830843</v>
          </cell>
          <cell r="AW67">
            <v>42.240705228577355</v>
          </cell>
          <cell r="AX67">
            <v>-435.84540097719918</v>
          </cell>
          <cell r="AY67">
            <v>315.21335264233244</v>
          </cell>
          <cell r="AZ67">
            <v>76.686981698269079</v>
          </cell>
          <cell r="BA67">
            <v>7.7712778829153608</v>
          </cell>
          <cell r="BB67">
            <v>-13.678469160572698</v>
          </cell>
          <cell r="BC67">
            <v>0</v>
          </cell>
          <cell r="BD67">
            <v>0</v>
          </cell>
          <cell r="BE67">
            <v>61.250170390589112</v>
          </cell>
          <cell r="BF67">
            <v>-288.20850372392249</v>
          </cell>
          <cell r="BG67">
            <v>-7.7881110106438101</v>
          </cell>
          <cell r="BH67">
            <v>0</v>
          </cell>
          <cell r="BI67">
            <v>0</v>
          </cell>
          <cell r="BJ67">
            <v>0</v>
          </cell>
          <cell r="BK67">
            <v>1197.1329068854166</v>
          </cell>
        </row>
        <row r="69">
          <cell r="C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</row>
        <row r="70">
          <cell r="C70">
            <v>407.10583999999977</v>
          </cell>
          <cell r="N70">
            <v>119.38895999999978</v>
          </cell>
          <cell r="O70">
            <v>-2.7174299999999998</v>
          </cell>
          <cell r="P70">
            <v>0</v>
          </cell>
          <cell r="Q70">
            <v>0</v>
          </cell>
          <cell r="R70">
            <v>0</v>
          </cell>
          <cell r="S70">
            <v>-1.50848</v>
          </cell>
          <cell r="T70">
            <v>0</v>
          </cell>
          <cell r="U70">
            <v>0</v>
          </cell>
          <cell r="V70">
            <v>-40.720959999999998</v>
          </cell>
          <cell r="W70">
            <v>0</v>
          </cell>
          <cell r="X70">
            <v>0</v>
          </cell>
          <cell r="Y70">
            <v>-1.31921</v>
          </cell>
          <cell r="Z70">
            <v>1.7100799999999998</v>
          </cell>
          <cell r="AA70">
            <v>0.1938</v>
          </cell>
          <cell r="AB70">
            <v>0</v>
          </cell>
          <cell r="AC70">
            <v>-15.139849999999999</v>
          </cell>
          <cell r="AD70">
            <v>0</v>
          </cell>
          <cell r="AE70">
            <v>-0.43647999999999998</v>
          </cell>
          <cell r="AF70">
            <v>-0.40489000000000003</v>
          </cell>
          <cell r="AG70">
            <v>0</v>
          </cell>
          <cell r="AH70">
            <v>1.8750799999999934</v>
          </cell>
          <cell r="AI70">
            <v>1.1108899999999993</v>
          </cell>
          <cell r="AJ70">
            <v>8.5783600000000018</v>
          </cell>
          <cell r="AK70">
            <v>-2.3529999999999985E-2</v>
          </cell>
          <cell r="AL70">
            <v>-65.029669999999953</v>
          </cell>
          <cell r="AM70">
            <v>0</v>
          </cell>
          <cell r="AN70">
            <v>43.646649999999994</v>
          </cell>
          <cell r="AO70">
            <v>-10.579960000000002</v>
          </cell>
          <cell r="AP70">
            <v>-1.2233800000000001</v>
          </cell>
          <cell r="AQ70">
            <v>-256.72656000000001</v>
          </cell>
          <cell r="AR70">
            <v>-5.0164600000000004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-224.34304000000017</v>
          </cell>
        </row>
        <row r="71">
          <cell r="C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</row>
        <row r="73">
          <cell r="C73">
            <v>319.93052999999998</v>
          </cell>
          <cell r="N73">
            <v>513.99129000000005</v>
          </cell>
          <cell r="O73">
            <v>-8.8308600000000013</v>
          </cell>
          <cell r="P73">
            <v>0</v>
          </cell>
          <cell r="Q73">
            <v>0</v>
          </cell>
          <cell r="R73">
            <v>0</v>
          </cell>
          <cell r="S73">
            <v>-4.1898</v>
          </cell>
          <cell r="T73">
            <v>0</v>
          </cell>
          <cell r="U73">
            <v>0</v>
          </cell>
          <cell r="V73">
            <v>-687.28660999999988</v>
          </cell>
          <cell r="W73">
            <v>0</v>
          </cell>
          <cell r="X73">
            <v>0</v>
          </cell>
          <cell r="Y73">
            <v>-7.3623199999999995</v>
          </cell>
          <cell r="Z73">
            <v>66.453190000000006</v>
          </cell>
          <cell r="AA73">
            <v>0.71275999999999995</v>
          </cell>
          <cell r="AB73">
            <v>0</v>
          </cell>
          <cell r="AC73">
            <v>-617.73773999999992</v>
          </cell>
          <cell r="AD73">
            <v>0</v>
          </cell>
          <cell r="AE73">
            <v>-3.4533399999999999</v>
          </cell>
          <cell r="AF73">
            <v>-0.14022000000000001</v>
          </cell>
          <cell r="AG73">
            <v>0</v>
          </cell>
          <cell r="AH73">
            <v>336.53620999999953</v>
          </cell>
          <cell r="AI73">
            <v>-30.062690000000007</v>
          </cell>
          <cell r="AJ73">
            <v>11.595790000000003</v>
          </cell>
          <cell r="AK73">
            <v>1.8045199999999999</v>
          </cell>
          <cell r="AL73">
            <v>-47.50348000000001</v>
          </cell>
          <cell r="AM73">
            <v>67.722229999999996</v>
          </cell>
          <cell r="AN73">
            <v>-53.768099999999997</v>
          </cell>
          <cell r="AO73">
            <v>-6.2646199999999999</v>
          </cell>
          <cell r="AP73">
            <v>-0.65156999999999998</v>
          </cell>
          <cell r="AQ73">
            <v>-18.313280000000002</v>
          </cell>
          <cell r="AR73">
            <v>-9.2225300000000008</v>
          </cell>
          <cell r="AT73">
            <v>-25.531029999999998</v>
          </cell>
          <cell r="AU73">
            <v>1.1011199999999999</v>
          </cell>
          <cell r="AV73">
            <v>0</v>
          </cell>
          <cell r="AW73">
            <v>0</v>
          </cell>
          <cell r="AX73">
            <v>16.604749999999999</v>
          </cell>
          <cell r="AY73">
            <v>0</v>
          </cell>
          <cell r="AZ73">
            <v>0</v>
          </cell>
          <cell r="BA73">
            <v>0.17824999999999999</v>
          </cell>
          <cell r="BB73">
            <v>-1.51542</v>
          </cell>
          <cell r="BC73">
            <v>-1.4670000000000001E-2</v>
          </cell>
          <cell r="BD73">
            <v>0</v>
          </cell>
          <cell r="BE73">
            <v>36.776369999999986</v>
          </cell>
          <cell r="BF73">
            <v>-19.313049999999578</v>
          </cell>
          <cell r="BG73">
            <v>-3.0097300000000002</v>
          </cell>
          <cell r="BH73">
            <v>-0.8577800000000001</v>
          </cell>
          <cell r="BI73">
            <v>-0.18234999999999998</v>
          </cell>
          <cell r="BJ73">
            <v>0</v>
          </cell>
          <cell r="BK73">
            <v>-491.73470999999984</v>
          </cell>
        </row>
        <row r="74">
          <cell r="C74">
            <v>311.00812000000002</v>
          </cell>
          <cell r="N74">
            <v>749.47302999999988</v>
          </cell>
          <cell r="O74">
            <v>-19.026320000000002</v>
          </cell>
          <cell r="P74">
            <v>0</v>
          </cell>
          <cell r="Q74">
            <v>0</v>
          </cell>
          <cell r="R74">
            <v>0</v>
          </cell>
          <cell r="S74">
            <v>-0.98606000000000016</v>
          </cell>
          <cell r="T74">
            <v>0</v>
          </cell>
          <cell r="U74">
            <v>0</v>
          </cell>
          <cell r="V74">
            <v>-526.48352</v>
          </cell>
          <cell r="W74">
            <v>0</v>
          </cell>
          <cell r="X74">
            <v>0</v>
          </cell>
          <cell r="Y74">
            <v>-2.38571</v>
          </cell>
          <cell r="Z74">
            <v>33.592240000000004</v>
          </cell>
          <cell r="AA74">
            <v>0.17602999999999999</v>
          </cell>
          <cell r="AB74">
            <v>0</v>
          </cell>
          <cell r="AC74">
            <v>-741.78753000000006</v>
          </cell>
          <cell r="AD74">
            <v>0</v>
          </cell>
          <cell r="AE74">
            <v>-0.64839000000000002</v>
          </cell>
          <cell r="AF74">
            <v>-0.17544999999999999</v>
          </cell>
          <cell r="AG74">
            <v>0</v>
          </cell>
          <cell r="AH74">
            <v>813.0500900000003</v>
          </cell>
          <cell r="AI74">
            <v>8.7310500000000033</v>
          </cell>
          <cell r="AJ74">
            <v>-30.263680000000011</v>
          </cell>
          <cell r="AK74">
            <v>-0.37382000000000015</v>
          </cell>
          <cell r="AL74">
            <v>-49.21946999999993</v>
          </cell>
          <cell r="AM74">
            <v>58.749219999999987</v>
          </cell>
          <cell r="AN74">
            <v>-58.749219999999973</v>
          </cell>
          <cell r="AO74">
            <v>-9.5297499999999999</v>
          </cell>
          <cell r="AP74">
            <v>-0.61041999999999996</v>
          </cell>
          <cell r="AQ74">
            <v>-19.946850000000001</v>
          </cell>
          <cell r="AR74">
            <v>-7.5413899999999998</v>
          </cell>
          <cell r="AT74">
            <v>-16.145099999999999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6.3526899999999982</v>
          </cell>
          <cell r="BF74">
            <v>-18.904369999999812</v>
          </cell>
          <cell r="BG74">
            <v>-2.1276499999999996</v>
          </cell>
          <cell r="BH74">
            <v>-0.30320000000000003</v>
          </cell>
          <cell r="BI74">
            <v>-2.3999999999999998E-4</v>
          </cell>
          <cell r="BJ74">
            <v>0</v>
          </cell>
          <cell r="BK74">
            <v>164.91621000000043</v>
          </cell>
        </row>
        <row r="75">
          <cell r="C75">
            <v>284.47131946747771</v>
          </cell>
          <cell r="N75">
            <v>551.91574522802796</v>
          </cell>
          <cell r="O75">
            <v>-43.124655469906749</v>
          </cell>
          <cell r="P75">
            <v>0</v>
          </cell>
          <cell r="Q75">
            <v>0</v>
          </cell>
          <cell r="R75">
            <v>0</v>
          </cell>
          <cell r="S75">
            <v>-18.923113291996174</v>
          </cell>
          <cell r="T75">
            <v>0</v>
          </cell>
          <cell r="U75">
            <v>0</v>
          </cell>
          <cell r="V75">
            <v>-241.92501591134146</v>
          </cell>
          <cell r="W75">
            <v>0</v>
          </cell>
          <cell r="X75">
            <v>0</v>
          </cell>
          <cell r="Y75">
            <v>-4.9295337871452016</v>
          </cell>
          <cell r="Z75">
            <v>52.825102079316039</v>
          </cell>
          <cell r="AA75">
            <v>0</v>
          </cell>
          <cell r="AB75">
            <v>0</v>
          </cell>
          <cell r="AC75">
            <v>-503.18368947499994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561.22887560510321</v>
          </cell>
          <cell r="AI75">
            <v>4.9295337871452016</v>
          </cell>
          <cell r="AJ75">
            <v>0</v>
          </cell>
          <cell r="AK75">
            <v>0</v>
          </cell>
          <cell r="AL75">
            <v>-50.738043006560005</v>
          </cell>
          <cell r="AM75">
            <v>0</v>
          </cell>
          <cell r="AN75">
            <v>0</v>
          </cell>
          <cell r="AO75">
            <v>-6.2351629154855512</v>
          </cell>
          <cell r="AP75">
            <v>-0.65087393180160491</v>
          </cell>
          <cell r="AQ75">
            <v>-18.911196337251525</v>
          </cell>
          <cell r="AR75">
            <v>-9.4475385015545736</v>
          </cell>
          <cell r="AT75">
            <v>-22.172714445000025</v>
          </cell>
          <cell r="AU75">
            <v>1.42388185185119</v>
          </cell>
          <cell r="AV75">
            <v>0</v>
          </cell>
          <cell r="AW75">
            <v>0</v>
          </cell>
          <cell r="AX75">
            <v>7.9878351701928505</v>
          </cell>
          <cell r="AY75">
            <v>0</v>
          </cell>
          <cell r="AZ75">
            <v>0</v>
          </cell>
          <cell r="BA75">
            <v>0.15666840680102984</v>
          </cell>
          <cell r="BB75">
            <v>-1.7441693936060119</v>
          </cell>
          <cell r="BC75">
            <v>0</v>
          </cell>
          <cell r="BD75">
            <v>0</v>
          </cell>
          <cell r="BE75">
            <v>1.5987211554602254E-14</v>
          </cell>
          <cell r="BF75">
            <v>0</v>
          </cell>
          <cell r="BG75">
            <v>-0.15666840680102984</v>
          </cell>
          <cell r="BH75">
            <v>0</v>
          </cell>
          <cell r="BI75">
            <v>0</v>
          </cell>
          <cell r="BJ75">
            <v>0</v>
          </cell>
          <cell r="BK75">
            <v>258.32526725498764</v>
          </cell>
        </row>
        <row r="77">
          <cell r="C77">
            <v>3863.7226200000005</v>
          </cell>
          <cell r="N77">
            <v>3576.8861600000009</v>
          </cell>
          <cell r="O77">
            <v>-0.93859000000000004</v>
          </cell>
          <cell r="P77">
            <v>0</v>
          </cell>
          <cell r="Q77">
            <v>0</v>
          </cell>
          <cell r="R77">
            <v>0</v>
          </cell>
          <cell r="S77">
            <v>-195.44190000000003</v>
          </cell>
          <cell r="T77">
            <v>0</v>
          </cell>
          <cell r="U77">
            <v>0</v>
          </cell>
          <cell r="V77">
            <v>-2392.4012000000039</v>
          </cell>
          <cell r="W77">
            <v>0</v>
          </cell>
          <cell r="X77">
            <v>0</v>
          </cell>
          <cell r="Y77">
            <v>-5.1506999999999996</v>
          </cell>
          <cell r="Z77">
            <v>34.181980000000003</v>
          </cell>
          <cell r="AA77">
            <v>6.6250000000000003E-2</v>
          </cell>
          <cell r="AB77">
            <v>0</v>
          </cell>
          <cell r="AC77">
            <v>-1892.3375300000002</v>
          </cell>
          <cell r="AD77">
            <v>0</v>
          </cell>
          <cell r="AE77">
            <v>-104.20209</v>
          </cell>
          <cell r="AF77">
            <v>0</v>
          </cell>
          <cell r="AG77">
            <v>0</v>
          </cell>
          <cell r="AH77">
            <v>2398.1403900000005</v>
          </cell>
          <cell r="AI77">
            <v>49.482829999999993</v>
          </cell>
          <cell r="AJ77">
            <v>-26.06335</v>
          </cell>
          <cell r="AK77">
            <v>-0.31462000000000001</v>
          </cell>
          <cell r="AL77">
            <v>-351.60138999999998</v>
          </cell>
          <cell r="AM77">
            <v>437.93255999999997</v>
          </cell>
          <cell r="AN77">
            <v>-374.36387000000002</v>
          </cell>
          <cell r="AO77">
            <v>-22.762480000000004</v>
          </cell>
          <cell r="AP77">
            <v>-2.9697199999999997</v>
          </cell>
          <cell r="AQ77">
            <v>-187.35622999999998</v>
          </cell>
          <cell r="AR77">
            <v>-72.42307000000001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868.36342999999613</v>
          </cell>
        </row>
        <row r="78">
          <cell r="C78">
            <v>3668.9516100000001</v>
          </cell>
          <cell r="N78">
            <v>5195.6650899999995</v>
          </cell>
          <cell r="O78">
            <v>-123.69614</v>
          </cell>
          <cell r="P78">
            <v>0</v>
          </cell>
          <cell r="Q78">
            <v>0</v>
          </cell>
          <cell r="R78">
            <v>11.1225</v>
          </cell>
          <cell r="S78">
            <v>-104.27597</v>
          </cell>
          <cell r="T78">
            <v>0</v>
          </cell>
          <cell r="U78">
            <v>0</v>
          </cell>
          <cell r="V78">
            <v>-2131.0130399999985</v>
          </cell>
          <cell r="W78">
            <v>0</v>
          </cell>
          <cell r="X78">
            <v>0</v>
          </cell>
          <cell r="Y78">
            <v>-19.907040000000002</v>
          </cell>
          <cell r="Z78">
            <v>34.194879999999998</v>
          </cell>
          <cell r="AA78">
            <v>0.27831</v>
          </cell>
          <cell r="AB78">
            <v>0</v>
          </cell>
          <cell r="AC78">
            <v>-1927.3152299999999</v>
          </cell>
          <cell r="AD78">
            <v>96.486770000000007</v>
          </cell>
          <cell r="AE78">
            <v>-55.037360000000007</v>
          </cell>
          <cell r="AF78">
            <v>0</v>
          </cell>
          <cell r="AG78">
            <v>0</v>
          </cell>
          <cell r="AH78">
            <v>2657.9069300000001</v>
          </cell>
          <cell r="AI78">
            <v>10.335989999999999</v>
          </cell>
          <cell r="AJ78">
            <v>26.24401000000001</v>
          </cell>
          <cell r="AK78">
            <v>0.25901999999999997</v>
          </cell>
          <cell r="AL78">
            <v>-333.99604999999997</v>
          </cell>
          <cell r="AM78">
            <v>368.02630000000005</v>
          </cell>
          <cell r="AN78">
            <v>-368.02629999999999</v>
          </cell>
          <cell r="AO78">
            <v>-34.030250000000002</v>
          </cell>
          <cell r="AP78">
            <v>-3.3473299999999995</v>
          </cell>
          <cell r="AQ78">
            <v>-129.69824</v>
          </cell>
          <cell r="AR78">
            <v>-51.878130000000006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3118.2987200000016</v>
          </cell>
        </row>
        <row r="79">
          <cell r="C79">
            <v>3962.5162647887628</v>
          </cell>
          <cell r="N79">
            <v>3402.8754639483332</v>
          </cell>
          <cell r="O79">
            <v>-1564.7260712285147</v>
          </cell>
          <cell r="P79">
            <v>0</v>
          </cell>
          <cell r="Q79">
            <v>0</v>
          </cell>
          <cell r="R79">
            <v>0</v>
          </cell>
          <cell r="S79">
            <v>-282.31952852419448</v>
          </cell>
          <cell r="T79">
            <v>0</v>
          </cell>
          <cell r="U79">
            <v>0</v>
          </cell>
          <cell r="V79">
            <v>-748.4836561536365</v>
          </cell>
          <cell r="W79">
            <v>0</v>
          </cell>
          <cell r="X79">
            <v>0</v>
          </cell>
          <cell r="Y79">
            <v>-32.411697439644676</v>
          </cell>
          <cell r="Z79">
            <v>15.901232107923832</v>
          </cell>
          <cell r="AA79">
            <v>0</v>
          </cell>
          <cell r="AB79">
            <v>0</v>
          </cell>
          <cell r="AC79">
            <v>-1223.6452722499998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1583.7134601397215</v>
          </cell>
          <cell r="AI79">
            <v>32.411697439644676</v>
          </cell>
          <cell r="AJ79">
            <v>0</v>
          </cell>
          <cell r="AK79">
            <v>0</v>
          </cell>
          <cell r="AL79">
            <v>-305.63258913030546</v>
          </cell>
          <cell r="AM79">
            <v>0</v>
          </cell>
          <cell r="AN79">
            <v>0</v>
          </cell>
          <cell r="AO79">
            <v>-23.35764035933715</v>
          </cell>
          <cell r="AP79">
            <v>-3.7575760167637</v>
          </cell>
          <cell r="AQ79">
            <v>-198.76552632904929</v>
          </cell>
          <cell r="AR79">
            <v>-73.571779677665248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1.7053025658242404E-13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578.23051652651236</v>
          </cell>
        </row>
        <row r="81">
          <cell r="C81">
            <v>4183.6531500000001</v>
          </cell>
          <cell r="N81">
            <v>4090.8774500000009</v>
          </cell>
          <cell r="O81">
            <v>-9.7694500000000009</v>
          </cell>
          <cell r="P81">
            <v>0</v>
          </cell>
          <cell r="Q81">
            <v>0</v>
          </cell>
          <cell r="R81">
            <v>0</v>
          </cell>
          <cell r="S81">
            <v>-199.63170000000002</v>
          </cell>
          <cell r="T81">
            <v>0</v>
          </cell>
          <cell r="U81">
            <v>0</v>
          </cell>
          <cell r="V81">
            <v>-3079.687810000004</v>
          </cell>
          <cell r="W81">
            <v>0</v>
          </cell>
          <cell r="X81">
            <v>0</v>
          </cell>
          <cell r="Y81">
            <v>-12.513019999999999</v>
          </cell>
          <cell r="Z81">
            <v>100.63517000000002</v>
          </cell>
          <cell r="AA81">
            <v>0.77900999999999998</v>
          </cell>
          <cell r="AB81">
            <v>0</v>
          </cell>
          <cell r="AC81">
            <v>-2510.0752700000003</v>
          </cell>
          <cell r="AD81">
            <v>0</v>
          </cell>
          <cell r="AE81">
            <v>-107.65543</v>
          </cell>
          <cell r="AF81">
            <v>-0.14022000000000001</v>
          </cell>
          <cell r="AG81">
            <v>0</v>
          </cell>
          <cell r="AH81">
            <v>2734.6765999999998</v>
          </cell>
          <cell r="AI81">
            <v>19.420139999999986</v>
          </cell>
          <cell r="AJ81">
            <v>-14.467559999999997</v>
          </cell>
          <cell r="AK81">
            <v>1.4899</v>
          </cell>
          <cell r="AL81">
            <v>-399.10487000000001</v>
          </cell>
          <cell r="AM81">
            <v>505.65478999999993</v>
          </cell>
          <cell r="AN81">
            <v>-428.13197000000002</v>
          </cell>
          <cell r="AO81">
            <v>-29.027100000000004</v>
          </cell>
          <cell r="AP81">
            <v>-3.6212899999999997</v>
          </cell>
          <cell r="AQ81">
            <v>-205.66950999999997</v>
          </cell>
          <cell r="AR81">
            <v>-81.645600000000016</v>
          </cell>
          <cell r="AT81">
            <v>-25.531029999999998</v>
          </cell>
          <cell r="AU81">
            <v>1.1011199999999999</v>
          </cell>
          <cell r="AV81">
            <v>0</v>
          </cell>
          <cell r="AW81">
            <v>0</v>
          </cell>
          <cell r="AX81">
            <v>16.604749999999999</v>
          </cell>
          <cell r="AY81">
            <v>0</v>
          </cell>
          <cell r="AZ81">
            <v>0</v>
          </cell>
          <cell r="BA81">
            <v>0.17824999999999999</v>
          </cell>
          <cell r="BB81">
            <v>-1.51542</v>
          </cell>
          <cell r="BC81">
            <v>-1.4670000000000001E-2</v>
          </cell>
          <cell r="BD81">
            <v>0</v>
          </cell>
          <cell r="BE81">
            <v>36.776369999999986</v>
          </cell>
          <cell r="BF81">
            <v>-19.313049999999578</v>
          </cell>
          <cell r="BG81">
            <v>-3.0097300000000002</v>
          </cell>
          <cell r="BH81">
            <v>-0.8577800000000001</v>
          </cell>
          <cell r="BI81">
            <v>-0.18234999999999998</v>
          </cell>
          <cell r="BJ81">
            <v>0</v>
          </cell>
          <cell r="BK81">
            <v>376.62871999999629</v>
          </cell>
        </row>
        <row r="82">
          <cell r="C82">
            <v>4387.0655699999998</v>
          </cell>
          <cell r="N82">
            <v>6064.5270799999989</v>
          </cell>
          <cell r="O82">
            <v>-145.43988999999999</v>
          </cell>
          <cell r="P82">
            <v>0</v>
          </cell>
          <cell r="Q82">
            <v>0</v>
          </cell>
          <cell r="R82">
            <v>11.1225</v>
          </cell>
          <cell r="S82">
            <v>-106.77051</v>
          </cell>
          <cell r="T82">
            <v>0</v>
          </cell>
          <cell r="U82">
            <v>0</v>
          </cell>
          <cell r="V82">
            <v>-2698.2175199999983</v>
          </cell>
          <cell r="W82">
            <v>0</v>
          </cell>
          <cell r="X82">
            <v>0</v>
          </cell>
          <cell r="Y82">
            <v>-23.611960000000003</v>
          </cell>
          <cell r="Z82">
            <v>69.497199999999992</v>
          </cell>
          <cell r="AA82">
            <v>0.64813999999999994</v>
          </cell>
          <cell r="AB82">
            <v>0</v>
          </cell>
          <cell r="AC82">
            <v>-2684.2426100000002</v>
          </cell>
          <cell r="AD82">
            <v>96.486770000000007</v>
          </cell>
          <cell r="AE82">
            <v>-56.122230000000009</v>
          </cell>
          <cell r="AF82">
            <v>-0.58034000000000008</v>
          </cell>
          <cell r="AG82">
            <v>0</v>
          </cell>
          <cell r="AH82">
            <v>3472.8321000000005</v>
          </cell>
          <cell r="AI82">
            <v>20.177930000000003</v>
          </cell>
          <cell r="AJ82">
            <v>4.5586899999999986</v>
          </cell>
          <cell r="AK82">
            <v>-0.13833000000000018</v>
          </cell>
          <cell r="AL82">
            <v>-448.24518999999987</v>
          </cell>
          <cell r="AM82">
            <v>426.77552000000003</v>
          </cell>
          <cell r="AN82">
            <v>-383.12886999999995</v>
          </cell>
          <cell r="AO82">
            <v>-54.139960000000002</v>
          </cell>
          <cell r="AP82">
            <v>-5.1811299999999996</v>
          </cell>
          <cell r="AQ82">
            <v>-406.37164999999999</v>
          </cell>
          <cell r="AR82">
            <v>-64.435980000000001</v>
          </cell>
          <cell r="AT82">
            <v>-16.145099999999999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6.3526899999999982</v>
          </cell>
          <cell r="BF82">
            <v>-18.904369999999812</v>
          </cell>
          <cell r="BG82">
            <v>-2.1276499999999996</v>
          </cell>
          <cell r="BH82">
            <v>-0.30320000000000003</v>
          </cell>
          <cell r="BI82">
            <v>-2.3999999999999998E-4</v>
          </cell>
          <cell r="BJ82">
            <v>0</v>
          </cell>
          <cell r="BK82">
            <v>3058.8718900000017</v>
          </cell>
        </row>
        <row r="83">
          <cell r="C83">
            <v>4246.9875842562406</v>
          </cell>
          <cell r="N83">
            <v>3954.791209176361</v>
          </cell>
          <cell r="O83">
            <v>-1607.8507266984213</v>
          </cell>
          <cell r="P83">
            <v>0</v>
          </cell>
          <cell r="Q83">
            <v>0</v>
          </cell>
          <cell r="R83">
            <v>0</v>
          </cell>
          <cell r="S83">
            <v>-301.24264181619066</v>
          </cell>
          <cell r="T83">
            <v>0</v>
          </cell>
          <cell r="U83">
            <v>0</v>
          </cell>
          <cell r="V83">
            <v>-990.40867206497796</v>
          </cell>
          <cell r="W83">
            <v>0</v>
          </cell>
          <cell r="X83">
            <v>0</v>
          </cell>
          <cell r="Y83">
            <v>-37.34123122678988</v>
          </cell>
          <cell r="Z83">
            <v>68.726334187239871</v>
          </cell>
          <cell r="AA83">
            <v>0</v>
          </cell>
          <cell r="AB83">
            <v>0</v>
          </cell>
          <cell r="AC83">
            <v>-1726.8289617249998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2144.942335744825</v>
          </cell>
          <cell r="AI83">
            <v>37.34123122678988</v>
          </cell>
          <cell r="AJ83">
            <v>0</v>
          </cell>
          <cell r="AK83">
            <v>0</v>
          </cell>
          <cell r="AL83">
            <v>-356.37063213686548</v>
          </cell>
          <cell r="AM83">
            <v>0</v>
          </cell>
          <cell r="AN83">
            <v>0</v>
          </cell>
          <cell r="AO83">
            <v>-29.5928032748227</v>
          </cell>
          <cell r="AP83">
            <v>-4.4084499485653046</v>
          </cell>
          <cell r="AQ83">
            <v>-217.6767226663008</v>
          </cell>
          <cell r="AR83">
            <v>-83.019318179219823</v>
          </cell>
          <cell r="AT83">
            <v>-22.172714445000025</v>
          </cell>
          <cell r="AU83">
            <v>1.42388185185119</v>
          </cell>
          <cell r="AV83">
            <v>0</v>
          </cell>
          <cell r="AW83">
            <v>0</v>
          </cell>
          <cell r="AX83">
            <v>7.987835170193021</v>
          </cell>
          <cell r="AY83">
            <v>0</v>
          </cell>
          <cell r="AZ83">
            <v>0</v>
          </cell>
          <cell r="BA83">
            <v>0.15666840680102984</v>
          </cell>
          <cell r="BB83">
            <v>-1.7441693936060119</v>
          </cell>
          <cell r="BC83">
            <v>0</v>
          </cell>
          <cell r="BD83">
            <v>0</v>
          </cell>
          <cell r="BE83">
            <v>1.5987211554602254E-14</v>
          </cell>
          <cell r="BF83">
            <v>0</v>
          </cell>
          <cell r="BG83">
            <v>-0.15666840680102984</v>
          </cell>
          <cell r="BH83">
            <v>0</v>
          </cell>
          <cell r="BI83">
            <v>0</v>
          </cell>
          <cell r="BJ83">
            <v>0</v>
          </cell>
          <cell r="BK83">
            <v>836.55578378149994</v>
          </cell>
        </row>
        <row r="94">
          <cell r="C94">
            <v>12459.516709999991</v>
          </cell>
          <cell r="N94">
            <v>12519.300509999995</v>
          </cell>
          <cell r="O94">
            <v>-713.40449000000001</v>
          </cell>
          <cell r="P94">
            <v>-76.77527000000002</v>
          </cell>
          <cell r="Q94">
            <v>0</v>
          </cell>
          <cell r="R94">
            <v>6.9703600000000003</v>
          </cell>
          <cell r="S94">
            <v>-417.87133999999998</v>
          </cell>
          <cell r="T94">
            <v>-44.868150000000007</v>
          </cell>
          <cell r="U94">
            <v>0</v>
          </cell>
          <cell r="V94">
            <v>-4416.4273924743038</v>
          </cell>
          <cell r="W94">
            <v>-64.727599999999995</v>
          </cell>
          <cell r="X94">
            <v>-364.54618752569576</v>
          </cell>
          <cell r="Y94">
            <v>-32.731630000000003</v>
          </cell>
          <cell r="Z94">
            <v>161.85784999999998</v>
          </cell>
          <cell r="AA94">
            <v>1.47376</v>
          </cell>
          <cell r="AB94">
            <v>0</v>
          </cell>
          <cell r="AC94">
            <v>-3352.1333599999998</v>
          </cell>
          <cell r="AD94">
            <v>780.87563</v>
          </cell>
          <cell r="AE94">
            <v>-100.80978</v>
          </cell>
          <cell r="AF94">
            <v>-258.98824000000002</v>
          </cell>
          <cell r="AG94">
            <v>0</v>
          </cell>
          <cell r="AH94">
            <v>3406.4638200000004</v>
          </cell>
          <cell r="AI94">
            <v>227.65339999999992</v>
          </cell>
          <cell r="AJ94">
            <v>42.28722999999988</v>
          </cell>
          <cell r="AK94">
            <v>-3.9961800000000007</v>
          </cell>
          <cell r="AL94">
            <v>-3084.6894800000055</v>
          </cell>
          <cell r="AM94">
            <v>2216.8054599999996</v>
          </cell>
          <cell r="AN94">
            <v>-2233.9738900000002</v>
          </cell>
          <cell r="AO94">
            <v>-948.35295999999994</v>
          </cell>
          <cell r="AP94">
            <v>-115.47414000000001</v>
          </cell>
          <cell r="AQ94">
            <v>-474.98321999999996</v>
          </cell>
          <cell r="AR94">
            <v>-436.08998000000003</v>
          </cell>
          <cell r="AT94">
            <v>-1239.9330099999997</v>
          </cell>
          <cell r="AU94">
            <v>0</v>
          </cell>
          <cell r="AV94">
            <v>0</v>
          </cell>
          <cell r="AW94">
            <v>0</v>
          </cell>
          <cell r="AX94">
            <v>-44.639622687721101</v>
          </cell>
          <cell r="AY94">
            <v>0</v>
          </cell>
          <cell r="AZ94">
            <v>44.639622687721101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1.5307800000000003</v>
          </cell>
          <cell r="BG94">
            <v>15.17742</v>
          </cell>
          <cell r="BH94">
            <v>44.254560000000005</v>
          </cell>
          <cell r="BI94">
            <v>-0.52572000000000008</v>
          </cell>
          <cell r="BJ94">
            <v>0</v>
          </cell>
          <cell r="BK94">
            <v>1043.3487599999883</v>
          </cell>
        </row>
        <row r="95">
          <cell r="C95">
            <v>12835.577450000004</v>
          </cell>
          <cell r="N95">
            <v>12809.171130000002</v>
          </cell>
          <cell r="O95">
            <v>-714.32292000000007</v>
          </cell>
          <cell r="P95">
            <v>0</v>
          </cell>
          <cell r="Q95">
            <v>-300</v>
          </cell>
          <cell r="R95">
            <v>10.345000000000006</v>
          </cell>
          <cell r="S95">
            <v>-446.37670000000003</v>
          </cell>
          <cell r="T95">
            <v>-47.576900000000002</v>
          </cell>
          <cell r="U95">
            <v>0</v>
          </cell>
          <cell r="V95">
            <v>-5320.08781</v>
          </cell>
          <cell r="W95">
            <v>0</v>
          </cell>
          <cell r="X95">
            <v>-234.74100000000001</v>
          </cell>
          <cell r="Y95">
            <v>-74.91395</v>
          </cell>
          <cell r="Z95">
            <v>188.70148</v>
          </cell>
          <cell r="AA95">
            <v>3.0976599999999999</v>
          </cell>
          <cell r="AB95">
            <v>0</v>
          </cell>
          <cell r="AC95">
            <v>-3969.1705099999999</v>
          </cell>
          <cell r="AD95">
            <v>520.56335000000001</v>
          </cell>
          <cell r="AE95">
            <v>-111.43332999999998</v>
          </cell>
          <cell r="AF95">
            <v>-318.54993000000002</v>
          </cell>
          <cell r="AG95">
            <v>0</v>
          </cell>
          <cell r="AH95">
            <v>6923.1104799999994</v>
          </cell>
          <cell r="AI95">
            <v>161.67761999999996</v>
          </cell>
          <cell r="AJ95">
            <v>-122.30784000000001</v>
          </cell>
          <cell r="AK95">
            <v>-1.3199700000000001</v>
          </cell>
          <cell r="AL95">
            <v>-3415.6911999999948</v>
          </cell>
          <cell r="AM95">
            <v>2309.4284499999999</v>
          </cell>
          <cell r="AN95">
            <v>-2300.0447000000017</v>
          </cell>
          <cell r="AO95">
            <v>-853.75136999999995</v>
          </cell>
          <cell r="AP95">
            <v>-131.25335000000001</v>
          </cell>
          <cell r="AQ95">
            <v>-423.49362000000002</v>
          </cell>
          <cell r="AR95">
            <v>-389.10708999999997</v>
          </cell>
          <cell r="AT95">
            <v>-1315.4281500000052</v>
          </cell>
          <cell r="AU95">
            <v>0</v>
          </cell>
          <cell r="AV95">
            <v>0</v>
          </cell>
          <cell r="AW95">
            <v>0</v>
          </cell>
          <cell r="AX95">
            <v>-32.715000000000003</v>
          </cell>
          <cell r="AY95">
            <v>0</v>
          </cell>
          <cell r="AZ95">
            <v>32.715000000000003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271.60442999999992</v>
          </cell>
          <cell r="BF95">
            <v>-1116.32114</v>
          </cell>
          <cell r="BG95">
            <v>3.6394300000000004</v>
          </cell>
          <cell r="BH95">
            <v>36.427979999999991</v>
          </cell>
          <cell r="BI95">
            <v>0.22134999999999996</v>
          </cell>
          <cell r="BJ95">
            <v>0</v>
          </cell>
          <cell r="BK95">
            <v>1632.0968799999994</v>
          </cell>
        </row>
        <row r="96">
          <cell r="C96">
            <v>13131.483596439135</v>
          </cell>
          <cell r="N96">
            <v>13142.971363986242</v>
          </cell>
          <cell r="O96">
            <v>-3195.3064829503351</v>
          </cell>
          <cell r="P96">
            <v>-802.07637728324039</v>
          </cell>
          <cell r="Q96">
            <v>-292.60724980176605</v>
          </cell>
          <cell r="R96">
            <v>0</v>
          </cell>
          <cell r="S96">
            <v>-516.88600631095392</v>
          </cell>
          <cell r="T96">
            <v>-363.57471697757626</v>
          </cell>
          <cell r="U96">
            <v>0</v>
          </cell>
          <cell r="V96">
            <v>-615.69195087498269</v>
          </cell>
          <cell r="W96">
            <v>-748.82454132732801</v>
          </cell>
          <cell r="X96">
            <v>-273.18033023740662</v>
          </cell>
          <cell r="Y96">
            <v>-72.970205734350472</v>
          </cell>
          <cell r="Z96">
            <v>91.929385517781597</v>
          </cell>
          <cell r="AA96">
            <v>0</v>
          </cell>
          <cell r="AB96">
            <v>0</v>
          </cell>
          <cell r="AC96">
            <v>-1162.1517225507152</v>
          </cell>
          <cell r="AD96">
            <v>0</v>
          </cell>
          <cell r="AE96">
            <v>0</v>
          </cell>
          <cell r="AF96">
            <v>-220.25040673458258</v>
          </cell>
          <cell r="AG96">
            <v>0</v>
          </cell>
          <cell r="AH96">
            <v>1427.9021292852979</v>
          </cell>
          <cell r="AI96">
            <v>72.970205734350472</v>
          </cell>
          <cell r="AJ96">
            <v>0</v>
          </cell>
          <cell r="AK96">
            <v>0</v>
          </cell>
          <cell r="AL96">
            <v>-3396.4040363740532</v>
          </cell>
          <cell r="AM96">
            <v>0</v>
          </cell>
          <cell r="AN96">
            <v>0</v>
          </cell>
          <cell r="AO96">
            <v>-928.05854916879753</v>
          </cell>
          <cell r="AP96">
            <v>-119.74586690231675</v>
          </cell>
          <cell r="AQ96">
            <v>-522.59673284633493</v>
          </cell>
          <cell r="AR96">
            <v>-428.80394984495501</v>
          </cell>
          <cell r="AT96">
            <v>-1362.9662086034673</v>
          </cell>
          <cell r="AU96">
            <v>311.73532667591411</v>
          </cell>
          <cell r="AV96">
            <v>333.90404252540185</v>
          </cell>
          <cell r="AW96">
            <v>0</v>
          </cell>
          <cell r="AX96">
            <v>-322.66736776164652</v>
          </cell>
          <cell r="AY96">
            <v>311.73532667591411</v>
          </cell>
          <cell r="AZ96">
            <v>0</v>
          </cell>
          <cell r="BA96">
            <v>6.5085100873895332</v>
          </cell>
          <cell r="BB96">
            <v>-8.5184995884321388</v>
          </cell>
          <cell r="BC96">
            <v>0</v>
          </cell>
          <cell r="BD96">
            <v>0</v>
          </cell>
          <cell r="BE96">
            <v>244.67270436084874</v>
          </cell>
          <cell r="BF96">
            <v>-244.67270436084874</v>
          </cell>
          <cell r="BG96">
            <v>-6.5085100873895332</v>
          </cell>
          <cell r="BH96">
            <v>0</v>
          </cell>
          <cell r="BI96">
            <v>0</v>
          </cell>
          <cell r="BJ96">
            <v>0</v>
          </cell>
          <cell r="BK96">
            <v>339.86657852766359</v>
          </cell>
        </row>
        <row r="98">
          <cell r="C98">
            <v>1756.2625100000002</v>
          </cell>
          <cell r="N98">
            <v>1747.4754400000004</v>
          </cell>
          <cell r="O98">
            <v>-17.780989999999999</v>
          </cell>
          <cell r="P98">
            <v>0</v>
          </cell>
          <cell r="Q98">
            <v>0</v>
          </cell>
          <cell r="R98">
            <v>0</v>
          </cell>
          <cell r="S98">
            <v>-120.40612999999999</v>
          </cell>
          <cell r="T98">
            <v>-1.69703</v>
          </cell>
          <cell r="U98">
            <v>0</v>
          </cell>
          <cell r="V98">
            <v>-575.88454426234853</v>
          </cell>
          <cell r="W98">
            <v>-1.3740000000000001</v>
          </cell>
          <cell r="X98">
            <v>-81.739545737651497</v>
          </cell>
          <cell r="Y98">
            <v>-10.98676</v>
          </cell>
          <cell r="Z98">
            <v>79.835610000000003</v>
          </cell>
          <cell r="AA98">
            <v>1.2718699999999998</v>
          </cell>
          <cell r="AB98">
            <v>0</v>
          </cell>
          <cell r="AC98">
            <v>-612.79469000000006</v>
          </cell>
          <cell r="AD98">
            <v>20.431810000000006</v>
          </cell>
          <cell r="AE98">
            <v>-77.09966</v>
          </cell>
          <cell r="AF98">
            <v>-91.725839999999906</v>
          </cell>
          <cell r="AG98">
            <v>0</v>
          </cell>
          <cell r="AH98">
            <v>-219.13909999999996</v>
          </cell>
          <cell r="AI98">
            <v>281.42048000000005</v>
          </cell>
          <cell r="AJ98">
            <v>279.03143000000006</v>
          </cell>
          <cell r="AK98">
            <v>-17.572500000000012</v>
          </cell>
          <cell r="AL98">
            <v>-384.18612000000019</v>
          </cell>
          <cell r="AM98">
            <v>279.87639999999999</v>
          </cell>
          <cell r="AN98">
            <v>-278.51428999999996</v>
          </cell>
          <cell r="AO98">
            <v>-262.92059</v>
          </cell>
          <cell r="AP98">
            <v>-30.447300000000006</v>
          </cell>
          <cell r="AQ98">
            <v>-81.557569999999998</v>
          </cell>
          <cell r="AR98">
            <v>-142.95161999999999</v>
          </cell>
          <cell r="AT98">
            <v>-45.138929999999988</v>
          </cell>
          <cell r="AU98">
            <v>0</v>
          </cell>
          <cell r="AV98">
            <v>0</v>
          </cell>
          <cell r="AW98">
            <v>0</v>
          </cell>
          <cell r="AX98">
            <v>-6.5964390631542358</v>
          </cell>
          <cell r="AY98">
            <v>0</v>
          </cell>
          <cell r="AZ98">
            <v>6.5964390631542358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-11.194719999999267</v>
          </cell>
          <cell r="BG98">
            <v>29.812079999999998</v>
          </cell>
          <cell r="BH98">
            <v>-23.672720000000002</v>
          </cell>
          <cell r="BI98">
            <v>-0.6530800000000001</v>
          </cell>
          <cell r="BJ98">
            <v>0</v>
          </cell>
          <cell r="BK98">
            <v>-370.28260999999895</v>
          </cell>
        </row>
        <row r="99">
          <cell r="C99">
            <v>1792.75864</v>
          </cell>
          <cell r="N99">
            <v>1768.154700000001</v>
          </cell>
          <cell r="O99">
            <v>-22.264879999999998</v>
          </cell>
          <cell r="P99">
            <v>0</v>
          </cell>
          <cell r="Q99">
            <v>0</v>
          </cell>
          <cell r="R99">
            <v>0</v>
          </cell>
          <cell r="S99">
            <v>-105.72316000000001</v>
          </cell>
          <cell r="T99">
            <v>-0.25047000000000003</v>
          </cell>
          <cell r="U99">
            <v>0</v>
          </cell>
          <cell r="V99">
            <v>-1159.9028599999999</v>
          </cell>
          <cell r="W99">
            <v>0</v>
          </cell>
          <cell r="X99">
            <v>-19.934000000000001</v>
          </cell>
          <cell r="Y99">
            <v>-37.697900000000004</v>
          </cell>
          <cell r="Z99">
            <v>128.18810999999999</v>
          </cell>
          <cell r="AA99">
            <v>4.2385900000000003</v>
          </cell>
          <cell r="AB99">
            <v>0</v>
          </cell>
          <cell r="AC99">
            <v>-636.72095999999999</v>
          </cell>
          <cell r="AD99">
            <v>71.41367000000001</v>
          </cell>
          <cell r="AE99">
            <v>-75.187310000000011</v>
          </cell>
          <cell r="AF99">
            <v>-61.556880000000035</v>
          </cell>
          <cell r="AG99">
            <v>0</v>
          </cell>
          <cell r="AH99">
            <v>-1281.0076299999985</v>
          </cell>
          <cell r="AI99">
            <v>207.69542999999999</v>
          </cell>
          <cell r="AJ99">
            <v>-43.879819999999995</v>
          </cell>
          <cell r="AK99">
            <v>-8.7252299999999892</v>
          </cell>
          <cell r="AL99">
            <v>-392.27270000000055</v>
          </cell>
          <cell r="AM99">
            <v>287.99628000000007</v>
          </cell>
          <cell r="AN99">
            <v>-282.70301999999992</v>
          </cell>
          <cell r="AO99">
            <v>-229.80076</v>
          </cell>
          <cell r="AP99">
            <v>-30.108790000000003</v>
          </cell>
          <cell r="AQ99">
            <v>-74.227759999999989</v>
          </cell>
          <cell r="AR99">
            <v>-108.29098</v>
          </cell>
          <cell r="AT99">
            <v>-79.928230000000013</v>
          </cell>
          <cell r="AU99">
            <v>0</v>
          </cell>
          <cell r="AV99">
            <v>0</v>
          </cell>
          <cell r="AW99">
            <v>0</v>
          </cell>
          <cell r="AX99">
            <v>-1.2130000000000001</v>
          </cell>
          <cell r="AY99">
            <v>0</v>
          </cell>
          <cell r="AZ99">
            <v>1.2130000000000001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25.2</v>
          </cell>
          <cell r="BF99">
            <v>157.15943999999988</v>
          </cell>
          <cell r="BG99">
            <v>-52.433480000000003</v>
          </cell>
          <cell r="BH99">
            <v>2.565019999999997</v>
          </cell>
          <cell r="BI99">
            <v>0.96715999999999991</v>
          </cell>
          <cell r="BJ99">
            <v>0</v>
          </cell>
          <cell r="BK99">
            <v>-2049.038419999998</v>
          </cell>
        </row>
        <row r="100">
          <cell r="C100">
            <v>1800.8952833722701</v>
          </cell>
          <cell r="N100">
            <v>1794.8952092239717</v>
          </cell>
          <cell r="O100">
            <v>-142.90744522783203</v>
          </cell>
          <cell r="P100">
            <v>0</v>
          </cell>
          <cell r="Q100">
            <v>-15.036834287896257</v>
          </cell>
          <cell r="R100">
            <v>0</v>
          </cell>
          <cell r="S100">
            <v>-161.9691822468605</v>
          </cell>
          <cell r="T100">
            <v>-7.4193741115205345</v>
          </cell>
          <cell r="U100">
            <v>0</v>
          </cell>
          <cell r="V100">
            <v>-382.5103292099144</v>
          </cell>
          <cell r="W100">
            <v>0</v>
          </cell>
          <cell r="X100">
            <v>-67.457033499459243</v>
          </cell>
          <cell r="Y100">
            <v>-12.522730323553585</v>
          </cell>
          <cell r="Z100">
            <v>60.675594049824511</v>
          </cell>
          <cell r="AA100">
            <v>0</v>
          </cell>
          <cell r="AB100">
            <v>0</v>
          </cell>
          <cell r="AC100">
            <v>-385.94473200638117</v>
          </cell>
          <cell r="AD100">
            <v>0</v>
          </cell>
          <cell r="AE100">
            <v>0</v>
          </cell>
          <cell r="AF100">
            <v>-79.735047731177445</v>
          </cell>
          <cell r="AG100">
            <v>0</v>
          </cell>
          <cell r="AH100">
            <v>465.67977973755865</v>
          </cell>
          <cell r="AI100">
            <v>12.522730323553585</v>
          </cell>
          <cell r="AJ100">
            <v>0</v>
          </cell>
          <cell r="AK100">
            <v>0</v>
          </cell>
          <cell r="AL100">
            <v>-393.73118764851711</v>
          </cell>
          <cell r="AM100">
            <v>0</v>
          </cell>
          <cell r="AN100">
            <v>0</v>
          </cell>
          <cell r="AO100">
            <v>-256.40006838721251</v>
          </cell>
          <cell r="AP100">
            <v>-26.906397166460749</v>
          </cell>
          <cell r="AQ100">
            <v>-93.566557959237997</v>
          </cell>
          <cell r="AR100">
            <v>-129.4050034528625</v>
          </cell>
          <cell r="AT100">
            <v>-66.690244219767081</v>
          </cell>
          <cell r="AU100">
            <v>0</v>
          </cell>
          <cell r="AV100">
            <v>0</v>
          </cell>
          <cell r="AW100">
            <v>0</v>
          </cell>
          <cell r="AX100">
            <v>-0.92400535058501587</v>
          </cell>
          <cell r="AY100">
            <v>0</v>
          </cell>
          <cell r="AZ100">
            <v>0</v>
          </cell>
          <cell r="BA100">
            <v>-1.6833127728449464E-2</v>
          </cell>
          <cell r="BB100">
            <v>8.473299641555912E-2</v>
          </cell>
          <cell r="BC100">
            <v>0</v>
          </cell>
          <cell r="BD100">
            <v>0</v>
          </cell>
          <cell r="BE100">
            <v>-25.469134846588709</v>
          </cell>
          <cell r="BF100">
            <v>-18.655865153411291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66.590040374357244</v>
          </cell>
        </row>
        <row r="102">
          <cell r="C102">
            <v>2072.8422599999985</v>
          </cell>
          <cell r="N102">
            <v>1924.1250399999994</v>
          </cell>
          <cell r="O102">
            <v>-11.10948</v>
          </cell>
          <cell r="P102">
            <v>0</v>
          </cell>
          <cell r="Q102">
            <v>0</v>
          </cell>
          <cell r="R102">
            <v>0</v>
          </cell>
          <cell r="S102">
            <v>-239.80848</v>
          </cell>
          <cell r="T102">
            <v>0</v>
          </cell>
          <cell r="U102">
            <v>0</v>
          </cell>
          <cell r="V102">
            <v>-494.45537000000002</v>
          </cell>
          <cell r="W102">
            <v>0</v>
          </cell>
          <cell r="X102">
            <v>0</v>
          </cell>
          <cell r="Y102">
            <v>-3.9859</v>
          </cell>
          <cell r="Z102">
            <v>31.390050000000002</v>
          </cell>
          <cell r="AA102">
            <v>0.16071999999999997</v>
          </cell>
          <cell r="AB102">
            <v>0</v>
          </cell>
          <cell r="AC102">
            <v>-501.63049000000001</v>
          </cell>
          <cell r="AD102">
            <v>30.959290000000006</v>
          </cell>
          <cell r="AE102">
            <v>-59.327299999999994</v>
          </cell>
          <cell r="AF102">
            <v>-6.3992899999999331</v>
          </cell>
          <cell r="AG102">
            <v>0</v>
          </cell>
          <cell r="AH102">
            <v>758.30609999999979</v>
          </cell>
          <cell r="AI102">
            <v>2114.7512099999999</v>
          </cell>
          <cell r="AJ102">
            <v>-59.717390000000002</v>
          </cell>
          <cell r="AK102">
            <v>-406.64139999999998</v>
          </cell>
          <cell r="AL102">
            <v>-458.43841000000015</v>
          </cell>
          <cell r="AM102">
            <v>337.91248000000002</v>
          </cell>
          <cell r="AN102">
            <v>-304.83573999999987</v>
          </cell>
          <cell r="AO102">
            <v>-264.07927999999998</v>
          </cell>
          <cell r="AP102">
            <v>-28.005990000000001</v>
          </cell>
          <cell r="AQ102">
            <v>-74.693659999999994</v>
          </cell>
          <cell r="AR102">
            <v>-97.964839999999995</v>
          </cell>
          <cell r="AT102">
            <v>-28.228000000000002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2158.2838699999988</v>
          </cell>
        </row>
        <row r="103">
          <cell r="C103">
            <v>1877.7070399999998</v>
          </cell>
          <cell r="N103">
            <v>1693.4579700000008</v>
          </cell>
          <cell r="O103">
            <v>-5.0352699999999997</v>
          </cell>
          <cell r="P103">
            <v>0</v>
          </cell>
          <cell r="Q103">
            <v>0</v>
          </cell>
          <cell r="R103">
            <v>0.53300000000000036</v>
          </cell>
          <cell r="S103">
            <v>-214.10099</v>
          </cell>
          <cell r="T103">
            <v>0</v>
          </cell>
          <cell r="U103">
            <v>0</v>
          </cell>
          <cell r="V103">
            <v>-462.10558000000003</v>
          </cell>
          <cell r="W103">
            <v>0</v>
          </cell>
          <cell r="X103">
            <v>0</v>
          </cell>
          <cell r="Y103">
            <v>-60.621300000000005</v>
          </cell>
          <cell r="Z103">
            <v>31.245410000000003</v>
          </cell>
          <cell r="AA103">
            <v>12.578469999999999</v>
          </cell>
          <cell r="AB103">
            <v>0</v>
          </cell>
          <cell r="AC103">
            <v>-523.42411000000004</v>
          </cell>
          <cell r="AD103">
            <v>14.99217</v>
          </cell>
          <cell r="AE103">
            <v>-58.005690000000001</v>
          </cell>
          <cell r="AF103">
            <v>-3.9890599999999998</v>
          </cell>
          <cell r="AG103">
            <v>0</v>
          </cell>
          <cell r="AH103">
            <v>1012.50917</v>
          </cell>
          <cell r="AI103">
            <v>373.06436000000002</v>
          </cell>
          <cell r="AJ103">
            <v>25.723669999999984</v>
          </cell>
          <cell r="AK103">
            <v>-77.737439999999992</v>
          </cell>
          <cell r="AL103">
            <v>-439.82289999999966</v>
          </cell>
          <cell r="AM103">
            <v>348.98056999999994</v>
          </cell>
          <cell r="AN103">
            <v>-307.64601000000005</v>
          </cell>
          <cell r="AO103">
            <v>-214.25171999999998</v>
          </cell>
          <cell r="AP103">
            <v>-18.760719999999999</v>
          </cell>
          <cell r="AQ103">
            <v>-55.688900000000004</v>
          </cell>
          <cell r="AR103">
            <v>-46.9998</v>
          </cell>
          <cell r="AT103">
            <v>-15.407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1009.4883000000011</v>
          </cell>
        </row>
        <row r="104">
          <cell r="C104">
            <v>2094.4776262386981</v>
          </cell>
          <cell r="N104">
            <v>2069.115612933284</v>
          </cell>
          <cell r="O104">
            <v>-53.274652003077222</v>
          </cell>
          <cell r="P104">
            <v>0</v>
          </cell>
          <cell r="Q104">
            <v>0</v>
          </cell>
          <cell r="R104">
            <v>0</v>
          </cell>
          <cell r="S104">
            <v>-222.18703955497205</v>
          </cell>
          <cell r="T104">
            <v>0</v>
          </cell>
          <cell r="U104">
            <v>0</v>
          </cell>
          <cell r="V104">
            <v>-396.85048861103292</v>
          </cell>
          <cell r="W104">
            <v>0</v>
          </cell>
          <cell r="X104">
            <v>0</v>
          </cell>
          <cell r="Y104">
            <v>-8.8769226636883758</v>
          </cell>
          <cell r="Z104">
            <v>24.026745780434574</v>
          </cell>
          <cell r="AA104">
            <v>0</v>
          </cell>
          <cell r="AB104">
            <v>0</v>
          </cell>
          <cell r="AC104">
            <v>-430.3727384927455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430.3727384927455</v>
          </cell>
          <cell r="AI104">
            <v>8.8769226636883758</v>
          </cell>
          <cell r="AJ104">
            <v>0</v>
          </cell>
          <cell r="AK104">
            <v>0</v>
          </cell>
          <cell r="AL104">
            <v>-449.59470869421716</v>
          </cell>
          <cell r="AM104">
            <v>0</v>
          </cell>
          <cell r="AN104">
            <v>0</v>
          </cell>
          <cell r="AO104">
            <v>-261.55788121871075</v>
          </cell>
          <cell r="AP104">
            <v>-19.732611465440954</v>
          </cell>
          <cell r="AQ104">
            <v>-80.725244183634004</v>
          </cell>
          <cell r="AR104">
            <v>-91.184269750649747</v>
          </cell>
          <cell r="AT104">
            <v>-20.675774600448573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497.35968863153477</v>
          </cell>
        </row>
      </sheetData>
      <sheetData sheetId="2" refreshError="1">
        <row r="21">
          <cell r="C21">
            <v>2210.8949499999999</v>
          </cell>
          <cell r="N21">
            <v>1860.846340000001</v>
          </cell>
          <cell r="O21">
            <v>-251.03774000000004</v>
          </cell>
          <cell r="P21">
            <v>0</v>
          </cell>
          <cell r="Q21">
            <v>0</v>
          </cell>
          <cell r="R21">
            <v>-9.9999999999909054E-6</v>
          </cell>
          <cell r="S21">
            <v>-74.948499999999996</v>
          </cell>
          <cell r="T21">
            <v>-82.582449999999994</v>
          </cell>
          <cell r="U21">
            <v>0</v>
          </cell>
          <cell r="V21">
            <v>-821.18748296486831</v>
          </cell>
          <cell r="W21">
            <v>0</v>
          </cell>
          <cell r="X21">
            <v>-287.58040703513177</v>
          </cell>
          <cell r="Y21">
            <v>-14.42155</v>
          </cell>
          <cell r="Z21">
            <v>122.26848</v>
          </cell>
          <cell r="AA21">
            <v>2.6006300000000002</v>
          </cell>
          <cell r="AB21">
            <v>0</v>
          </cell>
          <cell r="AC21">
            <v>-1149.7334699999999</v>
          </cell>
          <cell r="AD21">
            <v>27.762040000000002</v>
          </cell>
          <cell r="AE21">
            <v>-32.733319999999999</v>
          </cell>
          <cell r="AF21">
            <v>-72.802999999999969</v>
          </cell>
          <cell r="AG21">
            <v>0</v>
          </cell>
          <cell r="AH21">
            <v>-953.40720000000022</v>
          </cell>
          <cell r="AI21">
            <v>225.52182000000002</v>
          </cell>
          <cell r="AJ21">
            <v>2816.7532300000003</v>
          </cell>
          <cell r="AK21">
            <v>34.076260000000005</v>
          </cell>
          <cell r="AL21">
            <v>-401.7510000000002</v>
          </cell>
          <cell r="AM21">
            <v>232.63726000000003</v>
          </cell>
          <cell r="AN21">
            <v>-183.96697000000012</v>
          </cell>
          <cell r="AO21">
            <v>-175.41789</v>
          </cell>
          <cell r="AP21">
            <v>-18.688479999999998</v>
          </cell>
          <cell r="AQ21">
            <v>-111.82473999999999</v>
          </cell>
          <cell r="AR21">
            <v>-76.983679999999993</v>
          </cell>
          <cell r="AT21">
            <v>-40.731000000000002</v>
          </cell>
          <cell r="AU21">
            <v>0</v>
          </cell>
          <cell r="AV21">
            <v>0</v>
          </cell>
          <cell r="AW21">
            <v>0</v>
          </cell>
          <cell r="AX21">
            <v>-23.545180664173472</v>
          </cell>
          <cell r="AY21">
            <v>0</v>
          </cell>
          <cell r="AZ21">
            <v>23.545180664173472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2.4952899999999998</v>
          </cell>
          <cell r="BF21">
            <v>-22.457980000002308</v>
          </cell>
          <cell r="BG21">
            <v>14.16802</v>
          </cell>
          <cell r="BH21">
            <v>-508.86723000000006</v>
          </cell>
          <cell r="BI21">
            <v>-12.98889</v>
          </cell>
          <cell r="BJ21">
            <v>0</v>
          </cell>
          <cell r="BK21">
            <v>45.016379999998549</v>
          </cell>
        </row>
        <row r="22">
          <cell r="C22">
            <v>2355.0842099999991</v>
          </cell>
          <cell r="N22">
            <v>1981.8038599999977</v>
          </cell>
          <cell r="O22">
            <v>-232.80117999999999</v>
          </cell>
          <cell r="P22">
            <v>0</v>
          </cell>
          <cell r="Q22">
            <v>0</v>
          </cell>
          <cell r="R22">
            <v>1.5400000000000009</v>
          </cell>
          <cell r="S22">
            <v>-130.11860999999999</v>
          </cell>
          <cell r="T22">
            <v>-134.80558000000002</v>
          </cell>
          <cell r="U22">
            <v>0</v>
          </cell>
          <cell r="V22">
            <v>-906.33276999999998</v>
          </cell>
          <cell r="W22">
            <v>0</v>
          </cell>
          <cell r="X22">
            <v>-183.16300000000001</v>
          </cell>
          <cell r="Y22">
            <v>-17.743069999999999</v>
          </cell>
          <cell r="Z22">
            <v>84.273470000000003</v>
          </cell>
          <cell r="AA22">
            <v>2.2261500000000001</v>
          </cell>
          <cell r="AB22">
            <v>690</v>
          </cell>
          <cell r="AC22">
            <v>-3205.9168300000006</v>
          </cell>
          <cell r="AD22">
            <v>54.161409999999997</v>
          </cell>
          <cell r="AE22">
            <v>-55.211209999999994</v>
          </cell>
          <cell r="AF22">
            <v>-85.010220000000018</v>
          </cell>
          <cell r="AG22">
            <v>0</v>
          </cell>
          <cell r="AH22">
            <v>1711.8308299999978</v>
          </cell>
          <cell r="AI22">
            <v>-6.7799600000000018</v>
          </cell>
          <cell r="AJ22">
            <v>316.93718000000001</v>
          </cell>
          <cell r="AK22">
            <v>13.88458</v>
          </cell>
          <cell r="AL22">
            <v>-415.35054000000025</v>
          </cell>
          <cell r="AM22">
            <v>249.93774999999999</v>
          </cell>
          <cell r="AN22">
            <v>-196.10888999999997</v>
          </cell>
          <cell r="AO22">
            <v>-159.98779000000002</v>
          </cell>
          <cell r="AP22">
            <v>-25.331949999999999</v>
          </cell>
          <cell r="AQ22">
            <v>-100.34137</v>
          </cell>
          <cell r="AR22">
            <v>-87.490849999999995</v>
          </cell>
          <cell r="AT22">
            <v>-54.411999999999999</v>
          </cell>
          <cell r="AU22">
            <v>0</v>
          </cell>
          <cell r="AV22">
            <v>0</v>
          </cell>
          <cell r="AW22">
            <v>0</v>
          </cell>
          <cell r="AX22">
            <v>-10.473000000000001</v>
          </cell>
          <cell r="AY22">
            <v>0</v>
          </cell>
          <cell r="AZ22">
            <v>10.473000000000001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1104.7953400000001</v>
          </cell>
          <cell r="BG22">
            <v>74.943669999999997</v>
          </cell>
          <cell r="BH22">
            <v>-97.705579999999998</v>
          </cell>
          <cell r="BI22">
            <v>-6.1377499999999996</v>
          </cell>
          <cell r="BJ22">
            <v>0</v>
          </cell>
          <cell r="BK22">
            <v>185.58508999999449</v>
          </cell>
        </row>
        <row r="23">
          <cell r="C23">
            <v>2411.7941315877124</v>
          </cell>
          <cell r="N23">
            <v>1986.1192378714618</v>
          </cell>
          <cell r="O23">
            <v>-789.51361131577391</v>
          </cell>
          <cell r="P23">
            <v>0</v>
          </cell>
          <cell r="Q23">
            <v>-107.84702965928636</v>
          </cell>
          <cell r="R23">
            <v>0</v>
          </cell>
          <cell r="S23">
            <v>-118.43549782595051</v>
          </cell>
          <cell r="T23">
            <v>-61.820714281612965</v>
          </cell>
          <cell r="U23">
            <v>0</v>
          </cell>
          <cell r="V23">
            <v>-272.88007499107363</v>
          </cell>
          <cell r="W23">
            <v>0</v>
          </cell>
          <cell r="X23">
            <v>-195.79368159078723</v>
          </cell>
          <cell r="Y23">
            <v>-21.064677934453147</v>
          </cell>
          <cell r="Z23">
            <v>84.02780669826339</v>
          </cell>
          <cell r="AA23">
            <v>0</v>
          </cell>
          <cell r="AB23">
            <v>0</v>
          </cell>
          <cell r="AC23">
            <v>-781.16862383688931</v>
          </cell>
          <cell r="AD23">
            <v>0</v>
          </cell>
          <cell r="AE23">
            <v>0</v>
          </cell>
          <cell r="AF23">
            <v>-37.931313956854353</v>
          </cell>
          <cell r="AG23">
            <v>0</v>
          </cell>
          <cell r="AH23">
            <v>821.34993779374349</v>
          </cell>
          <cell r="AI23">
            <v>21.064677934453147</v>
          </cell>
          <cell r="AJ23">
            <v>0</v>
          </cell>
          <cell r="AK23">
            <v>0</v>
          </cell>
          <cell r="AL23">
            <v>-410.64710113949252</v>
          </cell>
          <cell r="AM23">
            <v>0</v>
          </cell>
          <cell r="AN23">
            <v>0</v>
          </cell>
          <cell r="AO23">
            <v>-163.78679204731623</v>
          </cell>
          <cell r="AP23">
            <v>-12.524385397220652</v>
          </cell>
          <cell r="AQ23">
            <v>-118.0845422565375</v>
          </cell>
          <cell r="AR23">
            <v>-100.18317867452799</v>
          </cell>
          <cell r="AT23">
            <v>-48.787466010641332</v>
          </cell>
          <cell r="AU23">
            <v>30.769028185558032</v>
          </cell>
          <cell r="AV23">
            <v>0</v>
          </cell>
          <cell r="AW23">
            <v>16.948188870827355</v>
          </cell>
          <cell r="AX23">
            <v>-39.821042224721623</v>
          </cell>
          <cell r="AY23">
            <v>0</v>
          </cell>
          <cell r="AZ23">
            <v>30.769028185558035</v>
          </cell>
          <cell r="BA23">
            <v>0.57160812434466945</v>
          </cell>
          <cell r="BB23">
            <v>-2.3688596716591639</v>
          </cell>
          <cell r="BC23">
            <v>0</v>
          </cell>
          <cell r="BD23">
            <v>0</v>
          </cell>
          <cell r="BE23">
            <v>-73.957402566379827</v>
          </cell>
          <cell r="BF23">
            <v>-108.8759307669535</v>
          </cell>
          <cell r="BG23">
            <v>-0.57160812434466945</v>
          </cell>
          <cell r="BH23">
            <v>0</v>
          </cell>
          <cell r="BI23">
            <v>0</v>
          </cell>
          <cell r="BJ23">
            <v>0</v>
          </cell>
          <cell r="BK23">
            <v>-474.44402060826656</v>
          </cell>
        </row>
        <row r="25">
          <cell r="C25">
            <v>2631.3785199999984</v>
          </cell>
          <cell r="N25">
            <v>2190.7530499999984</v>
          </cell>
          <cell r="O25">
            <v>-708.88051999999993</v>
          </cell>
          <cell r="P25">
            <v>-5.0602399999999994</v>
          </cell>
          <cell r="Q25">
            <v>0</v>
          </cell>
          <cell r="R25">
            <v>22.456130000000002</v>
          </cell>
          <cell r="S25">
            <v>-94.846599999999995</v>
          </cell>
          <cell r="T25">
            <v>-13.200869999999998</v>
          </cell>
          <cell r="U25">
            <v>0</v>
          </cell>
          <cell r="V25">
            <v>-1091.9264299999998</v>
          </cell>
          <cell r="W25">
            <v>-6.9928800000000004</v>
          </cell>
          <cell r="X25">
            <v>0</v>
          </cell>
          <cell r="Y25">
            <v>-1.73682</v>
          </cell>
          <cell r="Z25">
            <v>16.077439999999999</v>
          </cell>
          <cell r="AA25">
            <v>2.3629999999999998E-2</v>
          </cell>
          <cell r="AB25">
            <v>0</v>
          </cell>
          <cell r="AC25">
            <v>-856.32403999999985</v>
          </cell>
          <cell r="AD25">
            <v>145.72686000000002</v>
          </cell>
          <cell r="AE25">
            <v>-23.791170000000001</v>
          </cell>
          <cell r="AF25">
            <v>-32.841500000000011</v>
          </cell>
          <cell r="AG25">
            <v>0</v>
          </cell>
          <cell r="AH25">
            <v>851.08918999999969</v>
          </cell>
          <cell r="AI25">
            <v>-0.81719999999999782</v>
          </cell>
          <cell r="AJ25">
            <v>6.5953100000000049</v>
          </cell>
          <cell r="AK25">
            <v>0.51441999999999999</v>
          </cell>
          <cell r="AL25">
            <v>-524.39193000000046</v>
          </cell>
          <cell r="AM25">
            <v>332.39151000000004</v>
          </cell>
          <cell r="AN25">
            <v>-254.56629999999979</v>
          </cell>
          <cell r="AO25">
            <v>-163.02565000000001</v>
          </cell>
          <cell r="AP25">
            <v>-19.478299999999997</v>
          </cell>
          <cell r="AQ25">
            <v>-120.74311999999999</v>
          </cell>
          <cell r="AR25">
            <v>-83.183419999999998</v>
          </cell>
          <cell r="AT25">
            <v>-20.852640000000001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3.8600000000000001E-3</v>
          </cell>
          <cell r="BH25">
            <v>2.0000000000000004E-4</v>
          </cell>
          <cell r="BI25">
            <v>-1.4000000000000001E-4</v>
          </cell>
          <cell r="BJ25">
            <v>0</v>
          </cell>
          <cell r="BK25">
            <v>-457.02817000000169</v>
          </cell>
        </row>
        <row r="26">
          <cell r="C26">
            <v>2670.954310000001</v>
          </cell>
          <cell r="N26">
            <v>2204.8937900000028</v>
          </cell>
          <cell r="O26">
            <v>-652.77759000000003</v>
          </cell>
          <cell r="P26">
            <v>0</v>
          </cell>
          <cell r="Q26">
            <v>0</v>
          </cell>
          <cell r="R26">
            <v>50.878670000000014</v>
          </cell>
          <cell r="S26">
            <v>-124.68126999999998</v>
          </cell>
          <cell r="T26">
            <v>-10.986129999999999</v>
          </cell>
          <cell r="U26">
            <v>0</v>
          </cell>
          <cell r="V26">
            <v>-827.87065000000007</v>
          </cell>
          <cell r="W26">
            <v>0</v>
          </cell>
          <cell r="X26">
            <v>0</v>
          </cell>
          <cell r="Y26">
            <v>-6.2448300000000003</v>
          </cell>
          <cell r="Z26">
            <v>13.622170000000001</v>
          </cell>
          <cell r="AA26">
            <v>0.10095999999999999</v>
          </cell>
          <cell r="AB26">
            <v>0</v>
          </cell>
          <cell r="AC26">
            <v>-886.9141699999999</v>
          </cell>
          <cell r="AD26">
            <v>291.02852999999999</v>
          </cell>
          <cell r="AE26">
            <v>-31.094760000000001</v>
          </cell>
          <cell r="AF26">
            <v>-27.119089999999989</v>
          </cell>
          <cell r="AG26">
            <v>0</v>
          </cell>
          <cell r="AH26">
            <v>1001.69317</v>
          </cell>
          <cell r="AI26">
            <v>10.96489</v>
          </cell>
          <cell r="AJ26">
            <v>-9.3390099999999965</v>
          </cell>
          <cell r="AK26">
            <v>-0.11032</v>
          </cell>
          <cell r="AL26">
            <v>-524.70840000000044</v>
          </cell>
          <cell r="AM26">
            <v>343.26901999999995</v>
          </cell>
          <cell r="AN26">
            <v>-262.59043999999994</v>
          </cell>
          <cell r="AO26">
            <v>-141.51450000000003</v>
          </cell>
          <cell r="AP26">
            <v>-23.788779999999999</v>
          </cell>
          <cell r="AQ26">
            <v>-85.971949999999993</v>
          </cell>
          <cell r="AR26">
            <v>-84.953630000000004</v>
          </cell>
          <cell r="AT26">
            <v>-31.271000000000001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-0.10100000000000001</v>
          </cell>
          <cell r="BF26">
            <v>-1.1879999999999999</v>
          </cell>
          <cell r="BG26">
            <v>-7.0200000000000002E-3</v>
          </cell>
          <cell r="BH26">
            <v>-3.6999999999999999E-4</v>
          </cell>
          <cell r="BI26">
            <v>0</v>
          </cell>
          <cell r="BJ26">
            <v>0</v>
          </cell>
          <cell r="BK26">
            <v>183.21829000000204</v>
          </cell>
        </row>
        <row r="27">
          <cell r="C27">
            <v>2779.0461815269632</v>
          </cell>
          <cell r="N27">
            <v>2319.0895876636068</v>
          </cell>
          <cell r="O27">
            <v>-1130.8693153047234</v>
          </cell>
          <cell r="P27">
            <v>-52.634697001267213</v>
          </cell>
          <cell r="Q27">
            <v>0</v>
          </cell>
          <cell r="R27">
            <v>0</v>
          </cell>
          <cell r="S27">
            <v>-140.63320584074526</v>
          </cell>
          <cell r="T27">
            <v>-37.340202827595981</v>
          </cell>
          <cell r="U27">
            <v>0</v>
          </cell>
          <cell r="V27">
            <v>-139.99338820750856</v>
          </cell>
          <cell r="W27">
            <v>-9.5270742134132718</v>
          </cell>
          <cell r="X27">
            <v>0</v>
          </cell>
          <cell r="Y27">
            <v>-5.2731506687100174</v>
          </cell>
          <cell r="Z27">
            <v>2.2000615084527526</v>
          </cell>
          <cell r="AA27">
            <v>0</v>
          </cell>
          <cell r="AB27">
            <v>0</v>
          </cell>
          <cell r="AC27">
            <v>-317.27926023439215</v>
          </cell>
          <cell r="AD27">
            <v>0</v>
          </cell>
          <cell r="AE27">
            <v>0</v>
          </cell>
          <cell r="AF27">
            <v>-23.98160205224934</v>
          </cell>
          <cell r="AG27">
            <v>0</v>
          </cell>
          <cell r="AH27">
            <v>346.7608622866415</v>
          </cell>
          <cell r="AI27">
            <v>5.2731506687100174</v>
          </cell>
          <cell r="AJ27">
            <v>0</v>
          </cell>
          <cell r="AK27">
            <v>0</v>
          </cell>
          <cell r="AL27">
            <v>-477.52881965286599</v>
          </cell>
          <cell r="AM27">
            <v>0</v>
          </cell>
          <cell r="AN27">
            <v>0</v>
          </cell>
          <cell r="AO27">
            <v>-148.86797554218302</v>
          </cell>
          <cell r="AP27">
            <v>-12.764483053267</v>
          </cell>
          <cell r="AQ27">
            <v>-126.78770536215424</v>
          </cell>
          <cell r="AR27">
            <v>-107.40267003641551</v>
          </cell>
          <cell r="AT27">
            <v>-21.555721830369198</v>
          </cell>
          <cell r="AU27">
            <v>1.4760255823598012</v>
          </cell>
          <cell r="AV27">
            <v>8.1546713663935115</v>
          </cell>
          <cell r="AW27">
            <v>0</v>
          </cell>
          <cell r="AX27">
            <v>-1.4760255823598012</v>
          </cell>
          <cell r="AY27">
            <v>1.4760255823598012</v>
          </cell>
          <cell r="AZ27">
            <v>0</v>
          </cell>
          <cell r="BA27">
            <v>6.7399875415938039E-3</v>
          </cell>
          <cell r="BB27">
            <v>-2.9214365880841343E-3</v>
          </cell>
          <cell r="BC27">
            <v>0</v>
          </cell>
          <cell r="BD27">
            <v>0</v>
          </cell>
          <cell r="BE27">
            <v>0.49052128591124</v>
          </cell>
          <cell r="BF27">
            <v>-0.49052128591124</v>
          </cell>
          <cell r="BG27">
            <v>-6.7399875415938039E-3</v>
          </cell>
          <cell r="BH27">
            <v>0</v>
          </cell>
          <cell r="BI27">
            <v>0</v>
          </cell>
          <cell r="BJ27">
            <v>0</v>
          </cell>
          <cell r="BK27">
            <v>-69.4878341882835</v>
          </cell>
        </row>
        <row r="29">
          <cell r="C29">
            <v>4842.2734699999983</v>
          </cell>
          <cell r="N29">
            <v>4051.5993899999994</v>
          </cell>
          <cell r="O29">
            <v>-959.91825999999992</v>
          </cell>
          <cell r="P29">
            <v>-5.0602399999999994</v>
          </cell>
          <cell r="Q29">
            <v>0</v>
          </cell>
          <cell r="R29">
            <v>22.456120000000002</v>
          </cell>
          <cell r="S29">
            <v>-169.79509999999999</v>
          </cell>
          <cell r="T29">
            <v>-95.783319999999989</v>
          </cell>
          <cell r="U29">
            <v>0</v>
          </cell>
          <cell r="V29">
            <v>-1913.1139129648682</v>
          </cell>
          <cell r="W29">
            <v>-6.9928800000000004</v>
          </cell>
          <cell r="X29">
            <v>-287.58040703513177</v>
          </cell>
          <cell r="Y29">
            <v>-16.158370000000001</v>
          </cell>
          <cell r="Z29">
            <v>138.34592000000001</v>
          </cell>
          <cell r="AA29">
            <v>2.62426</v>
          </cell>
          <cell r="AB29">
            <v>0</v>
          </cell>
          <cell r="AC29">
            <v>-2006.0575099999996</v>
          </cell>
          <cell r="AD29">
            <v>173.48890000000003</v>
          </cell>
          <cell r="AE29">
            <v>-56.52449</v>
          </cell>
          <cell r="AF29">
            <v>-105.64449999999998</v>
          </cell>
          <cell r="AG29">
            <v>0</v>
          </cell>
          <cell r="AH29">
            <v>-102.31801000000053</v>
          </cell>
          <cell r="AI29">
            <v>224.70462000000003</v>
          </cell>
          <cell r="AJ29">
            <v>2823.3485400000004</v>
          </cell>
          <cell r="AK29">
            <v>34.590680000000006</v>
          </cell>
          <cell r="AL29">
            <v>-926.14293000000066</v>
          </cell>
          <cell r="AM29">
            <v>565.02877000000012</v>
          </cell>
          <cell r="AN29">
            <v>-438.5332699999999</v>
          </cell>
          <cell r="AO29">
            <v>-338.44353999999998</v>
          </cell>
          <cell r="AP29">
            <v>-38.166779999999996</v>
          </cell>
          <cell r="AQ29">
            <v>-232.56786</v>
          </cell>
          <cell r="AR29">
            <v>-160.1671</v>
          </cell>
          <cell r="AT29">
            <v>-61.583640000000003</v>
          </cell>
          <cell r="AU29">
            <v>0</v>
          </cell>
          <cell r="AV29">
            <v>0</v>
          </cell>
          <cell r="AW29">
            <v>0</v>
          </cell>
          <cell r="AX29">
            <v>-23.545180664173472</v>
          </cell>
          <cell r="AY29">
            <v>0</v>
          </cell>
          <cell r="AZ29">
            <v>23.545180664173472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2.4952899999999998</v>
          </cell>
          <cell r="BF29">
            <v>-22.457980000002308</v>
          </cell>
          <cell r="BG29">
            <v>14.17188</v>
          </cell>
          <cell r="BH29">
            <v>-508.86703000000006</v>
          </cell>
          <cell r="BI29">
            <v>-12.98903</v>
          </cell>
          <cell r="BJ29">
            <v>0</v>
          </cell>
          <cell r="BK29">
            <v>-412.01179000000315</v>
          </cell>
        </row>
        <row r="30">
          <cell r="C30">
            <v>5026.0385200000001</v>
          </cell>
          <cell r="N30">
            <v>4186.6976500000001</v>
          </cell>
          <cell r="O30">
            <v>-885.57877000000008</v>
          </cell>
          <cell r="P30">
            <v>0</v>
          </cell>
          <cell r="Q30">
            <v>0</v>
          </cell>
          <cell r="R30">
            <v>52.418670000000013</v>
          </cell>
          <cell r="S30">
            <v>-254.79987999999997</v>
          </cell>
          <cell r="T30">
            <v>-145.79171000000002</v>
          </cell>
          <cell r="U30">
            <v>0</v>
          </cell>
          <cell r="V30">
            <v>-1734.2034200000001</v>
          </cell>
          <cell r="W30">
            <v>0</v>
          </cell>
          <cell r="X30">
            <v>-183.16300000000001</v>
          </cell>
          <cell r="Y30">
            <v>-23.9879</v>
          </cell>
          <cell r="Z30">
            <v>97.89564</v>
          </cell>
          <cell r="AA30">
            <v>2.3271100000000002</v>
          </cell>
          <cell r="AB30">
            <v>690</v>
          </cell>
          <cell r="AC30">
            <v>-4092.8310000000006</v>
          </cell>
          <cell r="AD30">
            <v>345.18993999999998</v>
          </cell>
          <cell r="AE30">
            <v>-86.305970000000002</v>
          </cell>
          <cell r="AF30">
            <v>-112.12931</v>
          </cell>
          <cell r="AG30">
            <v>0</v>
          </cell>
          <cell r="AH30">
            <v>2713.5239999999976</v>
          </cell>
          <cell r="AI30">
            <v>4.1849299999999987</v>
          </cell>
          <cell r="AJ30">
            <v>307.59817000000004</v>
          </cell>
          <cell r="AK30">
            <v>13.77426</v>
          </cell>
          <cell r="AL30">
            <v>-940.05894000000069</v>
          </cell>
          <cell r="AM30">
            <v>593.20677000000001</v>
          </cell>
          <cell r="AN30">
            <v>-458.69932999999992</v>
          </cell>
          <cell r="AO30">
            <v>-301.50229000000002</v>
          </cell>
          <cell r="AP30">
            <v>-49.120729999999995</v>
          </cell>
          <cell r="AQ30">
            <v>-186.31331999999998</v>
          </cell>
          <cell r="AR30">
            <v>-172.44448</v>
          </cell>
          <cell r="AT30">
            <v>-85.682999999999993</v>
          </cell>
          <cell r="AU30">
            <v>0</v>
          </cell>
          <cell r="AV30">
            <v>0</v>
          </cell>
          <cell r="AW30">
            <v>0</v>
          </cell>
          <cell r="AX30">
            <v>-10.473000000000001</v>
          </cell>
          <cell r="AY30">
            <v>0</v>
          </cell>
          <cell r="AZ30">
            <v>10.473000000000001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-0.10100000000000001</v>
          </cell>
          <cell r="BF30">
            <v>1103.60734</v>
          </cell>
          <cell r="BG30">
            <v>74.93665</v>
          </cell>
          <cell r="BH30">
            <v>-97.705950000000001</v>
          </cell>
          <cell r="BI30">
            <v>-6.1377499999999996</v>
          </cell>
          <cell r="BJ30">
            <v>0</v>
          </cell>
          <cell r="BK30">
            <v>368.80337999999654</v>
          </cell>
        </row>
        <row r="31">
          <cell r="C31">
            <v>5190.8403131146752</v>
          </cell>
          <cell r="N31">
            <v>4305.2088255350682</v>
          </cell>
          <cell r="O31">
            <v>-1920.3829266204973</v>
          </cell>
          <cell r="P31">
            <v>-52.634697001267213</v>
          </cell>
          <cell r="Q31">
            <v>-107.84702965928636</v>
          </cell>
          <cell r="R31">
            <v>0</v>
          </cell>
          <cell r="S31">
            <v>-259.0687036666958</v>
          </cell>
          <cell r="T31">
            <v>-99.160917109208953</v>
          </cell>
          <cell r="U31">
            <v>0</v>
          </cell>
          <cell r="V31">
            <v>-412.87346319858216</v>
          </cell>
          <cell r="W31">
            <v>-9.5270742134132718</v>
          </cell>
          <cell r="X31">
            <v>-195.79368159078723</v>
          </cell>
          <cell r="Y31">
            <v>-26.337828603163164</v>
          </cell>
          <cell r="Z31">
            <v>86.227868206716138</v>
          </cell>
          <cell r="AA31">
            <v>0</v>
          </cell>
          <cell r="AB31">
            <v>0</v>
          </cell>
          <cell r="AC31">
            <v>-1098.4478840712814</v>
          </cell>
          <cell r="AD31">
            <v>0</v>
          </cell>
          <cell r="AE31">
            <v>0</v>
          </cell>
          <cell r="AF31">
            <v>-61.912916009103697</v>
          </cell>
          <cell r="AG31">
            <v>0</v>
          </cell>
          <cell r="AH31">
            <v>1168.1108000803849</v>
          </cell>
          <cell r="AI31">
            <v>26.337828603163164</v>
          </cell>
          <cell r="AJ31">
            <v>0</v>
          </cell>
          <cell r="AK31">
            <v>0</v>
          </cell>
          <cell r="AL31">
            <v>-888.17592079235851</v>
          </cell>
          <cell r="AM31">
            <v>0</v>
          </cell>
          <cell r="AN31">
            <v>0</v>
          </cell>
          <cell r="AO31">
            <v>-312.65476758949922</v>
          </cell>
          <cell r="AP31">
            <v>-25.288868450487652</v>
          </cell>
          <cell r="AQ31">
            <v>-244.87224761869174</v>
          </cell>
          <cell r="AR31">
            <v>-207.58584871094351</v>
          </cell>
          <cell r="AT31">
            <v>-70.343187841010533</v>
          </cell>
          <cell r="AU31">
            <v>32.245053767917831</v>
          </cell>
          <cell r="AV31">
            <v>8.1546713663935115</v>
          </cell>
          <cell r="AW31">
            <v>16.948188870827355</v>
          </cell>
          <cell r="AX31">
            <v>-41.297067807081426</v>
          </cell>
          <cell r="AY31">
            <v>1.4760255823598012</v>
          </cell>
          <cell r="AZ31">
            <v>30.769028185558035</v>
          </cell>
          <cell r="BA31">
            <v>0.57834811188626323</v>
          </cell>
          <cell r="BB31">
            <v>-2.371781108247248</v>
          </cell>
          <cell r="BC31">
            <v>0</v>
          </cell>
          <cell r="BD31">
            <v>0</v>
          </cell>
          <cell r="BE31">
            <v>-73.466881280468584</v>
          </cell>
          <cell r="BF31">
            <v>-109.36645205286474</v>
          </cell>
          <cell r="BG31">
            <v>-0.57834811188626323</v>
          </cell>
          <cell r="BH31">
            <v>0</v>
          </cell>
          <cell r="BI31">
            <v>0</v>
          </cell>
          <cell r="BJ31">
            <v>0</v>
          </cell>
          <cell r="BK31">
            <v>-543.93185479655006</v>
          </cell>
        </row>
        <row r="33">
          <cell r="C33">
            <v>5968.0029899999972</v>
          </cell>
          <cell r="N33">
            <v>4074.4000800000008</v>
          </cell>
          <cell r="O33">
            <v>-164.58097000000001</v>
          </cell>
          <cell r="P33">
            <v>-11.60383</v>
          </cell>
          <cell r="Q33">
            <v>0</v>
          </cell>
          <cell r="R33">
            <v>7.7789399999999995</v>
          </cell>
          <cell r="S33">
            <v>-98.741669999999999</v>
          </cell>
          <cell r="T33">
            <v>-14.863050000000001</v>
          </cell>
          <cell r="U33">
            <v>0</v>
          </cell>
          <cell r="V33">
            <v>-951.81531161025873</v>
          </cell>
          <cell r="W33">
            <v>-4.6133800000000003</v>
          </cell>
          <cell r="X33">
            <v>-515.24454838974134</v>
          </cell>
          <cell r="Y33">
            <v>-9.9408200000000004</v>
          </cell>
          <cell r="Z33">
            <v>49.157359999999997</v>
          </cell>
          <cell r="AA33">
            <v>0.44758999999999999</v>
          </cell>
          <cell r="AB33">
            <v>0</v>
          </cell>
          <cell r="AC33">
            <v>-868.54197000000011</v>
          </cell>
          <cell r="AD33">
            <v>247.78157999999996</v>
          </cell>
          <cell r="AE33">
            <v>-24.09552</v>
          </cell>
          <cell r="AF33">
            <v>-101.27153</v>
          </cell>
          <cell r="AG33">
            <v>0</v>
          </cell>
          <cell r="AH33">
            <v>777.27950000000033</v>
          </cell>
          <cell r="AI33">
            <v>102.67773000000001</v>
          </cell>
          <cell r="AJ33">
            <v>22.596040000000002</v>
          </cell>
          <cell r="AK33">
            <v>-1.8634599999999999</v>
          </cell>
          <cell r="AL33">
            <v>-1503.1903800000009</v>
          </cell>
          <cell r="AM33">
            <v>1013.4790600000003</v>
          </cell>
          <cell r="AN33">
            <v>-594.80531000000167</v>
          </cell>
          <cell r="AO33">
            <v>-643.12082999999984</v>
          </cell>
          <cell r="AP33">
            <v>-65.392009999999999</v>
          </cell>
          <cell r="AQ33">
            <v>-177.08851000000001</v>
          </cell>
          <cell r="AR33">
            <v>-132.57157999999998</v>
          </cell>
          <cell r="AT33">
            <v>-566.6728599999999</v>
          </cell>
          <cell r="AU33">
            <v>0</v>
          </cell>
          <cell r="AV33">
            <v>0</v>
          </cell>
          <cell r="AW33">
            <v>0</v>
          </cell>
          <cell r="AX33">
            <v>-25.124765905580801</v>
          </cell>
          <cell r="AY33">
            <v>0</v>
          </cell>
          <cell r="AZ33">
            <v>25.124765905580801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-0.37804000000000004</v>
          </cell>
          <cell r="BG33">
            <v>7.1279200000000005</v>
          </cell>
          <cell r="BH33">
            <v>-10.92925</v>
          </cell>
          <cell r="BI33">
            <v>-0.49493999999999999</v>
          </cell>
          <cell r="BJ33">
            <v>0</v>
          </cell>
          <cell r="BK33">
            <v>-159.09397000000058</v>
          </cell>
        </row>
        <row r="34">
          <cell r="C34">
            <v>6140.7779400000009</v>
          </cell>
          <cell r="N34">
            <v>4255.6116399999955</v>
          </cell>
          <cell r="O34">
            <v>-163.75173999999998</v>
          </cell>
          <cell r="P34">
            <v>0</v>
          </cell>
          <cell r="Q34">
            <v>0</v>
          </cell>
          <cell r="R34">
            <v>9.9162199999999991</v>
          </cell>
          <cell r="S34">
            <v>-106.8103</v>
          </cell>
          <cell r="T34">
            <v>-8.3883299999999998</v>
          </cell>
          <cell r="U34">
            <v>0</v>
          </cell>
          <cell r="V34">
            <v>-954.07747000000006</v>
          </cell>
          <cell r="W34">
            <v>0</v>
          </cell>
          <cell r="X34">
            <v>-199.11099999999999</v>
          </cell>
          <cell r="Y34">
            <v>-15.55222</v>
          </cell>
          <cell r="Z34">
            <v>39.174639999999997</v>
          </cell>
          <cell r="AA34">
            <v>0.6430800000000001</v>
          </cell>
          <cell r="AB34">
            <v>0</v>
          </cell>
          <cell r="AC34">
            <v>-1338.5234499999999</v>
          </cell>
          <cell r="AD34">
            <v>380.78986999999995</v>
          </cell>
          <cell r="AE34">
            <v>-25.884899999999995</v>
          </cell>
          <cell r="AF34">
            <v>-91.497260000000011</v>
          </cell>
          <cell r="AG34">
            <v>0</v>
          </cell>
          <cell r="AH34">
            <v>2940.8938800000005</v>
          </cell>
          <cell r="AI34">
            <v>77.063980000000001</v>
          </cell>
          <cell r="AJ34">
            <v>-47.556799999999996</v>
          </cell>
          <cell r="AK34">
            <v>-0.77975000000000017</v>
          </cell>
          <cell r="AL34">
            <v>-1568.9139499999969</v>
          </cell>
          <cell r="AM34">
            <v>1068.1818000000003</v>
          </cell>
          <cell r="AN34">
            <v>-641.24312999999984</v>
          </cell>
          <cell r="AO34">
            <v>-486.01704999999993</v>
          </cell>
          <cell r="AP34">
            <v>-56.37548000000001</v>
          </cell>
          <cell r="AQ34">
            <v>-179.50089</v>
          </cell>
          <cell r="AR34">
            <v>-142.74929</v>
          </cell>
          <cell r="AT34">
            <v>-525.88499000000036</v>
          </cell>
          <cell r="AU34">
            <v>0</v>
          </cell>
          <cell r="AV34">
            <v>0</v>
          </cell>
          <cell r="AW34">
            <v>0</v>
          </cell>
          <cell r="AX34">
            <v>-41.473999999999997</v>
          </cell>
          <cell r="AY34">
            <v>0</v>
          </cell>
          <cell r="AZ34">
            <v>41.473999999999997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121.027</v>
          </cell>
          <cell r="BF34">
            <v>-233.03749000000008</v>
          </cell>
          <cell r="BG34">
            <v>-7.3303499999999984</v>
          </cell>
          <cell r="BH34">
            <v>2.9019499999999994</v>
          </cell>
          <cell r="BI34">
            <v>0.10333000000000001</v>
          </cell>
          <cell r="BJ34">
            <v>0</v>
          </cell>
          <cell r="BK34">
            <v>2103.3215499999983</v>
          </cell>
        </row>
        <row r="35">
          <cell r="C35">
            <v>6254.3068537446343</v>
          </cell>
          <cell r="N35">
            <v>4316.1255611462802</v>
          </cell>
          <cell r="O35">
            <v>-867.97928275335767</v>
          </cell>
          <cell r="P35">
            <v>-262.67751389632872</v>
          </cell>
          <cell r="Q35">
            <v>-164.68975790799828</v>
          </cell>
          <cell r="R35">
            <v>0</v>
          </cell>
          <cell r="S35">
            <v>-129.72933268489186</v>
          </cell>
          <cell r="T35">
            <v>-32.848643916117481</v>
          </cell>
          <cell r="U35">
            <v>0</v>
          </cell>
          <cell r="V35">
            <v>-326.00791245320266</v>
          </cell>
          <cell r="W35">
            <v>-245.23770357964298</v>
          </cell>
          <cell r="X35">
            <v>-153.75559724683887</v>
          </cell>
          <cell r="Y35">
            <v>-24.743850193448615</v>
          </cell>
          <cell r="Z35">
            <v>31.172817964372221</v>
          </cell>
          <cell r="AA35">
            <v>0</v>
          </cell>
          <cell r="AB35">
            <v>0</v>
          </cell>
          <cell r="AC35">
            <v>-440.54942233995837</v>
          </cell>
          <cell r="AD35">
            <v>0</v>
          </cell>
          <cell r="AE35">
            <v>0</v>
          </cell>
          <cell r="AF35">
            <v>-63.888650437498242</v>
          </cell>
          <cell r="AG35">
            <v>0</v>
          </cell>
          <cell r="AH35">
            <v>514.43807277745668</v>
          </cell>
          <cell r="AI35">
            <v>24.743850193448615</v>
          </cell>
          <cell r="AJ35">
            <v>0</v>
          </cell>
          <cell r="AK35">
            <v>0</v>
          </cell>
          <cell r="AL35">
            <v>-1185.8860888672743</v>
          </cell>
          <cell r="AM35">
            <v>0</v>
          </cell>
          <cell r="AN35">
            <v>0</v>
          </cell>
          <cell r="AO35">
            <v>-715.41266566144498</v>
          </cell>
          <cell r="AP35">
            <v>-49.481021180119001</v>
          </cell>
          <cell r="AQ35">
            <v>-187.4872973000715</v>
          </cell>
          <cell r="AR35">
            <v>-172.65723830640275</v>
          </cell>
          <cell r="AT35">
            <v>-611.18974367728026</v>
          </cell>
          <cell r="AU35">
            <v>102.09234796597471</v>
          </cell>
          <cell r="AV35">
            <v>109.35253331807516</v>
          </cell>
          <cell r="AW35">
            <v>0</v>
          </cell>
          <cell r="AX35">
            <v>-113.7916933853233</v>
          </cell>
          <cell r="AY35">
            <v>102.09234796597471</v>
          </cell>
          <cell r="AZ35">
            <v>0</v>
          </cell>
          <cell r="BA35">
            <v>2.0103279890526209</v>
          </cell>
          <cell r="BB35">
            <v>-2.6311671860797508</v>
          </cell>
          <cell r="BC35">
            <v>0</v>
          </cell>
          <cell r="BD35">
            <v>0</v>
          </cell>
          <cell r="BE35">
            <v>64.405844847766517</v>
          </cell>
          <cell r="BF35">
            <v>-64.405844847766517</v>
          </cell>
          <cell r="BG35">
            <v>-2.0103279890526209</v>
          </cell>
          <cell r="BH35">
            <v>0</v>
          </cell>
          <cell r="BI35">
            <v>0</v>
          </cell>
          <cell r="BJ35">
            <v>0</v>
          </cell>
          <cell r="BK35">
            <v>-550.62705164169677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-7.0000000000000007E-5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-1.1E-4</v>
          </cell>
          <cell r="AQ37">
            <v>0</v>
          </cell>
          <cell r="AR37">
            <v>-2.0000000000000002E-5</v>
          </cell>
          <cell r="AT37">
            <v>-1.7370699999999801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0.18356</v>
          </cell>
          <cell r="BH37">
            <v>0</v>
          </cell>
          <cell r="BI37">
            <v>-2.48E-3</v>
          </cell>
          <cell r="BJ37">
            <v>0</v>
          </cell>
          <cell r="BK37">
            <v>-1.5561899999999802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129.27776000000003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-6.0410000000000005E-2</v>
          </cell>
          <cell r="BH38">
            <v>0</v>
          </cell>
          <cell r="BI38">
            <v>-1.08E-3</v>
          </cell>
          <cell r="BJ38">
            <v>0</v>
          </cell>
          <cell r="BK38">
            <v>129.21627000000004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3577.23855</v>
          </cell>
          <cell r="N41">
            <v>1799.1692700000017</v>
          </cell>
          <cell r="O41">
            <v>-9.3458799999999993</v>
          </cell>
          <cell r="P41">
            <v>0</v>
          </cell>
          <cell r="Q41">
            <v>0</v>
          </cell>
          <cell r="R41">
            <v>0</v>
          </cell>
          <cell r="S41">
            <v>-94.573739999999987</v>
          </cell>
          <cell r="T41">
            <v>-6.7927199999999992</v>
          </cell>
          <cell r="U41">
            <v>0</v>
          </cell>
          <cell r="V41">
            <v>-776.61232291291776</v>
          </cell>
          <cell r="W41">
            <v>-0.66830999999999996</v>
          </cell>
          <cell r="X41">
            <v>-202.63252708708225</v>
          </cell>
          <cell r="Y41">
            <v>-16.337019999999999</v>
          </cell>
          <cell r="Z41">
            <v>118.71350000000001</v>
          </cell>
          <cell r="AA41">
            <v>1.89123</v>
          </cell>
          <cell r="AB41">
            <v>0</v>
          </cell>
          <cell r="AC41">
            <v>-1283.1044300000001</v>
          </cell>
          <cell r="AD41">
            <v>11.35406</v>
          </cell>
          <cell r="AE41">
            <v>-70.798929999999999</v>
          </cell>
          <cell r="AF41">
            <v>-179.06132000000002</v>
          </cell>
          <cell r="AG41">
            <v>0</v>
          </cell>
          <cell r="AH41">
            <v>-89.179289999999298</v>
          </cell>
          <cell r="AI41">
            <v>240.72788</v>
          </cell>
          <cell r="AJ41">
            <v>593.63043999999991</v>
          </cell>
          <cell r="AK41">
            <v>-20.772850000000002</v>
          </cell>
          <cell r="AL41">
            <v>-763.95653999999979</v>
          </cell>
          <cell r="AM41">
            <v>491.0732000000001</v>
          </cell>
          <cell r="AN41">
            <v>-145.46933999999993</v>
          </cell>
          <cell r="AO41">
            <v>-408.45817</v>
          </cell>
          <cell r="AP41">
            <v>-39.986590000000007</v>
          </cell>
          <cell r="AQ41">
            <v>-73.956059999999994</v>
          </cell>
          <cell r="AR41">
            <v>-70.919399999999996</v>
          </cell>
          <cell r="AT41">
            <v>-26.493699999999983</v>
          </cell>
          <cell r="AU41">
            <v>0</v>
          </cell>
          <cell r="AV41">
            <v>0</v>
          </cell>
          <cell r="AW41">
            <v>0</v>
          </cell>
          <cell r="AX41">
            <v>-11.914418029213707</v>
          </cell>
          <cell r="AY41">
            <v>0</v>
          </cell>
          <cell r="AZ41">
            <v>16.352588029213706</v>
          </cell>
          <cell r="BA41">
            <v>0.12273000000000001</v>
          </cell>
          <cell r="BB41">
            <v>-0.53766999999999987</v>
          </cell>
          <cell r="BC41">
            <v>-1.439E-2</v>
          </cell>
          <cell r="BD41">
            <v>0</v>
          </cell>
          <cell r="BE41">
            <v>3.5150500000000005</v>
          </cell>
          <cell r="BF41">
            <v>-25.468520000000076</v>
          </cell>
          <cell r="BG41">
            <v>58.200540000000004</v>
          </cell>
          <cell r="BH41">
            <v>-99.971130000000045</v>
          </cell>
          <cell r="BI41">
            <v>-0.2951700000000001</v>
          </cell>
          <cell r="BJ41">
            <v>0</v>
          </cell>
          <cell r="BK41">
            <v>-1082.5699499999978</v>
          </cell>
        </row>
        <row r="42">
          <cell r="C42">
            <v>3566.8428100000001</v>
          </cell>
          <cell r="N42">
            <v>1837.2187900000008</v>
          </cell>
          <cell r="O42">
            <v>-18.078220000000002</v>
          </cell>
          <cell r="P42">
            <v>0</v>
          </cell>
          <cell r="Q42">
            <v>0</v>
          </cell>
          <cell r="R42">
            <v>0</v>
          </cell>
          <cell r="S42">
            <v>-110.6206</v>
          </cell>
          <cell r="T42">
            <v>-5.5362799999999996</v>
          </cell>
          <cell r="U42">
            <v>0</v>
          </cell>
          <cell r="V42">
            <v>-807.94303000000002</v>
          </cell>
          <cell r="W42">
            <v>0</v>
          </cell>
          <cell r="X42">
            <v>-32.122</v>
          </cell>
          <cell r="Y42">
            <v>-26.84158</v>
          </cell>
          <cell r="Z42">
            <v>91.272239999999996</v>
          </cell>
          <cell r="AA42">
            <v>3.0179499999999999</v>
          </cell>
          <cell r="AB42">
            <v>0</v>
          </cell>
          <cell r="AC42">
            <v>-911.00360000000023</v>
          </cell>
          <cell r="AD42">
            <v>67.162130000000005</v>
          </cell>
          <cell r="AE42">
            <v>-90.13275999999999</v>
          </cell>
          <cell r="AF42">
            <v>-265.89761999999996</v>
          </cell>
          <cell r="AG42">
            <v>0</v>
          </cell>
          <cell r="AH42">
            <v>-502.15021000000252</v>
          </cell>
          <cell r="AI42">
            <v>527.86957999999993</v>
          </cell>
          <cell r="AJ42">
            <v>-117.76719000000014</v>
          </cell>
          <cell r="AK42">
            <v>-19.322879999999991</v>
          </cell>
          <cell r="AL42">
            <v>-763.5708400000002</v>
          </cell>
          <cell r="AM42">
            <v>489.84931999999981</v>
          </cell>
          <cell r="AN42">
            <v>-152.5558200000001</v>
          </cell>
          <cell r="AO42">
            <v>-379.63676000000004</v>
          </cell>
          <cell r="AP42">
            <v>-33.979529999999997</v>
          </cell>
          <cell r="AQ42">
            <v>-79.628069999999994</v>
          </cell>
          <cell r="AR42">
            <v>-78.143039999999999</v>
          </cell>
          <cell r="AT42">
            <v>-34.674609999999959</v>
          </cell>
          <cell r="AU42">
            <v>0</v>
          </cell>
          <cell r="AV42">
            <v>0</v>
          </cell>
          <cell r="AW42">
            <v>0</v>
          </cell>
          <cell r="AX42">
            <v>15.225000000000001</v>
          </cell>
          <cell r="AY42">
            <v>0</v>
          </cell>
          <cell r="AZ42">
            <v>1.954</v>
          </cell>
          <cell r="BA42">
            <v>0.51266999999999996</v>
          </cell>
          <cell r="BB42">
            <v>-1.8664800000000001</v>
          </cell>
          <cell r="BC42">
            <v>-5.5990000000000005E-2</v>
          </cell>
          <cell r="BD42">
            <v>0</v>
          </cell>
          <cell r="BE42">
            <v>156.13633999999999</v>
          </cell>
          <cell r="BF42">
            <v>-785.22257999999374</v>
          </cell>
          <cell r="BG42">
            <v>-179.89196000000001</v>
          </cell>
          <cell r="BH42">
            <v>46.228599999999972</v>
          </cell>
          <cell r="BI42">
            <v>3.1985700000000001</v>
          </cell>
          <cell r="BJ42">
            <v>0</v>
          </cell>
          <cell r="BK42">
            <v>-2156.9964599999967</v>
          </cell>
        </row>
        <row r="43">
          <cell r="C43">
            <v>3414.1730273103244</v>
          </cell>
          <cell r="N43">
            <v>1838.5269787856032</v>
          </cell>
          <cell r="O43">
            <v>-292.13913912326939</v>
          </cell>
          <cell r="P43">
            <v>0</v>
          </cell>
          <cell r="Q43">
            <v>-37.276347741465308</v>
          </cell>
          <cell r="R43">
            <v>0</v>
          </cell>
          <cell r="S43">
            <v>-141.8968993491045</v>
          </cell>
          <cell r="T43">
            <v>-11.607648865712825</v>
          </cell>
          <cell r="U43">
            <v>0</v>
          </cell>
          <cell r="V43">
            <v>-316.52585628813802</v>
          </cell>
          <cell r="W43">
            <v>0</v>
          </cell>
          <cell r="X43">
            <v>-167.22614548978433</v>
          </cell>
          <cell r="Y43">
            <v>-15.74029233995012</v>
          </cell>
          <cell r="Z43">
            <v>76.265444027205575</v>
          </cell>
          <cell r="AA43">
            <v>0</v>
          </cell>
          <cell r="AB43">
            <v>0</v>
          </cell>
          <cell r="AC43">
            <v>-924.48247605999586</v>
          </cell>
          <cell r="AD43">
            <v>0</v>
          </cell>
          <cell r="AE43">
            <v>0</v>
          </cell>
          <cell r="AF43">
            <v>-189.67314773184401</v>
          </cell>
          <cell r="AG43">
            <v>0</v>
          </cell>
          <cell r="AH43">
            <v>1113.1556237918398</v>
          </cell>
          <cell r="AI43">
            <v>15.74029233995012</v>
          </cell>
          <cell r="AJ43">
            <v>0</v>
          </cell>
          <cell r="AK43">
            <v>0</v>
          </cell>
          <cell r="AL43">
            <v>-438.05760723701769</v>
          </cell>
          <cell r="AM43">
            <v>0</v>
          </cell>
          <cell r="AN43">
            <v>0</v>
          </cell>
          <cell r="AO43">
            <v>-477.45400087012001</v>
          </cell>
          <cell r="AP43">
            <v>-31.069661607434746</v>
          </cell>
          <cell r="AQ43">
            <v>-80.588821657700493</v>
          </cell>
          <cell r="AR43">
            <v>-87.533447733687254</v>
          </cell>
          <cell r="AT43">
            <v>-47.823204056865357</v>
          </cell>
          <cell r="AU43">
            <v>37.205890508636259</v>
          </cell>
          <cell r="AV43">
            <v>0</v>
          </cell>
          <cell r="AW43">
            <v>7.8159625445373813</v>
          </cell>
          <cell r="AX43">
            <v>-28.264493878117982</v>
          </cell>
          <cell r="AY43">
            <v>0</v>
          </cell>
          <cell r="AZ43">
            <v>35.063340933521793</v>
          </cell>
          <cell r="BA43">
            <v>1.0017622249909923</v>
          </cell>
          <cell r="BB43">
            <v>-5.042575353897468</v>
          </cell>
          <cell r="BC43">
            <v>0</v>
          </cell>
          <cell r="BD43">
            <v>0</v>
          </cell>
          <cell r="BE43">
            <v>269.60619697271829</v>
          </cell>
          <cell r="BF43">
            <v>-313.73119697271829</v>
          </cell>
          <cell r="BG43">
            <v>-1.0017622249909923</v>
          </cell>
          <cell r="BH43">
            <v>0</v>
          </cell>
          <cell r="BI43">
            <v>0</v>
          </cell>
          <cell r="BJ43">
            <v>0</v>
          </cell>
          <cell r="BK43">
            <v>-212.75323245281129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-6.1906099999999986</v>
          </cell>
          <cell r="AI45">
            <v>1.63039</v>
          </cell>
          <cell r="AJ45">
            <v>1.4618399999999998</v>
          </cell>
          <cell r="AK45">
            <v>-3.2760000000000004E-2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-3.1311399999999989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40.436469999999986</v>
          </cell>
          <cell r="AI46">
            <v>1.2673100000000002</v>
          </cell>
          <cell r="AJ46">
            <v>-2.8594899999999996</v>
          </cell>
          <cell r="AK46">
            <v>-0.10327000000000003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38.741019999999985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6.8905000000000003</v>
          </cell>
          <cell r="N49">
            <v>6.4492899999999995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-2.9999999999999997E-5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-1.139</v>
          </cell>
          <cell r="AM49">
            <v>0.60478999999999994</v>
          </cell>
          <cell r="AN49">
            <v>-0.55184000000000011</v>
          </cell>
          <cell r="AO49">
            <v>0</v>
          </cell>
          <cell r="AP49">
            <v>-4.0000000000000003E-5</v>
          </cell>
          <cell r="AQ49">
            <v>0</v>
          </cell>
          <cell r="AR49">
            <v>-1.0000000000000001E-5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5.3631599999999988</v>
          </cell>
        </row>
        <row r="50">
          <cell r="C50">
            <v>7.2917499999999995</v>
          </cell>
          <cell r="N50">
            <v>6.8124100000000025</v>
          </cell>
          <cell r="O50">
            <v>-4.875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-8.3489999999999995E-2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-1.8971099999999999</v>
          </cell>
          <cell r="AD50">
            <v>0</v>
          </cell>
          <cell r="AE50">
            <v>0</v>
          </cell>
          <cell r="AF50">
            <v>-0.36179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-1.2242700000000009</v>
          </cell>
          <cell r="AM50">
            <v>0.74663000000000002</v>
          </cell>
          <cell r="AN50">
            <v>-0.6748200000000002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-1.5574399999999984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</row>
        <row r="54">
          <cell r="C54">
            <v>2081.0886699999996</v>
          </cell>
          <cell r="N54">
            <v>1623.2626099999993</v>
          </cell>
          <cell r="O54">
            <v>-3.75671</v>
          </cell>
          <cell r="P54">
            <v>0</v>
          </cell>
          <cell r="Q54">
            <v>0</v>
          </cell>
          <cell r="R54">
            <v>0</v>
          </cell>
          <cell r="S54">
            <v>-3.7073</v>
          </cell>
          <cell r="T54">
            <v>0</v>
          </cell>
          <cell r="U54">
            <v>0</v>
          </cell>
          <cell r="V54">
            <v>-131.08098999999999</v>
          </cell>
          <cell r="W54">
            <v>0</v>
          </cell>
          <cell r="X54">
            <v>0</v>
          </cell>
          <cell r="Y54">
            <v>-36.67277</v>
          </cell>
          <cell r="Z54">
            <v>7.0574500000000002</v>
          </cell>
          <cell r="AA54">
            <v>3.75725</v>
          </cell>
          <cell r="AB54">
            <v>0</v>
          </cell>
          <cell r="AC54">
            <v>-78.313400000000001</v>
          </cell>
          <cell r="AD54">
            <v>0</v>
          </cell>
          <cell r="AE54">
            <v>-2.1875200000000001</v>
          </cell>
          <cell r="AF54">
            <v>-6.51126</v>
          </cell>
          <cell r="AG54">
            <v>0</v>
          </cell>
          <cell r="AH54">
            <v>48.010759999999664</v>
          </cell>
          <cell r="AI54">
            <v>324.27785</v>
          </cell>
          <cell r="AJ54">
            <v>-0.29009999999999997</v>
          </cell>
          <cell r="AK54">
            <v>-29.655680000000007</v>
          </cell>
          <cell r="AL54">
            <v>-293.61843000000033</v>
          </cell>
          <cell r="AM54">
            <v>0</v>
          </cell>
          <cell r="AN54">
            <v>53.304079999999985</v>
          </cell>
          <cell r="AO54">
            <v>-20.618900000000004</v>
          </cell>
          <cell r="AP54">
            <v>-3.3117199999999998</v>
          </cell>
          <cell r="AQ54">
            <v>-19.605930000000001</v>
          </cell>
          <cell r="AR54">
            <v>-12.723000000000001</v>
          </cell>
          <cell r="AT54">
            <v>-9.5079999999999991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5.2366899999999994</v>
          </cell>
          <cell r="BG54">
            <v>0.17756999999999998</v>
          </cell>
          <cell r="BH54">
            <v>-0.32112999999999997</v>
          </cell>
          <cell r="BI54">
            <v>-1.3380000000000001E-2</v>
          </cell>
          <cell r="BJ54">
            <v>0</v>
          </cell>
          <cell r="BK54">
            <v>1413.1880399999991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</row>
        <row r="57">
          <cell r="C57">
            <v>162.36426999999998</v>
          </cell>
          <cell r="N57">
            <v>141.19945000000001</v>
          </cell>
          <cell r="O57">
            <v>-1.359E-2</v>
          </cell>
          <cell r="P57">
            <v>0</v>
          </cell>
          <cell r="Q57">
            <v>0</v>
          </cell>
          <cell r="R57">
            <v>0</v>
          </cell>
          <cell r="S57">
            <v>-38.590800000000002</v>
          </cell>
          <cell r="T57">
            <v>0</v>
          </cell>
          <cell r="U57">
            <v>0</v>
          </cell>
          <cell r="V57">
            <v>-35.929589999999997</v>
          </cell>
          <cell r="W57">
            <v>0</v>
          </cell>
          <cell r="X57">
            <v>0</v>
          </cell>
          <cell r="Y57">
            <v>-0.16833000000000001</v>
          </cell>
          <cell r="Z57">
            <v>2.7354100000000003</v>
          </cell>
          <cell r="AA57">
            <v>5.94E-3</v>
          </cell>
          <cell r="AB57">
            <v>0</v>
          </cell>
          <cell r="AC57">
            <v>-78.616990000000001</v>
          </cell>
          <cell r="AD57">
            <v>5.8264200000000006</v>
          </cell>
          <cell r="AE57">
            <v>-9.6409400000000005</v>
          </cell>
          <cell r="AF57">
            <v>8.640199666842818E-15</v>
          </cell>
          <cell r="AG57">
            <v>0</v>
          </cell>
          <cell r="AH57">
            <v>87.465630000000004</v>
          </cell>
          <cell r="AI57">
            <v>22.9267</v>
          </cell>
          <cell r="AJ57">
            <v>-10.982780000000002</v>
          </cell>
          <cell r="AK57">
            <v>-1.0261900000000002</v>
          </cell>
          <cell r="AL57">
            <v>-33.09940000000001</v>
          </cell>
          <cell r="AM57">
            <v>22.294580000000003</v>
          </cell>
          <cell r="AN57">
            <v>-18.469929999999994</v>
          </cell>
          <cell r="AO57">
            <v>-4.3674800000000005</v>
          </cell>
          <cell r="AP57">
            <v>-0.96713000000000005</v>
          </cell>
          <cell r="AQ57">
            <v>-4.7981499999999997</v>
          </cell>
          <cell r="AR57">
            <v>-3.6339299999999994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42.14890000000004</v>
          </cell>
        </row>
        <row r="58">
          <cell r="C58">
            <v>172.19625999999988</v>
          </cell>
          <cell r="N58">
            <v>147.51210999999995</v>
          </cell>
          <cell r="O58">
            <v>-1</v>
          </cell>
          <cell r="P58">
            <v>0</v>
          </cell>
          <cell r="Q58">
            <v>0</v>
          </cell>
          <cell r="R58">
            <v>7.8999999999999959E-2</v>
          </cell>
          <cell r="S58">
            <v>-36.580010000000001</v>
          </cell>
          <cell r="T58">
            <v>0</v>
          </cell>
          <cell r="U58">
            <v>0</v>
          </cell>
          <cell r="V58">
            <v>-43.734589999999997</v>
          </cell>
          <cell r="W58">
            <v>0</v>
          </cell>
          <cell r="X58">
            <v>0</v>
          </cell>
          <cell r="Y58">
            <v>-1.4290699999999998</v>
          </cell>
          <cell r="Z58">
            <v>3.5370500000000002</v>
          </cell>
          <cell r="AA58">
            <v>8.8150000000000006E-2</v>
          </cell>
          <cell r="AB58">
            <v>0</v>
          </cell>
          <cell r="AC58">
            <v>-68.26339999999999</v>
          </cell>
          <cell r="AD58">
            <v>-1.1779500000000001</v>
          </cell>
          <cell r="AE58">
            <v>-9.1703200000000002</v>
          </cell>
          <cell r="AF58">
            <v>0</v>
          </cell>
          <cell r="AG58">
            <v>0</v>
          </cell>
          <cell r="AH58">
            <v>155.24771999999999</v>
          </cell>
          <cell r="AI58">
            <v>2.7362500000000001</v>
          </cell>
          <cell r="AJ58">
            <v>1.4521799999999994</v>
          </cell>
          <cell r="AK58">
            <v>0.21756</v>
          </cell>
          <cell r="AL58">
            <v>-34.506319999999995</v>
          </cell>
          <cell r="AM58">
            <v>23.684129999999993</v>
          </cell>
          <cell r="AN58">
            <v>-19.154949999999996</v>
          </cell>
          <cell r="AO58">
            <v>-4.1849999999999996</v>
          </cell>
          <cell r="AP58">
            <v>-0.78037000000000001</v>
          </cell>
          <cell r="AQ58">
            <v>-4.8615200000000005</v>
          </cell>
          <cell r="AR58">
            <v>-3.4345999999999997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106.27604999999996</v>
          </cell>
        </row>
        <row r="59">
          <cell r="C59">
            <v>203.00508586223162</v>
          </cell>
          <cell r="N59">
            <v>153.75</v>
          </cell>
          <cell r="O59">
            <v>-2.0692738257798311</v>
          </cell>
          <cell r="P59">
            <v>0</v>
          </cell>
          <cell r="Q59">
            <v>0</v>
          </cell>
          <cell r="R59">
            <v>0</v>
          </cell>
          <cell r="S59">
            <v>-35.692337494790046</v>
          </cell>
          <cell r="T59">
            <v>0</v>
          </cell>
          <cell r="U59">
            <v>0</v>
          </cell>
          <cell r="V59">
            <v>-39.110044315183295</v>
          </cell>
          <cell r="W59">
            <v>0</v>
          </cell>
          <cell r="X59">
            <v>0</v>
          </cell>
          <cell r="Y59">
            <v>-0.86266744494439118</v>
          </cell>
          <cell r="Z59">
            <v>2.9773408553230549</v>
          </cell>
          <cell r="AA59">
            <v>0</v>
          </cell>
          <cell r="AB59">
            <v>0</v>
          </cell>
          <cell r="AC59">
            <v>-55.717838117007929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55.717838117007929</v>
          </cell>
          <cell r="AI59">
            <v>0.86266744494439118</v>
          </cell>
          <cell r="AJ59">
            <v>0</v>
          </cell>
          <cell r="AK59">
            <v>0</v>
          </cell>
          <cell r="AL59">
            <v>-32.465058409922825</v>
          </cell>
          <cell r="AM59">
            <v>0</v>
          </cell>
          <cell r="AN59">
            <v>0</v>
          </cell>
          <cell r="AO59">
            <v>-4.3201277423166005</v>
          </cell>
          <cell r="AP59">
            <v>-0.50400068440685752</v>
          </cell>
          <cell r="AQ59">
            <v>-5.1654515846061253</v>
          </cell>
          <cell r="AR59">
            <v>-4.8570461001437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32.544000698173775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14556.769779999995</v>
          </cell>
          <cell r="N65">
            <v>10072.817480000003</v>
          </cell>
          <cell r="O65">
            <v>-1133.8587</v>
          </cell>
          <cell r="P65">
            <v>-16.664069999999999</v>
          </cell>
          <cell r="Q65">
            <v>0</v>
          </cell>
          <cell r="R65">
            <v>30.235060000000001</v>
          </cell>
          <cell r="S65">
            <v>-401.70140999999995</v>
          </cell>
          <cell r="T65">
            <v>-117.43908999999999</v>
          </cell>
          <cell r="U65">
            <v>0</v>
          </cell>
          <cell r="V65">
            <v>-3677.4711374880449</v>
          </cell>
          <cell r="W65">
            <v>-12.274570000000001</v>
          </cell>
          <cell r="X65">
            <v>-1005.4574825119554</v>
          </cell>
          <cell r="Y65">
            <v>-42.60454</v>
          </cell>
          <cell r="Z65">
            <v>308.95219000000003</v>
          </cell>
          <cell r="AA65">
            <v>4.9690199999999995</v>
          </cell>
          <cell r="AB65">
            <v>0</v>
          </cell>
          <cell r="AC65">
            <v>-4236.3209000000006</v>
          </cell>
          <cell r="AD65">
            <v>438.45096000000001</v>
          </cell>
          <cell r="AE65">
            <v>-161.05988000000002</v>
          </cell>
          <cell r="AF65">
            <v>-385.97735</v>
          </cell>
          <cell r="AG65">
            <v>0</v>
          </cell>
          <cell r="AH65">
            <v>667.0572200000006</v>
          </cell>
          <cell r="AI65">
            <v>592.66732000000002</v>
          </cell>
          <cell r="AJ65">
            <v>3430.0540800000003</v>
          </cell>
          <cell r="AK65">
            <v>10.895420000000001</v>
          </cell>
          <cell r="AL65">
            <v>-3227.5282500000017</v>
          </cell>
          <cell r="AM65">
            <v>2092.4804000000008</v>
          </cell>
          <cell r="AN65">
            <v>-1197.8296900000014</v>
          </cell>
          <cell r="AO65">
            <v>-1394.3900199999998</v>
          </cell>
          <cell r="AP65">
            <v>-144.51266000000001</v>
          </cell>
          <cell r="AQ65">
            <v>-488.41058000000004</v>
          </cell>
          <cell r="AR65">
            <v>-367.29203999999999</v>
          </cell>
          <cell r="AT65">
            <v>-656.48726999999997</v>
          </cell>
          <cell r="AU65">
            <v>0</v>
          </cell>
          <cell r="AV65">
            <v>0</v>
          </cell>
          <cell r="AW65">
            <v>0</v>
          </cell>
          <cell r="AX65">
            <v>-60.58436459896798</v>
          </cell>
          <cell r="AY65">
            <v>0</v>
          </cell>
          <cell r="AZ65">
            <v>65.022534598967979</v>
          </cell>
          <cell r="BA65">
            <v>0.12273000000000001</v>
          </cell>
          <cell r="BB65">
            <v>-0.53766999999999987</v>
          </cell>
          <cell r="BC65">
            <v>-1.439E-2</v>
          </cell>
          <cell r="BD65">
            <v>0</v>
          </cell>
          <cell r="BE65">
            <v>6.0103400000000002</v>
          </cell>
          <cell r="BF65">
            <v>-48.304540000002383</v>
          </cell>
          <cell r="BG65">
            <v>79.683900000000008</v>
          </cell>
          <cell r="BH65">
            <v>-619.76741000000004</v>
          </cell>
          <cell r="BI65">
            <v>-13.78162</v>
          </cell>
          <cell r="BJ65">
            <v>0</v>
          </cell>
          <cell r="BK65">
            <v>-1610.8509800000013</v>
          </cell>
        </row>
        <row r="66">
          <cell r="C66">
            <v>16994.235950000002</v>
          </cell>
          <cell r="N66">
            <v>12057.115209999996</v>
          </cell>
          <cell r="O66">
            <v>-1077.0404400000002</v>
          </cell>
          <cell r="P66">
            <v>0</v>
          </cell>
          <cell r="Q66">
            <v>0</v>
          </cell>
          <cell r="R66">
            <v>62.413890000000016</v>
          </cell>
          <cell r="S66">
            <v>-512.51808999999992</v>
          </cell>
          <cell r="T66">
            <v>-159.79981000000004</v>
          </cell>
          <cell r="U66">
            <v>0</v>
          </cell>
          <cell r="V66">
            <v>-3671.0394999999999</v>
          </cell>
          <cell r="W66">
            <v>0</v>
          </cell>
          <cell r="X66">
            <v>-414.39600000000002</v>
          </cell>
          <cell r="Y66">
            <v>-104.48353999999999</v>
          </cell>
          <cell r="Z66">
            <v>238.93701999999996</v>
          </cell>
          <cell r="AA66">
            <v>9.8335400000000011</v>
          </cell>
          <cell r="AB66">
            <v>690</v>
          </cell>
          <cell r="AC66">
            <v>-6490.8319600000004</v>
          </cell>
          <cell r="AD66">
            <v>791.96398999999997</v>
          </cell>
          <cell r="AE66">
            <v>-213.68146999999999</v>
          </cell>
          <cell r="AF66">
            <v>-476.39723999999995</v>
          </cell>
          <cell r="AG66">
            <v>0</v>
          </cell>
          <cell r="AH66">
            <v>5395.9626199999957</v>
          </cell>
          <cell r="AI66">
            <v>937.3999</v>
          </cell>
          <cell r="AJ66">
            <v>140.5767699999999</v>
          </cell>
          <cell r="AK66">
            <v>-35.869759999999999</v>
          </cell>
          <cell r="AL66">
            <v>-3601.8927499999986</v>
          </cell>
          <cell r="AM66">
            <v>2175.6686500000005</v>
          </cell>
          <cell r="AN66">
            <v>-1219.02397</v>
          </cell>
          <cell r="AO66">
            <v>-1191.9599999999998</v>
          </cell>
          <cell r="AP66">
            <v>-143.56783000000001</v>
          </cell>
          <cell r="AQ66">
            <v>-469.90972999999997</v>
          </cell>
          <cell r="AR66">
            <v>-409.49440999999996</v>
          </cell>
          <cell r="AT66">
            <v>-526.47284000000025</v>
          </cell>
          <cell r="AU66">
            <v>0</v>
          </cell>
          <cell r="AV66">
            <v>0</v>
          </cell>
          <cell r="AW66">
            <v>0</v>
          </cell>
          <cell r="AX66">
            <v>-36.721999999999994</v>
          </cell>
          <cell r="AY66">
            <v>0</v>
          </cell>
          <cell r="AZ66">
            <v>53.900999999999996</v>
          </cell>
          <cell r="BA66">
            <v>0.51266999999999996</v>
          </cell>
          <cell r="BB66">
            <v>-1.8664800000000001</v>
          </cell>
          <cell r="BC66">
            <v>-5.5990000000000005E-2</v>
          </cell>
          <cell r="BD66">
            <v>0</v>
          </cell>
          <cell r="BE66">
            <v>277.06234000000001</v>
          </cell>
          <cell r="BF66">
            <v>90.583960000006229</v>
          </cell>
          <cell r="BG66">
            <v>-112.16850000000001</v>
          </cell>
          <cell r="BH66">
            <v>-48.896530000000027</v>
          </cell>
          <cell r="BI66">
            <v>-2.8503099999999999</v>
          </cell>
          <cell r="BJ66">
            <v>0</v>
          </cell>
          <cell r="BK66">
            <v>2000.9924099999971</v>
          </cell>
        </row>
        <row r="67">
          <cell r="C67">
            <v>15062.325280031864</v>
          </cell>
          <cell r="N67">
            <v>10613.611365466952</v>
          </cell>
          <cell r="O67">
            <v>-3082.570622322904</v>
          </cell>
          <cell r="P67">
            <v>-315.31221089759595</v>
          </cell>
          <cell r="Q67">
            <v>-309.81313530874996</v>
          </cell>
          <cell r="R67">
            <v>0</v>
          </cell>
          <cell r="S67">
            <v>-566.38727319548229</v>
          </cell>
          <cell r="T67">
            <v>-143.61720989103927</v>
          </cell>
          <cell r="U67">
            <v>0</v>
          </cell>
          <cell r="V67">
            <v>-1094.5172762551063</v>
          </cell>
          <cell r="W67">
            <v>-254.76477779305625</v>
          </cell>
          <cell r="X67">
            <v>-516.77542432741041</v>
          </cell>
          <cell r="Y67">
            <v>-67.684638581506292</v>
          </cell>
          <cell r="Z67">
            <v>196.64347105361699</v>
          </cell>
          <cell r="AA67">
            <v>0</v>
          </cell>
          <cell r="AB67">
            <v>0</v>
          </cell>
          <cell r="AC67">
            <v>-2519.1976205882434</v>
          </cell>
          <cell r="AD67">
            <v>0</v>
          </cell>
          <cell r="AE67">
            <v>0</v>
          </cell>
          <cell r="AF67">
            <v>-315.47471417844594</v>
          </cell>
          <cell r="AG67">
            <v>0</v>
          </cell>
          <cell r="AH67">
            <v>2851.4223347666893</v>
          </cell>
          <cell r="AI67">
            <v>67.684638581506292</v>
          </cell>
          <cell r="AJ67">
            <v>0</v>
          </cell>
          <cell r="AK67">
            <v>0</v>
          </cell>
          <cell r="AL67">
            <v>-2544.5846753065734</v>
          </cell>
          <cell r="AM67">
            <v>0</v>
          </cell>
          <cell r="AN67">
            <v>0</v>
          </cell>
          <cell r="AO67">
            <v>-1509.841561863381</v>
          </cell>
          <cell r="AP67">
            <v>-106.34355192244826</v>
          </cell>
          <cell r="AQ67">
            <v>-518.11381816106984</v>
          </cell>
          <cell r="AR67">
            <v>-472.63358085117721</v>
          </cell>
          <cell r="AT67">
            <v>-729.35613557515615</v>
          </cell>
          <cell r="AU67">
            <v>171.54329224252879</v>
          </cell>
          <cell r="AV67">
            <v>117.50720468446868</v>
          </cell>
          <cell r="AW67">
            <v>24.764151415364736</v>
          </cell>
          <cell r="AX67">
            <v>-183.35325507052269</v>
          </cell>
          <cell r="AY67">
            <v>103.56837354833451</v>
          </cell>
          <cell r="AZ67">
            <v>65.832369119079829</v>
          </cell>
          <cell r="BA67">
            <v>3.5904383259298767</v>
          </cell>
          <cell r="BB67">
            <v>-10.045523648224467</v>
          </cell>
          <cell r="BC67">
            <v>0</v>
          </cell>
          <cell r="BD67">
            <v>0</v>
          </cell>
          <cell r="BE67">
            <v>260.54516054001624</v>
          </cell>
          <cell r="BF67">
            <v>-487.50349387334956</v>
          </cell>
          <cell r="BG67">
            <v>-3.5904383259298767</v>
          </cell>
          <cell r="BH67">
            <v>0</v>
          </cell>
          <cell r="BI67">
            <v>0</v>
          </cell>
          <cell r="BJ67">
            <v>0</v>
          </cell>
          <cell r="BK67">
            <v>-1274.7681381928844</v>
          </cell>
        </row>
        <row r="69">
          <cell r="C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</row>
        <row r="70">
          <cell r="C70">
            <v>11409.674880000004</v>
          </cell>
          <cell r="N70">
            <v>6685.9481999999998</v>
          </cell>
          <cell r="O70">
            <v>386.11275000000001</v>
          </cell>
          <cell r="P70">
            <v>0</v>
          </cell>
          <cell r="Q70">
            <v>-582.577</v>
          </cell>
          <cell r="R70">
            <v>2.5354200000000002</v>
          </cell>
          <cell r="S70">
            <v>-112.99744999999999</v>
          </cell>
          <cell r="T70">
            <v>-1.71</v>
          </cell>
          <cell r="U70">
            <v>0</v>
          </cell>
          <cell r="V70">
            <v>-3287.9926999999998</v>
          </cell>
          <cell r="W70">
            <v>0</v>
          </cell>
          <cell r="X70">
            <v>-400</v>
          </cell>
          <cell r="Y70">
            <v>-67.592280000000002</v>
          </cell>
          <cell r="Z70">
            <v>308.09482000000003</v>
          </cell>
          <cell r="AA70">
            <v>11.53848</v>
          </cell>
          <cell r="AB70">
            <v>0</v>
          </cell>
          <cell r="AC70">
            <v>-7379.3520400000016</v>
          </cell>
          <cell r="AD70">
            <v>189.53228000000001</v>
          </cell>
          <cell r="AE70">
            <v>-80.554109999999994</v>
          </cell>
          <cell r="AF70">
            <v>-165.87925999999999</v>
          </cell>
          <cell r="AG70">
            <v>0</v>
          </cell>
          <cell r="AH70">
            <v>7179.5905099999982</v>
          </cell>
          <cell r="AI70">
            <v>501.61864999999989</v>
          </cell>
          <cell r="AJ70">
            <v>892.44322000000011</v>
          </cell>
          <cell r="AK70">
            <v>-16.676000000000002</v>
          </cell>
          <cell r="AL70">
            <v>-909.37156000000073</v>
          </cell>
          <cell r="AM70">
            <v>0</v>
          </cell>
          <cell r="AN70">
            <v>288.14732999999995</v>
          </cell>
          <cell r="AO70">
            <v>-845.21770000000004</v>
          </cell>
          <cell r="AP70">
            <v>-72.864400000000003</v>
          </cell>
          <cell r="AQ70">
            <v>-281.74312999999995</v>
          </cell>
          <cell r="AR70">
            <v>-208.26325</v>
          </cell>
          <cell r="AT70">
            <v>-65.771210000000025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46.163380000000004</v>
          </cell>
          <cell r="BF70">
            <v>-153.0408000000007</v>
          </cell>
          <cell r="BG70">
            <v>-73.232350000000039</v>
          </cell>
          <cell r="BH70">
            <v>8.6758499999999987</v>
          </cell>
          <cell r="BI70">
            <v>5.6539999999999993E-2</v>
          </cell>
          <cell r="BJ70">
            <v>0</v>
          </cell>
          <cell r="BK70">
            <v>1795.6221899999969</v>
          </cell>
        </row>
        <row r="71">
          <cell r="C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</row>
        <row r="73">
          <cell r="C73">
            <v>16443.049369999997</v>
          </cell>
          <cell r="N73">
            <v>16313.422059999997</v>
          </cell>
          <cell r="O73">
            <v>-150.41556999999995</v>
          </cell>
          <cell r="P73">
            <v>0</v>
          </cell>
          <cell r="Q73">
            <v>0</v>
          </cell>
          <cell r="R73">
            <v>48.9998</v>
          </cell>
          <cell r="S73">
            <v>-131.79182</v>
          </cell>
          <cell r="T73">
            <v>0</v>
          </cell>
          <cell r="U73">
            <v>0</v>
          </cell>
          <cell r="V73">
            <v>-12018.98985</v>
          </cell>
          <cell r="W73">
            <v>0</v>
          </cell>
          <cell r="X73">
            <v>0</v>
          </cell>
          <cell r="Y73">
            <v>-29.21181</v>
          </cell>
          <cell r="Z73">
            <v>281.07788999999997</v>
          </cell>
          <cell r="AA73">
            <v>5.8060299999999998</v>
          </cell>
          <cell r="AB73">
            <v>0</v>
          </cell>
          <cell r="AC73">
            <v>-9740.8116300000002</v>
          </cell>
          <cell r="AD73">
            <v>0</v>
          </cell>
          <cell r="AE73">
            <v>-72.906739999999985</v>
          </cell>
          <cell r="AF73">
            <v>-12.090629999999999</v>
          </cell>
          <cell r="AG73">
            <v>0</v>
          </cell>
          <cell r="AH73">
            <v>13992.946290000007</v>
          </cell>
          <cell r="AI73">
            <v>-1310.489219999999</v>
          </cell>
          <cell r="AJ73">
            <v>-2006.8535700000002</v>
          </cell>
          <cell r="AK73">
            <v>193.04119</v>
          </cell>
          <cell r="AL73">
            <v>-1088.1912099999997</v>
          </cell>
          <cell r="AM73">
            <v>67.501800000000003</v>
          </cell>
          <cell r="AN73">
            <v>-63.033760000000001</v>
          </cell>
          <cell r="AO73">
            <v>-517.28330000000005</v>
          </cell>
          <cell r="AP73">
            <v>-57.162729999999996</v>
          </cell>
          <cell r="AQ73">
            <v>-1106.35583</v>
          </cell>
          <cell r="AR73">
            <v>-533.66356999999994</v>
          </cell>
          <cell r="AT73">
            <v>-1321.7946200000001</v>
          </cell>
          <cell r="AU73">
            <v>2.6219200000000003</v>
          </cell>
          <cell r="AV73">
            <v>0</v>
          </cell>
          <cell r="AW73">
            <v>0</v>
          </cell>
          <cell r="AX73">
            <v>583.20091000000002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842.40492999999969</v>
          </cell>
          <cell r="BF73">
            <v>-3341.7425799999983</v>
          </cell>
          <cell r="BG73">
            <v>33.062069999999999</v>
          </cell>
          <cell r="BH73">
            <v>2535.4589300000002</v>
          </cell>
          <cell r="BI73">
            <v>-8.0016500000000015</v>
          </cell>
          <cell r="BJ73">
            <v>0</v>
          </cell>
          <cell r="BK73">
            <v>1388.7537300000065</v>
          </cell>
        </row>
        <row r="74">
          <cell r="C74">
            <v>15563.839490000002</v>
          </cell>
          <cell r="N74">
            <v>14926.091420000001</v>
          </cell>
          <cell r="O74">
            <v>-83.21696</v>
          </cell>
          <cell r="P74">
            <v>0</v>
          </cell>
          <cell r="Q74">
            <v>0</v>
          </cell>
          <cell r="R74">
            <v>44.189889999999998</v>
          </cell>
          <cell r="S74">
            <v>-34.038260000000001</v>
          </cell>
          <cell r="T74">
            <v>0</v>
          </cell>
          <cell r="U74">
            <v>0</v>
          </cell>
          <cell r="V74">
            <v>-14624.94508</v>
          </cell>
          <cell r="W74">
            <v>0</v>
          </cell>
          <cell r="X74">
            <v>0</v>
          </cell>
          <cell r="Y74">
            <v>-158.91815</v>
          </cell>
          <cell r="Z74">
            <v>2768.3683899999996</v>
          </cell>
          <cell r="AA74">
            <v>24.820790000000002</v>
          </cell>
          <cell r="AB74">
            <v>0</v>
          </cell>
          <cell r="AC74">
            <v>-7871.5284000000001</v>
          </cell>
          <cell r="AD74">
            <v>0</v>
          </cell>
          <cell r="AE74">
            <v>-15.116</v>
          </cell>
          <cell r="AF74">
            <v>-5.5720299999999998</v>
          </cell>
          <cell r="AG74">
            <v>0</v>
          </cell>
          <cell r="AH74">
            <v>6616.5792599999986</v>
          </cell>
          <cell r="AI74">
            <v>142.05606</v>
          </cell>
          <cell r="AJ74">
            <v>-683.43597000000113</v>
          </cell>
          <cell r="AK74">
            <v>-8.4285499999999995</v>
          </cell>
          <cell r="AL74">
            <v>-1119.1298299999999</v>
          </cell>
          <cell r="AM74">
            <v>87.726910000000018</v>
          </cell>
          <cell r="AN74">
            <v>-57.852839999999993</v>
          </cell>
          <cell r="AO74">
            <v>-449.02654000000001</v>
          </cell>
          <cell r="AP74">
            <v>-42.987400000000001</v>
          </cell>
          <cell r="AQ74">
            <v>-586.93466000000001</v>
          </cell>
          <cell r="AR74">
            <v>-328.68262000000004</v>
          </cell>
          <cell r="AT74">
            <v>-2216.7389900000003</v>
          </cell>
          <cell r="AU74">
            <v>0</v>
          </cell>
          <cell r="AV74">
            <v>0</v>
          </cell>
          <cell r="AW74">
            <v>0</v>
          </cell>
          <cell r="AX74">
            <v>2035.47867</v>
          </cell>
          <cell r="AY74">
            <v>0</v>
          </cell>
          <cell r="AZ74">
            <v>0</v>
          </cell>
          <cell r="BA74">
            <v>6.6341000000000001</v>
          </cell>
          <cell r="BB74">
            <v>-353.37985000000003</v>
          </cell>
          <cell r="BC74">
            <v>-0.11647</v>
          </cell>
          <cell r="BD74">
            <v>0</v>
          </cell>
          <cell r="BE74">
            <v>569.31311000000017</v>
          </cell>
          <cell r="BF74">
            <v>-165.04524000003119</v>
          </cell>
          <cell r="BG74">
            <v>-33.871060000000007</v>
          </cell>
          <cell r="BH74">
            <v>328.23293000000018</v>
          </cell>
          <cell r="BI74">
            <v>0.18212999999999999</v>
          </cell>
          <cell r="BJ74">
            <v>0</v>
          </cell>
          <cell r="BK74">
            <v>-1289.2912400000332</v>
          </cell>
        </row>
        <row r="75">
          <cell r="C75">
            <v>17132.217704845432</v>
          </cell>
          <cell r="N75">
            <v>16701.72070287665</v>
          </cell>
          <cell r="O75">
            <v>-2302.5666036933649</v>
          </cell>
          <cell r="P75">
            <v>0</v>
          </cell>
          <cell r="Q75">
            <v>0</v>
          </cell>
          <cell r="R75">
            <v>0</v>
          </cell>
          <cell r="S75">
            <v>-432.25831957834828</v>
          </cell>
          <cell r="T75">
            <v>0</v>
          </cell>
          <cell r="U75">
            <v>0</v>
          </cell>
          <cell r="V75">
            <v>-12917.168987568197</v>
          </cell>
          <cell r="W75">
            <v>0</v>
          </cell>
          <cell r="X75">
            <v>0</v>
          </cell>
          <cell r="Y75">
            <v>-263.20395481188569</v>
          </cell>
          <cell r="Z75">
            <v>2820.5052209121159</v>
          </cell>
          <cell r="AA75">
            <v>0</v>
          </cell>
          <cell r="AB75">
            <v>0</v>
          </cell>
          <cell r="AC75">
            <v>-6896.6350924999988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7385.8477628921537</v>
          </cell>
          <cell r="AI75">
            <v>263.20395481188569</v>
          </cell>
          <cell r="AJ75">
            <v>0</v>
          </cell>
          <cell r="AK75">
            <v>0</v>
          </cell>
          <cell r="AL75">
            <v>-1205.3851243831812</v>
          </cell>
          <cell r="AM75">
            <v>0</v>
          </cell>
          <cell r="AN75">
            <v>0</v>
          </cell>
          <cell r="AO75">
            <v>-509.35899225768992</v>
          </cell>
          <cell r="AP75">
            <v>-50.785664307093001</v>
          </cell>
          <cell r="AQ75">
            <v>-1182.6930435026275</v>
          </cell>
          <cell r="AR75">
            <v>-592.46252185060246</v>
          </cell>
          <cell r="AT75">
            <v>-1680.9203258434338</v>
          </cell>
          <cell r="AU75">
            <v>324.01848074553749</v>
          </cell>
          <cell r="AV75">
            <v>0</v>
          </cell>
          <cell r="AW75">
            <v>0</v>
          </cell>
          <cell r="AX75">
            <v>1817.7113592161604</v>
          </cell>
          <cell r="AY75">
            <v>0</v>
          </cell>
          <cell r="AZ75">
            <v>0</v>
          </cell>
          <cell r="BA75">
            <v>35.651454568455378</v>
          </cell>
          <cell r="BB75">
            <v>-396.90309723323355</v>
          </cell>
          <cell r="BC75">
            <v>0</v>
          </cell>
          <cell r="BD75">
            <v>0</v>
          </cell>
          <cell r="BE75">
            <v>-370.00000000000023</v>
          </cell>
          <cell r="BF75">
            <v>0</v>
          </cell>
          <cell r="BG75">
            <v>-35.651454568455378</v>
          </cell>
          <cell r="BH75">
            <v>0</v>
          </cell>
          <cell r="BI75">
            <v>0</v>
          </cell>
          <cell r="BJ75">
            <v>0</v>
          </cell>
          <cell r="BK75">
            <v>512.66575392484685</v>
          </cell>
        </row>
        <row r="77">
          <cell r="C77">
            <v>17574.78861</v>
          </cell>
          <cell r="N77">
            <v>13333.75389</v>
          </cell>
          <cell r="O77">
            <v>-1254.9274800000001</v>
          </cell>
          <cell r="P77">
            <v>0</v>
          </cell>
          <cell r="Q77">
            <v>0</v>
          </cell>
          <cell r="R77">
            <v>0</v>
          </cell>
          <cell r="S77">
            <v>-355.07837000000001</v>
          </cell>
          <cell r="T77">
            <v>0</v>
          </cell>
          <cell r="U77">
            <v>0</v>
          </cell>
          <cell r="V77">
            <v>-9573.0797399999992</v>
          </cell>
          <cell r="W77">
            <v>0</v>
          </cell>
          <cell r="X77">
            <v>0</v>
          </cell>
          <cell r="Y77">
            <v>-24.702680000000001</v>
          </cell>
          <cell r="Z77">
            <v>162.65856000000002</v>
          </cell>
          <cell r="AA77">
            <v>0.36</v>
          </cell>
          <cell r="AB77">
            <v>0</v>
          </cell>
          <cell r="AC77">
            <v>-9011.8970000000008</v>
          </cell>
          <cell r="AD77">
            <v>197.76732000000001</v>
          </cell>
          <cell r="AE77">
            <v>-186.18851000000001</v>
          </cell>
          <cell r="AF77">
            <v>0</v>
          </cell>
          <cell r="AG77">
            <v>0</v>
          </cell>
          <cell r="AH77">
            <v>10017.97985</v>
          </cell>
          <cell r="AI77">
            <v>481.72071999999997</v>
          </cell>
          <cell r="AJ77">
            <v>25.596730000000065</v>
          </cell>
          <cell r="AK77">
            <v>-29.351370000000017</v>
          </cell>
          <cell r="AL77">
            <v>-2008.7759800000003</v>
          </cell>
          <cell r="AM77">
            <v>206.00152</v>
          </cell>
          <cell r="AN77">
            <v>-27.457380000000001</v>
          </cell>
          <cell r="AO77">
            <v>-249.75699999999998</v>
          </cell>
          <cell r="AP77">
            <v>-22.117640000000002</v>
          </cell>
          <cell r="AQ77">
            <v>-454.31455999999997</v>
          </cell>
          <cell r="AR77">
            <v>-251.51535999999999</v>
          </cell>
          <cell r="AT77">
            <v>-880.90075000000002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1345.82996</v>
          </cell>
          <cell r="BF77">
            <v>141.33521999999996</v>
          </cell>
          <cell r="BG77">
            <v>-26.612089999999995</v>
          </cell>
          <cell r="BH77">
            <v>-4.8919599999999992</v>
          </cell>
          <cell r="BI77">
            <v>0.72611000000000003</v>
          </cell>
          <cell r="BJ77">
            <v>0</v>
          </cell>
          <cell r="BK77">
            <v>1552.1620099999991</v>
          </cell>
        </row>
        <row r="78">
          <cell r="C78">
            <v>16557.492950000003</v>
          </cell>
          <cell r="N78">
            <v>12501.159609999999</v>
          </cell>
          <cell r="O78">
            <v>-1043.8790000000001</v>
          </cell>
          <cell r="P78">
            <v>0</v>
          </cell>
          <cell r="Q78">
            <v>0</v>
          </cell>
          <cell r="R78">
            <v>1.52919</v>
          </cell>
          <cell r="S78">
            <v>-155.03199999999998</v>
          </cell>
          <cell r="T78">
            <v>0</v>
          </cell>
          <cell r="U78">
            <v>0</v>
          </cell>
          <cell r="V78">
            <v>-9641.1702100000002</v>
          </cell>
          <cell r="W78">
            <v>0</v>
          </cell>
          <cell r="X78">
            <v>0</v>
          </cell>
          <cell r="Y78">
            <v>-103.09141000000001</v>
          </cell>
          <cell r="Z78">
            <v>177.00475999999998</v>
          </cell>
          <cell r="AA78">
            <v>1.4933200000000002</v>
          </cell>
          <cell r="AB78">
            <v>0</v>
          </cell>
          <cell r="AC78">
            <v>-9354.4577300000019</v>
          </cell>
          <cell r="AD78">
            <v>563.92160999999999</v>
          </cell>
          <cell r="AE78">
            <v>-77.781649999999999</v>
          </cell>
          <cell r="AF78">
            <v>0</v>
          </cell>
          <cell r="AG78">
            <v>0</v>
          </cell>
          <cell r="AH78">
            <v>9509.3733800000009</v>
          </cell>
          <cell r="AI78">
            <v>46.242110000000046</v>
          </cell>
          <cell r="AJ78">
            <v>-25.952249999999523</v>
          </cell>
          <cell r="AK78">
            <v>12.88333999999999</v>
          </cell>
          <cell r="AL78">
            <v>-1943.1644799999999</v>
          </cell>
          <cell r="AM78">
            <v>190.34165999999999</v>
          </cell>
          <cell r="AN78">
            <v>-18.513750000000002</v>
          </cell>
          <cell r="AO78">
            <v>-287.28213999999997</v>
          </cell>
          <cell r="AP78">
            <v>-26.024380000000001</v>
          </cell>
          <cell r="AQ78">
            <v>-328.90589999999997</v>
          </cell>
          <cell r="AR78">
            <v>-197.0052</v>
          </cell>
          <cell r="AT78">
            <v>-1172.19982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1123.5928600000002</v>
          </cell>
          <cell r="BF78">
            <v>-68.924000000000476</v>
          </cell>
          <cell r="BG78">
            <v>1.8468799999999925</v>
          </cell>
          <cell r="BH78">
            <v>-6.6202699999999979</v>
          </cell>
          <cell r="BI78">
            <v>-1.0327999999999997</v>
          </cell>
          <cell r="BJ78">
            <v>0</v>
          </cell>
          <cell r="BK78">
            <v>-321.64827000000281</v>
          </cell>
        </row>
        <row r="79">
          <cell r="C79">
            <v>14872.965496271323</v>
          </cell>
          <cell r="N79">
            <v>11955.311947137714</v>
          </cell>
          <cell r="O79">
            <v>-5184.5447029576744</v>
          </cell>
          <cell r="P79">
            <v>0</v>
          </cell>
          <cell r="Q79">
            <v>0</v>
          </cell>
          <cell r="R79">
            <v>0</v>
          </cell>
          <cell r="S79">
            <v>-548.95439941353652</v>
          </cell>
          <cell r="T79">
            <v>0</v>
          </cell>
          <cell r="U79">
            <v>0</v>
          </cell>
          <cell r="V79">
            <v>-4172.3297782541786</v>
          </cell>
          <cell r="W79">
            <v>0</v>
          </cell>
          <cell r="X79">
            <v>0</v>
          </cell>
          <cell r="Y79">
            <v>-107.39253170818863</v>
          </cell>
          <cell r="Z79">
            <v>52.686954184547069</v>
          </cell>
          <cell r="AA79">
            <v>0</v>
          </cell>
          <cell r="AB79">
            <v>0</v>
          </cell>
          <cell r="AC79">
            <v>-4621.0756024999991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4875.6943958211295</v>
          </cell>
          <cell r="AI79">
            <v>107.39253170818863</v>
          </cell>
          <cell r="AJ79">
            <v>0</v>
          </cell>
          <cell r="AK79">
            <v>0</v>
          </cell>
          <cell r="AL79">
            <v>-1309.2966097260983</v>
          </cell>
          <cell r="AM79">
            <v>0</v>
          </cell>
          <cell r="AN79">
            <v>0</v>
          </cell>
          <cell r="AO79">
            <v>-276.60700775329752</v>
          </cell>
          <cell r="AP79">
            <v>-24.116246034444053</v>
          </cell>
          <cell r="AQ79">
            <v>-478.93153167486741</v>
          </cell>
          <cell r="AR79">
            <v>-257.27410093488999</v>
          </cell>
          <cell r="AT79">
            <v>-995.88803749999943</v>
          </cell>
          <cell r="AU79">
            <v>485.62610561043499</v>
          </cell>
          <cell r="AV79">
            <v>0</v>
          </cell>
          <cell r="AW79">
            <v>0</v>
          </cell>
          <cell r="AX79">
            <v>390.81392438956561</v>
          </cell>
          <cell r="AY79">
            <v>0</v>
          </cell>
          <cell r="AZ79">
            <v>0</v>
          </cell>
          <cell r="BA79">
            <v>9.6826168180550081</v>
          </cell>
          <cell r="BB79">
            <v>-4.9350832810798897</v>
          </cell>
          <cell r="BC79">
            <v>0</v>
          </cell>
          <cell r="BD79">
            <v>0</v>
          </cell>
          <cell r="BE79">
            <v>13.228362499999946</v>
          </cell>
          <cell r="BF79">
            <v>0</v>
          </cell>
          <cell r="BG79">
            <v>-9.6826168180550081</v>
          </cell>
          <cell r="BH79">
            <v>0</v>
          </cell>
          <cell r="BI79">
            <v>0</v>
          </cell>
          <cell r="BJ79">
            <v>0</v>
          </cell>
          <cell r="BK79">
            <v>-100.591410386674</v>
          </cell>
        </row>
        <row r="81">
          <cell r="C81">
            <v>34017.837979999997</v>
          </cell>
          <cell r="N81">
            <v>29647.175949999997</v>
          </cell>
          <cell r="O81">
            <v>-1405.3430499999999</v>
          </cell>
          <cell r="P81">
            <v>0</v>
          </cell>
          <cell r="Q81">
            <v>0</v>
          </cell>
          <cell r="R81">
            <v>48.9998</v>
          </cell>
          <cell r="S81">
            <v>-486.87018999999998</v>
          </cell>
          <cell r="T81">
            <v>0</v>
          </cell>
          <cell r="U81">
            <v>0</v>
          </cell>
          <cell r="V81">
            <v>-21592.069589999999</v>
          </cell>
          <cell r="W81">
            <v>0</v>
          </cell>
          <cell r="X81">
            <v>0</v>
          </cell>
          <cell r="Y81">
            <v>-53.914490000000001</v>
          </cell>
          <cell r="Z81">
            <v>443.73644999999999</v>
          </cell>
          <cell r="AA81">
            <v>6.1660300000000001</v>
          </cell>
          <cell r="AB81">
            <v>0</v>
          </cell>
          <cell r="AC81">
            <v>-18752.708630000001</v>
          </cell>
          <cell r="AD81">
            <v>197.76732000000001</v>
          </cell>
          <cell r="AE81">
            <v>-259.09524999999996</v>
          </cell>
          <cell r="AF81">
            <v>-12.090629999999999</v>
          </cell>
          <cell r="AG81">
            <v>0</v>
          </cell>
          <cell r="AH81">
            <v>24010.926140000007</v>
          </cell>
          <cell r="AI81">
            <v>-828.76849999999899</v>
          </cell>
          <cell r="AJ81">
            <v>-1981.2568400000002</v>
          </cell>
          <cell r="AK81">
            <v>163.68982</v>
          </cell>
          <cell r="AL81">
            <v>-3096.9671900000003</v>
          </cell>
          <cell r="AM81">
            <v>273.50332000000003</v>
          </cell>
          <cell r="AN81">
            <v>-90.491140000000001</v>
          </cell>
          <cell r="AO81">
            <v>-767.0403</v>
          </cell>
          <cell r="AP81">
            <v>-79.280370000000005</v>
          </cell>
          <cell r="AQ81">
            <v>-1560.67039</v>
          </cell>
          <cell r="AR81">
            <v>-785.17892999999992</v>
          </cell>
          <cell r="AT81">
            <v>-2202.6953700000004</v>
          </cell>
          <cell r="AU81">
            <v>2.6219200000000003</v>
          </cell>
          <cell r="AV81">
            <v>0</v>
          </cell>
          <cell r="AW81">
            <v>0</v>
          </cell>
          <cell r="AX81">
            <v>583.20091000000002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2188.2348899999997</v>
          </cell>
          <cell r="BF81">
            <v>-3200.4073599999983</v>
          </cell>
          <cell r="BG81">
            <v>6.4499800000000036</v>
          </cell>
          <cell r="BH81">
            <v>2530.5669700000003</v>
          </cell>
          <cell r="BI81">
            <v>-7.2755400000000012</v>
          </cell>
          <cell r="BJ81">
            <v>0</v>
          </cell>
          <cell r="BK81">
            <v>2940.9157400000058</v>
          </cell>
        </row>
        <row r="82">
          <cell r="C82">
            <v>43531.007320000004</v>
          </cell>
          <cell r="N82">
            <v>34113.199229999998</v>
          </cell>
          <cell r="O82">
            <v>-740.9832100000001</v>
          </cell>
          <cell r="P82">
            <v>0</v>
          </cell>
          <cell r="Q82">
            <v>-582.577</v>
          </cell>
          <cell r="R82">
            <v>48.2545</v>
          </cell>
          <cell r="S82">
            <v>-302.06770999999998</v>
          </cell>
          <cell r="T82">
            <v>-1.71</v>
          </cell>
          <cell r="U82">
            <v>0</v>
          </cell>
          <cell r="V82">
            <v>-27554.10799</v>
          </cell>
          <cell r="W82">
            <v>0</v>
          </cell>
          <cell r="X82">
            <v>-400</v>
          </cell>
          <cell r="Y82">
            <v>-329.60183999999998</v>
          </cell>
          <cell r="Z82">
            <v>3253.4679699999997</v>
          </cell>
          <cell r="AA82">
            <v>37.852589999999999</v>
          </cell>
          <cell r="AB82">
            <v>0</v>
          </cell>
          <cell r="AC82">
            <v>-24605.338170000003</v>
          </cell>
          <cell r="AD82">
            <v>753.45389</v>
          </cell>
          <cell r="AE82">
            <v>-173.45175999999998</v>
          </cell>
          <cell r="AF82">
            <v>-171.45129</v>
          </cell>
          <cell r="AG82">
            <v>0</v>
          </cell>
          <cell r="AH82">
            <v>23305.543149999998</v>
          </cell>
          <cell r="AI82">
            <v>689.91681999999992</v>
          </cell>
          <cell r="AJ82">
            <v>183.05499999999944</v>
          </cell>
          <cell r="AK82">
            <v>-12.221210000000013</v>
          </cell>
          <cell r="AL82">
            <v>-3971.6658700000007</v>
          </cell>
          <cell r="AM82">
            <v>278.06857000000002</v>
          </cell>
          <cell r="AN82">
            <v>211.78073999999998</v>
          </cell>
          <cell r="AO82">
            <v>-1581.52638</v>
          </cell>
          <cell r="AP82">
            <v>-141.87618000000001</v>
          </cell>
          <cell r="AQ82">
            <v>-1197.5836899999999</v>
          </cell>
          <cell r="AR82">
            <v>-733.95107000000007</v>
          </cell>
          <cell r="AT82">
            <v>-3454.7100200000004</v>
          </cell>
          <cell r="AU82">
            <v>0</v>
          </cell>
          <cell r="AV82">
            <v>0</v>
          </cell>
          <cell r="AW82">
            <v>0</v>
          </cell>
          <cell r="AX82">
            <v>2035.47867</v>
          </cell>
          <cell r="AY82">
            <v>0</v>
          </cell>
          <cell r="AZ82">
            <v>0</v>
          </cell>
          <cell r="BA82">
            <v>6.6341000000000001</v>
          </cell>
          <cell r="BB82">
            <v>-353.37985000000003</v>
          </cell>
          <cell r="BC82">
            <v>-0.11647</v>
          </cell>
          <cell r="BD82">
            <v>0</v>
          </cell>
          <cell r="BE82">
            <v>1739.0693500000002</v>
          </cell>
          <cell r="BF82">
            <v>-387.01004000003235</v>
          </cell>
          <cell r="BG82">
            <v>-105.25653000000005</v>
          </cell>
          <cell r="BH82">
            <v>330.2885100000002</v>
          </cell>
          <cell r="BI82">
            <v>-0.79412999999999978</v>
          </cell>
          <cell r="BJ82">
            <v>0</v>
          </cell>
          <cell r="BK82">
            <v>184.68267999996084</v>
          </cell>
        </row>
        <row r="83">
          <cell r="C83">
            <v>32005.183201116757</v>
          </cell>
          <cell r="N83">
            <v>28657.032650014364</v>
          </cell>
          <cell r="O83">
            <v>-7487.1113066510388</v>
          </cell>
          <cell r="P83">
            <v>0</v>
          </cell>
          <cell r="Q83">
            <v>0</v>
          </cell>
          <cell r="R83">
            <v>0</v>
          </cell>
          <cell r="S83">
            <v>-981.2127189918848</v>
          </cell>
          <cell r="T83">
            <v>0</v>
          </cell>
          <cell r="U83">
            <v>0</v>
          </cell>
          <cell r="V83">
            <v>-17089.498765822376</v>
          </cell>
          <cell r="W83">
            <v>0</v>
          </cell>
          <cell r="X83">
            <v>0</v>
          </cell>
          <cell r="Y83">
            <v>-370.59648652007434</v>
          </cell>
          <cell r="Z83">
            <v>2873.192175096663</v>
          </cell>
          <cell r="AA83">
            <v>0</v>
          </cell>
          <cell r="AB83">
            <v>0</v>
          </cell>
          <cell r="AC83">
            <v>-11517.710694999998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12261.542158713284</v>
          </cell>
          <cell r="AI83">
            <v>370.59648652007434</v>
          </cell>
          <cell r="AJ83">
            <v>0</v>
          </cell>
          <cell r="AK83">
            <v>0</v>
          </cell>
          <cell r="AL83">
            <v>-2514.6817341092792</v>
          </cell>
          <cell r="AM83">
            <v>0</v>
          </cell>
          <cell r="AN83">
            <v>0</v>
          </cell>
          <cell r="AO83">
            <v>-785.9660000109875</v>
          </cell>
          <cell r="AP83">
            <v>-74.901910341537047</v>
          </cell>
          <cell r="AQ83">
            <v>-1661.624575177495</v>
          </cell>
          <cell r="AR83">
            <v>-849.7366227854925</v>
          </cell>
          <cell r="AT83">
            <v>-2676.8083633434335</v>
          </cell>
          <cell r="AU83">
            <v>809.64458635597248</v>
          </cell>
          <cell r="AV83">
            <v>0</v>
          </cell>
          <cell r="AW83">
            <v>0</v>
          </cell>
          <cell r="AX83">
            <v>2208.5252836057261</v>
          </cell>
          <cell r="AY83">
            <v>0</v>
          </cell>
          <cell r="AZ83">
            <v>0</v>
          </cell>
          <cell r="BA83">
            <v>45.334071386510388</v>
          </cell>
          <cell r="BB83">
            <v>-401.83818051431342</v>
          </cell>
          <cell r="BC83">
            <v>0</v>
          </cell>
          <cell r="BD83">
            <v>0</v>
          </cell>
          <cell r="BE83">
            <v>-356.77163750000028</v>
          </cell>
          <cell r="BF83">
            <v>0</v>
          </cell>
          <cell r="BG83">
            <v>-45.334071386510388</v>
          </cell>
          <cell r="BH83">
            <v>0</v>
          </cell>
          <cell r="BI83">
            <v>0</v>
          </cell>
          <cell r="BJ83">
            <v>0</v>
          </cell>
          <cell r="BK83">
            <v>412.07434353817285</v>
          </cell>
        </row>
        <row r="94">
          <cell r="C94">
            <v>5968.0029899999972</v>
          </cell>
          <cell r="N94">
            <v>4074.4000800000008</v>
          </cell>
          <cell r="O94">
            <v>-164.58097000000001</v>
          </cell>
          <cell r="P94">
            <v>-11.60383</v>
          </cell>
          <cell r="Q94">
            <v>0</v>
          </cell>
          <cell r="R94">
            <v>7.7789399999999995</v>
          </cell>
          <cell r="S94">
            <v>-98.741739999999993</v>
          </cell>
          <cell r="T94">
            <v>-14.863050000000001</v>
          </cell>
          <cell r="U94">
            <v>0</v>
          </cell>
          <cell r="V94">
            <v>-951.81531161025873</v>
          </cell>
          <cell r="W94">
            <v>-4.6133800000000003</v>
          </cell>
          <cell r="X94">
            <v>-515.24454838974134</v>
          </cell>
          <cell r="Y94">
            <v>-9.9408200000000004</v>
          </cell>
          <cell r="Z94">
            <v>49.157359999999997</v>
          </cell>
          <cell r="AA94">
            <v>0.44758999999999999</v>
          </cell>
          <cell r="AB94">
            <v>0</v>
          </cell>
          <cell r="AC94">
            <v>-868.54197000000011</v>
          </cell>
          <cell r="AD94">
            <v>247.78157999999996</v>
          </cell>
          <cell r="AE94">
            <v>-24.09552</v>
          </cell>
          <cell r="AF94">
            <v>-101.27153</v>
          </cell>
          <cell r="AG94">
            <v>0</v>
          </cell>
          <cell r="AH94">
            <v>777.27950000000033</v>
          </cell>
          <cell r="AI94">
            <v>102.67773000000001</v>
          </cell>
          <cell r="AJ94">
            <v>22.596040000000002</v>
          </cell>
          <cell r="AK94">
            <v>-1.8634599999999999</v>
          </cell>
          <cell r="AL94">
            <v>-1503.1903800000009</v>
          </cell>
          <cell r="AM94">
            <v>1013.4790600000003</v>
          </cell>
          <cell r="AN94">
            <v>-594.80531000000167</v>
          </cell>
          <cell r="AO94">
            <v>-643.12082999999984</v>
          </cell>
          <cell r="AP94">
            <v>-65.392120000000006</v>
          </cell>
          <cell r="AQ94">
            <v>-177.08851000000001</v>
          </cell>
          <cell r="AR94">
            <v>-132.57159999999999</v>
          </cell>
          <cell r="AT94">
            <v>-568.40992999999992</v>
          </cell>
          <cell r="AU94">
            <v>0</v>
          </cell>
          <cell r="AV94">
            <v>0</v>
          </cell>
          <cell r="AW94">
            <v>0</v>
          </cell>
          <cell r="AX94">
            <v>-25.124765905580801</v>
          </cell>
          <cell r="AY94">
            <v>0</v>
          </cell>
          <cell r="AZ94">
            <v>25.124765905580801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-0.37804000000000004</v>
          </cell>
          <cell r="BG94">
            <v>7.3114800000000004</v>
          </cell>
          <cell r="BH94">
            <v>-10.92925</v>
          </cell>
          <cell r="BI94">
            <v>-0.49741999999999997</v>
          </cell>
          <cell r="BJ94">
            <v>0</v>
          </cell>
          <cell r="BK94">
            <v>-160.65016000000057</v>
          </cell>
        </row>
        <row r="95">
          <cell r="C95">
            <v>6140.7779400000009</v>
          </cell>
          <cell r="N95">
            <v>4255.6116399999955</v>
          </cell>
          <cell r="O95">
            <v>-163.75173999999998</v>
          </cell>
          <cell r="P95">
            <v>0</v>
          </cell>
          <cell r="Q95">
            <v>0</v>
          </cell>
          <cell r="R95">
            <v>9.9162199999999991</v>
          </cell>
          <cell r="S95">
            <v>-106.8103</v>
          </cell>
          <cell r="T95">
            <v>-8.3883299999999998</v>
          </cell>
          <cell r="U95">
            <v>0</v>
          </cell>
          <cell r="V95">
            <v>-954.07747000000006</v>
          </cell>
          <cell r="W95">
            <v>0</v>
          </cell>
          <cell r="X95">
            <v>-199.11099999999999</v>
          </cell>
          <cell r="Y95">
            <v>-15.55222</v>
          </cell>
          <cell r="Z95">
            <v>39.174639999999997</v>
          </cell>
          <cell r="AA95">
            <v>0.6430800000000001</v>
          </cell>
          <cell r="AB95">
            <v>0</v>
          </cell>
          <cell r="AC95">
            <v>-1338.5234499999999</v>
          </cell>
          <cell r="AD95">
            <v>380.78986999999995</v>
          </cell>
          <cell r="AE95">
            <v>-25.884899999999995</v>
          </cell>
          <cell r="AF95">
            <v>-91.497260000000011</v>
          </cell>
          <cell r="AG95">
            <v>0</v>
          </cell>
          <cell r="AH95">
            <v>2940.8938800000005</v>
          </cell>
          <cell r="AI95">
            <v>77.063980000000001</v>
          </cell>
          <cell r="AJ95">
            <v>-47.556799999999996</v>
          </cell>
          <cell r="AK95">
            <v>-0.77975000000000017</v>
          </cell>
          <cell r="AL95">
            <v>-1568.9139499999969</v>
          </cell>
          <cell r="AM95">
            <v>1068.1818000000003</v>
          </cell>
          <cell r="AN95">
            <v>-641.24312999999984</v>
          </cell>
          <cell r="AO95">
            <v>-486.01704999999993</v>
          </cell>
          <cell r="AP95">
            <v>-56.37548000000001</v>
          </cell>
          <cell r="AQ95">
            <v>-179.50089</v>
          </cell>
          <cell r="AR95">
            <v>-142.74929</v>
          </cell>
          <cell r="AT95">
            <v>-396.6072300000003</v>
          </cell>
          <cell r="AU95">
            <v>0</v>
          </cell>
          <cell r="AV95">
            <v>0</v>
          </cell>
          <cell r="AW95">
            <v>0</v>
          </cell>
          <cell r="AX95">
            <v>-41.473999999999997</v>
          </cell>
          <cell r="AY95">
            <v>0</v>
          </cell>
          <cell r="AZ95">
            <v>41.473999999999997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121.027</v>
          </cell>
          <cell r="BF95">
            <v>-233.03749000000008</v>
          </cell>
          <cell r="BG95">
            <v>-7.3907599999999984</v>
          </cell>
          <cell r="BH95">
            <v>2.9019499999999994</v>
          </cell>
          <cell r="BI95">
            <v>0.10225000000000001</v>
          </cell>
          <cell r="BJ95">
            <v>0</v>
          </cell>
          <cell r="BK95">
            <v>2232.5378199999982</v>
          </cell>
        </row>
        <row r="96">
          <cell r="C96">
            <v>6254.3068537446343</v>
          </cell>
          <cell r="N96">
            <v>4316.1255611462802</v>
          </cell>
          <cell r="O96">
            <v>-867.97928275335767</v>
          </cell>
          <cell r="P96">
            <v>-262.67751389632872</v>
          </cell>
          <cell r="Q96">
            <v>-164.68975790799828</v>
          </cell>
          <cell r="R96">
            <v>0</v>
          </cell>
          <cell r="S96">
            <v>-129.72933268489186</v>
          </cell>
          <cell r="T96">
            <v>-32.848643916117481</v>
          </cell>
          <cell r="U96">
            <v>0</v>
          </cell>
          <cell r="V96">
            <v>-326.00791245320266</v>
          </cell>
          <cell r="W96">
            <v>-245.23770357964298</v>
          </cell>
          <cell r="X96">
            <v>-153.75559724683887</v>
          </cell>
          <cell r="Y96">
            <v>-24.743850193448615</v>
          </cell>
          <cell r="Z96">
            <v>31.172817964372221</v>
          </cell>
          <cell r="AA96">
            <v>0</v>
          </cell>
          <cell r="AB96">
            <v>0</v>
          </cell>
          <cell r="AC96">
            <v>-440.54942233995837</v>
          </cell>
          <cell r="AD96">
            <v>0</v>
          </cell>
          <cell r="AE96">
            <v>0</v>
          </cell>
          <cell r="AF96">
            <v>-63.888650437498242</v>
          </cell>
          <cell r="AG96">
            <v>0</v>
          </cell>
          <cell r="AH96">
            <v>514.43807277745668</v>
          </cell>
          <cell r="AI96">
            <v>24.743850193448615</v>
          </cell>
          <cell r="AJ96">
            <v>0</v>
          </cell>
          <cell r="AK96">
            <v>0</v>
          </cell>
          <cell r="AL96">
            <v>-1185.8860888672743</v>
          </cell>
          <cell r="AM96">
            <v>0</v>
          </cell>
          <cell r="AN96">
            <v>0</v>
          </cell>
          <cell r="AO96">
            <v>-715.41266566144498</v>
          </cell>
          <cell r="AP96">
            <v>-49.481021180119001</v>
          </cell>
          <cell r="AQ96">
            <v>-187.4872973000715</v>
          </cell>
          <cell r="AR96">
            <v>-172.65723830640275</v>
          </cell>
          <cell r="AT96">
            <v>-611.18974367728026</v>
          </cell>
          <cell r="AU96">
            <v>102.09234796597471</v>
          </cell>
          <cell r="AV96">
            <v>109.35253331807516</v>
          </cell>
          <cell r="AW96">
            <v>0</v>
          </cell>
          <cell r="AX96">
            <v>-113.7916933853233</v>
          </cell>
          <cell r="AY96">
            <v>102.09234796597471</v>
          </cell>
          <cell r="AZ96">
            <v>0</v>
          </cell>
          <cell r="BA96">
            <v>2.0103279890526209</v>
          </cell>
          <cell r="BB96">
            <v>-2.6311671860797508</v>
          </cell>
          <cell r="BC96">
            <v>0</v>
          </cell>
          <cell r="BD96">
            <v>0</v>
          </cell>
          <cell r="BE96">
            <v>64.405844847766517</v>
          </cell>
          <cell r="BF96">
            <v>-64.405844847766517</v>
          </cell>
          <cell r="BG96">
            <v>-2.0103279890526209</v>
          </cell>
          <cell r="BH96">
            <v>0</v>
          </cell>
          <cell r="BI96">
            <v>0</v>
          </cell>
          <cell r="BJ96">
            <v>0</v>
          </cell>
          <cell r="BK96">
            <v>-550.62705164169677</v>
          </cell>
        </row>
        <row r="98">
          <cell r="C98">
            <v>3577.23855</v>
          </cell>
          <cell r="N98">
            <v>1799.1692700000017</v>
          </cell>
          <cell r="O98">
            <v>-9.3458799999999993</v>
          </cell>
          <cell r="P98">
            <v>0</v>
          </cell>
          <cell r="Q98">
            <v>0</v>
          </cell>
          <cell r="R98">
            <v>0</v>
          </cell>
          <cell r="S98">
            <v>-94.573739999999987</v>
          </cell>
          <cell r="T98">
            <v>-6.7927199999999992</v>
          </cell>
          <cell r="U98">
            <v>0</v>
          </cell>
          <cell r="V98">
            <v>-776.61232291291776</v>
          </cell>
          <cell r="W98">
            <v>-0.66830999999999996</v>
          </cell>
          <cell r="X98">
            <v>-202.63252708708225</v>
          </cell>
          <cell r="Y98">
            <v>-16.337019999999999</v>
          </cell>
          <cell r="Z98">
            <v>118.71350000000001</v>
          </cell>
          <cell r="AA98">
            <v>1.89123</v>
          </cell>
          <cell r="AB98">
            <v>0</v>
          </cell>
          <cell r="AC98">
            <v>-1283.1044300000001</v>
          </cell>
          <cell r="AD98">
            <v>11.35406</v>
          </cell>
          <cell r="AE98">
            <v>-70.798929999999999</v>
          </cell>
          <cell r="AF98">
            <v>-179.06132000000002</v>
          </cell>
          <cell r="AG98">
            <v>0</v>
          </cell>
          <cell r="AH98">
            <v>-95.369899999999291</v>
          </cell>
          <cell r="AI98">
            <v>242.35827</v>
          </cell>
          <cell r="AJ98">
            <v>595.09227999999996</v>
          </cell>
          <cell r="AK98">
            <v>-20.805610000000001</v>
          </cell>
          <cell r="AL98">
            <v>-763.95653999999979</v>
          </cell>
          <cell r="AM98">
            <v>491.0732000000001</v>
          </cell>
          <cell r="AN98">
            <v>-145.46933999999993</v>
          </cell>
          <cell r="AO98">
            <v>-408.45817</v>
          </cell>
          <cell r="AP98">
            <v>-39.986590000000007</v>
          </cell>
          <cell r="AQ98">
            <v>-73.956059999999994</v>
          </cell>
          <cell r="AR98">
            <v>-70.919399999999996</v>
          </cell>
          <cell r="AT98">
            <v>-26.493699999999983</v>
          </cell>
          <cell r="AU98">
            <v>0</v>
          </cell>
          <cell r="AV98">
            <v>0</v>
          </cell>
          <cell r="AW98">
            <v>0</v>
          </cell>
          <cell r="AX98">
            <v>-11.914418029213707</v>
          </cell>
          <cell r="AY98">
            <v>0</v>
          </cell>
          <cell r="AZ98">
            <v>16.352588029213706</v>
          </cell>
          <cell r="BA98">
            <v>0.12273000000000001</v>
          </cell>
          <cell r="BB98">
            <v>-0.53766999999999987</v>
          </cell>
          <cell r="BC98">
            <v>-1.439E-2</v>
          </cell>
          <cell r="BD98">
            <v>0</v>
          </cell>
          <cell r="BE98">
            <v>3.5150500000000005</v>
          </cell>
          <cell r="BF98">
            <v>-25.468520000000076</v>
          </cell>
          <cell r="BG98">
            <v>58.200540000000004</v>
          </cell>
          <cell r="BH98">
            <v>-99.971130000000045</v>
          </cell>
          <cell r="BI98">
            <v>-0.2951700000000001</v>
          </cell>
          <cell r="BJ98">
            <v>0</v>
          </cell>
          <cell r="BK98">
            <v>-1085.7010899999977</v>
          </cell>
        </row>
        <row r="99">
          <cell r="C99">
            <v>3566.8428100000001</v>
          </cell>
          <cell r="N99">
            <v>1837.2187900000008</v>
          </cell>
          <cell r="O99">
            <v>-18.078220000000002</v>
          </cell>
          <cell r="P99">
            <v>0</v>
          </cell>
          <cell r="Q99">
            <v>0</v>
          </cell>
          <cell r="R99">
            <v>0</v>
          </cell>
          <cell r="S99">
            <v>-110.6206</v>
          </cell>
          <cell r="T99">
            <v>-5.5362799999999996</v>
          </cell>
          <cell r="U99">
            <v>0</v>
          </cell>
          <cell r="V99">
            <v>-807.94303000000002</v>
          </cell>
          <cell r="W99">
            <v>0</v>
          </cell>
          <cell r="X99">
            <v>-32.122</v>
          </cell>
          <cell r="Y99">
            <v>-26.84158</v>
          </cell>
          <cell r="Z99">
            <v>91.272239999999996</v>
          </cell>
          <cell r="AA99">
            <v>3.0179499999999999</v>
          </cell>
          <cell r="AB99">
            <v>0</v>
          </cell>
          <cell r="AC99">
            <v>-911.00360000000023</v>
          </cell>
          <cell r="AD99">
            <v>67.162130000000005</v>
          </cell>
          <cell r="AE99">
            <v>-90.13275999999999</v>
          </cell>
          <cell r="AF99">
            <v>-265.89761999999996</v>
          </cell>
          <cell r="AG99">
            <v>0</v>
          </cell>
          <cell r="AH99">
            <v>-461.71374000000253</v>
          </cell>
          <cell r="AI99">
            <v>529.13688999999988</v>
          </cell>
          <cell r="AJ99">
            <v>-120.62668000000014</v>
          </cell>
          <cell r="AK99">
            <v>-19.426149999999989</v>
          </cell>
          <cell r="AL99">
            <v>-763.5708400000002</v>
          </cell>
          <cell r="AM99">
            <v>489.84931999999981</v>
          </cell>
          <cell r="AN99">
            <v>-152.5558200000001</v>
          </cell>
          <cell r="AO99">
            <v>-379.63676000000004</v>
          </cell>
          <cell r="AP99">
            <v>-33.979529999999997</v>
          </cell>
          <cell r="AQ99">
            <v>-79.628069999999994</v>
          </cell>
          <cell r="AR99">
            <v>-78.143039999999999</v>
          </cell>
          <cell r="AT99">
            <v>-34.674609999999959</v>
          </cell>
          <cell r="AU99">
            <v>0</v>
          </cell>
          <cell r="AV99">
            <v>0</v>
          </cell>
          <cell r="AW99">
            <v>0</v>
          </cell>
          <cell r="AX99">
            <v>15.225000000000001</v>
          </cell>
          <cell r="AY99">
            <v>0</v>
          </cell>
          <cell r="AZ99">
            <v>1.954</v>
          </cell>
          <cell r="BA99">
            <v>0.51266999999999996</v>
          </cell>
          <cell r="BB99">
            <v>-1.8664800000000001</v>
          </cell>
          <cell r="BC99">
            <v>-5.5990000000000005E-2</v>
          </cell>
          <cell r="BD99">
            <v>0</v>
          </cell>
          <cell r="BE99">
            <v>156.13633999999999</v>
          </cell>
          <cell r="BF99">
            <v>-785.22257999999374</v>
          </cell>
          <cell r="BG99">
            <v>-179.89196000000001</v>
          </cell>
          <cell r="BH99">
            <v>46.228599999999972</v>
          </cell>
          <cell r="BI99">
            <v>3.1985700000000001</v>
          </cell>
          <cell r="BJ99">
            <v>0</v>
          </cell>
          <cell r="BK99">
            <v>-2118.2554399999967</v>
          </cell>
        </row>
        <row r="100">
          <cell r="C100">
            <v>3414.1730273103244</v>
          </cell>
          <cell r="N100">
            <v>1838.5269787856032</v>
          </cell>
          <cell r="O100">
            <v>-292.13913912326939</v>
          </cell>
          <cell r="P100">
            <v>0</v>
          </cell>
          <cell r="Q100">
            <v>-37.276347741465308</v>
          </cell>
          <cell r="R100">
            <v>0</v>
          </cell>
          <cell r="S100">
            <v>-141.8968993491045</v>
          </cell>
          <cell r="T100">
            <v>-11.607648865712825</v>
          </cell>
          <cell r="U100">
            <v>0</v>
          </cell>
          <cell r="V100">
            <v>-316.52585628813802</v>
          </cell>
          <cell r="W100">
            <v>0</v>
          </cell>
          <cell r="X100">
            <v>-167.22614548978433</v>
          </cell>
          <cell r="Y100">
            <v>-15.74029233995012</v>
          </cell>
          <cell r="Z100">
            <v>76.265444027205575</v>
          </cell>
          <cell r="AA100">
            <v>0</v>
          </cell>
          <cell r="AB100">
            <v>0</v>
          </cell>
          <cell r="AC100">
            <v>-924.48247605999586</v>
          </cell>
          <cell r="AD100">
            <v>0</v>
          </cell>
          <cell r="AE100">
            <v>0</v>
          </cell>
          <cell r="AF100">
            <v>-189.67314773184401</v>
          </cell>
          <cell r="AG100">
            <v>0</v>
          </cell>
          <cell r="AH100">
            <v>1113.1556237918398</v>
          </cell>
          <cell r="AI100">
            <v>15.74029233995012</v>
          </cell>
          <cell r="AJ100">
            <v>0</v>
          </cell>
          <cell r="AK100">
            <v>0</v>
          </cell>
          <cell r="AL100">
            <v>-438.05760723701769</v>
          </cell>
          <cell r="AM100">
            <v>0</v>
          </cell>
          <cell r="AN100">
            <v>0</v>
          </cell>
          <cell r="AO100">
            <v>-477.45400087012001</v>
          </cell>
          <cell r="AP100">
            <v>-31.069661607434746</v>
          </cell>
          <cell r="AQ100">
            <v>-80.588821657700493</v>
          </cell>
          <cell r="AR100">
            <v>-87.533447733687254</v>
          </cell>
          <cell r="AT100">
            <v>-47.823204056865357</v>
          </cell>
          <cell r="AU100">
            <v>37.205890508636259</v>
          </cell>
          <cell r="AV100">
            <v>0</v>
          </cell>
          <cell r="AW100">
            <v>7.8159625445373813</v>
          </cell>
          <cell r="AX100">
            <v>-28.264493878117982</v>
          </cell>
          <cell r="AY100">
            <v>0</v>
          </cell>
          <cell r="AZ100">
            <v>35.063340933521793</v>
          </cell>
          <cell r="BA100">
            <v>1.0017622249909923</v>
          </cell>
          <cell r="BB100">
            <v>-5.042575353897468</v>
          </cell>
          <cell r="BC100">
            <v>0</v>
          </cell>
          <cell r="BD100">
            <v>0</v>
          </cell>
          <cell r="BE100">
            <v>269.60619697271829</v>
          </cell>
          <cell r="BF100">
            <v>-313.73119697271829</v>
          </cell>
          <cell r="BG100">
            <v>-1.0017622249909923</v>
          </cell>
          <cell r="BH100">
            <v>0</v>
          </cell>
          <cell r="BI100">
            <v>0</v>
          </cell>
          <cell r="BJ100">
            <v>0</v>
          </cell>
          <cell r="BK100">
            <v>-212.75323245281129</v>
          </cell>
        </row>
        <row r="102">
          <cell r="C102">
            <v>169.25476999999998</v>
          </cell>
          <cell r="N102">
            <v>147.64874</v>
          </cell>
          <cell r="O102">
            <v>-1.359E-2</v>
          </cell>
          <cell r="P102">
            <v>0</v>
          </cell>
          <cell r="Q102">
            <v>0</v>
          </cell>
          <cell r="R102">
            <v>0</v>
          </cell>
          <cell r="S102">
            <v>-38.590830000000004</v>
          </cell>
          <cell r="T102">
            <v>0</v>
          </cell>
          <cell r="U102">
            <v>0</v>
          </cell>
          <cell r="V102">
            <v>-35.929589999999997</v>
          </cell>
          <cell r="W102">
            <v>0</v>
          </cell>
          <cell r="X102">
            <v>0</v>
          </cell>
          <cell r="Y102">
            <v>-0.16833000000000001</v>
          </cell>
          <cell r="Z102">
            <v>2.7354100000000003</v>
          </cell>
          <cell r="AA102">
            <v>5.94E-3</v>
          </cell>
          <cell r="AB102">
            <v>0</v>
          </cell>
          <cell r="AC102">
            <v>-78.616990000000001</v>
          </cell>
          <cell r="AD102">
            <v>5.8264200000000006</v>
          </cell>
          <cell r="AE102">
            <v>-9.6409400000000005</v>
          </cell>
          <cell r="AF102">
            <v>8.640199666842818E-15</v>
          </cell>
          <cell r="AG102">
            <v>0</v>
          </cell>
          <cell r="AH102">
            <v>87.465630000000004</v>
          </cell>
          <cell r="AI102">
            <v>22.9267</v>
          </cell>
          <cell r="AJ102">
            <v>-10.982780000000002</v>
          </cell>
          <cell r="AK102">
            <v>-1.0261900000000002</v>
          </cell>
          <cell r="AL102">
            <v>-34.238400000000013</v>
          </cell>
          <cell r="AM102">
            <v>22.899370000000005</v>
          </cell>
          <cell r="AN102">
            <v>-19.021769999999993</v>
          </cell>
          <cell r="AO102">
            <v>-4.3674800000000005</v>
          </cell>
          <cell r="AP102">
            <v>-0.96717000000000009</v>
          </cell>
          <cell r="AQ102">
            <v>-4.7981499999999997</v>
          </cell>
          <cell r="AR102">
            <v>-3.6339399999999995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47.512060000000041</v>
          </cell>
        </row>
        <row r="103">
          <cell r="C103">
            <v>2260.5766799999992</v>
          </cell>
          <cell r="N103">
            <v>1777.5871299999992</v>
          </cell>
          <cell r="O103">
            <v>-9.63171</v>
          </cell>
          <cell r="P103">
            <v>0</v>
          </cell>
          <cell r="Q103">
            <v>0</v>
          </cell>
          <cell r="R103">
            <v>7.8999999999999959E-2</v>
          </cell>
          <cell r="S103">
            <v>-40.287310000000005</v>
          </cell>
          <cell r="T103">
            <v>-8.3489999999999995E-2</v>
          </cell>
          <cell r="U103">
            <v>0</v>
          </cell>
          <cell r="V103">
            <v>-174.81557999999998</v>
          </cell>
          <cell r="W103">
            <v>0</v>
          </cell>
          <cell r="X103">
            <v>0</v>
          </cell>
          <cell r="Y103">
            <v>-38.101840000000003</v>
          </cell>
          <cell r="Z103">
            <v>10.5945</v>
          </cell>
          <cell r="AA103">
            <v>3.8454000000000002</v>
          </cell>
          <cell r="AB103">
            <v>0</v>
          </cell>
          <cell r="AC103">
            <v>-148.47390999999999</v>
          </cell>
          <cell r="AD103">
            <v>-1.1779500000000001</v>
          </cell>
          <cell r="AE103">
            <v>-11.357839999999999</v>
          </cell>
          <cell r="AF103">
            <v>-6.8730500000000001</v>
          </cell>
          <cell r="AG103">
            <v>0</v>
          </cell>
          <cell r="AH103">
            <v>203.25847999999965</v>
          </cell>
          <cell r="AI103">
            <v>327.01409999999998</v>
          </cell>
          <cell r="AJ103">
            <v>1.1620799999999993</v>
          </cell>
          <cell r="AK103">
            <v>-29.438120000000009</v>
          </cell>
          <cell r="AL103">
            <v>-329.34902000000034</v>
          </cell>
          <cell r="AM103">
            <v>24.430759999999992</v>
          </cell>
          <cell r="AN103">
            <v>33.474309999999988</v>
          </cell>
          <cell r="AO103">
            <v>-24.803900000000002</v>
          </cell>
          <cell r="AP103">
            <v>-4.0920899999999998</v>
          </cell>
          <cell r="AQ103">
            <v>-24.467449999999999</v>
          </cell>
          <cell r="AR103">
            <v>-16.157600000000002</v>
          </cell>
          <cell r="AT103">
            <v>-9.5079999999999991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5.2366899999999994</v>
          </cell>
          <cell r="BG103">
            <v>0.17756999999999998</v>
          </cell>
          <cell r="BH103">
            <v>-0.32112999999999997</v>
          </cell>
          <cell r="BI103">
            <v>-1.3380000000000001E-2</v>
          </cell>
          <cell r="BJ103">
            <v>0</v>
          </cell>
          <cell r="BK103">
            <v>1517.906649999999</v>
          </cell>
        </row>
        <row r="104">
          <cell r="C104">
            <v>203.00508586223162</v>
          </cell>
          <cell r="N104">
            <v>153.75</v>
          </cell>
          <cell r="O104">
            <v>-2.0692738257798311</v>
          </cell>
          <cell r="P104">
            <v>0</v>
          </cell>
          <cell r="Q104">
            <v>0</v>
          </cell>
          <cell r="R104">
            <v>0</v>
          </cell>
          <cell r="S104">
            <v>-35.692337494790046</v>
          </cell>
          <cell r="T104">
            <v>0</v>
          </cell>
          <cell r="U104">
            <v>0</v>
          </cell>
          <cell r="V104">
            <v>-39.110044315183295</v>
          </cell>
          <cell r="W104">
            <v>0</v>
          </cell>
          <cell r="X104">
            <v>0</v>
          </cell>
          <cell r="Y104">
            <v>-0.86266744494439118</v>
          </cell>
          <cell r="Z104">
            <v>2.9773408553230549</v>
          </cell>
          <cell r="AA104">
            <v>0</v>
          </cell>
          <cell r="AB104">
            <v>0</v>
          </cell>
          <cell r="AC104">
            <v>-55.717838117007929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55.717838117007929</v>
          </cell>
          <cell r="AI104">
            <v>0.86266744494439118</v>
          </cell>
          <cell r="AJ104">
            <v>0</v>
          </cell>
          <cell r="AK104">
            <v>0</v>
          </cell>
          <cell r="AL104">
            <v>-32.465058409922825</v>
          </cell>
          <cell r="AM104">
            <v>0</v>
          </cell>
          <cell r="AN104">
            <v>0</v>
          </cell>
          <cell r="AO104">
            <v>-4.3201277423166005</v>
          </cell>
          <cell r="AP104">
            <v>-0.50400068440685752</v>
          </cell>
          <cell r="AQ104">
            <v>-5.1654515846061253</v>
          </cell>
          <cell r="AR104">
            <v>-4.8570461001437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32.544000698173775</v>
          </cell>
        </row>
      </sheetData>
      <sheetData sheetId="3" refreshError="1">
        <row r="21">
          <cell r="C21">
            <v>6310.4131100000022</v>
          </cell>
          <cell r="N21">
            <v>4282.2112100000022</v>
          </cell>
          <cell r="O21">
            <v>-89.161369999999991</v>
          </cell>
          <cell r="P21">
            <v>0</v>
          </cell>
          <cell r="Q21">
            <v>0</v>
          </cell>
          <cell r="R21">
            <v>0</v>
          </cell>
          <cell r="S21">
            <v>-332.53193999999996</v>
          </cell>
          <cell r="T21">
            <v>-21.446779999999997</v>
          </cell>
          <cell r="U21">
            <v>0</v>
          </cell>
          <cell r="V21">
            <v>-3257.8397176062999</v>
          </cell>
          <cell r="W21">
            <v>0</v>
          </cell>
          <cell r="X21">
            <v>-598.03977239369954</v>
          </cell>
          <cell r="Y21">
            <v>-50.152740000000001</v>
          </cell>
          <cell r="Z21">
            <v>425.20401000000004</v>
          </cell>
          <cell r="AA21">
            <v>9.0440000000000005</v>
          </cell>
          <cell r="AB21">
            <v>-1700</v>
          </cell>
          <cell r="AC21">
            <v>-3478.9895100000003</v>
          </cell>
          <cell r="AD21">
            <v>129.49759999999998</v>
          </cell>
          <cell r="AE21">
            <v>-158.87627000000001</v>
          </cell>
          <cell r="AF21">
            <v>-194.09871000000001</v>
          </cell>
          <cell r="AG21">
            <v>0</v>
          </cell>
          <cell r="AH21">
            <v>1830.31324</v>
          </cell>
          <cell r="AI21">
            <v>383.58433000000002</v>
          </cell>
          <cell r="AJ21">
            <v>3351.76937</v>
          </cell>
          <cell r="AK21">
            <v>34.612469999999988</v>
          </cell>
          <cell r="AL21">
            <v>-505.49471000000017</v>
          </cell>
          <cell r="AM21">
            <v>240.90209000000004</v>
          </cell>
          <cell r="AN21">
            <v>-69.136560000000017</v>
          </cell>
          <cell r="AO21">
            <v>-281.91447999999997</v>
          </cell>
          <cell r="AP21">
            <v>-29.939959999999999</v>
          </cell>
          <cell r="AQ21">
            <v>-323.29417000000001</v>
          </cell>
          <cell r="AR21">
            <v>-107.24313000000001</v>
          </cell>
          <cell r="AT21">
            <v>-623.81319999999982</v>
          </cell>
          <cell r="AU21">
            <v>0.72236999999999996</v>
          </cell>
          <cell r="AV21">
            <v>0</v>
          </cell>
          <cell r="AW21">
            <v>0</v>
          </cell>
          <cell r="AX21">
            <v>42.249460965678196</v>
          </cell>
          <cell r="AY21">
            <v>0</v>
          </cell>
          <cell r="AZ21">
            <v>48.963539034321798</v>
          </cell>
          <cell r="BA21">
            <v>1.2073399999999999</v>
          </cell>
          <cell r="BB21">
            <v>-10.058450000000001</v>
          </cell>
          <cell r="BC21">
            <v>-0.22254000000000002</v>
          </cell>
          <cell r="BD21">
            <v>0</v>
          </cell>
          <cell r="BE21">
            <v>456.81429999999995</v>
          </cell>
          <cell r="BF21">
            <v>-184.48687999999601</v>
          </cell>
          <cell r="BG21">
            <v>-18.458590000000008</v>
          </cell>
          <cell r="BH21">
            <v>-974.80275999999992</v>
          </cell>
          <cell r="BI21">
            <v>-24.224239999999988</v>
          </cell>
          <cell r="BJ21">
            <v>0</v>
          </cell>
          <cell r="BK21">
            <v>-1797.1311499999945</v>
          </cell>
        </row>
        <row r="22">
          <cell r="C22">
            <v>7262.4679900000028</v>
          </cell>
          <cell r="N22">
            <v>4694.180720000003</v>
          </cell>
          <cell r="O22">
            <v>-58.752009999999999</v>
          </cell>
          <cell r="P22">
            <v>0</v>
          </cell>
          <cell r="Q22">
            <v>0</v>
          </cell>
          <cell r="R22">
            <v>5.595000000000006</v>
          </cell>
          <cell r="S22">
            <v>-461.33285000000001</v>
          </cell>
          <cell r="T22">
            <v>-19.89479</v>
          </cell>
          <cell r="U22">
            <v>0</v>
          </cell>
          <cell r="V22">
            <v>-3582.2030100000006</v>
          </cell>
          <cell r="W22">
            <v>0</v>
          </cell>
          <cell r="X22">
            <v>-376.524</v>
          </cell>
          <cell r="Y22">
            <v>-64.470169999999996</v>
          </cell>
          <cell r="Z22">
            <v>306.21102999999999</v>
          </cell>
          <cell r="AA22">
            <v>8.0887899999999995</v>
          </cell>
          <cell r="AB22">
            <v>-720</v>
          </cell>
          <cell r="AC22">
            <v>-3622.8805600000005</v>
          </cell>
          <cell r="AD22">
            <v>9.893829999999987</v>
          </cell>
          <cell r="AE22">
            <v>-234.36019000000005</v>
          </cell>
          <cell r="AF22">
            <v>-172.68943000000002</v>
          </cell>
          <cell r="AG22">
            <v>0</v>
          </cell>
          <cell r="AH22">
            <v>3718.9368400000012</v>
          </cell>
          <cell r="AI22">
            <v>-83.826100000000011</v>
          </cell>
          <cell r="AJ22">
            <v>19.047520000000191</v>
          </cell>
          <cell r="AK22">
            <v>19.555579999999992</v>
          </cell>
          <cell r="AL22">
            <v>-689.54600000000028</v>
          </cell>
          <cell r="AM22">
            <v>328.27210999999994</v>
          </cell>
          <cell r="AN22">
            <v>-77.14636000000003</v>
          </cell>
          <cell r="AO22">
            <v>-221.19777000000005</v>
          </cell>
          <cell r="AP22">
            <v>-32.548079999999999</v>
          </cell>
          <cell r="AQ22">
            <v>-286.23606000000001</v>
          </cell>
          <cell r="AR22">
            <v>-120.91024</v>
          </cell>
          <cell r="AT22">
            <v>-579.94387000000017</v>
          </cell>
          <cell r="AU22">
            <v>11.09778</v>
          </cell>
          <cell r="AV22">
            <v>0</v>
          </cell>
          <cell r="AW22">
            <v>0</v>
          </cell>
          <cell r="AX22">
            <v>94.221999999999994</v>
          </cell>
          <cell r="AY22">
            <v>0</v>
          </cell>
          <cell r="AZ22">
            <v>49.962000000000003</v>
          </cell>
          <cell r="BA22">
            <v>2.1620999999999997</v>
          </cell>
          <cell r="BB22">
            <v>-11.152749999999999</v>
          </cell>
          <cell r="BC22">
            <v>-0.27609</v>
          </cell>
          <cell r="BD22">
            <v>0</v>
          </cell>
          <cell r="BE22">
            <v>608.9059400000001</v>
          </cell>
          <cell r="BF22">
            <v>-2969.4102799999991</v>
          </cell>
          <cell r="BG22">
            <v>13.819420000000003</v>
          </cell>
          <cell r="BH22">
            <v>72.334080000000029</v>
          </cell>
          <cell r="BI22">
            <v>-9.2469899999999985</v>
          </cell>
          <cell r="BJ22">
            <v>0</v>
          </cell>
          <cell r="BK22">
            <v>-4432.262859999998</v>
          </cell>
        </row>
        <row r="23">
          <cell r="C23">
            <v>6479.7079119333266</v>
          </cell>
          <cell r="N23">
            <v>4131.66204421969</v>
          </cell>
          <cell r="O23">
            <v>-815.73647293891918</v>
          </cell>
          <cell r="P23">
            <v>0</v>
          </cell>
          <cell r="Q23">
            <v>-224.27401691137129</v>
          </cell>
          <cell r="R23">
            <v>0</v>
          </cell>
          <cell r="S23">
            <v>-543.95942244952175</v>
          </cell>
          <cell r="T23">
            <v>-47.480464491543486</v>
          </cell>
          <cell r="U23">
            <v>0</v>
          </cell>
          <cell r="V23">
            <v>-1804.3924449372469</v>
          </cell>
          <cell r="W23">
            <v>0</v>
          </cell>
          <cell r="X23">
            <v>-407.16406928367155</v>
          </cell>
          <cell r="Y23">
            <v>-51.378200753214188</v>
          </cell>
          <cell r="Z23">
            <v>204.94960958793155</v>
          </cell>
          <cell r="AA23">
            <v>0</v>
          </cell>
          <cell r="AB23">
            <v>0</v>
          </cell>
          <cell r="AC23">
            <v>-1653.7168335456981</v>
          </cell>
          <cell r="AD23">
            <v>0</v>
          </cell>
          <cell r="AE23">
            <v>0</v>
          </cell>
          <cell r="AF23">
            <v>-101.6276397856717</v>
          </cell>
          <cell r="AG23">
            <v>0</v>
          </cell>
          <cell r="AH23">
            <v>1755.3444733313695</v>
          </cell>
          <cell r="AI23">
            <v>51.378200753214188</v>
          </cell>
          <cell r="AJ23">
            <v>0</v>
          </cell>
          <cell r="AK23">
            <v>0</v>
          </cell>
          <cell r="AL23">
            <v>-369.16402971411878</v>
          </cell>
          <cell r="AM23">
            <v>0</v>
          </cell>
          <cell r="AN23">
            <v>0</v>
          </cell>
          <cell r="AO23">
            <v>-267.07799879986254</v>
          </cell>
          <cell r="AP23">
            <v>-19.8638280287349</v>
          </cell>
          <cell r="AQ23">
            <v>-329.32792080616747</v>
          </cell>
          <cell r="AR23">
            <v>-142.3206531669455</v>
          </cell>
          <cell r="AT23">
            <v>-748.00391658212175</v>
          </cell>
          <cell r="AU23">
            <v>115.72872665950098</v>
          </cell>
          <cell r="AV23">
            <v>0</v>
          </cell>
          <cell r="AW23">
            <v>6.1712934464081046</v>
          </cell>
          <cell r="AX23">
            <v>60.654925439851773</v>
          </cell>
          <cell r="AY23">
            <v>0</v>
          </cell>
          <cell r="AZ23">
            <v>11.203834429808957</v>
          </cell>
          <cell r="BA23">
            <v>2.8634799581801502</v>
          </cell>
          <cell r="BB23">
            <v>-11.866840067981567</v>
          </cell>
          <cell r="BC23">
            <v>0</v>
          </cell>
          <cell r="BD23">
            <v>0</v>
          </cell>
          <cell r="BE23">
            <v>155.02983141311969</v>
          </cell>
          <cell r="BF23">
            <v>-337.86316474645304</v>
          </cell>
          <cell r="BG23">
            <v>-2.8634799581801502</v>
          </cell>
          <cell r="BH23">
            <v>0</v>
          </cell>
          <cell r="BI23">
            <v>0</v>
          </cell>
          <cell r="BJ23">
            <v>0</v>
          </cell>
          <cell r="BK23">
            <v>-1383.0949777283488</v>
          </cell>
        </row>
        <row r="25">
          <cell r="C25">
            <v>5892.4797899999967</v>
          </cell>
          <cell r="N25">
            <v>3726.3401499999973</v>
          </cell>
          <cell r="O25">
            <v>-674.19387000000006</v>
          </cell>
          <cell r="P25">
            <v>-7.2599999999999998E-2</v>
          </cell>
          <cell r="Q25">
            <v>0</v>
          </cell>
          <cell r="R25">
            <v>46.298469999999995</v>
          </cell>
          <cell r="S25">
            <v>-209.25024999999999</v>
          </cell>
          <cell r="T25">
            <v>-16.912700000000001</v>
          </cell>
          <cell r="U25">
            <v>0</v>
          </cell>
          <cell r="V25">
            <v>-1100.0217500000001</v>
          </cell>
          <cell r="W25">
            <v>-3.4964400000000002</v>
          </cell>
          <cell r="X25">
            <v>0</v>
          </cell>
          <cell r="Y25">
            <v>-1.7440899999999999</v>
          </cell>
          <cell r="Z25">
            <v>16.14471</v>
          </cell>
          <cell r="AA25">
            <v>2.3730000000000001E-2</v>
          </cell>
          <cell r="AB25">
            <v>0</v>
          </cell>
          <cell r="AC25">
            <v>-1845.8853599999995</v>
          </cell>
          <cell r="AD25">
            <v>321.67299000000003</v>
          </cell>
          <cell r="AE25">
            <v>-54.687539999999998</v>
          </cell>
          <cell r="AF25">
            <v>-47.910709999999995</v>
          </cell>
          <cell r="AG25">
            <v>0</v>
          </cell>
          <cell r="AH25">
            <v>1762.3262500000001</v>
          </cell>
          <cell r="AI25">
            <v>25.192260000000008</v>
          </cell>
          <cell r="AJ25">
            <v>10.488530000000008</v>
          </cell>
          <cell r="AK25">
            <v>0.14379000000000003</v>
          </cell>
          <cell r="AL25">
            <v>-849.67419000000177</v>
          </cell>
          <cell r="AM25">
            <v>375.88768999999996</v>
          </cell>
          <cell r="AN25">
            <v>-98.14457000000003</v>
          </cell>
          <cell r="AO25">
            <v>-277.36750999999998</v>
          </cell>
          <cell r="AP25">
            <v>-28.415849999999999</v>
          </cell>
          <cell r="AQ25">
            <v>-308.84931999999998</v>
          </cell>
          <cell r="AR25">
            <v>-99.946050000000014</v>
          </cell>
          <cell r="AT25">
            <v>-10.842879999999994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3.9699999999999996E-3</v>
          </cell>
          <cell r="BH25">
            <v>2.3999999999999998E-4</v>
          </cell>
          <cell r="BI25">
            <v>-1.4000000000000001E-4</v>
          </cell>
          <cell r="BJ25">
            <v>0</v>
          </cell>
          <cell r="BK25">
            <v>657.10695999999621</v>
          </cell>
        </row>
        <row r="26">
          <cell r="C26">
            <v>7339.3139700000029</v>
          </cell>
          <cell r="N26">
            <v>4479.369709999999</v>
          </cell>
          <cell r="O26">
            <v>-897.47467000000006</v>
          </cell>
          <cell r="P26">
            <v>0</v>
          </cell>
          <cell r="Q26">
            <v>0</v>
          </cell>
          <cell r="R26">
            <v>60.995469999999997</v>
          </cell>
          <cell r="S26">
            <v>-255.42277999999999</v>
          </cell>
          <cell r="T26">
            <v>-16.556789999999999</v>
          </cell>
          <cell r="U26">
            <v>0</v>
          </cell>
          <cell r="V26">
            <v>-1815.5189000000003</v>
          </cell>
          <cell r="W26">
            <v>0</v>
          </cell>
          <cell r="X26">
            <v>0</v>
          </cell>
          <cell r="Y26">
            <v>-13.694900000000001</v>
          </cell>
          <cell r="Z26">
            <v>29.873399999999997</v>
          </cell>
          <cell r="AA26">
            <v>0.22140000000000001</v>
          </cell>
          <cell r="AB26">
            <v>0</v>
          </cell>
          <cell r="AC26">
            <v>-2847.7531000000008</v>
          </cell>
          <cell r="AD26">
            <v>485.33327000000003</v>
          </cell>
          <cell r="AE26">
            <v>-64.82759999999999</v>
          </cell>
          <cell r="AF26">
            <v>-73.208489999999998</v>
          </cell>
          <cell r="AG26">
            <v>0</v>
          </cell>
          <cell r="AH26">
            <v>2102.1025300000001</v>
          </cell>
          <cell r="AI26">
            <v>19.68375</v>
          </cell>
          <cell r="AJ26">
            <v>-29.122140000000002</v>
          </cell>
          <cell r="AK26">
            <v>-0.25460000000000005</v>
          </cell>
          <cell r="AL26">
            <v>-1057.842079999999</v>
          </cell>
          <cell r="AM26">
            <v>475.54570999999993</v>
          </cell>
          <cell r="AN26">
            <v>-106.67421</v>
          </cell>
          <cell r="AO26">
            <v>-216.04392000000001</v>
          </cell>
          <cell r="AP26">
            <v>-29.811999999999998</v>
          </cell>
          <cell r="AQ26">
            <v>-263.43528000000003</v>
          </cell>
          <cell r="AR26">
            <v>-110.86329000000001</v>
          </cell>
          <cell r="AT26">
            <v>-16.260999999999999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-0.129</v>
          </cell>
          <cell r="BF26">
            <v>-1.518</v>
          </cell>
          <cell r="BG26">
            <v>-8.6099999999999996E-3</v>
          </cell>
          <cell r="BH26">
            <v>-4.6999999999999999E-4</v>
          </cell>
          <cell r="BI26">
            <v>0</v>
          </cell>
          <cell r="BJ26">
            <v>0</v>
          </cell>
          <cell r="BK26">
            <v>-163.29659000000134</v>
          </cell>
        </row>
        <row r="27">
          <cell r="C27">
            <v>6203.6933169580434</v>
          </cell>
          <cell r="N27">
            <v>3861.8667796479403</v>
          </cell>
          <cell r="O27">
            <v>-1652.5398811519442</v>
          </cell>
          <cell r="P27">
            <v>-86.647795023495135</v>
          </cell>
          <cell r="Q27">
            <v>0</v>
          </cell>
          <cell r="R27">
            <v>0</v>
          </cell>
          <cell r="S27">
            <v>-317.92290100574951</v>
          </cell>
          <cell r="T27">
            <v>-61.911033855506716</v>
          </cell>
          <cell r="U27">
            <v>0</v>
          </cell>
          <cell r="V27">
            <v>-224.31000938256904</v>
          </cell>
          <cell r="W27">
            <v>-15.683570356595467</v>
          </cell>
          <cell r="X27">
            <v>0</v>
          </cell>
          <cell r="Y27">
            <v>-8.0229986243581592</v>
          </cell>
          <cell r="Z27">
            <v>3.3473518963987008</v>
          </cell>
          <cell r="AA27">
            <v>0</v>
          </cell>
          <cell r="AB27">
            <v>0</v>
          </cell>
          <cell r="AC27">
            <v>-514.66834540255343</v>
          </cell>
          <cell r="AD27">
            <v>0</v>
          </cell>
          <cell r="AE27">
            <v>0</v>
          </cell>
          <cell r="AF27">
            <v>-29.223115374607282</v>
          </cell>
          <cell r="AG27">
            <v>0</v>
          </cell>
          <cell r="AH27">
            <v>543.89146077716066</v>
          </cell>
          <cell r="AI27">
            <v>8.0229986243581592</v>
          </cell>
          <cell r="AJ27">
            <v>0</v>
          </cell>
          <cell r="AK27">
            <v>0</v>
          </cell>
          <cell r="AL27">
            <v>-593.83655616328087</v>
          </cell>
          <cell r="AM27">
            <v>0</v>
          </cell>
          <cell r="AN27">
            <v>0</v>
          </cell>
          <cell r="AO27">
            <v>-262.24791957005499</v>
          </cell>
          <cell r="AP27">
            <v>-18.660941689562048</v>
          </cell>
          <cell r="AQ27">
            <v>-314.51208371435251</v>
          </cell>
          <cell r="AR27">
            <v>-136.78518323864776</v>
          </cell>
          <cell r="AT27">
            <v>-198.457573286919</v>
          </cell>
          <cell r="AU27">
            <v>2.4298489284866243</v>
          </cell>
          <cell r="AV27">
            <v>13.424306271245719</v>
          </cell>
          <cell r="AW27">
            <v>0</v>
          </cell>
          <cell r="AX27">
            <v>-2.4298489284866225</v>
          </cell>
          <cell r="AY27">
            <v>2.4298489284866225</v>
          </cell>
          <cell r="AZ27">
            <v>0</v>
          </cell>
          <cell r="BA27">
            <v>1.0961619819241689E-2</v>
          </cell>
          <cell r="BB27">
            <v>-4.7512963989702261E-3</v>
          </cell>
          <cell r="BC27">
            <v>0</v>
          </cell>
          <cell r="BD27">
            <v>0</v>
          </cell>
          <cell r="BE27">
            <v>3.2245499989817253E-2</v>
          </cell>
          <cell r="BF27">
            <v>-3.2245499989817253E-2</v>
          </cell>
          <cell r="BG27">
            <v>-1.0961619819241689E-2</v>
          </cell>
          <cell r="BH27">
            <v>0</v>
          </cell>
          <cell r="BI27">
            <v>0</v>
          </cell>
          <cell r="BJ27">
            <v>0</v>
          </cell>
          <cell r="BK27">
            <v>-2.4519129910048889</v>
          </cell>
        </row>
        <row r="29">
          <cell r="C29">
            <v>12202.892899999999</v>
          </cell>
          <cell r="N29">
            <v>8008.5513599999995</v>
          </cell>
          <cell r="O29">
            <v>-763.35524000000009</v>
          </cell>
          <cell r="P29">
            <v>-7.2599999999999998E-2</v>
          </cell>
          <cell r="Q29">
            <v>0</v>
          </cell>
          <cell r="R29">
            <v>46.298469999999995</v>
          </cell>
          <cell r="S29">
            <v>-541.7821899999999</v>
          </cell>
          <cell r="T29">
            <v>-38.359479999999998</v>
          </cell>
          <cell r="U29">
            <v>0</v>
          </cell>
          <cell r="V29">
            <v>-4357.8614676062998</v>
          </cell>
          <cell r="W29">
            <v>-3.4964400000000002</v>
          </cell>
          <cell r="X29">
            <v>-598.03977239369954</v>
          </cell>
          <cell r="Y29">
            <v>-51.896830000000001</v>
          </cell>
          <cell r="Z29">
            <v>441.34872000000001</v>
          </cell>
          <cell r="AA29">
            <v>9.067730000000001</v>
          </cell>
          <cell r="AB29">
            <v>-1700</v>
          </cell>
          <cell r="AC29">
            <v>-5324.8748699999996</v>
          </cell>
          <cell r="AD29">
            <v>451.17059</v>
          </cell>
          <cell r="AE29">
            <v>-213.56380999999999</v>
          </cell>
          <cell r="AF29">
            <v>-242.00942000000001</v>
          </cell>
          <cell r="AG29">
            <v>0</v>
          </cell>
          <cell r="AH29">
            <v>3592.63949</v>
          </cell>
          <cell r="AI29">
            <v>408.77659000000006</v>
          </cell>
          <cell r="AJ29">
            <v>3362.2579000000001</v>
          </cell>
          <cell r="AK29">
            <v>34.75625999999999</v>
          </cell>
          <cell r="AL29">
            <v>-1355.1689000000019</v>
          </cell>
          <cell r="AM29">
            <v>616.78978000000006</v>
          </cell>
          <cell r="AN29">
            <v>-167.28113000000005</v>
          </cell>
          <cell r="AO29">
            <v>-559.28198999999995</v>
          </cell>
          <cell r="AP29">
            <v>-58.355809999999998</v>
          </cell>
          <cell r="AQ29">
            <v>-632.14348999999993</v>
          </cell>
          <cell r="AR29">
            <v>-207.18918000000002</v>
          </cell>
          <cell r="AT29">
            <v>-634.65607999999986</v>
          </cell>
          <cell r="AU29">
            <v>0.72236999999999996</v>
          </cell>
          <cell r="AV29">
            <v>0</v>
          </cell>
          <cell r="AW29">
            <v>0</v>
          </cell>
          <cell r="AX29">
            <v>42.249460965678196</v>
          </cell>
          <cell r="AY29">
            <v>0</v>
          </cell>
          <cell r="AZ29">
            <v>48.963539034321798</v>
          </cell>
          <cell r="BA29">
            <v>1.2073399999999999</v>
          </cell>
          <cell r="BB29">
            <v>-10.058450000000001</v>
          </cell>
          <cell r="BC29">
            <v>-0.22254000000000002</v>
          </cell>
          <cell r="BD29">
            <v>0</v>
          </cell>
          <cell r="BE29">
            <v>456.81429999999995</v>
          </cell>
          <cell r="BF29">
            <v>-184.48687999999601</v>
          </cell>
          <cell r="BG29">
            <v>-18.454620000000009</v>
          </cell>
          <cell r="BH29">
            <v>-974.80251999999996</v>
          </cell>
          <cell r="BI29">
            <v>-24.224379999999986</v>
          </cell>
          <cell r="BJ29">
            <v>0</v>
          </cell>
          <cell r="BK29">
            <v>-1140.0241899999983</v>
          </cell>
        </row>
        <row r="30">
          <cell r="C30">
            <v>14601.781960000006</v>
          </cell>
          <cell r="N30">
            <v>9173.550430000003</v>
          </cell>
          <cell r="O30">
            <v>-956.2266800000001</v>
          </cell>
          <cell r="P30">
            <v>0</v>
          </cell>
          <cell r="Q30">
            <v>0</v>
          </cell>
          <cell r="R30">
            <v>66.59047000000001</v>
          </cell>
          <cell r="S30">
            <v>-716.75563</v>
          </cell>
          <cell r="T30">
            <v>-36.45158</v>
          </cell>
          <cell r="U30">
            <v>0</v>
          </cell>
          <cell r="V30">
            <v>-5397.7219100000011</v>
          </cell>
          <cell r="W30">
            <v>0</v>
          </cell>
          <cell r="X30">
            <v>-376.524</v>
          </cell>
          <cell r="Y30">
            <v>-78.16507</v>
          </cell>
          <cell r="Z30">
            <v>336.08443</v>
          </cell>
          <cell r="AA30">
            <v>8.3101899999999986</v>
          </cell>
          <cell r="AB30">
            <v>-720</v>
          </cell>
          <cell r="AC30">
            <v>-6470.6336600000013</v>
          </cell>
          <cell r="AD30">
            <v>495.22710000000001</v>
          </cell>
          <cell r="AE30">
            <v>-299.18779000000006</v>
          </cell>
          <cell r="AF30">
            <v>-245.89792</v>
          </cell>
          <cell r="AG30">
            <v>0</v>
          </cell>
          <cell r="AH30">
            <v>5821.0393700000013</v>
          </cell>
          <cell r="AI30">
            <v>-64.142350000000008</v>
          </cell>
          <cell r="AJ30">
            <v>-10.074619999999811</v>
          </cell>
          <cell r="AK30">
            <v>19.300979999999992</v>
          </cell>
          <cell r="AL30">
            <v>-1747.3880799999993</v>
          </cell>
          <cell r="AM30">
            <v>803.81781999999987</v>
          </cell>
          <cell r="AN30">
            <v>-183.82057000000003</v>
          </cell>
          <cell r="AO30">
            <v>-437.24169000000006</v>
          </cell>
          <cell r="AP30">
            <v>-62.360079999999996</v>
          </cell>
          <cell r="AQ30">
            <v>-549.6713400000001</v>
          </cell>
          <cell r="AR30">
            <v>-231.77352999999999</v>
          </cell>
          <cell r="AT30">
            <v>-596.20487000000014</v>
          </cell>
          <cell r="AU30">
            <v>11.09778</v>
          </cell>
          <cell r="AV30">
            <v>0</v>
          </cell>
          <cell r="AW30">
            <v>0</v>
          </cell>
          <cell r="AX30">
            <v>94.221999999999994</v>
          </cell>
          <cell r="AY30">
            <v>0</v>
          </cell>
          <cell r="AZ30">
            <v>49.962000000000003</v>
          </cell>
          <cell r="BA30">
            <v>2.1620999999999997</v>
          </cell>
          <cell r="BB30">
            <v>-11.152749999999999</v>
          </cell>
          <cell r="BC30">
            <v>-0.27609</v>
          </cell>
          <cell r="BD30">
            <v>0</v>
          </cell>
          <cell r="BE30">
            <v>608.77694000000008</v>
          </cell>
          <cell r="BF30">
            <v>-2970.9282799999992</v>
          </cell>
          <cell r="BG30">
            <v>13.810810000000004</v>
          </cell>
          <cell r="BH30">
            <v>72.333610000000022</v>
          </cell>
          <cell r="BI30">
            <v>-9.2469899999999985</v>
          </cell>
          <cell r="BJ30">
            <v>0</v>
          </cell>
          <cell r="BK30">
            <v>-4595.5594499999997</v>
          </cell>
        </row>
        <row r="31">
          <cell r="C31">
            <v>12683.401228891369</v>
          </cell>
          <cell r="N31">
            <v>7993.5288238676303</v>
          </cell>
          <cell r="O31">
            <v>-2468.2763540908636</v>
          </cell>
          <cell r="P31">
            <v>-86.647795023495135</v>
          </cell>
          <cell r="Q31">
            <v>-224.27401691137129</v>
          </cell>
          <cell r="R31">
            <v>0</v>
          </cell>
          <cell r="S31">
            <v>-861.88232345527126</v>
          </cell>
          <cell r="T31">
            <v>-109.3914983470502</v>
          </cell>
          <cell r="U31">
            <v>0</v>
          </cell>
          <cell r="V31">
            <v>-2028.7024543198158</v>
          </cell>
          <cell r="W31">
            <v>-15.683570356595467</v>
          </cell>
          <cell r="X31">
            <v>-407.16406928367155</v>
          </cell>
          <cell r="Y31">
            <v>-59.401199377572347</v>
          </cell>
          <cell r="Z31">
            <v>208.29696148433024</v>
          </cell>
          <cell r="AA31">
            <v>0</v>
          </cell>
          <cell r="AB31">
            <v>0</v>
          </cell>
          <cell r="AC31">
            <v>-2168.3851789482515</v>
          </cell>
          <cell r="AD31">
            <v>0</v>
          </cell>
          <cell r="AE31">
            <v>0</v>
          </cell>
          <cell r="AF31">
            <v>-130.85075516027899</v>
          </cell>
          <cell r="AG31">
            <v>0</v>
          </cell>
          <cell r="AH31">
            <v>2299.2359341085303</v>
          </cell>
          <cell r="AI31">
            <v>59.401199377572347</v>
          </cell>
          <cell r="AJ31">
            <v>0</v>
          </cell>
          <cell r="AK31">
            <v>0</v>
          </cell>
          <cell r="AL31">
            <v>-963.00058587739966</v>
          </cell>
          <cell r="AM31">
            <v>0</v>
          </cell>
          <cell r="AN31">
            <v>0</v>
          </cell>
          <cell r="AO31">
            <v>-529.32591836991753</v>
          </cell>
          <cell r="AP31">
            <v>-38.524769718296952</v>
          </cell>
          <cell r="AQ31">
            <v>-643.84000452051998</v>
          </cell>
          <cell r="AR31">
            <v>-279.10583640559327</v>
          </cell>
          <cell r="AT31">
            <v>-946.46148986904075</v>
          </cell>
          <cell r="AU31">
            <v>118.1585755879876</v>
          </cell>
          <cell r="AV31">
            <v>13.424306271245719</v>
          </cell>
          <cell r="AW31">
            <v>6.1712934464081046</v>
          </cell>
          <cell r="AX31">
            <v>58.225076511365152</v>
          </cell>
          <cell r="AY31">
            <v>2.4298489284866225</v>
          </cell>
          <cell r="AZ31">
            <v>11.203834429808957</v>
          </cell>
          <cell r="BA31">
            <v>2.8744415779993919</v>
          </cell>
          <cell r="BB31">
            <v>-11.871591364380537</v>
          </cell>
          <cell r="BC31">
            <v>0</v>
          </cell>
          <cell r="BD31">
            <v>0</v>
          </cell>
          <cell r="BE31">
            <v>155.06207691310951</v>
          </cell>
          <cell r="BF31">
            <v>-337.89541024644285</v>
          </cell>
          <cell r="BG31">
            <v>-2.8744415779993919</v>
          </cell>
          <cell r="BH31">
            <v>0</v>
          </cell>
          <cell r="BI31">
            <v>0</v>
          </cell>
          <cell r="BJ31">
            <v>0</v>
          </cell>
          <cell r="BK31">
            <v>-1385.5468907193538</v>
          </cell>
        </row>
        <row r="33">
          <cell r="C33">
            <v>18325.501020000003</v>
          </cell>
          <cell r="N33">
            <v>9694.3313500000004</v>
          </cell>
          <cell r="O33">
            <v>-228.57083</v>
          </cell>
          <cell r="P33">
            <v>-6.7117300000000002</v>
          </cell>
          <cell r="Q33">
            <v>0</v>
          </cell>
          <cell r="R33">
            <v>24.53098</v>
          </cell>
          <cell r="S33">
            <v>-215.29683999999997</v>
          </cell>
          <cell r="T33">
            <v>-16.315150000000003</v>
          </cell>
          <cell r="U33">
            <v>0</v>
          </cell>
          <cell r="V33">
            <v>-804.33490104720227</v>
          </cell>
          <cell r="W33">
            <v>-59.34525</v>
          </cell>
          <cell r="X33">
            <v>-1676.318728952798</v>
          </cell>
          <cell r="Y33">
            <v>-17.157119999999999</v>
          </cell>
          <cell r="Z33">
            <v>84.84196</v>
          </cell>
          <cell r="AA33">
            <v>0.77251000000000003</v>
          </cell>
          <cell r="AB33">
            <v>0</v>
          </cell>
          <cell r="AC33">
            <v>-2723.5998599999998</v>
          </cell>
          <cell r="AD33">
            <v>529.15569000000005</v>
          </cell>
          <cell r="AE33">
            <v>-54.165589999999995</v>
          </cell>
          <cell r="AF33">
            <v>-189.84807000000001</v>
          </cell>
          <cell r="AG33">
            <v>0</v>
          </cell>
          <cell r="AH33">
            <v>-717.8345899999988</v>
          </cell>
          <cell r="AI33">
            <v>444.15262999999987</v>
          </cell>
          <cell r="AJ33">
            <v>307.44277999999991</v>
          </cell>
          <cell r="AK33">
            <v>-5.6687199999999995</v>
          </cell>
          <cell r="AL33">
            <v>-3138.2215899999983</v>
          </cell>
          <cell r="AM33">
            <v>1652.6089400000008</v>
          </cell>
          <cell r="AN33">
            <v>-792.83060999999907</v>
          </cell>
          <cell r="AO33">
            <v>-521.78975000000003</v>
          </cell>
          <cell r="AP33">
            <v>-80.134349999999998</v>
          </cell>
          <cell r="AQ33">
            <v>-795.93151999999998</v>
          </cell>
          <cell r="AR33">
            <v>-284.51968999999997</v>
          </cell>
          <cell r="AT33">
            <v>-1102.3385899999992</v>
          </cell>
          <cell r="AU33">
            <v>0</v>
          </cell>
          <cell r="AV33">
            <v>0</v>
          </cell>
          <cell r="AW33">
            <v>0</v>
          </cell>
          <cell r="AX33">
            <v>-159.96210402350175</v>
          </cell>
          <cell r="AY33">
            <v>0</v>
          </cell>
          <cell r="AZ33">
            <v>159.96210402350175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4.6453600000000028</v>
          </cell>
          <cell r="BF33">
            <v>2.8592699999991948</v>
          </cell>
          <cell r="BG33">
            <v>70.102489999999989</v>
          </cell>
          <cell r="BH33">
            <v>-146.68637999999999</v>
          </cell>
          <cell r="BI33">
            <v>-5.5511199999999992</v>
          </cell>
          <cell r="BJ33">
            <v>0</v>
          </cell>
          <cell r="BK33">
            <v>-767.72701999999776</v>
          </cell>
        </row>
        <row r="34">
          <cell r="C34">
            <v>17214.163820000005</v>
          </cell>
          <cell r="N34">
            <v>9206.7108199999948</v>
          </cell>
          <cell r="O34">
            <v>-125.23771000000001</v>
          </cell>
          <cell r="P34">
            <v>0</v>
          </cell>
          <cell r="Q34">
            <v>0</v>
          </cell>
          <cell r="R34">
            <v>4.5584599999999966</v>
          </cell>
          <cell r="S34">
            <v>-163.89007000000001</v>
          </cell>
          <cell r="T34">
            <v>-12.3226</v>
          </cell>
          <cell r="U34">
            <v>0</v>
          </cell>
          <cell r="V34">
            <v>-2175.4419499999995</v>
          </cell>
          <cell r="W34">
            <v>0</v>
          </cell>
          <cell r="X34">
            <v>-870.06799999999998</v>
          </cell>
          <cell r="Y34">
            <v>-41.072589999999998</v>
          </cell>
          <cell r="Z34">
            <v>103.45814</v>
          </cell>
          <cell r="AA34">
            <v>1.6983299999999999</v>
          </cell>
          <cell r="AB34">
            <v>0</v>
          </cell>
          <cell r="AC34">
            <v>-3148.2660799999994</v>
          </cell>
          <cell r="AD34">
            <v>704.62520999999992</v>
          </cell>
          <cell r="AE34">
            <v>-39.128529999999998</v>
          </cell>
          <cell r="AF34">
            <v>-291.51785999999993</v>
          </cell>
          <cell r="AG34">
            <v>0</v>
          </cell>
          <cell r="AH34">
            <v>2140.0419800000009</v>
          </cell>
          <cell r="AI34">
            <v>84.08986000000003</v>
          </cell>
          <cell r="AJ34">
            <v>85.185590000000005</v>
          </cell>
          <cell r="AK34">
            <v>1.5871600000000006</v>
          </cell>
          <cell r="AL34">
            <v>-2666.2433299999975</v>
          </cell>
          <cell r="AM34">
            <v>1598.3150700000015</v>
          </cell>
          <cell r="AN34">
            <v>-840.63564000000019</v>
          </cell>
          <cell r="AO34">
            <v>-474.90397999999999</v>
          </cell>
          <cell r="AP34">
            <v>-68.358149999999995</v>
          </cell>
          <cell r="AQ34">
            <v>-721.32540999999992</v>
          </cell>
          <cell r="AR34">
            <v>-260.14031999999997</v>
          </cell>
          <cell r="AT34">
            <v>-1062.9010299999993</v>
          </cell>
          <cell r="AU34">
            <v>0</v>
          </cell>
          <cell r="AV34">
            <v>0</v>
          </cell>
          <cell r="AW34">
            <v>0</v>
          </cell>
          <cell r="AX34">
            <v>-121.26</v>
          </cell>
          <cell r="AY34">
            <v>0</v>
          </cell>
          <cell r="AZ34">
            <v>121.26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139.18072000000004</v>
          </cell>
          <cell r="BF34">
            <v>-743.7934900000007</v>
          </cell>
          <cell r="BG34">
            <v>-37.51099</v>
          </cell>
          <cell r="BH34">
            <v>-28.908829999999998</v>
          </cell>
          <cell r="BI34">
            <v>0.36969999999999997</v>
          </cell>
          <cell r="BJ34">
            <v>0</v>
          </cell>
          <cell r="BK34">
            <v>298.15447999999947</v>
          </cell>
        </row>
        <row r="35">
          <cell r="C35">
            <v>18831.653672501601</v>
          </cell>
          <cell r="N35">
            <v>10999.890215633473</v>
          </cell>
          <cell r="O35">
            <v>-2344.8601443301186</v>
          </cell>
          <cell r="P35">
            <v>-665.59323711710283</v>
          </cell>
          <cell r="Q35">
            <v>-1048.5319658334763</v>
          </cell>
          <cell r="R35">
            <v>0</v>
          </cell>
          <cell r="S35">
            <v>-296.52875400925245</v>
          </cell>
          <cell r="T35">
            <v>-109.12464634089127</v>
          </cell>
          <cell r="U35">
            <v>0</v>
          </cell>
          <cell r="V35">
            <v>-429.55108147623969</v>
          </cell>
          <cell r="W35">
            <v>-621.40285465455065</v>
          </cell>
          <cell r="X35">
            <v>-978.91733333648062</v>
          </cell>
          <cell r="Y35">
            <v>-74.272065260456415</v>
          </cell>
          <cell r="Z35">
            <v>93.569495531480754</v>
          </cell>
          <cell r="AA35">
            <v>0</v>
          </cell>
          <cell r="AB35">
            <v>0</v>
          </cell>
          <cell r="AC35">
            <v>-4813.0111481613112</v>
          </cell>
          <cell r="AD35">
            <v>0</v>
          </cell>
          <cell r="AE35">
            <v>0</v>
          </cell>
          <cell r="AF35">
            <v>-271.80055080180091</v>
          </cell>
          <cell r="AG35">
            <v>0</v>
          </cell>
          <cell r="AH35">
            <v>5076.0616989631126</v>
          </cell>
          <cell r="AI35">
            <v>74.272065260456415</v>
          </cell>
          <cell r="AJ35">
            <v>0</v>
          </cell>
          <cell r="AK35">
            <v>0</v>
          </cell>
          <cell r="AL35">
            <v>-2405.899490370999</v>
          </cell>
          <cell r="AM35">
            <v>0</v>
          </cell>
          <cell r="AN35">
            <v>0</v>
          </cell>
          <cell r="AO35">
            <v>-515.18624578260255</v>
          </cell>
          <cell r="AP35">
            <v>-66.233563746415498</v>
          </cell>
          <cell r="AQ35">
            <v>-803.36592707441741</v>
          </cell>
          <cell r="AR35">
            <v>-400.52805952520748</v>
          </cell>
          <cell r="AT35">
            <v>-1248.5166000904312</v>
          </cell>
          <cell r="AU35">
            <v>384.97165805166901</v>
          </cell>
          <cell r="AV35">
            <v>277.08617139897007</v>
          </cell>
          <cell r="AW35">
            <v>135.26232388336049</v>
          </cell>
          <cell r="AX35">
            <v>-425.82629164926902</v>
          </cell>
          <cell r="AY35">
            <v>258.68973464693846</v>
          </cell>
          <cell r="AZ35">
            <v>126.28192340473052</v>
          </cell>
          <cell r="BA35">
            <v>8.0895865998666157</v>
          </cell>
          <cell r="BB35">
            <v>-10.587851787384949</v>
          </cell>
          <cell r="BC35">
            <v>0</v>
          </cell>
          <cell r="BD35">
            <v>0</v>
          </cell>
          <cell r="BE35">
            <v>2218.0499400366421</v>
          </cell>
          <cell r="BF35">
            <v>-2218.0499400366421</v>
          </cell>
          <cell r="BG35">
            <v>-8.0895865998666157</v>
          </cell>
          <cell r="BH35">
            <v>0</v>
          </cell>
          <cell r="BI35">
            <v>0</v>
          </cell>
          <cell r="BJ35">
            <v>0</v>
          </cell>
          <cell r="BK35">
            <v>-103.65252457421684</v>
          </cell>
        </row>
        <row r="37">
          <cell r="C37">
            <v>7532.4710100000029</v>
          </cell>
          <cell r="N37">
            <v>5375.610319999997</v>
          </cell>
          <cell r="O37">
            <v>-163.21939</v>
          </cell>
          <cell r="P37">
            <v>0</v>
          </cell>
          <cell r="Q37">
            <v>0</v>
          </cell>
          <cell r="R37">
            <v>0.35469000000000001</v>
          </cell>
          <cell r="S37">
            <v>-269.39055000000002</v>
          </cell>
          <cell r="T37">
            <v>-15.682830000000001</v>
          </cell>
          <cell r="U37">
            <v>0</v>
          </cell>
          <cell r="V37">
            <v>-1598.2227699999999</v>
          </cell>
          <cell r="W37">
            <v>-2.5</v>
          </cell>
          <cell r="X37">
            <v>-320</v>
          </cell>
          <cell r="Y37">
            <v>-22.424009999999999</v>
          </cell>
          <cell r="Z37">
            <v>137.89139</v>
          </cell>
          <cell r="AA37">
            <v>2.6191999999999998</v>
          </cell>
          <cell r="AB37">
            <v>0</v>
          </cell>
          <cell r="AC37">
            <v>-1754.8318999999999</v>
          </cell>
          <cell r="AD37">
            <v>22.623779999999996</v>
          </cell>
          <cell r="AE37">
            <v>-65.203270000000003</v>
          </cell>
          <cell r="AF37">
            <v>-314.86581000000001</v>
          </cell>
          <cell r="AG37">
            <v>0</v>
          </cell>
          <cell r="AH37">
            <v>1881.9250699999998</v>
          </cell>
          <cell r="AI37">
            <v>544.82676999999978</v>
          </cell>
          <cell r="AJ37">
            <v>230.24743999999998</v>
          </cell>
          <cell r="AK37">
            <v>-22.678429999999999</v>
          </cell>
          <cell r="AL37">
            <v>-1239.5426200000015</v>
          </cell>
          <cell r="AM37">
            <v>561.50204000000008</v>
          </cell>
          <cell r="AN37">
            <v>-274.10121000000078</v>
          </cell>
          <cell r="AO37">
            <v>-522.47847000000002</v>
          </cell>
          <cell r="AP37">
            <v>-62.442149999999998</v>
          </cell>
          <cell r="AQ37">
            <v>-803.39861000000008</v>
          </cell>
          <cell r="AR37">
            <v>-235.98410000000001</v>
          </cell>
          <cell r="AT37">
            <v>-741.18233000000316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5.5778400000000046</v>
          </cell>
          <cell r="BF37">
            <v>1.7140000000007993</v>
          </cell>
          <cell r="BG37">
            <v>39.420099999999998</v>
          </cell>
          <cell r="BH37">
            <v>-18.566659999999999</v>
          </cell>
          <cell r="BI37">
            <v>-2.43065</v>
          </cell>
          <cell r="BJ37">
            <v>0</v>
          </cell>
          <cell r="BK37">
            <v>355.16687999999203</v>
          </cell>
        </row>
        <row r="38">
          <cell r="C38">
            <v>8049.3241200000066</v>
          </cell>
          <cell r="N38">
            <v>5340.1845700000049</v>
          </cell>
          <cell r="O38">
            <v>-86.953140000000005</v>
          </cell>
          <cell r="P38">
            <v>0</v>
          </cell>
          <cell r="Q38">
            <v>0</v>
          </cell>
          <cell r="R38">
            <v>0</v>
          </cell>
          <cell r="S38">
            <v>-238.43051000000003</v>
          </cell>
          <cell r="T38">
            <v>-7.3249700000000004</v>
          </cell>
          <cell r="U38">
            <v>0</v>
          </cell>
          <cell r="V38">
            <v>-2096.7672299999999</v>
          </cell>
          <cell r="W38">
            <v>0</v>
          </cell>
          <cell r="X38">
            <v>0</v>
          </cell>
          <cell r="Y38">
            <v>-49.171410000000002</v>
          </cell>
          <cell r="Z38">
            <v>127.59916000000001</v>
          </cell>
          <cell r="AA38">
            <v>4.4460500000000005</v>
          </cell>
          <cell r="AB38">
            <v>0</v>
          </cell>
          <cell r="AC38">
            <v>-1288.31627</v>
          </cell>
          <cell r="AD38">
            <v>194.88556</v>
          </cell>
          <cell r="AE38">
            <v>-56.829070000000002</v>
          </cell>
          <cell r="AF38">
            <v>-253.64722999999995</v>
          </cell>
          <cell r="AG38">
            <v>0</v>
          </cell>
          <cell r="AH38">
            <v>228.33200999999983</v>
          </cell>
          <cell r="AI38">
            <v>-10.768669999999995</v>
          </cell>
          <cell r="AJ38">
            <v>133.09591</v>
          </cell>
          <cell r="AK38">
            <v>13.12208</v>
          </cell>
          <cell r="AL38">
            <v>-1229.2723300000007</v>
          </cell>
          <cell r="AM38">
            <v>565.96190000000001</v>
          </cell>
          <cell r="AN38">
            <v>-235.62870000000061</v>
          </cell>
          <cell r="AO38">
            <v>-432.91561999999999</v>
          </cell>
          <cell r="AP38">
            <v>-53.373989999999999</v>
          </cell>
          <cell r="AQ38">
            <v>-689.86728999999991</v>
          </cell>
          <cell r="AR38">
            <v>-205.15476999999998</v>
          </cell>
          <cell r="AT38">
            <v>-968.01970000000415</v>
          </cell>
          <cell r="AU38">
            <v>0</v>
          </cell>
          <cell r="AV38">
            <v>0</v>
          </cell>
          <cell r="AW38">
            <v>0</v>
          </cell>
          <cell r="AX38">
            <v>13.5</v>
          </cell>
          <cell r="AY38">
            <v>0</v>
          </cell>
          <cell r="AZ38">
            <v>0</v>
          </cell>
          <cell r="BA38">
            <v>0.28973000000000004</v>
          </cell>
          <cell r="BB38">
            <v>-0.82153999999999994</v>
          </cell>
          <cell r="BC38">
            <v>-2.2760000000000002E-2</v>
          </cell>
          <cell r="BD38">
            <v>0</v>
          </cell>
          <cell r="BE38">
            <v>3.7188099999999995</v>
          </cell>
          <cell r="BF38">
            <v>-106.26999999999896</v>
          </cell>
          <cell r="BG38">
            <v>-4.4674699999999987</v>
          </cell>
          <cell r="BH38">
            <v>2.2546899999999912</v>
          </cell>
          <cell r="BI38">
            <v>-0.86826999999999976</v>
          </cell>
          <cell r="BJ38">
            <v>0</v>
          </cell>
          <cell r="BK38">
            <v>-1387.50047</v>
          </cell>
        </row>
        <row r="39">
          <cell r="C39">
            <v>9495.7032843232919</v>
          </cell>
          <cell r="N39">
            <v>6992.5416828876114</v>
          </cell>
          <cell r="O39">
            <v>-864.30047099960348</v>
          </cell>
          <cell r="P39">
            <v>-53.892490249435525</v>
          </cell>
          <cell r="Q39">
            <v>-147.80624679039107</v>
          </cell>
          <cell r="R39">
            <v>0</v>
          </cell>
          <cell r="S39">
            <v>-329.32188976254002</v>
          </cell>
          <cell r="T39">
            <v>-30.303347847692635</v>
          </cell>
          <cell r="U39">
            <v>0</v>
          </cell>
          <cell r="V39">
            <v>-1353.0016434822392</v>
          </cell>
          <cell r="W39">
            <v>-110.49130590970847</v>
          </cell>
          <cell r="X39">
            <v>-303.03489695679849</v>
          </cell>
          <cell r="Y39">
            <v>-46.546167866074157</v>
          </cell>
          <cell r="Z39">
            <v>119.79235967230099</v>
          </cell>
          <cell r="AA39">
            <v>0</v>
          </cell>
          <cell r="AB39">
            <v>0</v>
          </cell>
          <cell r="AC39">
            <v>102.39975356855703</v>
          </cell>
          <cell r="AD39">
            <v>0</v>
          </cell>
          <cell r="AE39">
            <v>0</v>
          </cell>
          <cell r="AF39">
            <v>-116.55036707159226</v>
          </cell>
          <cell r="AG39">
            <v>0</v>
          </cell>
          <cell r="AH39">
            <v>14.150613503035245</v>
          </cell>
          <cell r="AI39">
            <v>46.546167866074157</v>
          </cell>
          <cell r="AJ39">
            <v>0</v>
          </cell>
          <cell r="AK39">
            <v>0</v>
          </cell>
          <cell r="AL39">
            <v>-1296.6977135161885</v>
          </cell>
          <cell r="AM39">
            <v>0</v>
          </cell>
          <cell r="AN39">
            <v>0</v>
          </cell>
          <cell r="AO39">
            <v>-522.79650713094247</v>
          </cell>
          <cell r="AP39">
            <v>-41.125870074366503</v>
          </cell>
          <cell r="AQ39">
            <v>-847.12089818598747</v>
          </cell>
          <cell r="AR39">
            <v>-297.50306841374749</v>
          </cell>
          <cell r="AT39">
            <v>-757.71194562394487</v>
          </cell>
          <cell r="AU39">
            <v>114.89894428750105</v>
          </cell>
          <cell r="AV39">
            <v>22.435419949654879</v>
          </cell>
          <cell r="AW39">
            <v>33.606910111542298</v>
          </cell>
          <cell r="AX39">
            <v>-114.89894428750108</v>
          </cell>
          <cell r="AY39">
            <v>45.997481975627529</v>
          </cell>
          <cell r="AZ39">
            <v>68.901462311873559</v>
          </cell>
          <cell r="BA39">
            <v>2.6028082215747559</v>
          </cell>
          <cell r="BB39">
            <v>-6.9592146510890167</v>
          </cell>
          <cell r="BC39">
            <v>0</v>
          </cell>
          <cell r="BD39">
            <v>0</v>
          </cell>
          <cell r="BE39">
            <v>-1000.886118748023</v>
          </cell>
          <cell r="BF39">
            <v>1000.886118748023</v>
          </cell>
          <cell r="BG39">
            <v>-2.6028082215747559</v>
          </cell>
          <cell r="BH39">
            <v>0</v>
          </cell>
          <cell r="BI39">
            <v>0</v>
          </cell>
          <cell r="BJ39">
            <v>0</v>
          </cell>
          <cell r="BK39">
            <v>321.20780731393512</v>
          </cell>
        </row>
        <row r="41">
          <cell r="C41">
            <v>9122.3288100000063</v>
          </cell>
          <cell r="N41">
            <v>4242.9061200000069</v>
          </cell>
          <cell r="O41">
            <v>-105.96044999999999</v>
          </cell>
          <cell r="P41">
            <v>0</v>
          </cell>
          <cell r="Q41">
            <v>0</v>
          </cell>
          <cell r="R41">
            <v>0</v>
          </cell>
          <cell r="S41">
            <v>-225.38175999999999</v>
          </cell>
          <cell r="T41">
            <v>-90.205979999999997</v>
          </cell>
          <cell r="U41">
            <v>0</v>
          </cell>
          <cell r="V41">
            <v>-1932.1759231864689</v>
          </cell>
          <cell r="W41">
            <v>0</v>
          </cell>
          <cell r="X41">
            <v>-393.13771681353103</v>
          </cell>
          <cell r="Y41">
            <v>-38.767420000000001</v>
          </cell>
          <cell r="Z41">
            <v>281.70468</v>
          </cell>
          <cell r="AA41">
            <v>4.4878599999999995</v>
          </cell>
          <cell r="AB41">
            <v>0</v>
          </cell>
          <cell r="AC41">
            <v>-2307.7399300000002</v>
          </cell>
          <cell r="AD41">
            <v>260.56709000000001</v>
          </cell>
          <cell r="AE41">
            <v>-176.928</v>
          </cell>
          <cell r="AF41">
            <v>-658.27375000000006</v>
          </cell>
          <cell r="AG41">
            <v>0</v>
          </cell>
          <cell r="AH41">
            <v>2379.01379</v>
          </cell>
          <cell r="AI41">
            <v>684.35024999999985</v>
          </cell>
          <cell r="AJ41">
            <v>208.73399000000012</v>
          </cell>
          <cell r="AK41">
            <v>-57.578089999999996</v>
          </cell>
          <cell r="AL41">
            <v>-1731.2293900000002</v>
          </cell>
          <cell r="AM41">
            <v>913.11873000000128</v>
          </cell>
          <cell r="AN41">
            <v>-67.74181999999999</v>
          </cell>
          <cell r="AO41">
            <v>-311.25747000000001</v>
          </cell>
          <cell r="AP41">
            <v>-35.473010000000002</v>
          </cell>
          <cell r="AQ41">
            <v>-388.87878000000001</v>
          </cell>
          <cell r="AR41">
            <v>-121.14483999999999</v>
          </cell>
          <cell r="AT41">
            <v>-438.95274999999981</v>
          </cell>
          <cell r="AU41">
            <v>158.95562000000001</v>
          </cell>
          <cell r="AV41">
            <v>0</v>
          </cell>
          <cell r="AW41">
            <v>0</v>
          </cell>
          <cell r="AX41">
            <v>68.140338630553856</v>
          </cell>
          <cell r="AY41">
            <v>0</v>
          </cell>
          <cell r="AZ41">
            <v>31.726491369446137</v>
          </cell>
          <cell r="BA41">
            <v>2.2477800000000001</v>
          </cell>
          <cell r="BB41">
            <v>-12.098560000000001</v>
          </cell>
          <cell r="BC41">
            <v>-0.2636</v>
          </cell>
          <cell r="BD41">
            <v>0</v>
          </cell>
          <cell r="BE41">
            <v>100.11020000000001</v>
          </cell>
          <cell r="BF41">
            <v>-95.660740000000573</v>
          </cell>
          <cell r="BG41">
            <v>8.0651100000000024</v>
          </cell>
          <cell r="BH41">
            <v>-10.939769999999974</v>
          </cell>
          <cell r="BI41">
            <v>1.1198399999999999</v>
          </cell>
          <cell r="BJ41">
            <v>0</v>
          </cell>
          <cell r="BK41">
            <v>145.45814000000729</v>
          </cell>
        </row>
        <row r="42">
          <cell r="C42">
            <v>9248.5115699999988</v>
          </cell>
          <cell r="N42">
            <v>4352.7476099999931</v>
          </cell>
          <cell r="O42">
            <v>-48.510539999999999</v>
          </cell>
          <cell r="P42">
            <v>0</v>
          </cell>
          <cell r="Q42">
            <v>0</v>
          </cell>
          <cell r="R42">
            <v>0</v>
          </cell>
          <cell r="S42">
            <v>-242.46804000000003</v>
          </cell>
          <cell r="T42">
            <v>-6.9314099999999996</v>
          </cell>
          <cell r="U42">
            <v>0</v>
          </cell>
          <cell r="V42">
            <v>-2051.5512800000006</v>
          </cell>
          <cell r="W42">
            <v>0</v>
          </cell>
          <cell r="X42">
            <v>-144.16200000000001</v>
          </cell>
          <cell r="Y42">
            <v>-70.15697999999999</v>
          </cell>
          <cell r="Z42">
            <v>238.56208000000001</v>
          </cell>
          <cell r="AA42">
            <v>7.8881499999999996</v>
          </cell>
          <cell r="AB42">
            <v>0</v>
          </cell>
          <cell r="AC42">
            <v>-4331.4821599999996</v>
          </cell>
          <cell r="AD42">
            <v>459.05512000000004</v>
          </cell>
          <cell r="AE42">
            <v>-189.46037000000001</v>
          </cell>
          <cell r="AF42">
            <v>-424.29933999999997</v>
          </cell>
          <cell r="AG42">
            <v>0</v>
          </cell>
          <cell r="AH42">
            <v>7521.1980699999995</v>
          </cell>
          <cell r="AI42">
            <v>887.8023199999999</v>
          </cell>
          <cell r="AJ42">
            <v>-1358.8175200000001</v>
          </cell>
          <cell r="AK42">
            <v>-69.724689999999981</v>
          </cell>
          <cell r="AL42">
            <v>-1766.1117400000019</v>
          </cell>
          <cell r="AM42">
            <v>918.17660000000035</v>
          </cell>
          <cell r="AN42">
            <v>-69.045830000000066</v>
          </cell>
          <cell r="AO42">
            <v>-291.90926999999999</v>
          </cell>
          <cell r="AP42">
            <v>-38.135840000000002</v>
          </cell>
          <cell r="AQ42">
            <v>-418.59539000000007</v>
          </cell>
          <cell r="AR42">
            <v>-133.82571999999999</v>
          </cell>
          <cell r="AT42">
            <v>-407.00630999999981</v>
          </cell>
          <cell r="AU42">
            <v>5.5733600000000001</v>
          </cell>
          <cell r="AV42">
            <v>0</v>
          </cell>
          <cell r="AW42">
            <v>0</v>
          </cell>
          <cell r="AX42">
            <v>154.41499999999999</v>
          </cell>
          <cell r="AY42">
            <v>0</v>
          </cell>
          <cell r="AZ42">
            <v>8.77</v>
          </cell>
          <cell r="BA42">
            <v>4.8698900000000007</v>
          </cell>
          <cell r="BB42">
            <v>-17.729890000000001</v>
          </cell>
          <cell r="BC42">
            <v>-0.53185000000000004</v>
          </cell>
          <cell r="BD42">
            <v>0</v>
          </cell>
          <cell r="BE42">
            <v>1048.70579</v>
          </cell>
          <cell r="BF42">
            <v>-826.15739999999892</v>
          </cell>
          <cell r="BG42">
            <v>-173.43791999999999</v>
          </cell>
          <cell r="BH42">
            <v>125.72701999999998</v>
          </cell>
          <cell r="BI42">
            <v>7.5805999999999987</v>
          </cell>
          <cell r="BJ42">
            <v>0</v>
          </cell>
          <cell r="BK42">
            <v>2661.0201199999919</v>
          </cell>
        </row>
        <row r="43">
          <cell r="C43">
            <v>9536.2593335711354</v>
          </cell>
          <cell r="N43">
            <v>4189.5342916585778</v>
          </cell>
          <cell r="O43">
            <v>-548.8780895454081</v>
          </cell>
          <cell r="P43">
            <v>0</v>
          </cell>
          <cell r="Q43">
            <v>-72.321746428839404</v>
          </cell>
          <cell r="R43">
            <v>0</v>
          </cell>
          <cell r="S43">
            <v>-348.86121524157147</v>
          </cell>
          <cell r="T43">
            <v>-24.602713698773087</v>
          </cell>
          <cell r="U43">
            <v>0</v>
          </cell>
          <cell r="V43">
            <v>-1086.6227129053741</v>
          </cell>
          <cell r="W43">
            <v>0</v>
          </cell>
          <cell r="X43">
            <v>-324.44398722386688</v>
          </cell>
          <cell r="Y43">
            <v>-38.463051435568254</v>
          </cell>
          <cell r="Z43">
            <v>186.36259298093989</v>
          </cell>
          <cell r="AA43">
            <v>0</v>
          </cell>
          <cell r="AB43">
            <v>0</v>
          </cell>
          <cell r="AC43">
            <v>-911.67319760326404</v>
          </cell>
          <cell r="AD43">
            <v>0</v>
          </cell>
          <cell r="AE43">
            <v>0</v>
          </cell>
          <cell r="AF43">
            <v>-628.14493919907</v>
          </cell>
          <cell r="AG43">
            <v>0</v>
          </cell>
          <cell r="AH43">
            <v>1539.8181368023343</v>
          </cell>
          <cell r="AI43">
            <v>38.463051435568254</v>
          </cell>
          <cell r="AJ43">
            <v>0</v>
          </cell>
          <cell r="AK43">
            <v>0</v>
          </cell>
          <cell r="AL43">
            <v>-927.78125077428376</v>
          </cell>
          <cell r="AM43">
            <v>0</v>
          </cell>
          <cell r="AN43">
            <v>0</v>
          </cell>
          <cell r="AO43">
            <v>-298.86724939317003</v>
          </cell>
          <cell r="AP43">
            <v>-23.397597940398125</v>
          </cell>
          <cell r="AQ43">
            <v>-383.13229470466251</v>
          </cell>
          <cell r="AR43">
            <v>-159.42843181290326</v>
          </cell>
          <cell r="AT43">
            <v>-407.15728386208565</v>
          </cell>
          <cell r="AU43">
            <v>-37.755785020572425</v>
          </cell>
          <cell r="AV43">
            <v>0</v>
          </cell>
          <cell r="AW43">
            <v>10.920667484236114</v>
          </cell>
          <cell r="AX43">
            <v>71.442659378511024</v>
          </cell>
          <cell r="AY43">
            <v>0</v>
          </cell>
          <cell r="AZ43">
            <v>48.991417888640989</v>
          </cell>
          <cell r="BA43">
            <v>1.7255739775023553</v>
          </cell>
          <cell r="BB43">
            <v>-8.6860300675346522</v>
          </cell>
          <cell r="BC43">
            <v>0</v>
          </cell>
          <cell r="BD43">
            <v>0</v>
          </cell>
          <cell r="BE43">
            <v>97.242256166544252</v>
          </cell>
          <cell r="BF43">
            <v>-141.36725616654425</v>
          </cell>
          <cell r="BG43">
            <v>-1.7255739775023553</v>
          </cell>
          <cell r="BH43">
            <v>0</v>
          </cell>
          <cell r="BI43">
            <v>0</v>
          </cell>
          <cell r="BJ43">
            <v>0</v>
          </cell>
          <cell r="BK43">
            <v>-188.80975922853716</v>
          </cell>
        </row>
        <row r="45">
          <cell r="C45">
            <v>5928.1893200000004</v>
          </cell>
          <cell r="N45">
            <v>2176.0641500000006</v>
          </cell>
          <cell r="O45">
            <v>-2.9350399999999999</v>
          </cell>
          <cell r="P45">
            <v>0</v>
          </cell>
          <cell r="Q45">
            <v>0</v>
          </cell>
          <cell r="R45">
            <v>0</v>
          </cell>
          <cell r="S45">
            <v>-105.48111</v>
          </cell>
          <cell r="T45">
            <v>-1.03139</v>
          </cell>
          <cell r="U45">
            <v>0</v>
          </cell>
          <cell r="V45">
            <v>-988.59458745286724</v>
          </cell>
          <cell r="W45">
            <v>0</v>
          </cell>
          <cell r="X45">
            <v>-189.51187254713278</v>
          </cell>
          <cell r="Y45">
            <v>0</v>
          </cell>
          <cell r="Z45">
            <v>142.72402</v>
          </cell>
          <cell r="AA45">
            <v>0</v>
          </cell>
          <cell r="AB45">
            <v>0</v>
          </cell>
          <cell r="AC45">
            <v>-453.27535999999998</v>
          </cell>
          <cell r="AD45">
            <v>75.175150000000002</v>
          </cell>
          <cell r="AE45">
            <v>-83.466829999999987</v>
          </cell>
          <cell r="AF45">
            <v>-233.48065</v>
          </cell>
          <cell r="AG45">
            <v>0</v>
          </cell>
          <cell r="AH45">
            <v>-678.34857</v>
          </cell>
          <cell r="AI45">
            <v>368.84048999999999</v>
          </cell>
          <cell r="AJ45">
            <v>252.05416999999994</v>
          </cell>
          <cell r="AK45">
            <v>-14.020849999999999</v>
          </cell>
          <cell r="AL45">
            <v>-1191.1585600000014</v>
          </cell>
          <cell r="AM45">
            <v>376.17408</v>
          </cell>
          <cell r="AN45">
            <v>357.46307000000013</v>
          </cell>
          <cell r="AO45">
            <v>-123.45555999999999</v>
          </cell>
          <cell r="AP45">
            <v>-14.9671</v>
          </cell>
          <cell r="AQ45">
            <v>-170.31868</v>
          </cell>
          <cell r="AR45">
            <v>-58.150040000000004</v>
          </cell>
          <cell r="AT45">
            <v>-329.97435000000019</v>
          </cell>
          <cell r="AU45">
            <v>0</v>
          </cell>
          <cell r="AV45">
            <v>0</v>
          </cell>
          <cell r="AW45">
            <v>0</v>
          </cell>
          <cell r="AX45">
            <v>-6.2985754338820783</v>
          </cell>
          <cell r="AY45">
            <v>0</v>
          </cell>
          <cell r="AZ45">
            <v>39.71257543388208</v>
          </cell>
          <cell r="BA45">
            <v>0</v>
          </cell>
          <cell r="BB45">
            <v>-4.0480100000000006</v>
          </cell>
          <cell r="BC45">
            <v>0</v>
          </cell>
          <cell r="BD45">
            <v>0</v>
          </cell>
          <cell r="BE45">
            <v>107.17620999999997</v>
          </cell>
          <cell r="BF45">
            <v>-107.06999999999991</v>
          </cell>
          <cell r="BG45">
            <v>-16.979140000000001</v>
          </cell>
          <cell r="BH45">
            <v>-0.32284999999999986</v>
          </cell>
          <cell r="BI45">
            <v>0.94584000000000013</v>
          </cell>
          <cell r="BJ45">
            <v>0</v>
          </cell>
          <cell r="BK45">
            <v>-876.55937000000108</v>
          </cell>
        </row>
        <row r="46">
          <cell r="C46">
            <v>4915.9755299999997</v>
          </cell>
          <cell r="N46">
            <v>2307.0754900000002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-168.35636</v>
          </cell>
          <cell r="T46">
            <v>0</v>
          </cell>
          <cell r="U46">
            <v>0</v>
          </cell>
          <cell r="V46">
            <v>-1113.8681299999998</v>
          </cell>
          <cell r="W46">
            <v>0</v>
          </cell>
          <cell r="X46">
            <v>0</v>
          </cell>
          <cell r="Y46">
            <v>-13.28167</v>
          </cell>
          <cell r="Z46">
            <v>121.02067</v>
          </cell>
          <cell r="AA46">
            <v>1.5055699999999999</v>
          </cell>
          <cell r="AB46">
            <v>0</v>
          </cell>
          <cell r="AC46">
            <v>-392.59631999999999</v>
          </cell>
          <cell r="AD46">
            <v>236.58744000000002</v>
          </cell>
          <cell r="AE46">
            <v>-151.45818</v>
          </cell>
          <cell r="AF46">
            <v>-245.65821000000003</v>
          </cell>
          <cell r="AG46">
            <v>0</v>
          </cell>
          <cell r="AH46">
            <v>-209.78483</v>
          </cell>
          <cell r="AI46">
            <v>338.14511999999996</v>
          </cell>
          <cell r="AJ46">
            <v>-192.77243999999999</v>
          </cell>
          <cell r="AK46">
            <v>-29.599779999999999</v>
          </cell>
          <cell r="AL46">
            <v>-971.04617000000007</v>
          </cell>
          <cell r="AM46">
            <v>341.72589999999991</v>
          </cell>
          <cell r="AN46">
            <v>143.66798999999975</v>
          </cell>
          <cell r="AO46">
            <v>-258.28258</v>
          </cell>
          <cell r="AP46">
            <v>-17.03566</v>
          </cell>
          <cell r="AQ46">
            <v>-340.02322000000004</v>
          </cell>
          <cell r="AR46">
            <v>-58.264080000000007</v>
          </cell>
          <cell r="AT46">
            <v>-244.43753000000001</v>
          </cell>
          <cell r="AU46">
            <v>0</v>
          </cell>
          <cell r="AV46">
            <v>0</v>
          </cell>
          <cell r="AW46">
            <v>0</v>
          </cell>
          <cell r="AX46">
            <v>11.638999999999999</v>
          </cell>
          <cell r="AY46">
            <v>0</v>
          </cell>
          <cell r="AZ46">
            <v>0</v>
          </cell>
          <cell r="BA46">
            <v>0.34734000000000004</v>
          </cell>
          <cell r="BB46">
            <v>-1.26457</v>
          </cell>
          <cell r="BC46">
            <v>-3.7929999999999998E-2</v>
          </cell>
          <cell r="BD46">
            <v>0</v>
          </cell>
          <cell r="BE46">
            <v>93.130630000000011</v>
          </cell>
          <cell r="BF46">
            <v>-142.40168</v>
          </cell>
          <cell r="BG46">
            <v>-6.8737400000000006</v>
          </cell>
          <cell r="BH46">
            <v>17.34075</v>
          </cell>
          <cell r="BI46">
            <v>0.74377999999999989</v>
          </cell>
          <cell r="BJ46">
            <v>0</v>
          </cell>
          <cell r="BK46">
            <v>-944.11340000000007</v>
          </cell>
        </row>
        <row r="47">
          <cell r="C47">
            <v>4899.8894861386098</v>
          </cell>
          <cell r="N47">
            <v>2182.8917926409849</v>
          </cell>
          <cell r="O47">
            <v>-292.37902474934123</v>
          </cell>
          <cell r="P47">
            <v>0</v>
          </cell>
          <cell r="Q47">
            <v>-39.107546226542397</v>
          </cell>
          <cell r="R47">
            <v>0</v>
          </cell>
          <cell r="S47">
            <v>-166.95312532672699</v>
          </cell>
          <cell r="T47">
            <v>-10.544020156617039</v>
          </cell>
          <cell r="U47">
            <v>0</v>
          </cell>
          <cell r="V47">
            <v>-524.09037060668925</v>
          </cell>
          <cell r="W47">
            <v>0</v>
          </cell>
          <cell r="X47">
            <v>-175.44112047633695</v>
          </cell>
          <cell r="Y47">
            <v>-19.513238075241944</v>
          </cell>
          <cell r="Z47">
            <v>94.546259590694092</v>
          </cell>
          <cell r="AA47">
            <v>0</v>
          </cell>
          <cell r="AB47">
            <v>0</v>
          </cell>
          <cell r="AC47">
            <v>-802.29833174485702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802.29833174485702</v>
          </cell>
          <cell r="AI47">
            <v>19.513238075241944</v>
          </cell>
          <cell r="AJ47">
            <v>0</v>
          </cell>
          <cell r="AK47">
            <v>0</v>
          </cell>
          <cell r="AL47">
            <v>-273.77952791247424</v>
          </cell>
          <cell r="AM47">
            <v>0</v>
          </cell>
          <cell r="AN47">
            <v>0</v>
          </cell>
          <cell r="AO47">
            <v>-137.7102283725475</v>
          </cell>
          <cell r="AP47">
            <v>-10.522052298056325</v>
          </cell>
          <cell r="AQ47">
            <v>-197.97656941944399</v>
          </cell>
          <cell r="AR47">
            <v>-77.262339283078248</v>
          </cell>
          <cell r="AT47">
            <v>-292.41453569924954</v>
          </cell>
          <cell r="AU47">
            <v>0</v>
          </cell>
          <cell r="AV47">
            <v>0</v>
          </cell>
          <cell r="AW47">
            <v>0</v>
          </cell>
          <cell r="AX47">
            <v>82.746922444246692</v>
          </cell>
          <cell r="AY47">
            <v>0</v>
          </cell>
          <cell r="AZ47">
            <v>0</v>
          </cell>
          <cell r="BA47">
            <v>1.5074474555356994</v>
          </cell>
          <cell r="BB47">
            <v>-7.588045543677814</v>
          </cell>
          <cell r="BC47">
            <v>0</v>
          </cell>
          <cell r="BD47">
            <v>0</v>
          </cell>
          <cell r="BE47">
            <v>50.666567715288281</v>
          </cell>
          <cell r="BF47">
            <v>-50.666567715288281</v>
          </cell>
          <cell r="BG47">
            <v>-1.5074474555356994</v>
          </cell>
          <cell r="BH47">
            <v>0</v>
          </cell>
          <cell r="BI47">
            <v>0</v>
          </cell>
          <cell r="BJ47">
            <v>0</v>
          </cell>
          <cell r="BK47">
            <v>154.41646860514442</v>
          </cell>
        </row>
        <row r="49">
          <cell r="C49">
            <v>2598.5078899999999</v>
          </cell>
          <cell r="N49">
            <v>2100.62842</v>
          </cell>
          <cell r="O49">
            <v>-22.59731</v>
          </cell>
          <cell r="P49">
            <v>0</v>
          </cell>
          <cell r="Q49">
            <v>0</v>
          </cell>
          <cell r="R49">
            <v>0</v>
          </cell>
          <cell r="S49">
            <v>-54.982600000000005</v>
          </cell>
          <cell r="T49">
            <v>-2.3420900000000002</v>
          </cell>
          <cell r="U49">
            <v>0</v>
          </cell>
          <cell r="V49">
            <v>-692.20776999999998</v>
          </cell>
          <cell r="W49">
            <v>0</v>
          </cell>
          <cell r="X49">
            <v>0</v>
          </cell>
          <cell r="Y49">
            <v>-2.9944099999999998</v>
          </cell>
          <cell r="Z49">
            <v>23.391010000000001</v>
          </cell>
          <cell r="AA49">
            <v>8.541E-2</v>
          </cell>
          <cell r="AB49">
            <v>0</v>
          </cell>
          <cell r="AC49">
            <v>-850.10842000000002</v>
          </cell>
          <cell r="AD49">
            <v>68.412360000000007</v>
          </cell>
          <cell r="AE49">
            <v>-16.109299999999998</v>
          </cell>
          <cell r="AF49">
            <v>-95.890109999999993</v>
          </cell>
          <cell r="AG49">
            <v>0</v>
          </cell>
          <cell r="AH49">
            <v>1252.1839299999992</v>
          </cell>
          <cell r="AI49">
            <v>46.940120000000007</v>
          </cell>
          <cell r="AJ49">
            <v>-14.351540000000004</v>
          </cell>
          <cell r="AK49">
            <v>-1.03077</v>
          </cell>
          <cell r="AL49">
            <v>-366.89983999999998</v>
          </cell>
          <cell r="AM49">
            <v>119.12631</v>
          </cell>
          <cell r="AN49">
            <v>-26.663830000000004</v>
          </cell>
          <cell r="AO49">
            <v>-122.81751000000003</v>
          </cell>
          <cell r="AP49">
            <v>-13.14404</v>
          </cell>
          <cell r="AQ49">
            <v>-161.75196</v>
          </cell>
          <cell r="AR49">
            <v>-57.851470000000006</v>
          </cell>
          <cell r="AT49">
            <v>-554.60140000000001</v>
          </cell>
          <cell r="AU49">
            <v>0</v>
          </cell>
          <cell r="AV49">
            <v>0</v>
          </cell>
          <cell r="AW49">
            <v>0</v>
          </cell>
          <cell r="AX49">
            <v>26.768999999999998</v>
          </cell>
          <cell r="AY49">
            <v>0</v>
          </cell>
          <cell r="AZ49">
            <v>0</v>
          </cell>
          <cell r="BA49">
            <v>9.7310000000000008E-2</v>
          </cell>
          <cell r="BB49">
            <v>-0.90457999999999972</v>
          </cell>
          <cell r="BC49">
            <v>-2.6900000000000001E-3</v>
          </cell>
          <cell r="BD49">
            <v>0</v>
          </cell>
          <cell r="BE49">
            <v>107.00375</v>
          </cell>
          <cell r="BF49">
            <v>-99.991999999999862</v>
          </cell>
          <cell r="BG49">
            <v>-7.5752500000000005</v>
          </cell>
          <cell r="BH49">
            <v>-0.78225999999999996</v>
          </cell>
          <cell r="BI49">
            <v>0.21125999999999998</v>
          </cell>
          <cell r="BJ49">
            <v>0</v>
          </cell>
          <cell r="BK49">
            <v>579.24772999999891</v>
          </cell>
        </row>
        <row r="50">
          <cell r="C50">
            <v>2964.7075399999999</v>
          </cell>
          <cell r="N50">
            <v>2387.0117999999998</v>
          </cell>
          <cell r="O50">
            <v>-6.1440000000000055</v>
          </cell>
          <cell r="P50">
            <v>0</v>
          </cell>
          <cell r="Q50">
            <v>0</v>
          </cell>
          <cell r="R50">
            <v>0</v>
          </cell>
          <cell r="S50">
            <v>-65.083299999999994</v>
          </cell>
          <cell r="T50">
            <v>-2.5090699999999941</v>
          </cell>
          <cell r="U50">
            <v>0</v>
          </cell>
          <cell r="V50">
            <v>-775.01487999999995</v>
          </cell>
          <cell r="W50">
            <v>0</v>
          </cell>
          <cell r="X50">
            <v>0</v>
          </cell>
          <cell r="Y50">
            <v>-9.3924099999999999</v>
          </cell>
          <cell r="Z50">
            <v>24.927399999999999</v>
          </cell>
          <cell r="AA50">
            <v>0.27257999999999999</v>
          </cell>
          <cell r="AB50">
            <v>0</v>
          </cell>
          <cell r="AC50">
            <v>-632.04925000000014</v>
          </cell>
          <cell r="AD50">
            <v>73.033539999999988</v>
          </cell>
          <cell r="AE50">
            <v>-18.663220000000003</v>
          </cell>
          <cell r="AF50">
            <v>-75.051670000000001</v>
          </cell>
          <cell r="AG50">
            <v>0</v>
          </cell>
          <cell r="AH50">
            <v>173.19624999999996</v>
          </cell>
          <cell r="AI50">
            <v>10.234309999999999</v>
          </cell>
          <cell r="AJ50">
            <v>-4.033240000000001</v>
          </cell>
          <cell r="AK50">
            <v>-7.4149999999999952E-2</v>
          </cell>
          <cell r="AL50">
            <v>-424.96668999999997</v>
          </cell>
          <cell r="AM50">
            <v>113.27531999999997</v>
          </cell>
          <cell r="AN50">
            <v>-28.786040000000014</v>
          </cell>
          <cell r="AO50">
            <v>-148.99414999999999</v>
          </cell>
          <cell r="AP50">
            <v>-13.017980000000001</v>
          </cell>
          <cell r="AQ50">
            <v>-181.39854</v>
          </cell>
          <cell r="AR50">
            <v>-67.080740000000006</v>
          </cell>
          <cell r="AT50">
            <v>-808.58667999999989</v>
          </cell>
          <cell r="AU50">
            <v>0</v>
          </cell>
          <cell r="AV50">
            <v>0</v>
          </cell>
          <cell r="AW50">
            <v>0</v>
          </cell>
          <cell r="AX50">
            <v>28</v>
          </cell>
          <cell r="AY50">
            <v>0</v>
          </cell>
          <cell r="AZ50">
            <v>0</v>
          </cell>
          <cell r="BA50">
            <v>0.41990000000000005</v>
          </cell>
          <cell r="BB50">
            <v>-0.90058000000000005</v>
          </cell>
          <cell r="BC50">
            <v>-1.107E-2</v>
          </cell>
          <cell r="BD50">
            <v>0</v>
          </cell>
          <cell r="BE50">
            <v>82.335550000000012</v>
          </cell>
          <cell r="BF50">
            <v>-57.152000000000001</v>
          </cell>
          <cell r="BG50">
            <v>-1.1190100000000001</v>
          </cell>
          <cell r="BH50">
            <v>-3.1566100000000001</v>
          </cell>
          <cell r="BI50">
            <v>-3.2239999999999991E-2</v>
          </cell>
          <cell r="BJ50">
            <v>0</v>
          </cell>
          <cell r="BK50">
            <v>-430.51087000000041</v>
          </cell>
        </row>
        <row r="51">
          <cell r="C51">
            <v>2387.2297670028233</v>
          </cell>
          <cell r="N51">
            <v>2098.3124239665394</v>
          </cell>
          <cell r="O51">
            <v>-70.589609747978116</v>
          </cell>
          <cell r="P51">
            <v>0</v>
          </cell>
          <cell r="Q51">
            <v>0</v>
          </cell>
          <cell r="R51">
            <v>0</v>
          </cell>
          <cell r="S51">
            <v>-71.780437876450549</v>
          </cell>
          <cell r="T51">
            <v>-53.523947379385703</v>
          </cell>
          <cell r="U51">
            <v>0</v>
          </cell>
          <cell r="V51">
            <v>-543.38267921940565</v>
          </cell>
          <cell r="W51">
            <v>0</v>
          </cell>
          <cell r="X51">
            <v>0</v>
          </cell>
          <cell r="Y51">
            <v>-10.141883757474247</v>
          </cell>
          <cell r="Z51">
            <v>6.9257919139923754</v>
          </cell>
          <cell r="AA51">
            <v>0</v>
          </cell>
          <cell r="AB51">
            <v>0</v>
          </cell>
          <cell r="AC51">
            <v>-623.60153757039268</v>
          </cell>
          <cell r="AD51">
            <v>0</v>
          </cell>
          <cell r="AE51">
            <v>0</v>
          </cell>
          <cell r="AF51">
            <v>-107.04789475877141</v>
          </cell>
          <cell r="AG51">
            <v>0</v>
          </cell>
          <cell r="AH51">
            <v>730.64943232916414</v>
          </cell>
          <cell r="AI51">
            <v>10.141883757474247</v>
          </cell>
          <cell r="AJ51">
            <v>0</v>
          </cell>
          <cell r="AK51">
            <v>0</v>
          </cell>
          <cell r="AL51">
            <v>-298.5115318491392</v>
          </cell>
          <cell r="AM51">
            <v>0</v>
          </cell>
          <cell r="AN51">
            <v>0</v>
          </cell>
          <cell r="AO51">
            <v>-122.48016823824952</v>
          </cell>
          <cell r="AP51">
            <v>-8.0738326402866747</v>
          </cell>
          <cell r="AQ51">
            <v>-159.3644179883245</v>
          </cell>
          <cell r="AR51">
            <v>-80.646954914295492</v>
          </cell>
          <cell r="AT51">
            <v>-523.31868495267054</v>
          </cell>
          <cell r="AU51">
            <v>6.0722971684327849</v>
          </cell>
          <cell r="AV51">
            <v>0</v>
          </cell>
          <cell r="AW51">
            <v>0</v>
          </cell>
          <cell r="AX51">
            <v>118.08029852971413</v>
          </cell>
          <cell r="AY51">
            <v>0</v>
          </cell>
          <cell r="AZ51">
            <v>0</v>
          </cell>
          <cell r="BA51">
            <v>1.7725679089070061</v>
          </cell>
          <cell r="BB51">
            <v>-1.2575534074116295</v>
          </cell>
          <cell r="BC51">
            <v>0</v>
          </cell>
          <cell r="BD51">
            <v>0</v>
          </cell>
          <cell r="BE51">
            <v>230.50322097825881</v>
          </cell>
          <cell r="BF51">
            <v>-230.50322097825881</v>
          </cell>
          <cell r="BG51">
            <v>-1.7725679089070061</v>
          </cell>
          <cell r="BH51">
            <v>0</v>
          </cell>
          <cell r="BI51">
            <v>0</v>
          </cell>
          <cell r="BJ51">
            <v>0</v>
          </cell>
          <cell r="BK51">
            <v>296.46099336508144</v>
          </cell>
        </row>
        <row r="53">
          <cell r="C53">
            <v>4752.2073000000073</v>
          </cell>
          <cell r="N53">
            <v>3112.1795000000075</v>
          </cell>
          <cell r="O53">
            <v>-22.556699999999999</v>
          </cell>
          <cell r="P53">
            <v>0</v>
          </cell>
          <cell r="Q53">
            <v>0</v>
          </cell>
          <cell r="R53">
            <v>0</v>
          </cell>
          <cell r="S53">
            <v>-13.19054</v>
          </cell>
          <cell r="T53">
            <v>0</v>
          </cell>
          <cell r="U53">
            <v>0</v>
          </cell>
          <cell r="V53">
            <v>-504.3528</v>
          </cell>
          <cell r="W53">
            <v>0</v>
          </cell>
          <cell r="X53">
            <v>0</v>
          </cell>
          <cell r="Y53">
            <v>-7.9900900000000004</v>
          </cell>
          <cell r="Z53">
            <v>28.171300000000002</v>
          </cell>
          <cell r="AA53">
            <v>0.38077999999999995</v>
          </cell>
          <cell r="AB53">
            <v>0</v>
          </cell>
          <cell r="AC53">
            <v>-231.32319999999999</v>
          </cell>
          <cell r="AD53">
            <v>23.927160000000001</v>
          </cell>
          <cell r="AE53">
            <v>-4.15055</v>
          </cell>
          <cell r="AF53">
            <v>-10.070170000000001</v>
          </cell>
          <cell r="AG53">
            <v>0</v>
          </cell>
          <cell r="AH53">
            <v>99.711700000000349</v>
          </cell>
          <cell r="AI53">
            <v>1679.0821999999998</v>
          </cell>
          <cell r="AJ53">
            <v>57.061270000000007</v>
          </cell>
          <cell r="AK53">
            <v>-130.76516999999998</v>
          </cell>
          <cell r="AL53">
            <v>-597.90690999999936</v>
          </cell>
          <cell r="AM53">
            <v>0.95327999999999946</v>
          </cell>
          <cell r="AN53">
            <v>221.78507999999999</v>
          </cell>
          <cell r="AO53">
            <v>-54.947800000000008</v>
          </cell>
          <cell r="AP53">
            <v>-15.498530000000002</v>
          </cell>
          <cell r="AQ53">
            <v>-88.545370000000005</v>
          </cell>
          <cell r="AR53">
            <v>-61.234679999999997</v>
          </cell>
          <cell r="AT53">
            <v>-150.71274000000003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6.0344699999999998</v>
          </cell>
          <cell r="BF53">
            <v>-7.9790000000000001</v>
          </cell>
          <cell r="BG53">
            <v>-2.7515400000000003</v>
          </cell>
          <cell r="BH53">
            <v>0.18528999999999998</v>
          </cell>
          <cell r="BI53">
            <v>0.14702999999999999</v>
          </cell>
          <cell r="BJ53">
            <v>0</v>
          </cell>
          <cell r="BK53">
            <v>3325.6432700000096</v>
          </cell>
        </row>
        <row r="54">
          <cell r="C54">
            <v>2508.1306899999986</v>
          </cell>
          <cell r="N54">
            <v>1347.1783799999994</v>
          </cell>
          <cell r="O54">
            <v>-25.851449999999996</v>
          </cell>
          <cell r="P54">
            <v>0</v>
          </cell>
          <cell r="Q54">
            <v>0</v>
          </cell>
          <cell r="R54">
            <v>0</v>
          </cell>
          <cell r="S54">
            <v>-3.18628</v>
          </cell>
          <cell r="T54">
            <v>0</v>
          </cell>
          <cell r="U54">
            <v>0</v>
          </cell>
          <cell r="V54">
            <v>-349.81819000000002</v>
          </cell>
          <cell r="W54">
            <v>0</v>
          </cell>
          <cell r="X54">
            <v>0</v>
          </cell>
          <cell r="Y54">
            <v>-98.143169999999998</v>
          </cell>
          <cell r="Z54">
            <v>18.733640000000001</v>
          </cell>
          <cell r="AA54">
            <v>10.47217</v>
          </cell>
          <cell r="AB54">
            <v>0</v>
          </cell>
          <cell r="AC54">
            <v>-247.58957000000004</v>
          </cell>
          <cell r="AD54">
            <v>38.757170000000002</v>
          </cell>
          <cell r="AE54">
            <v>-1.25108</v>
          </cell>
          <cell r="AF54">
            <v>-1.1599999999999999E-2</v>
          </cell>
          <cell r="AG54">
            <v>0</v>
          </cell>
          <cell r="AH54">
            <v>333.70417999999847</v>
          </cell>
          <cell r="AI54">
            <v>573.00019999999995</v>
          </cell>
          <cell r="AJ54">
            <v>-13.733260000000001</v>
          </cell>
          <cell r="AK54">
            <v>-62.371949999999991</v>
          </cell>
          <cell r="AL54">
            <v>-302.0775000000001</v>
          </cell>
          <cell r="AM54">
            <v>1.4425099999999997</v>
          </cell>
          <cell r="AN54">
            <v>166.51171999999997</v>
          </cell>
          <cell r="AO54">
            <v>-24.066320000000001</v>
          </cell>
          <cell r="AP54">
            <v>-6.2284099999999993</v>
          </cell>
          <cell r="AQ54">
            <v>-49.775449999999999</v>
          </cell>
          <cell r="AR54">
            <v>-30.848589999999998</v>
          </cell>
          <cell r="AT54">
            <v>-102.46396000000003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1.2879400000000001</v>
          </cell>
          <cell r="BF54">
            <v>8.2513099999999984</v>
          </cell>
          <cell r="BG54">
            <v>0.45732000000000006</v>
          </cell>
          <cell r="BH54">
            <v>-0.50600999999999996</v>
          </cell>
          <cell r="BI54">
            <v>-3.4449999999999995E-2</v>
          </cell>
          <cell r="BJ54">
            <v>0</v>
          </cell>
          <cell r="BK54">
            <v>1181.839299999998</v>
          </cell>
        </row>
        <row r="55">
          <cell r="C55">
            <v>3822.0304784264104</v>
          </cell>
          <cell r="N55">
            <v>2783.363593018868</v>
          </cell>
          <cell r="O55">
            <v>-207.03857685333503</v>
          </cell>
          <cell r="P55">
            <v>0</v>
          </cell>
          <cell r="Q55">
            <v>0</v>
          </cell>
          <cell r="R55">
            <v>0</v>
          </cell>
          <cell r="S55">
            <v>-17.8621283269438</v>
          </cell>
          <cell r="T55">
            <v>0</v>
          </cell>
          <cell r="U55">
            <v>0</v>
          </cell>
          <cell r="V55">
            <v>-230.64064520636884</v>
          </cell>
          <cell r="W55">
            <v>0</v>
          </cell>
          <cell r="X55">
            <v>0</v>
          </cell>
          <cell r="Y55">
            <v>-8.0240580666505359</v>
          </cell>
          <cell r="Z55">
            <v>14.002142426204696</v>
          </cell>
          <cell r="AA55">
            <v>0</v>
          </cell>
          <cell r="AB55">
            <v>0</v>
          </cell>
          <cell r="AC55">
            <v>-359.14139116104661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359.14139116104661</v>
          </cell>
          <cell r="AI55">
            <v>8.0240580666505359</v>
          </cell>
          <cell r="AJ55">
            <v>0</v>
          </cell>
          <cell r="AK55">
            <v>0</v>
          </cell>
          <cell r="AL55">
            <v>-335.48660348850672</v>
          </cell>
          <cell r="AM55">
            <v>0</v>
          </cell>
          <cell r="AN55">
            <v>0</v>
          </cell>
          <cell r="AO55">
            <v>-55.144697255194259</v>
          </cell>
          <cell r="AP55">
            <v>-7.8861803876647247</v>
          </cell>
          <cell r="AQ55">
            <v>-91.189575225010003</v>
          </cell>
          <cell r="AR55">
            <v>-81.706033857099001</v>
          </cell>
          <cell r="AT55">
            <v>-131.23229868123849</v>
          </cell>
          <cell r="AU55">
            <v>2.8349549733767487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5.0027900562436223E-2</v>
          </cell>
          <cell r="BB55">
            <v>-9.0691999909404783E-2</v>
          </cell>
          <cell r="BC55">
            <v>0</v>
          </cell>
          <cell r="BD55">
            <v>0</v>
          </cell>
          <cell r="BE55">
            <v>20.736762290992729</v>
          </cell>
          <cell r="BF55">
            <v>-20.736762290992729</v>
          </cell>
          <cell r="BG55">
            <v>-5.0027900562436223E-2</v>
          </cell>
          <cell r="BH55">
            <v>0</v>
          </cell>
          <cell r="BI55">
            <v>0</v>
          </cell>
          <cell r="BJ55">
            <v>0</v>
          </cell>
          <cell r="BK55">
            <v>1641.9232591371783</v>
          </cell>
        </row>
        <row r="57">
          <cell r="C57">
            <v>245.53109000000012</v>
          </cell>
          <cell r="N57">
            <v>189.20588000000009</v>
          </cell>
          <cell r="O57">
            <v>-0.23596</v>
          </cell>
          <cell r="P57">
            <v>0</v>
          </cell>
          <cell r="Q57">
            <v>0</v>
          </cell>
          <cell r="R57">
            <v>0</v>
          </cell>
          <cell r="S57">
            <v>-87.70568999999999</v>
          </cell>
          <cell r="T57">
            <v>0</v>
          </cell>
          <cell r="U57">
            <v>0</v>
          </cell>
          <cell r="V57">
            <v>-143.7269</v>
          </cell>
          <cell r="W57">
            <v>0</v>
          </cell>
          <cell r="X57">
            <v>0</v>
          </cell>
          <cell r="Y57">
            <v>-0.67337999999999998</v>
          </cell>
          <cell r="Z57">
            <v>10.942299999999999</v>
          </cell>
          <cell r="AA57">
            <v>2.3769999999999999E-2</v>
          </cell>
          <cell r="AB57">
            <v>0</v>
          </cell>
          <cell r="AC57">
            <v>-152.16651000000002</v>
          </cell>
          <cell r="AD57">
            <v>33.775219999999997</v>
          </cell>
          <cell r="AE57">
            <v>-21.929960000000001</v>
          </cell>
          <cell r="AF57">
            <v>5.6843418860808018E-15</v>
          </cell>
          <cell r="AG57">
            <v>0</v>
          </cell>
          <cell r="AH57">
            <v>252.20071000000002</v>
          </cell>
          <cell r="AI57">
            <v>73.016850000000034</v>
          </cell>
          <cell r="AJ57">
            <v>-35.82593</v>
          </cell>
          <cell r="AK57">
            <v>-3.3384399999999999</v>
          </cell>
          <cell r="AL57">
            <v>-25.255910000000007</v>
          </cell>
          <cell r="AM57">
            <v>11.72602</v>
          </cell>
          <cell r="AN57">
            <v>-4.2734900000000016</v>
          </cell>
          <cell r="AO57">
            <v>-2.6818199999999996</v>
          </cell>
          <cell r="AP57">
            <v>-2.8723999999999998</v>
          </cell>
          <cell r="AQ57">
            <v>-5.8669200000000004</v>
          </cell>
          <cell r="AR57">
            <v>-11.620909999999999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72.716530000000134</v>
          </cell>
        </row>
        <row r="58">
          <cell r="C58">
            <v>270.42227000000008</v>
          </cell>
          <cell r="N58">
            <v>197.41176000000013</v>
          </cell>
          <cell r="O58">
            <v>-1.0296700000000001</v>
          </cell>
          <cell r="P58">
            <v>0</v>
          </cell>
          <cell r="Q58">
            <v>0</v>
          </cell>
          <cell r="R58">
            <v>0.39799999999999969</v>
          </cell>
          <cell r="S58">
            <v>-76.462069999999997</v>
          </cell>
          <cell r="T58">
            <v>0</v>
          </cell>
          <cell r="U58">
            <v>0</v>
          </cell>
          <cell r="V58">
            <v>-221.24128000000002</v>
          </cell>
          <cell r="W58">
            <v>0</v>
          </cell>
          <cell r="X58">
            <v>0</v>
          </cell>
          <cell r="Y58">
            <v>-7.2292800000000002</v>
          </cell>
          <cell r="Z58">
            <v>17.892969999999998</v>
          </cell>
          <cell r="AA58">
            <v>0.44592999999999999</v>
          </cell>
          <cell r="AB58">
            <v>0</v>
          </cell>
          <cell r="AC58">
            <v>-141.76606000000001</v>
          </cell>
          <cell r="AD58">
            <v>5.9319699999999997</v>
          </cell>
          <cell r="AE58">
            <v>-19.140840000000001</v>
          </cell>
          <cell r="AF58">
            <v>0</v>
          </cell>
          <cell r="AG58">
            <v>0</v>
          </cell>
          <cell r="AH58">
            <v>253.26190000000011</v>
          </cell>
          <cell r="AI58">
            <v>4.5513300000000001</v>
          </cell>
          <cell r="AJ58">
            <v>0.82360999999999507</v>
          </cell>
          <cell r="AK58">
            <v>0.56283999999999978</v>
          </cell>
          <cell r="AL58">
            <v>-30.913910000000033</v>
          </cell>
          <cell r="AM58">
            <v>14.863929999999996</v>
          </cell>
          <cell r="AN58">
            <v>-4.5961999999999978</v>
          </cell>
          <cell r="AO58">
            <v>-2.2149399999999999</v>
          </cell>
          <cell r="AP58">
            <v>-0.64217000000000002</v>
          </cell>
          <cell r="AQ58">
            <v>-5.1470799999999999</v>
          </cell>
          <cell r="AR58">
            <v>-3.2856700000000001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-17.524929999999838</v>
          </cell>
        </row>
        <row r="59">
          <cell r="C59">
            <v>249.76026194465598</v>
          </cell>
          <cell r="N59">
            <v>188.5</v>
          </cell>
          <cell r="O59">
            <v>-4.0668767778358612</v>
          </cell>
          <cell r="P59">
            <v>0</v>
          </cell>
          <cell r="Q59">
            <v>0</v>
          </cell>
          <cell r="R59">
            <v>0</v>
          </cell>
          <cell r="S59">
            <v>-84.055177937568317</v>
          </cell>
          <cell r="T59">
            <v>0</v>
          </cell>
          <cell r="U59">
            <v>0</v>
          </cell>
          <cell r="V59">
            <v>-147.44159954396417</v>
          </cell>
          <cell r="W59">
            <v>0</v>
          </cell>
          <cell r="X59">
            <v>0</v>
          </cell>
          <cell r="Y59">
            <v>-3.1739580949266242</v>
          </cell>
          <cell r="Z59">
            <v>10.954343024655682</v>
          </cell>
          <cell r="AA59">
            <v>0</v>
          </cell>
          <cell r="AB59">
            <v>0</v>
          </cell>
          <cell r="AC59">
            <v>-85.995381547203294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85.995381547203294</v>
          </cell>
          <cell r="AI59">
            <v>3.1739580949266242</v>
          </cell>
          <cell r="AJ59">
            <v>0</v>
          </cell>
          <cell r="AK59">
            <v>0</v>
          </cell>
          <cell r="AL59">
            <v>-21.997479983986274</v>
          </cell>
          <cell r="AM59">
            <v>0</v>
          </cell>
          <cell r="AN59">
            <v>0</v>
          </cell>
          <cell r="AO59">
            <v>-2.7542084496210499</v>
          </cell>
          <cell r="AP59">
            <v>-2.4855213811034322</v>
          </cell>
          <cell r="AQ59">
            <v>-5.9159716078899747</v>
          </cell>
          <cell r="AR59">
            <v>-13.566836645933925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-82.829329303247334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60707.629340000014</v>
          </cell>
          <cell r="N65">
            <v>34899.477100000011</v>
          </cell>
          <cell r="O65">
            <v>-1309.4309200000005</v>
          </cell>
          <cell r="P65">
            <v>-6.7843300000000006</v>
          </cell>
          <cell r="Q65">
            <v>0</v>
          </cell>
          <cell r="R65">
            <v>71.184139999999999</v>
          </cell>
          <cell r="S65">
            <v>-1513.21128</v>
          </cell>
          <cell r="T65">
            <v>-163.93692000000001</v>
          </cell>
          <cell r="U65">
            <v>0</v>
          </cell>
          <cell r="V65">
            <v>-11021.47711929284</v>
          </cell>
          <cell r="W65">
            <v>-65.34169</v>
          </cell>
          <cell r="X65">
            <v>-3177.0080907071615</v>
          </cell>
          <cell r="Y65">
            <v>-141.90326000000002</v>
          </cell>
          <cell r="Z65">
            <v>1151.0153799999998</v>
          </cell>
          <cell r="AA65">
            <v>17.437259999999998</v>
          </cell>
          <cell r="AB65">
            <v>-1700</v>
          </cell>
          <cell r="AC65">
            <v>-13797.920050000001</v>
          </cell>
          <cell r="AD65">
            <v>1464.8070400000001</v>
          </cell>
          <cell r="AE65">
            <v>-635.51730999999995</v>
          </cell>
          <cell r="AF65">
            <v>-1744.4379799999999</v>
          </cell>
          <cell r="AG65">
            <v>0</v>
          </cell>
          <cell r="AH65">
            <v>8061.4915300000002</v>
          </cell>
          <cell r="AI65">
            <v>4249.9858999999997</v>
          </cell>
          <cell r="AJ65">
            <v>4367.6200800000006</v>
          </cell>
          <cell r="AK65">
            <v>-200.32420999999999</v>
          </cell>
          <cell r="AL65">
            <v>-9645.3837200000034</v>
          </cell>
          <cell r="AM65">
            <v>4251.9991800000016</v>
          </cell>
          <cell r="AN65">
            <v>-753.6439399999997</v>
          </cell>
          <cell r="AO65">
            <v>-2218.7103699999993</v>
          </cell>
          <cell r="AP65">
            <v>-282.88739000000004</v>
          </cell>
          <cell r="AQ65">
            <v>-3046.8353299999999</v>
          </cell>
          <cell r="AR65">
            <v>-1037.6949100000002</v>
          </cell>
          <cell r="AT65">
            <v>-3952.4182400000022</v>
          </cell>
          <cell r="AU65">
            <v>159.67799000000002</v>
          </cell>
          <cell r="AV65">
            <v>0</v>
          </cell>
          <cell r="AW65">
            <v>0</v>
          </cell>
          <cell r="AX65">
            <v>-29.101879861151779</v>
          </cell>
          <cell r="AY65">
            <v>0</v>
          </cell>
          <cell r="AZ65">
            <v>280.36470986115177</v>
          </cell>
          <cell r="BA65">
            <v>3.5524300000000002</v>
          </cell>
          <cell r="BB65">
            <v>-27.1096</v>
          </cell>
          <cell r="BC65">
            <v>-0.48883000000000004</v>
          </cell>
          <cell r="BD65">
            <v>0</v>
          </cell>
          <cell r="BE65">
            <v>787.36212999999987</v>
          </cell>
          <cell r="BF65">
            <v>-490.61534999999634</v>
          </cell>
          <cell r="BG65">
            <v>71.827149999999975</v>
          </cell>
          <cell r="BH65">
            <v>-1151.9151499999998</v>
          </cell>
          <cell r="BI65">
            <v>-29.782179999999986</v>
          </cell>
          <cell r="BJ65">
            <v>0</v>
          </cell>
          <cell r="BK65">
            <v>1693.9219700000106</v>
          </cell>
        </row>
        <row r="66">
          <cell r="C66">
            <v>59773.017500000016</v>
          </cell>
          <cell r="N66">
            <v>34311.870859999995</v>
          </cell>
          <cell r="O66">
            <v>-1249.9531899999999</v>
          </cell>
          <cell r="P66">
            <v>0</v>
          </cell>
          <cell r="Q66">
            <v>0</v>
          </cell>
          <cell r="R66">
            <v>71.546930000000003</v>
          </cell>
          <cell r="S66">
            <v>-1674.6322600000001</v>
          </cell>
          <cell r="T66">
            <v>-65.539629999999988</v>
          </cell>
          <cell r="U66">
            <v>0</v>
          </cell>
          <cell r="V66">
            <v>-14181.424850000001</v>
          </cell>
          <cell r="W66">
            <v>0</v>
          </cell>
          <cell r="X66">
            <v>-1390.7540000000001</v>
          </cell>
          <cell r="Y66">
            <v>-366.61258000000004</v>
          </cell>
          <cell r="Z66">
            <v>988.27849000000015</v>
          </cell>
          <cell r="AA66">
            <v>35.038969999999999</v>
          </cell>
          <cell r="AB66">
            <v>-720</v>
          </cell>
          <cell r="AC66">
            <v>-16652.699370000002</v>
          </cell>
          <cell r="AD66">
            <v>2208.10311</v>
          </cell>
          <cell r="AE66">
            <v>-775.11908000000017</v>
          </cell>
          <cell r="AF66">
            <v>-1536.08383</v>
          </cell>
          <cell r="AG66">
            <v>0</v>
          </cell>
          <cell r="AH66">
            <v>16260.98893</v>
          </cell>
          <cell r="AI66">
            <v>1822.91212</v>
          </cell>
          <cell r="AJ66">
            <v>-1360.3259699999999</v>
          </cell>
          <cell r="AK66">
            <v>-127.19750999999999</v>
          </cell>
          <cell r="AL66">
            <v>-9138.0197499999977</v>
          </cell>
          <cell r="AM66">
            <v>4357.5790500000012</v>
          </cell>
          <cell r="AN66">
            <v>-1052.3332700000012</v>
          </cell>
          <cell r="AO66">
            <v>-2070.52855</v>
          </cell>
          <cell r="AP66">
            <v>-259.15228000000002</v>
          </cell>
          <cell r="AQ66">
            <v>-2955.8037200000003</v>
          </cell>
          <cell r="AR66">
            <v>-990.37342000000001</v>
          </cell>
          <cell r="AT66">
            <v>-4189.6200800000033</v>
          </cell>
          <cell r="AU66">
            <v>16.671140000000001</v>
          </cell>
          <cell r="AV66">
            <v>0</v>
          </cell>
          <cell r="AW66">
            <v>0</v>
          </cell>
          <cell r="AX66">
            <v>180.51599999999999</v>
          </cell>
          <cell r="AY66">
            <v>0</v>
          </cell>
          <cell r="AZ66">
            <v>179.99200000000002</v>
          </cell>
          <cell r="BA66">
            <v>8.0889600000000002</v>
          </cell>
          <cell r="BB66">
            <v>-31.869330000000001</v>
          </cell>
          <cell r="BC66">
            <v>-0.87970000000000004</v>
          </cell>
          <cell r="BD66">
            <v>0</v>
          </cell>
          <cell r="BE66">
            <v>1977.1363800000001</v>
          </cell>
          <cell r="BF66">
            <v>-4838.4515399999982</v>
          </cell>
          <cell r="BG66">
            <v>-209.14099999999999</v>
          </cell>
          <cell r="BH66">
            <v>185.08461999999997</v>
          </cell>
          <cell r="BI66">
            <v>-1.4878699999999991</v>
          </cell>
          <cell r="BJ66">
            <v>0</v>
          </cell>
          <cell r="BK66">
            <v>-3234.195220000011</v>
          </cell>
        </row>
        <row r="67">
          <cell r="C67">
            <v>61905.927512799884</v>
          </cell>
          <cell r="N67">
            <v>37428.562823673688</v>
          </cell>
          <cell r="O67">
            <v>-6800.3891470944845</v>
          </cell>
          <cell r="P67">
            <v>-806.13352239003348</v>
          </cell>
          <cell r="Q67">
            <v>-1532.0415221906203</v>
          </cell>
          <cell r="R67">
            <v>0</v>
          </cell>
          <cell r="S67">
            <v>-2177.2450519363247</v>
          </cell>
          <cell r="T67">
            <v>-337.49017377040991</v>
          </cell>
          <cell r="U67">
            <v>0</v>
          </cell>
          <cell r="V67">
            <v>-6343.4331867600968</v>
          </cell>
          <cell r="W67">
            <v>-747.57773092085461</v>
          </cell>
          <cell r="X67">
            <v>-2189.0014072771546</v>
          </cell>
          <cell r="Y67">
            <v>-259.53562193396453</v>
          </cell>
          <cell r="Z67">
            <v>734.44994662459885</v>
          </cell>
          <cell r="AA67">
            <v>0</v>
          </cell>
          <cell r="AB67">
            <v>0</v>
          </cell>
          <cell r="AC67">
            <v>-9661.7064131677707</v>
          </cell>
          <cell r="AD67">
            <v>0</v>
          </cell>
          <cell r="AE67">
            <v>0</v>
          </cell>
          <cell r="AF67">
            <v>-1254.3945069915137</v>
          </cell>
          <cell r="AG67">
            <v>0</v>
          </cell>
          <cell r="AH67">
            <v>10907.350920159284</v>
          </cell>
          <cell r="AI67">
            <v>259.53562193396453</v>
          </cell>
          <cell r="AJ67">
            <v>0</v>
          </cell>
          <cell r="AK67">
            <v>0</v>
          </cell>
          <cell r="AL67">
            <v>-6523.1541837729774</v>
          </cell>
          <cell r="AM67">
            <v>0</v>
          </cell>
          <cell r="AN67">
            <v>0</v>
          </cell>
          <cell r="AO67">
            <v>-2184.2652229922455</v>
          </cell>
          <cell r="AP67">
            <v>-198.24938818658825</v>
          </cell>
          <cell r="AQ67">
            <v>-3131.9056587262553</v>
          </cell>
          <cell r="AR67">
            <v>-1389.7475608578584</v>
          </cell>
          <cell r="AT67">
            <v>-4306.812838778661</v>
          </cell>
          <cell r="AU67">
            <v>589.18064504839481</v>
          </cell>
          <cell r="AV67">
            <v>312.94589761987066</v>
          </cell>
          <cell r="AW67">
            <v>185.96119492554701</v>
          </cell>
          <cell r="AX67">
            <v>-210.23027907293306</v>
          </cell>
          <cell r="AY67">
            <v>307.11706555105263</v>
          </cell>
          <cell r="AZ67">
            <v>255.37863803505402</v>
          </cell>
          <cell r="BA67">
            <v>18.622453641948262</v>
          </cell>
          <cell r="BB67">
            <v>-47.040978821388002</v>
          </cell>
          <cell r="BC67">
            <v>0</v>
          </cell>
          <cell r="BD67">
            <v>0</v>
          </cell>
          <cell r="BE67">
            <v>1771.3747053528127</v>
          </cell>
          <cell r="BF67">
            <v>-1998.3330386861458</v>
          </cell>
          <cell r="BG67">
            <v>-18.622453641948262</v>
          </cell>
          <cell r="BH67">
            <v>0</v>
          </cell>
          <cell r="BI67">
            <v>0</v>
          </cell>
          <cell r="BJ67">
            <v>0</v>
          </cell>
          <cell r="BK67">
            <v>653.17002459598416</v>
          </cell>
        </row>
        <row r="81">
          <cell r="C81">
            <v>35415.75962000015</v>
          </cell>
          <cell r="N81">
            <v>26314.280150000137</v>
          </cell>
          <cell r="O81">
            <v>-1952.8294999999994</v>
          </cell>
          <cell r="P81">
            <v>0</v>
          </cell>
          <cell r="Q81">
            <v>0</v>
          </cell>
          <cell r="R81">
            <v>13.834570000000001</v>
          </cell>
          <cell r="S81">
            <v>-1209.4678700000002</v>
          </cell>
          <cell r="T81">
            <v>-24.5776</v>
          </cell>
          <cell r="U81">
            <v>0</v>
          </cell>
          <cell r="V81">
            <v>-15232.242539999999</v>
          </cell>
          <cell r="W81">
            <v>0</v>
          </cell>
          <cell r="X81">
            <v>-4143.2266799999998</v>
          </cell>
          <cell r="Y81">
            <v>-183.27110999999999</v>
          </cell>
          <cell r="Z81">
            <v>1918.3047000000001</v>
          </cell>
          <cell r="AA81">
            <v>25.256489999999999</v>
          </cell>
          <cell r="AB81">
            <v>0</v>
          </cell>
          <cell r="AC81">
            <v>-26773.349800000004</v>
          </cell>
          <cell r="AD81">
            <v>1741.7109100000002</v>
          </cell>
          <cell r="AE81">
            <v>-981.8281199999999</v>
          </cell>
          <cell r="AF81">
            <v>-779.79061999999851</v>
          </cell>
          <cell r="AG81">
            <v>0</v>
          </cell>
          <cell r="AH81">
            <v>23528.697969999939</v>
          </cell>
          <cell r="AI81">
            <v>5425.9200400000027</v>
          </cell>
          <cell r="AJ81">
            <v>1627.1021899999714</v>
          </cell>
          <cell r="AK81">
            <v>-2561.9403000000016</v>
          </cell>
          <cell r="AL81">
            <v>-2551.716990000004</v>
          </cell>
          <cell r="AM81">
            <v>0</v>
          </cell>
          <cell r="AN81">
            <v>519.38657000000012</v>
          </cell>
          <cell r="AO81">
            <v>-878.33573000000001</v>
          </cell>
          <cell r="AP81">
            <v>-162.68412000000001</v>
          </cell>
          <cell r="AQ81">
            <v>-1374.7626600000001</v>
          </cell>
          <cell r="AR81">
            <v>-850.51345000000003</v>
          </cell>
          <cell r="AT81">
            <v>-1080.9202400000001</v>
          </cell>
          <cell r="AU81">
            <v>81.987109999999987</v>
          </cell>
          <cell r="AV81">
            <v>0</v>
          </cell>
          <cell r="AW81">
            <v>0</v>
          </cell>
          <cell r="AX81">
            <v>216.49054999999998</v>
          </cell>
          <cell r="AY81">
            <v>0</v>
          </cell>
          <cell r="AZ81">
            <v>0</v>
          </cell>
          <cell r="BA81">
            <v>1.1962899999999999</v>
          </cell>
          <cell r="BB81">
            <v>-32.41001</v>
          </cell>
          <cell r="BC81">
            <v>-0.30675000000000002</v>
          </cell>
          <cell r="BD81">
            <v>0</v>
          </cell>
          <cell r="BE81">
            <v>577.43285999999966</v>
          </cell>
          <cell r="BF81">
            <v>826.28411000003166</v>
          </cell>
          <cell r="BG81">
            <v>-743.11024999999938</v>
          </cell>
          <cell r="BH81">
            <v>-403.91059000000007</v>
          </cell>
          <cell r="BI81">
            <v>74.417379999999994</v>
          </cell>
          <cell r="BJ81">
            <v>0</v>
          </cell>
          <cell r="BK81">
            <v>971.10696000007522</v>
          </cell>
        </row>
        <row r="82">
          <cell r="C82">
            <v>24364.716519999984</v>
          </cell>
          <cell r="N82">
            <v>21382.482499999987</v>
          </cell>
          <cell r="O82">
            <v>-1602.8159700000003</v>
          </cell>
          <cell r="P82">
            <v>0</v>
          </cell>
          <cell r="Q82">
            <v>0</v>
          </cell>
          <cell r="R82">
            <v>25.946729999999999</v>
          </cell>
          <cell r="S82">
            <v>-946.71150999999998</v>
          </cell>
          <cell r="T82">
            <v>-21.623930000000001</v>
          </cell>
          <cell r="U82">
            <v>0</v>
          </cell>
          <cell r="V82">
            <v>-15807.800190000002</v>
          </cell>
          <cell r="W82">
            <v>0</v>
          </cell>
          <cell r="X82">
            <v>-600</v>
          </cell>
          <cell r="Y82">
            <v>-362.65449999999998</v>
          </cell>
          <cell r="Z82">
            <v>1316.62392</v>
          </cell>
          <cell r="AA82">
            <v>59.452419999999996</v>
          </cell>
          <cell r="AB82">
            <v>0</v>
          </cell>
          <cell r="AC82">
            <v>-19832.830750000005</v>
          </cell>
          <cell r="AD82">
            <v>1785.2710900000002</v>
          </cell>
          <cell r="AE82">
            <v>-773.58987999999999</v>
          </cell>
          <cell r="AF82">
            <v>-686.99185999999986</v>
          </cell>
          <cell r="AG82">
            <v>0</v>
          </cell>
          <cell r="AH82">
            <v>20934.738019999997</v>
          </cell>
          <cell r="AI82">
            <v>1198.8643199999995</v>
          </cell>
          <cell r="AJ82">
            <v>1620.2840800000001</v>
          </cell>
          <cell r="AK82">
            <v>-107.79147000000002</v>
          </cell>
          <cell r="AL82">
            <v>-1671.6343699999993</v>
          </cell>
          <cell r="AM82">
            <v>0</v>
          </cell>
          <cell r="AN82">
            <v>181.91628000000009</v>
          </cell>
          <cell r="AO82">
            <v>-560.42343000000005</v>
          </cell>
          <cell r="AP82">
            <v>-115.46349000000001</v>
          </cell>
          <cell r="AQ82">
            <v>-1080.01109</v>
          </cell>
          <cell r="AR82">
            <v>-605.11825999999996</v>
          </cell>
          <cell r="AT82">
            <v>-979.65882999999985</v>
          </cell>
          <cell r="AU82">
            <v>49.870710000000003</v>
          </cell>
          <cell r="AV82">
            <v>0</v>
          </cell>
          <cell r="AW82">
            <v>0</v>
          </cell>
          <cell r="AX82">
            <v>162.32989000000001</v>
          </cell>
          <cell r="AY82">
            <v>0</v>
          </cell>
          <cell r="AZ82">
            <v>0</v>
          </cell>
          <cell r="BA82">
            <v>1.1528900000000002</v>
          </cell>
          <cell r="BB82">
            <v>-21.09581</v>
          </cell>
          <cell r="BC82">
            <v>-1.9539999999999998E-2</v>
          </cell>
          <cell r="BD82">
            <v>0</v>
          </cell>
          <cell r="BE82">
            <v>351.12682000000024</v>
          </cell>
          <cell r="BF82">
            <v>-631.45827000002294</v>
          </cell>
          <cell r="BG82">
            <v>-190.09563999999995</v>
          </cell>
          <cell r="BH82">
            <v>15.121430000000018</v>
          </cell>
          <cell r="BI82">
            <v>0.19900000000000007</v>
          </cell>
          <cell r="BJ82">
            <v>0</v>
          </cell>
          <cell r="BK82">
            <v>2487.5913099999534</v>
          </cell>
        </row>
        <row r="83">
          <cell r="C83">
            <v>27974.91626383326</v>
          </cell>
          <cell r="N83">
            <v>26959.171549999992</v>
          </cell>
          <cell r="O83">
            <v>-7510.7204803523437</v>
          </cell>
          <cell r="P83">
            <v>0</v>
          </cell>
          <cell r="Q83">
            <v>-1047.687722619685</v>
          </cell>
          <cell r="R83">
            <v>0</v>
          </cell>
          <cell r="S83">
            <v>-2112.3821642121875</v>
          </cell>
          <cell r="T83">
            <v>-128.80258189217</v>
          </cell>
          <cell r="U83">
            <v>0</v>
          </cell>
          <cell r="V83">
            <v>-9807.2890259563137</v>
          </cell>
          <cell r="W83">
            <v>0</v>
          </cell>
          <cell r="X83">
            <v>-3952.3122773803152</v>
          </cell>
          <cell r="Y83">
            <v>-368.70409351474137</v>
          </cell>
          <cell r="Z83">
            <v>3581.911985294536</v>
          </cell>
          <cell r="AA83">
            <v>0</v>
          </cell>
          <cell r="AB83">
            <v>0</v>
          </cell>
          <cell r="AC83">
            <v>-23044.769297499999</v>
          </cell>
          <cell r="AD83">
            <v>0</v>
          </cell>
          <cell r="AE83">
            <v>0</v>
          </cell>
          <cell r="AF83">
            <v>-624.43567562268197</v>
          </cell>
          <cell r="AG83">
            <v>0</v>
          </cell>
          <cell r="AH83">
            <v>23890.006115815875</v>
          </cell>
          <cell r="AI83">
            <v>368.70409351474137</v>
          </cell>
          <cell r="AJ83">
            <v>0</v>
          </cell>
          <cell r="AK83">
            <v>0</v>
          </cell>
          <cell r="AL83">
            <v>-1939.93614779066</v>
          </cell>
          <cell r="AM83">
            <v>0</v>
          </cell>
          <cell r="AN83">
            <v>0</v>
          </cell>
          <cell r="AO83">
            <v>-905.862384189605</v>
          </cell>
          <cell r="AP83">
            <v>-109.95672275166075</v>
          </cell>
          <cell r="AQ83">
            <v>-1645.3047755602747</v>
          </cell>
          <cell r="AR83">
            <v>-814.37639854124518</v>
          </cell>
          <cell r="AT83">
            <v>-1196.340690078659</v>
          </cell>
          <cell r="AU83">
            <v>258.0201892697491</v>
          </cell>
          <cell r="AV83">
            <v>0</v>
          </cell>
          <cell r="AW83">
            <v>15.460286204844127</v>
          </cell>
          <cell r="AX83">
            <v>179.40924816806603</v>
          </cell>
          <cell r="AY83">
            <v>0</v>
          </cell>
          <cell r="AZ83">
            <v>58.322606688977999</v>
          </cell>
          <cell r="BA83">
            <v>8.0800274033346202</v>
          </cell>
          <cell r="BB83">
            <v>-81.549728907722169</v>
          </cell>
          <cell r="BC83">
            <v>0</v>
          </cell>
          <cell r="BD83">
            <v>0</v>
          </cell>
          <cell r="BE83">
            <v>199.6975825807711</v>
          </cell>
          <cell r="BF83">
            <v>37.73185485704402</v>
          </cell>
          <cell r="BG83">
            <v>-8.0800274033346202</v>
          </cell>
          <cell r="BH83">
            <v>0</v>
          </cell>
          <cell r="BI83">
            <v>0</v>
          </cell>
          <cell r="BJ83">
            <v>0</v>
          </cell>
          <cell r="BK83">
            <v>258.00534552433737</v>
          </cell>
        </row>
        <row r="94">
          <cell r="C94">
            <v>25857.972030000004</v>
          </cell>
          <cell r="N94">
            <v>15069.941669999997</v>
          </cell>
          <cell r="O94">
            <v>-391.79021999999998</v>
          </cell>
          <cell r="P94">
            <v>-6.7117300000000002</v>
          </cell>
          <cell r="Q94">
            <v>0</v>
          </cell>
          <cell r="R94">
            <v>24.885670000000001</v>
          </cell>
          <cell r="S94">
            <v>-484.68738999999999</v>
          </cell>
          <cell r="T94">
            <v>-31.997980000000005</v>
          </cell>
          <cell r="U94">
            <v>0</v>
          </cell>
          <cell r="V94">
            <v>-2402.5576710472023</v>
          </cell>
          <cell r="W94">
            <v>-61.84525</v>
          </cell>
          <cell r="X94">
            <v>-1996.318728952798</v>
          </cell>
          <cell r="Y94">
            <v>-39.581130000000002</v>
          </cell>
          <cell r="Z94">
            <v>222.73335</v>
          </cell>
          <cell r="AA94">
            <v>3.3917099999999998</v>
          </cell>
          <cell r="AB94">
            <v>0</v>
          </cell>
          <cell r="AC94">
            <v>-4478.4317599999995</v>
          </cell>
          <cell r="AD94">
            <v>551.77947000000006</v>
          </cell>
          <cell r="AE94">
            <v>-119.36886</v>
          </cell>
          <cell r="AF94">
            <v>-504.71388000000002</v>
          </cell>
          <cell r="AG94">
            <v>0</v>
          </cell>
          <cell r="AH94">
            <v>1164.090480000001</v>
          </cell>
          <cell r="AI94">
            <v>988.97939999999971</v>
          </cell>
          <cell r="AJ94">
            <v>537.69021999999995</v>
          </cell>
          <cell r="AK94">
            <v>-28.347149999999999</v>
          </cell>
          <cell r="AL94">
            <v>-4377.7642099999994</v>
          </cell>
          <cell r="AM94">
            <v>2214.1109800000008</v>
          </cell>
          <cell r="AN94">
            <v>-1066.9318199999998</v>
          </cell>
          <cell r="AO94">
            <v>-1044.2682199999999</v>
          </cell>
          <cell r="AP94">
            <v>-142.57650000000001</v>
          </cell>
          <cell r="AQ94">
            <v>-1599.3301300000001</v>
          </cell>
          <cell r="AR94">
            <v>-520.50378999999998</v>
          </cell>
          <cell r="AT94">
            <v>-1843.5209200000022</v>
          </cell>
          <cell r="AU94">
            <v>0</v>
          </cell>
          <cell r="AV94">
            <v>0</v>
          </cell>
          <cell r="AW94">
            <v>0</v>
          </cell>
          <cell r="AX94">
            <v>-159.96210402350175</v>
          </cell>
          <cell r="AY94">
            <v>0</v>
          </cell>
          <cell r="AZ94">
            <v>159.96210402350175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10.223200000000007</v>
          </cell>
          <cell r="BF94">
            <v>4.5732699999999937</v>
          </cell>
          <cell r="BG94">
            <v>109.52258999999998</v>
          </cell>
          <cell r="BH94">
            <v>-165.25304</v>
          </cell>
          <cell r="BI94">
            <v>-7.9817699999999991</v>
          </cell>
          <cell r="BJ94">
            <v>0</v>
          </cell>
          <cell r="BK94">
            <v>-412.56014000000573</v>
          </cell>
        </row>
        <row r="95">
          <cell r="C95">
            <v>25263.487940000014</v>
          </cell>
          <cell r="N95">
            <v>14546.89539</v>
          </cell>
          <cell r="O95">
            <v>-212.19085000000001</v>
          </cell>
          <cell r="P95">
            <v>0</v>
          </cell>
          <cell r="Q95">
            <v>0</v>
          </cell>
          <cell r="R95">
            <v>4.5584599999999966</v>
          </cell>
          <cell r="S95">
            <v>-402.32058000000006</v>
          </cell>
          <cell r="T95">
            <v>-19.647570000000002</v>
          </cell>
          <cell r="U95">
            <v>0</v>
          </cell>
          <cell r="V95">
            <v>-4272.2091799999998</v>
          </cell>
          <cell r="W95">
            <v>0</v>
          </cell>
          <cell r="X95">
            <v>-870.06799999999998</v>
          </cell>
          <cell r="Y95">
            <v>-90.244</v>
          </cell>
          <cell r="Z95">
            <v>231.0573</v>
          </cell>
          <cell r="AA95">
            <v>6.14438</v>
          </cell>
          <cell r="AB95">
            <v>0</v>
          </cell>
          <cell r="AC95">
            <v>-4436.5823499999997</v>
          </cell>
          <cell r="AD95">
            <v>899.51076999999987</v>
          </cell>
          <cell r="AE95">
            <v>-95.957599999999999</v>
          </cell>
          <cell r="AF95">
            <v>-545.16508999999985</v>
          </cell>
          <cell r="AG95">
            <v>0</v>
          </cell>
          <cell r="AH95">
            <v>2368.3739900000005</v>
          </cell>
          <cell r="AI95">
            <v>73.32119000000003</v>
          </cell>
          <cell r="AJ95">
            <v>218.28149999999999</v>
          </cell>
          <cell r="AK95">
            <v>14.709240000000001</v>
          </cell>
          <cell r="AL95">
            <v>-3895.5156599999982</v>
          </cell>
          <cell r="AM95">
            <v>2164.2769700000017</v>
          </cell>
          <cell r="AN95">
            <v>-1076.2643400000009</v>
          </cell>
          <cell r="AO95">
            <v>-907.81960000000004</v>
          </cell>
          <cell r="AP95">
            <v>-121.73213999999999</v>
          </cell>
          <cell r="AQ95">
            <v>-1411.1926999999998</v>
          </cell>
          <cell r="AR95">
            <v>-465.29508999999996</v>
          </cell>
          <cell r="AT95">
            <v>-2030.9207300000035</v>
          </cell>
          <cell r="AU95">
            <v>0</v>
          </cell>
          <cell r="AV95">
            <v>0</v>
          </cell>
          <cell r="AW95">
            <v>0</v>
          </cell>
          <cell r="AX95">
            <v>-107.76</v>
          </cell>
          <cell r="AY95">
            <v>0</v>
          </cell>
          <cell r="AZ95">
            <v>121.26</v>
          </cell>
          <cell r="BA95">
            <v>0.28973000000000004</v>
          </cell>
          <cell r="BB95">
            <v>-0.82153999999999994</v>
          </cell>
          <cell r="BC95">
            <v>-2.2760000000000002E-2</v>
          </cell>
          <cell r="BD95">
            <v>0</v>
          </cell>
          <cell r="BE95">
            <v>142.89953000000003</v>
          </cell>
          <cell r="BF95">
            <v>-850.06348999999966</v>
          </cell>
          <cell r="BG95">
            <v>-41.978459999999998</v>
          </cell>
          <cell r="BH95">
            <v>-26.654140000000005</v>
          </cell>
          <cell r="BI95">
            <v>-0.49856999999999979</v>
          </cell>
          <cell r="BJ95">
            <v>0</v>
          </cell>
          <cell r="BK95">
            <v>-1089.3459900000005</v>
          </cell>
        </row>
        <row r="96">
          <cell r="C96">
            <v>28327.356956824893</v>
          </cell>
          <cell r="N96">
            <v>17992.431898521085</v>
          </cell>
          <cell r="O96">
            <v>-3209.1606153297221</v>
          </cell>
          <cell r="P96">
            <v>-719.48572736653841</v>
          </cell>
          <cell r="Q96">
            <v>-1196.3382126238673</v>
          </cell>
          <cell r="R96">
            <v>0</v>
          </cell>
          <cell r="S96">
            <v>-625.85064377179242</v>
          </cell>
          <cell r="T96">
            <v>-139.42799418858391</v>
          </cell>
          <cell r="U96">
            <v>0</v>
          </cell>
          <cell r="V96">
            <v>-1782.5527249584788</v>
          </cell>
          <cell r="W96">
            <v>-731.8941605642591</v>
          </cell>
          <cell r="X96">
            <v>-1281.9522302932792</v>
          </cell>
          <cell r="Y96">
            <v>-120.81823312653057</v>
          </cell>
          <cell r="Z96">
            <v>213.36185520378174</v>
          </cell>
          <cell r="AA96">
            <v>0</v>
          </cell>
          <cell r="AB96">
            <v>0</v>
          </cell>
          <cell r="AC96">
            <v>-4710.6113945927546</v>
          </cell>
          <cell r="AD96">
            <v>0</v>
          </cell>
          <cell r="AE96">
            <v>0</v>
          </cell>
          <cell r="AF96">
            <v>-388.3509178733932</v>
          </cell>
          <cell r="AG96">
            <v>0</v>
          </cell>
          <cell r="AH96">
            <v>5090.2123124661475</v>
          </cell>
          <cell r="AI96">
            <v>120.81823312653057</v>
          </cell>
          <cell r="AJ96">
            <v>0</v>
          </cell>
          <cell r="AK96">
            <v>0</v>
          </cell>
          <cell r="AL96">
            <v>-3702.5972038871878</v>
          </cell>
          <cell r="AM96">
            <v>0</v>
          </cell>
          <cell r="AN96">
            <v>0</v>
          </cell>
          <cell r="AO96">
            <v>-1037.982752913545</v>
          </cell>
          <cell r="AP96">
            <v>-107.359433820782</v>
          </cell>
          <cell r="AQ96">
            <v>-1650.4868252604049</v>
          </cell>
          <cell r="AR96">
            <v>-698.03112793895502</v>
          </cell>
          <cell r="AT96">
            <v>-2006.2285457143762</v>
          </cell>
          <cell r="AU96">
            <v>499.87060233917009</v>
          </cell>
          <cell r="AV96">
            <v>299.52159134862495</v>
          </cell>
          <cell r="AW96">
            <v>168.8692339949028</v>
          </cell>
          <cell r="AX96">
            <v>-540.7252359367701</v>
          </cell>
          <cell r="AY96">
            <v>304.68721662256598</v>
          </cell>
          <cell r="AZ96">
            <v>195.18338571660408</v>
          </cell>
          <cell r="BA96">
            <v>10.692394821441372</v>
          </cell>
          <cell r="BB96">
            <v>-17.547066438473966</v>
          </cell>
          <cell r="BC96">
            <v>0</v>
          </cell>
          <cell r="BD96">
            <v>0</v>
          </cell>
          <cell r="BE96">
            <v>1217.1638212886191</v>
          </cell>
          <cell r="BF96">
            <v>-1217.1638212886191</v>
          </cell>
          <cell r="BG96">
            <v>-10.692394821441372</v>
          </cell>
          <cell r="BH96">
            <v>0</v>
          </cell>
          <cell r="BI96">
            <v>0</v>
          </cell>
          <cell r="BJ96">
            <v>0</v>
          </cell>
          <cell r="BK96">
            <v>217.55528273971828</v>
          </cell>
        </row>
        <row r="98">
          <cell r="C98">
            <v>15050.518130000008</v>
          </cell>
          <cell r="N98">
            <v>6418.9702700000071</v>
          </cell>
          <cell r="O98">
            <v>-108.89549</v>
          </cell>
          <cell r="P98">
            <v>0</v>
          </cell>
          <cell r="Q98">
            <v>0</v>
          </cell>
          <cell r="R98">
            <v>0</v>
          </cell>
          <cell r="S98">
            <v>-330.86286999999999</v>
          </cell>
          <cell r="T98">
            <v>-91.237369999999999</v>
          </cell>
          <cell r="U98">
            <v>0</v>
          </cell>
          <cell r="V98">
            <v>-2920.770510639336</v>
          </cell>
          <cell r="W98">
            <v>0</v>
          </cell>
          <cell r="X98">
            <v>-582.64958936066387</v>
          </cell>
          <cell r="Y98">
            <v>-38.767420000000001</v>
          </cell>
          <cell r="Z98">
            <v>424.42869999999999</v>
          </cell>
          <cell r="AA98">
            <v>4.4878599999999995</v>
          </cell>
          <cell r="AB98">
            <v>0</v>
          </cell>
          <cell r="AC98">
            <v>-2761.0152900000003</v>
          </cell>
          <cell r="AD98">
            <v>335.74224000000004</v>
          </cell>
          <cell r="AE98">
            <v>-260.39482999999996</v>
          </cell>
          <cell r="AF98">
            <v>-891.75440000000003</v>
          </cell>
          <cell r="AG98">
            <v>0</v>
          </cell>
          <cell r="AH98">
            <v>1700.6652199999999</v>
          </cell>
          <cell r="AI98">
            <v>1053.1907399999998</v>
          </cell>
          <cell r="AJ98">
            <v>460.78816000000006</v>
          </cell>
          <cell r="AK98">
            <v>-71.598939999999999</v>
          </cell>
          <cell r="AL98">
            <v>-2922.3879500000016</v>
          </cell>
          <cell r="AM98">
            <v>1289.2928100000013</v>
          </cell>
          <cell r="AN98">
            <v>289.72125000000017</v>
          </cell>
          <cell r="AO98">
            <v>-434.71303</v>
          </cell>
          <cell r="AP98">
            <v>-50.440110000000004</v>
          </cell>
          <cell r="AQ98">
            <v>-559.19745999999998</v>
          </cell>
          <cell r="AR98">
            <v>-179.29487999999998</v>
          </cell>
          <cell r="AT98">
            <v>-768.9271</v>
          </cell>
          <cell r="AU98">
            <v>158.95562000000001</v>
          </cell>
          <cell r="AV98">
            <v>0</v>
          </cell>
          <cell r="AW98">
            <v>0</v>
          </cell>
          <cell r="AX98">
            <v>61.841763196671778</v>
          </cell>
          <cell r="AY98">
            <v>0</v>
          </cell>
          <cell r="AZ98">
            <v>71.439066803328217</v>
          </cell>
          <cell r="BA98">
            <v>2.2477800000000001</v>
          </cell>
          <cell r="BB98">
            <v>-16.146570000000001</v>
          </cell>
          <cell r="BC98">
            <v>-0.2636</v>
          </cell>
          <cell r="BD98">
            <v>0</v>
          </cell>
          <cell r="BE98">
            <v>207.28640999999999</v>
          </cell>
          <cell r="BF98">
            <v>-202.73074000000048</v>
          </cell>
          <cell r="BG98">
            <v>-8.9140299999999986</v>
          </cell>
          <cell r="BH98">
            <v>-11.262619999999973</v>
          </cell>
          <cell r="BI98">
            <v>2.06568</v>
          </cell>
          <cell r="BJ98">
            <v>0</v>
          </cell>
          <cell r="BK98">
            <v>-731.10122999999385</v>
          </cell>
        </row>
        <row r="99">
          <cell r="C99">
            <v>14164.487099999998</v>
          </cell>
          <cell r="N99">
            <v>6659.8230999999932</v>
          </cell>
          <cell r="O99">
            <v>-48.510539999999999</v>
          </cell>
          <cell r="P99">
            <v>0</v>
          </cell>
          <cell r="Q99">
            <v>0</v>
          </cell>
          <cell r="R99">
            <v>0</v>
          </cell>
          <cell r="S99">
            <v>-410.82440000000003</v>
          </cell>
          <cell r="T99">
            <v>-6.9314099999999996</v>
          </cell>
          <cell r="U99">
            <v>0</v>
          </cell>
          <cell r="V99">
            <v>-3165.4194100000004</v>
          </cell>
          <cell r="W99">
            <v>0</v>
          </cell>
          <cell r="X99">
            <v>-144.16200000000001</v>
          </cell>
          <cell r="Y99">
            <v>-83.438649999999996</v>
          </cell>
          <cell r="Z99">
            <v>359.58275000000003</v>
          </cell>
          <cell r="AA99">
            <v>9.3937200000000001</v>
          </cell>
          <cell r="AB99">
            <v>0</v>
          </cell>
          <cell r="AC99">
            <v>-4724.0784799999992</v>
          </cell>
          <cell r="AD99">
            <v>695.64256</v>
          </cell>
          <cell r="AE99">
            <v>-340.91854999999998</v>
          </cell>
          <cell r="AF99">
            <v>-669.95754999999997</v>
          </cell>
          <cell r="AG99">
            <v>0</v>
          </cell>
          <cell r="AH99">
            <v>7311.4132399999999</v>
          </cell>
          <cell r="AI99">
            <v>1225.9474399999999</v>
          </cell>
          <cell r="AJ99">
            <v>-1551.58996</v>
          </cell>
          <cell r="AK99">
            <v>-99.324469999999977</v>
          </cell>
          <cell r="AL99">
            <v>-2737.1579100000017</v>
          </cell>
          <cell r="AM99">
            <v>1259.9025000000001</v>
          </cell>
          <cell r="AN99">
            <v>74.622159999999681</v>
          </cell>
          <cell r="AO99">
            <v>-550.19184999999993</v>
          </cell>
          <cell r="AP99">
            <v>-55.171500000000002</v>
          </cell>
          <cell r="AQ99">
            <v>-758.6186100000001</v>
          </cell>
          <cell r="AR99">
            <v>-192.0898</v>
          </cell>
          <cell r="AT99">
            <v>-651.4438399999998</v>
          </cell>
          <cell r="AU99">
            <v>5.5733600000000001</v>
          </cell>
          <cell r="AV99">
            <v>0</v>
          </cell>
          <cell r="AW99">
            <v>0</v>
          </cell>
          <cell r="AX99">
            <v>166.054</v>
          </cell>
          <cell r="AY99">
            <v>0</v>
          </cell>
          <cell r="AZ99">
            <v>8.77</v>
          </cell>
          <cell r="BA99">
            <v>5.2172300000000007</v>
          </cell>
          <cell r="BB99">
            <v>-18.99446</v>
          </cell>
          <cell r="BC99">
            <v>-0.56978000000000006</v>
          </cell>
          <cell r="BD99">
            <v>0</v>
          </cell>
          <cell r="BE99">
            <v>1141.8364200000001</v>
          </cell>
          <cell r="BF99">
            <v>-968.55907999999886</v>
          </cell>
          <cell r="BG99">
            <v>-180.31165999999999</v>
          </cell>
          <cell r="BH99">
            <v>143.06777</v>
          </cell>
          <cell r="BI99">
            <v>8.3243799999999979</v>
          </cell>
          <cell r="BJ99">
            <v>0</v>
          </cell>
          <cell r="BK99">
            <v>1716.9067199999918</v>
          </cell>
        </row>
        <row r="100">
          <cell r="C100">
            <v>14436.148819709746</v>
          </cell>
          <cell r="N100">
            <v>6372.4260842995627</v>
          </cell>
          <cell r="O100">
            <v>-841.25711429474927</v>
          </cell>
          <cell r="P100">
            <v>0</v>
          </cell>
          <cell r="Q100">
            <v>-111.4292926553818</v>
          </cell>
          <cell r="R100">
            <v>0</v>
          </cell>
          <cell r="S100">
            <v>-515.81434056829846</v>
          </cell>
          <cell r="T100">
            <v>-35.146733855390124</v>
          </cell>
          <cell r="U100">
            <v>0</v>
          </cell>
          <cell r="V100">
            <v>-1610.7130835120633</v>
          </cell>
          <cell r="W100">
            <v>0</v>
          </cell>
          <cell r="X100">
            <v>-499.88510770020383</v>
          </cell>
          <cell r="Y100">
            <v>-57.976289510810197</v>
          </cell>
          <cell r="Z100">
            <v>280.90885257163399</v>
          </cell>
          <cell r="AA100">
            <v>0</v>
          </cell>
          <cell r="AB100">
            <v>0</v>
          </cell>
          <cell r="AC100">
            <v>-1713.9715293481211</v>
          </cell>
          <cell r="AD100">
            <v>0</v>
          </cell>
          <cell r="AE100">
            <v>0</v>
          </cell>
          <cell r="AF100">
            <v>-628.14493919907</v>
          </cell>
          <cell r="AG100">
            <v>0</v>
          </cell>
          <cell r="AH100">
            <v>2342.1164685471913</v>
          </cell>
          <cell r="AI100">
            <v>57.976289510810197</v>
          </cell>
          <cell r="AJ100">
            <v>0</v>
          </cell>
          <cell r="AK100">
            <v>0</v>
          </cell>
          <cell r="AL100">
            <v>-1201.5607786867581</v>
          </cell>
          <cell r="AM100">
            <v>0</v>
          </cell>
          <cell r="AN100">
            <v>0</v>
          </cell>
          <cell r="AO100">
            <v>-436.5774777657175</v>
          </cell>
          <cell r="AP100">
            <v>-33.919650238454452</v>
          </cell>
          <cell r="AQ100">
            <v>-581.1088641241065</v>
          </cell>
          <cell r="AR100">
            <v>-236.69077109598152</v>
          </cell>
          <cell r="AT100">
            <v>-699.57181956133513</v>
          </cell>
          <cell r="AU100">
            <v>-37.755785020572425</v>
          </cell>
          <cell r="AV100">
            <v>0</v>
          </cell>
          <cell r="AW100">
            <v>10.920667484236114</v>
          </cell>
          <cell r="AX100">
            <v>154.1895818227577</v>
          </cell>
          <cell r="AY100">
            <v>0</v>
          </cell>
          <cell r="AZ100">
            <v>48.991417888640989</v>
          </cell>
          <cell r="BA100">
            <v>3.2330214330380547</v>
          </cell>
          <cell r="BB100">
            <v>-16.274075611212467</v>
          </cell>
          <cell r="BC100">
            <v>0</v>
          </cell>
          <cell r="BD100">
            <v>0</v>
          </cell>
          <cell r="BE100">
            <v>147.90882388183252</v>
          </cell>
          <cell r="BF100">
            <v>-192.03382388183252</v>
          </cell>
          <cell r="BG100">
            <v>-3.2330214330380547</v>
          </cell>
          <cell r="BH100">
            <v>0</v>
          </cell>
          <cell r="BI100">
            <v>0</v>
          </cell>
          <cell r="BJ100">
            <v>0</v>
          </cell>
          <cell r="BK100">
            <v>-34.393290623392744</v>
          </cell>
        </row>
        <row r="102">
          <cell r="C102">
            <v>7596.2462800000076</v>
          </cell>
          <cell r="N102">
            <v>5402.0138000000079</v>
          </cell>
          <cell r="O102">
            <v>-45.389969999999998</v>
          </cell>
          <cell r="P102">
            <v>0</v>
          </cell>
          <cell r="Q102">
            <v>0</v>
          </cell>
          <cell r="R102">
            <v>0</v>
          </cell>
          <cell r="S102">
            <v>-155.87882999999999</v>
          </cell>
          <cell r="T102">
            <v>-2.3420900000000002</v>
          </cell>
          <cell r="U102">
            <v>0</v>
          </cell>
          <cell r="V102">
            <v>-1340.2874700000002</v>
          </cell>
          <cell r="W102">
            <v>0</v>
          </cell>
          <cell r="X102">
            <v>0</v>
          </cell>
          <cell r="Y102">
            <v>-11.65788</v>
          </cell>
          <cell r="Z102">
            <v>62.50461</v>
          </cell>
          <cell r="AA102">
            <v>0.48995999999999995</v>
          </cell>
          <cell r="AB102">
            <v>0</v>
          </cell>
          <cell r="AC102">
            <v>-1233.5981300000001</v>
          </cell>
          <cell r="AD102">
            <v>126.11474000000001</v>
          </cell>
          <cell r="AE102">
            <v>-42.189809999999994</v>
          </cell>
          <cell r="AF102">
            <v>-105.96028</v>
          </cell>
          <cell r="AG102">
            <v>0</v>
          </cell>
          <cell r="AH102">
            <v>1604.0963399999996</v>
          </cell>
          <cell r="AI102">
            <v>1799.0391699999998</v>
          </cell>
          <cell r="AJ102">
            <v>6.8838000000000079</v>
          </cell>
          <cell r="AK102">
            <v>-135.13437999999996</v>
          </cell>
          <cell r="AL102">
            <v>-990.06265999999925</v>
          </cell>
          <cell r="AM102">
            <v>131.80561</v>
          </cell>
          <cell r="AN102">
            <v>190.84775999999997</v>
          </cell>
          <cell r="AO102">
            <v>-180.44713000000002</v>
          </cell>
          <cell r="AP102">
            <v>-31.514970000000002</v>
          </cell>
          <cell r="AQ102">
            <v>-256.16424999999998</v>
          </cell>
          <cell r="AR102">
            <v>-130.70706000000001</v>
          </cell>
          <cell r="AT102">
            <v>-705.31414000000007</v>
          </cell>
          <cell r="AU102">
            <v>0</v>
          </cell>
          <cell r="AV102">
            <v>0</v>
          </cell>
          <cell r="AW102">
            <v>0</v>
          </cell>
          <cell r="AX102">
            <v>26.768999999999998</v>
          </cell>
          <cell r="AY102">
            <v>0</v>
          </cell>
          <cell r="AZ102">
            <v>0</v>
          </cell>
          <cell r="BA102">
            <v>9.7310000000000008E-2</v>
          </cell>
          <cell r="BB102">
            <v>-0.90457999999999972</v>
          </cell>
          <cell r="BC102">
            <v>-2.6900000000000001E-3</v>
          </cell>
          <cell r="BD102">
            <v>0</v>
          </cell>
          <cell r="BE102">
            <v>113.03822</v>
          </cell>
          <cell r="BF102">
            <v>-107.97099999999986</v>
          </cell>
          <cell r="BG102">
            <v>-10.326790000000001</v>
          </cell>
          <cell r="BH102">
            <v>-0.59697</v>
          </cell>
          <cell r="BI102">
            <v>0.35829</v>
          </cell>
          <cell r="BJ102">
            <v>0</v>
          </cell>
          <cell r="BK102">
            <v>3977.6075300000089</v>
          </cell>
        </row>
        <row r="103">
          <cell r="C103">
            <v>5743.2604999999985</v>
          </cell>
          <cell r="N103">
            <v>3931.6019399999991</v>
          </cell>
          <cell r="O103">
            <v>-33.025120000000001</v>
          </cell>
          <cell r="P103">
            <v>0</v>
          </cell>
          <cell r="Q103">
            <v>0</v>
          </cell>
          <cell r="R103">
            <v>0.39799999999999969</v>
          </cell>
          <cell r="S103">
            <v>-144.73165</v>
          </cell>
          <cell r="T103">
            <v>-2.5090699999999941</v>
          </cell>
          <cell r="U103">
            <v>0</v>
          </cell>
          <cell r="V103">
            <v>-1346.0743499999999</v>
          </cell>
          <cell r="W103">
            <v>0</v>
          </cell>
          <cell r="X103">
            <v>0</v>
          </cell>
          <cell r="Y103">
            <v>-114.76486</v>
          </cell>
          <cell r="Z103">
            <v>61.554009999999998</v>
          </cell>
          <cell r="AA103">
            <v>11.19068</v>
          </cell>
          <cell r="AB103">
            <v>0</v>
          </cell>
          <cell r="AC103">
            <v>-1021.4048800000002</v>
          </cell>
          <cell r="AD103">
            <v>117.72268</v>
          </cell>
          <cell r="AE103">
            <v>-39.055140000000009</v>
          </cell>
          <cell r="AF103">
            <v>-75.063270000000003</v>
          </cell>
          <cell r="AG103">
            <v>0</v>
          </cell>
          <cell r="AH103">
            <v>760.16232999999852</v>
          </cell>
          <cell r="AI103">
            <v>587.78584000000001</v>
          </cell>
          <cell r="AJ103">
            <v>-16.942890000000006</v>
          </cell>
          <cell r="AK103">
            <v>-61.883259999999993</v>
          </cell>
          <cell r="AL103">
            <v>-757.95810000000006</v>
          </cell>
          <cell r="AM103">
            <v>129.58175999999997</v>
          </cell>
          <cell r="AN103">
            <v>133.12947999999994</v>
          </cell>
          <cell r="AO103">
            <v>-175.27540999999999</v>
          </cell>
          <cell r="AP103">
            <v>-19.888560000000002</v>
          </cell>
          <cell r="AQ103">
            <v>-236.32106999999999</v>
          </cell>
          <cell r="AR103">
            <v>-101.215</v>
          </cell>
          <cell r="AT103">
            <v>-911.05063999999993</v>
          </cell>
          <cell r="AU103">
            <v>0</v>
          </cell>
          <cell r="AV103">
            <v>0</v>
          </cell>
          <cell r="AW103">
            <v>0</v>
          </cell>
          <cell r="AX103">
            <v>28</v>
          </cell>
          <cell r="AY103">
            <v>0</v>
          </cell>
          <cell r="AZ103">
            <v>0</v>
          </cell>
          <cell r="BA103">
            <v>0.41990000000000005</v>
          </cell>
          <cell r="BB103">
            <v>-0.90058000000000005</v>
          </cell>
          <cell r="BC103">
            <v>-1.107E-2</v>
          </cell>
          <cell r="BD103">
            <v>0</v>
          </cell>
          <cell r="BE103">
            <v>83.623490000000018</v>
          </cell>
          <cell r="BF103">
            <v>-48.900690000000004</v>
          </cell>
          <cell r="BG103">
            <v>-0.66169</v>
          </cell>
          <cell r="BH103">
            <v>-3.66262</v>
          </cell>
          <cell r="BI103">
            <v>-6.6689999999999985E-2</v>
          </cell>
          <cell r="BJ103">
            <v>0</v>
          </cell>
          <cell r="BK103">
            <v>733.80349999999783</v>
          </cell>
        </row>
        <row r="104">
          <cell r="C104">
            <v>6459.0205073738898</v>
          </cell>
          <cell r="N104">
            <v>5070.1760169854078</v>
          </cell>
          <cell r="O104">
            <v>-281.69506337914902</v>
          </cell>
          <cell r="P104">
            <v>0</v>
          </cell>
          <cell r="Q104">
            <v>0</v>
          </cell>
          <cell r="R104">
            <v>0</v>
          </cell>
          <cell r="S104">
            <v>-173.69774414096267</v>
          </cell>
          <cell r="T104">
            <v>-53.523947379385703</v>
          </cell>
          <cell r="U104">
            <v>0</v>
          </cell>
          <cell r="V104">
            <v>-921.46492396973872</v>
          </cell>
          <cell r="W104">
            <v>0</v>
          </cell>
          <cell r="X104">
            <v>0</v>
          </cell>
          <cell r="Y104">
            <v>-21.339899919051408</v>
          </cell>
          <cell r="Z104">
            <v>31.882277364852751</v>
          </cell>
          <cell r="AA104">
            <v>0</v>
          </cell>
          <cell r="AB104">
            <v>0</v>
          </cell>
          <cell r="AC104">
            <v>-1068.7383102786425</v>
          </cell>
          <cell r="AD104">
            <v>0</v>
          </cell>
          <cell r="AE104">
            <v>0</v>
          </cell>
          <cell r="AF104">
            <v>-107.04789475877141</v>
          </cell>
          <cell r="AG104">
            <v>0</v>
          </cell>
          <cell r="AH104">
            <v>1175.786205037414</v>
          </cell>
          <cell r="AI104">
            <v>21.339899919051408</v>
          </cell>
          <cell r="AJ104">
            <v>0</v>
          </cell>
          <cell r="AK104">
            <v>0</v>
          </cell>
          <cell r="AL104">
            <v>-655.99561532163216</v>
          </cell>
          <cell r="AM104">
            <v>0</v>
          </cell>
          <cell r="AN104">
            <v>0</v>
          </cell>
          <cell r="AO104">
            <v>-180.37907394306484</v>
          </cell>
          <cell r="AP104">
            <v>-18.445534409054833</v>
          </cell>
          <cell r="AQ104">
            <v>-256.46996482122449</v>
          </cell>
          <cell r="AR104">
            <v>-175.91982541732844</v>
          </cell>
          <cell r="AT104">
            <v>-654.55098363390903</v>
          </cell>
          <cell r="AU104">
            <v>8.9072521418095327</v>
          </cell>
          <cell r="AV104">
            <v>0</v>
          </cell>
          <cell r="AW104">
            <v>0</v>
          </cell>
          <cell r="AX104">
            <v>118.08029852971413</v>
          </cell>
          <cell r="AY104">
            <v>0</v>
          </cell>
          <cell r="AZ104">
            <v>0</v>
          </cell>
          <cell r="BA104">
            <v>1.8225958094694423</v>
          </cell>
          <cell r="BB104">
            <v>-1.3482454073210342</v>
          </cell>
          <cell r="BC104">
            <v>0</v>
          </cell>
          <cell r="BD104">
            <v>0</v>
          </cell>
          <cell r="BE104">
            <v>251.23998326925152</v>
          </cell>
          <cell r="BF104">
            <v>-251.23998326925152</v>
          </cell>
          <cell r="BG104">
            <v>-1.8225958094694423</v>
          </cell>
          <cell r="BH104">
            <v>0</v>
          </cell>
          <cell r="BI104">
            <v>0</v>
          </cell>
          <cell r="BJ104">
            <v>0</v>
          </cell>
          <cell r="BK104">
            <v>1855.5549231990124</v>
          </cell>
        </row>
      </sheetData>
      <sheetData sheetId="4" refreshError="1"/>
      <sheetData sheetId="5" refreshError="1"/>
      <sheetData sheetId="6" refreshError="1">
        <row r="21">
          <cell r="C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</row>
        <row r="22">
          <cell r="C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</row>
        <row r="25">
          <cell r="C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</row>
        <row r="26">
          <cell r="C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</row>
        <row r="29">
          <cell r="C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</row>
        <row r="30">
          <cell r="C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</row>
        <row r="31">
          <cell r="C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</row>
        <row r="33">
          <cell r="C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</row>
        <row r="34">
          <cell r="C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</row>
        <row r="35">
          <cell r="C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</row>
        <row r="42">
          <cell r="C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</row>
        <row r="43">
          <cell r="C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</row>
        <row r="54">
          <cell r="C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</row>
        <row r="57">
          <cell r="C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</row>
        <row r="58">
          <cell r="C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</row>
        <row r="59">
          <cell r="C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14.245850000000026</v>
          </cell>
          <cell r="AR61">
            <v>-14.930250000000001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-0.68439999999997525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-67.719820000000055</v>
          </cell>
          <cell r="AR62">
            <v>53.175139999999992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-14.544680000000064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65">
          <cell r="C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14.245850000000026</v>
          </cell>
          <cell r="AR65">
            <v>-14.930250000000001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-0.68439999999997525</v>
          </cell>
        </row>
        <row r="66">
          <cell r="C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-67.719820000000055</v>
          </cell>
          <cell r="AR66">
            <v>53.175139999999992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-14.544680000000064</v>
          </cell>
        </row>
        <row r="67">
          <cell r="C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</row>
        <row r="69">
          <cell r="C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</row>
        <row r="70">
          <cell r="C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</row>
        <row r="71">
          <cell r="C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</row>
        <row r="73">
          <cell r="C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</row>
        <row r="74">
          <cell r="C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</row>
        <row r="75">
          <cell r="C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</row>
        <row r="83">
          <cell r="C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1">
          <cell r="C21">
            <v>16294.070280000005</v>
          </cell>
          <cell r="N21">
            <v>13734.72721000001</v>
          </cell>
          <cell r="O21">
            <v>-253.76949999999994</v>
          </cell>
          <cell r="P21">
            <v>0</v>
          </cell>
          <cell r="Q21">
            <v>0</v>
          </cell>
          <cell r="R21">
            <v>-9.9999999999909054E-6</v>
          </cell>
          <cell r="S21">
            <v>-780.72208999999998</v>
          </cell>
          <cell r="T21">
            <v>-136.48692999999997</v>
          </cell>
          <cell r="U21">
            <v>0</v>
          </cell>
          <cell r="V21">
            <v>-8139.4792667263791</v>
          </cell>
          <cell r="W21">
            <v>0</v>
          </cell>
          <cell r="X21">
            <v>-1602.3310732736215</v>
          </cell>
          <cell r="Y21">
            <v>-126.71000000000001</v>
          </cell>
          <cell r="Z21">
            <v>1074.2703000000001</v>
          </cell>
          <cell r="AA21">
            <v>22.849510000000002</v>
          </cell>
          <cell r="AB21">
            <v>-1700</v>
          </cell>
          <cell r="AC21">
            <v>-8337.4896499999995</v>
          </cell>
          <cell r="AD21">
            <v>248.09351000000001</v>
          </cell>
          <cell r="AE21">
            <v>-358.71963</v>
          </cell>
          <cell r="AF21">
            <v>-574.30642999999986</v>
          </cell>
          <cell r="AG21">
            <v>0</v>
          </cell>
          <cell r="AH21">
            <v>-2427.3066300000046</v>
          </cell>
          <cell r="AI21">
            <v>1207.5714399999999</v>
          </cell>
          <cell r="AJ21">
            <v>15007.51872</v>
          </cell>
          <cell r="AK21">
            <v>164.67368999999999</v>
          </cell>
          <cell r="AL21">
            <v>-2131.8626800000002</v>
          </cell>
          <cell r="AM21">
            <v>1204.8327100000001</v>
          </cell>
          <cell r="AN21">
            <v>-961.22593000000052</v>
          </cell>
          <cell r="AO21">
            <v>-1091.25956</v>
          </cell>
          <cell r="AP21">
            <v>-123.3257</v>
          </cell>
          <cell r="AQ21">
            <v>-758.93420000000003</v>
          </cell>
          <cell r="AR21">
            <v>-463.08255000000003</v>
          </cell>
          <cell r="AT21">
            <v>-859.51870999999994</v>
          </cell>
          <cell r="AU21">
            <v>0.72236999999999996</v>
          </cell>
          <cell r="AV21">
            <v>0</v>
          </cell>
          <cell r="AW21">
            <v>0</v>
          </cell>
          <cell r="AX21">
            <v>-39.975264850871753</v>
          </cell>
          <cell r="AY21">
            <v>0</v>
          </cell>
          <cell r="AZ21">
            <v>131.18826485087175</v>
          </cell>
          <cell r="BA21">
            <v>1.2073399999999999</v>
          </cell>
          <cell r="BB21">
            <v>-10.058450000000001</v>
          </cell>
          <cell r="BC21">
            <v>-0.22254000000000002</v>
          </cell>
          <cell r="BD21">
            <v>0</v>
          </cell>
          <cell r="BE21">
            <v>563.02054999999996</v>
          </cell>
          <cell r="BF21">
            <v>-64.993990000007926</v>
          </cell>
          <cell r="BG21">
            <v>2.9182599999999956</v>
          </cell>
          <cell r="BH21">
            <v>-2539.2877599999997</v>
          </cell>
          <cell r="BI21">
            <v>-54.163709999999995</v>
          </cell>
          <cell r="BJ21">
            <v>0</v>
          </cell>
          <cell r="BK21">
            <v>-171.6383800000022</v>
          </cell>
          <cell r="EA21">
            <v>4160.373650000005</v>
          </cell>
          <cell r="EL21">
            <v>4645.428260000006</v>
          </cell>
          <cell r="EM21">
            <v>-186.93957999999998</v>
          </cell>
          <cell r="EN21">
            <v>0</v>
          </cell>
          <cell r="EO21">
            <v>0</v>
          </cell>
          <cell r="EP21">
            <v>0</v>
          </cell>
          <cell r="EQ21">
            <v>-304.07034999999996</v>
          </cell>
          <cell r="ER21">
            <v>-87.277729999999963</v>
          </cell>
          <cell r="ES21">
            <v>0</v>
          </cell>
          <cell r="ET21">
            <v>-2574.1902730248912</v>
          </cell>
          <cell r="EU21">
            <v>0</v>
          </cell>
          <cell r="EV21">
            <v>-567.30300697510938</v>
          </cell>
          <cell r="EW21">
            <v>-126.71000000000001</v>
          </cell>
          <cell r="EX21">
            <v>516.02701000000013</v>
          </cell>
          <cell r="EY21">
            <v>22.849510000000002</v>
          </cell>
          <cell r="EZ21">
            <v>-1700</v>
          </cell>
          <cell r="FA21">
            <v>-2933.7469700000001</v>
          </cell>
          <cell r="FB21">
            <v>76.239370000000036</v>
          </cell>
          <cell r="FC21">
            <v>-129.05595</v>
          </cell>
          <cell r="FD21">
            <v>-143.22471999999993</v>
          </cell>
          <cell r="FE21">
            <v>0</v>
          </cell>
          <cell r="FF21">
            <v>-6940.416280000004</v>
          </cell>
          <cell r="FG21">
            <v>1207.5714399999999</v>
          </cell>
          <cell r="FH21">
            <v>14748.234259999999</v>
          </cell>
          <cell r="FI21">
            <v>164.67368999999999</v>
          </cell>
          <cell r="FJ21">
            <v>-587.29162999999971</v>
          </cell>
          <cell r="FK21">
            <v>213.67790000000002</v>
          </cell>
          <cell r="FL21">
            <v>-260.74218000000008</v>
          </cell>
          <cell r="FM21">
            <v>-331.8756699999999</v>
          </cell>
          <cell r="FN21">
            <v>-58.154499999999999</v>
          </cell>
          <cell r="FO21">
            <v>-251.55203</v>
          </cell>
          <cell r="FP21">
            <v>-170.88639000000001</v>
          </cell>
          <cell r="FR21">
            <v>-118.42131000000006</v>
          </cell>
          <cell r="FS21">
            <v>0.47189999999999993</v>
          </cell>
          <cell r="FT21">
            <v>0</v>
          </cell>
          <cell r="FU21">
            <v>0</v>
          </cell>
          <cell r="FV21">
            <v>30.928295808606975</v>
          </cell>
          <cell r="FW21">
            <v>0</v>
          </cell>
          <cell r="FX21">
            <v>10.375704191393027</v>
          </cell>
          <cell r="FY21">
            <v>1.2073399999999999</v>
          </cell>
          <cell r="FZ21">
            <v>-4.6115500000000011</v>
          </cell>
          <cell r="GA21">
            <v>-0.22254000000000002</v>
          </cell>
          <cell r="GB21">
            <v>0</v>
          </cell>
          <cell r="GC21">
            <v>116.97302000000002</v>
          </cell>
          <cell r="GD21">
            <v>-112.83302999998867</v>
          </cell>
          <cell r="GE21">
            <v>2.9182599999999956</v>
          </cell>
          <cell r="GF21">
            <v>-2466.6980399999998</v>
          </cell>
          <cell r="GG21">
            <v>-54.163709999999995</v>
          </cell>
          <cell r="GH21">
            <v>0</v>
          </cell>
          <cell r="GI21">
            <v>1647.188520000012</v>
          </cell>
        </row>
        <row r="22">
          <cell r="C22">
            <v>17593.41043</v>
          </cell>
          <cell r="N22">
            <v>14344.922869999999</v>
          </cell>
          <cell r="O22">
            <v>7.2663400000000138</v>
          </cell>
          <cell r="P22">
            <v>0</v>
          </cell>
          <cell r="Q22">
            <v>-250.923</v>
          </cell>
          <cell r="R22">
            <v>13.668000000000001</v>
          </cell>
          <cell r="S22">
            <v>-1137.4261099999999</v>
          </cell>
          <cell r="T22">
            <v>-187.86560000000006</v>
          </cell>
          <cell r="U22">
            <v>0</v>
          </cell>
          <cell r="V22">
            <v>-8410.5543199999993</v>
          </cell>
          <cell r="W22">
            <v>0</v>
          </cell>
          <cell r="X22">
            <v>-1259.7240000000002</v>
          </cell>
          <cell r="Y22">
            <v>-157.48609999999999</v>
          </cell>
          <cell r="Z22">
            <v>748.00459000000001</v>
          </cell>
          <cell r="AA22">
            <v>19.7591</v>
          </cell>
          <cell r="AB22">
            <v>-30</v>
          </cell>
          <cell r="AC22">
            <v>-13769.851100000002</v>
          </cell>
          <cell r="AD22">
            <v>138.22660000000002</v>
          </cell>
          <cell r="AE22">
            <v>-547.14274999999998</v>
          </cell>
          <cell r="AF22">
            <v>-652.68590000000006</v>
          </cell>
          <cell r="AG22">
            <v>0</v>
          </cell>
          <cell r="AH22">
            <v>15203.337619999997</v>
          </cell>
          <cell r="AI22">
            <v>-88.012529999999984</v>
          </cell>
          <cell r="AJ22">
            <v>914.17419000000007</v>
          </cell>
          <cell r="AK22">
            <v>64.218809999999991</v>
          </cell>
          <cell r="AL22">
            <v>-2360.5081600000003</v>
          </cell>
          <cell r="AM22">
            <v>1351.19372</v>
          </cell>
          <cell r="AN22">
            <v>-1001.1050799999996</v>
          </cell>
          <cell r="AO22">
            <v>-971.38998000000015</v>
          </cell>
          <cell r="AP22">
            <v>-143.42991000000001</v>
          </cell>
          <cell r="AQ22">
            <v>-714.01109999999994</v>
          </cell>
          <cell r="AR22">
            <v>-457.51845000000003</v>
          </cell>
          <cell r="AT22">
            <v>-1292.5770399999997</v>
          </cell>
          <cell r="AU22">
            <v>11.09778</v>
          </cell>
          <cell r="AV22">
            <v>0</v>
          </cell>
          <cell r="AW22">
            <v>0</v>
          </cell>
          <cell r="AX22">
            <v>-9.1410000000000053</v>
          </cell>
          <cell r="AY22">
            <v>0</v>
          </cell>
          <cell r="AZ22">
            <v>153.32499999999999</v>
          </cell>
          <cell r="BA22">
            <v>2.1620999999999997</v>
          </cell>
          <cell r="BB22">
            <v>-11.152749999999999</v>
          </cell>
          <cell r="BC22">
            <v>-0.27609</v>
          </cell>
          <cell r="BD22">
            <v>0</v>
          </cell>
          <cell r="BE22">
            <v>1629.9663399999999</v>
          </cell>
          <cell r="BF22">
            <v>-1650.4395399999828</v>
          </cell>
          <cell r="BG22">
            <v>173.6097</v>
          </cell>
          <cell r="BH22">
            <v>-139.88186999999996</v>
          </cell>
          <cell r="BI22">
            <v>-21.992439999999995</v>
          </cell>
          <cell r="BJ22">
            <v>0</v>
          </cell>
          <cell r="BK22">
            <v>-490.16205999998829</v>
          </cell>
          <cell r="EA22">
            <v>4704.368440000002</v>
          </cell>
          <cell r="EL22">
            <v>5164.2586200000042</v>
          </cell>
          <cell r="EM22">
            <v>-87.308949999999982</v>
          </cell>
          <cell r="EN22">
            <v>0</v>
          </cell>
          <cell r="EO22">
            <v>-250.923</v>
          </cell>
          <cell r="EP22">
            <v>141.018</v>
          </cell>
          <cell r="EQ22">
            <v>-410.84117999999989</v>
          </cell>
          <cell r="ER22">
            <v>-82.032460000000029</v>
          </cell>
          <cell r="ES22">
            <v>0</v>
          </cell>
          <cell r="ET22">
            <v>-3033.8186885860305</v>
          </cell>
          <cell r="EU22">
            <v>0</v>
          </cell>
          <cell r="EV22">
            <v>-213.47374141396836</v>
          </cell>
          <cell r="EW22">
            <v>-157.48609999999999</v>
          </cell>
          <cell r="EX22">
            <v>256.38909999999998</v>
          </cell>
          <cell r="EY22">
            <v>19.7591</v>
          </cell>
          <cell r="EZ22">
            <v>-30</v>
          </cell>
          <cell r="FA22">
            <v>-3803.08662</v>
          </cell>
          <cell r="FB22">
            <v>-51.92002999999994</v>
          </cell>
          <cell r="FC22">
            <v>-190.13307999999995</v>
          </cell>
          <cell r="FD22">
            <v>-208.10883000000013</v>
          </cell>
          <cell r="FE22">
            <v>0</v>
          </cell>
          <cell r="FF22">
            <v>3138.3497899999948</v>
          </cell>
          <cell r="FG22">
            <v>-88.012529999999984</v>
          </cell>
          <cell r="FH22">
            <v>1132.1813399999999</v>
          </cell>
          <cell r="FI22">
            <v>64.218809999999991</v>
          </cell>
          <cell r="FJ22">
            <v>-695.07710999999972</v>
          </cell>
          <cell r="FK22">
            <v>240.49162000000001</v>
          </cell>
          <cell r="FL22">
            <v>-271.68588999999997</v>
          </cell>
          <cell r="FM22">
            <v>-342.16743000000008</v>
          </cell>
          <cell r="FN22">
            <v>-51.929700000000011</v>
          </cell>
          <cell r="FO22">
            <v>-249.14553000000001</v>
          </cell>
          <cell r="FP22">
            <v>-145.27861000000007</v>
          </cell>
          <cell r="FR22">
            <v>-676.36197999999968</v>
          </cell>
          <cell r="FS22">
            <v>9.5961800000000004</v>
          </cell>
          <cell r="FT22">
            <v>0</v>
          </cell>
          <cell r="FU22">
            <v>0</v>
          </cell>
          <cell r="FV22">
            <v>-7.6390000000000056</v>
          </cell>
          <cell r="FW22">
            <v>0</v>
          </cell>
          <cell r="FX22">
            <v>153.32499999999999</v>
          </cell>
          <cell r="FY22">
            <v>2.1620999999999997</v>
          </cell>
          <cell r="FZ22">
            <v>-11.267719999999999</v>
          </cell>
          <cell r="GA22">
            <v>-0.27609</v>
          </cell>
          <cell r="GB22">
            <v>0</v>
          </cell>
          <cell r="GC22">
            <v>125.12752</v>
          </cell>
          <cell r="GD22">
            <v>-92.894809999986819</v>
          </cell>
          <cell r="GE22">
            <v>173.6097</v>
          </cell>
          <cell r="GF22">
            <v>-145.20266999999998</v>
          </cell>
          <cell r="GG22">
            <v>-21.992439999999995</v>
          </cell>
          <cell r="GH22">
            <v>0</v>
          </cell>
          <cell r="GI22">
            <v>-697.57730999998614</v>
          </cell>
        </row>
        <row r="23">
          <cell r="C23">
            <v>17898.638255777369</v>
          </cell>
          <cell r="N23">
            <v>14520.999154972347</v>
          </cell>
          <cell r="O23">
            <v>-2720.0482303583503</v>
          </cell>
          <cell r="P23">
            <v>0</v>
          </cell>
          <cell r="Q23">
            <v>-600.89854022018199</v>
          </cell>
          <cell r="R23">
            <v>0</v>
          </cell>
          <cell r="S23">
            <v>-1236.3313934194111</v>
          </cell>
          <cell r="T23">
            <v>-213.38074035579621</v>
          </cell>
          <cell r="U23">
            <v>0</v>
          </cell>
          <cell r="V23">
            <v>-4135.4400657969654</v>
          </cell>
          <cell r="W23">
            <v>0</v>
          </cell>
          <cell r="X23">
            <v>-1090.9168089647842</v>
          </cell>
          <cell r="Y23">
            <v>-133.40201698784546</v>
          </cell>
          <cell r="Z23">
            <v>532.14575270376338</v>
          </cell>
          <cell r="AA23">
            <v>0</v>
          </cell>
          <cell r="AB23">
            <v>0</v>
          </cell>
          <cell r="AC23">
            <v>-5505.6903175923362</v>
          </cell>
          <cell r="AD23">
            <v>0</v>
          </cell>
          <cell r="AE23">
            <v>0</v>
          </cell>
          <cell r="AF23">
            <v>-390.26165404282938</v>
          </cell>
          <cell r="AG23">
            <v>0</v>
          </cell>
          <cell r="AH23">
            <v>5924.4519716351651</v>
          </cell>
          <cell r="AI23">
            <v>133.40201698784546</v>
          </cell>
          <cell r="AJ23">
            <v>0</v>
          </cell>
          <cell r="AK23">
            <v>0</v>
          </cell>
          <cell r="AL23">
            <v>-2135.2060282296111</v>
          </cell>
          <cell r="AM23">
            <v>0</v>
          </cell>
          <cell r="AN23">
            <v>0</v>
          </cell>
          <cell r="AO23">
            <v>-1062.4722727264586</v>
          </cell>
          <cell r="AP23">
            <v>-110.06348134673756</v>
          </cell>
          <cell r="AQ23">
            <v>-802.33031460269751</v>
          </cell>
          <cell r="AR23">
            <v>-518.32019458339846</v>
          </cell>
          <cell r="AT23">
            <v>-1156.8008355890215</v>
          </cell>
          <cell r="AU23">
            <v>223.18473654332809</v>
          </cell>
          <cell r="AV23">
            <v>0</v>
          </cell>
          <cell r="AW23">
            <v>65.360187545812806</v>
          </cell>
          <cell r="AX23">
            <v>-87.94211868341921</v>
          </cell>
          <cell r="AY23">
            <v>0</v>
          </cell>
          <cell r="AZ23">
            <v>118.65984431363607</v>
          </cell>
          <cell r="BA23">
            <v>4.6989988128924427</v>
          </cell>
          <cell r="BB23">
            <v>-19.473601419575722</v>
          </cell>
          <cell r="BC23">
            <v>0</v>
          </cell>
          <cell r="BD23">
            <v>0</v>
          </cell>
          <cell r="BE23">
            <v>-78.030477910403832</v>
          </cell>
          <cell r="BF23">
            <v>-470.46952208959618</v>
          </cell>
          <cell r="BG23">
            <v>-4.6989988128924427</v>
          </cell>
          <cell r="BH23">
            <v>0</v>
          </cell>
          <cell r="BI23">
            <v>0</v>
          </cell>
          <cell r="BJ23">
            <v>0</v>
          </cell>
          <cell r="BK23">
            <v>-949.27495021752225</v>
          </cell>
          <cell r="EA23">
            <v>4958.9853576313253</v>
          </cell>
          <cell r="EL23">
            <v>4840.3330516574479</v>
          </cell>
          <cell r="EM23">
            <v>-906.68274345278314</v>
          </cell>
          <cell r="EN23">
            <v>0</v>
          </cell>
          <cell r="EO23">
            <v>-200.29951340672739</v>
          </cell>
          <cell r="EP23">
            <v>0</v>
          </cell>
          <cell r="EQ23">
            <v>-412.11046447313697</v>
          </cell>
          <cell r="ER23">
            <v>-71.126913451932069</v>
          </cell>
          <cell r="ES23">
            <v>0</v>
          </cell>
          <cell r="ET23">
            <v>-1378.4800219323224</v>
          </cell>
          <cell r="EU23">
            <v>0</v>
          </cell>
          <cell r="EV23">
            <v>-363.63893632159466</v>
          </cell>
          <cell r="EW23">
            <v>-44.467338995948495</v>
          </cell>
          <cell r="EX23">
            <v>177.38191756792116</v>
          </cell>
          <cell r="EY23">
            <v>0</v>
          </cell>
          <cell r="EZ23">
            <v>0</v>
          </cell>
          <cell r="FA23">
            <v>-1835.2301058641124</v>
          </cell>
          <cell r="FB23">
            <v>0</v>
          </cell>
          <cell r="FC23">
            <v>0</v>
          </cell>
          <cell r="FD23">
            <v>-130.08721801427646</v>
          </cell>
          <cell r="FE23">
            <v>0</v>
          </cell>
          <cell r="FF23">
            <v>1974.8173238783884</v>
          </cell>
          <cell r="FG23">
            <v>44.467338995948495</v>
          </cell>
          <cell r="FH23">
            <v>0</v>
          </cell>
          <cell r="FI23">
            <v>0</v>
          </cell>
          <cell r="FJ23">
            <v>-711.73534274320377</v>
          </cell>
          <cell r="FK23">
            <v>0</v>
          </cell>
          <cell r="FL23">
            <v>0</v>
          </cell>
          <cell r="FM23">
            <v>-354.15742424215284</v>
          </cell>
          <cell r="FN23">
            <v>-36.687827115579196</v>
          </cell>
          <cell r="FO23">
            <v>-267.44343820089921</v>
          </cell>
          <cell r="FP23">
            <v>-172.77339819446615</v>
          </cell>
          <cell r="FR23">
            <v>-385.6002785296738</v>
          </cell>
          <cell r="FS23">
            <v>74.394912181109362</v>
          </cell>
          <cell r="FT23">
            <v>0</v>
          </cell>
          <cell r="FU23">
            <v>21.786729181937595</v>
          </cell>
          <cell r="FV23">
            <v>-29.314039561139737</v>
          </cell>
          <cell r="FW23">
            <v>0</v>
          </cell>
          <cell r="FX23">
            <v>39.553281437878695</v>
          </cell>
          <cell r="FY23">
            <v>1.5663329376308139</v>
          </cell>
          <cell r="FZ23">
            <v>-6.4912004731919062</v>
          </cell>
          <cell r="GA23">
            <v>0</v>
          </cell>
          <cell r="GB23">
            <v>0</v>
          </cell>
          <cell r="GC23">
            <v>-26.010159303467951</v>
          </cell>
          <cell r="GD23">
            <v>-156.82317402986541</v>
          </cell>
          <cell r="GE23">
            <v>-1.5663329376308139</v>
          </cell>
          <cell r="GF23">
            <v>0</v>
          </cell>
          <cell r="GG23">
            <v>0</v>
          </cell>
          <cell r="GH23">
            <v>0</v>
          </cell>
          <cell r="GI23">
            <v>-316.42498340584262</v>
          </cell>
        </row>
        <row r="25">
          <cell r="C25">
            <v>14137.034029999995</v>
          </cell>
          <cell r="N25">
            <v>11261.222739999992</v>
          </cell>
          <cell r="O25">
            <v>-3021.1830200000004</v>
          </cell>
          <cell r="P25">
            <v>-9.9448799999999995</v>
          </cell>
          <cell r="Q25">
            <v>0</v>
          </cell>
          <cell r="R25">
            <v>101.32453</v>
          </cell>
          <cell r="S25">
            <v>-623.45555000000002</v>
          </cell>
          <cell r="T25">
            <v>-62.65146</v>
          </cell>
          <cell r="U25">
            <v>0</v>
          </cell>
          <cell r="V25">
            <v>-4081.2516799999999</v>
          </cell>
          <cell r="W25">
            <v>-13.985760000000001</v>
          </cell>
          <cell r="X25">
            <v>0</v>
          </cell>
          <cell r="Y25">
            <v>-6.4724399999999997</v>
          </cell>
          <cell r="Z25">
            <v>59.914230000000003</v>
          </cell>
          <cell r="AA25">
            <v>8.8070000000000009E-2</v>
          </cell>
          <cell r="AB25">
            <v>-150</v>
          </cell>
          <cell r="AC25">
            <v>-4989.1122399999995</v>
          </cell>
          <cell r="AD25">
            <v>1030.70892</v>
          </cell>
          <cell r="AE25">
            <v>-157.67520999999999</v>
          </cell>
          <cell r="AF25">
            <v>-145.73194000000001</v>
          </cell>
          <cell r="AG25">
            <v>0</v>
          </cell>
          <cell r="AH25">
            <v>4822.52574</v>
          </cell>
          <cell r="AI25">
            <v>47.576600000000013</v>
          </cell>
          <cell r="AJ25">
            <v>24.63328000000002</v>
          </cell>
          <cell r="AK25">
            <v>0.83885999999999994</v>
          </cell>
          <cell r="AL25">
            <v>-2348.0270800000026</v>
          </cell>
          <cell r="AM25">
            <v>1235.82864</v>
          </cell>
          <cell r="AN25">
            <v>-837.5252200000001</v>
          </cell>
          <cell r="AO25">
            <v>-960.90242999999987</v>
          </cell>
          <cell r="AP25">
            <v>-104.83774</v>
          </cell>
          <cell r="AQ25">
            <v>-657.58570999999995</v>
          </cell>
          <cell r="AR25">
            <v>-394.07866000000001</v>
          </cell>
          <cell r="AT25">
            <v>-83.409539999999993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0.54513</v>
          </cell>
          <cell r="BH25">
            <v>-1.6330000000000001E-2</v>
          </cell>
          <cell r="BI25">
            <v>-3.7199999999999998E-3</v>
          </cell>
          <cell r="BJ25">
            <v>0</v>
          </cell>
          <cell r="BK25">
            <v>-62.643870000008747</v>
          </cell>
          <cell r="EA25">
            <v>3469.5432500000024</v>
          </cell>
          <cell r="EL25">
            <v>3959.696649999998</v>
          </cell>
          <cell r="EM25">
            <v>-1908.5784200000003</v>
          </cell>
          <cell r="EN25">
            <v>-9.9448799999999995</v>
          </cell>
          <cell r="EO25">
            <v>0</v>
          </cell>
          <cell r="EP25">
            <v>94.867049999999992</v>
          </cell>
          <cell r="EQ25">
            <v>-249.66221999999999</v>
          </cell>
          <cell r="ER25">
            <v>-42.23668</v>
          </cell>
          <cell r="ES25">
            <v>0</v>
          </cell>
          <cell r="ET25">
            <v>-481.3437200000003</v>
          </cell>
          <cell r="EU25">
            <v>-13.985760000000001</v>
          </cell>
          <cell r="EV25">
            <v>0</v>
          </cell>
          <cell r="EW25">
            <v>-6.4724399999999997</v>
          </cell>
          <cell r="EX25">
            <v>7.2641799999999961</v>
          </cell>
          <cell r="EY25">
            <v>8.8070000000000009E-2</v>
          </cell>
          <cell r="EZ25">
            <v>-150</v>
          </cell>
          <cell r="FA25">
            <v>-1278.4638799999998</v>
          </cell>
          <cell r="FB25">
            <v>330.13265000000001</v>
          </cell>
          <cell r="FC25">
            <v>-59.889879999999991</v>
          </cell>
          <cell r="FD25">
            <v>-39.720230000000015</v>
          </cell>
          <cell r="FE25">
            <v>0</v>
          </cell>
          <cell r="FF25">
            <v>1073.9397199999999</v>
          </cell>
          <cell r="FG25">
            <v>47.576600000000013</v>
          </cell>
          <cell r="FH25">
            <v>80.109290000000016</v>
          </cell>
          <cell r="FI25">
            <v>0.83885999999999994</v>
          </cell>
          <cell r="FJ25">
            <v>-579.38373999999931</v>
          </cell>
          <cell r="FK25">
            <v>144.91956000000005</v>
          </cell>
          <cell r="FL25">
            <v>-225.02951999999993</v>
          </cell>
          <cell r="FM25">
            <v>-284.8069099999999</v>
          </cell>
          <cell r="FN25">
            <v>-49.357199999999992</v>
          </cell>
          <cell r="FO25">
            <v>-218.66210999999998</v>
          </cell>
          <cell r="FP25">
            <v>-147.02889000000002</v>
          </cell>
          <cell r="FR25">
            <v>-45.513829999999984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0.54513</v>
          </cell>
          <cell r="GF25">
            <v>-1.6330000000000001E-2</v>
          </cell>
          <cell r="GG25">
            <v>-3.7199999999999998E-3</v>
          </cell>
          <cell r="GH25">
            <v>0</v>
          </cell>
          <cell r="GI25">
            <v>-50.12260000000154</v>
          </cell>
        </row>
        <row r="26">
          <cell r="C26">
            <v>15591.294820000006</v>
          </cell>
          <cell r="N26">
            <v>11862.410830000004</v>
          </cell>
          <cell r="O26">
            <v>-3088.1217100000003</v>
          </cell>
          <cell r="P26">
            <v>0</v>
          </cell>
          <cell r="Q26">
            <v>0</v>
          </cell>
          <cell r="R26">
            <v>176.25167000000002</v>
          </cell>
          <cell r="S26">
            <v>-764.59743000000003</v>
          </cell>
          <cell r="T26">
            <v>-58.181370000000001</v>
          </cell>
          <cell r="U26">
            <v>0</v>
          </cell>
          <cell r="V26">
            <v>-4985.4653300000009</v>
          </cell>
          <cell r="W26">
            <v>0</v>
          </cell>
          <cell r="X26">
            <v>0</v>
          </cell>
          <cell r="Y26">
            <v>-37.606580000000001</v>
          </cell>
          <cell r="Z26">
            <v>82.033180000000002</v>
          </cell>
          <cell r="AA26">
            <v>0.60797000000000001</v>
          </cell>
          <cell r="AB26">
            <v>-270</v>
          </cell>
          <cell r="AC26">
            <v>-6192.1197700000012</v>
          </cell>
          <cell r="AD26">
            <v>1584.5081699999998</v>
          </cell>
          <cell r="AE26">
            <v>-192.70875000000001</v>
          </cell>
          <cell r="AF26">
            <v>-189.327</v>
          </cell>
          <cell r="AG26">
            <v>0</v>
          </cell>
          <cell r="AH26">
            <v>5659.3961799999997</v>
          </cell>
          <cell r="AI26">
            <v>54.320740000000008</v>
          </cell>
          <cell r="AJ26">
            <v>-69.367219999999989</v>
          </cell>
          <cell r="AK26">
            <v>-0.65177000000000007</v>
          </cell>
          <cell r="AL26">
            <v>-2549.6801199999982</v>
          </cell>
          <cell r="AM26">
            <v>1360.6706599999998</v>
          </cell>
          <cell r="AN26">
            <v>-844.50738000000001</v>
          </cell>
          <cell r="AO26">
            <v>-824.95344</v>
          </cell>
          <cell r="AP26">
            <v>-114.55064</v>
          </cell>
          <cell r="AQ26">
            <v>-548.35348999999997</v>
          </cell>
          <cell r="AR26">
            <v>-375.83284000000003</v>
          </cell>
          <cell r="AT26">
            <v>-125.08499999999999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-0.88532</v>
          </cell>
          <cell r="BF26">
            <v>-7.3620000000000001</v>
          </cell>
          <cell r="BG26">
            <v>-1.9149999999999997E-2</v>
          </cell>
          <cell r="BH26">
            <v>-1.7500000000000003E-3</v>
          </cell>
          <cell r="BI26">
            <v>1.0000000000000001E-5</v>
          </cell>
          <cell r="BJ26">
            <v>0</v>
          </cell>
          <cell r="BK26">
            <v>-459.17864999999739</v>
          </cell>
          <cell r="EA26">
            <v>4186.1447200000021</v>
          </cell>
          <cell r="EL26">
            <v>4504.9611899999963</v>
          </cell>
          <cell r="EM26">
            <v>-1345.9601500000003</v>
          </cell>
          <cell r="EN26">
            <v>0</v>
          </cell>
          <cell r="EO26">
            <v>0</v>
          </cell>
          <cell r="EP26">
            <v>265.43556999999998</v>
          </cell>
          <cell r="EQ26">
            <v>-279.91507000000001</v>
          </cell>
          <cell r="ER26">
            <v>-31.873900000000003</v>
          </cell>
          <cell r="ES26">
            <v>0</v>
          </cell>
          <cell r="ET26">
            <v>-2112.9603300000008</v>
          </cell>
          <cell r="EU26">
            <v>0</v>
          </cell>
          <cell r="EV26">
            <v>0</v>
          </cell>
          <cell r="EW26">
            <v>-37.606580000000001</v>
          </cell>
          <cell r="EX26">
            <v>34.72578</v>
          </cell>
          <cell r="EY26">
            <v>0.60797000000000001</v>
          </cell>
          <cell r="EZ26">
            <v>-270</v>
          </cell>
          <cell r="FA26">
            <v>-1368.1403300000002</v>
          </cell>
          <cell r="FB26">
            <v>97.232439999999997</v>
          </cell>
          <cell r="FC26">
            <v>-66.354180000000014</v>
          </cell>
          <cell r="FD26">
            <v>-56.25954999999999</v>
          </cell>
          <cell r="FE26">
            <v>0</v>
          </cell>
          <cell r="FF26">
            <v>1313.8660899999995</v>
          </cell>
          <cell r="FG26">
            <v>54.320740000000008</v>
          </cell>
          <cell r="FH26">
            <v>-1.2635699999999872</v>
          </cell>
          <cell r="FI26">
            <v>-0.65177000000000007</v>
          </cell>
          <cell r="FJ26">
            <v>-672.19967999999972</v>
          </cell>
          <cell r="FK26">
            <v>161.57095999999979</v>
          </cell>
          <cell r="FL26">
            <v>-226.21393000000012</v>
          </cell>
          <cell r="FM26">
            <v>-286.61341999999991</v>
          </cell>
          <cell r="FN26">
            <v>-42.085610000000003</v>
          </cell>
          <cell r="FO26">
            <v>-187.03100999999992</v>
          </cell>
          <cell r="FP26">
            <v>-126.24621000000002</v>
          </cell>
          <cell r="FR26">
            <v>-41.694999999999993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-0.88532</v>
          </cell>
          <cell r="GD26">
            <v>-7.3620000000000001</v>
          </cell>
          <cell r="GE26">
            <v>-1.9149999999999997E-2</v>
          </cell>
          <cell r="GF26">
            <v>-1.7500000000000003E-3</v>
          </cell>
          <cell r="GG26">
            <v>1.0000000000000001E-5</v>
          </cell>
          <cell r="GH26">
            <v>0</v>
          </cell>
          <cell r="GI26">
            <v>-728.61776000000521</v>
          </cell>
        </row>
        <row r="27">
          <cell r="C27">
            <v>15026.638435819481</v>
          </cell>
          <cell r="N27">
            <v>11664.135320954661</v>
          </cell>
          <cell r="O27">
            <v>-5634.556979228566</v>
          </cell>
          <cell r="P27">
            <v>-263.30801373170476</v>
          </cell>
          <cell r="Q27">
            <v>0</v>
          </cell>
          <cell r="R27">
            <v>0</v>
          </cell>
          <cell r="S27">
            <v>-917.04034765188135</v>
          </cell>
          <cell r="T27">
            <v>-240.42352383203865</v>
          </cell>
          <cell r="U27">
            <v>0</v>
          </cell>
          <cell r="V27">
            <v>-864.10005339284123</v>
          </cell>
          <cell r="W27">
            <v>-47.659721262345187</v>
          </cell>
          <cell r="X27">
            <v>0</v>
          </cell>
          <cell r="Y27">
            <v>-27.190975124348967</v>
          </cell>
          <cell r="Z27">
            <v>11.34460628512525</v>
          </cell>
          <cell r="AA27">
            <v>0</v>
          </cell>
          <cell r="AB27">
            <v>0</v>
          </cell>
          <cell r="AC27">
            <v>-1256.1230472460329</v>
          </cell>
          <cell r="AD27">
            <v>0</v>
          </cell>
          <cell r="AE27">
            <v>0</v>
          </cell>
          <cell r="AF27">
            <v>-130.56877360403809</v>
          </cell>
          <cell r="AG27">
            <v>0</v>
          </cell>
          <cell r="AH27">
            <v>1400.6918208500708</v>
          </cell>
          <cell r="AI27">
            <v>27.190975124348967</v>
          </cell>
          <cell r="AJ27">
            <v>0</v>
          </cell>
          <cell r="AK27">
            <v>0</v>
          </cell>
          <cell r="AL27">
            <v>-2024.2607342278131</v>
          </cell>
          <cell r="AM27">
            <v>0</v>
          </cell>
          <cell r="AN27">
            <v>0</v>
          </cell>
          <cell r="AO27">
            <v>-925.603309134303</v>
          </cell>
          <cell r="AP27">
            <v>-88.650708473938039</v>
          </cell>
          <cell r="AQ27">
            <v>-691.32526887042673</v>
          </cell>
          <cell r="AR27">
            <v>-449.28313377111954</v>
          </cell>
          <cell r="AT27">
            <v>-278.3189557755328</v>
          </cell>
          <cell r="AU27">
            <v>7.3839004772647474</v>
          </cell>
          <cell r="AV27">
            <v>40.7941993105458</v>
          </cell>
          <cell r="AW27">
            <v>0</v>
          </cell>
          <cell r="AX27">
            <v>-7.3839004772647456</v>
          </cell>
          <cell r="AY27">
            <v>7.3839004772647456</v>
          </cell>
          <cell r="AZ27">
            <v>0</v>
          </cell>
          <cell r="BA27">
            <v>3.3391800247488695E-2</v>
          </cell>
          <cell r="BB27">
            <v>-1.4473621608180791E-2</v>
          </cell>
          <cell r="BC27">
            <v>0</v>
          </cell>
          <cell r="BD27">
            <v>0</v>
          </cell>
          <cell r="BE27">
            <v>1.6722744193738426</v>
          </cell>
          <cell r="BF27">
            <v>-1.6722744193738426</v>
          </cell>
          <cell r="BG27">
            <v>-3.3391800247488695E-2</v>
          </cell>
          <cell r="BH27">
            <v>0</v>
          </cell>
          <cell r="BI27">
            <v>0</v>
          </cell>
          <cell r="BJ27">
            <v>0</v>
          </cell>
          <cell r="BK27">
            <v>-686.88719594652127</v>
          </cell>
          <cell r="EA27">
            <v>3843.4782432731336</v>
          </cell>
          <cell r="EL27">
            <v>3888.0451069848878</v>
          </cell>
          <cell r="EM27">
            <v>-1878.185659742855</v>
          </cell>
          <cell r="EN27">
            <v>-87.769337910568254</v>
          </cell>
          <cell r="EO27">
            <v>0</v>
          </cell>
          <cell r="EP27">
            <v>0</v>
          </cell>
          <cell r="EQ27">
            <v>-305.68011588396053</v>
          </cell>
          <cell r="ER27">
            <v>-80.141174610679542</v>
          </cell>
          <cell r="ES27">
            <v>0</v>
          </cell>
          <cell r="ET27">
            <v>-288.03335113094715</v>
          </cell>
          <cell r="EU27">
            <v>-15.886573754115062</v>
          </cell>
          <cell r="EV27">
            <v>0</v>
          </cell>
          <cell r="EW27">
            <v>-9.0636583747829889</v>
          </cell>
          <cell r="EX27">
            <v>3.7815354283750828</v>
          </cell>
          <cell r="EY27">
            <v>0</v>
          </cell>
          <cell r="EZ27">
            <v>0</v>
          </cell>
          <cell r="FA27">
            <v>-418.70768241534438</v>
          </cell>
          <cell r="FB27">
            <v>0</v>
          </cell>
          <cell r="FC27">
            <v>0</v>
          </cell>
          <cell r="FD27">
            <v>-43.522924534679362</v>
          </cell>
          <cell r="FE27">
            <v>0</v>
          </cell>
          <cell r="FF27">
            <v>466.89727361669031</v>
          </cell>
          <cell r="FG27">
            <v>9.0636583747829889</v>
          </cell>
          <cell r="FH27">
            <v>0</v>
          </cell>
          <cell r="FI27">
            <v>0</v>
          </cell>
          <cell r="FJ27">
            <v>-674.75357807593741</v>
          </cell>
          <cell r="FK27">
            <v>0</v>
          </cell>
          <cell r="FL27">
            <v>0</v>
          </cell>
          <cell r="FM27">
            <v>-308.53443637810108</v>
          </cell>
          <cell r="FN27">
            <v>-29.550236157979342</v>
          </cell>
          <cell r="FO27">
            <v>-230.44175629014217</v>
          </cell>
          <cell r="FP27">
            <v>-149.76104459037322</v>
          </cell>
          <cell r="FR27">
            <v>-92.772985258510971</v>
          </cell>
          <cell r="FS27">
            <v>2.4613001590882515</v>
          </cell>
          <cell r="FT27">
            <v>13.598066436848598</v>
          </cell>
          <cell r="FU27">
            <v>0</v>
          </cell>
          <cell r="FV27">
            <v>-2.461300159088248</v>
          </cell>
          <cell r="FW27">
            <v>2.461300159088248</v>
          </cell>
          <cell r="FX27">
            <v>0</v>
          </cell>
          <cell r="FY27">
            <v>1.1130600082496236E-2</v>
          </cell>
          <cell r="FZ27">
            <v>-4.8245405360602626E-3</v>
          </cell>
          <cell r="GA27">
            <v>0</v>
          </cell>
          <cell r="GB27">
            <v>0</v>
          </cell>
          <cell r="GC27">
            <v>0.55742480645794767</v>
          </cell>
          <cell r="GD27">
            <v>-0.55742480645794767</v>
          </cell>
          <cell r="GE27">
            <v>-1.1130600082496236E-2</v>
          </cell>
          <cell r="GF27">
            <v>0</v>
          </cell>
          <cell r="GG27">
            <v>0</v>
          </cell>
          <cell r="GH27">
            <v>0</v>
          </cell>
          <cell r="GI27">
            <v>-228.96239864884006</v>
          </cell>
        </row>
        <row r="29">
          <cell r="C29">
            <v>30431.104310000002</v>
          </cell>
          <cell r="N29">
            <v>24995.949950000002</v>
          </cell>
          <cell r="O29">
            <v>-3274.9525200000003</v>
          </cell>
          <cell r="P29">
            <v>-9.9448799999999995</v>
          </cell>
          <cell r="Q29">
            <v>0</v>
          </cell>
          <cell r="R29">
            <v>101.32451999999999</v>
          </cell>
          <cell r="S29">
            <v>-1404.1776399999999</v>
          </cell>
          <cell r="T29">
            <v>-199.13838999999996</v>
          </cell>
          <cell r="U29">
            <v>0</v>
          </cell>
          <cell r="V29">
            <v>-12220.730946726379</v>
          </cell>
          <cell r="W29">
            <v>-13.985760000000001</v>
          </cell>
          <cell r="X29">
            <v>-1602.3310732736215</v>
          </cell>
          <cell r="Y29">
            <v>-133.18244000000001</v>
          </cell>
          <cell r="Z29">
            <v>1134.1845300000002</v>
          </cell>
          <cell r="AA29">
            <v>22.937580000000001</v>
          </cell>
          <cell r="AB29">
            <v>-1850</v>
          </cell>
          <cell r="AC29">
            <v>-13326.601889999998</v>
          </cell>
          <cell r="AD29">
            <v>1278.80243</v>
          </cell>
          <cell r="AE29">
            <v>-516.39483999999993</v>
          </cell>
          <cell r="AF29">
            <v>-720.03836999999987</v>
          </cell>
          <cell r="AG29">
            <v>0</v>
          </cell>
          <cell r="AH29">
            <v>2395.2191099999955</v>
          </cell>
          <cell r="AI29">
            <v>1255.14804</v>
          </cell>
          <cell r="AJ29">
            <v>15032.152</v>
          </cell>
          <cell r="AK29">
            <v>165.51255</v>
          </cell>
          <cell r="AL29">
            <v>-4479.8897600000028</v>
          </cell>
          <cell r="AM29">
            <v>2440.6613500000003</v>
          </cell>
          <cell r="AN29">
            <v>-1798.7511500000005</v>
          </cell>
          <cell r="AO29">
            <v>-2052.1619899999996</v>
          </cell>
          <cell r="AP29">
            <v>-228.16343999999998</v>
          </cell>
          <cell r="AQ29">
            <v>-1416.51991</v>
          </cell>
          <cell r="AR29">
            <v>-857.16120999999998</v>
          </cell>
          <cell r="AT29">
            <v>-942.92824999999993</v>
          </cell>
          <cell r="AU29">
            <v>0.72236999999999996</v>
          </cell>
          <cell r="AV29">
            <v>0</v>
          </cell>
          <cell r="AW29">
            <v>0</v>
          </cell>
          <cell r="AX29">
            <v>-39.975264850871753</v>
          </cell>
          <cell r="AY29">
            <v>0</v>
          </cell>
          <cell r="AZ29">
            <v>131.18826485087175</v>
          </cell>
          <cell r="BA29">
            <v>1.2073399999999999</v>
          </cell>
          <cell r="BB29">
            <v>-10.058450000000001</v>
          </cell>
          <cell r="BC29">
            <v>-0.22254000000000002</v>
          </cell>
          <cell r="BD29">
            <v>0</v>
          </cell>
          <cell r="BE29">
            <v>563.02054999999996</v>
          </cell>
          <cell r="BF29">
            <v>-64.993990000007926</v>
          </cell>
          <cell r="BG29">
            <v>3.4633899999999955</v>
          </cell>
          <cell r="BH29">
            <v>-2539.3040899999996</v>
          </cell>
          <cell r="BI29">
            <v>-54.167429999999996</v>
          </cell>
          <cell r="BJ29">
            <v>0</v>
          </cell>
          <cell r="BK29">
            <v>-234.28225000001095</v>
          </cell>
          <cell r="EA29">
            <v>7629.9169000000074</v>
          </cell>
          <cell r="EL29">
            <v>8605.1249100000041</v>
          </cell>
          <cell r="EM29">
            <v>-2095.518</v>
          </cell>
          <cell r="EN29">
            <v>-9.9448799999999995</v>
          </cell>
          <cell r="EO29">
            <v>0</v>
          </cell>
          <cell r="EP29">
            <v>94.867049999999992</v>
          </cell>
          <cell r="EQ29">
            <v>-553.7325699999999</v>
          </cell>
          <cell r="ER29">
            <v>-129.51440999999997</v>
          </cell>
          <cell r="ES29">
            <v>0</v>
          </cell>
          <cell r="ET29">
            <v>-3055.5339930248915</v>
          </cell>
          <cell r="EU29">
            <v>-13.985760000000001</v>
          </cell>
          <cell r="EV29">
            <v>-567.30300697510938</v>
          </cell>
          <cell r="EW29">
            <v>-133.18244000000001</v>
          </cell>
          <cell r="EX29">
            <v>523.29119000000014</v>
          </cell>
          <cell r="EY29">
            <v>22.937580000000001</v>
          </cell>
          <cell r="EZ29">
            <v>-1850</v>
          </cell>
          <cell r="FA29">
            <v>-4212.2108499999995</v>
          </cell>
          <cell r="FB29">
            <v>406.37202000000002</v>
          </cell>
          <cell r="FC29">
            <v>-188.94583</v>
          </cell>
          <cell r="FD29">
            <v>-182.94494999999995</v>
          </cell>
          <cell r="FE29">
            <v>0</v>
          </cell>
          <cell r="FF29">
            <v>-5866.4765600000046</v>
          </cell>
          <cell r="FG29">
            <v>1255.14804</v>
          </cell>
          <cell r="FH29">
            <v>14828.34355</v>
          </cell>
          <cell r="FI29">
            <v>165.51255</v>
          </cell>
          <cell r="FJ29">
            <v>-1166.675369999999</v>
          </cell>
          <cell r="FK29">
            <v>358.59746000000007</v>
          </cell>
          <cell r="FL29">
            <v>-485.77170000000001</v>
          </cell>
          <cell r="FM29">
            <v>-616.6825799999998</v>
          </cell>
          <cell r="FN29">
            <v>-107.51169999999999</v>
          </cell>
          <cell r="FO29">
            <v>-470.21413999999999</v>
          </cell>
          <cell r="FP29">
            <v>-317.91528000000005</v>
          </cell>
          <cell r="FR29">
            <v>-163.93514000000005</v>
          </cell>
          <cell r="FS29">
            <v>0.47189999999999993</v>
          </cell>
          <cell r="FT29">
            <v>0</v>
          </cell>
          <cell r="FU29">
            <v>0</v>
          </cell>
          <cell r="FV29">
            <v>30.928295808606975</v>
          </cell>
          <cell r="FW29">
            <v>0</v>
          </cell>
          <cell r="FX29">
            <v>10.375704191393027</v>
          </cell>
          <cell r="FY29">
            <v>1.2073399999999999</v>
          </cell>
          <cell r="FZ29">
            <v>-4.6115500000000011</v>
          </cell>
          <cell r="GA29">
            <v>-0.22254000000000002</v>
          </cell>
          <cell r="GB29">
            <v>0</v>
          </cell>
          <cell r="GC29">
            <v>116.97302000000002</v>
          </cell>
          <cell r="GD29">
            <v>-112.83302999998867</v>
          </cell>
          <cell r="GE29">
            <v>3.4633899999999955</v>
          </cell>
          <cell r="GF29">
            <v>-2466.7143699999997</v>
          </cell>
          <cell r="GG29">
            <v>-54.167429999999996</v>
          </cell>
          <cell r="GH29">
            <v>0</v>
          </cell>
          <cell r="GI29">
            <v>1597.0659200000105</v>
          </cell>
        </row>
        <row r="30">
          <cell r="C30">
            <v>33184.705250000006</v>
          </cell>
          <cell r="N30">
            <v>26207.333700000003</v>
          </cell>
          <cell r="O30">
            <v>-3080.8553700000002</v>
          </cell>
          <cell r="P30">
            <v>0</v>
          </cell>
          <cell r="Q30">
            <v>-250.923</v>
          </cell>
          <cell r="R30">
            <v>189.91967000000002</v>
          </cell>
          <cell r="S30">
            <v>-1902.0235399999999</v>
          </cell>
          <cell r="T30">
            <v>-246.04697000000004</v>
          </cell>
          <cell r="U30">
            <v>0</v>
          </cell>
          <cell r="V30">
            <v>-13396.01965</v>
          </cell>
          <cell r="W30">
            <v>0</v>
          </cell>
          <cell r="X30">
            <v>-1259.7240000000002</v>
          </cell>
          <cell r="Y30">
            <v>-195.09268</v>
          </cell>
          <cell r="Z30">
            <v>830.03777000000002</v>
          </cell>
          <cell r="AA30">
            <v>20.367070000000002</v>
          </cell>
          <cell r="AB30">
            <v>-300</v>
          </cell>
          <cell r="AC30">
            <v>-19961.970870000005</v>
          </cell>
          <cell r="AD30">
            <v>1722.7347699999998</v>
          </cell>
          <cell r="AE30">
            <v>-739.85149999999999</v>
          </cell>
          <cell r="AF30">
            <v>-842.01290000000006</v>
          </cell>
          <cell r="AG30">
            <v>0</v>
          </cell>
          <cell r="AH30">
            <v>20862.733799999995</v>
          </cell>
          <cell r="AI30">
            <v>-33.691789999999976</v>
          </cell>
          <cell r="AJ30">
            <v>844.80697000000009</v>
          </cell>
          <cell r="AK30">
            <v>63.567039999999992</v>
          </cell>
          <cell r="AL30">
            <v>-4910.1882799999985</v>
          </cell>
          <cell r="AM30">
            <v>2711.86438</v>
          </cell>
          <cell r="AN30">
            <v>-1845.6124599999996</v>
          </cell>
          <cell r="AO30">
            <v>-1796.3434200000002</v>
          </cell>
          <cell r="AP30">
            <v>-257.98054999999999</v>
          </cell>
          <cell r="AQ30">
            <v>-1262.3645899999999</v>
          </cell>
          <cell r="AR30">
            <v>-833.35129000000006</v>
          </cell>
          <cell r="AT30">
            <v>-1417.6620399999997</v>
          </cell>
          <cell r="AU30">
            <v>11.09778</v>
          </cell>
          <cell r="AV30">
            <v>0</v>
          </cell>
          <cell r="AW30">
            <v>0</v>
          </cell>
          <cell r="AX30">
            <v>-9.1410000000000053</v>
          </cell>
          <cell r="AY30">
            <v>0</v>
          </cell>
          <cell r="AZ30">
            <v>153.32499999999999</v>
          </cell>
          <cell r="BA30">
            <v>2.1620999999999997</v>
          </cell>
          <cell r="BB30">
            <v>-11.152749999999999</v>
          </cell>
          <cell r="BC30">
            <v>-0.27609</v>
          </cell>
          <cell r="BD30">
            <v>0</v>
          </cell>
          <cell r="BE30">
            <v>1629.0810199999999</v>
          </cell>
          <cell r="BF30">
            <v>-1657.8015399999829</v>
          </cell>
          <cell r="BG30">
            <v>173.59055000000001</v>
          </cell>
          <cell r="BH30">
            <v>-139.88361999999995</v>
          </cell>
          <cell r="BI30">
            <v>-21.992429999999995</v>
          </cell>
          <cell r="BJ30">
            <v>0</v>
          </cell>
          <cell r="BK30">
            <v>-949.34070999998562</v>
          </cell>
          <cell r="EA30">
            <v>8890.5131600000041</v>
          </cell>
          <cell r="EL30">
            <v>9669.2198100000005</v>
          </cell>
          <cell r="EM30">
            <v>-1433.2691000000004</v>
          </cell>
          <cell r="EN30">
            <v>0</v>
          </cell>
          <cell r="EO30">
            <v>-250.923</v>
          </cell>
          <cell r="EP30">
            <v>406.45357000000001</v>
          </cell>
          <cell r="EQ30">
            <v>-690.75624999999991</v>
          </cell>
          <cell r="ER30">
            <v>-113.90636000000003</v>
          </cell>
          <cell r="ES30">
            <v>0</v>
          </cell>
          <cell r="ET30">
            <v>-5146.7790185860313</v>
          </cell>
          <cell r="EU30">
            <v>0</v>
          </cell>
          <cell r="EV30">
            <v>-213.47374141396836</v>
          </cell>
          <cell r="EW30">
            <v>-195.09268</v>
          </cell>
          <cell r="EX30">
            <v>291.11487999999997</v>
          </cell>
          <cell r="EY30">
            <v>20.367070000000002</v>
          </cell>
          <cell r="EZ30">
            <v>-300</v>
          </cell>
          <cell r="FA30">
            <v>-5171.2269500000002</v>
          </cell>
          <cell r="FB30">
            <v>45.312410000000057</v>
          </cell>
          <cell r="FC30">
            <v>-256.48725999999999</v>
          </cell>
          <cell r="FD30">
            <v>-264.36838000000012</v>
          </cell>
          <cell r="FE30">
            <v>0</v>
          </cell>
          <cell r="FF30">
            <v>4452.2158799999943</v>
          </cell>
          <cell r="FG30">
            <v>-33.691789999999976</v>
          </cell>
          <cell r="FH30">
            <v>1130.9177699999998</v>
          </cell>
          <cell r="FI30">
            <v>63.567039999999992</v>
          </cell>
          <cell r="FJ30">
            <v>-1367.2767899999994</v>
          </cell>
          <cell r="FK30">
            <v>402.0625799999998</v>
          </cell>
          <cell r="FL30">
            <v>-497.89982000000009</v>
          </cell>
          <cell r="FM30">
            <v>-628.78084999999999</v>
          </cell>
          <cell r="FN30">
            <v>-94.015310000000014</v>
          </cell>
          <cell r="FO30">
            <v>-436.17653999999993</v>
          </cell>
          <cell r="FP30">
            <v>-271.52482000000009</v>
          </cell>
          <cell r="FR30">
            <v>-718.05697999999961</v>
          </cell>
          <cell r="FS30">
            <v>9.5961800000000004</v>
          </cell>
          <cell r="FT30">
            <v>0</v>
          </cell>
          <cell r="FU30">
            <v>0</v>
          </cell>
          <cell r="FV30">
            <v>-7.6390000000000056</v>
          </cell>
          <cell r="FW30">
            <v>0</v>
          </cell>
          <cell r="FX30">
            <v>153.32499999999999</v>
          </cell>
          <cell r="FY30">
            <v>2.1620999999999997</v>
          </cell>
          <cell r="FZ30">
            <v>-11.267719999999999</v>
          </cell>
          <cell r="GA30">
            <v>-0.27609</v>
          </cell>
          <cell r="GB30">
            <v>0</v>
          </cell>
          <cell r="GC30">
            <v>124.24220000000001</v>
          </cell>
          <cell r="GD30">
            <v>-100.25680999998681</v>
          </cell>
          <cell r="GE30">
            <v>173.59055000000001</v>
          </cell>
          <cell r="GF30">
            <v>-145.20441999999997</v>
          </cell>
          <cell r="GG30">
            <v>-21.992429999999995</v>
          </cell>
          <cell r="GH30">
            <v>0</v>
          </cell>
          <cell r="GI30">
            <v>-1426.1950699999913</v>
          </cell>
        </row>
        <row r="31">
          <cell r="C31">
            <v>32925.276691596853</v>
          </cell>
          <cell r="N31">
            <v>26185.134475927007</v>
          </cell>
          <cell r="O31">
            <v>-8354.6052095869163</v>
          </cell>
          <cell r="P31">
            <v>-263.30801373170476</v>
          </cell>
          <cell r="Q31">
            <v>-600.89854022018199</v>
          </cell>
          <cell r="R31">
            <v>0</v>
          </cell>
          <cell r="S31">
            <v>-2153.3717410712925</v>
          </cell>
          <cell r="T31">
            <v>-453.80426418783486</v>
          </cell>
          <cell r="U31">
            <v>0</v>
          </cell>
          <cell r="V31">
            <v>-4999.5401191898063</v>
          </cell>
          <cell r="W31">
            <v>-47.659721262345187</v>
          </cell>
          <cell r="X31">
            <v>-1090.9168089647842</v>
          </cell>
          <cell r="Y31">
            <v>-160.59299211219442</v>
          </cell>
          <cell r="Z31">
            <v>543.4903589888886</v>
          </cell>
          <cell r="AA31">
            <v>0</v>
          </cell>
          <cell r="AB31">
            <v>0</v>
          </cell>
          <cell r="AC31">
            <v>-6761.8133648383691</v>
          </cell>
          <cell r="AD31">
            <v>0</v>
          </cell>
          <cell r="AE31">
            <v>0</v>
          </cell>
          <cell r="AF31">
            <v>-520.83042764686752</v>
          </cell>
          <cell r="AG31">
            <v>0</v>
          </cell>
          <cell r="AH31">
            <v>7325.1437924852362</v>
          </cell>
          <cell r="AI31">
            <v>160.59299211219442</v>
          </cell>
          <cell r="AJ31">
            <v>0</v>
          </cell>
          <cell r="AK31">
            <v>0</v>
          </cell>
          <cell r="AL31">
            <v>-4159.466762457424</v>
          </cell>
          <cell r="AM31">
            <v>0</v>
          </cell>
          <cell r="AN31">
            <v>0</v>
          </cell>
          <cell r="AO31">
            <v>-1988.0755818607618</v>
          </cell>
          <cell r="AP31">
            <v>-198.71418982067559</v>
          </cell>
          <cell r="AQ31">
            <v>-1493.6555834731244</v>
          </cell>
          <cell r="AR31">
            <v>-967.603328354518</v>
          </cell>
          <cell r="AT31">
            <v>-1435.1197913645542</v>
          </cell>
          <cell r="AU31">
            <v>230.56863702059283</v>
          </cell>
          <cell r="AV31">
            <v>40.7941993105458</v>
          </cell>
          <cell r="AW31">
            <v>65.360187545812806</v>
          </cell>
          <cell r="AX31">
            <v>-95.326019160683956</v>
          </cell>
          <cell r="AY31">
            <v>7.3839004772647456</v>
          </cell>
          <cell r="AZ31">
            <v>118.65984431363607</v>
          </cell>
          <cell r="BA31">
            <v>4.7323906131399314</v>
          </cell>
          <cell r="BB31">
            <v>-19.488075041183905</v>
          </cell>
          <cell r="BC31">
            <v>0</v>
          </cell>
          <cell r="BD31">
            <v>0</v>
          </cell>
          <cell r="BE31">
            <v>-76.358203491029983</v>
          </cell>
          <cell r="BF31">
            <v>-472.14179650897</v>
          </cell>
          <cell r="BG31">
            <v>-4.7323906131399314</v>
          </cell>
          <cell r="BH31">
            <v>0</v>
          </cell>
          <cell r="BI31">
            <v>0</v>
          </cell>
          <cell r="BJ31">
            <v>0</v>
          </cell>
          <cell r="BK31">
            <v>-1636.1621461640434</v>
          </cell>
          <cell r="EA31">
            <v>8802.4636009044589</v>
          </cell>
          <cell r="EL31">
            <v>8728.3781586423356</v>
          </cell>
          <cell r="EM31">
            <v>-2784.8684031956382</v>
          </cell>
          <cell r="EN31">
            <v>-87.769337910568254</v>
          </cell>
          <cell r="EO31">
            <v>-200.29951340672739</v>
          </cell>
          <cell r="EP31">
            <v>0</v>
          </cell>
          <cell r="EQ31">
            <v>-717.7905803570975</v>
          </cell>
          <cell r="ER31">
            <v>-151.26808806261161</v>
          </cell>
          <cell r="ES31">
            <v>0</v>
          </cell>
          <cell r="ET31">
            <v>-1666.5133730632697</v>
          </cell>
          <cell r="EU31">
            <v>-15.886573754115062</v>
          </cell>
          <cell r="EV31">
            <v>-363.63893632159466</v>
          </cell>
          <cell r="EW31">
            <v>-53.530997370731484</v>
          </cell>
          <cell r="EX31">
            <v>181.16345299629626</v>
          </cell>
          <cell r="EY31">
            <v>0</v>
          </cell>
          <cell r="EZ31">
            <v>0</v>
          </cell>
          <cell r="FA31">
            <v>-2253.937788279457</v>
          </cell>
          <cell r="FB31">
            <v>0</v>
          </cell>
          <cell r="FC31">
            <v>0</v>
          </cell>
          <cell r="FD31">
            <v>-173.61014254895582</v>
          </cell>
          <cell r="FE31">
            <v>0</v>
          </cell>
          <cell r="FF31">
            <v>2441.7145974950786</v>
          </cell>
          <cell r="FG31">
            <v>53.530997370731484</v>
          </cell>
          <cell r="FH31">
            <v>0</v>
          </cell>
          <cell r="FI31">
            <v>0</v>
          </cell>
          <cell r="FJ31">
            <v>-1386.4889208191412</v>
          </cell>
          <cell r="FK31">
            <v>0</v>
          </cell>
          <cell r="FL31">
            <v>0</v>
          </cell>
          <cell r="FM31">
            <v>-662.69186062025392</v>
          </cell>
          <cell r="FN31">
            <v>-66.238063273558538</v>
          </cell>
          <cell r="FO31">
            <v>-497.88519449104137</v>
          </cell>
          <cell r="FP31">
            <v>-322.53444278483937</v>
          </cell>
          <cell r="FR31">
            <v>-478.37326378818477</v>
          </cell>
          <cell r="FS31">
            <v>76.856212340197615</v>
          </cell>
          <cell r="FT31">
            <v>13.598066436848598</v>
          </cell>
          <cell r="FU31">
            <v>21.786729181937595</v>
          </cell>
          <cell r="FV31">
            <v>-31.775339720227983</v>
          </cell>
          <cell r="FW31">
            <v>2.461300159088248</v>
          </cell>
          <cell r="FX31">
            <v>39.553281437878695</v>
          </cell>
          <cell r="FY31">
            <v>1.5774635377133102</v>
          </cell>
          <cell r="FZ31">
            <v>-6.4960250137279667</v>
          </cell>
          <cell r="GA31">
            <v>0</v>
          </cell>
          <cell r="GB31">
            <v>0</v>
          </cell>
          <cell r="GC31">
            <v>-25.452734497010002</v>
          </cell>
          <cell r="GD31">
            <v>-157.38059883632337</v>
          </cell>
          <cell r="GE31">
            <v>-1.5774635377133102</v>
          </cell>
          <cell r="GF31">
            <v>0</v>
          </cell>
          <cell r="GG31">
            <v>0</v>
          </cell>
          <cell r="GH31">
            <v>0</v>
          </cell>
          <cell r="GI31">
            <v>-545.38738205468269</v>
          </cell>
        </row>
        <row r="33">
          <cell r="C33">
            <v>18427.51969999999</v>
          </cell>
          <cell r="N33">
            <v>16593.700589999997</v>
          </cell>
          <cell r="O33">
            <v>-877.98545999999999</v>
          </cell>
          <cell r="P33">
            <v>-88.379100000000022</v>
          </cell>
          <cell r="Q33">
            <v>0</v>
          </cell>
          <cell r="R33">
            <v>14.7493</v>
          </cell>
          <cell r="S33">
            <v>-516.61301000000003</v>
          </cell>
          <cell r="T33">
            <v>-59.731200000000008</v>
          </cell>
          <cell r="U33">
            <v>0</v>
          </cell>
          <cell r="V33">
            <v>-5368.2427040845623</v>
          </cell>
          <cell r="W33">
            <v>-69.340980000000002</v>
          </cell>
          <cell r="X33">
            <v>-879.79073591543715</v>
          </cell>
          <cell r="Y33">
            <v>-42.672450000000005</v>
          </cell>
          <cell r="Z33">
            <v>211.01520999999997</v>
          </cell>
          <cell r="AA33">
            <v>1.9213499999999999</v>
          </cell>
          <cell r="AB33">
            <v>0</v>
          </cell>
          <cell r="AC33">
            <v>-4220.67533</v>
          </cell>
          <cell r="AD33">
            <v>1028.6572099999998</v>
          </cell>
          <cell r="AE33">
            <v>-124.90530000000001</v>
          </cell>
          <cell r="AF33">
            <v>-360.25977</v>
          </cell>
          <cell r="AG33">
            <v>0</v>
          </cell>
          <cell r="AH33">
            <v>4183.7433200000005</v>
          </cell>
          <cell r="AI33">
            <v>330.33112999999992</v>
          </cell>
          <cell r="AJ33">
            <v>64.883269999999882</v>
          </cell>
          <cell r="AK33">
            <v>-5.8596400000000006</v>
          </cell>
          <cell r="AL33">
            <v>-4587.8798600000064</v>
          </cell>
          <cell r="AM33">
            <v>3230.2845200000002</v>
          </cell>
          <cell r="AN33">
            <v>-2828.7792000000018</v>
          </cell>
          <cell r="AO33">
            <v>-1591.4737899999998</v>
          </cell>
          <cell r="AP33">
            <v>-180.86615</v>
          </cell>
          <cell r="AQ33">
            <v>-652.07173</v>
          </cell>
          <cell r="AR33">
            <v>-568.66156000000001</v>
          </cell>
          <cell r="AT33">
            <v>-1806.6058699999996</v>
          </cell>
          <cell r="AU33">
            <v>0</v>
          </cell>
          <cell r="AV33">
            <v>0</v>
          </cell>
          <cell r="AW33">
            <v>0</v>
          </cell>
          <cell r="AX33">
            <v>-69.764388593301902</v>
          </cell>
          <cell r="AY33">
            <v>0</v>
          </cell>
          <cell r="AZ33">
            <v>69.764388593301902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1.1527400000000001</v>
          </cell>
          <cell r="BG33">
            <v>22.305340000000001</v>
          </cell>
          <cell r="BH33">
            <v>33.325310000000002</v>
          </cell>
          <cell r="BI33">
            <v>-1.0206600000000001</v>
          </cell>
          <cell r="BJ33">
            <v>0</v>
          </cell>
          <cell r="BK33">
            <v>884.25478999998813</v>
          </cell>
          <cell r="EA33">
            <v>4959.8026899999986</v>
          </cell>
          <cell r="EL33">
            <v>5655.9887300000082</v>
          </cell>
          <cell r="EM33">
            <v>-537.54780000000005</v>
          </cell>
          <cell r="EN33">
            <v>-88.379100000000022</v>
          </cell>
          <cell r="EO33">
            <v>0</v>
          </cell>
          <cell r="EP33">
            <v>14.55594</v>
          </cell>
          <cell r="EQ33">
            <v>-214.97774000000004</v>
          </cell>
          <cell r="ER33">
            <v>-42.183740000000007</v>
          </cell>
          <cell r="ES33">
            <v>0</v>
          </cell>
          <cell r="ET33">
            <v>-1225.9414134835788</v>
          </cell>
          <cell r="EU33">
            <v>-69.340980000000002</v>
          </cell>
          <cell r="EV33">
            <v>-356.00220651642076</v>
          </cell>
          <cell r="EW33">
            <v>-42.672450000000005</v>
          </cell>
          <cell r="EX33">
            <v>54.994359999999972</v>
          </cell>
          <cell r="EY33">
            <v>1.9213499999999999</v>
          </cell>
          <cell r="EZ33">
            <v>0</v>
          </cell>
          <cell r="FA33">
            <v>-823.02934999999979</v>
          </cell>
          <cell r="FB33">
            <v>157.41820999999982</v>
          </cell>
          <cell r="FC33">
            <v>-47.651740000000018</v>
          </cell>
          <cell r="FD33">
            <v>-85.652270000000044</v>
          </cell>
          <cell r="FE33">
            <v>0</v>
          </cell>
          <cell r="FF33">
            <v>-364.26294000000053</v>
          </cell>
          <cell r="FG33">
            <v>330.33112999999992</v>
          </cell>
          <cell r="FH33">
            <v>203.09249</v>
          </cell>
          <cell r="FI33">
            <v>-5.8596400000000006</v>
          </cell>
          <cell r="FJ33">
            <v>-1056.3196600000038</v>
          </cell>
          <cell r="FK33">
            <v>644.40086999999949</v>
          </cell>
          <cell r="FL33">
            <v>-830.37338000000022</v>
          </cell>
          <cell r="FM33">
            <v>-383.47824000000014</v>
          </cell>
          <cell r="FN33">
            <v>-82.745400000000004</v>
          </cell>
          <cell r="FO33">
            <v>-206.91633999999999</v>
          </cell>
          <cell r="FP33">
            <v>-215.83128999999997</v>
          </cell>
          <cell r="FR33">
            <v>-582.38294999999971</v>
          </cell>
          <cell r="FS33">
            <v>0</v>
          </cell>
          <cell r="FT33">
            <v>0</v>
          </cell>
          <cell r="FU33">
            <v>0</v>
          </cell>
          <cell r="FV33">
            <v>-11.162330337116941</v>
          </cell>
          <cell r="FW33">
            <v>0</v>
          </cell>
          <cell r="FX33">
            <v>11.162330337116941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1.1527400000000001</v>
          </cell>
          <cell r="GE33">
            <v>22.305340000000001</v>
          </cell>
          <cell r="GF33">
            <v>31.409120000000001</v>
          </cell>
          <cell r="GG33">
            <v>-1.0206600000000001</v>
          </cell>
          <cell r="GH33">
            <v>0</v>
          </cell>
          <cell r="GI33">
            <v>-144.99900999999693</v>
          </cell>
        </row>
        <row r="34">
          <cell r="C34">
            <v>18976.355390000004</v>
          </cell>
          <cell r="N34">
            <v>17064.782769999998</v>
          </cell>
          <cell r="O34">
            <v>-878.07465999999999</v>
          </cell>
          <cell r="P34">
            <v>0</v>
          </cell>
          <cell r="Q34">
            <v>-300</v>
          </cell>
          <cell r="R34">
            <v>20.261220000000005</v>
          </cell>
          <cell r="S34">
            <v>-553.18700000000001</v>
          </cell>
          <cell r="T34">
            <v>-55.965230000000005</v>
          </cell>
          <cell r="U34">
            <v>0</v>
          </cell>
          <cell r="V34">
            <v>-6274.1652800000002</v>
          </cell>
          <cell r="W34">
            <v>0</v>
          </cell>
          <cell r="X34">
            <v>-433.85199999999998</v>
          </cell>
          <cell r="Y34">
            <v>-90.466170000000005</v>
          </cell>
          <cell r="Z34">
            <v>227.87612000000001</v>
          </cell>
          <cell r="AA34">
            <v>3.7407399999999997</v>
          </cell>
          <cell r="AB34">
            <v>0</v>
          </cell>
          <cell r="AC34">
            <v>-5307.6939599999996</v>
          </cell>
          <cell r="AD34">
            <v>901.35321999999996</v>
          </cell>
          <cell r="AE34">
            <v>-137.31822999999997</v>
          </cell>
          <cell r="AF34">
            <v>-410.04719</v>
          </cell>
          <cell r="AG34">
            <v>0</v>
          </cell>
          <cell r="AH34">
            <v>9864.004359999999</v>
          </cell>
          <cell r="AI34">
            <v>238.74159999999995</v>
          </cell>
          <cell r="AJ34">
            <v>-169.86464000000001</v>
          </cell>
          <cell r="AK34">
            <v>-2.0997200000000005</v>
          </cell>
          <cell r="AL34">
            <v>-4984.6051499999921</v>
          </cell>
          <cell r="AM34">
            <v>3377.6102500000002</v>
          </cell>
          <cell r="AN34">
            <v>-2941.2878300000016</v>
          </cell>
          <cell r="AO34">
            <v>-1339.7684199999999</v>
          </cell>
          <cell r="AP34">
            <v>-187.62883000000002</v>
          </cell>
          <cell r="AQ34">
            <v>-602.99450999999999</v>
          </cell>
          <cell r="AR34">
            <v>-531.85637999999994</v>
          </cell>
          <cell r="AT34">
            <v>-1841.3131400000057</v>
          </cell>
          <cell r="AU34">
            <v>0</v>
          </cell>
          <cell r="AV34">
            <v>0</v>
          </cell>
          <cell r="AW34">
            <v>0</v>
          </cell>
          <cell r="AX34">
            <v>-74.188999999999993</v>
          </cell>
          <cell r="AY34">
            <v>0</v>
          </cell>
          <cell r="AZ34">
            <v>74.188999999999993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392.63142999999991</v>
          </cell>
          <cell r="BF34">
            <v>-1349.3586300000002</v>
          </cell>
          <cell r="BG34">
            <v>-3.690919999999998</v>
          </cell>
          <cell r="BH34">
            <v>39.32992999999999</v>
          </cell>
          <cell r="BI34">
            <v>0.32467999999999997</v>
          </cell>
          <cell r="BJ34">
            <v>0</v>
          </cell>
          <cell r="BK34">
            <v>3735.418429999997</v>
          </cell>
          <cell r="EA34">
            <v>5087.6698299999953</v>
          </cell>
          <cell r="EL34">
            <v>5849.9517799999849</v>
          </cell>
          <cell r="EM34">
            <v>-402.15035</v>
          </cell>
          <cell r="EN34">
            <v>0</v>
          </cell>
          <cell r="EO34">
            <v>-300</v>
          </cell>
          <cell r="EP34">
            <v>21.040100000000006</v>
          </cell>
          <cell r="EQ34">
            <v>-208.99178000000001</v>
          </cell>
          <cell r="ER34">
            <v>-30.675560000000004</v>
          </cell>
          <cell r="ES34">
            <v>0</v>
          </cell>
          <cell r="ET34">
            <v>-2486.1969941782027</v>
          </cell>
          <cell r="EU34">
            <v>0</v>
          </cell>
          <cell r="EV34">
            <v>6.8548441782028249</v>
          </cell>
          <cell r="EW34">
            <v>-90.466170000000005</v>
          </cell>
          <cell r="EX34">
            <v>104.35923000000003</v>
          </cell>
          <cell r="EY34">
            <v>3.7407399999999997</v>
          </cell>
          <cell r="EZ34">
            <v>0</v>
          </cell>
          <cell r="FA34">
            <v>-1900.4267599999994</v>
          </cell>
          <cell r="FB34">
            <v>184.63910999999996</v>
          </cell>
          <cell r="FC34">
            <v>-48.324779999999976</v>
          </cell>
          <cell r="FD34">
            <v>-57.169839999999965</v>
          </cell>
          <cell r="FE34">
            <v>0</v>
          </cell>
          <cell r="FF34">
            <v>742.60730999999942</v>
          </cell>
          <cell r="FG34">
            <v>238.74159999999995</v>
          </cell>
          <cell r="FH34">
            <v>94.129480000000001</v>
          </cell>
          <cell r="FI34">
            <v>-2.0997200000000005</v>
          </cell>
          <cell r="FJ34">
            <v>-1397.4744599999985</v>
          </cell>
          <cell r="FK34">
            <v>686.01070999999956</v>
          </cell>
          <cell r="FL34">
            <v>-867.55356999999958</v>
          </cell>
          <cell r="FM34">
            <v>-469.62950999999998</v>
          </cell>
          <cell r="FN34">
            <v>-65.376280000000008</v>
          </cell>
          <cell r="FO34">
            <v>-205.90524999999997</v>
          </cell>
          <cell r="FP34">
            <v>-168.93389999999994</v>
          </cell>
          <cell r="FR34">
            <v>-739.89912000000595</v>
          </cell>
          <cell r="FS34">
            <v>0</v>
          </cell>
          <cell r="FT34">
            <v>0</v>
          </cell>
          <cell r="FU34">
            <v>0</v>
          </cell>
          <cell r="FV34">
            <v>-74.188999999999993</v>
          </cell>
          <cell r="FW34">
            <v>0</v>
          </cell>
          <cell r="FX34">
            <v>74.188999999999993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392.63142999999991</v>
          </cell>
          <cell r="GD34">
            <v>-1286.6483600000001</v>
          </cell>
          <cell r="GE34">
            <v>-3.690919999999998</v>
          </cell>
          <cell r="GF34">
            <v>40.546159999999993</v>
          </cell>
          <cell r="GG34">
            <v>0.32467999999999997</v>
          </cell>
          <cell r="GH34">
            <v>0</v>
          </cell>
          <cell r="GI34">
            <v>-2366.0361500000199</v>
          </cell>
        </row>
        <row r="35">
          <cell r="C35">
            <v>19385.790450183769</v>
          </cell>
          <cell r="N35">
            <v>17459.096925132522</v>
          </cell>
          <cell r="O35">
            <v>-4063.285765703693</v>
          </cell>
          <cell r="P35">
            <v>-1064.7538911795691</v>
          </cell>
          <cell r="Q35">
            <v>-457.29700770976433</v>
          </cell>
          <cell r="R35">
            <v>0</v>
          </cell>
          <cell r="S35">
            <v>-646.61533899584583</v>
          </cell>
          <cell r="T35">
            <v>-396.42336089369371</v>
          </cell>
          <cell r="U35">
            <v>0</v>
          </cell>
          <cell r="V35">
            <v>-941.6998633281853</v>
          </cell>
          <cell r="W35">
            <v>-994.06224490697105</v>
          </cell>
          <cell r="X35">
            <v>-426.9359274842455</v>
          </cell>
          <cell r="Y35">
            <v>-97.71405592779908</v>
          </cell>
          <cell r="Z35">
            <v>123.10220348215381</v>
          </cell>
          <cell r="AA35">
            <v>0</v>
          </cell>
          <cell r="AB35">
            <v>0</v>
          </cell>
          <cell r="AC35">
            <v>-1602.7011448906737</v>
          </cell>
          <cell r="AD35">
            <v>0</v>
          </cell>
          <cell r="AE35">
            <v>0</v>
          </cell>
          <cell r="AF35">
            <v>-284.13905717208081</v>
          </cell>
          <cell r="AG35">
            <v>0</v>
          </cell>
          <cell r="AH35">
            <v>1942.3402020627545</v>
          </cell>
          <cell r="AI35">
            <v>97.71405592779908</v>
          </cell>
          <cell r="AJ35">
            <v>0</v>
          </cell>
          <cell r="AK35">
            <v>0</v>
          </cell>
          <cell r="AL35">
            <v>-4582.2901252413276</v>
          </cell>
          <cell r="AM35">
            <v>0</v>
          </cell>
          <cell r="AN35">
            <v>0</v>
          </cell>
          <cell r="AO35">
            <v>-1643.4712148302424</v>
          </cell>
          <cell r="AP35">
            <v>-169.22688808243575</v>
          </cell>
          <cell r="AQ35">
            <v>-710.08403014640646</v>
          </cell>
          <cell r="AR35">
            <v>-601.46118815135776</v>
          </cell>
          <cell r="AT35">
            <v>-1974.1559522807474</v>
          </cell>
          <cell r="AU35">
            <v>413.82767464188885</v>
          </cell>
          <cell r="AV35">
            <v>443.25657584347698</v>
          </cell>
          <cell r="AW35">
            <v>0</v>
          </cell>
          <cell r="AX35">
            <v>-436.45906114696982</v>
          </cell>
          <cell r="AY35">
            <v>413.82767464188885</v>
          </cell>
          <cell r="AZ35">
            <v>0</v>
          </cell>
          <cell r="BA35">
            <v>8.5188380764421545</v>
          </cell>
          <cell r="BB35">
            <v>-11.149666774511889</v>
          </cell>
          <cell r="BC35">
            <v>0</v>
          </cell>
          <cell r="BD35">
            <v>0</v>
          </cell>
          <cell r="BE35">
            <v>309.07854920861524</v>
          </cell>
          <cell r="BF35">
            <v>-309.07854920861524</v>
          </cell>
          <cell r="BG35">
            <v>-8.5188380764421545</v>
          </cell>
          <cell r="BH35">
            <v>0</v>
          </cell>
          <cell r="BI35">
            <v>0</v>
          </cell>
          <cell r="BJ35">
            <v>0</v>
          </cell>
          <cell r="BK35">
            <v>-210.76047311403454</v>
          </cell>
          <cell r="EA35">
            <v>5332.6778112629399</v>
          </cell>
          <cell r="EL35">
            <v>5819.6989750441735</v>
          </cell>
          <cell r="EM35">
            <v>-1354.4285885678974</v>
          </cell>
          <cell r="EN35">
            <v>-354.91796372652311</v>
          </cell>
          <cell r="EO35">
            <v>-152.43233590325474</v>
          </cell>
          <cell r="EP35">
            <v>0</v>
          </cell>
          <cell r="EQ35">
            <v>-215.53844633194865</v>
          </cell>
          <cell r="ER35">
            <v>-132.14112029789788</v>
          </cell>
          <cell r="ES35">
            <v>0</v>
          </cell>
          <cell r="ET35">
            <v>-313.89995444272813</v>
          </cell>
          <cell r="EU35">
            <v>-331.35408163565705</v>
          </cell>
          <cell r="EV35">
            <v>-142.31197582808181</v>
          </cell>
          <cell r="EW35">
            <v>-32.571351975933027</v>
          </cell>
          <cell r="EX35">
            <v>41.034067827384604</v>
          </cell>
          <cell r="EY35">
            <v>0</v>
          </cell>
          <cell r="EZ35">
            <v>0</v>
          </cell>
          <cell r="FA35">
            <v>-534.23371496355799</v>
          </cell>
          <cell r="FB35">
            <v>0</v>
          </cell>
          <cell r="FC35">
            <v>0</v>
          </cell>
          <cell r="FD35">
            <v>-94.71301905736027</v>
          </cell>
          <cell r="FE35">
            <v>0</v>
          </cell>
          <cell r="FF35">
            <v>647.44673402091826</v>
          </cell>
          <cell r="FG35">
            <v>32.571351975933027</v>
          </cell>
          <cell r="FH35">
            <v>0</v>
          </cell>
          <cell r="FI35">
            <v>0</v>
          </cell>
          <cell r="FJ35">
            <v>-1527.4300417471095</v>
          </cell>
          <cell r="FK35">
            <v>0</v>
          </cell>
          <cell r="FL35">
            <v>0</v>
          </cell>
          <cell r="FM35">
            <v>-547.82373827674746</v>
          </cell>
          <cell r="FN35">
            <v>-56.408962694145245</v>
          </cell>
          <cell r="FO35">
            <v>-236.6946767154688</v>
          </cell>
          <cell r="FP35">
            <v>-200.48706271711927</v>
          </cell>
          <cell r="FR35">
            <v>-658.0519840935824</v>
          </cell>
          <cell r="FS35">
            <v>137.94255821396297</v>
          </cell>
          <cell r="FT35">
            <v>147.75219194782562</v>
          </cell>
          <cell r="FU35">
            <v>0</v>
          </cell>
          <cell r="FV35">
            <v>-145.48635371565661</v>
          </cell>
          <cell r="FW35">
            <v>137.94255821396297</v>
          </cell>
          <cell r="FX35">
            <v>0</v>
          </cell>
          <cell r="FY35">
            <v>2.8396126921473845</v>
          </cell>
          <cell r="FZ35">
            <v>-3.7165555915039628</v>
          </cell>
          <cell r="GA35">
            <v>0</v>
          </cell>
          <cell r="GB35">
            <v>0</v>
          </cell>
          <cell r="GC35">
            <v>103.0261830695384</v>
          </cell>
          <cell r="GD35">
            <v>-103.0261830695384</v>
          </cell>
          <cell r="GE35">
            <v>-2.8396126921473845</v>
          </cell>
          <cell r="GF35">
            <v>0</v>
          </cell>
          <cell r="GG35">
            <v>0</v>
          </cell>
          <cell r="GH35">
            <v>0</v>
          </cell>
          <cell r="GI35">
            <v>-70.253491038012555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-7.0000000000000007E-5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-1.1E-4</v>
          </cell>
          <cell r="AQ37">
            <v>0</v>
          </cell>
          <cell r="AR37">
            <v>-2.0000000000000002E-5</v>
          </cell>
          <cell r="AT37">
            <v>-1.7370699999999801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0.18356</v>
          </cell>
          <cell r="BH37">
            <v>0</v>
          </cell>
          <cell r="BI37">
            <v>-2.48E-3</v>
          </cell>
          <cell r="BJ37">
            <v>0</v>
          </cell>
          <cell r="BK37">
            <v>-1.5561899999999802</v>
          </cell>
          <cell r="EA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R37">
            <v>-0.59832999999999581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0.18356</v>
          </cell>
          <cell r="GF37">
            <v>0</v>
          </cell>
          <cell r="GG37">
            <v>-2.48E-3</v>
          </cell>
          <cell r="GH37">
            <v>0</v>
          </cell>
          <cell r="GI37">
            <v>-0.41724999999999579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129.27776000000003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-6.0410000000000005E-2</v>
          </cell>
          <cell r="BH38">
            <v>0</v>
          </cell>
          <cell r="BI38">
            <v>-1.08E-3</v>
          </cell>
          <cell r="BJ38">
            <v>0</v>
          </cell>
          <cell r="BK38">
            <v>129.21627000000004</v>
          </cell>
          <cell r="EA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R38">
            <v>-4.5655499999999734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-6.0410000000000005E-2</v>
          </cell>
          <cell r="GF38">
            <v>0</v>
          </cell>
          <cell r="GG38">
            <v>-1.08E-3</v>
          </cell>
          <cell r="GH38">
            <v>0</v>
          </cell>
          <cell r="GI38">
            <v>-4.6270399999999734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EA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</row>
        <row r="41">
          <cell r="C41">
            <v>5333.5010600000005</v>
          </cell>
          <cell r="N41">
            <v>3546.6447100000023</v>
          </cell>
          <cell r="O41">
            <v>-27.126869999999997</v>
          </cell>
          <cell r="P41">
            <v>0</v>
          </cell>
          <cell r="Q41">
            <v>0</v>
          </cell>
          <cell r="R41">
            <v>0</v>
          </cell>
          <cell r="S41">
            <v>-214.97986999999998</v>
          </cell>
          <cell r="T41">
            <v>-8.489749999999999</v>
          </cell>
          <cell r="U41">
            <v>0</v>
          </cell>
          <cell r="V41">
            <v>-1352.4968671752663</v>
          </cell>
          <cell r="W41">
            <v>-2.0423100000000001</v>
          </cell>
          <cell r="X41">
            <v>-284.37207282473378</v>
          </cell>
          <cell r="Y41">
            <v>-27.323779999999999</v>
          </cell>
          <cell r="Z41">
            <v>198.54911000000001</v>
          </cell>
          <cell r="AA41">
            <v>3.1631</v>
          </cell>
          <cell r="AB41">
            <v>0</v>
          </cell>
          <cell r="AC41">
            <v>-1895.89912</v>
          </cell>
          <cell r="AD41">
            <v>31.785870000000006</v>
          </cell>
          <cell r="AE41">
            <v>-147.89859000000001</v>
          </cell>
          <cell r="AF41">
            <v>-270.78715999999991</v>
          </cell>
          <cell r="AG41">
            <v>0</v>
          </cell>
          <cell r="AH41">
            <v>-308.31838999999923</v>
          </cell>
          <cell r="AI41">
            <v>522.14836000000003</v>
          </cell>
          <cell r="AJ41">
            <v>872.66186999999991</v>
          </cell>
          <cell r="AK41">
            <v>-38.34535000000001</v>
          </cell>
          <cell r="AL41">
            <v>-1148.14266</v>
          </cell>
          <cell r="AM41">
            <v>770.94960000000015</v>
          </cell>
          <cell r="AN41">
            <v>-423.98362999999989</v>
          </cell>
          <cell r="AO41">
            <v>-671.37876000000006</v>
          </cell>
          <cell r="AP41">
            <v>-70.433890000000019</v>
          </cell>
          <cell r="AQ41">
            <v>-155.51362999999998</v>
          </cell>
          <cell r="AR41">
            <v>-213.87101999999999</v>
          </cell>
          <cell r="AT41">
            <v>-71.632629999999978</v>
          </cell>
          <cell r="AU41">
            <v>0</v>
          </cell>
          <cell r="AV41">
            <v>0</v>
          </cell>
          <cell r="AW41">
            <v>0</v>
          </cell>
          <cell r="AX41">
            <v>-18.510857092367942</v>
          </cell>
          <cell r="AY41">
            <v>0</v>
          </cell>
          <cell r="AZ41">
            <v>22.949027092367942</v>
          </cell>
          <cell r="BA41">
            <v>0.12273000000000001</v>
          </cell>
          <cell r="BB41">
            <v>-0.53766999999999987</v>
          </cell>
          <cell r="BC41">
            <v>-1.439E-2</v>
          </cell>
          <cell r="BD41">
            <v>0</v>
          </cell>
          <cell r="BE41">
            <v>3.5150500000000005</v>
          </cell>
          <cell r="BF41">
            <v>-36.663239999999341</v>
          </cell>
          <cell r="BG41">
            <v>88.012619999999998</v>
          </cell>
          <cell r="BH41">
            <v>-123.64385000000004</v>
          </cell>
          <cell r="BI41">
            <v>-0.94825000000000026</v>
          </cell>
          <cell r="BJ41">
            <v>0</v>
          </cell>
          <cell r="BK41">
            <v>-1452.8525599999966</v>
          </cell>
          <cell r="EA41">
            <v>920.6314399999992</v>
          </cell>
          <cell r="EL41">
            <v>1202.1103100000009</v>
          </cell>
          <cell r="EM41">
            <v>-20.755219999999998</v>
          </cell>
          <cell r="EN41">
            <v>0</v>
          </cell>
          <cell r="EO41">
            <v>0</v>
          </cell>
          <cell r="EP41">
            <v>0</v>
          </cell>
          <cell r="EQ41">
            <v>-84.335939999999965</v>
          </cell>
          <cell r="ER41">
            <v>-3.6999099999999991</v>
          </cell>
          <cell r="ES41">
            <v>0</v>
          </cell>
          <cell r="ET41">
            <v>-444.73839852888591</v>
          </cell>
          <cell r="EU41">
            <v>-2.0423100000000001</v>
          </cell>
          <cell r="EV41">
            <v>-92.421131471114109</v>
          </cell>
          <cell r="EW41">
            <v>-27.323779999999999</v>
          </cell>
          <cell r="EX41">
            <v>65.837170000000015</v>
          </cell>
          <cell r="EY41">
            <v>3.1631</v>
          </cell>
          <cell r="EZ41">
            <v>0</v>
          </cell>
          <cell r="FA41">
            <v>-430.27097000000003</v>
          </cell>
          <cell r="FB41">
            <v>7.3559200000000011</v>
          </cell>
          <cell r="FC41">
            <v>-51.35832000000002</v>
          </cell>
          <cell r="FD41">
            <v>-65.983399999999961</v>
          </cell>
          <cell r="FE41">
            <v>0</v>
          </cell>
          <cell r="FF41">
            <v>-818.38188000000002</v>
          </cell>
          <cell r="FG41">
            <v>522.14836000000003</v>
          </cell>
          <cell r="FH41">
            <v>649.27325999999994</v>
          </cell>
          <cell r="FI41">
            <v>-38.34535000000001</v>
          </cell>
          <cell r="FJ41">
            <v>-216.03294000000005</v>
          </cell>
          <cell r="FK41">
            <v>68.244400000000041</v>
          </cell>
          <cell r="FL41">
            <v>-124.8266999999999</v>
          </cell>
          <cell r="FM41">
            <v>-127.13211000000001</v>
          </cell>
          <cell r="FN41">
            <v>-30.554220000000015</v>
          </cell>
          <cell r="FO41">
            <v>-49.302859999999981</v>
          </cell>
          <cell r="FP41">
            <v>-89.281999999999982</v>
          </cell>
          <cell r="FR41">
            <v>-23.274319999999989</v>
          </cell>
          <cell r="FS41">
            <v>0</v>
          </cell>
          <cell r="FT41">
            <v>0</v>
          </cell>
          <cell r="FU41">
            <v>0</v>
          </cell>
          <cell r="FV41">
            <v>-10.949364056340265</v>
          </cell>
          <cell r="FW41">
            <v>0</v>
          </cell>
          <cell r="FX41">
            <v>9.2075340563402648</v>
          </cell>
          <cell r="FY41">
            <v>0.12273000000000001</v>
          </cell>
          <cell r="FZ41">
            <v>0.35686000000000007</v>
          </cell>
          <cell r="GA41">
            <v>-1.439E-2</v>
          </cell>
          <cell r="GB41">
            <v>0</v>
          </cell>
          <cell r="GC41">
            <v>2.9581500000000007</v>
          </cell>
          <cell r="GD41">
            <v>-6.1062400000006889</v>
          </cell>
          <cell r="GE41">
            <v>88.012619999999998</v>
          </cell>
          <cell r="GF41">
            <v>-88.994160000000022</v>
          </cell>
          <cell r="GG41">
            <v>-0.94825000000000026</v>
          </cell>
          <cell r="GH41">
            <v>0</v>
          </cell>
          <cell r="GI41">
            <v>-228.28375</v>
          </cell>
        </row>
        <row r="42">
          <cell r="C42">
            <v>5359.6014500000001</v>
          </cell>
          <cell r="N42">
            <v>3605.3734900000018</v>
          </cell>
          <cell r="O42">
            <v>-40.3431</v>
          </cell>
          <cell r="P42">
            <v>0</v>
          </cell>
          <cell r="Q42">
            <v>0</v>
          </cell>
          <cell r="R42">
            <v>0</v>
          </cell>
          <cell r="S42">
            <v>-216.34376</v>
          </cell>
          <cell r="T42">
            <v>-5.7867499999999996</v>
          </cell>
          <cell r="U42">
            <v>0</v>
          </cell>
          <cell r="V42">
            <v>-1967.8458900000001</v>
          </cell>
          <cell r="W42">
            <v>0</v>
          </cell>
          <cell r="X42">
            <v>-52.055999999999997</v>
          </cell>
          <cell r="Y42">
            <v>-64.539479999999998</v>
          </cell>
          <cell r="Z42">
            <v>219.46035000000001</v>
          </cell>
          <cell r="AA42">
            <v>7.2565400000000002</v>
          </cell>
          <cell r="AB42">
            <v>0</v>
          </cell>
          <cell r="AC42">
            <v>-1547.7245600000001</v>
          </cell>
          <cell r="AD42">
            <v>138.57580000000002</v>
          </cell>
          <cell r="AE42">
            <v>-165.32006999999999</v>
          </cell>
          <cell r="AF42">
            <v>-327.4545</v>
          </cell>
          <cell r="AG42">
            <v>0</v>
          </cell>
          <cell r="AH42">
            <v>-1783.157840000001</v>
          </cell>
          <cell r="AI42">
            <v>735.56500999999992</v>
          </cell>
          <cell r="AJ42">
            <v>-161.64701000000014</v>
          </cell>
          <cell r="AK42">
            <v>-28.04810999999998</v>
          </cell>
          <cell r="AL42">
            <v>-1155.8435400000008</v>
          </cell>
          <cell r="AM42">
            <v>777.84559999999988</v>
          </cell>
          <cell r="AN42">
            <v>-435.25884000000002</v>
          </cell>
          <cell r="AO42">
            <v>-609.43752000000006</v>
          </cell>
          <cell r="AP42">
            <v>-64.088319999999996</v>
          </cell>
          <cell r="AQ42">
            <v>-153.85582999999997</v>
          </cell>
          <cell r="AR42">
            <v>-186.43402</v>
          </cell>
          <cell r="AT42">
            <v>-114.60283999999997</v>
          </cell>
          <cell r="AU42">
            <v>0</v>
          </cell>
          <cell r="AV42">
            <v>0</v>
          </cell>
          <cell r="AW42">
            <v>0</v>
          </cell>
          <cell r="AX42">
            <v>14.012</v>
          </cell>
          <cell r="AY42">
            <v>0</v>
          </cell>
          <cell r="AZ42">
            <v>3.1669999999999998</v>
          </cell>
          <cell r="BA42">
            <v>0.51266999999999996</v>
          </cell>
          <cell r="BB42">
            <v>-1.8664800000000001</v>
          </cell>
          <cell r="BC42">
            <v>-5.5990000000000005E-2</v>
          </cell>
          <cell r="BD42">
            <v>0</v>
          </cell>
          <cell r="BE42">
            <v>181.33633999999998</v>
          </cell>
          <cell r="BF42">
            <v>-628.06313999999384</v>
          </cell>
          <cell r="BG42">
            <v>-232.32544000000001</v>
          </cell>
          <cell r="BH42">
            <v>48.793619999999969</v>
          </cell>
          <cell r="BI42">
            <v>4.1657299999999999</v>
          </cell>
          <cell r="BJ42">
            <v>0</v>
          </cell>
          <cell r="BK42">
            <v>-4206.0348799999947</v>
          </cell>
          <cell r="EA42">
            <v>1001.6064399999996</v>
          </cell>
          <cell r="EL42">
            <v>1246.4260000000004</v>
          </cell>
          <cell r="EM42">
            <v>-18.349129999999999</v>
          </cell>
          <cell r="EN42">
            <v>0</v>
          </cell>
          <cell r="EO42">
            <v>0</v>
          </cell>
          <cell r="EP42">
            <v>1.62</v>
          </cell>
          <cell r="EQ42">
            <v>-86.419490000000025</v>
          </cell>
          <cell r="ER42">
            <v>-2.4686299999999997</v>
          </cell>
          <cell r="ES42">
            <v>0</v>
          </cell>
          <cell r="ET42">
            <v>-1112.6288156734797</v>
          </cell>
          <cell r="EU42">
            <v>0</v>
          </cell>
          <cell r="EV42">
            <v>-44.391434326520276</v>
          </cell>
          <cell r="EW42">
            <v>-64.539479999999998</v>
          </cell>
          <cell r="EX42">
            <v>118.99433000000001</v>
          </cell>
          <cell r="EY42">
            <v>7.2565400000000002</v>
          </cell>
          <cell r="EZ42">
            <v>0</v>
          </cell>
          <cell r="FA42">
            <v>-778.24099000000001</v>
          </cell>
          <cell r="FB42">
            <v>11.804670000000016</v>
          </cell>
          <cell r="FC42">
            <v>-58.613449999999986</v>
          </cell>
          <cell r="FD42">
            <v>64.253929999999968</v>
          </cell>
          <cell r="FE42">
            <v>0</v>
          </cell>
          <cell r="FF42">
            <v>3192.0689300000013</v>
          </cell>
          <cell r="FG42">
            <v>735.56500999999992</v>
          </cell>
          <cell r="FH42">
            <v>-1099.4661600000002</v>
          </cell>
          <cell r="FI42">
            <v>-28.04810999999998</v>
          </cell>
          <cell r="FJ42">
            <v>-233.38066000000003</v>
          </cell>
          <cell r="FK42">
            <v>79.171569999999974</v>
          </cell>
          <cell r="FL42">
            <v>-127.23557</v>
          </cell>
          <cell r="FM42">
            <v>-208.71981000000005</v>
          </cell>
          <cell r="FN42">
            <v>-23.878219999999999</v>
          </cell>
          <cell r="FO42">
            <v>-52.183469999999971</v>
          </cell>
          <cell r="FP42">
            <v>-72.841059999999999</v>
          </cell>
          <cell r="FR42">
            <v>-49.552439999999976</v>
          </cell>
          <cell r="FS42">
            <v>0</v>
          </cell>
          <cell r="FT42">
            <v>0</v>
          </cell>
          <cell r="FU42">
            <v>0</v>
          </cell>
          <cell r="FV42">
            <v>4.5438299999999998</v>
          </cell>
          <cell r="FW42">
            <v>0</v>
          </cell>
          <cell r="FX42">
            <v>3.1669999999999998</v>
          </cell>
          <cell r="FY42">
            <v>0.51266999999999996</v>
          </cell>
          <cell r="FZ42">
            <v>-0.76408999999999994</v>
          </cell>
          <cell r="GA42">
            <v>-5.5990000000000005E-2</v>
          </cell>
          <cell r="GB42">
            <v>0</v>
          </cell>
          <cell r="GC42">
            <v>149.31280999999998</v>
          </cell>
          <cell r="GD42">
            <v>-1216.9375699999973</v>
          </cell>
          <cell r="GE42">
            <v>-232.32544000000001</v>
          </cell>
          <cell r="GF42">
            <v>132.50286</v>
          </cell>
          <cell r="GG42">
            <v>4.1657299999999999</v>
          </cell>
          <cell r="GH42">
            <v>0</v>
          </cell>
          <cell r="GI42">
            <v>240.32587000000396</v>
          </cell>
        </row>
        <row r="43">
          <cell r="C43">
            <v>5215.0683106825945</v>
          </cell>
          <cell r="N43">
            <v>3633.4221880095747</v>
          </cell>
          <cell r="O43">
            <v>-435.04658435110139</v>
          </cell>
          <cell r="P43">
            <v>0</v>
          </cell>
          <cell r="Q43">
            <v>-52.313182029361563</v>
          </cell>
          <cell r="R43">
            <v>0</v>
          </cell>
          <cell r="S43">
            <v>-303.866081595965</v>
          </cell>
          <cell r="T43">
            <v>-19.027022977233358</v>
          </cell>
          <cell r="U43">
            <v>0</v>
          </cell>
          <cell r="V43">
            <v>-699.03618549805242</v>
          </cell>
          <cell r="W43">
            <v>0</v>
          </cell>
          <cell r="X43">
            <v>-234.68317898924357</v>
          </cell>
          <cell r="Y43">
            <v>-28.263022663503705</v>
          </cell>
          <cell r="Z43">
            <v>136.9410380770301</v>
          </cell>
          <cell r="AA43">
            <v>0</v>
          </cell>
          <cell r="AB43">
            <v>0</v>
          </cell>
          <cell r="AC43">
            <v>-1310.427208066377</v>
          </cell>
          <cell r="AD43">
            <v>0</v>
          </cell>
          <cell r="AE43">
            <v>0</v>
          </cell>
          <cell r="AF43">
            <v>-269.40819546302146</v>
          </cell>
          <cell r="AG43">
            <v>0</v>
          </cell>
          <cell r="AH43">
            <v>1578.8354035293985</v>
          </cell>
          <cell r="AI43">
            <v>28.263022663503705</v>
          </cell>
          <cell r="AJ43">
            <v>0</v>
          </cell>
          <cell r="AK43">
            <v>0</v>
          </cell>
          <cell r="AL43">
            <v>-831.7887948855348</v>
          </cell>
          <cell r="AM43">
            <v>0</v>
          </cell>
          <cell r="AN43">
            <v>0</v>
          </cell>
          <cell r="AO43">
            <v>-733.85406925733253</v>
          </cell>
          <cell r="AP43">
            <v>-57.976058773895495</v>
          </cell>
          <cell r="AQ43">
            <v>-174.15537961693849</v>
          </cell>
          <cell r="AR43">
            <v>-216.93845118654974</v>
          </cell>
          <cell r="AT43">
            <v>-114.51344827663243</v>
          </cell>
          <cell r="AU43">
            <v>37.205890508636259</v>
          </cell>
          <cell r="AV43">
            <v>0</v>
          </cell>
          <cell r="AW43">
            <v>7.8159625445373813</v>
          </cell>
          <cell r="AX43">
            <v>-29.188499228702998</v>
          </cell>
          <cell r="AY43">
            <v>0</v>
          </cell>
          <cell r="AZ43">
            <v>35.063340933521793</v>
          </cell>
          <cell r="BA43">
            <v>0.98492909726254285</v>
          </cell>
          <cell r="BB43">
            <v>-4.9578423574819093</v>
          </cell>
          <cell r="BC43">
            <v>0</v>
          </cell>
          <cell r="BD43">
            <v>0</v>
          </cell>
          <cell r="BE43">
            <v>244.13706212612959</v>
          </cell>
          <cell r="BF43">
            <v>-332.38706212612959</v>
          </cell>
          <cell r="BG43">
            <v>-1.0017622249909923</v>
          </cell>
          <cell r="BH43">
            <v>0</v>
          </cell>
          <cell r="BI43">
            <v>0</v>
          </cell>
          <cell r="BJ43">
            <v>0</v>
          </cell>
          <cell r="BK43">
            <v>-146.16319207845402</v>
          </cell>
          <cell r="EA43">
            <v>1032.7141328704593</v>
          </cell>
          <cell r="EL43">
            <v>1211.1407293365246</v>
          </cell>
          <cell r="EM43">
            <v>-145.0155281170338</v>
          </cell>
          <cell r="EN43">
            <v>0</v>
          </cell>
          <cell r="EO43">
            <v>-17.437727343120521</v>
          </cell>
          <cell r="EP43">
            <v>0</v>
          </cell>
          <cell r="EQ43">
            <v>-101.28869386532165</v>
          </cell>
          <cell r="ER43">
            <v>-6.3423409924111187</v>
          </cell>
          <cell r="ES43">
            <v>0</v>
          </cell>
          <cell r="ET43">
            <v>-233.01206183268414</v>
          </cell>
          <cell r="EU43">
            <v>0</v>
          </cell>
          <cell r="EV43">
            <v>-78.227726329747867</v>
          </cell>
          <cell r="EW43">
            <v>-9.4210075545012337</v>
          </cell>
          <cell r="EX43">
            <v>45.647012692343367</v>
          </cell>
          <cell r="EY43">
            <v>0</v>
          </cell>
          <cell r="EZ43">
            <v>0</v>
          </cell>
          <cell r="FA43">
            <v>-436.80906935545897</v>
          </cell>
          <cell r="FB43">
            <v>0</v>
          </cell>
          <cell r="FC43">
            <v>0</v>
          </cell>
          <cell r="FD43">
            <v>-89.802731821007143</v>
          </cell>
          <cell r="FE43">
            <v>0</v>
          </cell>
          <cell r="FF43">
            <v>526.27846784313283</v>
          </cell>
          <cell r="FG43">
            <v>9.4210075545012337</v>
          </cell>
          <cell r="FH43">
            <v>0</v>
          </cell>
          <cell r="FI43">
            <v>0</v>
          </cell>
          <cell r="FJ43">
            <v>-277.26293162851152</v>
          </cell>
          <cell r="FK43">
            <v>0</v>
          </cell>
          <cell r="FL43">
            <v>0</v>
          </cell>
          <cell r="FM43">
            <v>-244.61802308577751</v>
          </cell>
          <cell r="FN43">
            <v>-19.325352924631829</v>
          </cell>
          <cell r="FO43">
            <v>-58.051793205646163</v>
          </cell>
          <cell r="FP43">
            <v>-72.312817062183228</v>
          </cell>
          <cell r="FR43">
            <v>-38.171149425544144</v>
          </cell>
          <cell r="FS43">
            <v>12.40196350287875</v>
          </cell>
          <cell r="FT43">
            <v>0</v>
          </cell>
          <cell r="FU43">
            <v>2.6053208481791268</v>
          </cell>
          <cell r="FV43">
            <v>-9.7294997429009982</v>
          </cell>
          <cell r="FW43">
            <v>0</v>
          </cell>
          <cell r="FX43">
            <v>11.687780311173931</v>
          </cell>
          <cell r="FY43">
            <v>0.32830969908751428</v>
          </cell>
          <cell r="FZ43">
            <v>-1.6526141191606367</v>
          </cell>
          <cell r="GA43">
            <v>0</v>
          </cell>
          <cell r="GB43">
            <v>0</v>
          </cell>
          <cell r="GC43">
            <v>81.379020708709874</v>
          </cell>
          <cell r="GD43">
            <v>-110.79568737537653</v>
          </cell>
          <cell r="GE43">
            <v>-0.33392074166366414</v>
          </cell>
          <cell r="GF43">
            <v>0</v>
          </cell>
          <cell r="GG43">
            <v>0</v>
          </cell>
          <cell r="GH43">
            <v>0</v>
          </cell>
          <cell r="GI43">
            <v>-48.72106402615151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-6.1906099999999986</v>
          </cell>
          <cell r="AI45">
            <v>1.63039</v>
          </cell>
          <cell r="AJ45">
            <v>1.4618399999999998</v>
          </cell>
          <cell r="AK45">
            <v>-3.2760000000000004E-2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-3.1311399999999989</v>
          </cell>
          <cell r="EA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-1.8956900000000001</v>
          </cell>
          <cell r="FG45">
            <v>1.63039</v>
          </cell>
          <cell r="FH45">
            <v>0.41959999999999997</v>
          </cell>
          <cell r="FI45">
            <v>-3.2760000000000004E-2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0.12153999999999987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40.436469999999986</v>
          </cell>
          <cell r="AI46">
            <v>1.2673100000000002</v>
          </cell>
          <cell r="AJ46">
            <v>-2.8594899999999996</v>
          </cell>
          <cell r="AK46">
            <v>-0.10327000000000003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38.741019999999985</v>
          </cell>
          <cell r="EA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53.388609999999986</v>
          </cell>
          <cell r="FG46">
            <v>1.2673100000000002</v>
          </cell>
          <cell r="FH46">
            <v>-4.29148</v>
          </cell>
          <cell r="FI46">
            <v>-0.10327000000000003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50.261169999999986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EA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</row>
        <row r="49">
          <cell r="C49">
            <v>6.8792</v>
          </cell>
          <cell r="N49">
            <v>6.4380099999999993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-2.9999999999999997E-5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-1.1370199999999999</v>
          </cell>
          <cell r="AM49">
            <v>0.60478999999999994</v>
          </cell>
          <cell r="AN49">
            <v>-0.55184000000000011</v>
          </cell>
          <cell r="AO49">
            <v>0</v>
          </cell>
          <cell r="AP49">
            <v>-4.0000000000000003E-5</v>
          </cell>
          <cell r="AQ49">
            <v>0</v>
          </cell>
          <cell r="AR49">
            <v>-1.0000000000000001E-5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5.3538599999999992</v>
          </cell>
          <cell r="EA49">
            <v>1.6033099999999996</v>
          </cell>
          <cell r="EL49">
            <v>2.1892500000000004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-0.26784999999999981</v>
          </cell>
          <cell r="FK49">
            <v>3.9370000000000016E-2</v>
          </cell>
          <cell r="FL49">
            <v>-0.14161000000000001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1.8191600000000006</v>
          </cell>
        </row>
        <row r="50">
          <cell r="C50">
            <v>7.2917499999999995</v>
          </cell>
          <cell r="N50">
            <v>6.8124100000000025</v>
          </cell>
          <cell r="O50">
            <v>-4.875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-8.3489999999999995E-2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-1.8971099999999999</v>
          </cell>
          <cell r="AD50">
            <v>0</v>
          </cell>
          <cell r="AE50">
            <v>0</v>
          </cell>
          <cell r="AF50">
            <v>-0.36179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-1.2242700000000009</v>
          </cell>
          <cell r="AM50">
            <v>0.74663000000000002</v>
          </cell>
          <cell r="AN50">
            <v>-0.6748200000000002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-1.5574399999999984</v>
          </cell>
          <cell r="EA50">
            <v>2.2265100000000002</v>
          </cell>
          <cell r="EL50">
            <v>2.4057100000000009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-0.38221000000000027</v>
          </cell>
          <cell r="FK50">
            <v>0.13388</v>
          </cell>
          <cell r="FL50">
            <v>-0.15527000000000013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2.0021100000000005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EA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</row>
        <row r="53">
          <cell r="C53">
            <v>1218.5501199999992</v>
          </cell>
          <cell r="N53">
            <v>1100.55699</v>
          </cell>
          <cell r="O53">
            <v>-7.2462299999999997</v>
          </cell>
          <cell r="P53">
            <v>0</v>
          </cell>
          <cell r="Q53">
            <v>0</v>
          </cell>
          <cell r="R53">
            <v>0</v>
          </cell>
          <cell r="S53">
            <v>-26.06588</v>
          </cell>
          <cell r="T53">
            <v>0</v>
          </cell>
          <cell r="U53">
            <v>0</v>
          </cell>
          <cell r="V53">
            <v>-199.01865999999998</v>
          </cell>
          <cell r="W53">
            <v>0</v>
          </cell>
          <cell r="X53">
            <v>0</v>
          </cell>
          <cell r="Y53">
            <v>-2.6017399999999999</v>
          </cell>
          <cell r="Z53">
            <v>8.8976800000000011</v>
          </cell>
          <cell r="AA53">
            <v>0.11184999999999999</v>
          </cell>
          <cell r="AB53">
            <v>0</v>
          </cell>
          <cell r="AC53">
            <v>-108.7585</v>
          </cell>
          <cell r="AD53">
            <v>0.41186</v>
          </cell>
          <cell r="AE53">
            <v>-5.8559599999999996</v>
          </cell>
          <cell r="AF53">
            <v>-6.3992899999999997</v>
          </cell>
          <cell r="AG53">
            <v>0</v>
          </cell>
          <cell r="AH53">
            <v>273.82816999999994</v>
          </cell>
          <cell r="AI53">
            <v>1986.6713599999998</v>
          </cell>
          <cell r="AJ53">
            <v>-2.6173800000000025</v>
          </cell>
          <cell r="AK53">
            <v>-400.97490999999997</v>
          </cell>
          <cell r="AL53">
            <v>-306.6265600000001</v>
          </cell>
          <cell r="AM53">
            <v>246.16845000000001</v>
          </cell>
          <cell r="AN53">
            <v>-218.12054999999989</v>
          </cell>
          <cell r="AO53">
            <v>-220.98246999999998</v>
          </cell>
          <cell r="AP53">
            <v>-22.702629999999999</v>
          </cell>
          <cell r="AQ53">
            <v>-46.005269999999996</v>
          </cell>
          <cell r="AR53">
            <v>-77.638689999999997</v>
          </cell>
          <cell r="AT53">
            <v>-28.228000000000002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1936.8036399999994</v>
          </cell>
          <cell r="EA53">
            <v>330.44161999999994</v>
          </cell>
          <cell r="EL53">
            <v>297.6874300000004</v>
          </cell>
          <cell r="EM53">
            <v>-4.7838599999999998</v>
          </cell>
          <cell r="EN53">
            <v>0</v>
          </cell>
          <cell r="EO53">
            <v>0</v>
          </cell>
          <cell r="EP53">
            <v>0</v>
          </cell>
          <cell r="EQ53">
            <v>-12.94473</v>
          </cell>
          <cell r="ER53">
            <v>0</v>
          </cell>
          <cell r="ES53">
            <v>0</v>
          </cell>
          <cell r="ET53">
            <v>-65.061360000000008</v>
          </cell>
          <cell r="EU53">
            <v>0</v>
          </cell>
          <cell r="EV53">
            <v>0</v>
          </cell>
          <cell r="EW53">
            <v>-2.6017399999999999</v>
          </cell>
          <cell r="EX53">
            <v>2.9978600000000011</v>
          </cell>
          <cell r="EY53">
            <v>0.11184999999999999</v>
          </cell>
          <cell r="EZ53">
            <v>0</v>
          </cell>
          <cell r="FA53">
            <v>-16.583169999999996</v>
          </cell>
          <cell r="FB53">
            <v>0</v>
          </cell>
          <cell r="FC53">
            <v>-2.16357</v>
          </cell>
          <cell r="FD53">
            <v>-2.2941599999999998</v>
          </cell>
          <cell r="FE53">
            <v>0</v>
          </cell>
          <cell r="FF53">
            <v>5.5610000000001492E-2</v>
          </cell>
          <cell r="FG53">
            <v>1986.6713599999998</v>
          </cell>
          <cell r="FH53">
            <v>6.83371</v>
          </cell>
          <cell r="FI53">
            <v>-400.97490999999997</v>
          </cell>
          <cell r="FJ53">
            <v>-93.740949999999998</v>
          </cell>
          <cell r="FK53">
            <v>73.194639999999993</v>
          </cell>
          <cell r="FL53">
            <v>-65.181119999999936</v>
          </cell>
          <cell r="FM53">
            <v>-47.359300000000019</v>
          </cell>
          <cell r="FN53">
            <v>-9.8356399999999979</v>
          </cell>
          <cell r="FO53">
            <v>-14.644819999999996</v>
          </cell>
          <cell r="FP53">
            <v>-34.021159999999995</v>
          </cell>
          <cell r="FR53">
            <v>-7.6980000000000004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1587.6639700000001</v>
          </cell>
        </row>
        <row r="54">
          <cell r="C54">
            <v>3104.6034899999986</v>
          </cell>
          <cell r="N54">
            <v>2510.7613299999998</v>
          </cell>
          <cell r="O54">
            <v>-6.7883599999999999</v>
          </cell>
          <cell r="P54">
            <v>0</v>
          </cell>
          <cell r="Q54">
            <v>0</v>
          </cell>
          <cell r="R54">
            <v>0</v>
          </cell>
          <cell r="S54">
            <v>-14.82564</v>
          </cell>
          <cell r="T54">
            <v>0</v>
          </cell>
          <cell r="U54">
            <v>0</v>
          </cell>
          <cell r="V54">
            <v>-297.33817999999997</v>
          </cell>
          <cell r="W54">
            <v>0</v>
          </cell>
          <cell r="X54">
            <v>0</v>
          </cell>
          <cell r="Y54">
            <v>-87.626930000000002</v>
          </cell>
          <cell r="Z54">
            <v>14.376010000000001</v>
          </cell>
          <cell r="AA54">
            <v>15.739409999999999</v>
          </cell>
          <cell r="AB54">
            <v>0</v>
          </cell>
          <cell r="AC54">
            <v>-162.32397</v>
          </cell>
          <cell r="AD54">
            <v>2.8561000000000001</v>
          </cell>
          <cell r="AE54">
            <v>-9.3480600000000003</v>
          </cell>
          <cell r="AF54">
            <v>-10.50032</v>
          </cell>
          <cell r="AG54">
            <v>0</v>
          </cell>
          <cell r="AH54">
            <v>301.29323999999963</v>
          </cell>
          <cell r="AI54">
            <v>684.01140000000009</v>
          </cell>
          <cell r="AJ54">
            <v>10.377849999999999</v>
          </cell>
          <cell r="AK54">
            <v>-108.86002999999999</v>
          </cell>
          <cell r="AL54">
            <v>-580.95154000000002</v>
          </cell>
          <cell r="AM54">
            <v>254.09178999999995</v>
          </cell>
          <cell r="AN54">
            <v>-167.56868000000014</v>
          </cell>
          <cell r="AO54">
            <v>-197.48996</v>
          </cell>
          <cell r="AP54">
            <v>-18.010190000000001</v>
          </cell>
          <cell r="AQ54">
            <v>-53.932850000000002</v>
          </cell>
          <cell r="AR54">
            <v>-45.975830000000002</v>
          </cell>
          <cell r="AT54">
            <v>-24.914999999999999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5.2366899999999994</v>
          </cell>
          <cell r="BG54">
            <v>0.17756999999999998</v>
          </cell>
          <cell r="BH54">
            <v>-0.32112999999999997</v>
          </cell>
          <cell r="BI54">
            <v>-1.3380000000000001E-2</v>
          </cell>
          <cell r="BJ54">
            <v>0</v>
          </cell>
          <cell r="BK54">
            <v>2012.1313399999997</v>
          </cell>
          <cell r="EA54">
            <v>315.05720999999994</v>
          </cell>
          <cell r="EL54">
            <v>851.09528000000023</v>
          </cell>
          <cell r="EM54">
            <v>-3.0819000000000001</v>
          </cell>
          <cell r="EN54">
            <v>0</v>
          </cell>
          <cell r="EO54">
            <v>0</v>
          </cell>
          <cell r="EP54">
            <v>0</v>
          </cell>
          <cell r="EQ54">
            <v>-5.0579800000000006</v>
          </cell>
          <cell r="ER54">
            <v>0</v>
          </cell>
          <cell r="ES54">
            <v>0</v>
          </cell>
          <cell r="ET54">
            <v>-89.812449999999956</v>
          </cell>
          <cell r="EU54">
            <v>0</v>
          </cell>
          <cell r="EV54">
            <v>0</v>
          </cell>
          <cell r="EW54">
            <v>-87.626930000000002</v>
          </cell>
          <cell r="EX54">
            <v>4.6577000000000002</v>
          </cell>
          <cell r="EY54">
            <v>15.739409999999999</v>
          </cell>
          <cell r="EZ54">
            <v>0</v>
          </cell>
          <cell r="FA54">
            <v>-33.130200000000002</v>
          </cell>
          <cell r="FB54">
            <v>3.968000000000016E-2</v>
          </cell>
          <cell r="FC54">
            <v>-3.2221900000000003</v>
          </cell>
          <cell r="FD54">
            <v>-1.1227</v>
          </cell>
          <cell r="FE54">
            <v>0</v>
          </cell>
          <cell r="FF54">
            <v>26.383550000000014</v>
          </cell>
          <cell r="FG54">
            <v>684.01140000000009</v>
          </cell>
          <cell r="FH54">
            <v>14.87781</v>
          </cell>
          <cell r="FI54">
            <v>-108.86002999999999</v>
          </cell>
          <cell r="FJ54">
            <v>-94.783459999999934</v>
          </cell>
          <cell r="FK54">
            <v>74.889759999999967</v>
          </cell>
          <cell r="FL54">
            <v>-134.92528000000007</v>
          </cell>
          <cell r="FM54">
            <v>-71.547629999999998</v>
          </cell>
          <cell r="FN54">
            <v>-5.0953100000000013</v>
          </cell>
          <cell r="FO54">
            <v>-18.864910000000002</v>
          </cell>
          <cell r="FP54">
            <v>-11.964970000000001</v>
          </cell>
          <cell r="FR54">
            <v>-8.3029999999999973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5.2366899999999994</v>
          </cell>
          <cell r="GE54">
            <v>0.17756999999999998</v>
          </cell>
          <cell r="GF54">
            <v>-0.31344</v>
          </cell>
          <cell r="GG54">
            <v>-1.3380000000000001E-2</v>
          </cell>
          <cell r="GH54">
            <v>0</v>
          </cell>
          <cell r="GI54">
            <v>999.38309000000027</v>
          </cell>
        </row>
        <row r="55">
          <cell r="C55">
            <v>1154.9591886022802</v>
          </cell>
          <cell r="N55">
            <v>1219.115612933284</v>
          </cell>
          <cell r="O55">
            <v>-37.378104015346374</v>
          </cell>
          <cell r="P55">
            <v>0</v>
          </cell>
          <cell r="Q55">
            <v>0</v>
          </cell>
          <cell r="R55">
            <v>0</v>
          </cell>
          <cell r="S55">
            <v>-25.854509642323301</v>
          </cell>
          <cell r="T55">
            <v>0</v>
          </cell>
          <cell r="U55">
            <v>0</v>
          </cell>
          <cell r="V55">
            <v>-173.93725069487363</v>
          </cell>
          <cell r="W55">
            <v>0</v>
          </cell>
          <cell r="X55">
            <v>0</v>
          </cell>
          <cell r="Y55">
            <v>-3.8740853873551027</v>
          </cell>
          <cell r="Z55">
            <v>6.7603566017026022</v>
          </cell>
          <cell r="AA55">
            <v>0</v>
          </cell>
          <cell r="AB55">
            <v>0</v>
          </cell>
          <cell r="AC55">
            <v>-84.383628048886408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84.383628048886408</v>
          </cell>
          <cell r="AI55">
            <v>3.8740853873551027</v>
          </cell>
          <cell r="AJ55">
            <v>0</v>
          </cell>
          <cell r="AK55">
            <v>0</v>
          </cell>
          <cell r="AL55">
            <v>-297.63400546000156</v>
          </cell>
          <cell r="AM55">
            <v>0</v>
          </cell>
          <cell r="AN55">
            <v>0</v>
          </cell>
          <cell r="AO55">
            <v>-225.18284050476149</v>
          </cell>
          <cell r="AP55">
            <v>-16.326736287577827</v>
          </cell>
          <cell r="AQ55">
            <v>-51.117087756953254</v>
          </cell>
          <cell r="AR55">
            <v>-70.446775797200999</v>
          </cell>
          <cell r="AT55">
            <v>-20.675774600448573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307.32288477549918</v>
          </cell>
          <cell r="EA55">
            <v>286.99768123981028</v>
          </cell>
          <cell r="EL55">
            <v>406.37187097776132</v>
          </cell>
          <cell r="EM55">
            <v>-12.459368005115458</v>
          </cell>
          <cell r="EN55">
            <v>0</v>
          </cell>
          <cell r="EO55">
            <v>0</v>
          </cell>
          <cell r="EP55">
            <v>0</v>
          </cell>
          <cell r="EQ55">
            <v>-8.6181698807744347</v>
          </cell>
          <cell r="ER55">
            <v>0</v>
          </cell>
          <cell r="ES55">
            <v>0</v>
          </cell>
          <cell r="ET55">
            <v>-57.979083564957875</v>
          </cell>
          <cell r="EU55">
            <v>0</v>
          </cell>
          <cell r="EV55">
            <v>0</v>
          </cell>
          <cell r="EW55">
            <v>-1.2913617957850341</v>
          </cell>
          <cell r="EX55">
            <v>2.2534522005675344</v>
          </cell>
          <cell r="EY55">
            <v>0</v>
          </cell>
          <cell r="EZ55">
            <v>0</v>
          </cell>
          <cell r="FA55">
            <v>-28.127876016295467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28.127876016295467</v>
          </cell>
          <cell r="FG55">
            <v>1.2913617957850341</v>
          </cell>
          <cell r="FH55">
            <v>0</v>
          </cell>
          <cell r="FI55">
            <v>0</v>
          </cell>
          <cell r="FJ55">
            <v>-99.211335153333863</v>
          </cell>
          <cell r="FK55">
            <v>0</v>
          </cell>
          <cell r="FL55">
            <v>0</v>
          </cell>
          <cell r="FM55">
            <v>-75.060946834920486</v>
          </cell>
          <cell r="FN55">
            <v>-5.4422454291926083</v>
          </cell>
          <cell r="FO55">
            <v>-17.039029252317754</v>
          </cell>
          <cell r="FP55">
            <v>-23.482258599067002</v>
          </cell>
          <cell r="FR55">
            <v>-6.8919248668161917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102.44096159183326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EA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EA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EA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</row>
        <row r="65">
          <cell r="C65">
            <v>56434.222099999999</v>
          </cell>
          <cell r="N65">
            <v>47208.069029999999</v>
          </cell>
          <cell r="O65">
            <v>-4191.1879200000003</v>
          </cell>
          <cell r="P65">
            <v>-98.32398000000002</v>
          </cell>
          <cell r="Q65">
            <v>0</v>
          </cell>
          <cell r="R65">
            <v>116.07382</v>
          </cell>
          <cell r="S65">
            <v>-2414.1699000000003</v>
          </cell>
          <cell r="T65">
            <v>-267.35933999999997</v>
          </cell>
          <cell r="U65">
            <v>0</v>
          </cell>
          <cell r="V65">
            <v>-19471.85547798621</v>
          </cell>
          <cell r="W65">
            <v>-85.369050000000001</v>
          </cell>
          <cell r="X65">
            <v>-2766.4938820137922</v>
          </cell>
          <cell r="Y65">
            <v>-207.33290000000002</v>
          </cell>
          <cell r="Z65">
            <v>1577.8743100000002</v>
          </cell>
          <cell r="AA65">
            <v>28.188690000000001</v>
          </cell>
          <cell r="AB65">
            <v>-1850</v>
          </cell>
          <cell r="AC65">
            <v>-20023.423819999996</v>
          </cell>
          <cell r="AD65">
            <v>2376.0312200000003</v>
          </cell>
          <cell r="AE65">
            <v>-858.16696999999999</v>
          </cell>
          <cell r="AF65">
            <v>-1357.4845899999998</v>
          </cell>
          <cell r="AG65">
            <v>0</v>
          </cell>
          <cell r="AH65">
            <v>7110.2251599999963</v>
          </cell>
          <cell r="AI65">
            <v>4246.9358299999994</v>
          </cell>
          <cell r="AJ65">
            <v>15900.45881</v>
          </cell>
          <cell r="AK65">
            <v>-286.39278999999999</v>
          </cell>
          <cell r="AL65">
            <v>-10708.58909000001</v>
          </cell>
          <cell r="AM65">
            <v>6802.7073200000004</v>
          </cell>
          <cell r="AN65">
            <v>-5375.3714900000023</v>
          </cell>
          <cell r="AO65">
            <v>-4583.4612999999999</v>
          </cell>
          <cell r="AP65">
            <v>-508.43675000000002</v>
          </cell>
          <cell r="AQ65">
            <v>-2303.59708</v>
          </cell>
          <cell r="AR65">
            <v>-1741.29259</v>
          </cell>
          <cell r="AT65">
            <v>-2851.1318199999996</v>
          </cell>
          <cell r="AU65">
            <v>0.72236999999999996</v>
          </cell>
          <cell r="AV65">
            <v>0</v>
          </cell>
          <cell r="AW65">
            <v>0</v>
          </cell>
          <cell r="AX65">
            <v>-128.25051053654158</v>
          </cell>
          <cell r="AY65">
            <v>0</v>
          </cell>
          <cell r="AZ65">
            <v>223.90168053654159</v>
          </cell>
          <cell r="BA65">
            <v>1.3300699999999999</v>
          </cell>
          <cell r="BB65">
            <v>-10.596120000000001</v>
          </cell>
          <cell r="BC65">
            <v>-0.23693000000000003</v>
          </cell>
          <cell r="BD65">
            <v>0</v>
          </cell>
          <cell r="BE65">
            <v>566.53559999999993</v>
          </cell>
          <cell r="BF65">
            <v>-100.50449000000727</v>
          </cell>
          <cell r="BG65">
            <v>113.96491</v>
          </cell>
          <cell r="BH65">
            <v>-2629.6226299999994</v>
          </cell>
          <cell r="BI65">
            <v>-56.138819999999996</v>
          </cell>
          <cell r="BJ65">
            <v>0</v>
          </cell>
          <cell r="BK65">
            <v>1398.2285799999793</v>
          </cell>
          <cell r="EA65">
            <v>14182.691410000005</v>
          </cell>
          <cell r="EL65">
            <v>16094.248800000014</v>
          </cell>
          <cell r="EM65">
            <v>-2660.9983300000004</v>
          </cell>
          <cell r="EN65">
            <v>-98.32398000000002</v>
          </cell>
          <cell r="EO65">
            <v>0</v>
          </cell>
          <cell r="EP65">
            <v>109.42299</v>
          </cell>
          <cell r="EQ65">
            <v>-952.10706999999991</v>
          </cell>
          <cell r="ER65">
            <v>-175.39805999999996</v>
          </cell>
          <cell r="ES65">
            <v>0</v>
          </cell>
          <cell r="ET65">
            <v>-4896.8874950373565</v>
          </cell>
          <cell r="EU65">
            <v>-85.369050000000001</v>
          </cell>
          <cell r="EV65">
            <v>-1015.7263449626442</v>
          </cell>
          <cell r="EW65">
            <v>-207.33290000000002</v>
          </cell>
          <cell r="EX65">
            <v>652.92976999999996</v>
          </cell>
          <cell r="EY65">
            <v>28.188690000000001</v>
          </cell>
          <cell r="EZ65">
            <v>-1850</v>
          </cell>
          <cell r="FA65">
            <v>-5624.6201999999994</v>
          </cell>
          <cell r="FB65">
            <v>579.84583999999984</v>
          </cell>
          <cell r="FC65">
            <v>-311.50467000000003</v>
          </cell>
          <cell r="FD65">
            <v>-336.87477999999993</v>
          </cell>
          <cell r="FE65">
            <v>0</v>
          </cell>
          <cell r="FF65">
            <v>-6883.0491800000054</v>
          </cell>
          <cell r="FG65">
            <v>4246.9358299999994</v>
          </cell>
          <cell r="FH65">
            <v>15622.684660000001</v>
          </cell>
          <cell r="FI65">
            <v>-286.39278999999999</v>
          </cell>
          <cell r="FJ65">
            <v>-2594.6232100000029</v>
          </cell>
          <cell r="FK65">
            <v>1173.7468199999994</v>
          </cell>
          <cell r="FL65">
            <v>-1534.3551299999999</v>
          </cell>
          <cell r="FM65">
            <v>-1189.2273200000002</v>
          </cell>
          <cell r="FN65">
            <v>-233.75970999999998</v>
          </cell>
          <cell r="FO65">
            <v>-751.42019000000005</v>
          </cell>
          <cell r="FP65">
            <v>-665.22149999999999</v>
          </cell>
          <cell r="FR65">
            <v>-777.88873999999976</v>
          </cell>
          <cell r="FS65">
            <v>0.47189999999999993</v>
          </cell>
          <cell r="FT65">
            <v>0</v>
          </cell>
          <cell r="FU65">
            <v>0</v>
          </cell>
          <cell r="FV65">
            <v>8.8166014151497691</v>
          </cell>
          <cell r="FW65">
            <v>0</v>
          </cell>
          <cell r="FX65">
            <v>30.745568584850233</v>
          </cell>
          <cell r="FY65">
            <v>1.3300699999999999</v>
          </cell>
          <cell r="FZ65">
            <v>-4.254690000000001</v>
          </cell>
          <cell r="GA65">
            <v>-0.23693000000000003</v>
          </cell>
          <cell r="GB65">
            <v>0</v>
          </cell>
          <cell r="GC65">
            <v>119.93117000000002</v>
          </cell>
          <cell r="GD65">
            <v>-117.78652999998937</v>
          </cell>
          <cell r="GE65">
            <v>113.96491</v>
          </cell>
          <cell r="GF65">
            <v>-2524.2994100000001</v>
          </cell>
          <cell r="GG65">
            <v>-56.138819999999996</v>
          </cell>
          <cell r="GH65">
            <v>0</v>
          </cell>
          <cell r="GI65">
            <v>2949.4665900000136</v>
          </cell>
        </row>
        <row r="66">
          <cell r="C66">
            <v>61658.945810000012</v>
          </cell>
          <cell r="N66">
            <v>50348.535060000009</v>
          </cell>
          <cell r="O66">
            <v>-4013.9401100000005</v>
          </cell>
          <cell r="P66">
            <v>0</v>
          </cell>
          <cell r="Q66">
            <v>-550.923</v>
          </cell>
          <cell r="R66">
            <v>210.79289000000003</v>
          </cell>
          <cell r="S66">
            <v>-2925.9426000000003</v>
          </cell>
          <cell r="T66">
            <v>-307.88244000000003</v>
          </cell>
          <cell r="U66">
            <v>0</v>
          </cell>
          <cell r="V66">
            <v>-22274.951979999998</v>
          </cell>
          <cell r="W66">
            <v>0</v>
          </cell>
          <cell r="X66">
            <v>-1745.6320000000001</v>
          </cell>
          <cell r="Y66">
            <v>-448.82147000000003</v>
          </cell>
          <cell r="Z66">
            <v>1319.21415</v>
          </cell>
          <cell r="AA66">
            <v>47.788220000000003</v>
          </cell>
          <cell r="AB66">
            <v>-300</v>
          </cell>
          <cell r="AC66">
            <v>-27489.287410000008</v>
          </cell>
          <cell r="AD66">
            <v>2776.4780099999998</v>
          </cell>
          <cell r="AE66">
            <v>-1111.8533299999999</v>
          </cell>
          <cell r="AF66">
            <v>-1590.3767</v>
          </cell>
          <cell r="AG66">
            <v>0</v>
          </cell>
          <cell r="AH66">
            <v>30199.784439999992</v>
          </cell>
          <cell r="AI66">
            <v>1641.9605899999999</v>
          </cell>
          <cell r="AJ66">
            <v>537.32157999999993</v>
          </cell>
          <cell r="AK66">
            <v>-73.859619999999978</v>
          </cell>
          <cell r="AL66">
            <v>-11819.808889999993</v>
          </cell>
          <cell r="AM66">
            <v>7240.7315599999993</v>
          </cell>
          <cell r="AN66">
            <v>-5496.3308300000026</v>
          </cell>
          <cell r="AO66">
            <v>-3984.6049800000001</v>
          </cell>
          <cell r="AP66">
            <v>-532.55051000000003</v>
          </cell>
          <cell r="AQ66">
            <v>-2099.3712799999998</v>
          </cell>
          <cell r="AR66">
            <v>-1614.79909</v>
          </cell>
          <cell r="AT66">
            <v>-3269.2152600000054</v>
          </cell>
          <cell r="AU66">
            <v>11.09778</v>
          </cell>
          <cell r="AV66">
            <v>0</v>
          </cell>
          <cell r="AW66">
            <v>0</v>
          </cell>
          <cell r="AX66">
            <v>-69.317999999999998</v>
          </cell>
          <cell r="AY66">
            <v>0</v>
          </cell>
          <cell r="AZ66">
            <v>230.68099999999998</v>
          </cell>
          <cell r="BA66">
            <v>2.6747699999999996</v>
          </cell>
          <cell r="BB66">
            <v>-13.01923</v>
          </cell>
          <cell r="BC66">
            <v>-0.33207999999999999</v>
          </cell>
          <cell r="BD66">
            <v>0</v>
          </cell>
          <cell r="BE66">
            <v>2203.0487899999998</v>
          </cell>
          <cell r="BF66">
            <v>-3629.9866199999765</v>
          </cell>
          <cell r="BG66">
            <v>-62.30865</v>
          </cell>
          <cell r="BH66">
            <v>-52.081199999999988</v>
          </cell>
          <cell r="BI66">
            <v>-17.516479999999998</v>
          </cell>
          <cell r="BJ66">
            <v>0</v>
          </cell>
          <cell r="BK66">
            <v>1275.3950800000159</v>
          </cell>
          <cell r="EA66">
            <v>15648.008320000001</v>
          </cell>
          <cell r="EL66">
            <v>17954.646179999989</v>
          </cell>
          <cell r="EM66">
            <v>-1859.8541000000002</v>
          </cell>
          <cell r="EN66">
            <v>0</v>
          </cell>
          <cell r="EO66">
            <v>-550.923</v>
          </cell>
          <cell r="EP66">
            <v>436.08967000000001</v>
          </cell>
          <cell r="EQ66">
            <v>-1080.3852200000001</v>
          </cell>
          <cell r="ER66">
            <v>-146.51780000000002</v>
          </cell>
          <cell r="ES66">
            <v>0</v>
          </cell>
          <cell r="ET66">
            <v>-8938.0173184377127</v>
          </cell>
          <cell r="EU66">
            <v>0</v>
          </cell>
          <cell r="EV66">
            <v>-251.01033156228581</v>
          </cell>
          <cell r="EW66">
            <v>-448.82147000000003</v>
          </cell>
          <cell r="EX66">
            <v>528.78453000000002</v>
          </cell>
          <cell r="EY66">
            <v>47.788220000000003</v>
          </cell>
          <cell r="EZ66">
            <v>-300</v>
          </cell>
          <cell r="FA66">
            <v>-8370.9831599999998</v>
          </cell>
          <cell r="FB66">
            <v>245.65742000000003</v>
          </cell>
          <cell r="FC66">
            <v>-388.97668999999996</v>
          </cell>
          <cell r="FD66">
            <v>106.73624999999987</v>
          </cell>
          <cell r="FE66">
            <v>0</v>
          </cell>
          <cell r="FF66">
            <v>8835.7920499999946</v>
          </cell>
          <cell r="FG66">
            <v>1641.9605899999999</v>
          </cell>
          <cell r="FH66">
            <v>188.20735999999968</v>
          </cell>
          <cell r="FI66">
            <v>-73.859619999999978</v>
          </cell>
          <cell r="FJ66">
            <v>-3156.6117599999984</v>
          </cell>
          <cell r="FK66">
            <v>1273.1669499999994</v>
          </cell>
          <cell r="FL66">
            <v>-1656.2673799999998</v>
          </cell>
          <cell r="FM66">
            <v>-1392.1681899999999</v>
          </cell>
          <cell r="FN66">
            <v>-189.76919000000001</v>
          </cell>
          <cell r="FO66">
            <v>-722.20363999999995</v>
          </cell>
          <cell r="FP66">
            <v>-528.66664000000003</v>
          </cell>
          <cell r="FR66">
            <v>-1520.3770900000054</v>
          </cell>
          <cell r="FS66">
            <v>9.5961800000000004</v>
          </cell>
          <cell r="FT66">
            <v>0</v>
          </cell>
          <cell r="FU66">
            <v>0</v>
          </cell>
          <cell r="FV66">
            <v>-77.284170000000003</v>
          </cell>
          <cell r="FW66">
            <v>0</v>
          </cell>
          <cell r="FX66">
            <v>230.68099999999998</v>
          </cell>
          <cell r="FY66">
            <v>2.6747699999999996</v>
          </cell>
          <cell r="FZ66">
            <v>-12.031809999999998</v>
          </cell>
          <cell r="GA66">
            <v>-0.33207999999999999</v>
          </cell>
          <cell r="GB66">
            <v>0</v>
          </cell>
          <cell r="GC66">
            <v>666.18643999999995</v>
          </cell>
          <cell r="GD66">
            <v>-2598.6060499999844</v>
          </cell>
          <cell r="GE66">
            <v>-62.30865</v>
          </cell>
          <cell r="GF66">
            <v>27.531160000000014</v>
          </cell>
          <cell r="GG66">
            <v>-17.516479999999998</v>
          </cell>
          <cell r="GH66">
            <v>0</v>
          </cell>
          <cell r="GI66">
            <v>-2147.9930700000073</v>
          </cell>
        </row>
        <row r="67">
          <cell r="C67">
            <v>59823.618164564148</v>
          </cell>
          <cell r="N67">
            <v>49500.519202002382</v>
          </cell>
          <cell r="O67">
            <v>-12908.281485470567</v>
          </cell>
          <cell r="P67">
            <v>-1328.0619049112738</v>
          </cell>
          <cell r="Q67">
            <v>-1110.5087299593079</v>
          </cell>
          <cell r="R67">
            <v>0</v>
          </cell>
          <cell r="S67">
            <v>-3361.7325387128653</v>
          </cell>
          <cell r="T67">
            <v>-869.25464805876197</v>
          </cell>
          <cell r="U67">
            <v>0</v>
          </cell>
          <cell r="V67">
            <v>-7076.2367009422605</v>
          </cell>
          <cell r="W67">
            <v>-1041.7219661693161</v>
          </cell>
          <cell r="X67">
            <v>-1752.5359154382732</v>
          </cell>
          <cell r="Y67">
            <v>-296.30966081212995</v>
          </cell>
          <cell r="Z67">
            <v>830.53768718383003</v>
          </cell>
          <cell r="AA67">
            <v>0</v>
          </cell>
          <cell r="AB67">
            <v>0</v>
          </cell>
          <cell r="AC67">
            <v>-10161.032294405173</v>
          </cell>
          <cell r="AD67">
            <v>0</v>
          </cell>
          <cell r="AE67">
            <v>0</v>
          </cell>
          <cell r="AF67">
            <v>-1074.3776802819698</v>
          </cell>
          <cell r="AG67">
            <v>0</v>
          </cell>
          <cell r="AH67">
            <v>11332.409974687142</v>
          </cell>
          <cell r="AI67">
            <v>296.30966081212995</v>
          </cell>
          <cell r="AJ67">
            <v>0</v>
          </cell>
          <cell r="AK67">
            <v>0</v>
          </cell>
          <cell r="AL67">
            <v>-10055.605449688428</v>
          </cell>
          <cell r="AM67">
            <v>0</v>
          </cell>
          <cell r="AN67">
            <v>0</v>
          </cell>
          <cell r="AO67">
            <v>-4631.2788749093643</v>
          </cell>
          <cell r="AP67">
            <v>-446.15374882685467</v>
          </cell>
          <cell r="AQ67">
            <v>-2463.7856890047096</v>
          </cell>
          <cell r="AR67">
            <v>-1882.0442835432191</v>
          </cell>
          <cell r="AT67">
            <v>-3544.4649665223828</v>
          </cell>
          <cell r="AU67">
            <v>681.60220217111794</v>
          </cell>
          <cell r="AV67">
            <v>484.0507751540228</v>
          </cell>
          <cell r="AW67">
            <v>73.176150090350191</v>
          </cell>
          <cell r="AX67">
            <v>-560.97357953635674</v>
          </cell>
          <cell r="AY67">
            <v>421.21157511915362</v>
          </cell>
          <cell r="AZ67">
            <v>153.72318524715786</v>
          </cell>
          <cell r="BA67">
            <v>14.236157786844627</v>
          </cell>
          <cell r="BB67">
            <v>-35.595584173177706</v>
          </cell>
          <cell r="BC67">
            <v>0</v>
          </cell>
          <cell r="BD67">
            <v>0</v>
          </cell>
          <cell r="BE67">
            <v>476.85740784371484</v>
          </cell>
          <cell r="BF67">
            <v>-1113.6074078437148</v>
          </cell>
          <cell r="BG67">
            <v>-14.252990914573077</v>
          </cell>
          <cell r="BH67">
            <v>0</v>
          </cell>
          <cell r="BI67">
            <v>0</v>
          </cell>
          <cell r="BJ67">
            <v>0</v>
          </cell>
          <cell r="BK67">
            <v>-1463.1821220268234</v>
          </cell>
          <cell r="EA67">
            <v>15832.290652101854</v>
          </cell>
          <cell r="EL67">
            <v>16500.173067334126</v>
          </cell>
          <cell r="EM67">
            <v>-4302.7604951568555</v>
          </cell>
          <cell r="EN67">
            <v>-442.68730163709137</v>
          </cell>
          <cell r="EO67">
            <v>-370.16957665310264</v>
          </cell>
          <cell r="EP67">
            <v>0</v>
          </cell>
          <cell r="EQ67">
            <v>-1120.5775129042886</v>
          </cell>
          <cell r="ER67">
            <v>-289.75154935292062</v>
          </cell>
          <cell r="ES67">
            <v>0</v>
          </cell>
          <cell r="ET67">
            <v>-2358.7455669807541</v>
          </cell>
          <cell r="EU67">
            <v>-347.24065538977209</v>
          </cell>
          <cell r="EV67">
            <v>-584.17863847942431</v>
          </cell>
          <cell r="EW67">
            <v>-98.769886937376668</v>
          </cell>
          <cell r="EX67">
            <v>276.84589572794346</v>
          </cell>
          <cell r="EY67">
            <v>0</v>
          </cell>
          <cell r="EZ67">
            <v>0</v>
          </cell>
          <cell r="FA67">
            <v>-3387.0107648017251</v>
          </cell>
          <cell r="FB67">
            <v>0</v>
          </cell>
          <cell r="FC67">
            <v>0</v>
          </cell>
          <cell r="FD67">
            <v>-358.12589342732326</v>
          </cell>
          <cell r="FE67">
            <v>0</v>
          </cell>
          <cell r="FF67">
            <v>3777.4699915623805</v>
          </cell>
          <cell r="FG67">
            <v>98.769886937376668</v>
          </cell>
          <cell r="FH67">
            <v>0</v>
          </cell>
          <cell r="FI67">
            <v>0</v>
          </cell>
          <cell r="FJ67">
            <v>-3351.8684832294757</v>
          </cell>
          <cell r="FK67">
            <v>0</v>
          </cell>
          <cell r="FL67">
            <v>0</v>
          </cell>
          <cell r="FM67">
            <v>-1543.7596249697881</v>
          </cell>
          <cell r="FN67">
            <v>-148.71791627561819</v>
          </cell>
          <cell r="FO67">
            <v>-821.2618963349031</v>
          </cell>
          <cell r="FP67">
            <v>-627.34809451440651</v>
          </cell>
          <cell r="FR67">
            <v>-1181.4883221741275</v>
          </cell>
          <cell r="FS67">
            <v>227.20073405703931</v>
          </cell>
          <cell r="FT67">
            <v>161.35025838467422</v>
          </cell>
          <cell r="FU67">
            <v>24.392050030116721</v>
          </cell>
          <cell r="FV67">
            <v>-186.99119317878558</v>
          </cell>
          <cell r="FW67">
            <v>140.40385837305121</v>
          </cell>
          <cell r="FX67">
            <v>51.241061749052626</v>
          </cell>
          <cell r="FY67">
            <v>4.7453859289482088</v>
          </cell>
          <cell r="FZ67">
            <v>-11.865194724392566</v>
          </cell>
          <cell r="GA67">
            <v>0</v>
          </cell>
          <cell r="GB67">
            <v>0</v>
          </cell>
          <cell r="GC67">
            <v>158.95246928123828</v>
          </cell>
          <cell r="GD67">
            <v>-371.20246928123828</v>
          </cell>
          <cell r="GE67">
            <v>-4.7509969715243585</v>
          </cell>
          <cell r="GF67">
            <v>0</v>
          </cell>
          <cell r="GG67">
            <v>0</v>
          </cell>
          <cell r="GH67">
            <v>0</v>
          </cell>
          <cell r="GI67">
            <v>-487.72737400894368</v>
          </cell>
        </row>
        <row r="69">
          <cell r="C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EA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</row>
        <row r="70">
          <cell r="C70">
            <v>11816.780720000004</v>
          </cell>
          <cell r="N70">
            <v>6805.33716</v>
          </cell>
          <cell r="O70">
            <v>383.39532000000003</v>
          </cell>
          <cell r="P70">
            <v>0</v>
          </cell>
          <cell r="Q70">
            <v>-582.577</v>
          </cell>
          <cell r="R70">
            <v>2.5354200000000002</v>
          </cell>
          <cell r="S70">
            <v>-114.50592999999999</v>
          </cell>
          <cell r="T70">
            <v>-1.71</v>
          </cell>
          <cell r="U70">
            <v>0</v>
          </cell>
          <cell r="V70">
            <v>-3328.7136599999999</v>
          </cell>
          <cell r="W70">
            <v>0</v>
          </cell>
          <cell r="X70">
            <v>-400</v>
          </cell>
          <cell r="Y70">
            <v>-68.911490000000001</v>
          </cell>
          <cell r="Z70">
            <v>309.80490000000003</v>
          </cell>
          <cell r="AA70">
            <v>11.732279999999999</v>
          </cell>
          <cell r="AB70">
            <v>0</v>
          </cell>
          <cell r="AC70">
            <v>-7394.4918900000011</v>
          </cell>
          <cell r="AD70">
            <v>189.53228000000001</v>
          </cell>
          <cell r="AE70">
            <v>-80.990589999999997</v>
          </cell>
          <cell r="AF70">
            <v>-166.28414999999998</v>
          </cell>
          <cell r="AG70">
            <v>0</v>
          </cell>
          <cell r="AH70">
            <v>7181.465589999998</v>
          </cell>
          <cell r="AI70">
            <v>502.72953999999987</v>
          </cell>
          <cell r="AJ70">
            <v>901.02158000000009</v>
          </cell>
          <cell r="AK70">
            <v>-16.699530000000003</v>
          </cell>
          <cell r="AL70">
            <v>-974.40123000000062</v>
          </cell>
          <cell r="AM70">
            <v>0</v>
          </cell>
          <cell r="AN70">
            <v>331.79397999999992</v>
          </cell>
          <cell r="AO70">
            <v>-855.79766000000006</v>
          </cell>
          <cell r="AP70">
            <v>-74.087780000000009</v>
          </cell>
          <cell r="AQ70">
            <v>-538.4696899999999</v>
          </cell>
          <cell r="AR70">
            <v>-213.27970999999999</v>
          </cell>
          <cell r="AT70">
            <v>-65.771210000000025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46.163380000000004</v>
          </cell>
          <cell r="BF70">
            <v>-153.0408000000007</v>
          </cell>
          <cell r="BG70">
            <v>-73.232350000000039</v>
          </cell>
          <cell r="BH70">
            <v>8.6758499999999987</v>
          </cell>
          <cell r="BI70">
            <v>5.6539999999999993E-2</v>
          </cell>
          <cell r="BJ70">
            <v>0</v>
          </cell>
          <cell r="BK70">
            <v>1571.2791499999951</v>
          </cell>
          <cell r="EA70">
            <v>426.16159000000152</v>
          </cell>
          <cell r="EL70">
            <v>2314.5242100000023</v>
          </cell>
          <cell r="EM70">
            <v>445.51600999999999</v>
          </cell>
          <cell r="EN70">
            <v>0</v>
          </cell>
          <cell r="EO70">
            <v>-582.577</v>
          </cell>
          <cell r="EP70">
            <v>2.5354200000000002</v>
          </cell>
          <cell r="EQ70">
            <v>-46.30659</v>
          </cell>
          <cell r="ER70">
            <v>-1.3085199999999999</v>
          </cell>
          <cell r="ES70">
            <v>0</v>
          </cell>
          <cell r="ET70">
            <v>-2033.9951099999998</v>
          </cell>
          <cell r="EU70">
            <v>0</v>
          </cell>
          <cell r="EV70">
            <v>-100</v>
          </cell>
          <cell r="EW70">
            <v>-68.911490000000001</v>
          </cell>
          <cell r="EX70">
            <v>243.73824000000002</v>
          </cell>
          <cell r="EY70">
            <v>11.732279999999999</v>
          </cell>
          <cell r="EZ70">
            <v>0</v>
          </cell>
          <cell r="FA70">
            <v>-3310.1286799999993</v>
          </cell>
          <cell r="FB70">
            <v>1.3900800000000118</v>
          </cell>
          <cell r="FC70">
            <v>-27.845550000000003</v>
          </cell>
          <cell r="FD70">
            <v>-67.133730000000014</v>
          </cell>
          <cell r="FE70">
            <v>0</v>
          </cell>
          <cell r="FF70">
            <v>2308.5204599999988</v>
          </cell>
          <cell r="FG70">
            <v>502.72953999999987</v>
          </cell>
          <cell r="FH70">
            <v>320.67687000000001</v>
          </cell>
          <cell r="FI70">
            <v>-16.699530000000003</v>
          </cell>
          <cell r="FJ70">
            <v>-41.987569999999778</v>
          </cell>
          <cell r="FK70">
            <v>0</v>
          </cell>
          <cell r="FL70">
            <v>-118.22120000000001</v>
          </cell>
          <cell r="FM70">
            <v>-306.04962</v>
          </cell>
          <cell r="FN70">
            <v>-23.983170000000008</v>
          </cell>
          <cell r="FO70">
            <v>-347.38686999999993</v>
          </cell>
          <cell r="FP70">
            <v>-67.708789999999993</v>
          </cell>
          <cell r="FR70">
            <v>-21.924000000000007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9.5122600000000048</v>
          </cell>
          <cell r="GD70">
            <v>3.8884599999996396</v>
          </cell>
          <cell r="GE70">
            <v>-73.232350000000039</v>
          </cell>
          <cell r="GF70">
            <v>-2.7945899999999995</v>
          </cell>
          <cell r="GG70">
            <v>5.6539999999999993E-2</v>
          </cell>
          <cell r="GH70">
            <v>0</v>
          </cell>
          <cell r="GI70">
            <v>-1093.3739899999982</v>
          </cell>
        </row>
        <row r="71">
          <cell r="C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EA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</row>
        <row r="73">
          <cell r="C73">
            <v>16762.979899999998</v>
          </cell>
          <cell r="N73">
            <v>16827.413349999999</v>
          </cell>
          <cell r="O73">
            <v>-159.24642999999995</v>
          </cell>
          <cell r="P73">
            <v>0</v>
          </cell>
          <cell r="Q73">
            <v>0</v>
          </cell>
          <cell r="R73">
            <v>48.9998</v>
          </cell>
          <cell r="S73">
            <v>-135.98161999999999</v>
          </cell>
          <cell r="T73">
            <v>0</v>
          </cell>
          <cell r="U73">
            <v>0</v>
          </cell>
          <cell r="V73">
            <v>-12706.276459999999</v>
          </cell>
          <cell r="W73">
            <v>0</v>
          </cell>
          <cell r="X73">
            <v>0</v>
          </cell>
          <cell r="Y73">
            <v>-36.574129999999997</v>
          </cell>
          <cell r="Z73">
            <v>347.53107999999997</v>
          </cell>
          <cell r="AA73">
            <v>6.5187900000000001</v>
          </cell>
          <cell r="AB73">
            <v>0</v>
          </cell>
          <cell r="AC73">
            <v>-10358.549370000001</v>
          </cell>
          <cell r="AD73">
            <v>0</v>
          </cell>
          <cell r="AE73">
            <v>-76.360079999999982</v>
          </cell>
          <cell r="AF73">
            <v>-12.230849999999998</v>
          </cell>
          <cell r="AG73">
            <v>0</v>
          </cell>
          <cell r="AH73">
            <v>14329.482500000007</v>
          </cell>
          <cell r="AI73">
            <v>-1340.551909999999</v>
          </cell>
          <cell r="AJ73">
            <v>-1995.2577800000001</v>
          </cell>
          <cell r="AK73">
            <v>194.84571</v>
          </cell>
          <cell r="AL73">
            <v>-1135.6946899999998</v>
          </cell>
          <cell r="AM73">
            <v>135.22403</v>
          </cell>
          <cell r="AN73">
            <v>-116.80186</v>
          </cell>
          <cell r="AO73">
            <v>-523.54792000000009</v>
          </cell>
          <cell r="AP73">
            <v>-57.814299999999996</v>
          </cell>
          <cell r="AQ73">
            <v>-1124.66911</v>
          </cell>
          <cell r="AR73">
            <v>-542.88609999999994</v>
          </cell>
          <cell r="AT73">
            <v>-1347.3256500000002</v>
          </cell>
          <cell r="AU73">
            <v>3.7230400000000001</v>
          </cell>
          <cell r="AV73">
            <v>0</v>
          </cell>
          <cell r="AW73">
            <v>0</v>
          </cell>
          <cell r="AX73">
            <v>599.80565999999999</v>
          </cell>
          <cell r="AY73">
            <v>0</v>
          </cell>
          <cell r="AZ73">
            <v>0</v>
          </cell>
          <cell r="BA73">
            <v>0.17824999999999999</v>
          </cell>
          <cell r="BB73">
            <v>-1.51542</v>
          </cell>
          <cell r="BC73">
            <v>-1.4670000000000001E-2</v>
          </cell>
          <cell r="BD73">
            <v>0</v>
          </cell>
          <cell r="BE73">
            <v>879.18129999999974</v>
          </cell>
          <cell r="BF73">
            <v>-3361.055629999998</v>
          </cell>
          <cell r="BG73">
            <v>30.052339999999997</v>
          </cell>
          <cell r="BH73">
            <v>2534.6011500000004</v>
          </cell>
          <cell r="BI73">
            <v>-8.1840000000000011</v>
          </cell>
          <cell r="BJ73">
            <v>0</v>
          </cell>
          <cell r="BK73">
            <v>897.01902000000791</v>
          </cell>
          <cell r="EA73">
            <v>7099.1416699999991</v>
          </cell>
          <cell r="EL73">
            <v>7214.4777199999971</v>
          </cell>
          <cell r="EM73">
            <v>-154.80153999999996</v>
          </cell>
          <cell r="EN73">
            <v>0</v>
          </cell>
          <cell r="EO73">
            <v>0</v>
          </cell>
          <cell r="EP73">
            <v>48.9998</v>
          </cell>
          <cell r="EQ73">
            <v>-55.087339999999998</v>
          </cell>
          <cell r="ER73">
            <v>0</v>
          </cell>
          <cell r="ES73">
            <v>0</v>
          </cell>
          <cell r="ET73">
            <v>-5049.4026799999992</v>
          </cell>
          <cell r="EU73">
            <v>0</v>
          </cell>
          <cell r="EV73">
            <v>0</v>
          </cell>
          <cell r="EW73">
            <v>-36.574129999999997</v>
          </cell>
          <cell r="EX73">
            <v>292.98194999999998</v>
          </cell>
          <cell r="EY73">
            <v>6.5187900000000001</v>
          </cell>
          <cell r="EZ73">
            <v>0</v>
          </cell>
          <cell r="FA73">
            <v>-4394.9450000000006</v>
          </cell>
          <cell r="FB73">
            <v>0</v>
          </cell>
          <cell r="FC73">
            <v>-24.867409999999985</v>
          </cell>
          <cell r="FD73">
            <v>-8.9792699999999979</v>
          </cell>
          <cell r="FE73">
            <v>0</v>
          </cell>
          <cell r="FF73">
            <v>12697.438000000004</v>
          </cell>
          <cell r="FG73">
            <v>-1340.551909999999</v>
          </cell>
          <cell r="FH73">
            <v>-6879.7265900000002</v>
          </cell>
          <cell r="FI73">
            <v>194.84571</v>
          </cell>
          <cell r="FJ73">
            <v>-508.99535999999989</v>
          </cell>
          <cell r="FK73">
            <v>58.926899999999989</v>
          </cell>
          <cell r="FL73">
            <v>-53.768100000000004</v>
          </cell>
          <cell r="FM73">
            <v>-184.45523000000009</v>
          </cell>
          <cell r="FN73">
            <v>-22.912999999999997</v>
          </cell>
          <cell r="FO73">
            <v>-351.95684000000006</v>
          </cell>
          <cell r="FP73">
            <v>-164.19685999999996</v>
          </cell>
          <cell r="FR73">
            <v>-263.40916000000016</v>
          </cell>
          <cell r="FS73">
            <v>2.6219200000000003</v>
          </cell>
          <cell r="FT73">
            <v>0</v>
          </cell>
          <cell r="FU73">
            <v>0</v>
          </cell>
          <cell r="FV73">
            <v>324.39371</v>
          </cell>
          <cell r="FW73">
            <v>0</v>
          </cell>
          <cell r="FX73">
            <v>0</v>
          </cell>
          <cell r="FY73">
            <v>0.17824999999999999</v>
          </cell>
          <cell r="FZ73">
            <v>6.3399999999999901E-2</v>
          </cell>
          <cell r="GA73">
            <v>-1.4670000000000001E-2</v>
          </cell>
          <cell r="GB73">
            <v>0</v>
          </cell>
          <cell r="GC73">
            <v>396.77114999999969</v>
          </cell>
          <cell r="GD73">
            <v>-3949.6079399999967</v>
          </cell>
          <cell r="GE73">
            <v>30.052339999999997</v>
          </cell>
          <cell r="GF73">
            <v>3473.2344200000002</v>
          </cell>
          <cell r="GG73">
            <v>-8.1840000000000011</v>
          </cell>
          <cell r="GH73">
            <v>0</v>
          </cell>
          <cell r="GI73">
            <v>1289.0670300000047</v>
          </cell>
        </row>
        <row r="74">
          <cell r="C74">
            <v>15874.847610000003</v>
          </cell>
          <cell r="N74">
            <v>15675.564450000002</v>
          </cell>
          <cell r="O74">
            <v>-102.24328</v>
          </cell>
          <cell r="P74">
            <v>0</v>
          </cell>
          <cell r="Q74">
            <v>0</v>
          </cell>
          <cell r="R74">
            <v>44.189889999999998</v>
          </cell>
          <cell r="S74">
            <v>-35.024320000000003</v>
          </cell>
          <cell r="T74">
            <v>0</v>
          </cell>
          <cell r="U74">
            <v>0</v>
          </cell>
          <cell r="V74">
            <v>-15151.428599999999</v>
          </cell>
          <cell r="W74">
            <v>0</v>
          </cell>
          <cell r="X74">
            <v>0</v>
          </cell>
          <cell r="Y74">
            <v>-161.30385999999999</v>
          </cell>
          <cell r="Z74">
            <v>2801.9606299999996</v>
          </cell>
          <cell r="AA74">
            <v>24.996820000000003</v>
          </cell>
          <cell r="AB74">
            <v>0</v>
          </cell>
          <cell r="AC74">
            <v>-8613.3159300000007</v>
          </cell>
          <cell r="AD74">
            <v>0</v>
          </cell>
          <cell r="AE74">
            <v>-15.764389999999999</v>
          </cell>
          <cell r="AF74">
            <v>-5.7474799999999995</v>
          </cell>
          <cell r="AG74">
            <v>0</v>
          </cell>
          <cell r="AH74">
            <v>7429.6293499999992</v>
          </cell>
          <cell r="AI74">
            <v>150.78711000000001</v>
          </cell>
          <cell r="AJ74">
            <v>-713.69965000000116</v>
          </cell>
          <cell r="AK74">
            <v>-8.8023699999999998</v>
          </cell>
          <cell r="AL74">
            <v>-1168.3492999999999</v>
          </cell>
          <cell r="AM74">
            <v>146.47613000000001</v>
          </cell>
          <cell r="AN74">
            <v>-116.60205999999997</v>
          </cell>
          <cell r="AO74">
            <v>-458.55628999999999</v>
          </cell>
          <cell r="AP74">
            <v>-43.597819999999999</v>
          </cell>
          <cell r="AQ74">
            <v>-606.88151000000005</v>
          </cell>
          <cell r="AR74">
            <v>-336.22401000000002</v>
          </cell>
          <cell r="AT74">
            <v>-2232.8840900000005</v>
          </cell>
          <cell r="AU74">
            <v>0</v>
          </cell>
          <cell r="AV74">
            <v>0</v>
          </cell>
          <cell r="AW74">
            <v>0</v>
          </cell>
          <cell r="AX74">
            <v>2035.47867</v>
          </cell>
          <cell r="AY74">
            <v>0</v>
          </cell>
          <cell r="AZ74">
            <v>0</v>
          </cell>
          <cell r="BA74">
            <v>6.6341000000000001</v>
          </cell>
          <cell r="BB74">
            <v>-353.37985000000003</v>
          </cell>
          <cell r="BC74">
            <v>-0.11647</v>
          </cell>
          <cell r="BD74">
            <v>0</v>
          </cell>
          <cell r="BE74">
            <v>575.66580000000022</v>
          </cell>
          <cell r="BF74">
            <v>-183.94961000003099</v>
          </cell>
          <cell r="BG74">
            <v>-35.99871000000001</v>
          </cell>
          <cell r="BH74">
            <v>327.92973000000018</v>
          </cell>
          <cell r="BI74">
            <v>0.18189</v>
          </cell>
          <cell r="BJ74">
            <v>0</v>
          </cell>
          <cell r="BK74">
            <v>-1124.3750300000338</v>
          </cell>
          <cell r="EA74">
            <v>6748.5756000000019</v>
          </cell>
          <cell r="EL74">
            <v>7348.1989100000019</v>
          </cell>
          <cell r="EM74">
            <v>-90.545349999999999</v>
          </cell>
          <cell r="EN74">
            <v>0</v>
          </cell>
          <cell r="EO74">
            <v>0</v>
          </cell>
          <cell r="EP74">
            <v>44.189889999999998</v>
          </cell>
          <cell r="EQ74">
            <v>-13.679590000000005</v>
          </cell>
          <cell r="ER74">
            <v>0</v>
          </cell>
          <cell r="ES74">
            <v>0</v>
          </cell>
          <cell r="ET74">
            <v>-7753.6335499999986</v>
          </cell>
          <cell r="EU74">
            <v>0</v>
          </cell>
          <cell r="EV74">
            <v>0</v>
          </cell>
          <cell r="EW74">
            <v>-161.30385999999999</v>
          </cell>
          <cell r="EX74">
            <v>1485.7903399999996</v>
          </cell>
          <cell r="EY74">
            <v>24.996820000000003</v>
          </cell>
          <cell r="EZ74">
            <v>0</v>
          </cell>
          <cell r="FA74">
            <v>-3213.2651600000008</v>
          </cell>
          <cell r="FB74">
            <v>0</v>
          </cell>
          <cell r="FC74">
            <v>-6.216429999999999</v>
          </cell>
          <cell r="FD74">
            <v>-1.08507</v>
          </cell>
          <cell r="FE74">
            <v>0</v>
          </cell>
          <cell r="FF74">
            <v>1257.2269100000003</v>
          </cell>
          <cell r="FG74">
            <v>150.78711000000001</v>
          </cell>
          <cell r="FH74">
            <v>465.27504000000022</v>
          </cell>
          <cell r="FI74">
            <v>-8.8023699999999998</v>
          </cell>
          <cell r="FJ74">
            <v>-560.92539999999985</v>
          </cell>
          <cell r="FK74">
            <v>47.716850000000008</v>
          </cell>
          <cell r="FL74">
            <v>-58.749219999999973</v>
          </cell>
          <cell r="FM74">
            <v>-168.81153</v>
          </cell>
          <cell r="FN74">
            <v>-16.230529999999998</v>
          </cell>
          <cell r="FO74">
            <v>-217.46148000000005</v>
          </cell>
          <cell r="FP74">
            <v>-96.912129999999991</v>
          </cell>
          <cell r="FR74">
            <v>-1842.5168900000003</v>
          </cell>
          <cell r="FS74">
            <v>0</v>
          </cell>
          <cell r="FT74">
            <v>0</v>
          </cell>
          <cell r="FU74">
            <v>0</v>
          </cell>
          <cell r="FV74">
            <v>1372.5493999999999</v>
          </cell>
          <cell r="FW74">
            <v>0</v>
          </cell>
          <cell r="FX74">
            <v>0</v>
          </cell>
          <cell r="FY74">
            <v>6.6341000000000001</v>
          </cell>
          <cell r="FZ74">
            <v>-238.64598000000004</v>
          </cell>
          <cell r="GA74">
            <v>-0.11647</v>
          </cell>
          <cell r="GB74">
            <v>0</v>
          </cell>
          <cell r="GC74">
            <v>369.38478000000021</v>
          </cell>
          <cell r="GD74">
            <v>294.02371999999087</v>
          </cell>
          <cell r="GE74">
            <v>-35.99871000000001</v>
          </cell>
          <cell r="GF74">
            <v>-93.509029999999996</v>
          </cell>
          <cell r="GG74">
            <v>0.18189</v>
          </cell>
          <cell r="GH74">
            <v>0</v>
          </cell>
          <cell r="GI74">
            <v>-1711.4529900000077</v>
          </cell>
        </row>
        <row r="75">
          <cell r="C75">
            <v>17416.689024312909</v>
          </cell>
          <cell r="N75">
            <v>17253.636448104677</v>
          </cell>
          <cell r="O75">
            <v>-2345.6912591632718</v>
          </cell>
          <cell r="P75">
            <v>0</v>
          </cell>
          <cell r="Q75">
            <v>0</v>
          </cell>
          <cell r="R75">
            <v>0</v>
          </cell>
          <cell r="S75">
            <v>-451.18143287034445</v>
          </cell>
          <cell r="T75">
            <v>0</v>
          </cell>
          <cell r="U75">
            <v>0</v>
          </cell>
          <cell r="V75">
            <v>-13159.094003479539</v>
          </cell>
          <cell r="W75">
            <v>0</v>
          </cell>
          <cell r="X75">
            <v>0</v>
          </cell>
          <cell r="Y75">
            <v>-268.1334885990309</v>
          </cell>
          <cell r="Z75">
            <v>2873.3303229914318</v>
          </cell>
          <cell r="AA75">
            <v>0</v>
          </cell>
          <cell r="AB75">
            <v>0</v>
          </cell>
          <cell r="AC75">
            <v>-7399.8187819749983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7947.0766384972567</v>
          </cell>
          <cell r="AI75">
            <v>268.1334885990309</v>
          </cell>
          <cell r="AJ75">
            <v>0</v>
          </cell>
          <cell r="AK75">
            <v>0</v>
          </cell>
          <cell r="AL75">
            <v>-1256.1231673897412</v>
          </cell>
          <cell r="AM75">
            <v>0</v>
          </cell>
          <cell r="AN75">
            <v>0</v>
          </cell>
          <cell r="AO75">
            <v>-515.59415517317552</v>
          </cell>
          <cell r="AP75">
            <v>-51.436538238894606</v>
          </cell>
          <cell r="AQ75">
            <v>-1201.604239839879</v>
          </cell>
          <cell r="AR75">
            <v>-601.91006035215707</v>
          </cell>
          <cell r="AT75">
            <v>-1703.0930402884339</v>
          </cell>
          <cell r="AU75">
            <v>325.44236259738869</v>
          </cell>
          <cell r="AV75">
            <v>0</v>
          </cell>
          <cell r="AW75">
            <v>0</v>
          </cell>
          <cell r="AX75">
            <v>1825.6991943863532</v>
          </cell>
          <cell r="AY75">
            <v>0</v>
          </cell>
          <cell r="AZ75">
            <v>0</v>
          </cell>
          <cell r="BA75">
            <v>35.80812297525641</v>
          </cell>
          <cell r="BB75">
            <v>-398.64726662683955</v>
          </cell>
          <cell r="BC75">
            <v>0</v>
          </cell>
          <cell r="BD75">
            <v>0</v>
          </cell>
          <cell r="BE75">
            <v>-370.00000000000023</v>
          </cell>
          <cell r="BF75">
            <v>0</v>
          </cell>
          <cell r="BG75">
            <v>-35.80812297525641</v>
          </cell>
          <cell r="BH75">
            <v>0</v>
          </cell>
          <cell r="BI75">
            <v>0</v>
          </cell>
          <cell r="BJ75">
            <v>0</v>
          </cell>
          <cell r="BK75">
            <v>770.99102117983455</v>
          </cell>
          <cell r="EA75">
            <v>6907.621149766188</v>
          </cell>
          <cell r="EL75">
            <v>5751.2121493682243</v>
          </cell>
          <cell r="EM75">
            <v>-781.89708638775733</v>
          </cell>
          <cell r="EN75">
            <v>0</v>
          </cell>
          <cell r="EO75">
            <v>0</v>
          </cell>
          <cell r="EP75">
            <v>0</v>
          </cell>
          <cell r="EQ75">
            <v>-150.39381095678152</v>
          </cell>
          <cell r="ER75">
            <v>0</v>
          </cell>
          <cell r="ES75">
            <v>0</v>
          </cell>
          <cell r="ET75">
            <v>-4386.3646678265122</v>
          </cell>
          <cell r="EU75">
            <v>0</v>
          </cell>
          <cell r="EV75">
            <v>0</v>
          </cell>
          <cell r="EW75">
            <v>-89.377829533010299</v>
          </cell>
          <cell r="EX75">
            <v>957.77677433047711</v>
          </cell>
          <cell r="EY75">
            <v>0</v>
          </cell>
          <cell r="EZ75">
            <v>0</v>
          </cell>
          <cell r="FA75">
            <v>-2466.6062606583318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2649.0255461657525</v>
          </cell>
          <cell r="FG75">
            <v>89.377829533010299</v>
          </cell>
          <cell r="FH75">
            <v>0</v>
          </cell>
          <cell r="FI75">
            <v>0</v>
          </cell>
          <cell r="FJ75">
            <v>-418.70772246324702</v>
          </cell>
          <cell r="FK75">
            <v>0</v>
          </cell>
          <cell r="FL75">
            <v>0</v>
          </cell>
          <cell r="FM75">
            <v>-171.86471839105855</v>
          </cell>
          <cell r="FN75">
            <v>-17.145512746298202</v>
          </cell>
          <cell r="FO75">
            <v>-400.53474661329312</v>
          </cell>
          <cell r="FP75">
            <v>-200.63668678405242</v>
          </cell>
          <cell r="FR75">
            <v>-567.69768009614472</v>
          </cell>
          <cell r="FS75">
            <v>108.4807875324629</v>
          </cell>
          <cell r="FT75">
            <v>0</v>
          </cell>
          <cell r="FU75">
            <v>0</v>
          </cell>
          <cell r="FV75">
            <v>608.56639812878439</v>
          </cell>
          <cell r="FW75">
            <v>0</v>
          </cell>
          <cell r="FX75">
            <v>0</v>
          </cell>
          <cell r="FY75">
            <v>11.936040991752137</v>
          </cell>
          <cell r="FZ75">
            <v>-132.88242220894654</v>
          </cell>
          <cell r="GA75">
            <v>0</v>
          </cell>
          <cell r="GB75">
            <v>0</v>
          </cell>
          <cell r="GC75">
            <v>-123.3333333333334</v>
          </cell>
          <cell r="GD75">
            <v>0</v>
          </cell>
          <cell r="GE75">
            <v>-11.936040991752137</v>
          </cell>
          <cell r="GF75">
            <v>0</v>
          </cell>
          <cell r="GG75">
            <v>0</v>
          </cell>
          <cell r="GH75">
            <v>0</v>
          </cell>
          <cell r="GI75">
            <v>256.99700705994411</v>
          </cell>
        </row>
        <row r="81">
          <cell r="C81">
            <v>38201.491129999995</v>
          </cell>
          <cell r="N81">
            <v>33738.053400000004</v>
          </cell>
          <cell r="O81">
            <v>-1415.1125</v>
          </cell>
          <cell r="P81">
            <v>0</v>
          </cell>
          <cell r="Q81">
            <v>0</v>
          </cell>
          <cell r="R81">
            <v>48.9998</v>
          </cell>
          <cell r="S81">
            <v>-686.50189</v>
          </cell>
          <cell r="T81">
            <v>0</v>
          </cell>
          <cell r="U81">
            <v>0</v>
          </cell>
          <cell r="V81">
            <v>-24671.757400000002</v>
          </cell>
          <cell r="W81">
            <v>0</v>
          </cell>
          <cell r="X81">
            <v>0</v>
          </cell>
          <cell r="Y81">
            <v>-66.427509999999998</v>
          </cell>
          <cell r="Z81">
            <v>544.37162000000001</v>
          </cell>
          <cell r="AA81">
            <v>6.9450400000000005</v>
          </cell>
          <cell r="AB81">
            <v>0</v>
          </cell>
          <cell r="AC81">
            <v>-21262.783900000002</v>
          </cell>
          <cell r="AD81">
            <v>197.76732000000001</v>
          </cell>
          <cell r="AE81">
            <v>-366.75067999999999</v>
          </cell>
          <cell r="AF81">
            <v>-12.230849999999998</v>
          </cell>
          <cell r="AG81">
            <v>0</v>
          </cell>
          <cell r="AH81">
            <v>26745.602740000009</v>
          </cell>
          <cell r="AI81">
            <v>-809.34835999999905</v>
          </cell>
          <cell r="AJ81">
            <v>-1995.7244000000001</v>
          </cell>
          <cell r="AK81">
            <v>165.17971999999997</v>
          </cell>
          <cell r="AL81">
            <v>-3496.07206</v>
          </cell>
          <cell r="AM81">
            <v>779.15810999999997</v>
          </cell>
          <cell r="AN81">
            <v>-518.62311</v>
          </cell>
          <cell r="AO81">
            <v>-796.06740000000013</v>
          </cell>
          <cell r="AP81">
            <v>-82.901659999999993</v>
          </cell>
          <cell r="AQ81">
            <v>-1766.3398999999999</v>
          </cell>
          <cell r="AR81">
            <v>-866.82452999999987</v>
          </cell>
          <cell r="AT81">
            <v>-2228.2264000000005</v>
          </cell>
          <cell r="AU81">
            <v>3.7230400000000001</v>
          </cell>
          <cell r="AV81">
            <v>0</v>
          </cell>
          <cell r="AW81">
            <v>0</v>
          </cell>
          <cell r="AX81">
            <v>599.80565999999999</v>
          </cell>
          <cell r="AY81">
            <v>0</v>
          </cell>
          <cell r="AZ81">
            <v>0</v>
          </cell>
          <cell r="BA81">
            <v>0.17824999999999999</v>
          </cell>
          <cell r="BB81">
            <v>-1.51542</v>
          </cell>
          <cell r="BC81">
            <v>-1.4670000000000001E-2</v>
          </cell>
          <cell r="BD81">
            <v>0</v>
          </cell>
          <cell r="BE81">
            <v>2225.0112599999998</v>
          </cell>
          <cell r="BF81">
            <v>-3219.7204099999981</v>
          </cell>
          <cell r="BG81">
            <v>3.4402500000000025</v>
          </cell>
          <cell r="BH81">
            <v>2529.7091900000005</v>
          </cell>
          <cell r="BI81">
            <v>-7.4578900000000008</v>
          </cell>
          <cell r="BJ81">
            <v>0</v>
          </cell>
          <cell r="BK81">
            <v>3317.5444600000037</v>
          </cell>
          <cell r="EA81">
            <v>14458.837809999999</v>
          </cell>
          <cell r="EL81">
            <v>14704.78902</v>
          </cell>
          <cell r="EM81">
            <v>-1136.1405099999999</v>
          </cell>
          <cell r="EN81">
            <v>0</v>
          </cell>
          <cell r="EO81">
            <v>0</v>
          </cell>
          <cell r="EP81">
            <v>48.9998</v>
          </cell>
          <cell r="EQ81">
            <v>-235.65006999999997</v>
          </cell>
          <cell r="ER81">
            <v>0</v>
          </cell>
          <cell r="ES81">
            <v>0</v>
          </cell>
          <cell r="ET81">
            <v>-10485.292750000004</v>
          </cell>
          <cell r="EU81">
            <v>0</v>
          </cell>
          <cell r="EV81">
            <v>0</v>
          </cell>
          <cell r="EW81">
            <v>-66.427509999999998</v>
          </cell>
          <cell r="EX81">
            <v>406.07875999999999</v>
          </cell>
          <cell r="EY81">
            <v>6.9450400000000005</v>
          </cell>
          <cell r="EZ81">
            <v>0</v>
          </cell>
          <cell r="FA81">
            <v>-9594.1932400000042</v>
          </cell>
          <cell r="FB81">
            <v>189.44464000000002</v>
          </cell>
          <cell r="FC81">
            <v>-119.12909999999997</v>
          </cell>
          <cell r="FD81">
            <v>-8.9792699999999979</v>
          </cell>
          <cell r="FE81">
            <v>0</v>
          </cell>
          <cell r="FF81">
            <v>17949.126650000006</v>
          </cell>
          <cell r="FG81">
            <v>-809.34835999999905</v>
          </cell>
          <cell r="FH81">
            <v>-6937.2425700000003</v>
          </cell>
          <cell r="FI81">
            <v>165.17971999999997</v>
          </cell>
          <cell r="FJ81">
            <v>-1277.7752699999996</v>
          </cell>
          <cell r="FK81">
            <v>432.11496999999997</v>
          </cell>
          <cell r="FL81">
            <v>-428.13197000000002</v>
          </cell>
          <cell r="FM81">
            <v>-276.13228000000009</v>
          </cell>
          <cell r="FN81">
            <v>-31.575229999999998</v>
          </cell>
          <cell r="FO81">
            <v>-569.69677000000001</v>
          </cell>
          <cell r="FP81">
            <v>-274.49415999999997</v>
          </cell>
          <cell r="FR81">
            <v>-1066.8589200000001</v>
          </cell>
          <cell r="FS81">
            <v>2.6219200000000003</v>
          </cell>
          <cell r="FT81">
            <v>0</v>
          </cell>
          <cell r="FU81">
            <v>0</v>
          </cell>
          <cell r="FV81">
            <v>324.39371</v>
          </cell>
          <cell r="FW81">
            <v>0</v>
          </cell>
          <cell r="FX81">
            <v>0</v>
          </cell>
          <cell r="FY81">
            <v>0.17824999999999999</v>
          </cell>
          <cell r="FZ81">
            <v>6.3399999999999901E-2</v>
          </cell>
          <cell r="GA81">
            <v>-1.4670000000000001E-2</v>
          </cell>
          <cell r="GB81">
            <v>0</v>
          </cell>
          <cell r="GC81">
            <v>1628.6655199999996</v>
          </cell>
          <cell r="GD81">
            <v>-3778.6456799999964</v>
          </cell>
          <cell r="GE81">
            <v>3.4402500000000025</v>
          </cell>
          <cell r="GF81">
            <v>3471.2656300000003</v>
          </cell>
          <cell r="GG81">
            <v>-7.4578900000000008</v>
          </cell>
          <cell r="GH81">
            <v>0</v>
          </cell>
          <cell r="GI81">
            <v>2230.1210599999995</v>
          </cell>
        </row>
        <row r="82">
          <cell r="C82">
            <v>47918.07289000001</v>
          </cell>
          <cell r="N82">
            <v>40177.726309999998</v>
          </cell>
          <cell r="O82">
            <v>-886.42310000000009</v>
          </cell>
          <cell r="P82">
            <v>0</v>
          </cell>
          <cell r="Q82">
            <v>-582.577</v>
          </cell>
          <cell r="R82">
            <v>59.377000000000002</v>
          </cell>
          <cell r="S82">
            <v>-408.83821999999998</v>
          </cell>
          <cell r="T82">
            <v>-1.71</v>
          </cell>
          <cell r="U82">
            <v>0</v>
          </cell>
          <cell r="V82">
            <v>-30252.325509999999</v>
          </cell>
          <cell r="W82">
            <v>0</v>
          </cell>
          <cell r="X82">
            <v>-400</v>
          </cell>
          <cell r="Y82">
            <v>-353.21379999999999</v>
          </cell>
          <cell r="Z82">
            <v>3322.9651699999995</v>
          </cell>
          <cell r="AA82">
            <v>38.500730000000004</v>
          </cell>
          <cell r="AB82">
            <v>0</v>
          </cell>
          <cell r="AC82">
            <v>-27289.580780000004</v>
          </cell>
          <cell r="AD82">
            <v>849.94065999999998</v>
          </cell>
          <cell r="AE82">
            <v>-229.57398999999998</v>
          </cell>
          <cell r="AF82">
            <v>-172.03162999999998</v>
          </cell>
          <cell r="AG82">
            <v>0</v>
          </cell>
          <cell r="AH82">
            <v>26778.375249999997</v>
          </cell>
          <cell r="AI82">
            <v>710.09474999999998</v>
          </cell>
          <cell r="AJ82">
            <v>187.61368999999942</v>
          </cell>
          <cell r="AK82">
            <v>-12.359540000000013</v>
          </cell>
          <cell r="AL82">
            <v>-4419.9110600000004</v>
          </cell>
          <cell r="AM82">
            <v>704.84409000000005</v>
          </cell>
          <cell r="AN82">
            <v>-171.34813000000005</v>
          </cell>
          <cell r="AO82">
            <v>-1635.6663400000002</v>
          </cell>
          <cell r="AP82">
            <v>-147.05731</v>
          </cell>
          <cell r="AQ82">
            <v>-1603.95534</v>
          </cell>
          <cell r="AR82">
            <v>-798.38705000000004</v>
          </cell>
          <cell r="AT82">
            <v>-3470.8551200000002</v>
          </cell>
          <cell r="AU82">
            <v>0</v>
          </cell>
          <cell r="AV82">
            <v>0</v>
          </cell>
          <cell r="AW82">
            <v>0</v>
          </cell>
          <cell r="AX82">
            <v>2035.47867</v>
          </cell>
          <cell r="AY82">
            <v>0</v>
          </cell>
          <cell r="AZ82">
            <v>0</v>
          </cell>
          <cell r="BA82">
            <v>6.6341000000000001</v>
          </cell>
          <cell r="BB82">
            <v>-353.37985000000003</v>
          </cell>
          <cell r="BC82">
            <v>-0.11647</v>
          </cell>
          <cell r="BD82">
            <v>0</v>
          </cell>
          <cell r="BE82">
            <v>1745.4220400000004</v>
          </cell>
          <cell r="BF82">
            <v>-405.91441000003221</v>
          </cell>
          <cell r="BG82">
            <v>-107.38418000000004</v>
          </cell>
          <cell r="BH82">
            <v>329.9853100000002</v>
          </cell>
          <cell r="BI82">
            <v>-0.7943699999999998</v>
          </cell>
          <cell r="BJ82">
            <v>0</v>
          </cell>
          <cell r="BK82">
            <v>3243.5545699999584</v>
          </cell>
          <cell r="EA82">
            <v>13753.040740000004</v>
          </cell>
          <cell r="EL82">
            <v>17903.686160000005</v>
          </cell>
          <cell r="EM82">
            <v>-662.58155000000011</v>
          </cell>
          <cell r="EN82">
            <v>0</v>
          </cell>
          <cell r="EO82">
            <v>-582.577</v>
          </cell>
          <cell r="EP82">
            <v>59.164729999999999</v>
          </cell>
          <cell r="EQ82">
            <v>-158.54901999999993</v>
          </cell>
          <cell r="ER82">
            <v>-1.3085199999999999</v>
          </cell>
          <cell r="ES82">
            <v>0</v>
          </cell>
          <cell r="ET82">
            <v>-14511.907400000002</v>
          </cell>
          <cell r="EU82">
            <v>0</v>
          </cell>
          <cell r="EV82">
            <v>-100</v>
          </cell>
          <cell r="EW82">
            <v>-353.21379999999999</v>
          </cell>
          <cell r="EX82">
            <v>1837.8577799999996</v>
          </cell>
          <cell r="EY82">
            <v>38.500730000000004</v>
          </cell>
          <cell r="EZ82">
            <v>0</v>
          </cell>
          <cell r="FA82">
            <v>-11636.724670000003</v>
          </cell>
          <cell r="FB82">
            <v>234.76344999999992</v>
          </cell>
          <cell r="FC82">
            <v>-84.497230000000002</v>
          </cell>
          <cell r="FD82">
            <v>-68.218800000000016</v>
          </cell>
          <cell r="FE82">
            <v>0</v>
          </cell>
          <cell r="FF82">
            <v>8423.9326099999998</v>
          </cell>
          <cell r="FG82">
            <v>710.09474999999998</v>
          </cell>
          <cell r="FH82">
            <v>779.71388000000024</v>
          </cell>
          <cell r="FI82">
            <v>-12.359540000000013</v>
          </cell>
          <cell r="FJ82">
            <v>-1386.3633499999996</v>
          </cell>
          <cell r="FK82">
            <v>363.54102000000006</v>
          </cell>
          <cell r="FL82">
            <v>-544.99671999999998</v>
          </cell>
          <cell r="FM82">
            <v>-593.9868100000001</v>
          </cell>
          <cell r="FN82">
            <v>-49.195860000000003</v>
          </cell>
          <cell r="FO82">
            <v>-734.88930000000005</v>
          </cell>
          <cell r="FP82">
            <v>-220.36246999999997</v>
          </cell>
          <cell r="FR82">
            <v>-3036.6407100000006</v>
          </cell>
          <cell r="FS82">
            <v>0</v>
          </cell>
          <cell r="FT82">
            <v>0</v>
          </cell>
          <cell r="FU82">
            <v>0</v>
          </cell>
          <cell r="FV82">
            <v>1372.5493999999999</v>
          </cell>
          <cell r="FW82">
            <v>0</v>
          </cell>
          <cell r="FX82">
            <v>0</v>
          </cell>
          <cell r="FY82">
            <v>6.6341000000000001</v>
          </cell>
          <cell r="FZ82">
            <v>-238.64598000000004</v>
          </cell>
          <cell r="GA82">
            <v>-0.11647</v>
          </cell>
          <cell r="GB82">
            <v>0</v>
          </cell>
          <cell r="GC82">
            <v>1502.4899000000005</v>
          </cell>
          <cell r="GD82">
            <v>228.98816999999048</v>
          </cell>
          <cell r="GE82">
            <v>-107.38418000000004</v>
          </cell>
          <cell r="GF82">
            <v>-94.869769999999988</v>
          </cell>
          <cell r="GG82">
            <v>-0.7943699999999998</v>
          </cell>
          <cell r="GH82">
            <v>0</v>
          </cell>
          <cell r="GI82">
            <v>-1718.2668400000109</v>
          </cell>
        </row>
        <row r="83">
          <cell r="C83">
            <v>36252.170785372997</v>
          </cell>
          <cell r="N83">
            <v>32611.823859190725</v>
          </cell>
          <cell r="O83">
            <v>-9094.9620333494604</v>
          </cell>
          <cell r="P83">
            <v>0</v>
          </cell>
          <cell r="Q83">
            <v>0</v>
          </cell>
          <cell r="R83">
            <v>0</v>
          </cell>
          <cell r="S83">
            <v>-1282.4553608080755</v>
          </cell>
          <cell r="T83">
            <v>0</v>
          </cell>
          <cell r="U83">
            <v>0</v>
          </cell>
          <cell r="V83">
            <v>-18079.907437887356</v>
          </cell>
          <cell r="W83">
            <v>0</v>
          </cell>
          <cell r="X83">
            <v>0</v>
          </cell>
          <cell r="Y83">
            <v>-407.93771774686422</v>
          </cell>
          <cell r="Z83">
            <v>2941.9185092839025</v>
          </cell>
          <cell r="AA83">
            <v>0</v>
          </cell>
          <cell r="AB83">
            <v>0</v>
          </cell>
          <cell r="AC83">
            <v>-13244.539656724997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14406.484494458109</v>
          </cell>
          <cell r="AI83">
            <v>407.93771774686422</v>
          </cell>
          <cell r="AJ83">
            <v>0</v>
          </cell>
          <cell r="AK83">
            <v>0</v>
          </cell>
          <cell r="AL83">
            <v>-2871.0523662461446</v>
          </cell>
          <cell r="AM83">
            <v>0</v>
          </cell>
          <cell r="AN83">
            <v>0</v>
          </cell>
          <cell r="AO83">
            <v>-815.5588032858102</v>
          </cell>
          <cell r="AP83">
            <v>-79.310360290102352</v>
          </cell>
          <cell r="AQ83">
            <v>-1879.3012978437957</v>
          </cell>
          <cell r="AR83">
            <v>-932.75594096471229</v>
          </cell>
          <cell r="AT83">
            <v>-2698.9810777884331</v>
          </cell>
          <cell r="AU83">
            <v>811.06846820782368</v>
          </cell>
          <cell r="AV83">
            <v>0</v>
          </cell>
          <cell r="AW83">
            <v>0</v>
          </cell>
          <cell r="AX83">
            <v>2216.5131187759189</v>
          </cell>
          <cell r="AY83">
            <v>0</v>
          </cell>
          <cell r="AZ83">
            <v>0</v>
          </cell>
          <cell r="BA83">
            <v>45.49073979331142</v>
          </cell>
          <cell r="BB83">
            <v>-403.58234990791942</v>
          </cell>
          <cell r="BC83">
            <v>0</v>
          </cell>
          <cell r="BD83">
            <v>0</v>
          </cell>
          <cell r="BE83">
            <v>-356.77163750000028</v>
          </cell>
          <cell r="BF83">
            <v>0</v>
          </cell>
          <cell r="BG83">
            <v>-45.49073979331142</v>
          </cell>
          <cell r="BH83">
            <v>0</v>
          </cell>
          <cell r="BI83">
            <v>0</v>
          </cell>
          <cell r="BJ83">
            <v>0</v>
          </cell>
          <cell r="BK83">
            <v>1248.6301273196741</v>
          </cell>
          <cell r="EA83">
            <v>14170.183947617932</v>
          </cell>
          <cell r="EL83">
            <v>10870.607953063574</v>
          </cell>
          <cell r="EM83">
            <v>-3031.6540111164868</v>
          </cell>
          <cell r="EN83">
            <v>0</v>
          </cell>
          <cell r="EO83">
            <v>0</v>
          </cell>
          <cell r="EP83">
            <v>0</v>
          </cell>
          <cell r="EQ83">
            <v>-427.48512026935862</v>
          </cell>
          <cell r="ER83">
            <v>0</v>
          </cell>
          <cell r="ES83">
            <v>0</v>
          </cell>
          <cell r="ET83">
            <v>-6026.6358126291179</v>
          </cell>
          <cell r="EU83">
            <v>0</v>
          </cell>
          <cell r="EV83">
            <v>0</v>
          </cell>
          <cell r="EW83">
            <v>-135.97923924895474</v>
          </cell>
          <cell r="EX83">
            <v>980.63950309463405</v>
          </cell>
          <cell r="EY83">
            <v>0</v>
          </cell>
          <cell r="EZ83">
            <v>0</v>
          </cell>
          <cell r="FA83">
            <v>-4414.8465522416645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4802.1614981527036</v>
          </cell>
          <cell r="FG83">
            <v>135.97923924895474</v>
          </cell>
          <cell r="FH83">
            <v>0</v>
          </cell>
          <cell r="FI83">
            <v>0</v>
          </cell>
          <cell r="FJ83">
            <v>-957.01745541538151</v>
          </cell>
          <cell r="FK83">
            <v>0</v>
          </cell>
          <cell r="FL83">
            <v>0</v>
          </cell>
          <cell r="FM83">
            <v>-271.85293442860348</v>
          </cell>
          <cell r="FN83">
            <v>-26.436786763367454</v>
          </cell>
          <cell r="FO83">
            <v>-626.43376594793199</v>
          </cell>
          <cell r="FP83">
            <v>-310.91864698823747</v>
          </cell>
          <cell r="FR83">
            <v>-899.6603592628112</v>
          </cell>
          <cell r="FS83">
            <v>270.35615606927456</v>
          </cell>
          <cell r="FT83">
            <v>0</v>
          </cell>
          <cell r="FU83">
            <v>0</v>
          </cell>
          <cell r="FV83">
            <v>738.83770625863963</v>
          </cell>
          <cell r="FW83">
            <v>0</v>
          </cell>
          <cell r="FX83">
            <v>0</v>
          </cell>
          <cell r="FY83">
            <v>15.163579931103806</v>
          </cell>
          <cell r="FZ83">
            <v>-134.5274499693065</v>
          </cell>
          <cell r="GA83">
            <v>0</v>
          </cell>
          <cell r="GB83">
            <v>0</v>
          </cell>
          <cell r="GC83">
            <v>-118.92387916666675</v>
          </cell>
          <cell r="GD83">
            <v>0</v>
          </cell>
          <cell r="GE83">
            <v>-15.163579931103806</v>
          </cell>
          <cell r="GF83">
            <v>0</v>
          </cell>
          <cell r="GG83">
            <v>0</v>
          </cell>
          <cell r="GH83">
            <v>0</v>
          </cell>
          <cell r="GI83">
            <v>416.21004243989165</v>
          </cell>
        </row>
      </sheetData>
      <sheetData sheetId="19" refreshError="1">
        <row r="33">
          <cell r="C33">
            <v>18325.501020000003</v>
          </cell>
          <cell r="N33">
            <v>9694.3313500000004</v>
          </cell>
          <cell r="O33">
            <v>-228.57083</v>
          </cell>
          <cell r="P33">
            <v>-6.7117300000000002</v>
          </cell>
          <cell r="Q33">
            <v>0</v>
          </cell>
          <cell r="R33">
            <v>24.53098</v>
          </cell>
          <cell r="S33">
            <v>-215.29683999999997</v>
          </cell>
          <cell r="T33">
            <v>-16.315150000000003</v>
          </cell>
          <cell r="U33">
            <v>0</v>
          </cell>
          <cell r="V33">
            <v>-804.33490104720227</v>
          </cell>
          <cell r="W33">
            <v>-59.34525</v>
          </cell>
          <cell r="X33">
            <v>-1676.318728952798</v>
          </cell>
          <cell r="Y33">
            <v>-17.157119999999999</v>
          </cell>
          <cell r="Z33">
            <v>84.84196</v>
          </cell>
          <cell r="AA33">
            <v>0.77251000000000003</v>
          </cell>
          <cell r="AB33">
            <v>0</v>
          </cell>
          <cell r="AC33">
            <v>-2723.5998599999998</v>
          </cell>
          <cell r="AD33">
            <v>529.15569000000005</v>
          </cell>
          <cell r="AE33">
            <v>-54.165589999999995</v>
          </cell>
          <cell r="AF33">
            <v>-189.84807000000001</v>
          </cell>
          <cell r="AG33">
            <v>0</v>
          </cell>
          <cell r="AH33">
            <v>-717.8345899999988</v>
          </cell>
          <cell r="AI33">
            <v>444.15262999999987</v>
          </cell>
          <cell r="AJ33">
            <v>307.44277999999991</v>
          </cell>
          <cell r="AK33">
            <v>-5.6687199999999995</v>
          </cell>
          <cell r="AL33">
            <v>-3138.2215899999983</v>
          </cell>
          <cell r="AM33">
            <v>1652.6089400000008</v>
          </cell>
          <cell r="AN33">
            <v>-792.83060999999907</v>
          </cell>
          <cell r="AO33">
            <v>-521.78975000000003</v>
          </cell>
          <cell r="AP33">
            <v>-80.134349999999998</v>
          </cell>
          <cell r="AQ33">
            <v>-795.93151999999998</v>
          </cell>
          <cell r="AR33">
            <v>-284.51968999999997</v>
          </cell>
          <cell r="AT33">
            <v>-1102.3385899999992</v>
          </cell>
          <cell r="AU33">
            <v>0</v>
          </cell>
          <cell r="AV33">
            <v>0</v>
          </cell>
          <cell r="AW33">
            <v>0</v>
          </cell>
          <cell r="AX33">
            <v>-159.96210402350175</v>
          </cell>
          <cell r="AY33">
            <v>0</v>
          </cell>
          <cell r="AZ33">
            <v>159.96210402350175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4.6453600000000028</v>
          </cell>
          <cell r="BF33">
            <v>2.8592699999991948</v>
          </cell>
          <cell r="BG33">
            <v>70.102489999999989</v>
          </cell>
          <cell r="BH33">
            <v>-146.68637999999999</v>
          </cell>
          <cell r="BI33">
            <v>-5.5511199999999992</v>
          </cell>
          <cell r="BJ33">
            <v>0</v>
          </cell>
          <cell r="BK33">
            <v>-767.72701999999776</v>
          </cell>
          <cell r="EA33">
            <v>1635.1943600000013</v>
          </cell>
          <cell r="EL33">
            <v>3322.461750000004</v>
          </cell>
          <cell r="EM33">
            <v>-133.50621000000001</v>
          </cell>
          <cell r="EN33">
            <v>-6.7117300000000002</v>
          </cell>
          <cell r="EO33">
            <v>0</v>
          </cell>
          <cell r="EP33">
            <v>22.209540000000001</v>
          </cell>
          <cell r="EQ33">
            <v>-92.012419999999977</v>
          </cell>
          <cell r="ER33">
            <v>-11.985040000000001</v>
          </cell>
          <cell r="ES33">
            <v>0</v>
          </cell>
          <cell r="ET33">
            <v>-129.2504854636943</v>
          </cell>
          <cell r="EU33">
            <v>-59.34525</v>
          </cell>
          <cell r="EV33">
            <v>-475.32898453630605</v>
          </cell>
          <cell r="EW33">
            <v>-17.157119999999999</v>
          </cell>
          <cell r="EX33">
            <v>22.111339999999998</v>
          </cell>
          <cell r="EY33">
            <v>0.77251000000000003</v>
          </cell>
          <cell r="EZ33">
            <v>0</v>
          </cell>
          <cell r="FA33">
            <v>-955.26707999999962</v>
          </cell>
          <cell r="FB33">
            <v>159.75116000000003</v>
          </cell>
          <cell r="FC33">
            <v>-20.40531</v>
          </cell>
          <cell r="FD33">
            <v>-50.096910000000008</v>
          </cell>
          <cell r="FE33">
            <v>0</v>
          </cell>
          <cell r="FF33">
            <v>-1175.2033000000004</v>
          </cell>
          <cell r="FG33">
            <v>444.15262999999987</v>
          </cell>
          <cell r="FH33">
            <v>341.57554999999991</v>
          </cell>
          <cell r="FI33">
            <v>-5.6687199999999995</v>
          </cell>
          <cell r="FJ33">
            <v>-751.08128000000079</v>
          </cell>
          <cell r="FK33">
            <v>37.132330000000593</v>
          </cell>
          <cell r="FL33">
            <v>-260.77625999999975</v>
          </cell>
          <cell r="FM33">
            <v>-169.18786</v>
          </cell>
          <cell r="FN33">
            <v>-45.310420000000001</v>
          </cell>
          <cell r="FO33">
            <v>-256.63815</v>
          </cell>
          <cell r="FP33">
            <v>-108.25874999999999</v>
          </cell>
          <cell r="FR33">
            <v>-353.40342999999996</v>
          </cell>
          <cell r="FS33">
            <v>0</v>
          </cell>
          <cell r="FT33">
            <v>0</v>
          </cell>
          <cell r="FU33">
            <v>0</v>
          </cell>
          <cell r="FV33">
            <v>-25.594001216574725</v>
          </cell>
          <cell r="FW33">
            <v>0</v>
          </cell>
          <cell r="FX33">
            <v>25.594001216574725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1.9720100000000027</v>
          </cell>
          <cell r="GD33">
            <v>-5.0557200000001119</v>
          </cell>
          <cell r="GE33">
            <v>70.102489999999989</v>
          </cell>
          <cell r="GF33">
            <v>-137.75188</v>
          </cell>
          <cell r="GG33">
            <v>-5.5511199999999992</v>
          </cell>
          <cell r="GH33">
            <v>0</v>
          </cell>
          <cell r="GI33">
            <v>-802.71211999999673</v>
          </cell>
        </row>
        <row r="34">
          <cell r="C34">
            <v>17214.163820000005</v>
          </cell>
          <cell r="N34">
            <v>9206.7108199999948</v>
          </cell>
          <cell r="O34">
            <v>-125.23771000000001</v>
          </cell>
          <cell r="P34">
            <v>0</v>
          </cell>
          <cell r="Q34">
            <v>0</v>
          </cell>
          <cell r="R34">
            <v>4.5584599999999966</v>
          </cell>
          <cell r="S34">
            <v>-163.89007000000001</v>
          </cell>
          <cell r="T34">
            <v>-12.3226</v>
          </cell>
          <cell r="U34">
            <v>0</v>
          </cell>
          <cell r="V34">
            <v>-2175.4419499999995</v>
          </cell>
          <cell r="W34">
            <v>0</v>
          </cell>
          <cell r="X34">
            <v>-870.06799999999998</v>
          </cell>
          <cell r="Y34">
            <v>-41.072589999999998</v>
          </cell>
          <cell r="Z34">
            <v>103.45814</v>
          </cell>
          <cell r="AA34">
            <v>1.6983299999999999</v>
          </cell>
          <cell r="AB34">
            <v>0</v>
          </cell>
          <cell r="AC34">
            <v>-3148.2660799999994</v>
          </cell>
          <cell r="AD34">
            <v>704.62520999999992</v>
          </cell>
          <cell r="AE34">
            <v>-39.128529999999998</v>
          </cell>
          <cell r="AF34">
            <v>-291.51785999999993</v>
          </cell>
          <cell r="AG34">
            <v>0</v>
          </cell>
          <cell r="AH34">
            <v>2140.0419800000009</v>
          </cell>
          <cell r="AI34">
            <v>84.08986000000003</v>
          </cell>
          <cell r="AJ34">
            <v>85.185590000000005</v>
          </cell>
          <cell r="AK34">
            <v>1.5871600000000006</v>
          </cell>
          <cell r="AL34">
            <v>-2666.2433299999975</v>
          </cell>
          <cell r="AM34">
            <v>1598.3150700000015</v>
          </cell>
          <cell r="AN34">
            <v>-840.63564000000019</v>
          </cell>
          <cell r="AO34">
            <v>-474.90397999999999</v>
          </cell>
          <cell r="AP34">
            <v>-68.358149999999995</v>
          </cell>
          <cell r="AQ34">
            <v>-721.32540999999992</v>
          </cell>
          <cell r="AR34">
            <v>-260.14031999999997</v>
          </cell>
          <cell r="AT34">
            <v>-1062.9010299999993</v>
          </cell>
          <cell r="AU34">
            <v>0</v>
          </cell>
          <cell r="AV34">
            <v>0</v>
          </cell>
          <cell r="AW34">
            <v>0</v>
          </cell>
          <cell r="AX34">
            <v>-121.26</v>
          </cell>
          <cell r="AY34">
            <v>0</v>
          </cell>
          <cell r="AZ34">
            <v>121.26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139.18072000000004</v>
          </cell>
          <cell r="BF34">
            <v>-743.7934900000007</v>
          </cell>
          <cell r="BG34">
            <v>-37.51099</v>
          </cell>
          <cell r="BH34">
            <v>-28.908829999999998</v>
          </cell>
          <cell r="BI34">
            <v>0.36969999999999997</v>
          </cell>
          <cell r="BJ34">
            <v>0</v>
          </cell>
          <cell r="BK34">
            <v>298.15447999999947</v>
          </cell>
          <cell r="EA34">
            <v>1436.1579499999989</v>
          </cell>
          <cell r="EL34">
            <v>3080.283879999999</v>
          </cell>
          <cell r="EM34">
            <v>-95.703100000000006</v>
          </cell>
          <cell r="EN34">
            <v>0</v>
          </cell>
          <cell r="EO34">
            <v>0</v>
          </cell>
          <cell r="EP34">
            <v>38.417459999999998</v>
          </cell>
          <cell r="EQ34">
            <v>-63.701900000000009</v>
          </cell>
          <cell r="ER34">
            <v>-7.8444500000000001</v>
          </cell>
          <cell r="ES34">
            <v>0</v>
          </cell>
          <cell r="ET34">
            <v>-402.19109080067437</v>
          </cell>
          <cell r="EU34">
            <v>0</v>
          </cell>
          <cell r="EV34">
            <v>47.474900800674618</v>
          </cell>
          <cell r="EW34">
            <v>-41.072589999999998</v>
          </cell>
          <cell r="EX34">
            <v>24.861779999999996</v>
          </cell>
          <cell r="EY34">
            <v>1.6983299999999999</v>
          </cell>
          <cell r="EZ34">
            <v>0</v>
          </cell>
          <cell r="FA34">
            <v>-1240.1577199999992</v>
          </cell>
          <cell r="FB34">
            <v>218.37399999999997</v>
          </cell>
          <cell r="FC34">
            <v>-13.559739999999998</v>
          </cell>
          <cell r="FD34">
            <v>-91.456849999999946</v>
          </cell>
          <cell r="FE34">
            <v>0</v>
          </cell>
          <cell r="FF34">
            <v>5913.0767300000007</v>
          </cell>
          <cell r="FG34">
            <v>84.08986000000003</v>
          </cell>
          <cell r="FH34">
            <v>-47.04040000000002</v>
          </cell>
          <cell r="FI34">
            <v>1.5871600000000006</v>
          </cell>
          <cell r="FJ34">
            <v>-397.40743999999904</v>
          </cell>
          <cell r="FK34">
            <v>53.977680000000419</v>
          </cell>
          <cell r="FL34">
            <v>-261.87722999999994</v>
          </cell>
          <cell r="FM34">
            <v>-170.73311999999999</v>
          </cell>
          <cell r="FN34">
            <v>-27.066639999999992</v>
          </cell>
          <cell r="FO34">
            <v>-247.72241999999994</v>
          </cell>
          <cell r="FP34">
            <v>-86.341069999999974</v>
          </cell>
          <cell r="FR34">
            <v>-349.35387999999989</v>
          </cell>
          <cell r="FS34">
            <v>0</v>
          </cell>
          <cell r="FT34">
            <v>0</v>
          </cell>
          <cell r="FU34">
            <v>0</v>
          </cell>
          <cell r="FV34">
            <v>-121.26</v>
          </cell>
          <cell r="FW34">
            <v>0</v>
          </cell>
          <cell r="FX34">
            <v>121.26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91.838820000000027</v>
          </cell>
          <cell r="GD34">
            <v>-156.1743899999999</v>
          </cell>
          <cell r="GE34">
            <v>-37.51099</v>
          </cell>
          <cell r="GF34">
            <v>-29.394509999999997</v>
          </cell>
          <cell r="GG34">
            <v>0.36969999999999997</v>
          </cell>
          <cell r="GH34">
            <v>0</v>
          </cell>
          <cell r="GI34">
            <v>5789.7407700000022</v>
          </cell>
        </row>
        <row r="35">
          <cell r="C35">
            <v>18831.653672501601</v>
          </cell>
          <cell r="N35">
            <v>10999.890215633473</v>
          </cell>
          <cell r="O35">
            <v>-2344.8601443301186</v>
          </cell>
          <cell r="P35">
            <v>-665.59323711710283</v>
          </cell>
          <cell r="Q35">
            <v>-1048.5319658334763</v>
          </cell>
          <cell r="R35">
            <v>0</v>
          </cell>
          <cell r="S35">
            <v>-296.52875400925245</v>
          </cell>
          <cell r="T35">
            <v>-109.12464634089127</v>
          </cell>
          <cell r="U35">
            <v>0</v>
          </cell>
          <cell r="V35">
            <v>-429.55108147623969</v>
          </cell>
          <cell r="W35">
            <v>-621.40285465455065</v>
          </cell>
          <cell r="X35">
            <v>-978.91733333648062</v>
          </cell>
          <cell r="Y35">
            <v>-74.272065260456415</v>
          </cell>
          <cell r="Z35">
            <v>93.569495531480754</v>
          </cell>
          <cell r="AA35">
            <v>0</v>
          </cell>
          <cell r="AB35">
            <v>0</v>
          </cell>
          <cell r="AC35">
            <v>-4813.0111481613112</v>
          </cell>
          <cell r="AD35">
            <v>0</v>
          </cell>
          <cell r="AE35">
            <v>0</v>
          </cell>
          <cell r="AF35">
            <v>-271.80055080180091</v>
          </cell>
          <cell r="AG35">
            <v>0</v>
          </cell>
          <cell r="AH35">
            <v>5076.0616989631126</v>
          </cell>
          <cell r="AI35">
            <v>74.272065260456415</v>
          </cell>
          <cell r="AJ35">
            <v>0</v>
          </cell>
          <cell r="AK35">
            <v>0</v>
          </cell>
          <cell r="AL35">
            <v>-2405.899490370999</v>
          </cell>
          <cell r="AM35">
            <v>0</v>
          </cell>
          <cell r="AN35">
            <v>0</v>
          </cell>
          <cell r="AO35">
            <v>-515.18624578260255</v>
          </cell>
          <cell r="AP35">
            <v>-66.233563746415498</v>
          </cell>
          <cell r="AQ35">
            <v>-803.36592707441741</v>
          </cell>
          <cell r="AR35">
            <v>-400.52805952520748</v>
          </cell>
          <cell r="AT35">
            <v>-1248.5166000904312</v>
          </cell>
          <cell r="AU35">
            <v>384.97165805166901</v>
          </cell>
          <cell r="AV35">
            <v>277.08617139897007</v>
          </cell>
          <cell r="AW35">
            <v>135.26232388336049</v>
          </cell>
          <cell r="AX35">
            <v>-425.82629164926902</v>
          </cell>
          <cell r="AY35">
            <v>258.68973464693846</v>
          </cell>
          <cell r="AZ35">
            <v>126.28192340473052</v>
          </cell>
          <cell r="BA35">
            <v>8.0895865998666157</v>
          </cell>
          <cell r="BB35">
            <v>-10.587851787384949</v>
          </cell>
          <cell r="BC35">
            <v>0</v>
          </cell>
          <cell r="BD35">
            <v>0</v>
          </cell>
          <cell r="BE35">
            <v>2218.0499400366421</v>
          </cell>
          <cell r="BF35">
            <v>-2218.0499400366421</v>
          </cell>
          <cell r="BG35">
            <v>-8.0895865998666157</v>
          </cell>
          <cell r="BH35">
            <v>0</v>
          </cell>
          <cell r="BI35">
            <v>0</v>
          </cell>
          <cell r="BJ35">
            <v>0</v>
          </cell>
          <cell r="BK35">
            <v>-103.65252457421684</v>
          </cell>
          <cell r="EA35">
            <v>1855.6955881920912</v>
          </cell>
          <cell r="EL35">
            <v>3666.6300718778248</v>
          </cell>
          <cell r="EM35">
            <v>-781.62004811003908</v>
          </cell>
          <cell r="EN35">
            <v>-221.86441237236761</v>
          </cell>
          <cell r="EO35">
            <v>-349.51065527782544</v>
          </cell>
          <cell r="EP35">
            <v>0</v>
          </cell>
          <cell r="EQ35">
            <v>-98.842918003084151</v>
          </cell>
          <cell r="ER35">
            <v>-36.37488211363042</v>
          </cell>
          <cell r="ES35">
            <v>0</v>
          </cell>
          <cell r="ET35">
            <v>-143.18369382541334</v>
          </cell>
          <cell r="EU35">
            <v>-207.13428488485022</v>
          </cell>
          <cell r="EV35">
            <v>-326.30577777882684</v>
          </cell>
          <cell r="EW35">
            <v>-24.757355086818805</v>
          </cell>
          <cell r="EX35">
            <v>31.189831843826916</v>
          </cell>
          <cell r="EY35">
            <v>0</v>
          </cell>
          <cell r="EZ35">
            <v>0</v>
          </cell>
          <cell r="FA35">
            <v>-1604.3370493871039</v>
          </cell>
          <cell r="FB35">
            <v>0</v>
          </cell>
          <cell r="FC35">
            <v>0</v>
          </cell>
          <cell r="FD35">
            <v>-90.600183600600303</v>
          </cell>
          <cell r="FE35">
            <v>0</v>
          </cell>
          <cell r="FF35">
            <v>1692.0205663210377</v>
          </cell>
          <cell r="FG35">
            <v>24.757355086818805</v>
          </cell>
          <cell r="FH35">
            <v>0</v>
          </cell>
          <cell r="FI35">
            <v>0</v>
          </cell>
          <cell r="FJ35">
            <v>-801.96649679033294</v>
          </cell>
          <cell r="FK35">
            <v>0</v>
          </cell>
          <cell r="FL35">
            <v>0</v>
          </cell>
          <cell r="FM35">
            <v>-171.72874859420085</v>
          </cell>
          <cell r="FN35">
            <v>-22.077854582138499</v>
          </cell>
          <cell r="FO35">
            <v>-267.7886423581391</v>
          </cell>
          <cell r="FP35">
            <v>-133.50935317506918</v>
          </cell>
          <cell r="FR35">
            <v>-416.1722000301437</v>
          </cell>
          <cell r="FS35">
            <v>128.32388601722295</v>
          </cell>
          <cell r="FT35">
            <v>92.362057132990032</v>
          </cell>
          <cell r="FU35">
            <v>45.087441294453498</v>
          </cell>
          <cell r="FV35">
            <v>-141.94209721642301</v>
          </cell>
          <cell r="FW35">
            <v>86.229911548979487</v>
          </cell>
          <cell r="FX35">
            <v>42.093974468243502</v>
          </cell>
          <cell r="FY35">
            <v>2.6965288666222049</v>
          </cell>
          <cell r="FZ35">
            <v>-3.529283929128316</v>
          </cell>
          <cell r="GA35">
            <v>0</v>
          </cell>
          <cell r="GB35">
            <v>0</v>
          </cell>
          <cell r="GC35">
            <v>739.34998001221402</v>
          </cell>
          <cell r="GD35">
            <v>-739.34998001221402</v>
          </cell>
          <cell r="GE35">
            <v>-2.6965288666222049</v>
          </cell>
          <cell r="GF35">
            <v>0</v>
          </cell>
          <cell r="GG35">
            <v>0</v>
          </cell>
          <cell r="GH35">
            <v>0</v>
          </cell>
          <cell r="GI35">
            <v>-34.550841524738189</v>
          </cell>
        </row>
        <row r="37">
          <cell r="C37">
            <v>7532.4710100000029</v>
          </cell>
          <cell r="N37">
            <v>5375.610319999997</v>
          </cell>
          <cell r="O37">
            <v>-163.21939</v>
          </cell>
          <cell r="P37">
            <v>0</v>
          </cell>
          <cell r="Q37">
            <v>0</v>
          </cell>
          <cell r="R37">
            <v>0.35469000000000001</v>
          </cell>
          <cell r="S37">
            <v>-269.39055000000002</v>
          </cell>
          <cell r="T37">
            <v>-15.682830000000001</v>
          </cell>
          <cell r="U37">
            <v>0</v>
          </cell>
          <cell r="V37">
            <v>-1598.2227699999999</v>
          </cell>
          <cell r="W37">
            <v>-2.5</v>
          </cell>
          <cell r="X37">
            <v>-320</v>
          </cell>
          <cell r="Y37">
            <v>-22.424009999999999</v>
          </cell>
          <cell r="Z37">
            <v>137.89139</v>
          </cell>
          <cell r="AA37">
            <v>2.6191999999999998</v>
          </cell>
          <cell r="AB37">
            <v>0</v>
          </cell>
          <cell r="AC37">
            <v>-1754.8318999999999</v>
          </cell>
          <cell r="AD37">
            <v>22.623779999999996</v>
          </cell>
          <cell r="AE37">
            <v>-65.203270000000003</v>
          </cell>
          <cell r="AF37">
            <v>-314.86581000000001</v>
          </cell>
          <cell r="AG37">
            <v>0</v>
          </cell>
          <cell r="AH37">
            <v>1881.9250699999998</v>
          </cell>
          <cell r="AI37">
            <v>544.82676999999978</v>
          </cell>
          <cell r="AJ37">
            <v>230.24743999999998</v>
          </cell>
          <cell r="AK37">
            <v>-22.678429999999999</v>
          </cell>
          <cell r="AL37">
            <v>-1239.5426200000015</v>
          </cell>
          <cell r="AM37">
            <v>561.50204000000008</v>
          </cell>
          <cell r="AN37">
            <v>-274.10121000000078</v>
          </cell>
          <cell r="AO37">
            <v>-522.47847000000002</v>
          </cell>
          <cell r="AP37">
            <v>-62.442149999999998</v>
          </cell>
          <cell r="AQ37">
            <v>-803.39861000000008</v>
          </cell>
          <cell r="AR37">
            <v>-235.98410000000001</v>
          </cell>
          <cell r="AT37">
            <v>-741.18233000000316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5.5778400000000046</v>
          </cell>
          <cell r="BF37">
            <v>1.7140000000007993</v>
          </cell>
          <cell r="BG37">
            <v>39.420099999999998</v>
          </cell>
          <cell r="BH37">
            <v>-18.566659999999999</v>
          </cell>
          <cell r="BI37">
            <v>-2.43065</v>
          </cell>
          <cell r="BJ37">
            <v>0</v>
          </cell>
          <cell r="BK37">
            <v>355.16687999999203</v>
          </cell>
          <cell r="EA37">
            <v>1458.9940600000018</v>
          </cell>
          <cell r="EL37">
            <v>1708.8299400000046</v>
          </cell>
          <cell r="EM37">
            <v>-138.65575000000001</v>
          </cell>
          <cell r="EN37">
            <v>0</v>
          </cell>
          <cell r="EO37">
            <v>0</v>
          </cell>
          <cell r="EP37">
            <v>0.35469000000000001</v>
          </cell>
          <cell r="EQ37">
            <v>-99.581270000000018</v>
          </cell>
          <cell r="ER37">
            <v>-13.931040000000001</v>
          </cell>
          <cell r="ES37">
            <v>0</v>
          </cell>
          <cell r="ET37">
            <v>-469.71830999999997</v>
          </cell>
          <cell r="EU37">
            <v>-2.5</v>
          </cell>
          <cell r="EV37">
            <v>-70</v>
          </cell>
          <cell r="EW37">
            <v>-22.424009999999999</v>
          </cell>
          <cell r="EX37">
            <v>48.821119999999993</v>
          </cell>
          <cell r="EY37">
            <v>2.6191999999999998</v>
          </cell>
          <cell r="EZ37">
            <v>0</v>
          </cell>
          <cell r="FA37">
            <v>-947.41370000000006</v>
          </cell>
          <cell r="FB37">
            <v>3.4447699999999983</v>
          </cell>
          <cell r="FC37">
            <v>-21.987549999999999</v>
          </cell>
          <cell r="FD37">
            <v>-54.807910000000049</v>
          </cell>
          <cell r="FE37">
            <v>0</v>
          </cell>
          <cell r="FF37">
            <v>641.41926000000012</v>
          </cell>
          <cell r="FG37">
            <v>544.82676999999978</v>
          </cell>
          <cell r="FH37">
            <v>341.60972999999996</v>
          </cell>
          <cell r="FI37">
            <v>-22.678429999999999</v>
          </cell>
          <cell r="FJ37">
            <v>-332.48717000000022</v>
          </cell>
          <cell r="FK37">
            <v>80.270290000000045</v>
          </cell>
          <cell r="FL37">
            <v>-94.600589999999897</v>
          </cell>
          <cell r="FM37">
            <v>-162.09579999999994</v>
          </cell>
          <cell r="FN37">
            <v>-32.690959999999997</v>
          </cell>
          <cell r="FO37">
            <v>-231.00220000000002</v>
          </cell>
          <cell r="FP37">
            <v>-91.263050000000021</v>
          </cell>
          <cell r="FR37">
            <v>-247.65467000000092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1.3859399999999997</v>
          </cell>
          <cell r="GD37">
            <v>2.1070000000001463</v>
          </cell>
          <cell r="GE37">
            <v>39.420099999999998</v>
          </cell>
          <cell r="GF37">
            <v>-15.872680000000004</v>
          </cell>
          <cell r="GG37">
            <v>-2.43065</v>
          </cell>
          <cell r="GH37">
            <v>0</v>
          </cell>
          <cell r="GI37">
            <v>341.31307000000334</v>
          </cell>
        </row>
        <row r="38">
          <cell r="C38">
            <v>8049.3241200000066</v>
          </cell>
          <cell r="N38">
            <v>5340.1845700000049</v>
          </cell>
          <cell r="O38">
            <v>-86.953140000000005</v>
          </cell>
          <cell r="P38">
            <v>0</v>
          </cell>
          <cell r="Q38">
            <v>0</v>
          </cell>
          <cell r="R38">
            <v>0</v>
          </cell>
          <cell r="S38">
            <v>-238.43051000000003</v>
          </cell>
          <cell r="T38">
            <v>-7.3249700000000004</v>
          </cell>
          <cell r="U38">
            <v>0</v>
          </cell>
          <cell r="V38">
            <v>-2096.7672299999999</v>
          </cell>
          <cell r="W38">
            <v>0</v>
          </cell>
          <cell r="X38">
            <v>0</v>
          </cell>
          <cell r="Y38">
            <v>-49.171410000000002</v>
          </cell>
          <cell r="Z38">
            <v>127.59916000000001</v>
          </cell>
          <cell r="AA38">
            <v>4.4460500000000005</v>
          </cell>
          <cell r="AB38">
            <v>0</v>
          </cell>
          <cell r="AC38">
            <v>-1288.31627</v>
          </cell>
          <cell r="AD38">
            <v>194.88556</v>
          </cell>
          <cell r="AE38">
            <v>-56.829070000000002</v>
          </cell>
          <cell r="AF38">
            <v>-253.64722999999995</v>
          </cell>
          <cell r="AG38">
            <v>0</v>
          </cell>
          <cell r="AH38">
            <v>228.33200999999983</v>
          </cell>
          <cell r="AI38">
            <v>-10.768669999999995</v>
          </cell>
          <cell r="AJ38">
            <v>133.09591</v>
          </cell>
          <cell r="AK38">
            <v>13.12208</v>
          </cell>
          <cell r="AL38">
            <v>-1229.2723300000007</v>
          </cell>
          <cell r="AM38">
            <v>565.96190000000001</v>
          </cell>
          <cell r="AN38">
            <v>-235.62870000000061</v>
          </cell>
          <cell r="AO38">
            <v>-432.91561999999999</v>
          </cell>
          <cell r="AP38">
            <v>-53.373989999999999</v>
          </cell>
          <cell r="AQ38">
            <v>-689.86728999999991</v>
          </cell>
          <cell r="AR38">
            <v>-205.15476999999998</v>
          </cell>
          <cell r="AT38">
            <v>-968.01970000000415</v>
          </cell>
          <cell r="AU38">
            <v>0</v>
          </cell>
          <cell r="AV38">
            <v>0</v>
          </cell>
          <cell r="AW38">
            <v>0</v>
          </cell>
          <cell r="AX38">
            <v>13.5</v>
          </cell>
          <cell r="AY38">
            <v>0</v>
          </cell>
          <cell r="AZ38">
            <v>0</v>
          </cell>
          <cell r="BA38">
            <v>0.28973000000000004</v>
          </cell>
          <cell r="BB38">
            <v>-0.82153999999999994</v>
          </cell>
          <cell r="BC38">
            <v>-2.2760000000000002E-2</v>
          </cell>
          <cell r="BD38">
            <v>0</v>
          </cell>
          <cell r="BE38">
            <v>3.7188099999999995</v>
          </cell>
          <cell r="BF38">
            <v>-106.26999999999896</v>
          </cell>
          <cell r="BG38">
            <v>-4.4674699999999987</v>
          </cell>
          <cell r="BH38">
            <v>2.2546899999999912</v>
          </cell>
          <cell r="BI38">
            <v>-0.86826999999999976</v>
          </cell>
          <cell r="BJ38">
            <v>0</v>
          </cell>
          <cell r="BK38">
            <v>-1387.50047</v>
          </cell>
          <cell r="EA38">
            <v>1332.3286400000015</v>
          </cell>
          <cell r="EL38">
            <v>1587.1956100000011</v>
          </cell>
          <cell r="EM38">
            <v>-73.188749999999999</v>
          </cell>
          <cell r="EN38">
            <v>0</v>
          </cell>
          <cell r="EO38">
            <v>0</v>
          </cell>
          <cell r="EP38">
            <v>5.2999999999999999E-2</v>
          </cell>
          <cell r="EQ38">
            <v>-89.507490000000018</v>
          </cell>
          <cell r="ER38">
            <v>-3.7430800000000004</v>
          </cell>
          <cell r="ES38">
            <v>0</v>
          </cell>
          <cell r="ET38">
            <v>-602.12470999999982</v>
          </cell>
          <cell r="EU38">
            <v>0</v>
          </cell>
          <cell r="EV38">
            <v>0</v>
          </cell>
          <cell r="EW38">
            <v>-49.171410000000002</v>
          </cell>
          <cell r="EX38">
            <v>36.672660000000008</v>
          </cell>
          <cell r="EY38">
            <v>4.4460500000000005</v>
          </cell>
          <cell r="EZ38">
            <v>0</v>
          </cell>
          <cell r="FA38">
            <v>-222.69339000000014</v>
          </cell>
          <cell r="FB38">
            <v>126.85074999999999</v>
          </cell>
          <cell r="FC38">
            <v>-19.688090000000003</v>
          </cell>
          <cell r="FD38">
            <v>-61.991759999999999</v>
          </cell>
          <cell r="FE38">
            <v>0</v>
          </cell>
          <cell r="FF38">
            <v>-120.05822000000003</v>
          </cell>
          <cell r="FG38">
            <v>-10.768669999999995</v>
          </cell>
          <cell r="FH38">
            <v>122.26385000000001</v>
          </cell>
          <cell r="FI38">
            <v>13.12208</v>
          </cell>
          <cell r="FJ38">
            <v>-288.33769000000007</v>
          </cell>
          <cell r="FK38">
            <v>80.278820000000053</v>
          </cell>
          <cell r="FL38">
            <v>-102.64087000000018</v>
          </cell>
          <cell r="FM38">
            <v>-157.06217999999996</v>
          </cell>
          <cell r="FN38">
            <v>-21.192340000000002</v>
          </cell>
          <cell r="FO38">
            <v>-239.09052999999994</v>
          </cell>
          <cell r="FP38">
            <v>-72.910269999999997</v>
          </cell>
          <cell r="FR38">
            <v>-279.41581000000292</v>
          </cell>
          <cell r="FS38">
            <v>0</v>
          </cell>
          <cell r="FT38">
            <v>0</v>
          </cell>
          <cell r="FU38">
            <v>0</v>
          </cell>
          <cell r="FV38">
            <v>13.5</v>
          </cell>
          <cell r="FW38">
            <v>0</v>
          </cell>
          <cell r="FX38">
            <v>0</v>
          </cell>
          <cell r="FY38">
            <v>0.28973000000000004</v>
          </cell>
          <cell r="FZ38">
            <v>-0.82153999999999994</v>
          </cell>
          <cell r="GA38">
            <v>-2.2760000000000002E-2</v>
          </cell>
          <cell r="GB38">
            <v>0</v>
          </cell>
          <cell r="GC38">
            <v>2.1036199999999998</v>
          </cell>
          <cell r="GD38">
            <v>2.521000000000754</v>
          </cell>
          <cell r="GE38">
            <v>-4.4674699999999987</v>
          </cell>
          <cell r="GF38">
            <v>-5.6067600000000093</v>
          </cell>
          <cell r="GG38">
            <v>-0.86826999999999976</v>
          </cell>
          <cell r="GH38">
            <v>0</v>
          </cell>
          <cell r="GI38">
            <v>-436.07489000000078</v>
          </cell>
        </row>
        <row r="39">
          <cell r="C39">
            <v>9495.7032843232919</v>
          </cell>
          <cell r="N39">
            <v>6992.5416828876114</v>
          </cell>
          <cell r="O39">
            <v>-864.30047099960348</v>
          </cell>
          <cell r="P39">
            <v>-53.892490249435525</v>
          </cell>
          <cell r="Q39">
            <v>-147.80624679039107</v>
          </cell>
          <cell r="R39">
            <v>0</v>
          </cell>
          <cell r="S39">
            <v>-329.32188976254002</v>
          </cell>
          <cell r="T39">
            <v>-30.303347847692635</v>
          </cell>
          <cell r="U39">
            <v>0</v>
          </cell>
          <cell r="V39">
            <v>-1353.0016434822392</v>
          </cell>
          <cell r="W39">
            <v>-110.49130590970847</v>
          </cell>
          <cell r="X39">
            <v>-303.03489695679849</v>
          </cell>
          <cell r="Y39">
            <v>-46.546167866074157</v>
          </cell>
          <cell r="Z39">
            <v>119.79235967230099</v>
          </cell>
          <cell r="AA39">
            <v>0</v>
          </cell>
          <cell r="AB39">
            <v>0</v>
          </cell>
          <cell r="AC39">
            <v>102.39975356855703</v>
          </cell>
          <cell r="AD39">
            <v>0</v>
          </cell>
          <cell r="AE39">
            <v>0</v>
          </cell>
          <cell r="AF39">
            <v>-116.55036707159226</v>
          </cell>
          <cell r="AG39">
            <v>0</v>
          </cell>
          <cell r="AH39">
            <v>14.150613503035245</v>
          </cell>
          <cell r="AI39">
            <v>46.546167866074157</v>
          </cell>
          <cell r="AJ39">
            <v>0</v>
          </cell>
          <cell r="AK39">
            <v>0</v>
          </cell>
          <cell r="AL39">
            <v>-1296.6977135161885</v>
          </cell>
          <cell r="AM39">
            <v>0</v>
          </cell>
          <cell r="AN39">
            <v>0</v>
          </cell>
          <cell r="AO39">
            <v>-522.79650713094247</v>
          </cell>
          <cell r="AP39">
            <v>-41.125870074366503</v>
          </cell>
          <cell r="AQ39">
            <v>-847.12089818598747</v>
          </cell>
          <cell r="AR39">
            <v>-297.50306841374749</v>
          </cell>
          <cell r="AT39">
            <v>-757.71194562394487</v>
          </cell>
          <cell r="AU39">
            <v>114.89894428750105</v>
          </cell>
          <cell r="AV39">
            <v>22.435419949654879</v>
          </cell>
          <cell r="AW39">
            <v>33.606910111542298</v>
          </cell>
          <cell r="AX39">
            <v>-114.89894428750108</v>
          </cell>
          <cell r="AY39">
            <v>45.997481975627529</v>
          </cell>
          <cell r="AZ39">
            <v>68.901462311873559</v>
          </cell>
          <cell r="BA39">
            <v>2.6028082215747559</v>
          </cell>
          <cell r="BB39">
            <v>-6.9592146510890167</v>
          </cell>
          <cell r="BC39">
            <v>0</v>
          </cell>
          <cell r="BD39">
            <v>0</v>
          </cell>
          <cell r="BE39">
            <v>-1000.886118748023</v>
          </cell>
          <cell r="BF39">
            <v>1000.886118748023</v>
          </cell>
          <cell r="BG39">
            <v>-2.6028082215747559</v>
          </cell>
          <cell r="BH39">
            <v>0</v>
          </cell>
          <cell r="BI39">
            <v>0</v>
          </cell>
          <cell r="BJ39">
            <v>0</v>
          </cell>
          <cell r="BK39">
            <v>321.20780731393512</v>
          </cell>
          <cell r="EA39">
            <v>2192.3919528161287</v>
          </cell>
          <cell r="EL39">
            <v>2330.8472276292041</v>
          </cell>
          <cell r="EM39">
            <v>-288.10015699986798</v>
          </cell>
          <cell r="EN39">
            <v>-17.964163416478506</v>
          </cell>
          <cell r="EO39">
            <v>-49.268748930130357</v>
          </cell>
          <cell r="EP39">
            <v>0</v>
          </cell>
          <cell r="EQ39">
            <v>-109.77396325418002</v>
          </cell>
          <cell r="ER39">
            <v>-10.101115949230877</v>
          </cell>
          <cell r="ES39">
            <v>0</v>
          </cell>
          <cell r="ET39">
            <v>-451.00054782741313</v>
          </cell>
          <cell r="EU39">
            <v>-36.830435303236158</v>
          </cell>
          <cell r="EV39">
            <v>-101.01163231893284</v>
          </cell>
          <cell r="EW39">
            <v>-15.515389288691384</v>
          </cell>
          <cell r="EX39">
            <v>39.930786557433663</v>
          </cell>
          <cell r="EY39">
            <v>0</v>
          </cell>
          <cell r="EZ39">
            <v>0</v>
          </cell>
          <cell r="FA39">
            <v>34.133251189519015</v>
          </cell>
          <cell r="FB39">
            <v>0</v>
          </cell>
          <cell r="FC39">
            <v>0</v>
          </cell>
          <cell r="FD39">
            <v>-38.850122357197421</v>
          </cell>
          <cell r="FE39">
            <v>0</v>
          </cell>
          <cell r="FF39">
            <v>4.7168711676784145</v>
          </cell>
          <cell r="FG39">
            <v>15.515389288691384</v>
          </cell>
          <cell r="FH39">
            <v>0</v>
          </cell>
          <cell r="FI39">
            <v>0</v>
          </cell>
          <cell r="FJ39">
            <v>-432.23257117206288</v>
          </cell>
          <cell r="FK39">
            <v>0</v>
          </cell>
          <cell r="FL39">
            <v>0</v>
          </cell>
          <cell r="FM39">
            <v>-174.26550237698081</v>
          </cell>
          <cell r="FN39">
            <v>-13.708623358122168</v>
          </cell>
          <cell r="FO39">
            <v>-282.37363272866253</v>
          </cell>
          <cell r="FP39">
            <v>-99.167689471249162</v>
          </cell>
          <cell r="FR39">
            <v>-252.57064854131494</v>
          </cell>
          <cell r="FS39">
            <v>38.299648095833689</v>
          </cell>
          <cell r="FT39">
            <v>7.4784733165516268</v>
          </cell>
          <cell r="FU39">
            <v>11.202303370514098</v>
          </cell>
          <cell r="FV39">
            <v>-38.299648095833689</v>
          </cell>
          <cell r="FW39">
            <v>15.332493991875843</v>
          </cell>
          <cell r="FX39">
            <v>22.967154103957853</v>
          </cell>
          <cell r="FY39">
            <v>0.8676027405249187</v>
          </cell>
          <cell r="FZ39">
            <v>-2.3197382170296725</v>
          </cell>
          <cell r="GA39">
            <v>0</v>
          </cell>
          <cell r="GB39">
            <v>0</v>
          </cell>
          <cell r="GC39">
            <v>-333.62870624934101</v>
          </cell>
          <cell r="GD39">
            <v>333.62870624934101</v>
          </cell>
          <cell r="GE39">
            <v>-0.8676027405249187</v>
          </cell>
          <cell r="GF39">
            <v>0</v>
          </cell>
          <cell r="GG39">
            <v>0</v>
          </cell>
          <cell r="GH39">
            <v>0</v>
          </cell>
          <cell r="GI39">
            <v>107.06926910464529</v>
          </cell>
        </row>
        <row r="41">
          <cell r="C41">
            <v>9122.3288100000063</v>
          </cell>
          <cell r="N41">
            <v>4242.9061200000069</v>
          </cell>
          <cell r="O41">
            <v>-105.96044999999999</v>
          </cell>
          <cell r="P41">
            <v>0</v>
          </cell>
          <cell r="Q41">
            <v>0</v>
          </cell>
          <cell r="R41">
            <v>0</v>
          </cell>
          <cell r="S41">
            <v>-225.38175999999999</v>
          </cell>
          <cell r="T41">
            <v>-90.205979999999997</v>
          </cell>
          <cell r="U41">
            <v>0</v>
          </cell>
          <cell r="V41">
            <v>-1932.1759231864689</v>
          </cell>
          <cell r="W41">
            <v>0</v>
          </cell>
          <cell r="X41">
            <v>-393.13771681353103</v>
          </cell>
          <cell r="Y41">
            <v>-38.767420000000001</v>
          </cell>
          <cell r="Z41">
            <v>281.70468</v>
          </cell>
          <cell r="AA41">
            <v>4.4878599999999995</v>
          </cell>
          <cell r="AB41">
            <v>0</v>
          </cell>
          <cell r="AC41">
            <v>-2307.7399300000002</v>
          </cell>
          <cell r="AD41">
            <v>260.56709000000001</v>
          </cell>
          <cell r="AE41">
            <v>-176.928</v>
          </cell>
          <cell r="AF41">
            <v>-658.27375000000006</v>
          </cell>
          <cell r="AG41">
            <v>0</v>
          </cell>
          <cell r="AH41">
            <v>2379.01379</v>
          </cell>
          <cell r="AI41">
            <v>684.35024999999985</v>
          </cell>
          <cell r="AJ41">
            <v>208.73399000000012</v>
          </cell>
          <cell r="AK41">
            <v>-57.578089999999996</v>
          </cell>
          <cell r="AL41">
            <v>-1731.2293900000002</v>
          </cell>
          <cell r="AM41">
            <v>913.11873000000128</v>
          </cell>
          <cell r="AN41">
            <v>-67.74181999999999</v>
          </cell>
          <cell r="AO41">
            <v>-311.25747000000001</v>
          </cell>
          <cell r="AP41">
            <v>-35.473010000000002</v>
          </cell>
          <cell r="AQ41">
            <v>-388.87878000000001</v>
          </cell>
          <cell r="AR41">
            <v>-121.14483999999999</v>
          </cell>
          <cell r="AT41">
            <v>-438.95274999999981</v>
          </cell>
          <cell r="AU41">
            <v>158.95562000000001</v>
          </cell>
          <cell r="AV41">
            <v>0</v>
          </cell>
          <cell r="AW41">
            <v>0</v>
          </cell>
          <cell r="AX41">
            <v>68.140338630553856</v>
          </cell>
          <cell r="AY41">
            <v>0</v>
          </cell>
          <cell r="AZ41">
            <v>31.726491369446137</v>
          </cell>
          <cell r="BA41">
            <v>2.2477800000000001</v>
          </cell>
          <cell r="BB41">
            <v>-12.098560000000001</v>
          </cell>
          <cell r="BC41">
            <v>-0.2636</v>
          </cell>
          <cell r="BD41">
            <v>0</v>
          </cell>
          <cell r="BE41">
            <v>100.11020000000001</v>
          </cell>
          <cell r="BF41">
            <v>-95.660740000000573</v>
          </cell>
          <cell r="BG41">
            <v>8.0651100000000024</v>
          </cell>
          <cell r="BH41">
            <v>-10.939769999999974</v>
          </cell>
          <cell r="BI41">
            <v>1.1198399999999999</v>
          </cell>
          <cell r="BJ41">
            <v>0</v>
          </cell>
          <cell r="BK41">
            <v>145.45814000000729</v>
          </cell>
          <cell r="EA41">
            <v>291.66688000000067</v>
          </cell>
          <cell r="EL41">
            <v>1417.4168300000001</v>
          </cell>
          <cell r="EM41">
            <v>-100.77333999999999</v>
          </cell>
          <cell r="EN41">
            <v>0</v>
          </cell>
          <cell r="EO41">
            <v>0</v>
          </cell>
          <cell r="EP41">
            <v>0</v>
          </cell>
          <cell r="EQ41">
            <v>-82.791439999999994</v>
          </cell>
          <cell r="ER41">
            <v>-29.282899999999998</v>
          </cell>
          <cell r="ES41">
            <v>0</v>
          </cell>
          <cell r="ET41">
            <v>-637.21497475272713</v>
          </cell>
          <cell r="EU41">
            <v>0</v>
          </cell>
          <cell r="EV41">
            <v>-127.77004524727278</v>
          </cell>
          <cell r="EW41">
            <v>-38.767420000000001</v>
          </cell>
          <cell r="EX41">
            <v>93.405630000000002</v>
          </cell>
          <cell r="EY41">
            <v>4.4878599999999995</v>
          </cell>
          <cell r="EZ41">
            <v>0</v>
          </cell>
          <cell r="FA41">
            <v>-1165.6367200000002</v>
          </cell>
          <cell r="FB41">
            <v>92.48827</v>
          </cell>
          <cell r="FC41">
            <v>-61.07786999999999</v>
          </cell>
          <cell r="FD41">
            <v>-149.03728000000001</v>
          </cell>
          <cell r="FE41">
            <v>0</v>
          </cell>
          <cell r="FF41">
            <v>-732.32034999999996</v>
          </cell>
          <cell r="FG41">
            <v>684.35024999999985</v>
          </cell>
          <cell r="FH41">
            <v>564.79620000000011</v>
          </cell>
          <cell r="FI41">
            <v>-57.578089999999996</v>
          </cell>
          <cell r="FJ41">
            <v>-90.098410000000058</v>
          </cell>
          <cell r="FK41">
            <v>-171.9734499999995</v>
          </cell>
          <cell r="FL41">
            <v>-22.525050000000036</v>
          </cell>
          <cell r="FM41">
            <v>-100.78511999999998</v>
          </cell>
          <cell r="FN41">
            <v>-18.610150000000001</v>
          </cell>
          <cell r="FO41">
            <v>-127.53520000000003</v>
          </cell>
          <cell r="FP41">
            <v>-45.480019999999996</v>
          </cell>
          <cell r="FR41">
            <v>-197.81879999999995</v>
          </cell>
          <cell r="FS41">
            <v>99.218040000000002</v>
          </cell>
          <cell r="FT41">
            <v>0</v>
          </cell>
          <cell r="FU41">
            <v>0</v>
          </cell>
          <cell r="FV41">
            <v>-51.923369743265454</v>
          </cell>
          <cell r="FW41">
            <v>0</v>
          </cell>
          <cell r="FX41">
            <v>12.72919974326544</v>
          </cell>
          <cell r="FY41">
            <v>2.2477800000000001</v>
          </cell>
          <cell r="FZ41">
            <v>8.0298700000000007</v>
          </cell>
          <cell r="GA41">
            <v>-0.2636</v>
          </cell>
          <cell r="GB41">
            <v>0</v>
          </cell>
          <cell r="GC41">
            <v>57.215830000000018</v>
          </cell>
          <cell r="GD41">
            <v>-29.893750000001404</v>
          </cell>
          <cell r="GE41">
            <v>8.0651100000000024</v>
          </cell>
          <cell r="GF41">
            <v>-45.627179999999967</v>
          </cell>
          <cell r="GG41">
            <v>1.1198399999999999</v>
          </cell>
          <cell r="GH41">
            <v>0</v>
          </cell>
          <cell r="GI41">
            <v>-1039.2138200000009</v>
          </cell>
        </row>
        <row r="42">
          <cell r="C42">
            <v>9248.5115699999988</v>
          </cell>
          <cell r="N42">
            <v>4352.7476099999931</v>
          </cell>
          <cell r="O42">
            <v>-48.510539999999999</v>
          </cell>
          <cell r="P42">
            <v>0</v>
          </cell>
          <cell r="Q42">
            <v>0</v>
          </cell>
          <cell r="R42">
            <v>0</v>
          </cell>
          <cell r="S42">
            <v>-242.46804000000003</v>
          </cell>
          <cell r="T42">
            <v>-6.9314099999999996</v>
          </cell>
          <cell r="U42">
            <v>0</v>
          </cell>
          <cell r="V42">
            <v>-2051.5512800000006</v>
          </cell>
          <cell r="W42">
            <v>0</v>
          </cell>
          <cell r="X42">
            <v>-144.16200000000001</v>
          </cell>
          <cell r="Y42">
            <v>-70.15697999999999</v>
          </cell>
          <cell r="Z42">
            <v>238.56208000000001</v>
          </cell>
          <cell r="AA42">
            <v>7.8881499999999996</v>
          </cell>
          <cell r="AB42">
            <v>0</v>
          </cell>
          <cell r="AC42">
            <v>-4331.4821599999996</v>
          </cell>
          <cell r="AD42">
            <v>459.05512000000004</v>
          </cell>
          <cell r="AE42">
            <v>-189.46037000000001</v>
          </cell>
          <cell r="AF42">
            <v>-424.29933999999997</v>
          </cell>
          <cell r="AG42">
            <v>0</v>
          </cell>
          <cell r="AH42">
            <v>7521.1980699999995</v>
          </cell>
          <cell r="AI42">
            <v>887.8023199999999</v>
          </cell>
          <cell r="AJ42">
            <v>-1358.8175200000001</v>
          </cell>
          <cell r="AK42">
            <v>-69.724689999999981</v>
          </cell>
          <cell r="AL42">
            <v>-1766.1117400000019</v>
          </cell>
          <cell r="AM42">
            <v>918.17660000000035</v>
          </cell>
          <cell r="AN42">
            <v>-69.045830000000066</v>
          </cell>
          <cell r="AO42">
            <v>-291.90926999999999</v>
          </cell>
          <cell r="AP42">
            <v>-38.135840000000002</v>
          </cell>
          <cell r="AQ42">
            <v>-418.59539000000007</v>
          </cell>
          <cell r="AR42">
            <v>-133.82571999999999</v>
          </cell>
          <cell r="AT42">
            <v>-407.00630999999981</v>
          </cell>
          <cell r="AU42">
            <v>5.5733600000000001</v>
          </cell>
          <cell r="AV42">
            <v>0</v>
          </cell>
          <cell r="AW42">
            <v>0</v>
          </cell>
          <cell r="AX42">
            <v>154.41499999999999</v>
          </cell>
          <cell r="AY42">
            <v>0</v>
          </cell>
          <cell r="AZ42">
            <v>8.77</v>
          </cell>
          <cell r="BA42">
            <v>4.8698900000000007</v>
          </cell>
          <cell r="BB42">
            <v>-17.729890000000001</v>
          </cell>
          <cell r="BC42">
            <v>-0.53185000000000004</v>
          </cell>
          <cell r="BD42">
            <v>0</v>
          </cell>
          <cell r="BE42">
            <v>1048.70579</v>
          </cell>
          <cell r="BF42">
            <v>-826.15739999999892</v>
          </cell>
          <cell r="BG42">
            <v>-173.43791999999999</v>
          </cell>
          <cell r="BH42">
            <v>125.72701999999998</v>
          </cell>
          <cell r="BI42">
            <v>7.5805999999999987</v>
          </cell>
          <cell r="BJ42">
            <v>0</v>
          </cell>
          <cell r="BK42">
            <v>2661.0201199999919</v>
          </cell>
          <cell r="EA42">
            <v>369.76155000000108</v>
          </cell>
          <cell r="EL42">
            <v>1442.807490000002</v>
          </cell>
          <cell r="EM42">
            <v>-20.8719</v>
          </cell>
          <cell r="EN42">
            <v>0</v>
          </cell>
          <cell r="EO42">
            <v>0</v>
          </cell>
          <cell r="EP42">
            <v>0</v>
          </cell>
          <cell r="EQ42">
            <v>-91.233940000000018</v>
          </cell>
          <cell r="ER42">
            <v>-4.8771599999999999</v>
          </cell>
          <cell r="ES42">
            <v>0</v>
          </cell>
          <cell r="ET42">
            <v>-76.966829487366567</v>
          </cell>
          <cell r="EU42">
            <v>0</v>
          </cell>
          <cell r="EV42">
            <v>-122.93610051263377</v>
          </cell>
          <cell r="EW42">
            <v>-70.15697999999999</v>
          </cell>
          <cell r="EX42">
            <v>6.1882500000000107</v>
          </cell>
          <cell r="EY42">
            <v>7.8881499999999996</v>
          </cell>
          <cell r="EZ42">
            <v>0</v>
          </cell>
          <cell r="FA42">
            <v>-746.41268000000036</v>
          </cell>
          <cell r="FB42">
            <v>96.844040000000007</v>
          </cell>
          <cell r="FC42">
            <v>-67.138350000000003</v>
          </cell>
          <cell r="FD42">
            <v>-120.77894999999995</v>
          </cell>
          <cell r="FE42">
            <v>0</v>
          </cell>
          <cell r="FF42">
            <v>-272.08391000000029</v>
          </cell>
          <cell r="FG42">
            <v>887.8023199999999</v>
          </cell>
          <cell r="FH42">
            <v>-754.82188000000008</v>
          </cell>
          <cell r="FI42">
            <v>-69.724689999999981</v>
          </cell>
          <cell r="FJ42">
            <v>-119.75074000000018</v>
          </cell>
          <cell r="FK42">
            <v>-160.4649999999998</v>
          </cell>
          <cell r="FL42">
            <v>-21.698640000000019</v>
          </cell>
          <cell r="FM42">
            <v>-102.21965</v>
          </cell>
          <cell r="FN42">
            <v>-16.218100000000003</v>
          </cell>
          <cell r="FO42">
            <v>-146.02976000000001</v>
          </cell>
          <cell r="FP42">
            <v>-47.583749999999995</v>
          </cell>
          <cell r="FR42">
            <v>-162.20769999999993</v>
          </cell>
          <cell r="FS42">
            <v>3.5483600000000002</v>
          </cell>
          <cell r="FT42">
            <v>0</v>
          </cell>
          <cell r="FU42">
            <v>0</v>
          </cell>
          <cell r="FV42">
            <v>28.882169999999988</v>
          </cell>
          <cell r="FW42">
            <v>0</v>
          </cell>
          <cell r="FX42">
            <v>8.77</v>
          </cell>
          <cell r="FY42">
            <v>4.8698900000000007</v>
          </cell>
          <cell r="FZ42">
            <v>-3.1140000000000008</v>
          </cell>
          <cell r="GA42">
            <v>-0.53185000000000004</v>
          </cell>
          <cell r="GB42">
            <v>0</v>
          </cell>
          <cell r="GC42">
            <v>220.39959999999996</v>
          </cell>
          <cell r="GD42">
            <v>-263.48665000000142</v>
          </cell>
          <cell r="GE42">
            <v>-173.43791999999999</v>
          </cell>
          <cell r="GF42">
            <v>64.022539999999992</v>
          </cell>
          <cell r="GG42">
            <v>7.5805999999999987</v>
          </cell>
          <cell r="GH42">
            <v>0</v>
          </cell>
          <cell r="GI42">
            <v>-855.14372000000083</v>
          </cell>
        </row>
        <row r="43">
          <cell r="C43">
            <v>9536.2593335711354</v>
          </cell>
          <cell r="N43">
            <v>4189.5342916585778</v>
          </cell>
          <cell r="O43">
            <v>-548.8780895454081</v>
          </cell>
          <cell r="P43">
            <v>0</v>
          </cell>
          <cell r="Q43">
            <v>-72.321746428839404</v>
          </cell>
          <cell r="R43">
            <v>0</v>
          </cell>
          <cell r="S43">
            <v>-348.86121524157147</v>
          </cell>
          <cell r="T43">
            <v>-24.602713698773087</v>
          </cell>
          <cell r="U43">
            <v>0</v>
          </cell>
          <cell r="V43">
            <v>-1086.6227129053741</v>
          </cell>
          <cell r="W43">
            <v>0</v>
          </cell>
          <cell r="X43">
            <v>-324.44398722386688</v>
          </cell>
          <cell r="Y43">
            <v>-38.463051435568254</v>
          </cell>
          <cell r="Z43">
            <v>186.36259298093989</v>
          </cell>
          <cell r="AA43">
            <v>0</v>
          </cell>
          <cell r="AB43">
            <v>0</v>
          </cell>
          <cell r="AC43">
            <v>-911.67319760326404</v>
          </cell>
          <cell r="AD43">
            <v>0</v>
          </cell>
          <cell r="AE43">
            <v>0</v>
          </cell>
          <cell r="AF43">
            <v>-628.14493919907</v>
          </cell>
          <cell r="AG43">
            <v>0</v>
          </cell>
          <cell r="AH43">
            <v>1539.8181368023343</v>
          </cell>
          <cell r="AI43">
            <v>38.463051435568254</v>
          </cell>
          <cell r="AJ43">
            <v>0</v>
          </cell>
          <cell r="AK43">
            <v>0</v>
          </cell>
          <cell r="AL43">
            <v>-927.78125077428376</v>
          </cell>
          <cell r="AM43">
            <v>0</v>
          </cell>
          <cell r="AN43">
            <v>0</v>
          </cell>
          <cell r="AO43">
            <v>-298.86724939317003</v>
          </cell>
          <cell r="AP43">
            <v>-23.397597940398125</v>
          </cell>
          <cell r="AQ43">
            <v>-383.13229470466251</v>
          </cell>
          <cell r="AR43">
            <v>-159.42843181290326</v>
          </cell>
          <cell r="AT43">
            <v>-407.15728386208565</v>
          </cell>
          <cell r="AU43">
            <v>-37.755785020572425</v>
          </cell>
          <cell r="AV43">
            <v>0</v>
          </cell>
          <cell r="AW43">
            <v>10.920667484236114</v>
          </cell>
          <cell r="AX43">
            <v>71.442659378511024</v>
          </cell>
          <cell r="AY43">
            <v>0</v>
          </cell>
          <cell r="AZ43">
            <v>48.991417888640989</v>
          </cell>
          <cell r="BA43">
            <v>1.7255739775023553</v>
          </cell>
          <cell r="BB43">
            <v>-8.6860300675346522</v>
          </cell>
          <cell r="BC43">
            <v>0</v>
          </cell>
          <cell r="BD43">
            <v>0</v>
          </cell>
          <cell r="BE43">
            <v>97.242256166544252</v>
          </cell>
          <cell r="BF43">
            <v>-141.36725616654425</v>
          </cell>
          <cell r="BG43">
            <v>-1.7255739775023553</v>
          </cell>
          <cell r="BH43">
            <v>0</v>
          </cell>
          <cell r="BI43">
            <v>0</v>
          </cell>
          <cell r="BJ43">
            <v>0</v>
          </cell>
          <cell r="BK43">
            <v>-188.80975922853716</v>
          </cell>
          <cell r="EA43">
            <v>512.81327241476174</v>
          </cell>
          <cell r="EL43">
            <v>1396.5114305528591</v>
          </cell>
          <cell r="EM43">
            <v>-182.9593631818027</v>
          </cell>
          <cell r="EN43">
            <v>0</v>
          </cell>
          <cell r="EO43">
            <v>-24.107248809613132</v>
          </cell>
          <cell r="EP43">
            <v>0</v>
          </cell>
          <cell r="EQ43">
            <v>-116.28707174719048</v>
          </cell>
          <cell r="ER43">
            <v>-8.2009045662576945</v>
          </cell>
          <cell r="ES43">
            <v>0</v>
          </cell>
          <cell r="ET43">
            <v>-362.20757096845819</v>
          </cell>
          <cell r="EU43">
            <v>0</v>
          </cell>
          <cell r="EV43">
            <v>-108.14799574128895</v>
          </cell>
          <cell r="EW43">
            <v>-12.821017145189419</v>
          </cell>
          <cell r="EX43">
            <v>62.120864326979969</v>
          </cell>
          <cell r="EY43">
            <v>0</v>
          </cell>
          <cell r="EZ43">
            <v>0</v>
          </cell>
          <cell r="FA43">
            <v>-303.89106586775472</v>
          </cell>
          <cell r="FB43">
            <v>0</v>
          </cell>
          <cell r="FC43">
            <v>0</v>
          </cell>
          <cell r="FD43">
            <v>-209.38164639969</v>
          </cell>
          <cell r="FE43">
            <v>0</v>
          </cell>
          <cell r="FF43">
            <v>513.27271226744483</v>
          </cell>
          <cell r="FG43">
            <v>12.821017145189419</v>
          </cell>
          <cell r="FH43">
            <v>0</v>
          </cell>
          <cell r="FI43">
            <v>0</v>
          </cell>
          <cell r="FJ43">
            <v>-309.26041692476122</v>
          </cell>
          <cell r="FK43">
            <v>0</v>
          </cell>
          <cell r="FL43">
            <v>0</v>
          </cell>
          <cell r="FM43">
            <v>-99.62241646439</v>
          </cell>
          <cell r="FN43">
            <v>-7.7991993134660422</v>
          </cell>
          <cell r="FO43">
            <v>-127.71076490155417</v>
          </cell>
          <cell r="FP43">
            <v>-53.14281060430109</v>
          </cell>
          <cell r="FR43">
            <v>-135.71909462069522</v>
          </cell>
          <cell r="FS43">
            <v>-12.58526167352414</v>
          </cell>
          <cell r="FT43">
            <v>0</v>
          </cell>
          <cell r="FU43">
            <v>3.6402224947453714</v>
          </cell>
          <cell r="FV43">
            <v>23.814219792837008</v>
          </cell>
          <cell r="FW43">
            <v>0</v>
          </cell>
          <cell r="FX43">
            <v>16.330472629546996</v>
          </cell>
          <cell r="FY43">
            <v>0.57519132583411836</v>
          </cell>
          <cell r="FZ43">
            <v>-2.8953433558448838</v>
          </cell>
          <cell r="GA43">
            <v>0</v>
          </cell>
          <cell r="GB43">
            <v>0</v>
          </cell>
          <cell r="GC43">
            <v>32.414085388848079</v>
          </cell>
          <cell r="GD43">
            <v>-47.122418722181422</v>
          </cell>
          <cell r="GE43">
            <v>-0.57519132583411836</v>
          </cell>
          <cell r="GF43">
            <v>0</v>
          </cell>
          <cell r="GG43">
            <v>0</v>
          </cell>
          <cell r="GH43">
            <v>0</v>
          </cell>
          <cell r="GI43">
            <v>-62.936586409512699</v>
          </cell>
        </row>
        <row r="45">
          <cell r="C45">
            <v>5928.1893200000004</v>
          </cell>
          <cell r="N45">
            <v>2176.0641500000006</v>
          </cell>
          <cell r="O45">
            <v>-2.9350399999999999</v>
          </cell>
          <cell r="P45">
            <v>0</v>
          </cell>
          <cell r="Q45">
            <v>0</v>
          </cell>
          <cell r="R45">
            <v>0</v>
          </cell>
          <cell r="S45">
            <v>-105.48111</v>
          </cell>
          <cell r="T45">
            <v>-1.03139</v>
          </cell>
          <cell r="U45">
            <v>0</v>
          </cell>
          <cell r="V45">
            <v>-988.59458745286724</v>
          </cell>
          <cell r="W45">
            <v>0</v>
          </cell>
          <cell r="X45">
            <v>-189.51187254713278</v>
          </cell>
          <cell r="Y45">
            <v>0</v>
          </cell>
          <cell r="Z45">
            <v>142.72402</v>
          </cell>
          <cell r="AA45">
            <v>0</v>
          </cell>
          <cell r="AB45">
            <v>0</v>
          </cell>
          <cell r="AC45">
            <v>-453.27535999999998</v>
          </cell>
          <cell r="AD45">
            <v>75.175150000000002</v>
          </cell>
          <cell r="AE45">
            <v>-83.466829999999987</v>
          </cell>
          <cell r="AF45">
            <v>-233.48065</v>
          </cell>
          <cell r="AG45">
            <v>0</v>
          </cell>
          <cell r="AH45">
            <v>-678.34857</v>
          </cell>
          <cell r="AI45">
            <v>368.84048999999999</v>
          </cell>
          <cell r="AJ45">
            <v>252.05416999999994</v>
          </cell>
          <cell r="AK45">
            <v>-14.020849999999999</v>
          </cell>
          <cell r="AL45">
            <v>-1191.1585600000014</v>
          </cell>
          <cell r="AM45">
            <v>376.17408</v>
          </cell>
          <cell r="AN45">
            <v>357.46307000000013</v>
          </cell>
          <cell r="AO45">
            <v>-123.45555999999999</v>
          </cell>
          <cell r="AP45">
            <v>-14.9671</v>
          </cell>
          <cell r="AQ45">
            <v>-170.31868</v>
          </cell>
          <cell r="AR45">
            <v>-58.150040000000004</v>
          </cell>
          <cell r="AT45">
            <v>-329.97435000000019</v>
          </cell>
          <cell r="AU45">
            <v>0</v>
          </cell>
          <cell r="AV45">
            <v>0</v>
          </cell>
          <cell r="AW45">
            <v>0</v>
          </cell>
          <cell r="AX45">
            <v>-6.2985754338820783</v>
          </cell>
          <cell r="AY45">
            <v>0</v>
          </cell>
          <cell r="AZ45">
            <v>39.71257543388208</v>
          </cell>
          <cell r="BA45">
            <v>0</v>
          </cell>
          <cell r="BB45">
            <v>-4.0480100000000006</v>
          </cell>
          <cell r="BC45">
            <v>0</v>
          </cell>
          <cell r="BD45">
            <v>0</v>
          </cell>
          <cell r="BE45">
            <v>107.17620999999997</v>
          </cell>
          <cell r="BF45">
            <v>-107.06999999999991</v>
          </cell>
          <cell r="BG45">
            <v>-16.979140000000001</v>
          </cell>
          <cell r="BH45">
            <v>-0.32284999999999986</v>
          </cell>
          <cell r="BI45">
            <v>0.94584000000000013</v>
          </cell>
          <cell r="BJ45">
            <v>0</v>
          </cell>
          <cell r="BK45">
            <v>-876.55937000000108</v>
          </cell>
          <cell r="EA45">
            <v>436.84162000000015</v>
          </cell>
          <cell r="EL45">
            <v>836.36441999999988</v>
          </cell>
          <cell r="EM45">
            <v>-2.9350399999999999</v>
          </cell>
          <cell r="EN45">
            <v>0</v>
          </cell>
          <cell r="EO45">
            <v>0</v>
          </cell>
          <cell r="EP45">
            <v>0</v>
          </cell>
          <cell r="EQ45">
            <v>-38.297200000000004</v>
          </cell>
          <cell r="ER45">
            <v>-1.03139</v>
          </cell>
          <cell r="ES45">
            <v>0</v>
          </cell>
          <cell r="ET45">
            <v>-285.98947745286728</v>
          </cell>
          <cell r="EU45">
            <v>0</v>
          </cell>
          <cell r="EV45">
            <v>-71.054943418817217</v>
          </cell>
          <cell r="EW45">
            <v>0</v>
          </cell>
          <cell r="EX45">
            <v>57.934269999999998</v>
          </cell>
          <cell r="EY45">
            <v>0</v>
          </cell>
          <cell r="EZ45">
            <v>0</v>
          </cell>
          <cell r="FA45">
            <v>-239.51823999999999</v>
          </cell>
          <cell r="FB45">
            <v>16.321370000000002</v>
          </cell>
          <cell r="FC45">
            <v>-28.657119999999992</v>
          </cell>
          <cell r="FD45">
            <v>-38.605969999999985</v>
          </cell>
          <cell r="FE45">
            <v>0</v>
          </cell>
          <cell r="FF45">
            <v>-613.9912599999999</v>
          </cell>
          <cell r="FG45">
            <v>368.84048999999999</v>
          </cell>
          <cell r="FH45">
            <v>139.75034999999997</v>
          </cell>
          <cell r="FI45">
            <v>-14.020849999999999</v>
          </cell>
          <cell r="FJ45">
            <v>-100.13826000000017</v>
          </cell>
          <cell r="FK45">
            <v>2.5738999999999805</v>
          </cell>
          <cell r="FL45">
            <v>-84.011480000000006</v>
          </cell>
          <cell r="FM45">
            <v>-34.299839999999989</v>
          </cell>
          <cell r="FN45">
            <v>-7.9943800000000005</v>
          </cell>
          <cell r="FO45">
            <v>-47.404480000000007</v>
          </cell>
          <cell r="FP45">
            <v>-21.321270000000005</v>
          </cell>
          <cell r="FR45">
            <v>-128.44535999999999</v>
          </cell>
          <cell r="FS45">
            <v>0</v>
          </cell>
          <cell r="FT45">
            <v>0</v>
          </cell>
          <cell r="FU45">
            <v>0</v>
          </cell>
          <cell r="FV45">
            <v>5.5798760925059607</v>
          </cell>
          <cell r="FW45">
            <v>0</v>
          </cell>
          <cell r="FX45">
            <v>13.208123907494041</v>
          </cell>
          <cell r="FY45">
            <v>0</v>
          </cell>
          <cell r="FZ45">
            <v>-1.9309600000000002</v>
          </cell>
          <cell r="GA45">
            <v>0</v>
          </cell>
          <cell r="GB45">
            <v>0</v>
          </cell>
          <cell r="GC45">
            <v>43.910239999999988</v>
          </cell>
          <cell r="GD45">
            <v>-44.25800000000001</v>
          </cell>
          <cell r="GE45">
            <v>-16.979140000000001</v>
          </cell>
          <cell r="GF45">
            <v>-2.3401800000000001</v>
          </cell>
          <cell r="GG45">
            <v>0.94584000000000013</v>
          </cell>
          <cell r="GH45">
            <v>0</v>
          </cell>
          <cell r="GI45">
            <v>-337.79596087168466</v>
          </cell>
        </row>
        <row r="46">
          <cell r="C46">
            <v>4915.9755299999997</v>
          </cell>
          <cell r="N46">
            <v>2307.0754900000002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-168.35636</v>
          </cell>
          <cell r="T46">
            <v>0</v>
          </cell>
          <cell r="U46">
            <v>0</v>
          </cell>
          <cell r="V46">
            <v>-1113.8681299999998</v>
          </cell>
          <cell r="W46">
            <v>0</v>
          </cell>
          <cell r="X46">
            <v>0</v>
          </cell>
          <cell r="Y46">
            <v>-13.28167</v>
          </cell>
          <cell r="Z46">
            <v>121.02067</v>
          </cell>
          <cell r="AA46">
            <v>1.5055699999999999</v>
          </cell>
          <cell r="AB46">
            <v>0</v>
          </cell>
          <cell r="AC46">
            <v>-392.59631999999999</v>
          </cell>
          <cell r="AD46">
            <v>236.58744000000002</v>
          </cell>
          <cell r="AE46">
            <v>-151.45818</v>
          </cell>
          <cell r="AF46">
            <v>-245.65821000000003</v>
          </cell>
          <cell r="AG46">
            <v>0</v>
          </cell>
          <cell r="AH46">
            <v>-209.78483</v>
          </cell>
          <cell r="AI46">
            <v>338.14511999999996</v>
          </cell>
          <cell r="AJ46">
            <v>-192.77243999999999</v>
          </cell>
          <cell r="AK46">
            <v>-29.599779999999999</v>
          </cell>
          <cell r="AL46">
            <v>-971.04617000000007</v>
          </cell>
          <cell r="AM46">
            <v>341.72589999999991</v>
          </cell>
          <cell r="AN46">
            <v>143.66798999999975</v>
          </cell>
          <cell r="AO46">
            <v>-258.28258</v>
          </cell>
          <cell r="AP46">
            <v>-17.03566</v>
          </cell>
          <cell r="AQ46">
            <v>-340.02322000000004</v>
          </cell>
          <cell r="AR46">
            <v>-58.264080000000007</v>
          </cell>
          <cell r="AT46">
            <v>-244.43753000000001</v>
          </cell>
          <cell r="AU46">
            <v>0</v>
          </cell>
          <cell r="AV46">
            <v>0</v>
          </cell>
          <cell r="AW46">
            <v>0</v>
          </cell>
          <cell r="AX46">
            <v>11.638999999999999</v>
          </cell>
          <cell r="AY46">
            <v>0</v>
          </cell>
          <cell r="AZ46">
            <v>0</v>
          </cell>
          <cell r="BA46">
            <v>0.34734000000000004</v>
          </cell>
          <cell r="BB46">
            <v>-1.26457</v>
          </cell>
          <cell r="BC46">
            <v>-3.7929999999999998E-2</v>
          </cell>
          <cell r="BD46">
            <v>0</v>
          </cell>
          <cell r="BE46">
            <v>93.130630000000011</v>
          </cell>
          <cell r="BF46">
            <v>-142.40168</v>
          </cell>
          <cell r="BG46">
            <v>-6.8737400000000006</v>
          </cell>
          <cell r="BH46">
            <v>17.34075</v>
          </cell>
          <cell r="BI46">
            <v>0.74377999999999989</v>
          </cell>
          <cell r="BJ46">
            <v>0</v>
          </cell>
          <cell r="BK46">
            <v>-944.11340000000007</v>
          </cell>
          <cell r="EA46">
            <v>382.25767999999971</v>
          </cell>
          <cell r="EL46">
            <v>762.26522999999929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-59.65200999999999</v>
          </cell>
          <cell r="ER46">
            <v>0</v>
          </cell>
          <cell r="ES46">
            <v>0</v>
          </cell>
          <cell r="ET46">
            <v>-429.25450999999987</v>
          </cell>
          <cell r="EU46">
            <v>0</v>
          </cell>
          <cell r="EV46">
            <v>0</v>
          </cell>
          <cell r="EW46">
            <v>-13.28167</v>
          </cell>
          <cell r="EX46">
            <v>41.310550000000006</v>
          </cell>
          <cell r="EY46">
            <v>1.5055699999999999</v>
          </cell>
          <cell r="EZ46">
            <v>0</v>
          </cell>
          <cell r="FA46">
            <v>-169.17978999999994</v>
          </cell>
          <cell r="FB46">
            <v>186.61291</v>
          </cell>
          <cell r="FC46">
            <v>-53.960570000000004</v>
          </cell>
          <cell r="FD46">
            <v>-62.038420000000002</v>
          </cell>
          <cell r="FE46">
            <v>0</v>
          </cell>
          <cell r="FF46">
            <v>18.259289999999993</v>
          </cell>
          <cell r="FG46">
            <v>338.14511999999996</v>
          </cell>
          <cell r="FH46">
            <v>-199.46994000000001</v>
          </cell>
          <cell r="FI46">
            <v>-29.599779999999999</v>
          </cell>
          <cell r="FJ46">
            <v>-82.54051000000004</v>
          </cell>
          <cell r="FK46">
            <v>0.7208899999999403</v>
          </cell>
          <cell r="FL46">
            <v>-76.949500000000114</v>
          </cell>
          <cell r="FM46">
            <v>-87.95941000000002</v>
          </cell>
          <cell r="FN46">
            <v>-4.8324399999999983</v>
          </cell>
          <cell r="FO46">
            <v>-119.97966000000002</v>
          </cell>
          <cell r="FP46">
            <v>-18.246770000000005</v>
          </cell>
          <cell r="FR46">
            <v>-77.976440000000053</v>
          </cell>
          <cell r="FS46">
            <v>0</v>
          </cell>
          <cell r="FT46">
            <v>0</v>
          </cell>
          <cell r="FU46">
            <v>0</v>
          </cell>
          <cell r="FV46">
            <v>7.4129999999999994</v>
          </cell>
          <cell r="FW46">
            <v>0</v>
          </cell>
          <cell r="FX46">
            <v>0</v>
          </cell>
          <cell r="FY46">
            <v>0.34734000000000004</v>
          </cell>
          <cell r="FZ46">
            <v>-0.77252999999999994</v>
          </cell>
          <cell r="GA46">
            <v>-3.7929999999999998E-2</v>
          </cell>
          <cell r="GB46">
            <v>0</v>
          </cell>
          <cell r="GC46">
            <v>21.878399999999999</v>
          </cell>
          <cell r="GD46">
            <v>-15.396000000000015</v>
          </cell>
          <cell r="GE46">
            <v>-6.8737400000000006</v>
          </cell>
          <cell r="GF46">
            <v>10.51774</v>
          </cell>
          <cell r="GG46">
            <v>0.74377999999999989</v>
          </cell>
          <cell r="GH46">
            <v>0</v>
          </cell>
          <cell r="GI46">
            <v>-118.28180000000097</v>
          </cell>
        </row>
        <row r="47">
          <cell r="C47">
            <v>4899.8894861386098</v>
          </cell>
          <cell r="N47">
            <v>2182.8917926409849</v>
          </cell>
          <cell r="O47">
            <v>-292.37902474934123</v>
          </cell>
          <cell r="P47">
            <v>0</v>
          </cell>
          <cell r="Q47">
            <v>-39.107546226542397</v>
          </cell>
          <cell r="R47">
            <v>0</v>
          </cell>
          <cell r="S47">
            <v>-166.95312532672699</v>
          </cell>
          <cell r="T47">
            <v>-10.544020156617039</v>
          </cell>
          <cell r="U47">
            <v>0</v>
          </cell>
          <cell r="V47">
            <v>-524.09037060668925</v>
          </cell>
          <cell r="W47">
            <v>0</v>
          </cell>
          <cell r="X47">
            <v>-175.44112047633695</v>
          </cell>
          <cell r="Y47">
            <v>-19.513238075241944</v>
          </cell>
          <cell r="Z47">
            <v>94.546259590694092</v>
          </cell>
          <cell r="AA47">
            <v>0</v>
          </cell>
          <cell r="AB47">
            <v>0</v>
          </cell>
          <cell r="AC47">
            <v>-802.29833174485702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802.29833174485702</v>
          </cell>
          <cell r="AI47">
            <v>19.513238075241944</v>
          </cell>
          <cell r="AJ47">
            <v>0</v>
          </cell>
          <cell r="AK47">
            <v>0</v>
          </cell>
          <cell r="AL47">
            <v>-273.77952791247424</v>
          </cell>
          <cell r="AM47">
            <v>0</v>
          </cell>
          <cell r="AN47">
            <v>0</v>
          </cell>
          <cell r="AO47">
            <v>-137.7102283725475</v>
          </cell>
          <cell r="AP47">
            <v>-10.522052298056325</v>
          </cell>
          <cell r="AQ47">
            <v>-197.97656941944399</v>
          </cell>
          <cell r="AR47">
            <v>-77.262339283078248</v>
          </cell>
          <cell r="AT47">
            <v>-292.41453569924954</v>
          </cell>
          <cell r="AU47">
            <v>0</v>
          </cell>
          <cell r="AV47">
            <v>0</v>
          </cell>
          <cell r="AW47">
            <v>0</v>
          </cell>
          <cell r="AX47">
            <v>82.746922444246692</v>
          </cell>
          <cell r="AY47">
            <v>0</v>
          </cell>
          <cell r="AZ47">
            <v>0</v>
          </cell>
          <cell r="BA47">
            <v>1.5074474555356994</v>
          </cell>
          <cell r="BB47">
            <v>-7.588045543677814</v>
          </cell>
          <cell r="BC47">
            <v>0</v>
          </cell>
          <cell r="BD47">
            <v>0</v>
          </cell>
          <cell r="BE47">
            <v>50.666567715288281</v>
          </cell>
          <cell r="BF47">
            <v>-50.666567715288281</v>
          </cell>
          <cell r="BG47">
            <v>-1.5074474555356994</v>
          </cell>
          <cell r="BH47">
            <v>0</v>
          </cell>
          <cell r="BI47">
            <v>0</v>
          </cell>
          <cell r="BJ47">
            <v>0</v>
          </cell>
          <cell r="BK47">
            <v>154.41646860514442</v>
          </cell>
          <cell r="EA47">
            <v>263.49203329776265</v>
          </cell>
          <cell r="EL47">
            <v>727.63059754699498</v>
          </cell>
          <cell r="EM47">
            <v>-71.387977432085478</v>
          </cell>
          <cell r="EN47">
            <v>0</v>
          </cell>
          <cell r="EO47">
            <v>-13.0358487421808</v>
          </cell>
          <cell r="EP47">
            <v>0</v>
          </cell>
          <cell r="EQ47">
            <v>-55.651041775575663</v>
          </cell>
          <cell r="ER47">
            <v>-3.5146733855390133</v>
          </cell>
          <cell r="ES47">
            <v>0</v>
          </cell>
          <cell r="ET47">
            <v>-57.736043218005136</v>
          </cell>
          <cell r="EU47">
            <v>0</v>
          </cell>
          <cell r="EV47">
            <v>-58.480373492112321</v>
          </cell>
          <cell r="EW47">
            <v>-6.504412691747314</v>
          </cell>
          <cell r="EX47">
            <v>31.515419863564695</v>
          </cell>
          <cell r="EY47">
            <v>0</v>
          </cell>
          <cell r="EZ47">
            <v>0</v>
          </cell>
          <cell r="FA47">
            <v>-267.43277724828567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267.43277724828567</v>
          </cell>
          <cell r="FG47">
            <v>6.504412691747314</v>
          </cell>
          <cell r="FH47">
            <v>0</v>
          </cell>
          <cell r="FI47">
            <v>0</v>
          </cell>
          <cell r="FJ47">
            <v>-91.259842637491403</v>
          </cell>
          <cell r="FK47">
            <v>0</v>
          </cell>
          <cell r="FL47">
            <v>0</v>
          </cell>
          <cell r="FM47">
            <v>-45.903409457515835</v>
          </cell>
          <cell r="FN47">
            <v>-3.5073507660187753</v>
          </cell>
          <cell r="FO47">
            <v>-65.992189806481321</v>
          </cell>
          <cell r="FP47">
            <v>-25.754113094359418</v>
          </cell>
          <cell r="FR47">
            <v>-97.471511899749856</v>
          </cell>
          <cell r="FS47">
            <v>0</v>
          </cell>
          <cell r="FT47">
            <v>0</v>
          </cell>
          <cell r="FU47">
            <v>0</v>
          </cell>
          <cell r="FV47">
            <v>27.582307481415562</v>
          </cell>
          <cell r="FW47">
            <v>0</v>
          </cell>
          <cell r="FX47">
            <v>0</v>
          </cell>
          <cell r="FY47">
            <v>0.50248248517856653</v>
          </cell>
          <cell r="FZ47">
            <v>-2.5293485145592713</v>
          </cell>
          <cell r="GA47">
            <v>0</v>
          </cell>
          <cell r="GB47">
            <v>0</v>
          </cell>
          <cell r="GC47">
            <v>16.888855905096094</v>
          </cell>
          <cell r="GD47">
            <v>-16.888855905096094</v>
          </cell>
          <cell r="GE47">
            <v>-0.50248248517856653</v>
          </cell>
          <cell r="GF47">
            <v>0</v>
          </cell>
          <cell r="GG47">
            <v>0</v>
          </cell>
          <cell r="GH47">
            <v>0</v>
          </cell>
          <cell r="GI47">
            <v>194.50460067030096</v>
          </cell>
        </row>
        <row r="49">
          <cell r="C49">
            <v>2598.5078899999999</v>
          </cell>
          <cell r="N49">
            <v>2100.62842</v>
          </cell>
          <cell r="O49">
            <v>-22.59731</v>
          </cell>
          <cell r="P49">
            <v>0</v>
          </cell>
          <cell r="Q49">
            <v>0</v>
          </cell>
          <cell r="R49">
            <v>0</v>
          </cell>
          <cell r="S49">
            <v>-54.982600000000005</v>
          </cell>
          <cell r="T49">
            <v>-2.3420900000000002</v>
          </cell>
          <cell r="U49">
            <v>0</v>
          </cell>
          <cell r="V49">
            <v>-692.20776999999998</v>
          </cell>
          <cell r="W49">
            <v>0</v>
          </cell>
          <cell r="X49">
            <v>0</v>
          </cell>
          <cell r="Y49">
            <v>-2.9944099999999998</v>
          </cell>
          <cell r="Z49">
            <v>23.391010000000001</v>
          </cell>
          <cell r="AA49">
            <v>8.541E-2</v>
          </cell>
          <cell r="AB49">
            <v>0</v>
          </cell>
          <cell r="AC49">
            <v>-850.10842000000002</v>
          </cell>
          <cell r="AD49">
            <v>68.412360000000007</v>
          </cell>
          <cell r="AE49">
            <v>-16.109299999999998</v>
          </cell>
          <cell r="AF49">
            <v>-95.890109999999993</v>
          </cell>
          <cell r="AG49">
            <v>0</v>
          </cell>
          <cell r="AH49">
            <v>1252.1839299999992</v>
          </cell>
          <cell r="AI49">
            <v>46.940120000000007</v>
          </cell>
          <cell r="AJ49">
            <v>-14.351540000000004</v>
          </cell>
          <cell r="AK49">
            <v>-1.03077</v>
          </cell>
          <cell r="AL49">
            <v>-366.89983999999998</v>
          </cell>
          <cell r="AM49">
            <v>119.12631</v>
          </cell>
          <cell r="AN49">
            <v>-26.663830000000004</v>
          </cell>
          <cell r="AO49">
            <v>-122.81751000000003</v>
          </cell>
          <cell r="AP49">
            <v>-13.14404</v>
          </cell>
          <cell r="AQ49">
            <v>-161.75196</v>
          </cell>
          <cell r="AR49">
            <v>-57.851470000000006</v>
          </cell>
          <cell r="AT49">
            <v>-554.60140000000001</v>
          </cell>
          <cell r="AU49">
            <v>0</v>
          </cell>
          <cell r="AV49">
            <v>0</v>
          </cell>
          <cell r="AW49">
            <v>0</v>
          </cell>
          <cell r="AX49">
            <v>26.768999999999998</v>
          </cell>
          <cell r="AY49">
            <v>0</v>
          </cell>
          <cell r="AZ49">
            <v>0</v>
          </cell>
          <cell r="BA49">
            <v>9.7310000000000008E-2</v>
          </cell>
          <cell r="BB49">
            <v>-0.90457999999999972</v>
          </cell>
          <cell r="BC49">
            <v>-2.6900000000000001E-3</v>
          </cell>
          <cell r="BD49">
            <v>0</v>
          </cell>
          <cell r="BE49">
            <v>107.00375</v>
          </cell>
          <cell r="BF49">
            <v>-99.991999999999862</v>
          </cell>
          <cell r="BG49">
            <v>-7.5752500000000005</v>
          </cell>
          <cell r="BH49">
            <v>-0.78225999999999996</v>
          </cell>
          <cell r="BI49">
            <v>0.21125999999999998</v>
          </cell>
          <cell r="BJ49">
            <v>0</v>
          </cell>
          <cell r="BK49">
            <v>579.24772999999891</v>
          </cell>
          <cell r="EA49">
            <v>579.50724999999989</v>
          </cell>
          <cell r="EL49">
            <v>736.38972000000012</v>
          </cell>
          <cell r="EM49">
            <v>-22.041240000000002</v>
          </cell>
          <cell r="EN49">
            <v>0</v>
          </cell>
          <cell r="EO49">
            <v>0</v>
          </cell>
          <cell r="EP49">
            <v>0</v>
          </cell>
          <cell r="EQ49">
            <v>-21.583970000000001</v>
          </cell>
          <cell r="ER49">
            <v>-2.32918</v>
          </cell>
          <cell r="ES49">
            <v>0</v>
          </cell>
          <cell r="ET49">
            <v>-249.15511999999995</v>
          </cell>
          <cell r="EU49">
            <v>0</v>
          </cell>
          <cell r="EV49">
            <v>0</v>
          </cell>
          <cell r="EW49">
            <v>-2.9944099999999998</v>
          </cell>
          <cell r="EX49">
            <v>9.8312000000000026</v>
          </cell>
          <cell r="EY49">
            <v>8.541E-2</v>
          </cell>
          <cell r="EZ49">
            <v>0</v>
          </cell>
          <cell r="FA49">
            <v>-362.44766000000004</v>
          </cell>
          <cell r="FB49">
            <v>26.287210000000002</v>
          </cell>
          <cell r="FC49">
            <v>-5.7631499999999978</v>
          </cell>
          <cell r="FD49">
            <v>-41.563679999999991</v>
          </cell>
          <cell r="FE49">
            <v>0</v>
          </cell>
          <cell r="FF49">
            <v>497.01965999999993</v>
          </cell>
          <cell r="FG49">
            <v>46.940120000000007</v>
          </cell>
          <cell r="FH49">
            <v>3.1463900000000002</v>
          </cell>
          <cell r="FI49">
            <v>-1.03077</v>
          </cell>
          <cell r="FJ49">
            <v>-84.081759999999974</v>
          </cell>
          <cell r="FK49">
            <v>-2.5787200000000041</v>
          </cell>
          <cell r="FL49">
            <v>-13.866940000000005</v>
          </cell>
          <cell r="FM49">
            <v>-40.033970000000011</v>
          </cell>
          <cell r="FN49">
            <v>-7.7807200000000005</v>
          </cell>
          <cell r="FO49">
            <v>-53.473809999999986</v>
          </cell>
          <cell r="FP49">
            <v>-21.826400000000007</v>
          </cell>
          <cell r="FR49">
            <v>-188.75567000000001</v>
          </cell>
          <cell r="FS49">
            <v>0</v>
          </cell>
          <cell r="FT49">
            <v>0</v>
          </cell>
          <cell r="FU49">
            <v>0</v>
          </cell>
          <cell r="FV49">
            <v>3.3939999999999984</v>
          </cell>
          <cell r="FW49">
            <v>0</v>
          </cell>
          <cell r="FX49">
            <v>0</v>
          </cell>
          <cell r="FY49">
            <v>9.7310000000000008E-2</v>
          </cell>
          <cell r="FZ49">
            <v>0.30085000000000006</v>
          </cell>
          <cell r="GA49">
            <v>-2.6900000000000001E-3</v>
          </cell>
          <cell r="GB49">
            <v>0</v>
          </cell>
          <cell r="GC49">
            <v>103.1972</v>
          </cell>
          <cell r="GD49">
            <v>-87.595999999999961</v>
          </cell>
          <cell r="GE49">
            <v>-7.5752500000000005</v>
          </cell>
          <cell r="GF49">
            <v>-2.0203500000000001</v>
          </cell>
          <cell r="GG49">
            <v>0.21125999999999998</v>
          </cell>
          <cell r="GH49">
            <v>0</v>
          </cell>
          <cell r="GI49">
            <v>208.39887000000016</v>
          </cell>
        </row>
        <row r="50">
          <cell r="C50">
            <v>2964.7075399999999</v>
          </cell>
          <cell r="N50">
            <v>2387.0117999999998</v>
          </cell>
          <cell r="O50">
            <v>-6.1440000000000055</v>
          </cell>
          <cell r="P50">
            <v>0</v>
          </cell>
          <cell r="Q50">
            <v>0</v>
          </cell>
          <cell r="R50">
            <v>0</v>
          </cell>
          <cell r="S50">
            <v>-65.083299999999994</v>
          </cell>
          <cell r="T50">
            <v>-2.5090699999999941</v>
          </cell>
          <cell r="U50">
            <v>0</v>
          </cell>
          <cell r="V50">
            <v>-775.01487999999995</v>
          </cell>
          <cell r="W50">
            <v>0</v>
          </cell>
          <cell r="X50">
            <v>0</v>
          </cell>
          <cell r="Y50">
            <v>-9.3924099999999999</v>
          </cell>
          <cell r="Z50">
            <v>24.927399999999999</v>
          </cell>
          <cell r="AA50">
            <v>0.27257999999999999</v>
          </cell>
          <cell r="AB50">
            <v>0</v>
          </cell>
          <cell r="AC50">
            <v>-632.04925000000014</v>
          </cell>
          <cell r="AD50">
            <v>73.033539999999988</v>
          </cell>
          <cell r="AE50">
            <v>-18.663220000000003</v>
          </cell>
          <cell r="AF50">
            <v>-75.051670000000001</v>
          </cell>
          <cell r="AG50">
            <v>0</v>
          </cell>
          <cell r="AH50">
            <v>173.19624999999996</v>
          </cell>
          <cell r="AI50">
            <v>10.234309999999999</v>
          </cell>
          <cell r="AJ50">
            <v>-4.033240000000001</v>
          </cell>
          <cell r="AK50">
            <v>-7.4149999999999952E-2</v>
          </cell>
          <cell r="AL50">
            <v>-424.96668999999997</v>
          </cell>
          <cell r="AM50">
            <v>113.27531999999997</v>
          </cell>
          <cell r="AN50">
            <v>-28.786040000000014</v>
          </cell>
          <cell r="AO50">
            <v>-148.99414999999999</v>
          </cell>
          <cell r="AP50">
            <v>-13.017980000000001</v>
          </cell>
          <cell r="AQ50">
            <v>-181.39854</v>
          </cell>
          <cell r="AR50">
            <v>-67.080740000000006</v>
          </cell>
          <cell r="AT50">
            <v>-808.58667999999989</v>
          </cell>
          <cell r="AU50">
            <v>0</v>
          </cell>
          <cell r="AV50">
            <v>0</v>
          </cell>
          <cell r="AW50">
            <v>0</v>
          </cell>
          <cell r="AX50">
            <v>28</v>
          </cell>
          <cell r="AY50">
            <v>0</v>
          </cell>
          <cell r="AZ50">
            <v>0</v>
          </cell>
          <cell r="BA50">
            <v>0.41990000000000005</v>
          </cell>
          <cell r="BB50">
            <v>-0.90058000000000005</v>
          </cell>
          <cell r="BC50">
            <v>-1.107E-2</v>
          </cell>
          <cell r="BD50">
            <v>0</v>
          </cell>
          <cell r="BE50">
            <v>82.335550000000012</v>
          </cell>
          <cell r="BF50">
            <v>-57.152000000000001</v>
          </cell>
          <cell r="BG50">
            <v>-1.1190100000000001</v>
          </cell>
          <cell r="BH50">
            <v>-3.1566100000000001</v>
          </cell>
          <cell r="BI50">
            <v>-3.2239999999999991E-2</v>
          </cell>
          <cell r="BJ50">
            <v>0</v>
          </cell>
          <cell r="BK50">
            <v>-430.51087000000041</v>
          </cell>
          <cell r="EA50">
            <v>-23.622310000000198</v>
          </cell>
          <cell r="EL50">
            <v>228.28042000000005</v>
          </cell>
          <cell r="EM50">
            <v>99.381100000000004</v>
          </cell>
          <cell r="EN50">
            <v>0</v>
          </cell>
          <cell r="EO50">
            <v>0</v>
          </cell>
          <cell r="EP50">
            <v>-0.82132000000000005</v>
          </cell>
          <cell r="EQ50">
            <v>-24.277159999999995</v>
          </cell>
          <cell r="ER50">
            <v>17.798080000000002</v>
          </cell>
          <cell r="ES50">
            <v>0</v>
          </cell>
          <cell r="ET50">
            <v>-375.24005999999991</v>
          </cell>
          <cell r="EU50">
            <v>0</v>
          </cell>
          <cell r="EV50">
            <v>0</v>
          </cell>
          <cell r="EW50">
            <v>-9.3924099999999999</v>
          </cell>
          <cell r="EX50">
            <v>12.303949999999999</v>
          </cell>
          <cell r="EY50">
            <v>0.27257999999999999</v>
          </cell>
          <cell r="EZ50">
            <v>0</v>
          </cell>
          <cell r="FA50">
            <v>178.3923299999999</v>
          </cell>
          <cell r="FB50">
            <v>51.618379999999988</v>
          </cell>
          <cell r="FC50">
            <v>-6.4770200000000013</v>
          </cell>
          <cell r="FD50">
            <v>-22.194330000000001</v>
          </cell>
          <cell r="FE50">
            <v>0</v>
          </cell>
          <cell r="FF50">
            <v>-71.497930000000025</v>
          </cell>
          <cell r="FG50">
            <v>10.234309999999999</v>
          </cell>
          <cell r="FH50">
            <v>10.053299999999997</v>
          </cell>
          <cell r="FI50">
            <v>-7.4149999999999952E-2</v>
          </cell>
          <cell r="FJ50">
            <v>54.098309999999969</v>
          </cell>
          <cell r="FK50">
            <v>-72.885840000000002</v>
          </cell>
          <cell r="FL50">
            <v>50.772969999999987</v>
          </cell>
          <cell r="FM50">
            <v>-53.20205</v>
          </cell>
          <cell r="FN50">
            <v>-5.6590800000000012</v>
          </cell>
          <cell r="FO50">
            <v>-62.822469999999996</v>
          </cell>
          <cell r="FP50">
            <v>-22.519980000000004</v>
          </cell>
          <cell r="FR50">
            <v>-394.96317999999997</v>
          </cell>
          <cell r="FS50">
            <v>0</v>
          </cell>
          <cell r="FT50">
            <v>0</v>
          </cell>
          <cell r="FU50">
            <v>0</v>
          </cell>
          <cell r="FV50">
            <v>3.75</v>
          </cell>
          <cell r="FW50">
            <v>0</v>
          </cell>
          <cell r="FX50">
            <v>0</v>
          </cell>
          <cell r="FY50">
            <v>0.41990000000000005</v>
          </cell>
          <cell r="FZ50">
            <v>-0.13485000000000003</v>
          </cell>
          <cell r="GA50">
            <v>-1.107E-2</v>
          </cell>
          <cell r="GB50">
            <v>0</v>
          </cell>
          <cell r="GC50">
            <v>22.020540000000011</v>
          </cell>
          <cell r="GD50">
            <v>-13.89</v>
          </cell>
          <cell r="GE50">
            <v>-1.1190100000000001</v>
          </cell>
          <cell r="GF50">
            <v>-4.5193900000000005</v>
          </cell>
          <cell r="GG50">
            <v>-3.2239999999999991E-2</v>
          </cell>
          <cell r="GH50">
            <v>0</v>
          </cell>
          <cell r="GI50">
            <v>-402.33736999999996</v>
          </cell>
        </row>
        <row r="51">
          <cell r="C51">
            <v>2387.2297670028233</v>
          </cell>
          <cell r="N51">
            <v>2098.3124239665394</v>
          </cell>
          <cell r="O51">
            <v>-70.589609747978116</v>
          </cell>
          <cell r="P51">
            <v>0</v>
          </cell>
          <cell r="Q51">
            <v>0</v>
          </cell>
          <cell r="R51">
            <v>0</v>
          </cell>
          <cell r="S51">
            <v>-71.780437876450549</v>
          </cell>
          <cell r="T51">
            <v>-53.523947379385703</v>
          </cell>
          <cell r="U51">
            <v>0</v>
          </cell>
          <cell r="V51">
            <v>-543.38267921940565</v>
          </cell>
          <cell r="W51">
            <v>0</v>
          </cell>
          <cell r="X51">
            <v>0</v>
          </cell>
          <cell r="Y51">
            <v>-10.141883757474247</v>
          </cell>
          <cell r="Z51">
            <v>6.9257919139923754</v>
          </cell>
          <cell r="AA51">
            <v>0</v>
          </cell>
          <cell r="AB51">
            <v>0</v>
          </cell>
          <cell r="AC51">
            <v>-623.60153757039268</v>
          </cell>
          <cell r="AD51">
            <v>0</v>
          </cell>
          <cell r="AE51">
            <v>0</v>
          </cell>
          <cell r="AF51">
            <v>-107.04789475877141</v>
          </cell>
          <cell r="AG51">
            <v>0</v>
          </cell>
          <cell r="AH51">
            <v>730.64943232916414</v>
          </cell>
          <cell r="AI51">
            <v>10.141883757474247</v>
          </cell>
          <cell r="AJ51">
            <v>0</v>
          </cell>
          <cell r="AK51">
            <v>0</v>
          </cell>
          <cell r="AL51">
            <v>-298.5115318491392</v>
          </cell>
          <cell r="AM51">
            <v>0</v>
          </cell>
          <cell r="AN51">
            <v>0</v>
          </cell>
          <cell r="AO51">
            <v>-122.48016823824952</v>
          </cell>
          <cell r="AP51">
            <v>-8.0738326402866747</v>
          </cell>
          <cell r="AQ51">
            <v>-159.3644179883245</v>
          </cell>
          <cell r="AR51">
            <v>-80.646954914295492</v>
          </cell>
          <cell r="AT51">
            <v>-523.31868495267054</v>
          </cell>
          <cell r="AU51">
            <v>6.0722971684327849</v>
          </cell>
          <cell r="AV51">
            <v>0</v>
          </cell>
          <cell r="AW51">
            <v>0</v>
          </cell>
          <cell r="AX51">
            <v>118.08029852971413</v>
          </cell>
          <cell r="AY51">
            <v>0</v>
          </cell>
          <cell r="AZ51">
            <v>0</v>
          </cell>
          <cell r="BA51">
            <v>1.7725679089070061</v>
          </cell>
          <cell r="BB51">
            <v>-1.2575534074116295</v>
          </cell>
          <cell r="BC51">
            <v>0</v>
          </cell>
          <cell r="BD51">
            <v>0</v>
          </cell>
          <cell r="BE51">
            <v>230.50322097825881</v>
          </cell>
          <cell r="BF51">
            <v>-230.50322097825881</v>
          </cell>
          <cell r="BG51">
            <v>-1.7725679089070061</v>
          </cell>
          <cell r="BH51">
            <v>0</v>
          </cell>
          <cell r="BI51">
            <v>0</v>
          </cell>
          <cell r="BJ51">
            <v>0</v>
          </cell>
          <cell r="BK51">
            <v>296.46099336508144</v>
          </cell>
          <cell r="EA51">
            <v>650.9950397380494</v>
          </cell>
          <cell r="EL51">
            <v>699.43747465551314</v>
          </cell>
          <cell r="EM51">
            <v>-23.529869915992705</v>
          </cell>
          <cell r="EN51">
            <v>0</v>
          </cell>
          <cell r="EO51">
            <v>0</v>
          </cell>
          <cell r="EP51">
            <v>0</v>
          </cell>
          <cell r="EQ51">
            <v>-23.926812625483514</v>
          </cell>
          <cell r="ER51">
            <v>-17.841315793128565</v>
          </cell>
          <cell r="ES51">
            <v>0</v>
          </cell>
          <cell r="ET51">
            <v>-181.12755973980188</v>
          </cell>
          <cell r="EU51">
            <v>0</v>
          </cell>
          <cell r="EV51">
            <v>0</v>
          </cell>
          <cell r="EW51">
            <v>-3.3806279191580826</v>
          </cell>
          <cell r="EX51">
            <v>2.3085973046641248</v>
          </cell>
          <cell r="EY51">
            <v>0</v>
          </cell>
          <cell r="EZ51">
            <v>0</v>
          </cell>
          <cell r="FA51">
            <v>-207.86717919013091</v>
          </cell>
          <cell r="FB51">
            <v>0</v>
          </cell>
          <cell r="FC51">
            <v>0</v>
          </cell>
          <cell r="FD51">
            <v>-35.682631586257131</v>
          </cell>
          <cell r="FE51">
            <v>0</v>
          </cell>
          <cell r="FF51">
            <v>243.54981077638803</v>
          </cell>
          <cell r="FG51">
            <v>3.3806279191580826</v>
          </cell>
          <cell r="FH51">
            <v>0</v>
          </cell>
          <cell r="FI51">
            <v>0</v>
          </cell>
          <cell r="FJ51">
            <v>-99.503843949713058</v>
          </cell>
          <cell r="FK51">
            <v>0</v>
          </cell>
          <cell r="FL51">
            <v>0</v>
          </cell>
          <cell r="FM51">
            <v>-40.826722746083178</v>
          </cell>
          <cell r="FN51">
            <v>-2.6912775467622252</v>
          </cell>
          <cell r="FO51">
            <v>-53.121472662774835</v>
          </cell>
          <cell r="FP51">
            <v>-26.882318304765164</v>
          </cell>
          <cell r="FR51">
            <v>-174.4395616508902</v>
          </cell>
          <cell r="FS51">
            <v>2.0240990561442613</v>
          </cell>
          <cell r="FT51">
            <v>0</v>
          </cell>
          <cell r="FU51">
            <v>0</v>
          </cell>
          <cell r="FV51">
            <v>39.360099509904714</v>
          </cell>
          <cell r="FW51">
            <v>0</v>
          </cell>
          <cell r="FX51">
            <v>0</v>
          </cell>
          <cell r="FY51">
            <v>0.59085596963566878</v>
          </cell>
          <cell r="FZ51">
            <v>-0.41918446913720986</v>
          </cell>
          <cell r="GA51">
            <v>0</v>
          </cell>
          <cell r="GB51">
            <v>0</v>
          </cell>
          <cell r="GC51">
            <v>76.834406992752946</v>
          </cell>
          <cell r="GD51">
            <v>-76.834406992752946</v>
          </cell>
          <cell r="GE51">
            <v>-0.59085596963566878</v>
          </cell>
          <cell r="GF51">
            <v>0</v>
          </cell>
          <cell r="GG51">
            <v>0</v>
          </cell>
          <cell r="GH51">
            <v>0</v>
          </cell>
          <cell r="GI51">
            <v>98.820331121693727</v>
          </cell>
        </row>
        <row r="53">
          <cell r="C53">
            <v>4752.2073000000073</v>
          </cell>
          <cell r="N53">
            <v>3112.1795000000075</v>
          </cell>
          <cell r="O53">
            <v>-22.556699999999999</v>
          </cell>
          <cell r="P53">
            <v>0</v>
          </cell>
          <cell r="Q53">
            <v>0</v>
          </cell>
          <cell r="R53">
            <v>0</v>
          </cell>
          <cell r="S53">
            <v>-13.19054</v>
          </cell>
          <cell r="T53">
            <v>0</v>
          </cell>
          <cell r="U53">
            <v>0</v>
          </cell>
          <cell r="V53">
            <v>-504.3528</v>
          </cell>
          <cell r="W53">
            <v>0</v>
          </cell>
          <cell r="X53">
            <v>0</v>
          </cell>
          <cell r="Y53">
            <v>-7.9900900000000004</v>
          </cell>
          <cell r="Z53">
            <v>28.171300000000002</v>
          </cell>
          <cell r="AA53">
            <v>0.38077999999999995</v>
          </cell>
          <cell r="AB53">
            <v>0</v>
          </cell>
          <cell r="AC53">
            <v>-231.32319999999999</v>
          </cell>
          <cell r="AD53">
            <v>23.927160000000001</v>
          </cell>
          <cell r="AE53">
            <v>-4.15055</v>
          </cell>
          <cell r="AF53">
            <v>-10.070170000000001</v>
          </cell>
          <cell r="AG53">
            <v>0</v>
          </cell>
          <cell r="AH53">
            <v>99.711700000000349</v>
          </cell>
          <cell r="AI53">
            <v>1679.0821999999998</v>
          </cell>
          <cell r="AJ53">
            <v>57.061270000000007</v>
          </cell>
          <cell r="AK53">
            <v>-130.76516999999998</v>
          </cell>
          <cell r="AL53">
            <v>-597.90690999999936</v>
          </cell>
          <cell r="AM53">
            <v>0.95327999999999946</v>
          </cell>
          <cell r="AN53">
            <v>221.78507999999999</v>
          </cell>
          <cell r="AO53">
            <v>-54.947800000000008</v>
          </cell>
          <cell r="AP53">
            <v>-15.498530000000002</v>
          </cell>
          <cell r="AQ53">
            <v>-88.545370000000005</v>
          </cell>
          <cell r="AR53">
            <v>-61.234679999999997</v>
          </cell>
          <cell r="AT53">
            <v>-150.71274000000003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6.0344699999999998</v>
          </cell>
          <cell r="BF53">
            <v>-7.9790000000000001</v>
          </cell>
          <cell r="BG53">
            <v>-2.7515400000000003</v>
          </cell>
          <cell r="BH53">
            <v>0.18528999999999998</v>
          </cell>
          <cell r="BI53">
            <v>0.14702999999999999</v>
          </cell>
          <cell r="BJ53">
            <v>0</v>
          </cell>
          <cell r="BK53">
            <v>3325.6432700000096</v>
          </cell>
          <cell r="EA53">
            <v>285.30605000000014</v>
          </cell>
          <cell r="EL53">
            <v>1172.3254300000003</v>
          </cell>
          <cell r="EM53">
            <v>-9.962609999999998</v>
          </cell>
          <cell r="EN53">
            <v>0</v>
          </cell>
          <cell r="EO53">
            <v>0</v>
          </cell>
          <cell r="EP53">
            <v>0</v>
          </cell>
          <cell r="EQ53">
            <v>-7.0733700000000006</v>
          </cell>
          <cell r="ER53">
            <v>0</v>
          </cell>
          <cell r="ES53">
            <v>0</v>
          </cell>
          <cell r="ET53">
            <v>-169.11295000000001</v>
          </cell>
          <cell r="EU53">
            <v>0</v>
          </cell>
          <cell r="EV53">
            <v>0</v>
          </cell>
          <cell r="EW53">
            <v>-7.9900900000000004</v>
          </cell>
          <cell r="EX53">
            <v>9.7991100000000024</v>
          </cell>
          <cell r="EY53">
            <v>0.38077999999999995</v>
          </cell>
          <cell r="EZ53">
            <v>0</v>
          </cell>
          <cell r="FA53">
            <v>-87.114469999999983</v>
          </cell>
          <cell r="FB53">
            <v>3.5442400000000021</v>
          </cell>
          <cell r="FC53">
            <v>-1.5403600000000002</v>
          </cell>
          <cell r="FD53">
            <v>-1.2023299999999999</v>
          </cell>
          <cell r="FE53">
            <v>0</v>
          </cell>
          <cell r="FF53">
            <v>9.6434900000007104</v>
          </cell>
          <cell r="FG53">
            <v>1679.0821999999998</v>
          </cell>
          <cell r="FH53">
            <v>48.481660000000012</v>
          </cell>
          <cell r="FI53">
            <v>-130.76516999999998</v>
          </cell>
          <cell r="FJ53">
            <v>-33.450670000000059</v>
          </cell>
          <cell r="FK53">
            <v>-0.4602400000000002</v>
          </cell>
          <cell r="FL53">
            <v>-107.17273999999998</v>
          </cell>
          <cell r="FM53">
            <v>-18.935470000000002</v>
          </cell>
          <cell r="FN53">
            <v>-8.9430400000000034</v>
          </cell>
          <cell r="FO53">
            <v>-27.916989999999998</v>
          </cell>
          <cell r="FP53">
            <v>-21.168639999999996</v>
          </cell>
          <cell r="FR53">
            <v>-27.663950000000014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7.9792399999999999</v>
          </cell>
          <cell r="GD53">
            <v>-7.9790000000000001</v>
          </cell>
          <cell r="GE53">
            <v>-2.7515400000000003</v>
          </cell>
          <cell r="GF53">
            <v>0.26772000000000001</v>
          </cell>
          <cell r="GG53">
            <v>0.14702999999999999</v>
          </cell>
          <cell r="GH53">
            <v>0</v>
          </cell>
          <cell r="GI53">
            <v>2260.4472700000006</v>
          </cell>
        </row>
        <row r="54">
          <cell r="C54">
            <v>2508.1306899999986</v>
          </cell>
          <cell r="N54">
            <v>1347.1783799999994</v>
          </cell>
          <cell r="O54">
            <v>-25.851449999999996</v>
          </cell>
          <cell r="P54">
            <v>0</v>
          </cell>
          <cell r="Q54">
            <v>0</v>
          </cell>
          <cell r="R54">
            <v>0</v>
          </cell>
          <cell r="S54">
            <v>-3.18628</v>
          </cell>
          <cell r="T54">
            <v>0</v>
          </cell>
          <cell r="U54">
            <v>0</v>
          </cell>
          <cell r="V54">
            <v>-349.81819000000002</v>
          </cell>
          <cell r="W54">
            <v>0</v>
          </cell>
          <cell r="X54">
            <v>0</v>
          </cell>
          <cell r="Y54">
            <v>-98.143169999999998</v>
          </cell>
          <cell r="Z54">
            <v>18.733640000000001</v>
          </cell>
          <cell r="AA54">
            <v>10.47217</v>
          </cell>
          <cell r="AB54">
            <v>0</v>
          </cell>
          <cell r="AC54">
            <v>-247.58957000000004</v>
          </cell>
          <cell r="AD54">
            <v>38.757170000000002</v>
          </cell>
          <cell r="AE54">
            <v>-1.25108</v>
          </cell>
          <cell r="AF54">
            <v>-1.1599999999999999E-2</v>
          </cell>
          <cell r="AG54">
            <v>0</v>
          </cell>
          <cell r="AH54">
            <v>333.70417999999847</v>
          </cell>
          <cell r="AI54">
            <v>573.00019999999995</v>
          </cell>
          <cell r="AJ54">
            <v>-13.733260000000001</v>
          </cell>
          <cell r="AK54">
            <v>-62.371949999999991</v>
          </cell>
          <cell r="AL54">
            <v>-302.0775000000001</v>
          </cell>
          <cell r="AM54">
            <v>1.4425099999999997</v>
          </cell>
          <cell r="AN54">
            <v>166.51171999999997</v>
          </cell>
          <cell r="AO54">
            <v>-24.066320000000001</v>
          </cell>
          <cell r="AP54">
            <v>-6.2284099999999993</v>
          </cell>
          <cell r="AQ54">
            <v>-49.775449999999999</v>
          </cell>
          <cell r="AR54">
            <v>-30.848589999999998</v>
          </cell>
          <cell r="AT54">
            <v>-102.46396000000003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1.2879400000000001</v>
          </cell>
          <cell r="BF54">
            <v>8.2513099999999984</v>
          </cell>
          <cell r="BG54">
            <v>0.45732000000000006</v>
          </cell>
          <cell r="BH54">
            <v>-0.50600999999999996</v>
          </cell>
          <cell r="BI54">
            <v>-3.4449999999999995E-2</v>
          </cell>
          <cell r="BJ54">
            <v>0</v>
          </cell>
          <cell r="BK54">
            <v>1181.839299999998</v>
          </cell>
          <cell r="EA54">
            <v>198.63173999999981</v>
          </cell>
          <cell r="EL54">
            <v>504.03578000000016</v>
          </cell>
          <cell r="EM54">
            <v>-10.724850000000002</v>
          </cell>
          <cell r="EN54">
            <v>0</v>
          </cell>
          <cell r="EO54">
            <v>0</v>
          </cell>
          <cell r="EP54">
            <v>0</v>
          </cell>
          <cell r="EQ54">
            <v>-1.044</v>
          </cell>
          <cell r="ER54">
            <v>0</v>
          </cell>
          <cell r="ES54">
            <v>0</v>
          </cell>
          <cell r="ET54">
            <v>-106.03465</v>
          </cell>
          <cell r="EU54">
            <v>0</v>
          </cell>
          <cell r="EV54">
            <v>0</v>
          </cell>
          <cell r="EW54">
            <v>-98.143169999999998</v>
          </cell>
          <cell r="EX54">
            <v>5.5062700000000007</v>
          </cell>
          <cell r="EY54">
            <v>10.47217</v>
          </cell>
          <cell r="EZ54">
            <v>0</v>
          </cell>
          <cell r="FA54">
            <v>-40.169420000000002</v>
          </cell>
          <cell r="FB54">
            <v>20.356310000000001</v>
          </cell>
          <cell r="FC54">
            <v>-0.40642999999999996</v>
          </cell>
          <cell r="FD54">
            <v>-1.1599999999999999E-2</v>
          </cell>
          <cell r="FE54">
            <v>0</v>
          </cell>
          <cell r="FF54">
            <v>31.645889999998928</v>
          </cell>
          <cell r="FG54">
            <v>573.00019999999995</v>
          </cell>
          <cell r="FH54">
            <v>0.50670000000000037</v>
          </cell>
          <cell r="FI54">
            <v>-62.371949999999991</v>
          </cell>
          <cell r="FJ54">
            <v>-26.773469999999975</v>
          </cell>
          <cell r="FK54">
            <v>-0.51674000000000042</v>
          </cell>
          <cell r="FL54">
            <v>-38.059030000000007</v>
          </cell>
          <cell r="FM54">
            <v>-10.22447</v>
          </cell>
          <cell r="FN54">
            <v>-1.7826399999999998</v>
          </cell>
          <cell r="FO54">
            <v>-17.52093</v>
          </cell>
          <cell r="FP54">
            <v>-7.8691700000000004</v>
          </cell>
          <cell r="FR54">
            <v>4.8286800000000056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1.2879400000000001</v>
          </cell>
          <cell r="GD54">
            <v>8.2513099999999984</v>
          </cell>
          <cell r="GE54">
            <v>0.45732000000000006</v>
          </cell>
          <cell r="GF54">
            <v>-0.49388999999999994</v>
          </cell>
          <cell r="GG54">
            <v>-3.4449999999999995E-2</v>
          </cell>
          <cell r="GH54">
            <v>0</v>
          </cell>
          <cell r="GI54">
            <v>738.16770999999915</v>
          </cell>
        </row>
        <row r="55">
          <cell r="C55">
            <v>3822.0304784264104</v>
          </cell>
          <cell r="N55">
            <v>2783.363593018868</v>
          </cell>
          <cell r="O55">
            <v>-207.03857685333503</v>
          </cell>
          <cell r="P55">
            <v>0</v>
          </cell>
          <cell r="Q55">
            <v>0</v>
          </cell>
          <cell r="R55">
            <v>0</v>
          </cell>
          <cell r="S55">
            <v>-17.8621283269438</v>
          </cell>
          <cell r="T55">
            <v>0</v>
          </cell>
          <cell r="U55">
            <v>0</v>
          </cell>
          <cell r="V55">
            <v>-230.64064520636884</v>
          </cell>
          <cell r="W55">
            <v>0</v>
          </cell>
          <cell r="X55">
            <v>0</v>
          </cell>
          <cell r="Y55">
            <v>-8.0240580666505359</v>
          </cell>
          <cell r="Z55">
            <v>14.002142426204696</v>
          </cell>
          <cell r="AA55">
            <v>0</v>
          </cell>
          <cell r="AB55">
            <v>0</v>
          </cell>
          <cell r="AC55">
            <v>-359.14139116104661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359.14139116104661</v>
          </cell>
          <cell r="AI55">
            <v>8.0240580666505359</v>
          </cell>
          <cell r="AJ55">
            <v>0</v>
          </cell>
          <cell r="AK55">
            <v>0</v>
          </cell>
          <cell r="AL55">
            <v>-335.48660348850672</v>
          </cell>
          <cell r="AM55">
            <v>0</v>
          </cell>
          <cell r="AN55">
            <v>0</v>
          </cell>
          <cell r="AO55">
            <v>-55.144697255194259</v>
          </cell>
          <cell r="AP55">
            <v>-7.8861803876647247</v>
          </cell>
          <cell r="AQ55">
            <v>-91.189575225010003</v>
          </cell>
          <cell r="AR55">
            <v>-81.706033857099001</v>
          </cell>
          <cell r="AT55">
            <v>-131.23229868123849</v>
          </cell>
          <cell r="AU55">
            <v>2.8349549733767487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5.0027900562436223E-2</v>
          </cell>
          <cell r="BB55">
            <v>-9.0691999909404783E-2</v>
          </cell>
          <cell r="BC55">
            <v>0</v>
          </cell>
          <cell r="BD55">
            <v>0</v>
          </cell>
          <cell r="BE55">
            <v>20.736762290992729</v>
          </cell>
          <cell r="BF55">
            <v>-20.736762290992729</v>
          </cell>
          <cell r="BG55">
            <v>-5.0027900562436223E-2</v>
          </cell>
          <cell r="BH55">
            <v>0</v>
          </cell>
          <cell r="BI55">
            <v>0</v>
          </cell>
          <cell r="BJ55">
            <v>0</v>
          </cell>
          <cell r="BK55">
            <v>1641.9232591371783</v>
          </cell>
          <cell r="EA55">
            <v>402.84133854646143</v>
          </cell>
          <cell r="EL55">
            <v>927.78786433962273</v>
          </cell>
          <cell r="EM55">
            <v>-69.012858951111667</v>
          </cell>
          <cell r="EN55">
            <v>0</v>
          </cell>
          <cell r="EO55">
            <v>0</v>
          </cell>
          <cell r="EP55">
            <v>0</v>
          </cell>
          <cell r="EQ55">
            <v>-5.9540427756479328</v>
          </cell>
          <cell r="ER55">
            <v>0</v>
          </cell>
          <cell r="ES55">
            <v>0</v>
          </cell>
          <cell r="ET55">
            <v>-76.880215068789624</v>
          </cell>
          <cell r="EU55">
            <v>0</v>
          </cell>
          <cell r="EV55">
            <v>0</v>
          </cell>
          <cell r="EW55">
            <v>-2.6746860222168456</v>
          </cell>
          <cell r="EX55">
            <v>4.6673808087348991</v>
          </cell>
          <cell r="EY55">
            <v>0</v>
          </cell>
          <cell r="EZ55">
            <v>0</v>
          </cell>
          <cell r="FA55">
            <v>-119.71379705368221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119.71379705368221</v>
          </cell>
          <cell r="FG55">
            <v>2.6746860222168456</v>
          </cell>
          <cell r="FH55">
            <v>0</v>
          </cell>
          <cell r="FI55">
            <v>0</v>
          </cell>
          <cell r="FJ55">
            <v>-111.82886782950223</v>
          </cell>
          <cell r="FK55">
            <v>0</v>
          </cell>
          <cell r="FL55">
            <v>0</v>
          </cell>
          <cell r="FM55">
            <v>-18.381565751731422</v>
          </cell>
          <cell r="FN55">
            <v>-2.6287267958882419</v>
          </cell>
          <cell r="FO55">
            <v>-30.396525075003332</v>
          </cell>
          <cell r="FP55">
            <v>-27.235344619033</v>
          </cell>
          <cell r="FR55">
            <v>-43.744099560412835</v>
          </cell>
          <cell r="FS55">
            <v>0.94498499112558298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1.6675966854145408E-2</v>
          </cell>
          <cell r="FZ55">
            <v>-3.0230666636468263E-2</v>
          </cell>
          <cell r="GA55">
            <v>0</v>
          </cell>
          <cell r="GB55">
            <v>0</v>
          </cell>
          <cell r="GC55">
            <v>6.912254096997577</v>
          </cell>
          <cell r="GD55">
            <v>-6.912254096997577</v>
          </cell>
          <cell r="GE55">
            <v>-1.6675966854145408E-2</v>
          </cell>
          <cell r="GF55">
            <v>0</v>
          </cell>
          <cell r="GG55">
            <v>0</v>
          </cell>
          <cell r="GH55">
            <v>0</v>
          </cell>
          <cell r="GI55">
            <v>547.3077530457266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14.245850000000026</v>
          </cell>
          <cell r="AR61">
            <v>-14.930250000000001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-0.68439999999997525</v>
          </cell>
          <cell r="EA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-16.508789999999987</v>
          </cell>
          <cell r="FP61">
            <v>-14.606070000000001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-31.114859999999986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-67.719820000000055</v>
          </cell>
          <cell r="AR62">
            <v>53.175139999999992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-14.544680000000064</v>
          </cell>
          <cell r="EA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60.500530000000026</v>
          </cell>
          <cell r="FP62">
            <v>17.68141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78.181940000000026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EA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</row>
        <row r="65">
          <cell r="C65">
            <v>48504.736440000015</v>
          </cell>
          <cell r="N65">
            <v>26890.925740000013</v>
          </cell>
          <cell r="O65">
            <v>-546.07567999999992</v>
          </cell>
          <cell r="P65">
            <v>-6.7117300000000002</v>
          </cell>
          <cell r="Q65">
            <v>0</v>
          </cell>
          <cell r="R65">
            <v>24.885670000000001</v>
          </cell>
          <cell r="S65">
            <v>-971.42909000000009</v>
          </cell>
          <cell r="T65">
            <v>-125.57744</v>
          </cell>
          <cell r="U65">
            <v>0</v>
          </cell>
          <cell r="V65">
            <v>-6663.6156516865376</v>
          </cell>
          <cell r="W65">
            <v>-61.84525</v>
          </cell>
          <cell r="X65">
            <v>-2578.9683183134621</v>
          </cell>
          <cell r="Y65">
            <v>-90.006429999999995</v>
          </cell>
          <cell r="Z65">
            <v>709.66666000000009</v>
          </cell>
          <cell r="AA65">
            <v>8.369530000000001</v>
          </cell>
          <cell r="AB65">
            <v>0</v>
          </cell>
          <cell r="AC65">
            <v>-8473.045180000001</v>
          </cell>
          <cell r="AD65">
            <v>1013.6364500000001</v>
          </cell>
          <cell r="AE65">
            <v>-421.95350000000002</v>
          </cell>
          <cell r="AF65">
            <v>-1502.4285600000001</v>
          </cell>
          <cell r="AG65">
            <v>0</v>
          </cell>
          <cell r="AH65">
            <v>4468.8520400000007</v>
          </cell>
          <cell r="AI65">
            <v>3841.2093099999997</v>
          </cell>
          <cell r="AJ65">
            <v>1005.3621800000001</v>
          </cell>
          <cell r="AK65">
            <v>-235.08046999999999</v>
          </cell>
          <cell r="AL65">
            <v>-8290.2148200000011</v>
          </cell>
          <cell r="AM65">
            <v>3635.2094000000025</v>
          </cell>
          <cell r="AN65">
            <v>-586.36280999999963</v>
          </cell>
          <cell r="AO65">
            <v>-1659.4283799999998</v>
          </cell>
          <cell r="AP65">
            <v>-224.53157999999999</v>
          </cell>
          <cell r="AQ65">
            <v>-2400.4459899999997</v>
          </cell>
          <cell r="AR65">
            <v>-845.43597999999997</v>
          </cell>
          <cell r="AT65">
            <v>-3317.7621600000025</v>
          </cell>
          <cell r="AU65">
            <v>158.95562000000001</v>
          </cell>
          <cell r="AV65">
            <v>0</v>
          </cell>
          <cell r="AW65">
            <v>0</v>
          </cell>
          <cell r="AX65">
            <v>-71.351340826829983</v>
          </cell>
          <cell r="AY65">
            <v>0</v>
          </cell>
          <cell r="AZ65">
            <v>231.40117082682997</v>
          </cell>
          <cell r="BA65">
            <v>2.3450899999999999</v>
          </cell>
          <cell r="BB65">
            <v>-17.05115</v>
          </cell>
          <cell r="BC65">
            <v>-0.26629000000000003</v>
          </cell>
          <cell r="BD65">
            <v>0</v>
          </cell>
          <cell r="BE65">
            <v>330.54782999999998</v>
          </cell>
          <cell r="BF65">
            <v>-306.12847000000033</v>
          </cell>
          <cell r="BG65">
            <v>90.28176999999998</v>
          </cell>
          <cell r="BH65">
            <v>-177.11262999999997</v>
          </cell>
          <cell r="BI65">
            <v>-5.5577999999999985</v>
          </cell>
          <cell r="BJ65">
            <v>0</v>
          </cell>
          <cell r="BK65">
            <v>2833.261760000009</v>
          </cell>
          <cell r="EA65">
            <v>4725.7890400000042</v>
          </cell>
          <cell r="EL65">
            <v>9247.6685800000087</v>
          </cell>
          <cell r="EM65">
            <v>-408.02665999999999</v>
          </cell>
          <cell r="EN65">
            <v>-6.7117300000000002</v>
          </cell>
          <cell r="EO65">
            <v>0</v>
          </cell>
          <cell r="EP65">
            <v>22.564230000000002</v>
          </cell>
          <cell r="EQ65">
            <v>-371.11284999999998</v>
          </cell>
          <cell r="ER65">
            <v>-58.559550000000002</v>
          </cell>
          <cell r="ES65">
            <v>0</v>
          </cell>
          <cell r="ET65">
            <v>-1986.2496376692886</v>
          </cell>
          <cell r="EU65">
            <v>-61.84525</v>
          </cell>
          <cell r="EV65">
            <v>-744.15397320239595</v>
          </cell>
          <cell r="EW65">
            <v>-90.006429999999995</v>
          </cell>
          <cell r="EX65">
            <v>244.42234999999999</v>
          </cell>
          <cell r="EY65">
            <v>8.369530000000001</v>
          </cell>
          <cell r="EZ65">
            <v>0</v>
          </cell>
          <cell r="FA65">
            <v>-3779.2797100000003</v>
          </cell>
          <cell r="FB65">
            <v>304.19463000000007</v>
          </cell>
          <cell r="FC65">
            <v>-146.84522999999996</v>
          </cell>
          <cell r="FD65">
            <v>-335.31408000000005</v>
          </cell>
          <cell r="FE65">
            <v>0</v>
          </cell>
          <cell r="FF65">
            <v>-1275.5048799999997</v>
          </cell>
          <cell r="FG65">
            <v>3841.2093099999997</v>
          </cell>
          <cell r="FH65">
            <v>1407.7485799999999</v>
          </cell>
          <cell r="FI65">
            <v>-235.08046999999999</v>
          </cell>
          <cell r="FJ65">
            <v>-1395.6036200000015</v>
          </cell>
          <cell r="FK65">
            <v>-55.378419999998883</v>
          </cell>
          <cell r="FL65">
            <v>-584.21838999999954</v>
          </cell>
          <cell r="FM65">
            <v>-526.23248999999987</v>
          </cell>
          <cell r="FN65">
            <v>-122.53524000000002</v>
          </cell>
          <cell r="FO65">
            <v>-762.34837999999991</v>
          </cell>
          <cell r="FP65">
            <v>-327.85417000000001</v>
          </cell>
          <cell r="FR65">
            <v>-1143.7418800000009</v>
          </cell>
          <cell r="FS65">
            <v>99.218040000000002</v>
          </cell>
          <cell r="FT65">
            <v>0</v>
          </cell>
          <cell r="FU65">
            <v>0</v>
          </cell>
          <cell r="FV65">
            <v>-68.543494867334232</v>
          </cell>
          <cell r="FW65">
            <v>0</v>
          </cell>
          <cell r="FX65">
            <v>51.531324867334206</v>
          </cell>
          <cell r="FY65">
            <v>2.3450899999999999</v>
          </cell>
          <cell r="FZ65">
            <v>6.3997600000000006</v>
          </cell>
          <cell r="GA65">
            <v>-0.26629000000000003</v>
          </cell>
          <cell r="GB65">
            <v>0</v>
          </cell>
          <cell r="GC65">
            <v>215.66046</v>
          </cell>
          <cell r="GD65">
            <v>-172.67547000000135</v>
          </cell>
          <cell r="GE65">
            <v>90.28176999999998</v>
          </cell>
          <cell r="GF65">
            <v>-203.34455</v>
          </cell>
          <cell r="GG65">
            <v>-5.5577999999999985</v>
          </cell>
          <cell r="GH65">
            <v>0</v>
          </cell>
          <cell r="GI65">
            <v>674.62300912832188</v>
          </cell>
        </row>
        <row r="66">
          <cell r="C66">
            <v>45171.235540000009</v>
          </cell>
          <cell r="N66">
            <v>25138.320429999989</v>
          </cell>
          <cell r="O66">
            <v>-293.72651000000002</v>
          </cell>
          <cell r="P66">
            <v>0</v>
          </cell>
          <cell r="Q66">
            <v>0</v>
          </cell>
          <cell r="R66">
            <v>4.9564599999999963</v>
          </cell>
          <cell r="S66">
            <v>-957.87663000000009</v>
          </cell>
          <cell r="T66">
            <v>-29.088049999999996</v>
          </cell>
          <cell r="U66">
            <v>0</v>
          </cell>
          <cell r="V66">
            <v>-8783.702940000001</v>
          </cell>
          <cell r="W66">
            <v>0</v>
          </cell>
          <cell r="X66">
            <v>-1014.23</v>
          </cell>
          <cell r="Y66">
            <v>-288.44751000000002</v>
          </cell>
          <cell r="Z66">
            <v>652.19406000000004</v>
          </cell>
          <cell r="AA66">
            <v>26.72878</v>
          </cell>
          <cell r="AB66">
            <v>0</v>
          </cell>
          <cell r="AC66">
            <v>-10182.065710000001</v>
          </cell>
          <cell r="AD66">
            <v>1712.87601</v>
          </cell>
          <cell r="AE66">
            <v>-475.9312900000001</v>
          </cell>
          <cell r="AF66">
            <v>-1290.1859099999999</v>
          </cell>
          <cell r="AG66">
            <v>0</v>
          </cell>
          <cell r="AH66">
            <v>10439.949559999997</v>
          </cell>
          <cell r="AI66">
            <v>1887.0544699999998</v>
          </cell>
          <cell r="AJ66">
            <v>-1350.25135</v>
          </cell>
          <cell r="AK66">
            <v>-146.49848999999998</v>
          </cell>
          <cell r="AL66">
            <v>-7390.6316700000016</v>
          </cell>
          <cell r="AM66">
            <v>3553.7612300000014</v>
          </cell>
          <cell r="AN66">
            <v>-868.51270000000113</v>
          </cell>
          <cell r="AO66">
            <v>-1633.2868599999999</v>
          </cell>
          <cell r="AP66">
            <v>-196.79219999999998</v>
          </cell>
          <cell r="AQ66">
            <v>-2473.8522000000007</v>
          </cell>
          <cell r="AR66">
            <v>-705.4247499999999</v>
          </cell>
          <cell r="AT66">
            <v>-3593.4152100000033</v>
          </cell>
          <cell r="AU66">
            <v>5.5733600000000001</v>
          </cell>
          <cell r="AV66">
            <v>0</v>
          </cell>
          <cell r="AW66">
            <v>0</v>
          </cell>
          <cell r="AX66">
            <v>86.293999999999983</v>
          </cell>
          <cell r="AY66">
            <v>0</v>
          </cell>
          <cell r="AZ66">
            <v>130.03</v>
          </cell>
          <cell r="BA66">
            <v>5.9268600000000005</v>
          </cell>
          <cell r="BB66">
            <v>-20.71658</v>
          </cell>
          <cell r="BC66">
            <v>-0.60361000000000009</v>
          </cell>
          <cell r="BD66">
            <v>0</v>
          </cell>
          <cell r="BE66">
            <v>1368.3594400000002</v>
          </cell>
          <cell r="BF66">
            <v>-1867.5232599999986</v>
          </cell>
          <cell r="BG66">
            <v>-222.95180999999999</v>
          </cell>
          <cell r="BH66">
            <v>112.75100999999997</v>
          </cell>
          <cell r="BI66">
            <v>7.7591199999999994</v>
          </cell>
          <cell r="BJ66">
            <v>0</v>
          </cell>
          <cell r="BK66">
            <v>1346.8195499999892</v>
          </cell>
          <cell r="EA66">
            <v>3756.233580000001</v>
          </cell>
          <cell r="EL66">
            <v>7677.2991000000011</v>
          </cell>
          <cell r="EM66">
            <v>-102.13717000000001</v>
          </cell>
          <cell r="EN66">
            <v>0</v>
          </cell>
          <cell r="EO66">
            <v>0</v>
          </cell>
          <cell r="EP66">
            <v>41.586139999999993</v>
          </cell>
          <cell r="EQ66">
            <v>-357.87953000000005</v>
          </cell>
          <cell r="ER66">
            <v>1.5088400000000015</v>
          </cell>
          <cell r="ES66">
            <v>0</v>
          </cell>
          <cell r="ET66">
            <v>-2072.9425302880404</v>
          </cell>
          <cell r="EU66">
            <v>0</v>
          </cell>
          <cell r="EV66">
            <v>-75.461199711959154</v>
          </cell>
          <cell r="EW66">
            <v>-288.44751000000002</v>
          </cell>
          <cell r="EX66">
            <v>134.20934000000003</v>
          </cell>
          <cell r="EY66">
            <v>26.72878</v>
          </cell>
          <cell r="EZ66">
            <v>0</v>
          </cell>
          <cell r="FA66">
            <v>-2373.8031800000008</v>
          </cell>
          <cell r="FB66">
            <v>698.10010999999997</v>
          </cell>
          <cell r="FC66">
            <v>-168.35389000000001</v>
          </cell>
          <cell r="FD66">
            <v>-255.92011999999986</v>
          </cell>
          <cell r="FE66">
            <v>0</v>
          </cell>
          <cell r="FF66">
            <v>5333.3331999999991</v>
          </cell>
          <cell r="FG66">
            <v>1887.0544699999998</v>
          </cell>
          <cell r="FH66">
            <v>-834.00912000000017</v>
          </cell>
          <cell r="FI66">
            <v>-146.49848999999998</v>
          </cell>
          <cell r="FJ66">
            <v>-867.57073999999932</v>
          </cell>
          <cell r="FK66">
            <v>-98.838239999999388</v>
          </cell>
          <cell r="FL66">
            <v>-451.77926000000025</v>
          </cell>
          <cell r="FM66">
            <v>-582.36345999999992</v>
          </cell>
          <cell r="FN66">
            <v>-76.936449999999994</v>
          </cell>
          <cell r="FO66">
            <v>-774.50209999999981</v>
          </cell>
          <cell r="FP66">
            <v>-238.61281</v>
          </cell>
          <cell r="FR66">
            <v>-1259.0883300000028</v>
          </cell>
          <cell r="FS66">
            <v>3.5483600000000002</v>
          </cell>
          <cell r="FT66">
            <v>0</v>
          </cell>
          <cell r="FU66">
            <v>0</v>
          </cell>
          <cell r="FV66">
            <v>-67.714830000000021</v>
          </cell>
          <cell r="FW66">
            <v>0</v>
          </cell>
          <cell r="FX66">
            <v>130.03</v>
          </cell>
          <cell r="FY66">
            <v>5.9268600000000005</v>
          </cell>
          <cell r="FZ66">
            <v>-4.8429200000000003</v>
          </cell>
          <cell r="GA66">
            <v>-0.60361000000000009</v>
          </cell>
          <cell r="GB66">
            <v>0</v>
          </cell>
          <cell r="GC66">
            <v>359.52892000000003</v>
          </cell>
          <cell r="GD66">
            <v>-438.17473000000058</v>
          </cell>
          <cell r="GE66">
            <v>-222.95180999999999</v>
          </cell>
          <cell r="GF66">
            <v>34.525729999999989</v>
          </cell>
          <cell r="GG66">
            <v>7.7591199999999994</v>
          </cell>
          <cell r="GH66">
            <v>0</v>
          </cell>
          <cell r="GI66">
            <v>4581.7069399999991</v>
          </cell>
        </row>
        <row r="67">
          <cell r="C67">
            <v>49222.526283908519</v>
          </cell>
          <cell r="N67">
            <v>29435.033999806059</v>
          </cell>
          <cell r="O67">
            <v>-4332.1127930036209</v>
          </cell>
          <cell r="P67">
            <v>-719.48572736653841</v>
          </cell>
          <cell r="Q67">
            <v>-1307.767505279249</v>
          </cell>
          <cell r="R67">
            <v>0</v>
          </cell>
          <cell r="S67">
            <v>-1315.3627284810536</v>
          </cell>
          <cell r="T67">
            <v>-228.09867542335974</v>
          </cell>
          <cell r="U67">
            <v>0</v>
          </cell>
          <cell r="V67">
            <v>-4314.73073244028</v>
          </cell>
          <cell r="W67">
            <v>-731.8941605642591</v>
          </cell>
          <cell r="X67">
            <v>-1781.8373379934828</v>
          </cell>
          <cell r="Y67">
            <v>-200.1344225563922</v>
          </cell>
          <cell r="Z67">
            <v>526.15298514026847</v>
          </cell>
          <cell r="AA67">
            <v>0</v>
          </cell>
          <cell r="AB67">
            <v>0</v>
          </cell>
          <cell r="AC67">
            <v>-7493.3212342195184</v>
          </cell>
          <cell r="AD67">
            <v>0</v>
          </cell>
          <cell r="AE67">
            <v>0</v>
          </cell>
          <cell r="AF67">
            <v>-1123.5437518312347</v>
          </cell>
          <cell r="AG67">
            <v>0</v>
          </cell>
          <cell r="AH67">
            <v>8608.1149860507539</v>
          </cell>
          <cell r="AI67">
            <v>200.1344225563922</v>
          </cell>
          <cell r="AJ67">
            <v>0</v>
          </cell>
          <cell r="AK67">
            <v>0</v>
          </cell>
          <cell r="AL67">
            <v>-5560.1535978955771</v>
          </cell>
          <cell r="AM67">
            <v>0</v>
          </cell>
          <cell r="AN67">
            <v>0</v>
          </cell>
          <cell r="AO67">
            <v>-1654.9393046223272</v>
          </cell>
          <cell r="AP67">
            <v>-159.72461846829128</v>
          </cell>
          <cell r="AQ67">
            <v>-2488.0656542057354</v>
          </cell>
          <cell r="AR67">
            <v>-1110.6417244522652</v>
          </cell>
          <cell r="AT67">
            <v>-3360.3513489096204</v>
          </cell>
          <cell r="AU67">
            <v>471.02206946040718</v>
          </cell>
          <cell r="AV67">
            <v>299.52159134862495</v>
          </cell>
          <cell r="AW67">
            <v>179.7899014791389</v>
          </cell>
          <cell r="AX67">
            <v>-268.45535558429822</v>
          </cell>
          <cell r="AY67">
            <v>304.68721662256598</v>
          </cell>
          <cell r="AZ67">
            <v>244.17480360524507</v>
          </cell>
          <cell r="BA67">
            <v>15.74801206394887</v>
          </cell>
          <cell r="BB67">
            <v>-35.16938745700746</v>
          </cell>
          <cell r="BC67">
            <v>0</v>
          </cell>
          <cell r="BD67">
            <v>0</v>
          </cell>
          <cell r="BE67">
            <v>1616.3126284397031</v>
          </cell>
          <cell r="BF67">
            <v>-1660.4376284397031</v>
          </cell>
          <cell r="BG67">
            <v>-15.74801206394887</v>
          </cell>
          <cell r="BH67">
            <v>0</v>
          </cell>
          <cell r="BI67">
            <v>0</v>
          </cell>
          <cell r="BJ67">
            <v>0</v>
          </cell>
          <cell r="BK67">
            <v>2038.7169153153379</v>
          </cell>
          <cell r="EA67">
            <v>5936.0936249677652</v>
          </cell>
          <cell r="EL67">
            <v>9811.677999935353</v>
          </cell>
          <cell r="EM67">
            <v>-1417.9659001835116</v>
          </cell>
          <cell r="EN67">
            <v>-239.82857578884611</v>
          </cell>
          <cell r="EO67">
            <v>-435.92250175974971</v>
          </cell>
          <cell r="EP67">
            <v>0</v>
          </cell>
          <cell r="EQ67">
            <v>-438.45424282701788</v>
          </cell>
          <cell r="ER67">
            <v>-76.032891807786569</v>
          </cell>
          <cell r="ES67">
            <v>0</v>
          </cell>
          <cell r="ET67">
            <v>-1321.2828304958693</v>
          </cell>
          <cell r="EU67">
            <v>-243.96472018808637</v>
          </cell>
          <cell r="EV67">
            <v>-593.94577933116091</v>
          </cell>
          <cell r="EW67">
            <v>-66.711474185464041</v>
          </cell>
          <cell r="EX67">
            <v>175.38432838008947</v>
          </cell>
          <cell r="EY67">
            <v>0</v>
          </cell>
          <cell r="EZ67">
            <v>0</v>
          </cell>
          <cell r="FA67">
            <v>-2497.7737447398399</v>
          </cell>
          <cell r="FB67">
            <v>0</v>
          </cell>
          <cell r="FC67">
            <v>0</v>
          </cell>
          <cell r="FD67">
            <v>-374.51458394374481</v>
          </cell>
          <cell r="FE67">
            <v>0</v>
          </cell>
          <cell r="FF67">
            <v>2869.371662016918</v>
          </cell>
          <cell r="FG67">
            <v>66.711474185464041</v>
          </cell>
          <cell r="FH67">
            <v>0</v>
          </cell>
          <cell r="FI67">
            <v>0</v>
          </cell>
          <cell r="FJ67">
            <v>-1853.3845326318592</v>
          </cell>
          <cell r="FK67">
            <v>0</v>
          </cell>
          <cell r="FL67">
            <v>0</v>
          </cell>
          <cell r="FM67">
            <v>-551.6464348741091</v>
          </cell>
          <cell r="FN67">
            <v>-53.241539489430423</v>
          </cell>
          <cell r="FO67">
            <v>-829.35521806857855</v>
          </cell>
          <cell r="FP67">
            <v>-370.213908150755</v>
          </cell>
          <cell r="FR67">
            <v>-1120.1171163032068</v>
          </cell>
          <cell r="FS67">
            <v>157.00735648680231</v>
          </cell>
          <cell r="FT67">
            <v>99.84053044954166</v>
          </cell>
          <cell r="FU67">
            <v>59.929967159712973</v>
          </cell>
          <cell r="FV67">
            <v>-89.485118528099392</v>
          </cell>
          <cell r="FW67">
            <v>101.56240554085534</v>
          </cell>
          <cell r="FX67">
            <v>81.391601201748358</v>
          </cell>
          <cell r="FY67">
            <v>5.2493373546496223</v>
          </cell>
          <cell r="FZ67">
            <v>-11.723129152335821</v>
          </cell>
          <cell r="GA67">
            <v>0</v>
          </cell>
          <cell r="GB67">
            <v>0</v>
          </cell>
          <cell r="GC67">
            <v>538.77087614656773</v>
          </cell>
          <cell r="GD67">
            <v>-553.47920947990099</v>
          </cell>
          <cell r="GE67">
            <v>-5.2493373546496223</v>
          </cell>
          <cell r="GF67">
            <v>0</v>
          </cell>
          <cell r="GG67">
            <v>0</v>
          </cell>
          <cell r="GH67">
            <v>0</v>
          </cell>
          <cell r="GI67">
            <v>822.60474957369979</v>
          </cell>
        </row>
        <row r="81">
          <cell r="C81">
            <v>35415.75962000015</v>
          </cell>
          <cell r="N81">
            <v>26314.280150000137</v>
          </cell>
          <cell r="O81">
            <v>-1952.8294999999994</v>
          </cell>
          <cell r="P81">
            <v>0</v>
          </cell>
          <cell r="Q81">
            <v>0</v>
          </cell>
          <cell r="R81">
            <v>13.834570000000001</v>
          </cell>
          <cell r="S81">
            <v>-1209.4678700000002</v>
          </cell>
          <cell r="T81">
            <v>-24.5776</v>
          </cell>
          <cell r="U81">
            <v>0</v>
          </cell>
          <cell r="V81">
            <v>-15232.242539999999</v>
          </cell>
          <cell r="W81">
            <v>0</v>
          </cell>
          <cell r="X81">
            <v>-4143.2266799999998</v>
          </cell>
          <cell r="Y81">
            <v>-183.27110999999999</v>
          </cell>
          <cell r="Z81">
            <v>1918.3047000000001</v>
          </cell>
          <cell r="AA81">
            <v>25.256489999999999</v>
          </cell>
          <cell r="AB81">
            <v>0</v>
          </cell>
          <cell r="AC81">
            <v>-26773.349800000004</v>
          </cell>
          <cell r="AD81">
            <v>1741.7109100000002</v>
          </cell>
          <cell r="AE81">
            <v>-981.8281199999999</v>
          </cell>
          <cell r="AF81">
            <v>-779.79061999999851</v>
          </cell>
          <cell r="AG81">
            <v>0</v>
          </cell>
          <cell r="AH81">
            <v>23528.697969999939</v>
          </cell>
          <cell r="AI81">
            <v>5425.9200400000027</v>
          </cell>
          <cell r="AJ81">
            <v>1627.1021899999714</v>
          </cell>
          <cell r="AK81">
            <v>-2561.9403000000016</v>
          </cell>
          <cell r="AL81">
            <v>-2551.716990000004</v>
          </cell>
          <cell r="AM81">
            <v>0</v>
          </cell>
          <cell r="AN81">
            <v>519.38657000000012</v>
          </cell>
          <cell r="AO81">
            <v>-878.33573000000001</v>
          </cell>
          <cell r="AP81">
            <v>-162.68412000000001</v>
          </cell>
          <cell r="AQ81">
            <v>-1374.7626600000001</v>
          </cell>
          <cell r="AR81">
            <v>-850.51345000000003</v>
          </cell>
          <cell r="AT81">
            <v>-1080.9202400000001</v>
          </cell>
          <cell r="AU81">
            <v>81.987109999999987</v>
          </cell>
          <cell r="AV81">
            <v>0</v>
          </cell>
          <cell r="AW81">
            <v>0</v>
          </cell>
          <cell r="AX81">
            <v>216.49054999999998</v>
          </cell>
          <cell r="AY81">
            <v>0</v>
          </cell>
          <cell r="AZ81">
            <v>0</v>
          </cell>
          <cell r="BA81">
            <v>1.1962899999999999</v>
          </cell>
          <cell r="BB81">
            <v>-32.41001</v>
          </cell>
          <cell r="BC81">
            <v>-0.30675000000000002</v>
          </cell>
          <cell r="BD81">
            <v>0</v>
          </cell>
          <cell r="BE81">
            <v>577.43285999999966</v>
          </cell>
          <cell r="BF81">
            <v>826.28411000003166</v>
          </cell>
          <cell r="BG81">
            <v>-743.11024999999938</v>
          </cell>
          <cell r="BH81">
            <v>-403.91059000000007</v>
          </cell>
          <cell r="BI81">
            <v>74.417379999999994</v>
          </cell>
          <cell r="BJ81">
            <v>0</v>
          </cell>
          <cell r="BK81">
            <v>971.10696000007522</v>
          </cell>
          <cell r="EA81">
            <v>519.9036000000051</v>
          </cell>
          <cell r="EL81">
            <v>9196.3364299999957</v>
          </cell>
          <cell r="EM81">
            <v>-1315.3748699999996</v>
          </cell>
          <cell r="EN81">
            <v>0</v>
          </cell>
          <cell r="EO81">
            <v>0</v>
          </cell>
          <cell r="EP81">
            <v>13.623860000000001</v>
          </cell>
          <cell r="EQ81">
            <v>-457.03064000000006</v>
          </cell>
          <cell r="ER81">
            <v>-20.963260000000002</v>
          </cell>
          <cell r="ES81">
            <v>0</v>
          </cell>
          <cell r="ET81">
            <v>-4849.2339699999993</v>
          </cell>
          <cell r="EU81">
            <v>0</v>
          </cell>
          <cell r="EV81">
            <v>-1643.2266799999998</v>
          </cell>
          <cell r="EW81">
            <v>-183.27110999999999</v>
          </cell>
          <cell r="EX81">
            <v>1265.3188300000002</v>
          </cell>
          <cell r="EY81">
            <v>25.256489999999999</v>
          </cell>
          <cell r="EZ81">
            <v>0</v>
          </cell>
          <cell r="FA81">
            <v>-9766.4561200000026</v>
          </cell>
          <cell r="FB81">
            <v>535.67560999999978</v>
          </cell>
          <cell r="FC81">
            <v>-354.25729000000001</v>
          </cell>
          <cell r="FD81">
            <v>-213.10728999999958</v>
          </cell>
          <cell r="FE81">
            <v>0</v>
          </cell>
          <cell r="FF81">
            <v>3558.6228100000553</v>
          </cell>
          <cell r="FG81">
            <v>5425.9200400000027</v>
          </cell>
          <cell r="FH81">
            <v>3389.1493799999457</v>
          </cell>
          <cell r="FI81">
            <v>-2561.9403000000016</v>
          </cell>
          <cell r="FJ81">
            <v>-205.48298999999997</v>
          </cell>
          <cell r="FK81">
            <v>0</v>
          </cell>
          <cell r="FL81">
            <v>-519.92885000000001</v>
          </cell>
          <cell r="FM81">
            <v>-259.24423000000002</v>
          </cell>
          <cell r="FN81">
            <v>-74.608170000000001</v>
          </cell>
          <cell r="FO81">
            <v>-482.28545000000008</v>
          </cell>
          <cell r="FP81">
            <v>-325.89600000000007</v>
          </cell>
          <cell r="FR81">
            <v>-132.57738000000006</v>
          </cell>
          <cell r="FS81">
            <v>59.838509999999985</v>
          </cell>
          <cell r="FT81">
            <v>0</v>
          </cell>
          <cell r="FU81">
            <v>0</v>
          </cell>
          <cell r="FV81">
            <v>91.102759999999975</v>
          </cell>
          <cell r="FW81">
            <v>0</v>
          </cell>
          <cell r="FX81">
            <v>0</v>
          </cell>
          <cell r="FY81">
            <v>1.1962899999999999</v>
          </cell>
          <cell r="FZ81">
            <v>-25.746280000000002</v>
          </cell>
          <cell r="GA81">
            <v>-0.30675000000000002</v>
          </cell>
          <cell r="GB81">
            <v>0</v>
          </cell>
          <cell r="GC81">
            <v>152.80498999999963</v>
          </cell>
          <cell r="GD81">
            <v>1578.8395600000024</v>
          </cell>
          <cell r="GE81">
            <v>-743.11024999999938</v>
          </cell>
          <cell r="GF81">
            <v>-303.76034000000004</v>
          </cell>
          <cell r="GG81">
            <v>74.417379999999994</v>
          </cell>
          <cell r="GH81">
            <v>0</v>
          </cell>
          <cell r="GI81">
            <v>930.29472000000044</v>
          </cell>
        </row>
        <row r="82">
          <cell r="C82">
            <v>24364.716519999984</v>
          </cell>
          <cell r="N82">
            <v>21382.482499999987</v>
          </cell>
          <cell r="O82">
            <v>-1602.8159700000003</v>
          </cell>
          <cell r="P82">
            <v>0</v>
          </cell>
          <cell r="Q82">
            <v>0</v>
          </cell>
          <cell r="R82">
            <v>25.946729999999999</v>
          </cell>
          <cell r="S82">
            <v>-946.71150999999998</v>
          </cell>
          <cell r="T82">
            <v>-21.623930000000001</v>
          </cell>
          <cell r="U82">
            <v>0</v>
          </cell>
          <cell r="V82">
            <v>-15807.800190000002</v>
          </cell>
          <cell r="W82">
            <v>0</v>
          </cell>
          <cell r="X82">
            <v>-600</v>
          </cell>
          <cell r="Y82">
            <v>-362.65449999999998</v>
          </cell>
          <cell r="Z82">
            <v>1316.62392</v>
          </cell>
          <cell r="AA82">
            <v>59.452419999999996</v>
          </cell>
          <cell r="AB82">
            <v>0</v>
          </cell>
          <cell r="AC82">
            <v>-19832.830750000005</v>
          </cell>
          <cell r="AD82">
            <v>1785.2710900000002</v>
          </cell>
          <cell r="AE82">
            <v>-773.58987999999999</v>
          </cell>
          <cell r="AF82">
            <v>-686.99185999999986</v>
          </cell>
          <cell r="AG82">
            <v>0</v>
          </cell>
          <cell r="AH82">
            <v>20934.738019999997</v>
          </cell>
          <cell r="AI82">
            <v>1198.8643199999995</v>
          </cell>
          <cell r="AJ82">
            <v>1620.2840800000001</v>
          </cell>
          <cell r="AK82">
            <v>-107.79147000000002</v>
          </cell>
          <cell r="AL82">
            <v>-1671.6343699999993</v>
          </cell>
          <cell r="AM82">
            <v>0</v>
          </cell>
          <cell r="AN82">
            <v>181.91628000000009</v>
          </cell>
          <cell r="AO82">
            <v>-560.42343000000005</v>
          </cell>
          <cell r="AP82">
            <v>-115.46349000000001</v>
          </cell>
          <cell r="AQ82">
            <v>-1080.01109</v>
          </cell>
          <cell r="AR82">
            <v>-605.11825999999996</v>
          </cell>
          <cell r="AT82">
            <v>-979.65882999999985</v>
          </cell>
          <cell r="AU82">
            <v>49.870710000000003</v>
          </cell>
          <cell r="AV82">
            <v>0</v>
          </cell>
          <cell r="AW82">
            <v>0</v>
          </cell>
          <cell r="AX82">
            <v>162.32989000000001</v>
          </cell>
          <cell r="AY82">
            <v>0</v>
          </cell>
          <cell r="AZ82">
            <v>0</v>
          </cell>
          <cell r="BA82">
            <v>1.1528900000000002</v>
          </cell>
          <cell r="BB82">
            <v>-21.09581</v>
          </cell>
          <cell r="BC82">
            <v>-1.9539999999999998E-2</v>
          </cell>
          <cell r="BD82">
            <v>0</v>
          </cell>
          <cell r="BE82">
            <v>351.12682000000024</v>
          </cell>
          <cell r="BF82">
            <v>-631.45827000002294</v>
          </cell>
          <cell r="BG82">
            <v>-190.09563999999995</v>
          </cell>
          <cell r="BH82">
            <v>15.121430000000018</v>
          </cell>
          <cell r="BI82">
            <v>0.19900000000000007</v>
          </cell>
          <cell r="BJ82">
            <v>0</v>
          </cell>
          <cell r="BK82">
            <v>2487.5913099999534</v>
          </cell>
          <cell r="EA82">
            <v>373.40332000000126</v>
          </cell>
          <cell r="EL82">
            <v>6986.3752200000017</v>
          </cell>
          <cell r="EM82">
            <v>-991.83745000000033</v>
          </cell>
          <cell r="EN82">
            <v>0</v>
          </cell>
          <cell r="EO82">
            <v>0</v>
          </cell>
          <cell r="EP82">
            <v>11.492989999999999</v>
          </cell>
          <cell r="EQ82">
            <v>-342.36288999999999</v>
          </cell>
          <cell r="ER82">
            <v>-14.499549999999999</v>
          </cell>
          <cell r="ES82">
            <v>0</v>
          </cell>
          <cell r="ET82">
            <v>-3630.8427700000011</v>
          </cell>
          <cell r="EU82">
            <v>0</v>
          </cell>
          <cell r="EV82">
            <v>100</v>
          </cell>
          <cell r="EW82">
            <v>-362.65449999999998</v>
          </cell>
          <cell r="EX82">
            <v>702.48408000000006</v>
          </cell>
          <cell r="EY82">
            <v>59.452419999999996</v>
          </cell>
          <cell r="EZ82">
            <v>0</v>
          </cell>
          <cell r="FA82">
            <v>-7079.8327099999951</v>
          </cell>
          <cell r="FB82">
            <v>394.09132</v>
          </cell>
          <cell r="FC82">
            <v>-266.57126000000005</v>
          </cell>
          <cell r="FD82">
            <v>-189.04105999999996</v>
          </cell>
          <cell r="FE82">
            <v>0</v>
          </cell>
          <cell r="FF82">
            <v>8498.0690899999972</v>
          </cell>
          <cell r="FG82">
            <v>1198.8643199999995</v>
          </cell>
          <cell r="FH82">
            <v>-207.31937000000016</v>
          </cell>
          <cell r="FI82">
            <v>-107.79147000000002</v>
          </cell>
          <cell r="FJ82">
            <v>-155.90493000000015</v>
          </cell>
          <cell r="FK82">
            <v>0</v>
          </cell>
          <cell r="FL82">
            <v>-403.39128999999997</v>
          </cell>
          <cell r="FM82">
            <v>-212.28579000000002</v>
          </cell>
          <cell r="FN82">
            <v>-38.944850000000002</v>
          </cell>
          <cell r="FO82">
            <v>-364.76099999999997</v>
          </cell>
          <cell r="FP82">
            <v>-194.91703000000001</v>
          </cell>
          <cell r="FR82">
            <v>-93.795279999999934</v>
          </cell>
          <cell r="FS82">
            <v>32.895870000000002</v>
          </cell>
          <cell r="FT82">
            <v>0</v>
          </cell>
          <cell r="FU82">
            <v>0</v>
          </cell>
          <cell r="FV82">
            <v>48.576250000000002</v>
          </cell>
          <cell r="FW82">
            <v>0</v>
          </cell>
          <cell r="FX82">
            <v>0</v>
          </cell>
          <cell r="FY82">
            <v>1.1528900000000002</v>
          </cell>
          <cell r="FZ82">
            <v>-14.803129999999999</v>
          </cell>
          <cell r="GA82">
            <v>-1.9539999999999998E-2</v>
          </cell>
          <cell r="GB82">
            <v>0</v>
          </cell>
          <cell r="GC82">
            <v>98.453350000000199</v>
          </cell>
          <cell r="GD82">
            <v>-759.87956000000679</v>
          </cell>
          <cell r="GE82">
            <v>-190.09563999999995</v>
          </cell>
          <cell r="GF82">
            <v>118.37724000000004</v>
          </cell>
          <cell r="GG82">
            <v>0.19900000000000007</v>
          </cell>
          <cell r="GH82">
            <v>0</v>
          </cell>
          <cell r="GI82">
            <v>2628.9329699999962</v>
          </cell>
        </row>
        <row r="83">
          <cell r="C83">
            <v>27974.91626383326</v>
          </cell>
          <cell r="N83">
            <v>26959.171549999992</v>
          </cell>
          <cell r="O83">
            <v>-7510.7204803523437</v>
          </cell>
          <cell r="P83">
            <v>0</v>
          </cell>
          <cell r="Q83">
            <v>-1047.687722619685</v>
          </cell>
          <cell r="R83">
            <v>0</v>
          </cell>
          <cell r="S83">
            <v>-2112.3821642121875</v>
          </cell>
          <cell r="T83">
            <v>-128.80258189217</v>
          </cell>
          <cell r="U83">
            <v>0</v>
          </cell>
          <cell r="V83">
            <v>-9807.2890259563137</v>
          </cell>
          <cell r="W83">
            <v>0</v>
          </cell>
          <cell r="X83">
            <v>-3952.3122773803152</v>
          </cell>
          <cell r="Y83">
            <v>-368.70409351474137</v>
          </cell>
          <cell r="Z83">
            <v>3581.911985294536</v>
          </cell>
          <cell r="AA83">
            <v>0</v>
          </cell>
          <cell r="AB83">
            <v>0</v>
          </cell>
          <cell r="AC83">
            <v>-23044.769297499999</v>
          </cell>
          <cell r="AD83">
            <v>0</v>
          </cell>
          <cell r="AE83">
            <v>0</v>
          </cell>
          <cell r="AF83">
            <v>-624.43567562268197</v>
          </cell>
          <cell r="AG83">
            <v>0</v>
          </cell>
          <cell r="AH83">
            <v>23890.006115815875</v>
          </cell>
          <cell r="AI83">
            <v>368.70409351474137</v>
          </cell>
          <cell r="AJ83">
            <v>0</v>
          </cell>
          <cell r="AK83">
            <v>0</v>
          </cell>
          <cell r="AL83">
            <v>-1939.93614779066</v>
          </cell>
          <cell r="AM83">
            <v>0</v>
          </cell>
          <cell r="AN83">
            <v>0</v>
          </cell>
          <cell r="AO83">
            <v>-905.862384189605</v>
          </cell>
          <cell r="AP83">
            <v>-109.95672275166075</v>
          </cell>
          <cell r="AQ83">
            <v>-1645.3047755602747</v>
          </cell>
          <cell r="AR83">
            <v>-814.37639854124518</v>
          </cell>
          <cell r="AT83">
            <v>-1196.340690078659</v>
          </cell>
          <cell r="AU83">
            <v>258.0201892697491</v>
          </cell>
          <cell r="AV83">
            <v>0</v>
          </cell>
          <cell r="AW83">
            <v>15.460286204844127</v>
          </cell>
          <cell r="AX83">
            <v>179.40924816806603</v>
          </cell>
          <cell r="AY83">
            <v>0</v>
          </cell>
          <cell r="AZ83">
            <v>58.322606688977999</v>
          </cell>
          <cell r="BA83">
            <v>8.0800274033346202</v>
          </cell>
          <cell r="BB83">
            <v>-81.549728907722169</v>
          </cell>
          <cell r="BC83">
            <v>0</v>
          </cell>
          <cell r="BD83">
            <v>0</v>
          </cell>
          <cell r="BE83">
            <v>199.6975825807711</v>
          </cell>
          <cell r="BF83">
            <v>37.73185485704402</v>
          </cell>
          <cell r="BG83">
            <v>-8.0800274033346202</v>
          </cell>
          <cell r="BH83">
            <v>0</v>
          </cell>
          <cell r="BI83">
            <v>0</v>
          </cell>
          <cell r="BJ83">
            <v>0</v>
          </cell>
          <cell r="BK83">
            <v>258.00534552433737</v>
          </cell>
          <cell r="EA83">
            <v>949.39279370107397</v>
          </cell>
          <cell r="EL83">
            <v>8986.3905166666627</v>
          </cell>
          <cell r="EM83">
            <v>-2503.5734934507809</v>
          </cell>
          <cell r="EN83">
            <v>0</v>
          </cell>
          <cell r="EO83">
            <v>-349.22924087322838</v>
          </cell>
          <cell r="EP83">
            <v>0</v>
          </cell>
          <cell r="EQ83">
            <v>-704.12738807072924</v>
          </cell>
          <cell r="ER83">
            <v>-42.934193964056661</v>
          </cell>
          <cell r="ES83">
            <v>0</v>
          </cell>
          <cell r="ET83">
            <v>-3269.0963419854379</v>
          </cell>
          <cell r="EU83">
            <v>0</v>
          </cell>
          <cell r="EV83">
            <v>-1317.4374257934383</v>
          </cell>
          <cell r="EW83">
            <v>-122.9013645049138</v>
          </cell>
          <cell r="EX83">
            <v>1193.9706617648453</v>
          </cell>
          <cell r="EY83">
            <v>0</v>
          </cell>
          <cell r="EZ83">
            <v>0</v>
          </cell>
          <cell r="FA83">
            <v>-7681.5897658333324</v>
          </cell>
          <cell r="FB83">
            <v>0</v>
          </cell>
          <cell r="FC83">
            <v>0</v>
          </cell>
          <cell r="FD83">
            <v>-208.14522520756066</v>
          </cell>
          <cell r="FE83">
            <v>0</v>
          </cell>
          <cell r="FF83">
            <v>7963.335371938625</v>
          </cell>
          <cell r="FG83">
            <v>122.9013645049138</v>
          </cell>
          <cell r="FH83">
            <v>0</v>
          </cell>
          <cell r="FI83">
            <v>0</v>
          </cell>
          <cell r="FJ83">
            <v>-646.64538259688675</v>
          </cell>
          <cell r="FK83">
            <v>0</v>
          </cell>
          <cell r="FL83">
            <v>0</v>
          </cell>
          <cell r="FM83">
            <v>-301.95412806320167</v>
          </cell>
          <cell r="FN83">
            <v>-36.652240917220254</v>
          </cell>
          <cell r="FO83">
            <v>-548.43492518675816</v>
          </cell>
          <cell r="FP83">
            <v>-271.45879951374843</v>
          </cell>
          <cell r="FR83">
            <v>-398.78023002621967</v>
          </cell>
          <cell r="FS83">
            <v>86.006729756583013</v>
          </cell>
          <cell r="FT83">
            <v>0</v>
          </cell>
          <cell r="FU83">
            <v>5.1534287349480419</v>
          </cell>
          <cell r="FV83">
            <v>59.803082722688657</v>
          </cell>
          <cell r="FW83">
            <v>0</v>
          </cell>
          <cell r="FX83">
            <v>19.440868896326002</v>
          </cell>
          <cell r="FY83">
            <v>2.6933424677782067</v>
          </cell>
          <cell r="FZ83">
            <v>-27.183242969240723</v>
          </cell>
          <cell r="GA83">
            <v>0</v>
          </cell>
          <cell r="GB83">
            <v>0</v>
          </cell>
          <cell r="GC83">
            <v>66.565860860257033</v>
          </cell>
          <cell r="GD83">
            <v>12.577284952348005</v>
          </cell>
          <cell r="GE83">
            <v>-2.6933424677782067</v>
          </cell>
          <cell r="GF83">
            <v>0</v>
          </cell>
          <cell r="GG83">
            <v>0</v>
          </cell>
          <cell r="GH83">
            <v>0</v>
          </cell>
          <cell r="GI83">
            <v>86.00178184144329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&amp;C"/>
      <sheetName val="Retail"/>
      <sheetName val="SME"/>
      <sheetName val="MidCorp"/>
      <sheetName val="MGA"/>
      <sheetName val="Bancassurance"/>
      <sheetName val="Specials"/>
      <sheetName val="S2 Retail Motor"/>
      <sheetName val="S2 Retail Non-Motor"/>
      <sheetName val="S2 SMC"/>
      <sheetName val="S2 Fleet"/>
      <sheetName val="S2 MidCorp Property"/>
      <sheetName val="S2 MidCorp Engineering"/>
      <sheetName val="S2 MidCorp Liability"/>
      <sheetName val="S2 MidCorp Other"/>
      <sheetName val="H7"/>
      <sheetName val="H9"/>
      <sheetName val="A"/>
    </sheetNames>
    <sheetDataSet>
      <sheetData sheetId="0" refreshError="1">
        <row r="21">
          <cell r="C21">
            <v>101852.46305000001</v>
          </cell>
          <cell r="N21">
            <v>81039.047040000019</v>
          </cell>
          <cell r="O21">
            <v>5211.2876699999997</v>
          </cell>
          <cell r="P21">
            <v>0</v>
          </cell>
          <cell r="Q21">
            <v>-15.778</v>
          </cell>
          <cell r="R21">
            <v>106.57903000000002</v>
          </cell>
          <cell r="S21">
            <v>-3089.7096899999997</v>
          </cell>
          <cell r="T21">
            <v>-750.40758000000005</v>
          </cell>
          <cell r="U21">
            <v>-2307.8780200000001</v>
          </cell>
          <cell r="V21">
            <v>-55528.954717881039</v>
          </cell>
          <cell r="W21">
            <v>0</v>
          </cell>
          <cell r="X21">
            <v>-11760.662612118962</v>
          </cell>
          <cell r="Y21">
            <v>-810.83192000000008</v>
          </cell>
          <cell r="Z21">
            <v>5839.0772500000003</v>
          </cell>
          <cell r="AA21">
            <v>92.722250000000003</v>
          </cell>
          <cell r="AB21">
            <v>-1490</v>
          </cell>
          <cell r="AC21">
            <v>-63937.03919000001</v>
          </cell>
          <cell r="AD21">
            <v>1863.6040099999998</v>
          </cell>
          <cell r="AE21">
            <v>-1903.9401599999999</v>
          </cell>
          <cell r="AF21">
            <v>-2233.8998700000002</v>
          </cell>
          <cell r="AG21">
            <v>0</v>
          </cell>
          <cell r="AH21">
            <v>48894.035380000008</v>
          </cell>
          <cell r="AI21">
            <v>7821.6785099999997</v>
          </cell>
          <cell r="AJ21">
            <v>12233.929870000002</v>
          </cell>
          <cell r="AK21">
            <v>-408.26399999999995</v>
          </cell>
          <cell r="AL21">
            <v>-12743.286330000003</v>
          </cell>
          <cell r="AM21">
            <v>10447.516759999999</v>
          </cell>
          <cell r="AN21">
            <v>-8384.5789100000002</v>
          </cell>
          <cell r="AO21">
            <v>-2124.9268000000002</v>
          </cell>
          <cell r="AP21">
            <v>-354.53798</v>
          </cell>
          <cell r="AQ21">
            <v>-3471.0678399999997</v>
          </cell>
          <cell r="AR21">
            <v>-1845.8816999999999</v>
          </cell>
          <cell r="AT21">
            <v>-1794.3241399999997</v>
          </cell>
          <cell r="AU21">
            <v>-150.09875999999997</v>
          </cell>
          <cell r="AV21">
            <v>0</v>
          </cell>
          <cell r="AW21">
            <v>0</v>
          </cell>
          <cell r="AX21">
            <v>636.3609687438036</v>
          </cell>
          <cell r="AY21">
            <v>0</v>
          </cell>
          <cell r="AZ21">
            <v>230.1278212561964</v>
          </cell>
          <cell r="BA21">
            <v>10.34872</v>
          </cell>
          <cell r="BB21">
            <v>-76.848190000000002</v>
          </cell>
          <cell r="BC21">
            <v>-1.2184300000000001</v>
          </cell>
          <cell r="BD21">
            <v>0</v>
          </cell>
          <cell r="BE21">
            <v>2963.9009300000007</v>
          </cell>
          <cell r="BF21">
            <v>-2417.9873600000001</v>
          </cell>
          <cell r="BG21">
            <v>-546.9117500000001</v>
          </cell>
          <cell r="BH21">
            <v>-2636.65933</v>
          </cell>
          <cell r="BI21">
            <v>25.46407</v>
          </cell>
          <cell r="BJ21">
            <v>4.8714809963712468E-14</v>
          </cell>
          <cell r="BK21">
            <v>-3370.0129999999845</v>
          </cell>
        </row>
        <row r="22">
          <cell r="C22">
            <v>96395.390019999992</v>
          </cell>
          <cell r="N22">
            <v>74587.587539999993</v>
          </cell>
          <cell r="O22">
            <v>3618.8983599999997</v>
          </cell>
          <cell r="P22">
            <v>0</v>
          </cell>
          <cell r="Q22">
            <v>-371.14800000000002</v>
          </cell>
          <cell r="R22">
            <v>147.94083999999998</v>
          </cell>
          <cell r="S22">
            <v>-3712.2104999999997</v>
          </cell>
          <cell r="T22">
            <v>-274.30576000000002</v>
          </cell>
          <cell r="U22">
            <v>-1915.0684999999999</v>
          </cell>
          <cell r="V22">
            <v>-46136.340703637841</v>
          </cell>
          <cell r="W22">
            <v>0</v>
          </cell>
          <cell r="X22">
            <v>-10688.88340636216</v>
          </cell>
          <cell r="Y22">
            <v>-932.24615999999992</v>
          </cell>
          <cell r="Z22">
            <v>4401.2449399999996</v>
          </cell>
          <cell r="AA22">
            <v>107.05873000000001</v>
          </cell>
          <cell r="AB22">
            <v>-300</v>
          </cell>
          <cell r="AC22">
            <v>-65077.427549999986</v>
          </cell>
          <cell r="AD22">
            <v>1834.1539100000005</v>
          </cell>
          <cell r="AE22">
            <v>-2336.3560400000001</v>
          </cell>
          <cell r="AF22">
            <v>-2407.67922</v>
          </cell>
          <cell r="AG22">
            <v>0</v>
          </cell>
          <cell r="AH22">
            <v>65208.920250000003</v>
          </cell>
          <cell r="AI22">
            <v>723.48876000000018</v>
          </cell>
          <cell r="AJ22">
            <v>2193.1666</v>
          </cell>
          <cell r="AK22">
            <v>113.71762999999999</v>
          </cell>
          <cell r="AL22">
            <v>-12098.595860000003</v>
          </cell>
          <cell r="AM22">
            <v>10359.813409999999</v>
          </cell>
          <cell r="AN22">
            <v>-8220.0498700000007</v>
          </cell>
          <cell r="AO22">
            <v>-1679.67391</v>
          </cell>
          <cell r="AP22">
            <v>-329.86223000000001</v>
          </cell>
          <cell r="AQ22">
            <v>-3396.0951199999995</v>
          </cell>
          <cell r="AR22">
            <v>-1907.1647700000001</v>
          </cell>
          <cell r="AT22">
            <v>-4961.3434300000026</v>
          </cell>
          <cell r="AU22">
            <v>-6.3577000000000012</v>
          </cell>
          <cell r="AV22">
            <v>0</v>
          </cell>
          <cell r="AW22">
            <v>0</v>
          </cell>
          <cell r="AX22">
            <v>3375.4646898204537</v>
          </cell>
          <cell r="AY22">
            <v>0</v>
          </cell>
          <cell r="AZ22">
            <v>112.17310017954662</v>
          </cell>
          <cell r="BA22">
            <v>52.111210000000007</v>
          </cell>
          <cell r="BB22">
            <v>-269.27563999999995</v>
          </cell>
          <cell r="BC22">
            <v>-6.04122</v>
          </cell>
          <cell r="BD22">
            <v>0</v>
          </cell>
          <cell r="BE22">
            <v>3681.8604200000004</v>
          </cell>
          <cell r="BF22">
            <v>-2421.9342799999827</v>
          </cell>
          <cell r="BG22">
            <v>179.12374000000003</v>
          </cell>
          <cell r="BH22">
            <v>-418.07105999999999</v>
          </cell>
          <cell r="BI22">
            <v>-34.259120000000003</v>
          </cell>
          <cell r="BJ22">
            <v>-8.0145667880060492E-14</v>
          </cell>
          <cell r="BK22">
            <v>796.33408000002851</v>
          </cell>
        </row>
        <row r="23">
          <cell r="C23">
            <v>96048.208255777383</v>
          </cell>
          <cell r="N23">
            <v>75901.373670891961</v>
          </cell>
          <cell r="O23">
            <v>-13794.078081654763</v>
          </cell>
          <cell r="P23">
            <v>0</v>
          </cell>
          <cell r="Q23">
            <v>-3420.0400704312324</v>
          </cell>
          <cell r="R23">
            <v>0</v>
          </cell>
          <cell r="S23">
            <v>-5820.6585719138393</v>
          </cell>
          <cell r="T23">
            <v>-392.75439204110501</v>
          </cell>
          <cell r="U23">
            <v>0</v>
          </cell>
          <cell r="V23">
            <v>-28728.13770732002</v>
          </cell>
          <cell r="W23">
            <v>0</v>
          </cell>
          <cell r="X23">
            <v>-7332.9472464777509</v>
          </cell>
          <cell r="Y23">
            <v>-890.28732478892073</v>
          </cell>
          <cell r="Z23">
            <v>3480.27110769927</v>
          </cell>
          <cell r="AA23">
            <v>0</v>
          </cell>
          <cell r="AB23">
            <v>0</v>
          </cell>
          <cell r="AC23">
            <v>-42731.62288428098</v>
          </cell>
          <cell r="AD23">
            <v>0</v>
          </cell>
          <cell r="AE23">
            <v>0</v>
          </cell>
          <cell r="AF23">
            <v>-1940.1348814904886</v>
          </cell>
          <cell r="AG23">
            <v>0</v>
          </cell>
          <cell r="AH23">
            <v>45287.757765771465</v>
          </cell>
          <cell r="AI23">
            <v>890.28732478892073</v>
          </cell>
          <cell r="AJ23">
            <v>0</v>
          </cell>
          <cell r="AK23">
            <v>0</v>
          </cell>
          <cell r="AL23">
            <v>-10159.065555682871</v>
          </cell>
          <cell r="AM23">
            <v>0</v>
          </cell>
          <cell r="AN23">
            <v>0</v>
          </cell>
          <cell r="AO23">
            <v>-2189.3198371820399</v>
          </cell>
          <cell r="AP23">
            <v>-363.7227200625515</v>
          </cell>
          <cell r="AQ23">
            <v>-3728.4539542183315</v>
          </cell>
          <cell r="AR23">
            <v>-2504.8595066408884</v>
          </cell>
          <cell r="AT23">
            <v>-5531.2122315965989</v>
          </cell>
          <cell r="AU23">
            <v>1094.0390584153952</v>
          </cell>
          <cell r="AV23">
            <v>0</v>
          </cell>
          <cell r="AW23">
            <v>95.653265473635798</v>
          </cell>
          <cell r="AX23">
            <v>1761.0402264963463</v>
          </cell>
          <cell r="AY23">
            <v>0</v>
          </cell>
          <cell r="AZ23">
            <v>182.83108896971257</v>
          </cell>
          <cell r="BA23">
            <v>48.246727829834704</v>
          </cell>
          <cell r="BB23">
            <v>-197.13073180349991</v>
          </cell>
          <cell r="BC23">
            <v>0</v>
          </cell>
          <cell r="BD23">
            <v>0</v>
          </cell>
          <cell r="BE23">
            <v>1587.3501070895945</v>
          </cell>
          <cell r="BF23">
            <v>-2294.6163095895945</v>
          </cell>
          <cell r="BG23">
            <v>-48.246727829834704</v>
          </cell>
          <cell r="BH23">
            <v>0</v>
          </cell>
          <cell r="BI23">
            <v>0</v>
          </cell>
          <cell r="BJ23">
            <v>0</v>
          </cell>
          <cell r="BK23">
            <v>-1738.4383915791796</v>
          </cell>
        </row>
        <row r="25">
          <cell r="C25">
            <v>78490.915099999998</v>
          </cell>
          <cell r="N25">
            <v>61377.565589999991</v>
          </cell>
          <cell r="O25">
            <v>-14188.281260000002</v>
          </cell>
          <cell r="P25">
            <v>-9.9448799999999995</v>
          </cell>
          <cell r="Q25">
            <v>0</v>
          </cell>
          <cell r="R25">
            <v>1212.34313</v>
          </cell>
          <cell r="S25">
            <v>-2147.2944299999995</v>
          </cell>
          <cell r="T25">
            <v>-262.92165</v>
          </cell>
          <cell r="U25">
            <v>0</v>
          </cell>
          <cell r="V25">
            <v>-19742.51499</v>
          </cell>
          <cell r="W25">
            <v>-16.53576</v>
          </cell>
          <cell r="X25">
            <v>0</v>
          </cell>
          <cell r="Y25">
            <v>-60.054879999999997</v>
          </cell>
          <cell r="Z25">
            <v>287.34414000000004</v>
          </cell>
          <cell r="AA25">
            <v>0.85797999999999996</v>
          </cell>
          <cell r="AB25">
            <v>-60</v>
          </cell>
          <cell r="AC25">
            <v>-26719.985650000002</v>
          </cell>
          <cell r="AD25">
            <v>10564.815399999999</v>
          </cell>
          <cell r="AE25">
            <v>-696.61743000000001</v>
          </cell>
          <cell r="AF25">
            <v>-506.79698999999999</v>
          </cell>
          <cell r="AG25">
            <v>0</v>
          </cell>
          <cell r="AH25">
            <v>16467.339479999999</v>
          </cell>
          <cell r="AI25">
            <v>548.93783000000008</v>
          </cell>
          <cell r="AJ25">
            <v>182.65691999999999</v>
          </cell>
          <cell r="AK25">
            <v>-4.7380699999999996</v>
          </cell>
          <cell r="AL25">
            <v>-13385.207540000003</v>
          </cell>
          <cell r="AM25">
            <v>12444.222689999999</v>
          </cell>
          <cell r="AN25">
            <v>-9921.1656900000016</v>
          </cell>
          <cell r="AO25">
            <v>-2115.6909499999997</v>
          </cell>
          <cell r="AP25">
            <v>-291.80660999999998</v>
          </cell>
          <cell r="AQ25">
            <v>-3190.8585899999998</v>
          </cell>
          <cell r="AR25">
            <v>-1632.0293899999999</v>
          </cell>
          <cell r="AT25">
            <v>-1543.1400699999992</v>
          </cell>
          <cell r="AU25">
            <v>64.904989999999984</v>
          </cell>
          <cell r="AV25">
            <v>0</v>
          </cell>
          <cell r="AW25">
            <v>0</v>
          </cell>
          <cell r="AX25">
            <v>387.14400000000001</v>
          </cell>
          <cell r="AY25">
            <v>0</v>
          </cell>
          <cell r="AZ25">
            <v>0</v>
          </cell>
          <cell r="BA25">
            <v>1.27044</v>
          </cell>
          <cell r="BB25">
            <v>-5.9336299999999991</v>
          </cell>
          <cell r="BC25">
            <v>-1.797E-2</v>
          </cell>
          <cell r="BD25">
            <v>0</v>
          </cell>
          <cell r="BE25">
            <v>259.85404</v>
          </cell>
          <cell r="BF25">
            <v>-808.05399999999997</v>
          </cell>
          <cell r="BG25">
            <v>-6.7381799999999981</v>
          </cell>
          <cell r="BH25">
            <v>-7.5840700000000014</v>
          </cell>
          <cell r="BI25">
            <v>1.5309999999999995E-2</v>
          </cell>
          <cell r="BJ25">
            <v>6.5483618527650828E-14</v>
          </cell>
          <cell r="BK25">
            <v>6475.3592599999829</v>
          </cell>
        </row>
        <row r="26">
          <cell r="C26">
            <v>78453.522500000006</v>
          </cell>
          <cell r="N26">
            <v>60349.44425</v>
          </cell>
          <cell r="O26">
            <v>-12557.437879999998</v>
          </cell>
          <cell r="P26">
            <v>0</v>
          </cell>
          <cell r="Q26">
            <v>0</v>
          </cell>
          <cell r="R26">
            <v>1008.29076</v>
          </cell>
          <cell r="S26">
            <v>-2200.7004699999993</v>
          </cell>
          <cell r="T26">
            <v>-271.41931</v>
          </cell>
          <cell r="U26">
            <v>0</v>
          </cell>
          <cell r="V26">
            <v>-22470.2356</v>
          </cell>
          <cell r="W26">
            <v>0</v>
          </cell>
          <cell r="X26">
            <v>0</v>
          </cell>
          <cell r="Y26">
            <v>-199.59834000000001</v>
          </cell>
          <cell r="Z26">
            <v>370.99539000000004</v>
          </cell>
          <cell r="AA26">
            <v>3.37331</v>
          </cell>
          <cell r="AB26">
            <v>-380</v>
          </cell>
          <cell r="AC26">
            <v>-29379.749670000005</v>
          </cell>
          <cell r="AD26">
            <v>10700.016589999999</v>
          </cell>
          <cell r="AE26">
            <v>-684.32593000000008</v>
          </cell>
          <cell r="AF26">
            <v>-575.50356999999997</v>
          </cell>
          <cell r="AG26">
            <v>0</v>
          </cell>
          <cell r="AH26">
            <v>21283.280340000001</v>
          </cell>
          <cell r="AI26">
            <v>237.56621999999999</v>
          </cell>
          <cell r="AJ26">
            <v>-17.811270000000007</v>
          </cell>
          <cell r="AK26">
            <v>-0.60684000000000027</v>
          </cell>
          <cell r="AL26">
            <v>-13018.730369999997</v>
          </cell>
          <cell r="AM26">
            <v>11811.4643</v>
          </cell>
          <cell r="AN26">
            <v>-9184.4868700000006</v>
          </cell>
          <cell r="AO26">
            <v>-2260.0992899999997</v>
          </cell>
          <cell r="AP26">
            <v>-286.01348999999999</v>
          </cell>
          <cell r="AQ26">
            <v>-2771.6824299999998</v>
          </cell>
          <cell r="AR26">
            <v>-1634.0110099999999</v>
          </cell>
          <cell r="AT26">
            <v>-2071.7778800000001</v>
          </cell>
          <cell r="AU26">
            <v>33.644950000000001</v>
          </cell>
          <cell r="AV26">
            <v>0</v>
          </cell>
          <cell r="AW26">
            <v>0</v>
          </cell>
          <cell r="AX26">
            <v>458.59134</v>
          </cell>
          <cell r="AY26">
            <v>0</v>
          </cell>
          <cell r="AZ26">
            <v>0</v>
          </cell>
          <cell r="BA26">
            <v>5.7905099999999994</v>
          </cell>
          <cell r="BB26">
            <v>-7.7794900000000009</v>
          </cell>
          <cell r="BC26">
            <v>-8.9459999999999998E-2</v>
          </cell>
          <cell r="BD26">
            <v>0</v>
          </cell>
          <cell r="BE26">
            <v>560.96562999999992</v>
          </cell>
          <cell r="BF26">
            <v>-882.55004000000019</v>
          </cell>
          <cell r="BG26">
            <v>-13.868260000000001</v>
          </cell>
          <cell r="BH26">
            <v>-7.3623199999999995</v>
          </cell>
          <cell r="BI26">
            <v>-2.3470000000000005E-2</v>
          </cell>
          <cell r="BJ26">
            <v>3.3651303965598343E-14</v>
          </cell>
          <cell r="BK26">
            <v>5947.5603300000139</v>
          </cell>
        </row>
        <row r="27">
          <cell r="C27">
            <v>82499.768435819482</v>
          </cell>
          <cell r="N27">
            <v>64410.929722595247</v>
          </cell>
          <cell r="O27">
            <v>-24386.053189086204</v>
          </cell>
          <cell r="P27">
            <v>-1341.6765270368646</v>
          </cell>
          <cell r="Q27">
            <v>0</v>
          </cell>
          <cell r="R27">
            <v>0</v>
          </cell>
          <cell r="S27">
            <v>-3372.422347421189</v>
          </cell>
          <cell r="T27">
            <v>-1111.5318908308993</v>
          </cell>
          <cell r="U27">
            <v>0</v>
          </cell>
          <cell r="V27">
            <v>-7563.7431829886063</v>
          </cell>
          <cell r="W27">
            <v>-433.3234729631356</v>
          </cell>
          <cell r="X27">
            <v>0</v>
          </cell>
          <cell r="Y27">
            <v>-216.98655665058635</v>
          </cell>
          <cell r="Z27">
            <v>111.22431825065473</v>
          </cell>
          <cell r="AA27">
            <v>0</v>
          </cell>
          <cell r="AB27">
            <v>0</v>
          </cell>
          <cell r="AC27">
            <v>-6198.8167564958658</v>
          </cell>
          <cell r="AD27">
            <v>0</v>
          </cell>
          <cell r="AE27">
            <v>0</v>
          </cell>
          <cell r="AF27">
            <v>-505.26384077078137</v>
          </cell>
          <cell r="AG27">
            <v>0</v>
          </cell>
          <cell r="AH27">
            <v>7061.3305972666467</v>
          </cell>
          <cell r="AI27">
            <v>216.98655665058635</v>
          </cell>
          <cell r="AJ27">
            <v>0</v>
          </cell>
          <cell r="AK27">
            <v>0</v>
          </cell>
          <cell r="AL27">
            <v>-11221.580117000385</v>
          </cell>
          <cell r="AM27">
            <v>0</v>
          </cell>
          <cell r="AN27">
            <v>0</v>
          </cell>
          <cell r="AO27">
            <v>-2179.0454276790247</v>
          </cell>
          <cell r="AP27">
            <v>-298.83095828504628</v>
          </cell>
          <cell r="AQ27">
            <v>-3459.7212998501491</v>
          </cell>
          <cell r="AR27">
            <v>-2297.3764308292216</v>
          </cell>
          <cell r="AT27">
            <v>-3269.7601462183616</v>
          </cell>
          <cell r="AU27">
            <v>688.16131196184847</v>
          </cell>
          <cell r="AV27">
            <v>207.86537742824657</v>
          </cell>
          <cell r="AW27">
            <v>0</v>
          </cell>
          <cell r="AX27">
            <v>242.95634169365223</v>
          </cell>
          <cell r="AY27">
            <v>67.134622571753368</v>
          </cell>
          <cell r="AZ27">
            <v>0</v>
          </cell>
          <cell r="BA27">
            <v>6.5045012720486666</v>
          </cell>
          <cell r="BB27">
            <v>-3.3223771286095016</v>
          </cell>
          <cell r="BC27">
            <v>0</v>
          </cell>
          <cell r="BD27">
            <v>0</v>
          </cell>
          <cell r="BE27">
            <v>228.06401941937378</v>
          </cell>
          <cell r="BF27">
            <v>-228.06401941937378</v>
          </cell>
          <cell r="BG27">
            <v>-6.5045012720486666</v>
          </cell>
          <cell r="BH27">
            <v>0</v>
          </cell>
          <cell r="BI27">
            <v>0</v>
          </cell>
          <cell r="BJ27">
            <v>0</v>
          </cell>
          <cell r="BK27">
            <v>5147.1343271837031</v>
          </cell>
        </row>
        <row r="29">
          <cell r="C29">
            <v>180343.37815</v>
          </cell>
          <cell r="N29">
            <v>142416.61263000002</v>
          </cell>
          <cell r="O29">
            <v>-8976.9935900000019</v>
          </cell>
          <cell r="P29">
            <v>-9.9448799999999995</v>
          </cell>
          <cell r="Q29">
            <v>-15.778</v>
          </cell>
          <cell r="R29">
            <v>1318.9221600000001</v>
          </cell>
          <cell r="S29">
            <v>-5237.0041199999996</v>
          </cell>
          <cell r="T29">
            <v>-1013.3292300000001</v>
          </cell>
          <cell r="U29">
            <v>-2307.8780200000001</v>
          </cell>
          <cell r="V29">
            <v>-75271.469707881042</v>
          </cell>
          <cell r="W29">
            <v>-16.53576</v>
          </cell>
          <cell r="X29">
            <v>-11760.662612118962</v>
          </cell>
          <cell r="Y29">
            <v>-870.88680000000011</v>
          </cell>
          <cell r="Z29">
            <v>6126.4213900000004</v>
          </cell>
          <cell r="AA29">
            <v>93.58023</v>
          </cell>
          <cell r="AB29">
            <v>-1550</v>
          </cell>
          <cell r="AC29">
            <v>-90657.024840000013</v>
          </cell>
          <cell r="AD29">
            <v>12428.419409999999</v>
          </cell>
          <cell r="AE29">
            <v>-2600.5575899999999</v>
          </cell>
          <cell r="AF29">
            <v>-2740.69686</v>
          </cell>
          <cell r="AG29">
            <v>0</v>
          </cell>
          <cell r="AH29">
            <v>65361.374860000011</v>
          </cell>
          <cell r="AI29">
            <v>8370.6163400000005</v>
          </cell>
          <cell r="AJ29">
            <v>12416.586790000001</v>
          </cell>
          <cell r="AK29">
            <v>-413.00206999999995</v>
          </cell>
          <cell r="AL29">
            <v>-26128.493870000006</v>
          </cell>
          <cell r="AM29">
            <v>22891.739449999997</v>
          </cell>
          <cell r="AN29">
            <v>-18305.744600000002</v>
          </cell>
          <cell r="AO29">
            <v>-4240.6177499999994</v>
          </cell>
          <cell r="AP29">
            <v>-646.34458999999993</v>
          </cell>
          <cell r="AQ29">
            <v>-6661.9264299999995</v>
          </cell>
          <cell r="AR29">
            <v>-3477.9110899999996</v>
          </cell>
          <cell r="AT29">
            <v>-3337.4642099999992</v>
          </cell>
          <cell r="AU29">
            <v>-85.193769999999986</v>
          </cell>
          <cell r="AV29">
            <v>0</v>
          </cell>
          <cell r="AW29">
            <v>0</v>
          </cell>
          <cell r="AX29">
            <v>1023.5049687438036</v>
          </cell>
          <cell r="AY29">
            <v>0</v>
          </cell>
          <cell r="AZ29">
            <v>230.1278212561964</v>
          </cell>
          <cell r="BA29">
            <v>11.619160000000001</v>
          </cell>
          <cell r="BB29">
            <v>-82.781819999999996</v>
          </cell>
          <cell r="BC29">
            <v>-1.2364000000000002</v>
          </cell>
          <cell r="BD29">
            <v>0</v>
          </cell>
          <cell r="BE29">
            <v>3223.7549700000009</v>
          </cell>
          <cell r="BF29">
            <v>-3226.0413600000002</v>
          </cell>
          <cell r="BG29">
            <v>-553.64993000000004</v>
          </cell>
          <cell r="BH29">
            <v>-2644.2433999999998</v>
          </cell>
          <cell r="BI29">
            <v>25.479379999999999</v>
          </cell>
          <cell r="BJ29">
            <v>1.141984284913633E-13</v>
          </cell>
          <cell r="BK29">
            <v>3105.3462599999984</v>
          </cell>
          <cell r="EA29">
            <v>40019.099860000017</v>
          </cell>
          <cell r="EL29">
            <v>49735.999140000007</v>
          </cell>
          <cell r="EM29">
            <v>-9086.3666000000012</v>
          </cell>
          <cell r="EN29">
            <v>-9.9448799999999995</v>
          </cell>
          <cell r="EO29">
            <v>-6.5050000000000008</v>
          </cell>
          <cell r="EP29">
            <v>1001.09169</v>
          </cell>
          <cell r="EQ29">
            <v>-1737.1299299999989</v>
          </cell>
          <cell r="ER29">
            <v>-645.12260000000003</v>
          </cell>
          <cell r="ES29">
            <v>-769.29295000000002</v>
          </cell>
          <cell r="ET29">
            <v>-20398.649214055982</v>
          </cell>
          <cell r="EU29">
            <v>-16.53576</v>
          </cell>
          <cell r="EV29">
            <v>-4705.5061559440201</v>
          </cell>
          <cell r="EW29">
            <v>-870.88680000000011</v>
          </cell>
          <cell r="EX29">
            <v>2089.8801500000004</v>
          </cell>
          <cell r="EY29">
            <v>93.58023</v>
          </cell>
          <cell r="EZ29">
            <v>-1550</v>
          </cell>
          <cell r="FA29">
            <v>-25523.027390000003</v>
          </cell>
          <cell r="FB29">
            <v>4058.5569499999997</v>
          </cell>
          <cell r="FC29">
            <v>-668.77180999999973</v>
          </cell>
          <cell r="FD29">
            <v>-701.64709000000016</v>
          </cell>
          <cell r="FE29">
            <v>0</v>
          </cell>
          <cell r="FF29">
            <v>6967.420879999996</v>
          </cell>
          <cell r="FG29">
            <v>8370.6163400000005</v>
          </cell>
          <cell r="FH29">
            <v>14599.605810000003</v>
          </cell>
          <cell r="FI29">
            <v>-413.00206999999995</v>
          </cell>
          <cell r="FJ29">
            <v>-6381.4261300000016</v>
          </cell>
          <cell r="FK29">
            <v>6405.243269999999</v>
          </cell>
          <cell r="FL29">
            <v>-7537.9123099999997</v>
          </cell>
          <cell r="FM29">
            <v>-1280.7814699999999</v>
          </cell>
          <cell r="FN29">
            <v>-310.36639000000002</v>
          </cell>
          <cell r="FO29">
            <v>-2188.3086599999992</v>
          </cell>
          <cell r="FP29">
            <v>-1346.7030199999999</v>
          </cell>
          <cell r="FR29">
            <v>-1481.3583299999993</v>
          </cell>
          <cell r="FS29">
            <v>-5.7613699999999994</v>
          </cell>
          <cell r="FT29">
            <v>0</v>
          </cell>
          <cell r="FU29">
            <v>0</v>
          </cell>
          <cell r="FV29">
            <v>593.97983504026354</v>
          </cell>
          <cell r="FW29">
            <v>0</v>
          </cell>
          <cell r="FX29">
            <v>141.81895495973654</v>
          </cell>
          <cell r="FY29">
            <v>11.619160000000001</v>
          </cell>
          <cell r="FZ29">
            <v>-51.595939999999999</v>
          </cell>
          <cell r="GA29">
            <v>-1.2364000000000002</v>
          </cell>
          <cell r="GB29">
            <v>0</v>
          </cell>
          <cell r="GC29">
            <v>1209.1000600000004</v>
          </cell>
          <cell r="GD29">
            <v>-1256.0311099999954</v>
          </cell>
          <cell r="GE29">
            <v>-553.64993000000004</v>
          </cell>
          <cell r="GF29">
            <v>-2427.20325</v>
          </cell>
          <cell r="GG29">
            <v>25.479379999999999</v>
          </cell>
          <cell r="GH29">
            <v>1.141984284913633E-13</v>
          </cell>
          <cell r="GI29">
            <v>3379.2692900000038</v>
          </cell>
        </row>
        <row r="30">
          <cell r="C30">
            <v>174848.91252000001</v>
          </cell>
          <cell r="N30">
            <v>134937.03178999998</v>
          </cell>
          <cell r="O30">
            <v>-8938.5395199999984</v>
          </cell>
          <cell r="P30">
            <v>0</v>
          </cell>
          <cell r="Q30">
            <v>-371.14800000000002</v>
          </cell>
          <cell r="R30">
            <v>1156.2316000000001</v>
          </cell>
          <cell r="S30">
            <v>-5912.910969999999</v>
          </cell>
          <cell r="T30">
            <v>-545.72506999999996</v>
          </cell>
          <cell r="U30">
            <v>-1915.0684999999999</v>
          </cell>
          <cell r="V30">
            <v>-68606.576303637848</v>
          </cell>
          <cell r="W30">
            <v>0</v>
          </cell>
          <cell r="X30">
            <v>-10688.88340636216</v>
          </cell>
          <cell r="Y30">
            <v>-1131.8444999999999</v>
          </cell>
          <cell r="Z30">
            <v>4772.2403299999996</v>
          </cell>
          <cell r="AA30">
            <v>110.43204000000001</v>
          </cell>
          <cell r="AB30">
            <v>-680</v>
          </cell>
          <cell r="AC30">
            <v>-94457.177219999983</v>
          </cell>
          <cell r="AD30">
            <v>12534.1705</v>
          </cell>
          <cell r="AE30">
            <v>-3020.6819700000001</v>
          </cell>
          <cell r="AF30">
            <v>-2983.1827899999998</v>
          </cell>
          <cell r="AG30">
            <v>0</v>
          </cell>
          <cell r="AH30">
            <v>86492.200590000008</v>
          </cell>
          <cell r="AI30">
            <v>961.05498000000011</v>
          </cell>
          <cell r="AJ30">
            <v>2175.3553299999999</v>
          </cell>
          <cell r="AK30">
            <v>113.11078999999998</v>
          </cell>
          <cell r="AL30">
            <v>-25117.326229999999</v>
          </cell>
          <cell r="AM30">
            <v>22171.277709999998</v>
          </cell>
          <cell r="AN30">
            <v>-17404.536740000003</v>
          </cell>
          <cell r="AO30">
            <v>-3939.7731999999996</v>
          </cell>
          <cell r="AP30">
            <v>-615.87572</v>
          </cell>
          <cell r="AQ30">
            <v>-6167.7775499999989</v>
          </cell>
          <cell r="AR30">
            <v>-3541.17578</v>
          </cell>
          <cell r="AT30">
            <v>-7033.1213100000023</v>
          </cell>
          <cell r="AU30">
            <v>27.28725</v>
          </cell>
          <cell r="AV30">
            <v>0</v>
          </cell>
          <cell r="AW30">
            <v>0</v>
          </cell>
          <cell r="AX30">
            <v>3834.0560298204537</v>
          </cell>
          <cell r="AY30">
            <v>0</v>
          </cell>
          <cell r="AZ30">
            <v>112.17310017954662</v>
          </cell>
          <cell r="BA30">
            <v>57.901720000000005</v>
          </cell>
          <cell r="BB30">
            <v>-277.05512999999996</v>
          </cell>
          <cell r="BC30">
            <v>-6.1306799999999999</v>
          </cell>
          <cell r="BD30">
            <v>0</v>
          </cell>
          <cell r="BE30">
            <v>4242.8260500000006</v>
          </cell>
          <cell r="BF30">
            <v>-3304.4843199999827</v>
          </cell>
          <cell r="BG30">
            <v>165.25548000000003</v>
          </cell>
          <cell r="BH30">
            <v>-425.43338</v>
          </cell>
          <cell r="BI30">
            <v>-34.282590000000006</v>
          </cell>
          <cell r="BJ30">
            <v>-4.6494363914462148E-14</v>
          </cell>
          <cell r="BK30">
            <v>6743.8944100000426</v>
          </cell>
          <cell r="EA30">
            <v>39425.420449999991</v>
          </cell>
          <cell r="EL30">
            <v>48043.855260000004</v>
          </cell>
          <cell r="EM30">
            <v>-7461.5856699999986</v>
          </cell>
          <cell r="EN30">
            <v>0</v>
          </cell>
          <cell r="EO30">
            <v>-337.77600000000001</v>
          </cell>
          <cell r="EP30">
            <v>1168.6281199999999</v>
          </cell>
          <cell r="EQ30">
            <v>-1934.6167099999986</v>
          </cell>
          <cell r="ER30">
            <v>-256.11523999999997</v>
          </cell>
          <cell r="ES30">
            <v>-638.35616999999957</v>
          </cell>
          <cell r="ET30">
            <v>-21116.864750274646</v>
          </cell>
          <cell r="EU30">
            <v>0</v>
          </cell>
          <cell r="EV30">
            <v>-3172.8268897253556</v>
          </cell>
          <cell r="EW30">
            <v>-1131.8444999999999</v>
          </cell>
          <cell r="EX30">
            <v>1521.5393099999997</v>
          </cell>
          <cell r="EY30">
            <v>110.43204000000001</v>
          </cell>
          <cell r="EZ30">
            <v>-680</v>
          </cell>
          <cell r="FA30">
            <v>-23567.006129999994</v>
          </cell>
          <cell r="FB30">
            <v>3316.6967299999992</v>
          </cell>
          <cell r="FC30">
            <v>-1026.8133200000002</v>
          </cell>
          <cell r="FD30">
            <v>-900.61562000000004</v>
          </cell>
          <cell r="FE30">
            <v>0</v>
          </cell>
          <cell r="FF30">
            <v>22795.283770000002</v>
          </cell>
          <cell r="FG30">
            <v>961.05498000000011</v>
          </cell>
          <cell r="FH30">
            <v>687.19250999999974</v>
          </cell>
          <cell r="FI30">
            <v>113.11078999999998</v>
          </cell>
          <cell r="FJ30">
            <v>-6105.5313200000001</v>
          </cell>
          <cell r="FK30">
            <v>5999.1015399999997</v>
          </cell>
          <cell r="FL30">
            <v>-7022.9422700000014</v>
          </cell>
          <cell r="FM30">
            <v>-1318.3019999999997</v>
          </cell>
          <cell r="FN30">
            <v>-230.41355999999996</v>
          </cell>
          <cell r="FO30">
            <v>-1975.6351399999996</v>
          </cell>
          <cell r="FP30">
            <v>-1203.43263</v>
          </cell>
          <cell r="FR30">
            <v>-2664.789090000002</v>
          </cell>
          <cell r="FS30">
            <v>59.968029999999999</v>
          </cell>
          <cell r="FT30">
            <v>0</v>
          </cell>
          <cell r="FU30">
            <v>0</v>
          </cell>
          <cell r="FV30">
            <v>1288.655419820454</v>
          </cell>
          <cell r="FW30">
            <v>0</v>
          </cell>
          <cell r="FX30">
            <v>112.17310017954662</v>
          </cell>
          <cell r="FY30">
            <v>57.901720000000005</v>
          </cell>
          <cell r="FZ30">
            <v>-98.026119999999935</v>
          </cell>
          <cell r="GA30">
            <v>-6.1306799999999999</v>
          </cell>
          <cell r="GB30">
            <v>0</v>
          </cell>
          <cell r="GC30">
            <v>811.71284000000094</v>
          </cell>
          <cell r="GD30">
            <v>-622.82477999998684</v>
          </cell>
          <cell r="GE30">
            <v>165.25548000000003</v>
          </cell>
          <cell r="GF30">
            <v>-145.45067000000003</v>
          </cell>
          <cell r="GG30">
            <v>-34.282590000000006</v>
          </cell>
          <cell r="GH30">
            <v>-5.4569682106375692E-14</v>
          </cell>
          <cell r="GI30">
            <v>3560.3797900000191</v>
          </cell>
        </row>
        <row r="31">
          <cell r="C31">
            <v>178547.97669159685</v>
          </cell>
          <cell r="N31">
            <v>140312.30339348721</v>
          </cell>
          <cell r="O31">
            <v>-38180.131270740967</v>
          </cell>
          <cell r="P31">
            <v>-1341.6765270368646</v>
          </cell>
          <cell r="Q31">
            <v>-3420.0400704312324</v>
          </cell>
          <cell r="R31">
            <v>0</v>
          </cell>
          <cell r="S31">
            <v>-9193.0809193350287</v>
          </cell>
          <cell r="T31">
            <v>-1504.2862828720044</v>
          </cell>
          <cell r="U31">
            <v>0</v>
          </cell>
          <cell r="V31">
            <v>-36291.880890308625</v>
          </cell>
          <cell r="W31">
            <v>-433.3234729631356</v>
          </cell>
          <cell r="X31">
            <v>-7332.9472464777509</v>
          </cell>
          <cell r="Y31">
            <v>-1107.273881439507</v>
          </cell>
          <cell r="Z31">
            <v>3591.4954259499245</v>
          </cell>
          <cell r="AA31">
            <v>0</v>
          </cell>
          <cell r="AB31">
            <v>0</v>
          </cell>
          <cell r="AC31">
            <v>-48930.439640776844</v>
          </cell>
          <cell r="AD31">
            <v>0</v>
          </cell>
          <cell r="AE31">
            <v>0</v>
          </cell>
          <cell r="AF31">
            <v>-2445.39872226127</v>
          </cell>
          <cell r="AG31">
            <v>0</v>
          </cell>
          <cell r="AH31">
            <v>52349.088363038114</v>
          </cell>
          <cell r="AI31">
            <v>1107.273881439507</v>
          </cell>
          <cell r="AJ31">
            <v>0</v>
          </cell>
          <cell r="AK31">
            <v>0</v>
          </cell>
          <cell r="AL31">
            <v>-21380.645672683255</v>
          </cell>
          <cell r="AM31">
            <v>0</v>
          </cell>
          <cell r="AN31">
            <v>0</v>
          </cell>
          <cell r="AO31">
            <v>-4368.3652648610641</v>
          </cell>
          <cell r="AP31">
            <v>-662.55367834759772</v>
          </cell>
          <cell r="AQ31">
            <v>-7188.1752540684811</v>
          </cell>
          <cell r="AR31">
            <v>-4802.23593747011</v>
          </cell>
          <cell r="AT31">
            <v>-8800.9723778149601</v>
          </cell>
          <cell r="AU31">
            <v>1782.2003703772436</v>
          </cell>
          <cell r="AV31">
            <v>207.86537742824657</v>
          </cell>
          <cell r="AW31">
            <v>95.653265473635798</v>
          </cell>
          <cell r="AX31">
            <v>2003.9965681899985</v>
          </cell>
          <cell r="AY31">
            <v>67.134622571753368</v>
          </cell>
          <cell r="AZ31">
            <v>182.83108896971257</v>
          </cell>
          <cell r="BA31">
            <v>54.751229101883368</v>
          </cell>
          <cell r="BB31">
            <v>-200.45310893210942</v>
          </cell>
          <cell r="BC31">
            <v>0</v>
          </cell>
          <cell r="BD31">
            <v>0</v>
          </cell>
          <cell r="BE31">
            <v>1815.4141265089684</v>
          </cell>
          <cell r="BF31">
            <v>-2522.6803290089683</v>
          </cell>
          <cell r="BG31">
            <v>-54.751229101883368</v>
          </cell>
          <cell r="BH31">
            <v>0</v>
          </cell>
          <cell r="BI31">
            <v>0</v>
          </cell>
          <cell r="BJ31">
            <v>0</v>
          </cell>
          <cell r="BK31">
            <v>3408.6959356045236</v>
          </cell>
          <cell r="EA31">
            <v>40867.303600904474</v>
          </cell>
          <cell r="EL31">
            <v>46770.767797829074</v>
          </cell>
          <cell r="EM31">
            <v>-12726.710423580324</v>
          </cell>
          <cell r="EN31">
            <v>-447.22550901228828</v>
          </cell>
          <cell r="EO31">
            <v>-1140.0133568104106</v>
          </cell>
          <cell r="EP31">
            <v>0</v>
          </cell>
          <cell r="EQ31">
            <v>-3064.3603064450103</v>
          </cell>
          <cell r="ER31">
            <v>-501.42876095733493</v>
          </cell>
          <cell r="ES31">
            <v>0</v>
          </cell>
          <cell r="ET31">
            <v>-12097.293630102873</v>
          </cell>
          <cell r="EU31">
            <v>-144.44115765437851</v>
          </cell>
          <cell r="EV31">
            <v>-2444.3157488259176</v>
          </cell>
          <cell r="EW31">
            <v>-369.0912938131691</v>
          </cell>
          <cell r="EX31">
            <v>1197.1651419833081</v>
          </cell>
          <cell r="EY31">
            <v>0</v>
          </cell>
          <cell r="EZ31">
            <v>0</v>
          </cell>
          <cell r="FA31">
            <v>-16310.14654692562</v>
          </cell>
          <cell r="FB31">
            <v>0</v>
          </cell>
          <cell r="FC31">
            <v>0</v>
          </cell>
          <cell r="FD31">
            <v>-815.13290742042307</v>
          </cell>
          <cell r="FE31">
            <v>0</v>
          </cell>
          <cell r="FF31">
            <v>17449.696121012705</v>
          </cell>
          <cell r="FG31">
            <v>369.0912938131691</v>
          </cell>
          <cell r="FH31">
            <v>0</v>
          </cell>
          <cell r="FI31">
            <v>0</v>
          </cell>
          <cell r="FJ31">
            <v>-7126.8818908944186</v>
          </cell>
          <cell r="FK31">
            <v>0</v>
          </cell>
          <cell r="FL31">
            <v>0</v>
          </cell>
          <cell r="FM31">
            <v>-1456.121754953688</v>
          </cell>
          <cell r="FN31">
            <v>-220.8512261158659</v>
          </cell>
          <cell r="FO31">
            <v>-2396.058418022827</v>
          </cell>
          <cell r="FP31">
            <v>-1600.7453124900369</v>
          </cell>
          <cell r="FR31">
            <v>-2933.6574592716534</v>
          </cell>
          <cell r="FS31">
            <v>594.06679012574796</v>
          </cell>
          <cell r="FT31">
            <v>69.288459142748877</v>
          </cell>
          <cell r="FU31">
            <v>31.884421824545271</v>
          </cell>
          <cell r="FV31">
            <v>667.99885606333305</v>
          </cell>
          <cell r="FW31">
            <v>22.378207523917787</v>
          </cell>
          <cell r="FX31">
            <v>60.943696323237532</v>
          </cell>
          <cell r="FY31">
            <v>18.250409700627795</v>
          </cell>
          <cell r="FZ31">
            <v>-66.817702977369805</v>
          </cell>
          <cell r="GA31">
            <v>0</v>
          </cell>
          <cell r="GB31">
            <v>0</v>
          </cell>
          <cell r="GC31">
            <v>605.13804216965605</v>
          </cell>
          <cell r="GD31">
            <v>-840.89344300298944</v>
          </cell>
          <cell r="GE31">
            <v>-18.250409700627795</v>
          </cell>
          <cell r="GF31">
            <v>0</v>
          </cell>
          <cell r="GG31">
            <v>0</v>
          </cell>
          <cell r="GH31">
            <v>0</v>
          </cell>
          <cell r="GI31">
            <v>1136.2319785348486</v>
          </cell>
        </row>
        <row r="33">
          <cell r="C33">
            <v>152039.33623000002</v>
          </cell>
          <cell r="N33">
            <v>76376.395699999994</v>
          </cell>
          <cell r="O33">
            <v>-2004.6759200000001</v>
          </cell>
          <cell r="P33">
            <v>-99.749170000000021</v>
          </cell>
          <cell r="Q33">
            <v>-31.811</v>
          </cell>
          <cell r="R33">
            <v>50.593350000000001</v>
          </cell>
          <cell r="S33">
            <v>-1456.65887</v>
          </cell>
          <cell r="T33">
            <v>-1002.37454</v>
          </cell>
          <cell r="U33">
            <v>0</v>
          </cell>
          <cell r="V33">
            <v>-18999.603422591805</v>
          </cell>
          <cell r="W33">
            <v>-719.0134700000001</v>
          </cell>
          <cell r="X33">
            <v>-14548.661137408195</v>
          </cell>
          <cell r="Y33">
            <v>-266.17734000000002</v>
          </cell>
          <cell r="Z33">
            <v>848.49381999999991</v>
          </cell>
          <cell r="AA33">
            <v>6.6415899999999999</v>
          </cell>
          <cell r="AB33">
            <v>-210</v>
          </cell>
          <cell r="AC33">
            <v>-31421.946990000008</v>
          </cell>
          <cell r="AD33">
            <v>2143.1737700000003</v>
          </cell>
          <cell r="AE33">
            <v>-361.83087999999998</v>
          </cell>
          <cell r="AF33">
            <v>-1637.95201</v>
          </cell>
          <cell r="AG33">
            <v>0</v>
          </cell>
          <cell r="AH33">
            <v>31856.863670000002</v>
          </cell>
          <cell r="AI33">
            <v>1566.1819299999997</v>
          </cell>
          <cell r="AJ33">
            <v>394.04566999999975</v>
          </cell>
          <cell r="AK33">
            <v>-22.820050000000002</v>
          </cell>
          <cell r="AL33">
            <v>-27063.805270000004</v>
          </cell>
          <cell r="AM33">
            <v>22024.28023</v>
          </cell>
          <cell r="AN33">
            <v>-9958.153220000002</v>
          </cell>
          <cell r="AO33">
            <v>-4207.7165799999993</v>
          </cell>
          <cell r="AP33">
            <v>-525.23964000000001</v>
          </cell>
          <cell r="AQ33">
            <v>-3367.2503800000004</v>
          </cell>
          <cell r="AR33">
            <v>-2297.0826400000001</v>
          </cell>
          <cell r="AT33">
            <v>-7365.7881400000024</v>
          </cell>
          <cell r="AU33">
            <v>0</v>
          </cell>
          <cell r="AV33">
            <v>0</v>
          </cell>
          <cell r="AW33">
            <v>0</v>
          </cell>
          <cell r="AX33">
            <v>641.60889920197337</v>
          </cell>
          <cell r="AY33">
            <v>0</v>
          </cell>
          <cell r="AZ33">
            <v>1074.7805407980268</v>
          </cell>
          <cell r="BA33">
            <v>14.254200000000001</v>
          </cell>
          <cell r="BB33">
            <v>-38.17183</v>
          </cell>
          <cell r="BC33">
            <v>-0.27621000000000001</v>
          </cell>
          <cell r="BD33">
            <v>0</v>
          </cell>
          <cell r="BE33">
            <v>3662.1002100000001</v>
          </cell>
          <cell r="BF33">
            <v>-6178.4711600000001</v>
          </cell>
          <cell r="BG33">
            <v>-2.4083299999999923</v>
          </cell>
          <cell r="BH33">
            <v>-76.816149999999965</v>
          </cell>
          <cell r="BI33">
            <v>-7.0427199999999992</v>
          </cell>
          <cell r="BJ33">
            <v>0</v>
          </cell>
          <cell r="BK33">
            <v>6787.9165099999918</v>
          </cell>
        </row>
        <row r="34">
          <cell r="C34">
            <v>154284.82104000004</v>
          </cell>
          <cell r="N34">
            <v>76191.111679999973</v>
          </cell>
          <cell r="O34">
            <v>-1956.8644800000002</v>
          </cell>
          <cell r="P34">
            <v>0</v>
          </cell>
          <cell r="Q34">
            <v>-684.18100000000004</v>
          </cell>
          <cell r="R34">
            <v>26.308690000000002</v>
          </cell>
          <cell r="S34">
            <v>-1426.9989399999999</v>
          </cell>
          <cell r="T34">
            <v>-705.80245000000014</v>
          </cell>
          <cell r="U34">
            <v>0</v>
          </cell>
          <cell r="V34">
            <v>-21563.625905914218</v>
          </cell>
          <cell r="W34">
            <v>0</v>
          </cell>
          <cell r="X34">
            <v>-14532.920864085776</v>
          </cell>
          <cell r="Y34">
            <v>-375.61398000000003</v>
          </cell>
          <cell r="Z34">
            <v>952.11691999999994</v>
          </cell>
          <cell r="AA34">
            <v>11.328810000000001</v>
          </cell>
          <cell r="AB34">
            <v>0</v>
          </cell>
          <cell r="AC34">
            <v>-30811.687380000003</v>
          </cell>
          <cell r="AD34">
            <v>2027.1647499999999</v>
          </cell>
          <cell r="AE34">
            <v>-336.30004999999994</v>
          </cell>
          <cell r="AF34">
            <v>-1849.61121</v>
          </cell>
          <cell r="AG34">
            <v>0</v>
          </cell>
          <cell r="AH34">
            <v>38914.599830000006</v>
          </cell>
          <cell r="AI34">
            <v>503.44299999999998</v>
          </cell>
          <cell r="AJ34">
            <v>171.29454999999999</v>
          </cell>
          <cell r="AK34">
            <v>-0.2117899999999997</v>
          </cell>
          <cell r="AL34">
            <v>-27489.554449999989</v>
          </cell>
          <cell r="AM34">
            <v>22451.297190000001</v>
          </cell>
          <cell r="AN34">
            <v>-10110.183710000001</v>
          </cell>
          <cell r="AO34">
            <v>-4301.8756199999998</v>
          </cell>
          <cell r="AP34">
            <v>-526.77826000000005</v>
          </cell>
          <cell r="AQ34">
            <v>-3126.4474799999994</v>
          </cell>
          <cell r="AR34">
            <v>-2539.1650399999999</v>
          </cell>
          <cell r="AT34">
            <v>-7714.8123700000087</v>
          </cell>
          <cell r="AU34">
            <v>1.64</v>
          </cell>
          <cell r="AV34">
            <v>0</v>
          </cell>
          <cell r="AW34">
            <v>0</v>
          </cell>
          <cell r="AX34">
            <v>842.78043715994977</v>
          </cell>
          <cell r="AY34">
            <v>0</v>
          </cell>
          <cell r="AZ34">
            <v>1002.6155028400501</v>
          </cell>
          <cell r="BA34">
            <v>17.553889999999999</v>
          </cell>
          <cell r="BB34">
            <v>-43.8401</v>
          </cell>
          <cell r="BC34">
            <v>-0.40200999999999998</v>
          </cell>
          <cell r="BD34">
            <v>0</v>
          </cell>
          <cell r="BE34">
            <v>1305.9481499999999</v>
          </cell>
          <cell r="BF34">
            <v>-5720.1202900000008</v>
          </cell>
          <cell r="BG34">
            <v>-187.79847999999998</v>
          </cell>
          <cell r="BH34">
            <v>-5.4592000000000125</v>
          </cell>
          <cell r="BI34">
            <v>0.97645999999999988</v>
          </cell>
          <cell r="BJ34">
            <v>-9.5923269327613524E-17</v>
          </cell>
          <cell r="BK34">
            <v>8409.9247999999825</v>
          </cell>
        </row>
        <row r="35">
          <cell r="C35">
            <v>156808.61412268539</v>
          </cell>
          <cell r="N35">
            <v>92411.437205959432</v>
          </cell>
          <cell r="O35">
            <v>-14674.919070399208</v>
          </cell>
          <cell r="P35">
            <v>-5408.7438350109296</v>
          </cell>
          <cell r="Q35">
            <v>-8612.1146581196281</v>
          </cell>
          <cell r="R35">
            <v>0</v>
          </cell>
          <cell r="S35">
            <v>-1829.0481548809908</v>
          </cell>
          <cell r="T35">
            <v>-1170.7451385301249</v>
          </cell>
          <cell r="U35">
            <v>0</v>
          </cell>
          <cell r="V35">
            <v>-10542.73800681912</v>
          </cell>
          <cell r="W35">
            <v>-5611.7636688478315</v>
          </cell>
          <cell r="X35">
            <v>-9573.5447356295863</v>
          </cell>
          <cell r="Y35">
            <v>-728.44801119470992</v>
          </cell>
          <cell r="Z35">
            <v>572.33815683127909</v>
          </cell>
          <cell r="AA35">
            <v>0</v>
          </cell>
          <cell r="AB35">
            <v>0</v>
          </cell>
          <cell r="AC35">
            <v>-21806.678728671177</v>
          </cell>
          <cell r="AD35">
            <v>0</v>
          </cell>
          <cell r="AE35">
            <v>0</v>
          </cell>
          <cell r="AF35">
            <v>-1492.6619228772743</v>
          </cell>
          <cell r="AG35">
            <v>0</v>
          </cell>
          <cell r="AH35">
            <v>24489.340651548449</v>
          </cell>
          <cell r="AI35">
            <v>728.44801119470992</v>
          </cell>
          <cell r="AJ35">
            <v>0</v>
          </cell>
          <cell r="AK35">
            <v>0</v>
          </cell>
          <cell r="AL35">
            <v>-18057.647176290899</v>
          </cell>
          <cell r="AM35">
            <v>0</v>
          </cell>
          <cell r="AN35">
            <v>0</v>
          </cell>
          <cell r="AO35">
            <v>-4560.4910738431936</v>
          </cell>
          <cell r="AP35">
            <v>-465.29582922350045</v>
          </cell>
          <cell r="AQ35">
            <v>-3692.5653421946918</v>
          </cell>
          <cell r="AR35">
            <v>-3449.105784010495</v>
          </cell>
          <cell r="AT35">
            <v>-8895.7596467874719</v>
          </cell>
          <cell r="AU35">
            <v>1256.8415846792223</v>
          </cell>
          <cell r="AV35">
            <v>2228.973639479796</v>
          </cell>
          <cell r="AW35">
            <v>680.61587818503494</v>
          </cell>
          <cell r="AX35">
            <v>-327.47190555767764</v>
          </cell>
          <cell r="AY35">
            <v>2336.1747431987665</v>
          </cell>
          <cell r="AZ35">
            <v>763.04067890270346</v>
          </cell>
          <cell r="BA35">
            <v>81.289376378019327</v>
          </cell>
          <cell r="BB35">
            <v>-64.842070023218895</v>
          </cell>
          <cell r="BC35">
            <v>0</v>
          </cell>
          <cell r="BD35">
            <v>0</v>
          </cell>
          <cell r="BE35">
            <v>3601.7217892452563</v>
          </cell>
          <cell r="BF35">
            <v>-3601.7217892452563</v>
          </cell>
          <cell r="BG35">
            <v>-81.289376378019327</v>
          </cell>
          <cell r="BH35">
            <v>0</v>
          </cell>
          <cell r="BI35">
            <v>0</v>
          </cell>
          <cell r="BJ35">
            <v>0</v>
          </cell>
          <cell r="BK35">
            <v>4502.6257910676741</v>
          </cell>
        </row>
        <row r="37">
          <cell r="C37">
            <v>21498.799480000001</v>
          </cell>
          <cell r="N37">
            <v>11709.347889999999</v>
          </cell>
          <cell r="O37">
            <v>-200.01474999999999</v>
          </cell>
          <cell r="P37">
            <v>0</v>
          </cell>
          <cell r="Q37">
            <v>0</v>
          </cell>
          <cell r="R37">
            <v>0.35469000000000001</v>
          </cell>
          <cell r="S37">
            <v>-349.57389999999998</v>
          </cell>
          <cell r="T37">
            <v>-19.61544</v>
          </cell>
          <cell r="U37">
            <v>0</v>
          </cell>
          <cell r="V37">
            <v>-3716.8125999999997</v>
          </cell>
          <cell r="W37">
            <v>-10</v>
          </cell>
          <cell r="X37">
            <v>-1370</v>
          </cell>
          <cell r="Y37">
            <v>-55.32076</v>
          </cell>
          <cell r="Z37">
            <v>235.45401000000001</v>
          </cell>
          <cell r="AA37">
            <v>3.5924399999999999</v>
          </cell>
          <cell r="AB37">
            <v>20</v>
          </cell>
          <cell r="AC37">
            <v>-3223.49593</v>
          </cell>
          <cell r="AD37">
            <v>42.222079999999998</v>
          </cell>
          <cell r="AE37">
            <v>-87.303240000000002</v>
          </cell>
          <cell r="AF37">
            <v>-550.29772000000003</v>
          </cell>
          <cell r="AG37">
            <v>0</v>
          </cell>
          <cell r="AH37">
            <v>2873.5924400000004</v>
          </cell>
          <cell r="AI37">
            <v>743.19788999999969</v>
          </cell>
          <cell r="AJ37">
            <v>250.50103000000001</v>
          </cell>
          <cell r="AK37">
            <v>-27.53473</v>
          </cell>
          <cell r="AL37">
            <v>-3054.8069100000012</v>
          </cell>
          <cell r="AM37">
            <v>2045.9750200000003</v>
          </cell>
          <cell r="AN37">
            <v>-787.9301100000007</v>
          </cell>
          <cell r="AO37">
            <v>-888.95251000000007</v>
          </cell>
          <cell r="AP37">
            <v>-93.267410000000012</v>
          </cell>
          <cell r="AQ37">
            <v>-956.97916000000009</v>
          </cell>
          <cell r="AR37">
            <v>-361.63933000000003</v>
          </cell>
          <cell r="AT37">
            <v>-1170.9752200000032</v>
          </cell>
          <cell r="AU37">
            <v>0</v>
          </cell>
          <cell r="AV37">
            <v>0</v>
          </cell>
          <cell r="AW37">
            <v>0</v>
          </cell>
          <cell r="AX37">
            <v>8.9990000000000006</v>
          </cell>
          <cell r="AY37">
            <v>0</v>
          </cell>
          <cell r="AZ37">
            <v>0</v>
          </cell>
          <cell r="BA37">
            <v>9.2620000000000008E-2</v>
          </cell>
          <cell r="BB37">
            <v>-0.27643000000000001</v>
          </cell>
          <cell r="BC37">
            <v>-2.7400000000000002E-3</v>
          </cell>
          <cell r="BD37">
            <v>0</v>
          </cell>
          <cell r="BE37">
            <v>7.2061500000000045</v>
          </cell>
          <cell r="BF37">
            <v>54.340000000000856</v>
          </cell>
          <cell r="BG37">
            <v>51.893789999999996</v>
          </cell>
          <cell r="BH37">
            <v>-17.858229999999999</v>
          </cell>
          <cell r="BI37">
            <v>-2.6347799999999997</v>
          </cell>
          <cell r="BJ37">
            <v>0</v>
          </cell>
          <cell r="BK37">
            <v>1101.4771499999977</v>
          </cell>
        </row>
        <row r="38">
          <cell r="C38">
            <v>21372.923370000008</v>
          </cell>
          <cell r="N38">
            <v>11090.172990000003</v>
          </cell>
          <cell r="O38">
            <v>-113.54455</v>
          </cell>
          <cell r="P38">
            <v>0</v>
          </cell>
          <cell r="Q38">
            <v>0</v>
          </cell>
          <cell r="R38">
            <v>0</v>
          </cell>
          <cell r="S38">
            <v>-307.56798000000003</v>
          </cell>
          <cell r="T38">
            <v>-20.830190000000002</v>
          </cell>
          <cell r="U38">
            <v>0</v>
          </cell>
          <cell r="V38">
            <v>-5422.6549700000005</v>
          </cell>
          <cell r="W38">
            <v>0</v>
          </cell>
          <cell r="X38">
            <v>0</v>
          </cell>
          <cell r="Y38">
            <v>-92.762700000000009</v>
          </cell>
          <cell r="Z38">
            <v>235.75444000000002</v>
          </cell>
          <cell r="AA38">
            <v>5.9318800000000005</v>
          </cell>
          <cell r="AB38">
            <v>0</v>
          </cell>
          <cell r="AC38">
            <v>-3533.2416599999997</v>
          </cell>
          <cell r="AD38">
            <v>207.13613000000001</v>
          </cell>
          <cell r="AE38">
            <v>-74.338589999999996</v>
          </cell>
          <cell r="AF38">
            <v>-494.6641699999999</v>
          </cell>
          <cell r="AG38">
            <v>0</v>
          </cell>
          <cell r="AH38">
            <v>2389.5458999999992</v>
          </cell>
          <cell r="AI38">
            <v>89.247869999999992</v>
          </cell>
          <cell r="AJ38">
            <v>169.01501999999999</v>
          </cell>
          <cell r="AK38">
            <v>13.50727</v>
          </cell>
          <cell r="AL38">
            <v>-2924.4702900000002</v>
          </cell>
          <cell r="AM38">
            <v>1982.4677299999996</v>
          </cell>
          <cell r="AN38">
            <v>-746.34407000000056</v>
          </cell>
          <cell r="AO38">
            <v>-747.19339999999988</v>
          </cell>
          <cell r="AP38">
            <v>-71.569149999999993</v>
          </cell>
          <cell r="AQ38">
            <v>-814.89278999999999</v>
          </cell>
          <cell r="AR38">
            <v>-343.70326999999997</v>
          </cell>
          <cell r="AT38">
            <v>-1261.7370200000041</v>
          </cell>
          <cell r="AU38">
            <v>0</v>
          </cell>
          <cell r="AV38">
            <v>0</v>
          </cell>
          <cell r="AW38">
            <v>0</v>
          </cell>
          <cell r="AX38">
            <v>13.5</v>
          </cell>
          <cell r="AY38">
            <v>0</v>
          </cell>
          <cell r="AZ38">
            <v>0</v>
          </cell>
          <cell r="BA38">
            <v>0.28973000000000004</v>
          </cell>
          <cell r="BB38">
            <v>-0.82153999999999994</v>
          </cell>
          <cell r="BC38">
            <v>-2.2760000000000002E-2</v>
          </cell>
          <cell r="BD38">
            <v>0</v>
          </cell>
          <cell r="BE38">
            <v>19.334809999999997</v>
          </cell>
          <cell r="BF38">
            <v>258.70300000000105</v>
          </cell>
          <cell r="BG38">
            <v>-5.1049099999999985</v>
          </cell>
          <cell r="BH38">
            <v>-0.67980000000000862</v>
          </cell>
          <cell r="BI38">
            <v>-0.91989999999999983</v>
          </cell>
          <cell r="BJ38">
            <v>0</v>
          </cell>
          <cell r="BK38">
            <v>-502.45694000000378</v>
          </cell>
        </row>
        <row r="39">
          <cell r="C39">
            <v>23805.96328432329</v>
          </cell>
          <cell r="N39">
            <v>14421.655364791339</v>
          </cell>
          <cell r="O39">
            <v>-1895.3624272593852</v>
          </cell>
          <cell r="P39">
            <v>-120.24841444992975</v>
          </cell>
          <cell r="Q39">
            <v>-618.70125510921116</v>
          </cell>
          <cell r="R39">
            <v>0</v>
          </cell>
          <cell r="S39">
            <v>-430.97618516088971</v>
          </cell>
          <cell r="T39">
            <v>-85.638823800955805</v>
          </cell>
          <cell r="U39">
            <v>0</v>
          </cell>
          <cell r="V39">
            <v>-3058.4959156088744</v>
          </cell>
          <cell r="W39">
            <v>-220.25158555007025</v>
          </cell>
          <cell r="X39">
            <v>-1081.9490393950289</v>
          </cell>
          <cell r="Y39">
            <v>-112.63168437174204</v>
          </cell>
          <cell r="Z39">
            <v>189.95027395270392</v>
          </cell>
          <cell r="AA39">
            <v>0</v>
          </cell>
          <cell r="AB39">
            <v>0</v>
          </cell>
          <cell r="AC39">
            <v>-925.79114425423529</v>
          </cell>
          <cell r="AD39">
            <v>0</v>
          </cell>
          <cell r="AE39">
            <v>0</v>
          </cell>
          <cell r="AF39">
            <v>-260.14671579569955</v>
          </cell>
          <cell r="AG39">
            <v>0</v>
          </cell>
          <cell r="AH39">
            <v>1185.9378600499347</v>
          </cell>
          <cell r="AI39">
            <v>112.63168437174204</v>
          </cell>
          <cell r="AJ39">
            <v>0</v>
          </cell>
          <cell r="AK39">
            <v>0</v>
          </cell>
          <cell r="AL39">
            <v>-2307.3627014680692</v>
          </cell>
          <cell r="AM39">
            <v>0</v>
          </cell>
          <cell r="AN39">
            <v>0</v>
          </cell>
          <cell r="AO39">
            <v>-867.74165757445496</v>
          </cell>
          <cell r="AP39">
            <v>-60.86224880745425</v>
          </cell>
          <cell r="AQ39">
            <v>-1022.9785859714398</v>
          </cell>
          <cell r="AR39">
            <v>-489.55509100970352</v>
          </cell>
          <cell r="AT39">
            <v>-1307.3055351876233</v>
          </cell>
          <cell r="AU39">
            <v>114.89894428750105</v>
          </cell>
          <cell r="AV39">
            <v>50.059361962635954</v>
          </cell>
          <cell r="AW39">
            <v>63.660962296052617</v>
          </cell>
          <cell r="AX39">
            <v>-114.89894428750108</v>
          </cell>
          <cell r="AY39">
            <v>91.690638037364039</v>
          </cell>
          <cell r="AZ39">
            <v>118.61429823185475</v>
          </cell>
          <cell r="BA39">
            <v>4.7935815524509282</v>
          </cell>
          <cell r="BB39">
            <v>-9.3754556023729094</v>
          </cell>
          <cell r="BC39">
            <v>0</v>
          </cell>
          <cell r="BD39">
            <v>0</v>
          </cell>
          <cell r="BE39">
            <v>-983.07861874802302</v>
          </cell>
          <cell r="BF39">
            <v>983.07861874802302</v>
          </cell>
          <cell r="BG39">
            <v>-4.7935815524509282</v>
          </cell>
          <cell r="BH39">
            <v>0</v>
          </cell>
          <cell r="BI39">
            <v>0</v>
          </cell>
          <cell r="BJ39">
            <v>0</v>
          </cell>
          <cell r="BK39">
            <v>1358.8259773164887</v>
          </cell>
        </row>
        <row r="41">
          <cell r="C41">
            <v>58422.093870000004</v>
          </cell>
          <cell r="N41">
            <v>25396.04512000001</v>
          </cell>
          <cell r="O41">
            <v>-260.36945000000003</v>
          </cell>
          <cell r="P41">
            <v>0</v>
          </cell>
          <cell r="Q41">
            <v>-2.7149999999999999</v>
          </cell>
          <cell r="R41">
            <v>10.57559</v>
          </cell>
          <cell r="S41">
            <v>-855.35767999999996</v>
          </cell>
          <cell r="T41">
            <v>-113.83714000000001</v>
          </cell>
          <cell r="U41">
            <v>0</v>
          </cell>
          <cell r="V41">
            <v>-10193.490211943335</v>
          </cell>
          <cell r="W41">
            <v>-2.0423100000000001</v>
          </cell>
          <cell r="X41">
            <v>-2916.2042480566652</v>
          </cell>
          <cell r="Y41">
            <v>-255.22390000000001</v>
          </cell>
          <cell r="Z41">
            <v>1593.17599</v>
          </cell>
          <cell r="AA41">
            <v>28.33436</v>
          </cell>
          <cell r="AB41">
            <v>-40</v>
          </cell>
          <cell r="AC41">
            <v>-9873.49287</v>
          </cell>
          <cell r="AD41">
            <v>1739.78944</v>
          </cell>
          <cell r="AE41">
            <v>-514.00228000000004</v>
          </cell>
          <cell r="AF41">
            <v>-2430.5767199999996</v>
          </cell>
          <cell r="AG41">
            <v>0</v>
          </cell>
          <cell r="AH41">
            <v>6611.7174900000009</v>
          </cell>
          <cell r="AI41">
            <v>3954.0058800000006</v>
          </cell>
          <cell r="AJ41">
            <v>639.9479299999997</v>
          </cell>
          <cell r="AK41">
            <v>-320.64900999999998</v>
          </cell>
          <cell r="AL41">
            <v>-11728.078490000002</v>
          </cell>
          <cell r="AM41">
            <v>9264.8841400000019</v>
          </cell>
          <cell r="AN41">
            <v>-2885.3502099999996</v>
          </cell>
          <cell r="AO41">
            <v>-1938.9965300000001</v>
          </cell>
          <cell r="AP41">
            <v>-204.18768000000003</v>
          </cell>
          <cell r="AQ41">
            <v>-1254.0043099999998</v>
          </cell>
          <cell r="AR41">
            <v>-744.82345000000009</v>
          </cell>
          <cell r="AT41">
            <v>-965.72474999999986</v>
          </cell>
          <cell r="AU41">
            <v>158.95562000000001</v>
          </cell>
          <cell r="AV41">
            <v>0</v>
          </cell>
          <cell r="AW41">
            <v>0</v>
          </cell>
          <cell r="AX41">
            <v>197.35282305741885</v>
          </cell>
          <cell r="AY41">
            <v>0</v>
          </cell>
          <cell r="AZ41">
            <v>106.83679694258115</v>
          </cell>
          <cell r="BA41">
            <v>6.6936800000000005</v>
          </cell>
          <cell r="BB41">
            <v>-37.420940000000002</v>
          </cell>
          <cell r="BC41">
            <v>-0.75439999999999996</v>
          </cell>
          <cell r="BD41">
            <v>0</v>
          </cell>
          <cell r="BE41">
            <v>108.38628000000001</v>
          </cell>
          <cell r="BF41">
            <v>64.079910000002144</v>
          </cell>
          <cell r="BG41">
            <v>-10.881679999999994</v>
          </cell>
          <cell r="BH41">
            <v>-280.62617</v>
          </cell>
          <cell r="BI41">
            <v>6.6965200000000005</v>
          </cell>
          <cell r="BJ41">
            <v>5.7376325912628092E-16</v>
          </cell>
          <cell r="BK41">
            <v>2058.6681400000143</v>
          </cell>
        </row>
        <row r="42">
          <cell r="C42">
            <v>58174.990279999998</v>
          </cell>
          <cell r="N42">
            <v>25967.283619999987</v>
          </cell>
          <cell r="O42">
            <v>-184.45308000000003</v>
          </cell>
          <cell r="P42">
            <v>0</v>
          </cell>
          <cell r="Q42">
            <v>0</v>
          </cell>
          <cell r="R42">
            <v>1.325</v>
          </cell>
          <cell r="S42">
            <v>-772.3356500000001</v>
          </cell>
          <cell r="T42">
            <v>-57.956980000000009</v>
          </cell>
          <cell r="U42">
            <v>0</v>
          </cell>
          <cell r="V42">
            <v>-11860.285516637674</v>
          </cell>
          <cell r="W42">
            <v>0</v>
          </cell>
          <cell r="X42">
            <v>-2543.1904233623268</v>
          </cell>
          <cell r="Y42">
            <v>-473.94003999999995</v>
          </cell>
          <cell r="Z42">
            <v>1596.9819599999998</v>
          </cell>
          <cell r="AA42">
            <v>54.101680000000009</v>
          </cell>
          <cell r="AB42">
            <v>-20</v>
          </cell>
          <cell r="AC42">
            <v>-30396.0406</v>
          </cell>
          <cell r="AD42">
            <v>861.21447000000012</v>
          </cell>
          <cell r="AE42">
            <v>-532.94754999999998</v>
          </cell>
          <cell r="AF42">
            <v>-2436.9548500000001</v>
          </cell>
          <cell r="AG42">
            <v>0</v>
          </cell>
          <cell r="AH42">
            <v>30988.756560000002</v>
          </cell>
          <cell r="AI42">
            <v>2107.8509999999997</v>
          </cell>
          <cell r="AJ42">
            <v>-2216.4228200000002</v>
          </cell>
          <cell r="AK42">
            <v>-86.46894999999995</v>
          </cell>
          <cell r="AL42">
            <v>-11755.264910000002</v>
          </cell>
          <cell r="AM42">
            <v>9022.1644899999992</v>
          </cell>
          <cell r="AN42">
            <v>-2730.3487599999999</v>
          </cell>
          <cell r="AO42">
            <v>-1888.0513799999999</v>
          </cell>
          <cell r="AP42">
            <v>-174.09093000000001</v>
          </cell>
          <cell r="AQ42">
            <v>-1202.68046</v>
          </cell>
          <cell r="AR42">
            <v>-791.69743999999992</v>
          </cell>
          <cell r="AT42">
            <v>-1186.49685</v>
          </cell>
          <cell r="AU42">
            <v>5.5733600000000001</v>
          </cell>
          <cell r="AV42">
            <v>0</v>
          </cell>
          <cell r="AW42">
            <v>0</v>
          </cell>
          <cell r="AX42">
            <v>374.87585261061895</v>
          </cell>
          <cell r="AY42">
            <v>0</v>
          </cell>
          <cell r="AZ42">
            <v>117.02769738938102</v>
          </cell>
          <cell r="BA42">
            <v>15.220560000000001</v>
          </cell>
          <cell r="BB42">
            <v>-54.796819999999997</v>
          </cell>
          <cell r="BC42">
            <v>-1.6937500000000001</v>
          </cell>
          <cell r="BD42">
            <v>0</v>
          </cell>
          <cell r="BE42">
            <v>19625.610499999995</v>
          </cell>
          <cell r="BF42">
            <v>-20470.472219999992</v>
          </cell>
          <cell r="BG42">
            <v>-976.40995999999996</v>
          </cell>
          <cell r="BH42">
            <v>597.01954999999998</v>
          </cell>
          <cell r="BI42">
            <v>21.104869999999998</v>
          </cell>
          <cell r="BJ42">
            <v>-4.0927261579781768E-15</v>
          </cell>
          <cell r="BK42">
            <v>-1456.8887700000107</v>
          </cell>
        </row>
        <row r="43">
          <cell r="C43">
            <v>59998.637644253729</v>
          </cell>
          <cell r="N43">
            <v>26864.088265623384</v>
          </cell>
          <cell r="O43">
            <v>-2035.6232841448423</v>
          </cell>
          <cell r="P43">
            <v>0</v>
          </cell>
          <cell r="Q43">
            <v>-407.98347738340806</v>
          </cell>
          <cell r="R43">
            <v>0</v>
          </cell>
          <cell r="S43">
            <v>-1318.108122985092</v>
          </cell>
          <cell r="T43">
            <v>-217.69221167368417</v>
          </cell>
          <cell r="U43">
            <v>0</v>
          </cell>
          <cell r="V43">
            <v>-8728.8184125141925</v>
          </cell>
          <cell r="W43">
            <v>0</v>
          </cell>
          <cell r="X43">
            <v>-2503.0390182316496</v>
          </cell>
          <cell r="Y43">
            <v>-276.82246906827902</v>
          </cell>
          <cell r="Z43">
            <v>1336.0984176220907</v>
          </cell>
          <cell r="AA43">
            <v>0</v>
          </cell>
          <cell r="AB43">
            <v>0</v>
          </cell>
          <cell r="AC43">
            <v>-6405.6085585697492</v>
          </cell>
          <cell r="AD43">
            <v>0</v>
          </cell>
          <cell r="AE43">
            <v>0</v>
          </cell>
          <cell r="AF43">
            <v>-2902.9393891709501</v>
          </cell>
          <cell r="AG43">
            <v>0</v>
          </cell>
          <cell r="AH43">
            <v>9624.5479477406989</v>
          </cell>
          <cell r="AI43">
            <v>276.82246906827902</v>
          </cell>
          <cell r="AJ43">
            <v>0</v>
          </cell>
          <cell r="AK43">
            <v>0</v>
          </cell>
          <cell r="AL43">
            <v>-5748.5717536845386</v>
          </cell>
          <cell r="AM43">
            <v>0</v>
          </cell>
          <cell r="AN43">
            <v>0</v>
          </cell>
          <cell r="AO43">
            <v>-2088.1971080247317</v>
          </cell>
          <cell r="AP43">
            <v>-163.66640112615406</v>
          </cell>
          <cell r="AQ43">
            <v>-1376.7226570208893</v>
          </cell>
          <cell r="AR43">
            <v>-1003.1962980406803</v>
          </cell>
          <cell r="AT43">
            <v>-1189.8802418148041</v>
          </cell>
          <cell r="AU43">
            <v>44.785902138927064</v>
          </cell>
          <cell r="AV43">
            <v>0</v>
          </cell>
          <cell r="AW43">
            <v>38.119001451934992</v>
          </cell>
          <cell r="AX43">
            <v>364.05379349894474</v>
          </cell>
          <cell r="AY43">
            <v>0</v>
          </cell>
          <cell r="AZ43">
            <v>221.63345994092643</v>
          </cell>
          <cell r="BA43">
            <v>12.925064422838638</v>
          </cell>
          <cell r="BB43">
            <v>-65.943917057422766</v>
          </cell>
          <cell r="BC43">
            <v>0</v>
          </cell>
          <cell r="BD43">
            <v>0</v>
          </cell>
          <cell r="BE43">
            <v>647.50601079267381</v>
          </cell>
          <cell r="BF43">
            <v>-897.39029704267386</v>
          </cell>
          <cell r="BG43">
            <v>-12.941897550567088</v>
          </cell>
          <cell r="BH43">
            <v>0</v>
          </cell>
          <cell r="BI43">
            <v>0</v>
          </cell>
          <cell r="BJ43">
            <v>0</v>
          </cell>
          <cell r="BK43">
            <v>2087.4348171963843</v>
          </cell>
        </row>
        <row r="45">
          <cell r="C45">
            <v>20774.809789999999</v>
          </cell>
          <cell r="N45">
            <v>8088.3617800000011</v>
          </cell>
          <cell r="O45">
            <v>-28.143940000000001</v>
          </cell>
          <cell r="P45">
            <v>0</v>
          </cell>
          <cell r="Q45">
            <v>0</v>
          </cell>
          <cell r="R45">
            <v>0</v>
          </cell>
          <cell r="S45">
            <v>-198.70038</v>
          </cell>
          <cell r="T45">
            <v>-15.49306</v>
          </cell>
          <cell r="U45">
            <v>0</v>
          </cell>
          <cell r="V45">
            <v>-3755.0858459142037</v>
          </cell>
          <cell r="W45">
            <v>0</v>
          </cell>
          <cell r="X45">
            <v>-710.98512408579677</v>
          </cell>
          <cell r="Y45">
            <v>-69.149860000000004</v>
          </cell>
          <cell r="Z45">
            <v>550.41531000000009</v>
          </cell>
          <cell r="AA45">
            <v>7.6428500000000001</v>
          </cell>
          <cell r="AB45">
            <v>0</v>
          </cell>
          <cell r="AC45">
            <v>-1376.0314600000002</v>
          </cell>
          <cell r="AD45">
            <v>265.10590000000002</v>
          </cell>
          <cell r="AE45">
            <v>-135.57830999999999</v>
          </cell>
          <cell r="AF45">
            <v>-614.03076999999996</v>
          </cell>
          <cell r="AG45">
            <v>0</v>
          </cell>
          <cell r="AH45">
            <v>1332.6286899999996</v>
          </cell>
          <cell r="AI45">
            <v>880.3365500000001</v>
          </cell>
          <cell r="AJ45">
            <v>112.12920999999986</v>
          </cell>
          <cell r="AK45">
            <v>-70.821529999999996</v>
          </cell>
          <cell r="AL45">
            <v>-3616.9439100000009</v>
          </cell>
          <cell r="AM45">
            <v>2542.2468599999993</v>
          </cell>
          <cell r="AN45">
            <v>-337.89204999999993</v>
          </cell>
          <cell r="AO45">
            <v>-279.33894999999995</v>
          </cell>
          <cell r="AP45">
            <v>-34.421240000000004</v>
          </cell>
          <cell r="AQ45">
            <v>-281.46496999999999</v>
          </cell>
          <cell r="AR45">
            <v>-160.51953</v>
          </cell>
          <cell r="AT45">
            <v>-574.63814000000013</v>
          </cell>
          <cell r="AU45">
            <v>0</v>
          </cell>
          <cell r="AV45">
            <v>0</v>
          </cell>
          <cell r="AW45">
            <v>0</v>
          </cell>
          <cell r="AX45">
            <v>-16.55892962850702</v>
          </cell>
          <cell r="AY45">
            <v>0</v>
          </cell>
          <cell r="AZ45">
            <v>73.77092962850702</v>
          </cell>
          <cell r="BA45">
            <v>0.51471</v>
          </cell>
          <cell r="BB45">
            <v>-6.9988400000000004</v>
          </cell>
          <cell r="BC45">
            <v>-5.672E-2</v>
          </cell>
          <cell r="BD45">
            <v>0</v>
          </cell>
          <cell r="BE45">
            <v>107.17620999999997</v>
          </cell>
          <cell r="BF45">
            <v>-1607.07</v>
          </cell>
          <cell r="BG45">
            <v>-61.172879999999999</v>
          </cell>
          <cell r="BH45">
            <v>198.96475000000001</v>
          </cell>
          <cell r="BI45">
            <v>7.1283500000000002</v>
          </cell>
          <cell r="BJ45">
            <v>1.2789769243681802E-16</v>
          </cell>
          <cell r="BK45">
            <v>215.32565999999863</v>
          </cell>
        </row>
        <row r="46">
          <cell r="C46">
            <v>19324.455620000001</v>
          </cell>
          <cell r="N46">
            <v>8224.4270600000018</v>
          </cell>
          <cell r="O46">
            <v>-24.81373</v>
          </cell>
          <cell r="P46">
            <v>0</v>
          </cell>
          <cell r="Q46">
            <v>0</v>
          </cell>
          <cell r="R46">
            <v>0</v>
          </cell>
          <cell r="S46">
            <v>-244.51733000000002</v>
          </cell>
          <cell r="T46">
            <v>-7.0851900000000008</v>
          </cell>
          <cell r="U46">
            <v>0</v>
          </cell>
          <cell r="V46">
            <v>-4238.2860600000004</v>
          </cell>
          <cell r="W46">
            <v>0</v>
          </cell>
          <cell r="X46">
            <v>0</v>
          </cell>
          <cell r="Y46">
            <v>-118.49775000000001</v>
          </cell>
          <cell r="Z46">
            <v>474.04453999999998</v>
          </cell>
          <cell r="AA46">
            <v>13.65751</v>
          </cell>
          <cell r="AB46">
            <v>0</v>
          </cell>
          <cell r="AC46">
            <v>-1948.1743999999999</v>
          </cell>
          <cell r="AD46">
            <v>430.26774</v>
          </cell>
          <cell r="AE46">
            <v>-196.90107</v>
          </cell>
          <cell r="AF46">
            <v>-560.69900000000007</v>
          </cell>
          <cell r="AG46">
            <v>0</v>
          </cell>
          <cell r="AH46">
            <v>4461.9283599999999</v>
          </cell>
          <cell r="AI46">
            <v>454.47056999999995</v>
          </cell>
          <cell r="AJ46">
            <v>-488.63223999999985</v>
          </cell>
          <cell r="AK46">
            <v>-33.42812</v>
          </cell>
          <cell r="AL46">
            <v>-3282.0908100000001</v>
          </cell>
          <cell r="AM46">
            <v>2359.1166199999998</v>
          </cell>
          <cell r="AN46">
            <v>-480.9068700000002</v>
          </cell>
          <cell r="AO46">
            <v>-432.55445999999995</v>
          </cell>
          <cell r="AP46">
            <v>-25.112020000000001</v>
          </cell>
          <cell r="AQ46">
            <v>-426.06054000000006</v>
          </cell>
          <cell r="AR46">
            <v>-162.54191000000003</v>
          </cell>
          <cell r="AT46">
            <v>-566.80347999999992</v>
          </cell>
          <cell r="AU46">
            <v>0</v>
          </cell>
          <cell r="AV46">
            <v>0</v>
          </cell>
          <cell r="AW46">
            <v>0</v>
          </cell>
          <cell r="AX46">
            <v>20.738</v>
          </cell>
          <cell r="AY46">
            <v>0</v>
          </cell>
          <cell r="AZ46">
            <v>0</v>
          </cell>
          <cell r="BA46">
            <v>0.63467000000000007</v>
          </cell>
          <cell r="BB46">
            <v>-2.2926500000000001</v>
          </cell>
          <cell r="BC46">
            <v>-7.0229999999999987E-2</v>
          </cell>
          <cell r="BD46">
            <v>0</v>
          </cell>
          <cell r="BE46">
            <v>99.533350000000013</v>
          </cell>
          <cell r="BF46">
            <v>-151.50067999999999</v>
          </cell>
          <cell r="BG46">
            <v>-7.1462400000000006</v>
          </cell>
          <cell r="BH46">
            <v>18.379269999999998</v>
          </cell>
          <cell r="BI46">
            <v>0.77491999999999983</v>
          </cell>
          <cell r="BJ46">
            <v>0</v>
          </cell>
          <cell r="BK46">
            <v>3159.8578300000022</v>
          </cell>
        </row>
        <row r="47">
          <cell r="C47">
            <v>20573.95948613861</v>
          </cell>
          <cell r="N47">
            <v>9180.7672939359072</v>
          </cell>
          <cell r="O47">
            <v>-629.02518561738907</v>
          </cell>
          <cell r="P47">
            <v>0</v>
          </cell>
          <cell r="Q47">
            <v>-150.01815136046974</v>
          </cell>
          <cell r="R47">
            <v>0</v>
          </cell>
          <cell r="S47">
            <v>-350.08878318452724</v>
          </cell>
          <cell r="T47">
            <v>-10.544020156617039</v>
          </cell>
          <cell r="U47">
            <v>0</v>
          </cell>
          <cell r="V47">
            <v>-2913.6504784838189</v>
          </cell>
          <cell r="W47">
            <v>0</v>
          </cell>
          <cell r="X47">
            <v>-962.69963809960927</v>
          </cell>
          <cell r="Y47">
            <v>-92.27127386104695</v>
          </cell>
          <cell r="Z47">
            <v>453.12997920470349</v>
          </cell>
          <cell r="AA47">
            <v>0</v>
          </cell>
          <cell r="AB47">
            <v>0</v>
          </cell>
          <cell r="AC47">
            <v>-2773.3428046383628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2773.3428046383628</v>
          </cell>
          <cell r="AI47">
            <v>92.27127386104695</v>
          </cell>
          <cell r="AJ47">
            <v>0</v>
          </cell>
          <cell r="AK47">
            <v>0</v>
          </cell>
          <cell r="AL47">
            <v>-1308.9388950903754</v>
          </cell>
          <cell r="AM47">
            <v>0</v>
          </cell>
          <cell r="AN47">
            <v>0</v>
          </cell>
          <cell r="AO47">
            <v>-352.38730093401921</v>
          </cell>
          <cell r="AP47">
            <v>-27.844877077944275</v>
          </cell>
          <cell r="AQ47">
            <v>-357.46107485849348</v>
          </cell>
          <cell r="AR47">
            <v>-255.26511328653601</v>
          </cell>
          <cell r="AT47">
            <v>-481.66635370417765</v>
          </cell>
          <cell r="AU47">
            <v>0</v>
          </cell>
          <cell r="AV47">
            <v>0</v>
          </cell>
          <cell r="AW47">
            <v>0</v>
          </cell>
          <cell r="AX47">
            <v>82.746922444246692</v>
          </cell>
          <cell r="AY47">
            <v>0</v>
          </cell>
          <cell r="AZ47">
            <v>0</v>
          </cell>
          <cell r="BA47">
            <v>1.5074474555356994</v>
          </cell>
          <cell r="BB47">
            <v>-7.588045543677814</v>
          </cell>
          <cell r="BC47">
            <v>0</v>
          </cell>
          <cell r="BD47">
            <v>0</v>
          </cell>
          <cell r="BE47">
            <v>50.666567715288281</v>
          </cell>
          <cell r="BF47">
            <v>-50.666567715288281</v>
          </cell>
          <cell r="BG47">
            <v>-1.5074474555356994</v>
          </cell>
          <cell r="BH47">
            <v>0</v>
          </cell>
          <cell r="BI47">
            <v>0</v>
          </cell>
          <cell r="BJ47">
            <v>0</v>
          </cell>
          <cell r="BK47">
            <v>1909.4662781872028</v>
          </cell>
        </row>
        <row r="49">
          <cell r="C49">
            <v>22036.124180000003</v>
          </cell>
          <cell r="N49">
            <v>13792.26879</v>
          </cell>
          <cell r="O49">
            <v>-537.69695000000013</v>
          </cell>
          <cell r="P49">
            <v>0</v>
          </cell>
          <cell r="Q49">
            <v>0</v>
          </cell>
          <cell r="R49">
            <v>11.118450000000001</v>
          </cell>
          <cell r="S49">
            <v>-239.02974</v>
          </cell>
          <cell r="T49">
            <v>-28.157449999999997</v>
          </cell>
          <cell r="U49">
            <v>0</v>
          </cell>
          <cell r="V49">
            <v>-6496.8632600000001</v>
          </cell>
          <cell r="W49">
            <v>0</v>
          </cell>
          <cell r="X49">
            <v>-650</v>
          </cell>
          <cell r="Y49">
            <v>-55.812549999999995</v>
          </cell>
          <cell r="Z49">
            <v>319.25351999999998</v>
          </cell>
          <cell r="AA49">
            <v>2.7648699999999997</v>
          </cell>
          <cell r="AB49">
            <v>0</v>
          </cell>
          <cell r="AC49">
            <v>-6112.8402299999998</v>
          </cell>
          <cell r="AD49">
            <v>164.58969999999999</v>
          </cell>
          <cell r="AE49">
            <v>-65.100909999999999</v>
          </cell>
          <cell r="AF49">
            <v>-743.11091999999985</v>
          </cell>
          <cell r="AG49">
            <v>0</v>
          </cell>
          <cell r="AH49">
            <v>7665.2733199999993</v>
          </cell>
          <cell r="AI49">
            <v>918.45103000000006</v>
          </cell>
          <cell r="AJ49">
            <v>-554.22113000000002</v>
          </cell>
          <cell r="AK49">
            <v>-36.59789</v>
          </cell>
          <cell r="AL49">
            <v>-3139.9702899999997</v>
          </cell>
          <cell r="AM49">
            <v>2075.68498</v>
          </cell>
          <cell r="AN49">
            <v>-976.4450599999999</v>
          </cell>
          <cell r="AO49">
            <v>-693.61853999999994</v>
          </cell>
          <cell r="AP49">
            <v>-70.258030000000005</v>
          </cell>
          <cell r="AQ49">
            <v>-503.86764999999997</v>
          </cell>
          <cell r="AR49">
            <v>-259.84762999999998</v>
          </cell>
          <cell r="AT49">
            <v>-1024.0309500000005</v>
          </cell>
          <cell r="AU49">
            <v>0</v>
          </cell>
          <cell r="AV49">
            <v>0</v>
          </cell>
          <cell r="AW49">
            <v>0</v>
          </cell>
          <cell r="AX49">
            <v>26.768999999999998</v>
          </cell>
          <cell r="AY49">
            <v>0</v>
          </cell>
          <cell r="AZ49">
            <v>0</v>
          </cell>
          <cell r="BA49">
            <v>9.7310000000000008E-2</v>
          </cell>
          <cell r="BB49">
            <v>-0.90457999999999972</v>
          </cell>
          <cell r="BC49">
            <v>-2.6900000000000001E-3</v>
          </cell>
          <cell r="BD49">
            <v>0</v>
          </cell>
          <cell r="BE49">
            <v>132.43371999999999</v>
          </cell>
          <cell r="BF49">
            <v>1081.5313299999998</v>
          </cell>
          <cell r="BG49">
            <v>-18.524700000000003</v>
          </cell>
          <cell r="BH49">
            <v>-69.662279999999996</v>
          </cell>
          <cell r="BI49">
            <v>0.56105000000000005</v>
          </cell>
          <cell r="BJ49">
            <v>2.1316282072803006E-17</v>
          </cell>
          <cell r="BK49">
            <v>3914.2336400000013</v>
          </cell>
        </row>
        <row r="50">
          <cell r="C50">
            <v>22548.230939999998</v>
          </cell>
          <cell r="N50">
            <v>14022.381729999999</v>
          </cell>
          <cell r="O50">
            <v>-237.84258999999997</v>
          </cell>
          <cell r="P50">
            <v>0</v>
          </cell>
          <cell r="Q50">
            <v>0</v>
          </cell>
          <cell r="R50">
            <v>2.75</v>
          </cell>
          <cell r="S50">
            <v>-233.74144000000001</v>
          </cell>
          <cell r="T50">
            <v>-28.816169999999996</v>
          </cell>
          <cell r="U50">
            <v>0</v>
          </cell>
          <cell r="V50">
            <v>-6856.2986099999998</v>
          </cell>
          <cell r="W50">
            <v>0</v>
          </cell>
          <cell r="X50">
            <v>-973</v>
          </cell>
          <cell r="Y50">
            <v>-128.45974000000001</v>
          </cell>
          <cell r="Z50">
            <v>346.03140999999999</v>
          </cell>
          <cell r="AA50">
            <v>6.2308899999999996</v>
          </cell>
          <cell r="AB50">
            <v>0</v>
          </cell>
          <cell r="AC50">
            <v>-6036.3364599999995</v>
          </cell>
          <cell r="AD50">
            <v>314.76618999999999</v>
          </cell>
          <cell r="AE50">
            <v>-61.83082000000001</v>
          </cell>
          <cell r="AF50">
            <v>-690.52121</v>
          </cell>
          <cell r="AG50">
            <v>0</v>
          </cell>
          <cell r="AH50">
            <v>5668.4250900000006</v>
          </cell>
          <cell r="AI50">
            <v>192.82683</v>
          </cell>
          <cell r="AJ50">
            <v>-75.600339999999946</v>
          </cell>
          <cell r="AK50">
            <v>-1.5504199999999999</v>
          </cell>
          <cell r="AL50">
            <v>-3249.7891500000001</v>
          </cell>
          <cell r="AM50">
            <v>2223.2481500000013</v>
          </cell>
          <cell r="AN50">
            <v>-1013.0487600000001</v>
          </cell>
          <cell r="AO50">
            <v>-644.67695000000003</v>
          </cell>
          <cell r="AP50">
            <v>-44.295540000000003</v>
          </cell>
          <cell r="AQ50">
            <v>-449.55430000000001</v>
          </cell>
          <cell r="AR50">
            <v>-308.82816000000003</v>
          </cell>
          <cell r="AT50">
            <v>-1321.4344999999998</v>
          </cell>
          <cell r="AU50">
            <v>0</v>
          </cell>
          <cell r="AV50">
            <v>0</v>
          </cell>
          <cell r="AW50">
            <v>0</v>
          </cell>
          <cell r="AX50">
            <v>28.51</v>
          </cell>
          <cell r="AY50">
            <v>0</v>
          </cell>
          <cell r="AZ50">
            <v>0</v>
          </cell>
          <cell r="BA50">
            <v>0.42985000000000007</v>
          </cell>
          <cell r="BB50">
            <v>-0.92379</v>
          </cell>
          <cell r="BC50">
            <v>-1.1509999999999999E-2</v>
          </cell>
          <cell r="BD50">
            <v>0</v>
          </cell>
          <cell r="BE50">
            <v>127.86932000000002</v>
          </cell>
          <cell r="BF50">
            <v>11.64699999999992</v>
          </cell>
          <cell r="BG50">
            <v>-6.9714600000000004</v>
          </cell>
          <cell r="BH50">
            <v>-28.067030000000006</v>
          </cell>
          <cell r="BI50">
            <v>-0.45461999999999997</v>
          </cell>
          <cell r="BJ50">
            <v>0</v>
          </cell>
          <cell r="BK50">
            <v>553.06289000000038</v>
          </cell>
        </row>
        <row r="51">
          <cell r="C51">
            <v>20148.109767002825</v>
          </cell>
          <cell r="N51">
            <v>14061.786262675114</v>
          </cell>
          <cell r="O51">
            <v>-2143.7948896568805</v>
          </cell>
          <cell r="P51">
            <v>0</v>
          </cell>
          <cell r="Q51">
            <v>-278.67147148720056</v>
          </cell>
          <cell r="R51">
            <v>0</v>
          </cell>
          <cell r="S51">
            <v>-284.89482532668711</v>
          </cell>
          <cell r="T51">
            <v>-147.71594605241864</v>
          </cell>
          <cell r="U51">
            <v>0</v>
          </cell>
          <cell r="V51">
            <v>-4568.7545036597285</v>
          </cell>
          <cell r="W51">
            <v>0</v>
          </cell>
          <cell r="X51">
            <v>-541.07342889325082</v>
          </cell>
          <cell r="Y51">
            <v>-123.9301881072189</v>
          </cell>
          <cell r="Z51">
            <v>208.38249323884676</v>
          </cell>
          <cell r="AA51">
            <v>0</v>
          </cell>
          <cell r="AB51">
            <v>0</v>
          </cell>
          <cell r="AC51">
            <v>-3577.335211667038</v>
          </cell>
          <cell r="AD51">
            <v>0</v>
          </cell>
          <cell r="AE51">
            <v>0</v>
          </cell>
          <cell r="AF51">
            <v>-331.69965053491666</v>
          </cell>
          <cell r="AG51">
            <v>0</v>
          </cell>
          <cell r="AH51">
            <v>4159.0348622019555</v>
          </cell>
          <cell r="AI51">
            <v>123.9301881072189</v>
          </cell>
          <cell r="AJ51">
            <v>0</v>
          </cell>
          <cell r="AK51">
            <v>0</v>
          </cell>
          <cell r="AL51">
            <v>-2024.8183146104166</v>
          </cell>
          <cell r="AM51">
            <v>0</v>
          </cell>
          <cell r="AN51">
            <v>0</v>
          </cell>
          <cell r="AO51">
            <v>-662.33985727973732</v>
          </cell>
          <cell r="AP51">
            <v>-39.520776804772659</v>
          </cell>
          <cell r="AQ51">
            <v>-558.85608139139561</v>
          </cell>
          <cell r="AR51">
            <v>-379.36193244890694</v>
          </cell>
          <cell r="AT51">
            <v>-1046.4681384671917</v>
          </cell>
          <cell r="AU51">
            <v>53.848959632673974</v>
          </cell>
          <cell r="AV51">
            <v>0</v>
          </cell>
          <cell r="AW51">
            <v>27.32068240135937</v>
          </cell>
          <cell r="AX51">
            <v>210.8443064227495</v>
          </cell>
          <cell r="AY51">
            <v>0</v>
          </cell>
          <cell r="AZ51">
            <v>53.046317327412453</v>
          </cell>
          <cell r="BA51">
            <v>5.2698842095922807</v>
          </cell>
          <cell r="BB51">
            <v>-7.6902303683739301</v>
          </cell>
          <cell r="BC51">
            <v>0</v>
          </cell>
          <cell r="BD51">
            <v>0</v>
          </cell>
          <cell r="BE51">
            <v>609.12983847825876</v>
          </cell>
          <cell r="BF51">
            <v>-609.12983847825876</v>
          </cell>
          <cell r="BG51">
            <v>-5.2698842095922807</v>
          </cell>
          <cell r="BH51">
            <v>0</v>
          </cell>
          <cell r="BI51">
            <v>0</v>
          </cell>
          <cell r="BJ51">
            <v>0</v>
          </cell>
          <cell r="BK51">
            <v>2181.2686252511962</v>
          </cell>
        </row>
        <row r="53">
          <cell r="C53">
            <v>7560.1554200000073</v>
          </cell>
          <cell r="N53">
            <v>4788.9138800000073</v>
          </cell>
          <cell r="O53">
            <v>-30.402930000000001</v>
          </cell>
          <cell r="P53">
            <v>0</v>
          </cell>
          <cell r="Q53">
            <v>0</v>
          </cell>
          <cell r="R53">
            <v>0</v>
          </cell>
          <cell r="S53">
            <v>-42.411039999999993</v>
          </cell>
          <cell r="T53">
            <v>0</v>
          </cell>
          <cell r="U53">
            <v>0</v>
          </cell>
          <cell r="V53">
            <v>-802.98633999999993</v>
          </cell>
          <cell r="W53">
            <v>0</v>
          </cell>
          <cell r="X53">
            <v>0</v>
          </cell>
          <cell r="Y53">
            <v>-13.502140000000001</v>
          </cell>
          <cell r="Z53">
            <v>43.941370000000006</v>
          </cell>
          <cell r="AA53">
            <v>0.6434899999999999</v>
          </cell>
          <cell r="AB53">
            <v>0</v>
          </cell>
          <cell r="AC53">
            <v>-508.95080999999993</v>
          </cell>
          <cell r="AD53">
            <v>24.339020000000001</v>
          </cell>
          <cell r="AE53">
            <v>-10.77844</v>
          </cell>
          <cell r="AF53">
            <v>-22.65483</v>
          </cell>
          <cell r="AG53">
            <v>0</v>
          </cell>
          <cell r="AH53">
            <v>789.60127000000034</v>
          </cell>
          <cell r="AI53">
            <v>3688.1103799999996</v>
          </cell>
          <cell r="AJ53">
            <v>38.659730000000003</v>
          </cell>
          <cell r="AK53">
            <v>-532.63452999999993</v>
          </cell>
          <cell r="AL53">
            <v>-1214.2911599999995</v>
          </cell>
          <cell r="AM53">
            <v>678.46550000000002</v>
          </cell>
          <cell r="AN53">
            <v>-236.00858999999988</v>
          </cell>
          <cell r="AO53">
            <v>-285.79998000000001</v>
          </cell>
          <cell r="AP53">
            <v>-40.436869999999999</v>
          </cell>
          <cell r="AQ53">
            <v>-164.95149000000001</v>
          </cell>
          <cell r="AR53">
            <v>-158.62582999999998</v>
          </cell>
          <cell r="AT53">
            <v>-202.95281000000003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6.0344699999999998</v>
          </cell>
          <cell r="BF53">
            <v>-5.4790000000000001</v>
          </cell>
          <cell r="BG53">
            <v>-1.8381700000000003</v>
          </cell>
          <cell r="BH53">
            <v>1.7809999999999965E-2</v>
          </cell>
          <cell r="BI53">
            <v>0.14381999999999998</v>
          </cell>
          <cell r="BJ53">
            <v>0</v>
          </cell>
          <cell r="BK53">
            <v>5784.1657800000085</v>
          </cell>
        </row>
        <row r="54">
          <cell r="C54">
            <v>7324.6447599999965</v>
          </cell>
          <cell r="N54">
            <v>4504.5162799999989</v>
          </cell>
          <cell r="O54">
            <v>-38.009289999999993</v>
          </cell>
          <cell r="P54">
            <v>0</v>
          </cell>
          <cell r="Q54">
            <v>0</v>
          </cell>
          <cell r="R54">
            <v>0</v>
          </cell>
          <cell r="S54">
            <v>-18.18853</v>
          </cell>
          <cell r="T54">
            <v>-0.20469000000000001</v>
          </cell>
          <cell r="U54">
            <v>0</v>
          </cell>
          <cell r="V54">
            <v>-784.87344000000007</v>
          </cell>
          <cell r="W54">
            <v>0</v>
          </cell>
          <cell r="X54">
            <v>0</v>
          </cell>
          <cell r="Y54">
            <v>-192.06008</v>
          </cell>
          <cell r="Z54">
            <v>42.139579999999995</v>
          </cell>
          <cell r="AA54">
            <v>26.547349999999998</v>
          </cell>
          <cell r="AB54">
            <v>0</v>
          </cell>
          <cell r="AC54">
            <v>-514.68808999999999</v>
          </cell>
          <cell r="AD54">
            <v>41.660519999999998</v>
          </cell>
          <cell r="AE54">
            <v>-10.668839999999999</v>
          </cell>
          <cell r="AF54">
            <v>-24.311689999999999</v>
          </cell>
          <cell r="AG54">
            <v>0</v>
          </cell>
          <cell r="AH54">
            <v>1179.787179999998</v>
          </cell>
          <cell r="AI54">
            <v>1280.10294</v>
          </cell>
          <cell r="AJ54">
            <v>-28.234950000000001</v>
          </cell>
          <cell r="AK54">
            <v>-171.99794999999997</v>
          </cell>
          <cell r="AL54">
            <v>-1219.3678200000002</v>
          </cell>
          <cell r="AM54">
            <v>575.30782999999997</v>
          </cell>
          <cell r="AN54">
            <v>-118.10278000000017</v>
          </cell>
          <cell r="AO54">
            <v>-239.85490000000001</v>
          </cell>
          <cell r="AP54">
            <v>-25.580819999999999</v>
          </cell>
          <cell r="AQ54">
            <v>-116.99567</v>
          </cell>
          <cell r="AR54">
            <v>-91.854020000000006</v>
          </cell>
          <cell r="AT54">
            <v>-137.07090000000005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1.2879400000000001</v>
          </cell>
          <cell r="BF54">
            <v>13.487999999999998</v>
          </cell>
          <cell r="BG54">
            <v>-0.33974999999999989</v>
          </cell>
          <cell r="BH54">
            <v>-0.78532000000000002</v>
          </cell>
          <cell r="BI54">
            <v>-4.7469999999999998E-2</v>
          </cell>
          <cell r="BJ54">
            <v>0</v>
          </cell>
          <cell r="BK54">
            <v>3931.6006199999956</v>
          </cell>
        </row>
        <row r="55">
          <cell r="C55">
            <v>6641.9496670286908</v>
          </cell>
          <cell r="N55">
            <v>4678.0419947280388</v>
          </cell>
          <cell r="O55">
            <v>-277.02325151309736</v>
          </cell>
          <cell r="P55">
            <v>0</v>
          </cell>
          <cell r="Q55">
            <v>0</v>
          </cell>
          <cell r="R55">
            <v>0</v>
          </cell>
          <cell r="S55">
            <v>-47.982673469593642</v>
          </cell>
          <cell r="T55">
            <v>0</v>
          </cell>
          <cell r="U55">
            <v>0</v>
          </cell>
          <cell r="V55">
            <v>-517.50439453401111</v>
          </cell>
          <cell r="W55">
            <v>0</v>
          </cell>
          <cell r="X55">
            <v>0</v>
          </cell>
          <cell r="Y55">
            <v>-14.681664004880624</v>
          </cell>
          <cell r="Z55">
            <v>27.304457554610121</v>
          </cell>
          <cell r="AA55">
            <v>0</v>
          </cell>
          <cell r="AB55">
            <v>0</v>
          </cell>
          <cell r="AC55">
            <v>-600.65869645716145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603.15869645716145</v>
          </cell>
          <cell r="AI55">
            <v>14.681664004880624</v>
          </cell>
          <cell r="AJ55">
            <v>0</v>
          </cell>
          <cell r="AK55">
            <v>0</v>
          </cell>
          <cell r="AL55">
            <v>-772.95306483936758</v>
          </cell>
          <cell r="AM55">
            <v>0</v>
          </cell>
          <cell r="AN55">
            <v>0</v>
          </cell>
          <cell r="AO55">
            <v>-291.94809845051958</v>
          </cell>
          <cell r="AP55">
            <v>-25.77506822213148</v>
          </cell>
          <cell r="AQ55">
            <v>-176.06646512119542</v>
          </cell>
          <cell r="AR55">
            <v>-176.2435752713757</v>
          </cell>
          <cell r="AT55">
            <v>-175.88576022628695</v>
          </cell>
          <cell r="AU55">
            <v>2.8349549733767487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5.0027900562436223E-2</v>
          </cell>
          <cell r="BB55">
            <v>-9.0691999909404783E-2</v>
          </cell>
          <cell r="BC55">
            <v>0</v>
          </cell>
          <cell r="BD55">
            <v>0</v>
          </cell>
          <cell r="BE55">
            <v>27.379512290992729</v>
          </cell>
          <cell r="BF55">
            <v>-27.379512290992729</v>
          </cell>
          <cell r="BG55">
            <v>-5.0027900562436223E-2</v>
          </cell>
          <cell r="BH55">
            <v>0</v>
          </cell>
          <cell r="BI55">
            <v>0</v>
          </cell>
          <cell r="BJ55">
            <v>0</v>
          </cell>
          <cell r="BK55">
            <v>2249.2083636085372</v>
          </cell>
        </row>
        <row r="57">
          <cell r="C57">
            <v>3133.4821299999999</v>
          </cell>
          <cell r="N57">
            <v>2368.2706999999996</v>
          </cell>
          <cell r="O57">
            <v>-4.1128000000000009</v>
          </cell>
          <cell r="P57">
            <v>0</v>
          </cell>
          <cell r="Q57">
            <v>0</v>
          </cell>
          <cell r="R57">
            <v>0</v>
          </cell>
          <cell r="S57">
            <v>-370.36171999999999</v>
          </cell>
          <cell r="T57">
            <v>0</v>
          </cell>
          <cell r="U57">
            <v>0</v>
          </cell>
          <cell r="V57">
            <v>-475.09320000000002</v>
          </cell>
          <cell r="W57">
            <v>0</v>
          </cell>
          <cell r="X57">
            <v>0</v>
          </cell>
          <cell r="Y57">
            <v>-2.22587</v>
          </cell>
          <cell r="Z57">
            <v>36.170079999999999</v>
          </cell>
          <cell r="AA57">
            <v>7.8579999999999997E-2</v>
          </cell>
          <cell r="AB57">
            <v>0</v>
          </cell>
          <cell r="AC57">
            <v>-623.65548999999999</v>
          </cell>
          <cell r="AD57">
            <v>70.149069999999995</v>
          </cell>
          <cell r="AE57">
            <v>-92.296469999999999</v>
          </cell>
          <cell r="AF57">
            <v>8.1172402133233842E-14</v>
          </cell>
          <cell r="AG57">
            <v>0</v>
          </cell>
          <cell r="AH57">
            <v>849.62599999999998</v>
          </cell>
          <cell r="AI57">
            <v>225.03731000000005</v>
          </cell>
          <cell r="AJ57">
            <v>-105.03925</v>
          </cell>
          <cell r="AK57">
            <v>-10.090669999999999</v>
          </cell>
          <cell r="AL57">
            <v>-566.53105000000005</v>
          </cell>
          <cell r="AM57">
            <v>378.89438000000007</v>
          </cell>
          <cell r="AN57">
            <v>-234.36117000000002</v>
          </cell>
          <cell r="AO57">
            <v>-78.14479</v>
          </cell>
          <cell r="AP57">
            <v>-16.261219999999998</v>
          </cell>
          <cell r="AQ57">
            <v>-94.278610000000015</v>
          </cell>
          <cell r="AR57">
            <v>-73.01697999999999</v>
          </cell>
          <cell r="AT57">
            <v>-1057.50602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125.25080999999943</v>
          </cell>
        </row>
        <row r="58">
          <cell r="C58">
            <v>3158.3277700000008</v>
          </cell>
          <cell r="N58">
            <v>2353.8851500000001</v>
          </cell>
          <cell r="O58">
            <v>-4.03329</v>
          </cell>
          <cell r="P58">
            <v>0</v>
          </cell>
          <cell r="Q58">
            <v>0</v>
          </cell>
          <cell r="R58">
            <v>1.01</v>
          </cell>
          <cell r="S58">
            <v>-353.69495000000001</v>
          </cell>
          <cell r="T58">
            <v>-7.5600000000000007E-3</v>
          </cell>
          <cell r="U58">
            <v>0</v>
          </cell>
          <cell r="V58">
            <v>-562.93317000000002</v>
          </cell>
          <cell r="W58">
            <v>0</v>
          </cell>
          <cell r="X58">
            <v>0</v>
          </cell>
          <cell r="Y58">
            <v>-18.374039999999997</v>
          </cell>
          <cell r="Z58">
            <v>45.429490000000008</v>
          </cell>
          <cell r="AA58">
            <v>1.1333799999999998</v>
          </cell>
          <cell r="AB58">
            <v>0</v>
          </cell>
          <cell r="AC58">
            <v>-649.57519000000002</v>
          </cell>
          <cell r="AD58">
            <v>19.27449</v>
          </cell>
          <cell r="AE58">
            <v>-92.539940000000001</v>
          </cell>
          <cell r="AF58">
            <v>0</v>
          </cell>
          <cell r="AG58">
            <v>0</v>
          </cell>
          <cell r="AH58">
            <v>1188.7811100000001</v>
          </cell>
          <cell r="AI58">
            <v>21.119460000000004</v>
          </cell>
          <cell r="AJ58">
            <v>17.044759999999982</v>
          </cell>
          <cell r="AK58">
            <v>2.2463499999999996</v>
          </cell>
          <cell r="AL58">
            <v>-570.80305000000021</v>
          </cell>
          <cell r="AM58">
            <v>385.66758000000004</v>
          </cell>
          <cell r="AN58">
            <v>-234.69241999999997</v>
          </cell>
          <cell r="AO58">
            <v>-62.553049999999992</v>
          </cell>
          <cell r="AP58">
            <v>-14.15751</v>
          </cell>
          <cell r="AQ58">
            <v>-121.83082</v>
          </cell>
          <cell r="AR58">
            <v>-86.002129999999994</v>
          </cell>
          <cell r="AT58">
            <v>-1075.7370899999999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188.65755999999996</v>
          </cell>
        </row>
        <row r="59">
          <cell r="C59">
            <v>3082.7437854433056</v>
          </cell>
          <cell r="N59">
            <v>2331.9385430126717</v>
          </cell>
          <cell r="O59">
            <v>-82.726849067362281</v>
          </cell>
          <cell r="P59">
            <v>0</v>
          </cell>
          <cell r="Q59">
            <v>0</v>
          </cell>
          <cell r="R59">
            <v>0</v>
          </cell>
          <cell r="S59">
            <v>-360.39132444597772</v>
          </cell>
          <cell r="T59">
            <v>-31.313261216391627</v>
          </cell>
          <cell r="U59">
            <v>0</v>
          </cell>
          <cell r="V59">
            <v>-452.87341959946122</v>
          </cell>
          <cell r="W59">
            <v>0</v>
          </cell>
          <cell r="X59">
            <v>0</v>
          </cell>
          <cell r="Y59">
            <v>-10.506477579332534</v>
          </cell>
          <cell r="Z59">
            <v>33.95665478273871</v>
          </cell>
          <cell r="AA59">
            <v>0</v>
          </cell>
          <cell r="AB59">
            <v>0</v>
          </cell>
          <cell r="AC59">
            <v>-408.91232429744662</v>
          </cell>
          <cell r="AD59">
            <v>0</v>
          </cell>
          <cell r="AE59">
            <v>0</v>
          </cell>
          <cell r="AF59">
            <v>-78.790005810623725</v>
          </cell>
          <cell r="AG59">
            <v>0</v>
          </cell>
          <cell r="AH59">
            <v>487.70233010807033</v>
          </cell>
          <cell r="AI59">
            <v>10.506477579332534</v>
          </cell>
          <cell r="AJ59">
            <v>0</v>
          </cell>
          <cell r="AK59">
            <v>0</v>
          </cell>
          <cell r="AL59">
            <v>-405.91532037103758</v>
          </cell>
          <cell r="AM59">
            <v>0</v>
          </cell>
          <cell r="AN59">
            <v>0</v>
          </cell>
          <cell r="AO59">
            <v>-74.861803127656103</v>
          </cell>
          <cell r="AP59">
            <v>-9.531041863737082</v>
          </cell>
          <cell r="AQ59">
            <v>-100.45146907081669</v>
          </cell>
          <cell r="AR59">
            <v>-72.856706228720626</v>
          </cell>
          <cell r="AT59">
            <v>-756.17976080100925</v>
          </cell>
          <cell r="AU59">
            <v>137.88468695629501</v>
          </cell>
          <cell r="AV59">
            <v>0</v>
          </cell>
          <cell r="AW59">
            <v>0</v>
          </cell>
          <cell r="AX59">
            <v>98.615313043705001</v>
          </cell>
          <cell r="AY59">
            <v>0</v>
          </cell>
          <cell r="AZ59">
            <v>0</v>
          </cell>
          <cell r="BA59">
            <v>1.545977855965925</v>
          </cell>
          <cell r="BB59">
            <v>-3.0201420993300316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-1.545977855965925</v>
          </cell>
          <cell r="BH59">
            <v>0</v>
          </cell>
          <cell r="BI59">
            <v>0</v>
          </cell>
          <cell r="BJ59">
            <v>0</v>
          </cell>
          <cell r="BK59">
            <v>252.27409990391033</v>
          </cell>
        </row>
        <row r="61">
          <cell r="C61">
            <v>3605.6386399999997</v>
          </cell>
          <cell r="N61">
            <v>2275.849279999999</v>
          </cell>
          <cell r="O61">
            <v>-28.862090000000002</v>
          </cell>
          <cell r="P61">
            <v>0</v>
          </cell>
          <cell r="Q61">
            <v>0</v>
          </cell>
          <cell r="R61">
            <v>0</v>
          </cell>
          <cell r="S61">
            <v>-30.186399999999999</v>
          </cell>
          <cell r="T61">
            <v>0</v>
          </cell>
          <cell r="U61">
            <v>0</v>
          </cell>
          <cell r="V61">
            <v>-671.57868000000008</v>
          </cell>
          <cell r="W61">
            <v>0</v>
          </cell>
          <cell r="X61">
            <v>0</v>
          </cell>
          <cell r="Y61">
            <v>-9.5680399999999999</v>
          </cell>
          <cell r="Z61">
            <v>20.143080000000001</v>
          </cell>
          <cell r="AA61">
            <v>0.29255999999999999</v>
          </cell>
          <cell r="AB61">
            <v>0</v>
          </cell>
          <cell r="AC61">
            <v>-274.13684000000001</v>
          </cell>
          <cell r="AD61">
            <v>15.18562</v>
          </cell>
          <cell r="AE61">
            <v>-11.637129999999999</v>
          </cell>
          <cell r="AF61">
            <v>-43.882680000000008</v>
          </cell>
          <cell r="AG61">
            <v>0</v>
          </cell>
          <cell r="AH61">
            <v>633.57531999999969</v>
          </cell>
          <cell r="AI61">
            <v>124.29280000000001</v>
          </cell>
          <cell r="AJ61">
            <v>-63.194430000000004</v>
          </cell>
          <cell r="AK61">
            <v>-5.8023800000000003</v>
          </cell>
          <cell r="AL61">
            <v>-756.66954999999996</v>
          </cell>
          <cell r="AM61">
            <v>800.38230999999996</v>
          </cell>
          <cell r="AN61">
            <v>-555.85626999999999</v>
          </cell>
          <cell r="AO61">
            <v>-26.337199999999999</v>
          </cell>
          <cell r="AP61">
            <v>-11.253570000000002</v>
          </cell>
          <cell r="AQ61">
            <v>-73.456689999999981</v>
          </cell>
          <cell r="AR61">
            <v>-68.205880000000008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1239.0931399999981</v>
          </cell>
        </row>
        <row r="62">
          <cell r="C62">
            <v>3247.0821100000003</v>
          </cell>
          <cell r="N62">
            <v>2066.2056399999992</v>
          </cell>
          <cell r="O62">
            <v>-11.158519999999999</v>
          </cell>
          <cell r="P62">
            <v>0</v>
          </cell>
          <cell r="Q62">
            <v>0</v>
          </cell>
          <cell r="R62">
            <v>0</v>
          </cell>
          <cell r="S62">
            <v>-53.931039999999996</v>
          </cell>
          <cell r="T62">
            <v>-0.41692000000000001</v>
          </cell>
          <cell r="U62">
            <v>0</v>
          </cell>
          <cell r="V62">
            <v>-691.43705999999997</v>
          </cell>
          <cell r="W62">
            <v>0</v>
          </cell>
          <cell r="X62">
            <v>0</v>
          </cell>
          <cell r="Y62">
            <v>-15.59674</v>
          </cell>
          <cell r="Z62">
            <v>23.461389999999998</v>
          </cell>
          <cell r="AA62">
            <v>0.72160999999999997</v>
          </cell>
          <cell r="AB62">
            <v>0</v>
          </cell>
          <cell r="AC62">
            <v>-410.40964000000002</v>
          </cell>
          <cell r="AD62">
            <v>7.9126899999999996</v>
          </cell>
          <cell r="AE62">
            <v>-26.367819999999998</v>
          </cell>
          <cell r="AF62">
            <v>-33.322389999999999</v>
          </cell>
          <cell r="AG62">
            <v>0</v>
          </cell>
          <cell r="AH62">
            <v>1056.4668100000001</v>
          </cell>
          <cell r="AI62">
            <v>-3.4474699999999929</v>
          </cell>
          <cell r="AJ62">
            <v>27.003930000000004</v>
          </cell>
          <cell r="AK62">
            <v>1.9009800000000001</v>
          </cell>
          <cell r="AL62">
            <v>-659.10868999999991</v>
          </cell>
          <cell r="AM62">
            <v>754.44263999999998</v>
          </cell>
          <cell r="AN62">
            <v>-546.44912999999997</v>
          </cell>
          <cell r="AO62">
            <v>-35.286079999999998</v>
          </cell>
          <cell r="AP62">
            <v>-10.28543</v>
          </cell>
          <cell r="AQ62">
            <v>-163.01251000000005</v>
          </cell>
          <cell r="AR62">
            <v>-23.962420000000016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1253.9238299999995</v>
          </cell>
        </row>
        <row r="63">
          <cell r="C63">
            <v>2151.64</v>
          </cell>
          <cell r="N63">
            <v>1276.5869121490518</v>
          </cell>
          <cell r="O63">
            <v>-121.67079774743078</v>
          </cell>
          <cell r="P63">
            <v>0</v>
          </cell>
          <cell r="Q63">
            <v>0</v>
          </cell>
          <cell r="R63">
            <v>0</v>
          </cell>
          <cell r="S63">
            <v>-46.138832774679216</v>
          </cell>
          <cell r="T63">
            <v>0</v>
          </cell>
          <cell r="U63">
            <v>0</v>
          </cell>
          <cell r="V63">
            <v>-103.2803454476351</v>
          </cell>
          <cell r="W63">
            <v>0</v>
          </cell>
          <cell r="X63">
            <v>0</v>
          </cell>
          <cell r="Y63">
            <v>-2.9345138628015115</v>
          </cell>
          <cell r="Z63">
            <v>4.7374352511666515</v>
          </cell>
          <cell r="AA63">
            <v>0</v>
          </cell>
          <cell r="AB63">
            <v>0</v>
          </cell>
          <cell r="AC63">
            <v>-77.722211429413989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88.472211429413974</v>
          </cell>
          <cell r="AI63">
            <v>2.9345138628015115</v>
          </cell>
          <cell r="AJ63">
            <v>0</v>
          </cell>
          <cell r="AK63">
            <v>0</v>
          </cell>
          <cell r="AL63">
            <v>-248.83914057827471</v>
          </cell>
          <cell r="AM63">
            <v>0</v>
          </cell>
          <cell r="AN63">
            <v>0</v>
          </cell>
          <cell r="AO63">
            <v>-30.489429650240002</v>
          </cell>
          <cell r="AP63">
            <v>-5.1221080164152255</v>
          </cell>
          <cell r="AQ63">
            <v>-107.45115149291584</v>
          </cell>
          <cell r="AR63">
            <v>-64.460310069930401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564.62223162269709</v>
          </cell>
        </row>
        <row r="69">
          <cell r="C69">
            <v>99822.038590000142</v>
          </cell>
          <cell r="N69">
            <v>61068.158080000161</v>
          </cell>
          <cell r="O69">
            <v>-2472.1188799999995</v>
          </cell>
          <cell r="P69">
            <v>0</v>
          </cell>
          <cell r="Q69">
            <v>0</v>
          </cell>
          <cell r="R69">
            <v>13.834570000000001</v>
          </cell>
          <cell r="S69">
            <v>-1649.5974800000001</v>
          </cell>
          <cell r="T69">
            <v>-24.5776</v>
          </cell>
          <cell r="U69">
            <v>0</v>
          </cell>
          <cell r="V69">
            <v>-50569.744500000001</v>
          </cell>
          <cell r="W69">
            <v>0</v>
          </cell>
          <cell r="X69">
            <v>-4143.2266799999998</v>
          </cell>
          <cell r="Y69">
            <v>-539.45623999999998</v>
          </cell>
          <cell r="Z69">
            <v>10096.501320000001</v>
          </cell>
          <cell r="AA69">
            <v>91.396050000000002</v>
          </cell>
          <cell r="AB69">
            <v>0</v>
          </cell>
          <cell r="AC69">
            <v>-45597.517240000008</v>
          </cell>
          <cell r="AD69">
            <v>1741.7109100000002</v>
          </cell>
          <cell r="AE69">
            <v>-1396.7673799999998</v>
          </cell>
          <cell r="AF69">
            <v>-780.91329999999846</v>
          </cell>
          <cell r="AG69">
            <v>0</v>
          </cell>
          <cell r="AH69">
            <v>36645.896039999941</v>
          </cell>
          <cell r="AI69">
            <v>8298.5760500000033</v>
          </cell>
          <cell r="AJ69">
            <v>4404.9604399999716</v>
          </cell>
          <cell r="AK69">
            <v>-2880.2271600000013</v>
          </cell>
          <cell r="AL69">
            <v>-6211.1452300000055</v>
          </cell>
          <cell r="AM69">
            <v>8226.2653999999984</v>
          </cell>
          <cell r="AN69">
            <v>-5358.8352099999993</v>
          </cell>
          <cell r="AO69">
            <v>-2229.9901100000006</v>
          </cell>
          <cell r="AP69">
            <v>-234.87717000000004</v>
          </cell>
          <cell r="AQ69">
            <v>-2588.82519</v>
          </cell>
          <cell r="AR69">
            <v>-1444.3319300000003</v>
          </cell>
          <cell r="AT69">
            <v>-2821.9451299999992</v>
          </cell>
          <cell r="AU69">
            <v>81.987109999999987</v>
          </cell>
          <cell r="AV69">
            <v>0</v>
          </cell>
          <cell r="AW69">
            <v>0</v>
          </cell>
          <cell r="AX69">
            <v>878.41603999999995</v>
          </cell>
          <cell r="AY69">
            <v>0</v>
          </cell>
          <cell r="AZ69">
            <v>0</v>
          </cell>
          <cell r="BA69">
            <v>7.6144499999999997</v>
          </cell>
          <cell r="BB69">
            <v>-181.16946999999999</v>
          </cell>
          <cell r="BC69">
            <v>-1.4603200000000003</v>
          </cell>
          <cell r="BD69">
            <v>0</v>
          </cell>
          <cell r="BE69">
            <v>1549.4678199999996</v>
          </cell>
          <cell r="BF69">
            <v>2665.0236900000318</v>
          </cell>
          <cell r="BG69">
            <v>-977.0581899999994</v>
          </cell>
          <cell r="BH69">
            <v>-1694.0408400000001</v>
          </cell>
          <cell r="BI69">
            <v>49.945579999999993</v>
          </cell>
          <cell r="BJ69">
            <v>0</v>
          </cell>
          <cell r="BK69">
            <v>2021.9283000000992</v>
          </cell>
        </row>
        <row r="70">
          <cell r="C70">
            <v>95812.327630000029</v>
          </cell>
          <cell r="N70">
            <v>61203.945400000019</v>
          </cell>
          <cell r="O70">
            <v>-1655.7785800000004</v>
          </cell>
          <cell r="P70">
            <v>0</v>
          </cell>
          <cell r="Q70">
            <v>-582.577</v>
          </cell>
          <cell r="R70">
            <v>28.482149999999997</v>
          </cell>
          <cell r="S70">
            <v>-1534.31295</v>
          </cell>
          <cell r="T70">
            <v>-37.444120000000005</v>
          </cell>
          <cell r="U70">
            <v>0</v>
          </cell>
          <cell r="V70">
            <v>-48597.657339999998</v>
          </cell>
          <cell r="W70">
            <v>0</v>
          </cell>
          <cell r="X70">
            <v>-1000</v>
          </cell>
          <cell r="Y70">
            <v>-886.99929999999995</v>
          </cell>
          <cell r="Z70">
            <v>7456.4765600000001</v>
          </cell>
          <cell r="AA70">
            <v>138.15647999999999</v>
          </cell>
          <cell r="AB70">
            <v>0</v>
          </cell>
          <cell r="AC70">
            <v>-42892.099320000008</v>
          </cell>
          <cell r="AD70">
            <v>1974.8033700000001</v>
          </cell>
          <cell r="AE70">
            <v>-1267.1565700000001</v>
          </cell>
          <cell r="AF70">
            <v>-970.6655199999999</v>
          </cell>
          <cell r="AG70">
            <v>0</v>
          </cell>
          <cell r="AH70">
            <v>35343.934189999993</v>
          </cell>
          <cell r="AI70">
            <v>1808.5555199999994</v>
          </cell>
          <cell r="AJ70">
            <v>8896.2566200000001</v>
          </cell>
          <cell r="AK70">
            <v>-37.150320000000008</v>
          </cell>
          <cell r="AL70">
            <v>-5978.46551</v>
          </cell>
          <cell r="AM70">
            <v>8768.8225300000013</v>
          </cell>
          <cell r="AN70">
            <v>-6141.7528300000013</v>
          </cell>
          <cell r="AO70">
            <v>-2483.2849200000005</v>
          </cell>
          <cell r="AP70">
            <v>-260.81392999999997</v>
          </cell>
          <cell r="AQ70">
            <v>-2550.8925399999998</v>
          </cell>
          <cell r="AR70">
            <v>-1514.2057399999999</v>
          </cell>
          <cell r="AT70">
            <v>-3246.4390400000007</v>
          </cell>
          <cell r="AU70">
            <v>49.870710000000003</v>
          </cell>
          <cell r="AV70">
            <v>0</v>
          </cell>
          <cell r="AW70">
            <v>0</v>
          </cell>
          <cell r="AX70">
            <v>1088.46874</v>
          </cell>
          <cell r="AY70">
            <v>0</v>
          </cell>
          <cell r="AZ70">
            <v>0</v>
          </cell>
          <cell r="BA70">
            <v>8.3163300000000007</v>
          </cell>
          <cell r="BB70">
            <v>-199.07433</v>
          </cell>
          <cell r="BC70">
            <v>-0.17479</v>
          </cell>
          <cell r="BD70">
            <v>0</v>
          </cell>
          <cell r="BE70">
            <v>1082.9629400000003</v>
          </cell>
          <cell r="BF70">
            <v>-137.1286200000236</v>
          </cell>
          <cell r="BG70">
            <v>-364.62428</v>
          </cell>
          <cell r="BH70">
            <v>-518.12536999999986</v>
          </cell>
          <cell r="BI70">
            <v>0.13718000000000016</v>
          </cell>
          <cell r="BJ70">
            <v>0</v>
          </cell>
          <cell r="BK70">
            <v>4992.3657999999887</v>
          </cell>
        </row>
        <row r="71">
          <cell r="C71">
            <v>84734.836263833262</v>
          </cell>
          <cell r="N71">
            <v>61216.405924999985</v>
          </cell>
          <cell r="O71">
            <v>-12271.274608079162</v>
          </cell>
          <cell r="P71">
            <v>0</v>
          </cell>
          <cell r="Q71">
            <v>-1057.4051291118474</v>
          </cell>
          <cell r="R71">
            <v>0</v>
          </cell>
          <cell r="S71">
            <v>-3208.7252274458042</v>
          </cell>
          <cell r="T71">
            <v>-395.16911969550654</v>
          </cell>
          <cell r="U71">
            <v>0</v>
          </cell>
          <cell r="V71">
            <v>-36783.762416408303</v>
          </cell>
          <cell r="W71">
            <v>0</v>
          </cell>
          <cell r="X71">
            <v>-4266.5084206268921</v>
          </cell>
          <cell r="Y71">
            <v>-949.55993163633832</v>
          </cell>
          <cell r="Z71">
            <v>9510.7348405147186</v>
          </cell>
          <cell r="AA71">
            <v>0</v>
          </cell>
          <cell r="AB71">
            <v>0</v>
          </cell>
          <cell r="AC71">
            <v>-32941.365028632266</v>
          </cell>
          <cell r="AD71">
            <v>0</v>
          </cell>
          <cell r="AE71">
            <v>0</v>
          </cell>
          <cell r="AF71">
            <v>-1229.9018268360282</v>
          </cell>
          <cell r="AG71">
            <v>0</v>
          </cell>
          <cell r="AH71">
            <v>34392.067998161489</v>
          </cell>
          <cell r="AI71">
            <v>949.55993163633832</v>
          </cell>
          <cell r="AJ71">
            <v>0</v>
          </cell>
          <cell r="AK71">
            <v>0</v>
          </cell>
          <cell r="AL71">
            <v>-3234.0836477906601</v>
          </cell>
          <cell r="AM71">
            <v>0</v>
          </cell>
          <cell r="AN71">
            <v>0</v>
          </cell>
          <cell r="AO71">
            <v>-2278.7928622616878</v>
          </cell>
          <cell r="AP71">
            <v>-203.75941106007923</v>
          </cell>
          <cell r="AQ71">
            <v>-2931.975583654249</v>
          </cell>
          <cell r="AR71">
            <v>-1637.1182777253407</v>
          </cell>
          <cell r="AT71">
            <v>-3419.3088716597563</v>
          </cell>
          <cell r="AU71">
            <v>526.79496676974907</v>
          </cell>
          <cell r="AV71">
            <v>0</v>
          </cell>
          <cell r="AW71">
            <v>15.460286204844127</v>
          </cell>
          <cell r="AX71">
            <v>1702.4663206680661</v>
          </cell>
          <cell r="AY71">
            <v>0</v>
          </cell>
          <cell r="AZ71">
            <v>58.322606688977999</v>
          </cell>
          <cell r="BA71">
            <v>38.992197487993522</v>
          </cell>
          <cell r="BB71">
            <v>-444.64602695616139</v>
          </cell>
          <cell r="BC71">
            <v>0</v>
          </cell>
          <cell r="BD71">
            <v>0</v>
          </cell>
          <cell r="BE71">
            <v>2277.2363250807712</v>
          </cell>
          <cell r="BF71">
            <v>-2039.8068876429559</v>
          </cell>
          <cell r="BG71">
            <v>-38.992197487993522</v>
          </cell>
          <cell r="BH71">
            <v>0</v>
          </cell>
          <cell r="BI71">
            <v>0</v>
          </cell>
          <cell r="BJ71">
            <v>0</v>
          </cell>
          <cell r="BK71">
            <v>1355.8859235019108</v>
          </cell>
        </row>
        <row r="73">
          <cell r="C73">
            <v>16762.979899999998</v>
          </cell>
          <cell r="N73">
            <v>16827.413349999999</v>
          </cell>
          <cell r="O73">
            <v>-159.24642999999995</v>
          </cell>
          <cell r="P73">
            <v>0</v>
          </cell>
          <cell r="Q73">
            <v>0</v>
          </cell>
          <cell r="R73">
            <v>48.9998</v>
          </cell>
          <cell r="S73">
            <v>-135.98161999999999</v>
          </cell>
          <cell r="T73">
            <v>0</v>
          </cell>
          <cell r="U73">
            <v>0</v>
          </cell>
          <cell r="V73">
            <v>-12706.276459999999</v>
          </cell>
          <cell r="W73">
            <v>0</v>
          </cell>
          <cell r="X73">
            <v>0</v>
          </cell>
          <cell r="Y73">
            <v>-36.574129999999997</v>
          </cell>
          <cell r="Z73">
            <v>347.53107999999997</v>
          </cell>
          <cell r="AA73">
            <v>6.5187900000000001</v>
          </cell>
          <cell r="AB73">
            <v>0</v>
          </cell>
          <cell r="AC73">
            <v>-10358.549370000001</v>
          </cell>
          <cell r="AD73">
            <v>0</v>
          </cell>
          <cell r="AE73">
            <v>-76.360079999999982</v>
          </cell>
          <cell r="AF73">
            <v>-12.230849999999998</v>
          </cell>
          <cell r="AG73">
            <v>0</v>
          </cell>
          <cell r="AH73">
            <v>14329.482500000007</v>
          </cell>
          <cell r="AI73">
            <v>-1340.551909999999</v>
          </cell>
          <cell r="AJ73">
            <v>-1995.2577800000001</v>
          </cell>
          <cell r="AK73">
            <v>194.84571</v>
          </cell>
          <cell r="AL73">
            <v>-1135.6946899999998</v>
          </cell>
          <cell r="AM73">
            <v>135.22403</v>
          </cell>
          <cell r="AN73">
            <v>-116.80186</v>
          </cell>
          <cell r="AO73">
            <v>-523.54792000000009</v>
          </cell>
          <cell r="AP73">
            <v>-57.814299999999996</v>
          </cell>
          <cell r="AQ73">
            <v>-1124.66911</v>
          </cell>
          <cell r="AR73">
            <v>-542.88609999999994</v>
          </cell>
          <cell r="AT73">
            <v>-1347.3256500000002</v>
          </cell>
          <cell r="AU73">
            <v>3.7230400000000001</v>
          </cell>
          <cell r="AV73">
            <v>0</v>
          </cell>
          <cell r="AW73">
            <v>0</v>
          </cell>
          <cell r="AX73">
            <v>599.80565999999999</v>
          </cell>
          <cell r="AY73">
            <v>0</v>
          </cell>
          <cell r="AZ73">
            <v>0</v>
          </cell>
          <cell r="BA73">
            <v>0.17824999999999999</v>
          </cell>
          <cell r="BB73">
            <v>-1.51542</v>
          </cell>
          <cell r="BC73">
            <v>-1.4670000000000001E-2</v>
          </cell>
          <cell r="BD73">
            <v>0</v>
          </cell>
          <cell r="BE73">
            <v>879.18129999999974</v>
          </cell>
          <cell r="BF73">
            <v>-3361.055629999998</v>
          </cell>
          <cell r="BG73">
            <v>30.052339999999997</v>
          </cell>
          <cell r="BH73">
            <v>2534.6011500000004</v>
          </cell>
          <cell r="BI73">
            <v>-8.1840000000000011</v>
          </cell>
          <cell r="BJ73">
            <v>0</v>
          </cell>
          <cell r="BK73">
            <v>897.01902000000791</v>
          </cell>
        </row>
        <row r="74">
          <cell r="C74">
            <v>15874.847610000003</v>
          </cell>
          <cell r="N74">
            <v>15675.564450000002</v>
          </cell>
          <cell r="O74">
            <v>-102.24328</v>
          </cell>
          <cell r="P74">
            <v>0</v>
          </cell>
          <cell r="Q74">
            <v>0</v>
          </cell>
          <cell r="R74">
            <v>44.189889999999998</v>
          </cell>
          <cell r="S74">
            <v>-35.024320000000003</v>
          </cell>
          <cell r="T74">
            <v>0</v>
          </cell>
          <cell r="U74">
            <v>0</v>
          </cell>
          <cell r="V74">
            <v>-15151.428599999999</v>
          </cell>
          <cell r="W74">
            <v>0</v>
          </cell>
          <cell r="X74">
            <v>0</v>
          </cell>
          <cell r="Y74">
            <v>-161.30385999999999</v>
          </cell>
          <cell r="Z74">
            <v>2801.9606299999996</v>
          </cell>
          <cell r="AA74">
            <v>24.996820000000003</v>
          </cell>
          <cell r="AB74">
            <v>0</v>
          </cell>
          <cell r="AC74">
            <v>-8613.3159300000007</v>
          </cell>
          <cell r="AD74">
            <v>0</v>
          </cell>
          <cell r="AE74">
            <v>-15.764389999999999</v>
          </cell>
          <cell r="AF74">
            <v>-5.7474799999999995</v>
          </cell>
          <cell r="AG74">
            <v>0</v>
          </cell>
          <cell r="AH74">
            <v>7429.6293499999992</v>
          </cell>
          <cell r="AI74">
            <v>150.78711000000001</v>
          </cell>
          <cell r="AJ74">
            <v>-713.69965000000116</v>
          </cell>
          <cell r="AK74">
            <v>-8.8023699999999998</v>
          </cell>
          <cell r="AL74">
            <v>-1168.3492999999999</v>
          </cell>
          <cell r="AM74">
            <v>146.47613000000001</v>
          </cell>
          <cell r="AN74">
            <v>-116.60205999999997</v>
          </cell>
          <cell r="AO74">
            <v>-458.55628999999999</v>
          </cell>
          <cell r="AP74">
            <v>-43.597819999999999</v>
          </cell>
          <cell r="AQ74">
            <v>-606.88151000000005</v>
          </cell>
          <cell r="AR74">
            <v>-336.22401000000002</v>
          </cell>
          <cell r="AT74">
            <v>-2232.8840900000005</v>
          </cell>
          <cell r="AU74">
            <v>0</v>
          </cell>
          <cell r="AV74">
            <v>0</v>
          </cell>
          <cell r="AW74">
            <v>0</v>
          </cell>
          <cell r="AX74">
            <v>2035.47867</v>
          </cell>
          <cell r="AY74">
            <v>0</v>
          </cell>
          <cell r="AZ74">
            <v>0</v>
          </cell>
          <cell r="BA74">
            <v>6.6341000000000001</v>
          </cell>
          <cell r="BB74">
            <v>-353.37985000000003</v>
          </cell>
          <cell r="BC74">
            <v>-0.11647</v>
          </cell>
          <cell r="BD74">
            <v>0</v>
          </cell>
          <cell r="BE74">
            <v>575.66580000000022</v>
          </cell>
          <cell r="BF74">
            <v>-183.94961000003099</v>
          </cell>
          <cell r="BG74">
            <v>-35.99871000000001</v>
          </cell>
          <cell r="BH74">
            <v>327.92973000000018</v>
          </cell>
          <cell r="BI74">
            <v>0.18189</v>
          </cell>
          <cell r="BJ74">
            <v>0</v>
          </cell>
          <cell r="BK74">
            <v>-1124.3750300000338</v>
          </cell>
        </row>
        <row r="75">
          <cell r="C75">
            <v>17416.689024312909</v>
          </cell>
          <cell r="N75">
            <v>17253.636448104677</v>
          </cell>
          <cell r="O75">
            <v>-2345.6912591632718</v>
          </cell>
          <cell r="P75">
            <v>0</v>
          </cell>
          <cell r="Q75">
            <v>0</v>
          </cell>
          <cell r="R75">
            <v>0</v>
          </cell>
          <cell r="S75">
            <v>-451.18143287034445</v>
          </cell>
          <cell r="T75">
            <v>0</v>
          </cell>
          <cell r="U75">
            <v>0</v>
          </cell>
          <cell r="V75">
            <v>-13159.094003479539</v>
          </cell>
          <cell r="W75">
            <v>0</v>
          </cell>
          <cell r="X75">
            <v>0</v>
          </cell>
          <cell r="Y75">
            <v>-268.1334885990309</v>
          </cell>
          <cell r="Z75">
            <v>2873.3303229914318</v>
          </cell>
          <cell r="AA75">
            <v>0</v>
          </cell>
          <cell r="AB75">
            <v>0</v>
          </cell>
          <cell r="AC75">
            <v>-7399.8187819749983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7947.0766384972567</v>
          </cell>
          <cell r="AI75">
            <v>268.1334885990309</v>
          </cell>
          <cell r="AJ75">
            <v>0</v>
          </cell>
          <cell r="AK75">
            <v>0</v>
          </cell>
          <cell r="AL75">
            <v>-1256.1231673897412</v>
          </cell>
          <cell r="AM75">
            <v>0</v>
          </cell>
          <cell r="AN75">
            <v>0</v>
          </cell>
          <cell r="AO75">
            <v>-515.59415517317552</v>
          </cell>
          <cell r="AP75">
            <v>-51.436538238894606</v>
          </cell>
          <cell r="AQ75">
            <v>-1201.604239839879</v>
          </cell>
          <cell r="AR75">
            <v>-601.91006035215707</v>
          </cell>
          <cell r="AT75">
            <v>-1703.0930402884339</v>
          </cell>
          <cell r="AU75">
            <v>325.44236259738869</v>
          </cell>
          <cell r="AV75">
            <v>0</v>
          </cell>
          <cell r="AW75">
            <v>0</v>
          </cell>
          <cell r="AX75">
            <v>1825.6991943863532</v>
          </cell>
          <cell r="AY75">
            <v>0</v>
          </cell>
          <cell r="AZ75">
            <v>0</v>
          </cell>
          <cell r="BA75">
            <v>35.80812297525641</v>
          </cell>
          <cell r="BB75">
            <v>-398.64726662683955</v>
          </cell>
          <cell r="BC75">
            <v>0</v>
          </cell>
          <cell r="BD75">
            <v>0</v>
          </cell>
          <cell r="BE75">
            <v>-370.00000000000023</v>
          </cell>
          <cell r="BF75">
            <v>0</v>
          </cell>
          <cell r="BG75">
            <v>-35.80812297525641</v>
          </cell>
          <cell r="BH75">
            <v>0</v>
          </cell>
          <cell r="BI75">
            <v>0</v>
          </cell>
          <cell r="BJ75">
            <v>0</v>
          </cell>
          <cell r="BK75">
            <v>770.99102117983455</v>
          </cell>
        </row>
        <row r="77">
          <cell r="C77">
            <v>21438.51123</v>
          </cell>
          <cell r="N77">
            <v>16910.640050000002</v>
          </cell>
          <cell r="O77">
            <v>-1255.86607</v>
          </cell>
          <cell r="P77">
            <v>0</v>
          </cell>
          <cell r="Q77">
            <v>0</v>
          </cell>
          <cell r="R77">
            <v>0</v>
          </cell>
          <cell r="S77">
            <v>-550.52026999999998</v>
          </cell>
          <cell r="T77">
            <v>0</v>
          </cell>
          <cell r="U77">
            <v>0</v>
          </cell>
          <cell r="V77">
            <v>-11965.480940000003</v>
          </cell>
          <cell r="W77">
            <v>0</v>
          </cell>
          <cell r="X77">
            <v>0</v>
          </cell>
          <cell r="Y77">
            <v>-29.853380000000001</v>
          </cell>
          <cell r="Z77">
            <v>196.84054000000003</v>
          </cell>
          <cell r="AA77">
            <v>0.42625000000000002</v>
          </cell>
          <cell r="AB77">
            <v>0</v>
          </cell>
          <cell r="AC77">
            <v>-10904.234530000002</v>
          </cell>
          <cell r="AD77">
            <v>197.76732000000001</v>
          </cell>
          <cell r="AE77">
            <v>-290.39060000000001</v>
          </cell>
          <cell r="AF77">
            <v>0</v>
          </cell>
          <cell r="AG77">
            <v>0</v>
          </cell>
          <cell r="AH77">
            <v>12416.12024</v>
          </cell>
          <cell r="AI77">
            <v>531.20354999999995</v>
          </cell>
          <cell r="AJ77">
            <v>-0.46661999999993498</v>
          </cell>
          <cell r="AK77">
            <v>-29.665990000000019</v>
          </cell>
          <cell r="AL77">
            <v>-2360.3773700000002</v>
          </cell>
          <cell r="AM77">
            <v>643.93407999999999</v>
          </cell>
          <cell r="AN77">
            <v>-401.82125000000002</v>
          </cell>
          <cell r="AO77">
            <v>-272.51947999999999</v>
          </cell>
          <cell r="AP77">
            <v>-25.08736</v>
          </cell>
          <cell r="AQ77">
            <v>-641.6707899999999</v>
          </cell>
          <cell r="AR77">
            <v>-323.93842999999998</v>
          </cell>
          <cell r="AT77">
            <v>-880.90075000000002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1345.82996</v>
          </cell>
          <cell r="BF77">
            <v>141.33521999999996</v>
          </cell>
          <cell r="BG77">
            <v>-26.612089999999995</v>
          </cell>
          <cell r="BH77">
            <v>-4.8919599999999992</v>
          </cell>
          <cell r="BI77">
            <v>0.72611000000000003</v>
          </cell>
          <cell r="BJ77">
            <v>0</v>
          </cell>
          <cell r="BK77">
            <v>2420.5254399999958</v>
          </cell>
        </row>
        <row r="78">
          <cell r="C78">
            <v>20226.444560000004</v>
          </cell>
          <cell r="N78">
            <v>17696.824699999997</v>
          </cell>
          <cell r="O78">
            <v>-1167.5751400000001</v>
          </cell>
          <cell r="P78">
            <v>0</v>
          </cell>
          <cell r="Q78">
            <v>0</v>
          </cell>
          <cell r="R78">
            <v>12.65169</v>
          </cell>
          <cell r="S78">
            <v>-259.30796999999995</v>
          </cell>
          <cell r="T78">
            <v>0</v>
          </cell>
          <cell r="U78">
            <v>0</v>
          </cell>
          <cell r="V78">
            <v>-11772.183249999998</v>
          </cell>
          <cell r="W78">
            <v>0</v>
          </cell>
          <cell r="X78">
            <v>0</v>
          </cell>
          <cell r="Y78">
            <v>-122.99845000000002</v>
          </cell>
          <cell r="Z78">
            <v>211.19963999999999</v>
          </cell>
          <cell r="AA78">
            <v>1.7716300000000003</v>
          </cell>
          <cell r="AB78">
            <v>0</v>
          </cell>
          <cell r="AC78">
            <v>-11281.772960000002</v>
          </cell>
          <cell r="AD78">
            <v>660.40837999999997</v>
          </cell>
          <cell r="AE78">
            <v>-132.81900999999999</v>
          </cell>
          <cell r="AF78">
            <v>0</v>
          </cell>
          <cell r="AG78">
            <v>0</v>
          </cell>
          <cell r="AH78">
            <v>12167.280310000002</v>
          </cell>
          <cell r="AI78">
            <v>56.578100000000049</v>
          </cell>
          <cell r="AJ78">
            <v>0.29176000000048674</v>
          </cell>
          <cell r="AK78">
            <v>13.142359999999989</v>
          </cell>
          <cell r="AL78">
            <v>-2277.1605300000001</v>
          </cell>
          <cell r="AM78">
            <v>558.36796000000004</v>
          </cell>
          <cell r="AN78">
            <v>-386.54005000000001</v>
          </cell>
          <cell r="AO78">
            <v>-321.31238999999999</v>
          </cell>
          <cell r="AP78">
            <v>-29.37171</v>
          </cell>
          <cell r="AQ78">
            <v>-458.60413999999997</v>
          </cell>
          <cell r="AR78">
            <v>-248.88333</v>
          </cell>
          <cell r="AT78">
            <v>-1172.19982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1123.5928600000002</v>
          </cell>
          <cell r="BF78">
            <v>-68.924000000000476</v>
          </cell>
          <cell r="BG78">
            <v>1.8468799999999925</v>
          </cell>
          <cell r="BH78">
            <v>-6.6202699999999979</v>
          </cell>
          <cell r="BI78">
            <v>-1.0327999999999997</v>
          </cell>
          <cell r="BJ78">
            <v>0</v>
          </cell>
          <cell r="BK78">
            <v>2796.6504499999974</v>
          </cell>
        </row>
        <row r="79">
          <cell r="C79">
            <v>18835.481761060088</v>
          </cell>
          <cell r="N79">
            <v>15358.187411086048</v>
          </cell>
          <cell r="O79">
            <v>-6749.2707741861886</v>
          </cell>
          <cell r="P79">
            <v>0</v>
          </cell>
          <cell r="Q79">
            <v>0</v>
          </cell>
          <cell r="R79">
            <v>0</v>
          </cell>
          <cell r="S79">
            <v>-831.27392793773106</v>
          </cell>
          <cell r="T79">
            <v>0</v>
          </cell>
          <cell r="U79">
            <v>0</v>
          </cell>
          <cell r="V79">
            <v>-4920.8134344078153</v>
          </cell>
          <cell r="W79">
            <v>0</v>
          </cell>
          <cell r="X79">
            <v>0</v>
          </cell>
          <cell r="Y79">
            <v>-139.8042291478333</v>
          </cell>
          <cell r="Z79">
            <v>68.588186292470908</v>
          </cell>
          <cell r="AA79">
            <v>0</v>
          </cell>
          <cell r="AB79">
            <v>0</v>
          </cell>
          <cell r="AC79">
            <v>-5844.720874749999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6459.4078559608515</v>
          </cell>
          <cell r="AI79">
            <v>139.8042291478333</v>
          </cell>
          <cell r="AJ79">
            <v>0</v>
          </cell>
          <cell r="AK79">
            <v>0</v>
          </cell>
          <cell r="AL79">
            <v>-1614.9291988564037</v>
          </cell>
          <cell r="AM79">
            <v>0</v>
          </cell>
          <cell r="AN79">
            <v>0</v>
          </cell>
          <cell r="AO79">
            <v>-299.96464811263468</v>
          </cell>
          <cell r="AP79">
            <v>-27.873822051207753</v>
          </cell>
          <cell r="AQ79">
            <v>-677.69705800391671</v>
          </cell>
          <cell r="AR79">
            <v>-330.84588061255522</v>
          </cell>
          <cell r="AT79">
            <v>-995.88803749999943</v>
          </cell>
          <cell r="AU79">
            <v>485.62610561043499</v>
          </cell>
          <cell r="AV79">
            <v>0</v>
          </cell>
          <cell r="AW79">
            <v>0</v>
          </cell>
          <cell r="AX79">
            <v>390.81392438956578</v>
          </cell>
          <cell r="AY79">
            <v>0</v>
          </cell>
          <cell r="AZ79">
            <v>0</v>
          </cell>
          <cell r="BA79">
            <v>9.6826168180550081</v>
          </cell>
          <cell r="BB79">
            <v>-4.9350832810798897</v>
          </cell>
          <cell r="BC79">
            <v>0</v>
          </cell>
          <cell r="BD79">
            <v>0</v>
          </cell>
          <cell r="BE79">
            <v>13.228362499999946</v>
          </cell>
          <cell r="BF79">
            <v>0</v>
          </cell>
          <cell r="BG79">
            <v>-9.6826168180550081</v>
          </cell>
          <cell r="BH79">
            <v>0</v>
          </cell>
          <cell r="BI79">
            <v>0</v>
          </cell>
          <cell r="BJ79">
            <v>0</v>
          </cell>
          <cell r="BK79">
            <v>477.63910613983944</v>
          </cell>
        </row>
        <row r="81">
          <cell r="C81">
            <v>138023.52972000014</v>
          </cell>
          <cell r="N81">
            <v>94806.211480000158</v>
          </cell>
          <cell r="O81">
            <v>-3887.2313799999997</v>
          </cell>
          <cell r="P81">
            <v>0</v>
          </cell>
          <cell r="Q81">
            <v>0</v>
          </cell>
          <cell r="R81">
            <v>62.83437</v>
          </cell>
          <cell r="S81">
            <v>-2336.0993699999999</v>
          </cell>
          <cell r="T81">
            <v>-24.5776</v>
          </cell>
          <cell r="U81">
            <v>0</v>
          </cell>
          <cell r="V81">
            <v>-75241.501900000003</v>
          </cell>
          <cell r="W81">
            <v>0</v>
          </cell>
          <cell r="X81">
            <v>-4143.2266799999998</v>
          </cell>
          <cell r="Y81">
            <v>-605.88374999999996</v>
          </cell>
          <cell r="Z81">
            <v>10640.872940000001</v>
          </cell>
          <cell r="AA81">
            <v>98.341089999999994</v>
          </cell>
          <cell r="AB81">
            <v>0</v>
          </cell>
          <cell r="AC81">
            <v>-66860.30114000001</v>
          </cell>
          <cell r="AD81">
            <v>1939.4782300000002</v>
          </cell>
          <cell r="AE81">
            <v>-1763.5180599999997</v>
          </cell>
          <cell r="AF81">
            <v>-793.14414999999849</v>
          </cell>
          <cell r="AG81">
            <v>0</v>
          </cell>
          <cell r="AH81">
            <v>63391.498779999951</v>
          </cell>
          <cell r="AI81">
            <v>7489.2276900000043</v>
          </cell>
          <cell r="AJ81">
            <v>2409.2360399999716</v>
          </cell>
          <cell r="AK81">
            <v>-2715.0474400000012</v>
          </cell>
          <cell r="AL81">
            <v>-9707.217290000006</v>
          </cell>
          <cell r="AM81">
            <v>9005.4235099999969</v>
          </cell>
          <cell r="AN81">
            <v>-5877.4583199999988</v>
          </cell>
          <cell r="AO81">
            <v>-3026.0575100000005</v>
          </cell>
          <cell r="AP81">
            <v>-317.77883000000003</v>
          </cell>
          <cell r="AQ81">
            <v>-4355.1650900000004</v>
          </cell>
          <cell r="AR81">
            <v>-2311.1564600000002</v>
          </cell>
          <cell r="AT81">
            <v>-5050.1715299999987</v>
          </cell>
          <cell r="AU81">
            <v>85.710149999999985</v>
          </cell>
          <cell r="AV81">
            <v>0</v>
          </cell>
          <cell r="AW81">
            <v>0</v>
          </cell>
          <cell r="AX81">
            <v>1478.2217000000001</v>
          </cell>
          <cell r="AY81">
            <v>0</v>
          </cell>
          <cell r="AZ81">
            <v>0</v>
          </cell>
          <cell r="BA81">
            <v>7.7927</v>
          </cell>
          <cell r="BB81">
            <v>-182.68489</v>
          </cell>
          <cell r="BC81">
            <v>-1.4749900000000002</v>
          </cell>
          <cell r="BD81">
            <v>0</v>
          </cell>
          <cell r="BE81">
            <v>3774.4790799999992</v>
          </cell>
          <cell r="BF81">
            <v>-554.69671999996626</v>
          </cell>
          <cell r="BG81">
            <v>-973.61793999999941</v>
          </cell>
          <cell r="BH81">
            <v>835.66835000000026</v>
          </cell>
          <cell r="BI81">
            <v>42.487689999999994</v>
          </cell>
          <cell r="BJ81">
            <v>0</v>
          </cell>
          <cell r="BK81">
            <v>5339.4727600001024</v>
          </cell>
        </row>
        <row r="82">
          <cell r="C82">
            <v>131913.61980000004</v>
          </cell>
          <cell r="N82">
            <v>94576.334550000014</v>
          </cell>
          <cell r="O82">
            <v>-2925.5970000000007</v>
          </cell>
          <cell r="P82">
            <v>0</v>
          </cell>
          <cell r="Q82">
            <v>-582.577</v>
          </cell>
          <cell r="R82">
            <v>85.323729999999998</v>
          </cell>
          <cell r="S82">
            <v>-1828.6452399999998</v>
          </cell>
          <cell r="T82">
            <v>-37.444120000000005</v>
          </cell>
          <cell r="U82">
            <v>0</v>
          </cell>
          <cell r="V82">
            <v>-75521.269189999992</v>
          </cell>
          <cell r="W82">
            <v>0</v>
          </cell>
          <cell r="X82">
            <v>-1000</v>
          </cell>
          <cell r="Y82">
            <v>-1171.30161</v>
          </cell>
          <cell r="Z82">
            <v>10469.636830000001</v>
          </cell>
          <cell r="AA82">
            <v>164.92492999999999</v>
          </cell>
          <cell r="AB82">
            <v>0</v>
          </cell>
          <cell r="AC82">
            <v>-62787.188210000008</v>
          </cell>
          <cell r="AD82">
            <v>2635.2117499999999</v>
          </cell>
          <cell r="AE82">
            <v>-1415.7399700000001</v>
          </cell>
          <cell r="AF82">
            <v>-976.4129999999999</v>
          </cell>
          <cell r="AG82">
            <v>0</v>
          </cell>
          <cell r="AH82">
            <v>54940.84384999999</v>
          </cell>
          <cell r="AI82">
            <v>2015.9207299999994</v>
          </cell>
          <cell r="AJ82">
            <v>8182.8487299999988</v>
          </cell>
          <cell r="AK82">
            <v>-32.810330000000015</v>
          </cell>
          <cell r="AL82">
            <v>-9423.9753400000009</v>
          </cell>
          <cell r="AM82">
            <v>9473.66662</v>
          </cell>
          <cell r="AN82">
            <v>-6644.894940000001</v>
          </cell>
          <cell r="AO82">
            <v>-3263.1536000000006</v>
          </cell>
          <cell r="AP82">
            <v>-333.78345999999999</v>
          </cell>
          <cell r="AQ82">
            <v>-3616.3781899999999</v>
          </cell>
          <cell r="AR82">
            <v>-2099.3130799999999</v>
          </cell>
          <cell r="AT82">
            <v>-6651.5229500000005</v>
          </cell>
          <cell r="AU82">
            <v>49.870710000000003</v>
          </cell>
          <cell r="AV82">
            <v>0</v>
          </cell>
          <cell r="AW82">
            <v>0</v>
          </cell>
          <cell r="AX82">
            <v>3123.9474099999998</v>
          </cell>
          <cell r="AY82">
            <v>0</v>
          </cell>
          <cell r="AZ82">
            <v>0</v>
          </cell>
          <cell r="BA82">
            <v>14.950430000000001</v>
          </cell>
          <cell r="BB82">
            <v>-552.45418000000006</v>
          </cell>
          <cell r="BC82">
            <v>-0.29126000000000002</v>
          </cell>
          <cell r="BD82">
            <v>0</v>
          </cell>
          <cell r="BE82">
            <v>2782.2216000000008</v>
          </cell>
          <cell r="BF82">
            <v>-390.00223000005508</v>
          </cell>
          <cell r="BG82">
            <v>-398.77611000000002</v>
          </cell>
          <cell r="BH82">
            <v>-196.81590999999969</v>
          </cell>
          <cell r="BI82">
            <v>-0.71372999999999953</v>
          </cell>
          <cell r="BJ82">
            <v>0</v>
          </cell>
          <cell r="BK82">
            <v>6664.6412199999522</v>
          </cell>
        </row>
        <row r="83">
          <cell r="C83">
            <v>120987.00704920625</v>
          </cell>
          <cell r="N83">
            <v>93828.229784190713</v>
          </cell>
          <cell r="O83">
            <v>-21366.236641428623</v>
          </cell>
          <cell r="P83">
            <v>0</v>
          </cell>
          <cell r="Q83">
            <v>-1057.4051291118474</v>
          </cell>
          <cell r="R83">
            <v>0</v>
          </cell>
          <cell r="S83">
            <v>-4491.1805882538793</v>
          </cell>
          <cell r="T83">
            <v>-395.16911969550654</v>
          </cell>
          <cell r="U83">
            <v>0</v>
          </cell>
          <cell r="V83">
            <v>-54863.669854295658</v>
          </cell>
          <cell r="W83">
            <v>0</v>
          </cell>
          <cell r="X83">
            <v>-4266.5084206268921</v>
          </cell>
          <cell r="Y83">
            <v>-1357.4976493832023</v>
          </cell>
          <cell r="Z83">
            <v>12452.653349798622</v>
          </cell>
          <cell r="AA83">
            <v>0</v>
          </cell>
          <cell r="AB83">
            <v>0</v>
          </cell>
          <cell r="AC83">
            <v>-46185.904685357265</v>
          </cell>
          <cell r="AD83">
            <v>0</v>
          </cell>
          <cell r="AE83">
            <v>0</v>
          </cell>
          <cell r="AF83">
            <v>-1229.9018268360282</v>
          </cell>
          <cell r="AG83">
            <v>0</v>
          </cell>
          <cell r="AH83">
            <v>48798.552492619601</v>
          </cell>
          <cell r="AI83">
            <v>1357.4976493832023</v>
          </cell>
          <cell r="AJ83">
            <v>0</v>
          </cell>
          <cell r="AK83">
            <v>0</v>
          </cell>
          <cell r="AL83">
            <v>-6105.1360140368051</v>
          </cell>
          <cell r="AM83">
            <v>0</v>
          </cell>
          <cell r="AN83">
            <v>0</v>
          </cell>
          <cell r="AO83">
            <v>-3094.3516655474978</v>
          </cell>
          <cell r="AP83">
            <v>-283.06977135018155</v>
          </cell>
          <cell r="AQ83">
            <v>-4811.2768814980454</v>
          </cell>
          <cell r="AR83">
            <v>-2569.8742186900527</v>
          </cell>
          <cell r="AT83">
            <v>-6118.2899494481899</v>
          </cell>
          <cell r="AU83">
            <v>1337.8634349775728</v>
          </cell>
          <cell r="AV83">
            <v>0</v>
          </cell>
          <cell r="AW83">
            <v>15.460286204844127</v>
          </cell>
          <cell r="AX83">
            <v>3918.979439443985</v>
          </cell>
          <cell r="AY83">
            <v>0</v>
          </cell>
          <cell r="AZ83">
            <v>58.322606688977999</v>
          </cell>
          <cell r="BA83">
            <v>84.482937281304942</v>
          </cell>
          <cell r="BB83">
            <v>-848.22837686408081</v>
          </cell>
          <cell r="BC83">
            <v>0</v>
          </cell>
          <cell r="BD83">
            <v>0</v>
          </cell>
          <cell r="BE83">
            <v>1920.4646875807709</v>
          </cell>
          <cell r="BF83">
            <v>-2039.8068876429559</v>
          </cell>
          <cell r="BG83">
            <v>-84.482937281304942</v>
          </cell>
          <cell r="BH83">
            <v>0</v>
          </cell>
          <cell r="BI83">
            <v>0</v>
          </cell>
          <cell r="BJ83">
            <v>0</v>
          </cell>
          <cell r="BK83">
            <v>2604.5160508215849</v>
          </cell>
        </row>
        <row r="94">
          <cell r="C94">
            <v>173538.13571</v>
          </cell>
          <cell r="N94">
            <v>88085.743589999998</v>
          </cell>
          <cell r="O94">
            <v>-2204.69067</v>
          </cell>
          <cell r="P94">
            <v>-99.749170000000021</v>
          </cell>
          <cell r="Q94">
            <v>-31.811</v>
          </cell>
          <cell r="R94">
            <v>50.948039999999992</v>
          </cell>
          <cell r="S94">
            <v>-1806.2327700000001</v>
          </cell>
          <cell r="T94">
            <v>-1021.9899800000001</v>
          </cell>
          <cell r="U94">
            <v>0</v>
          </cell>
          <cell r="V94">
            <v>-22716.416022591809</v>
          </cell>
          <cell r="W94">
            <v>-729.0134700000001</v>
          </cell>
          <cell r="X94">
            <v>-15918.661137408195</v>
          </cell>
          <cell r="Y94">
            <v>-321.49810000000002</v>
          </cell>
          <cell r="Z94">
            <v>1083.9478300000001</v>
          </cell>
          <cell r="AA94">
            <v>10.234030000000001</v>
          </cell>
          <cell r="AB94">
            <v>-190</v>
          </cell>
          <cell r="AC94">
            <v>-34645.442920000009</v>
          </cell>
          <cell r="AD94">
            <v>2185.3958499999999</v>
          </cell>
          <cell r="AE94">
            <v>-449.13412000000005</v>
          </cell>
          <cell r="AF94">
            <v>-2188.24973</v>
          </cell>
          <cell r="AG94">
            <v>0</v>
          </cell>
          <cell r="AH94">
            <v>34730.456109999999</v>
          </cell>
          <cell r="AI94">
            <v>2309.3798199999997</v>
          </cell>
          <cell r="AJ94">
            <v>644.54669999999976</v>
          </cell>
          <cell r="AK94">
            <v>-50.354779999999991</v>
          </cell>
          <cell r="AL94">
            <v>-30118.612180000004</v>
          </cell>
          <cell r="AM94">
            <v>24070.255249999998</v>
          </cell>
          <cell r="AN94">
            <v>-10746.083330000001</v>
          </cell>
          <cell r="AO94">
            <v>-5096.6690899999994</v>
          </cell>
          <cell r="AP94">
            <v>-618.50704999999994</v>
          </cell>
          <cell r="AQ94">
            <v>-4324.2295400000003</v>
          </cell>
          <cell r="AR94">
            <v>-2658.7219699999996</v>
          </cell>
          <cell r="AT94">
            <v>-8536.7633600000045</v>
          </cell>
          <cell r="AU94">
            <v>0</v>
          </cell>
          <cell r="AV94">
            <v>0</v>
          </cell>
          <cell r="AW94">
            <v>0</v>
          </cell>
          <cell r="AX94">
            <v>650.6078992019734</v>
          </cell>
          <cell r="AY94">
            <v>0</v>
          </cell>
          <cell r="AZ94">
            <v>1074.7805407980268</v>
          </cell>
          <cell r="BA94">
            <v>14.346820000000001</v>
          </cell>
          <cell r="BB94">
            <v>-38.448259999999998</v>
          </cell>
          <cell r="BC94">
            <v>-0.27895000000000003</v>
          </cell>
          <cell r="BD94">
            <v>0</v>
          </cell>
          <cell r="BE94">
            <v>3669.30636</v>
          </cell>
          <cell r="BF94">
            <v>-6124.131159999999</v>
          </cell>
          <cell r="BG94">
            <v>49.485459999999989</v>
          </cell>
          <cell r="BH94">
            <v>-94.674379999999985</v>
          </cell>
          <cell r="BI94">
            <v>-9.6774999999999984</v>
          </cell>
          <cell r="BJ94">
            <v>0</v>
          </cell>
          <cell r="BK94">
            <v>7889.393659999957</v>
          </cell>
        </row>
        <row r="95">
          <cell r="C95">
            <v>175657.74441000004</v>
          </cell>
          <cell r="N95">
            <v>87281.284669999979</v>
          </cell>
          <cell r="O95">
            <v>-2070.4090299999998</v>
          </cell>
          <cell r="P95">
            <v>0</v>
          </cell>
          <cell r="Q95">
            <v>-684.18100000000004</v>
          </cell>
          <cell r="R95">
            <v>26.308690000000002</v>
          </cell>
          <cell r="S95">
            <v>-1734.5669200000002</v>
          </cell>
          <cell r="T95">
            <v>-726.63264000000015</v>
          </cell>
          <cell r="U95">
            <v>0</v>
          </cell>
          <cell r="V95">
            <v>-26986.280875914217</v>
          </cell>
          <cell r="W95">
            <v>0</v>
          </cell>
          <cell r="X95">
            <v>-14532.920864085778</v>
          </cell>
          <cell r="Y95">
            <v>-468.37668000000002</v>
          </cell>
          <cell r="Z95">
            <v>1187.8713600000001</v>
          </cell>
          <cell r="AA95">
            <v>17.26069</v>
          </cell>
          <cell r="AB95">
            <v>0</v>
          </cell>
          <cell r="AC95">
            <v>-34344.929040000003</v>
          </cell>
          <cell r="AD95">
            <v>2234.3008799999998</v>
          </cell>
          <cell r="AE95">
            <v>-410.63864000000001</v>
          </cell>
          <cell r="AF95">
            <v>-2344.2753799999996</v>
          </cell>
          <cell r="AG95">
            <v>0</v>
          </cell>
          <cell r="AH95">
            <v>41304.145729999997</v>
          </cell>
          <cell r="AI95">
            <v>592.6908699999999</v>
          </cell>
          <cell r="AJ95">
            <v>340.30956999999995</v>
          </cell>
          <cell r="AK95">
            <v>13.29548</v>
          </cell>
          <cell r="AL95">
            <v>-30414.024739999993</v>
          </cell>
          <cell r="AM95">
            <v>24433.764920000001</v>
          </cell>
          <cell r="AN95">
            <v>-10856.527780000004</v>
          </cell>
          <cell r="AO95">
            <v>-5049.0690199999999</v>
          </cell>
          <cell r="AP95">
            <v>-598.34741000000008</v>
          </cell>
          <cell r="AQ95">
            <v>-3941.3402699999997</v>
          </cell>
          <cell r="AR95">
            <v>-2882.8683099999998</v>
          </cell>
          <cell r="AT95">
            <v>-8976.5493900000129</v>
          </cell>
          <cell r="AU95">
            <v>1.64</v>
          </cell>
          <cell r="AV95">
            <v>0</v>
          </cell>
          <cell r="AW95">
            <v>0</v>
          </cell>
          <cell r="AX95">
            <v>856.28043715994977</v>
          </cell>
          <cell r="AY95">
            <v>0</v>
          </cell>
          <cell r="AZ95">
            <v>1002.6155028400503</v>
          </cell>
          <cell r="BA95">
            <v>17.843619999999998</v>
          </cell>
          <cell r="BB95">
            <v>-44.661639999999998</v>
          </cell>
          <cell r="BC95">
            <v>-0.42476999999999998</v>
          </cell>
          <cell r="BD95">
            <v>0</v>
          </cell>
          <cell r="BE95">
            <v>1325.28296</v>
          </cell>
          <cell r="BF95">
            <v>-5461.4172899999994</v>
          </cell>
          <cell r="BG95">
            <v>-192.90339</v>
          </cell>
          <cell r="BH95">
            <v>-6.139000000000026</v>
          </cell>
          <cell r="BI95">
            <v>5.6560000000000277E-2</v>
          </cell>
          <cell r="BJ95">
            <v>-9.5923269327613524E-17</v>
          </cell>
          <cell r="BK95">
            <v>7907.4678599999825</v>
          </cell>
        </row>
        <row r="96">
          <cell r="C96">
            <v>180614.57740700865</v>
          </cell>
          <cell r="N96">
            <v>106833.09257075077</v>
          </cell>
          <cell r="O96">
            <v>-16570.281497658594</v>
          </cell>
          <cell r="P96">
            <v>-5528.9922494608591</v>
          </cell>
          <cell r="Q96">
            <v>-9230.8159132288401</v>
          </cell>
          <cell r="R96">
            <v>0</v>
          </cell>
          <cell r="S96">
            <v>-2260.0243400418808</v>
          </cell>
          <cell r="T96">
            <v>-1256.383962331081</v>
          </cell>
          <cell r="U96">
            <v>0</v>
          </cell>
          <cell r="V96">
            <v>-13601.233922427993</v>
          </cell>
          <cell r="W96">
            <v>-5832.0152543979011</v>
          </cell>
          <cell r="X96">
            <v>-10655.493775024614</v>
          </cell>
          <cell r="Y96">
            <v>-841.07969556645207</v>
          </cell>
          <cell r="Z96">
            <v>762.28843078398302</v>
          </cell>
          <cell r="AA96">
            <v>0</v>
          </cell>
          <cell r="AB96">
            <v>0</v>
          </cell>
          <cell r="AC96">
            <v>-22732.469872925409</v>
          </cell>
          <cell r="AD96">
            <v>0</v>
          </cell>
          <cell r="AE96">
            <v>0</v>
          </cell>
          <cell r="AF96">
            <v>-1752.8086386729738</v>
          </cell>
          <cell r="AG96">
            <v>0</v>
          </cell>
          <cell r="AH96">
            <v>25675.278511598386</v>
          </cell>
          <cell r="AI96">
            <v>841.07969556645207</v>
          </cell>
          <cell r="AJ96">
            <v>0</v>
          </cell>
          <cell r="AK96">
            <v>0</v>
          </cell>
          <cell r="AL96">
            <v>-20365.00987775897</v>
          </cell>
          <cell r="AM96">
            <v>0</v>
          </cell>
          <cell r="AN96">
            <v>0</v>
          </cell>
          <cell r="AO96">
            <v>-5428.2327314176491</v>
          </cell>
          <cell r="AP96">
            <v>-526.15807803095481</v>
          </cell>
          <cell r="AQ96">
            <v>-4715.5439281661311</v>
          </cell>
          <cell r="AR96">
            <v>-3938.6608750201995</v>
          </cell>
          <cell r="AT96">
            <v>-10203.065181975095</v>
          </cell>
          <cell r="AU96">
            <v>1371.7405289667233</v>
          </cell>
          <cell r="AV96">
            <v>2279.0330014424321</v>
          </cell>
          <cell r="AW96">
            <v>744.27684048108745</v>
          </cell>
          <cell r="AX96">
            <v>-442.37084984517867</v>
          </cell>
          <cell r="AY96">
            <v>2427.8653812361308</v>
          </cell>
          <cell r="AZ96">
            <v>881.65497713455829</v>
          </cell>
          <cell r="BA96">
            <v>86.082957930470258</v>
          </cell>
          <cell r="BB96">
            <v>-74.217525625591804</v>
          </cell>
          <cell r="BC96">
            <v>0</v>
          </cell>
          <cell r="BD96">
            <v>0</v>
          </cell>
          <cell r="BE96">
            <v>2618.6431704972338</v>
          </cell>
          <cell r="BF96">
            <v>-2618.6431704972338</v>
          </cell>
          <cell r="BG96">
            <v>-86.082957930470258</v>
          </cell>
          <cell r="BH96">
            <v>0</v>
          </cell>
          <cell r="BI96">
            <v>0</v>
          </cell>
          <cell r="BJ96">
            <v>0</v>
          </cell>
          <cell r="BK96">
            <v>5861.4517683841405</v>
          </cell>
        </row>
        <row r="98">
          <cell r="C98">
            <v>79196.903660000011</v>
          </cell>
          <cell r="N98">
            <v>33484.406900000009</v>
          </cell>
          <cell r="O98">
            <v>-288.51338999999996</v>
          </cell>
          <cell r="P98">
            <v>0</v>
          </cell>
          <cell r="Q98">
            <v>-2.7149999999999999</v>
          </cell>
          <cell r="R98">
            <v>10.57559</v>
          </cell>
          <cell r="S98">
            <v>-1054.0580600000001</v>
          </cell>
          <cell r="T98">
            <v>-129.33019999999999</v>
          </cell>
          <cell r="U98">
            <v>0</v>
          </cell>
          <cell r="V98">
            <v>-13948.576057857539</v>
          </cell>
          <cell r="W98">
            <v>-2.0423100000000001</v>
          </cell>
          <cell r="X98">
            <v>-3627.1893721424622</v>
          </cell>
          <cell r="Y98">
            <v>-324.37376</v>
          </cell>
          <cell r="Z98">
            <v>2143.5913</v>
          </cell>
          <cell r="AA98">
            <v>35.977209999999999</v>
          </cell>
          <cell r="AB98">
            <v>-40</v>
          </cell>
          <cell r="AC98">
            <v>-11249.52433</v>
          </cell>
          <cell r="AD98">
            <v>2004.89534</v>
          </cell>
          <cell r="AE98">
            <v>-649.58059000000003</v>
          </cell>
          <cell r="AF98">
            <v>-3044.6074899999994</v>
          </cell>
          <cell r="AG98">
            <v>0</v>
          </cell>
          <cell r="AH98">
            <v>7944.3461800000005</v>
          </cell>
          <cell r="AI98">
            <v>4834.3424300000006</v>
          </cell>
          <cell r="AJ98">
            <v>752.07713999999953</v>
          </cell>
          <cell r="AK98">
            <v>-391.47054000000003</v>
          </cell>
          <cell r="AL98">
            <v>-15345.022400000003</v>
          </cell>
          <cell r="AM98">
            <v>11807.131000000001</v>
          </cell>
          <cell r="AN98">
            <v>-3223.2422599999995</v>
          </cell>
          <cell r="AO98">
            <v>-2218.3354799999997</v>
          </cell>
          <cell r="AP98">
            <v>-238.60892000000004</v>
          </cell>
          <cell r="AQ98">
            <v>-1535.46928</v>
          </cell>
          <cell r="AR98">
            <v>-905.34298000000001</v>
          </cell>
          <cell r="AT98">
            <v>-1540.3628899999999</v>
          </cell>
          <cell r="AU98">
            <v>158.95562000000001</v>
          </cell>
          <cell r="AV98">
            <v>0</v>
          </cell>
          <cell r="AW98">
            <v>0</v>
          </cell>
          <cell r="AX98">
            <v>180.79389342891182</v>
          </cell>
          <cell r="AY98">
            <v>0</v>
          </cell>
          <cell r="AZ98">
            <v>180.60772657108816</v>
          </cell>
          <cell r="BA98">
            <v>7.2083900000000005</v>
          </cell>
          <cell r="BB98">
            <v>-44.419780000000003</v>
          </cell>
          <cell r="BC98">
            <v>-0.81112000000000006</v>
          </cell>
          <cell r="BD98">
            <v>0</v>
          </cell>
          <cell r="BE98">
            <v>215.56248999999997</v>
          </cell>
          <cell r="BF98">
            <v>-1542.9900899999977</v>
          </cell>
          <cell r="BG98">
            <v>-72.054559999999981</v>
          </cell>
          <cell r="BH98">
            <v>-81.661419999999993</v>
          </cell>
          <cell r="BI98">
            <v>13.824870000000001</v>
          </cell>
          <cell r="BJ98">
            <v>7.0166095156309897E-16</v>
          </cell>
          <cell r="BK98">
            <v>2273.9938000000084</v>
          </cell>
        </row>
        <row r="99">
          <cell r="C99">
            <v>77499.445900000006</v>
          </cell>
          <cell r="N99">
            <v>34191.710679999989</v>
          </cell>
          <cell r="O99">
            <v>-209.26681000000002</v>
          </cell>
          <cell r="P99">
            <v>0</v>
          </cell>
          <cell r="Q99">
            <v>0</v>
          </cell>
          <cell r="R99">
            <v>1.325</v>
          </cell>
          <cell r="S99">
            <v>-1016.8529800000001</v>
          </cell>
          <cell r="T99">
            <v>-65.042169999999999</v>
          </cell>
          <cell r="U99">
            <v>0</v>
          </cell>
          <cell r="V99">
            <v>-16098.571576637674</v>
          </cell>
          <cell r="W99">
            <v>0</v>
          </cell>
          <cell r="X99">
            <v>-2543.1904233623263</v>
          </cell>
          <cell r="Y99">
            <v>-592.43778999999995</v>
          </cell>
          <cell r="Z99">
            <v>2071.0264999999999</v>
          </cell>
          <cell r="AA99">
            <v>67.759190000000004</v>
          </cell>
          <cell r="AB99">
            <v>-20</v>
          </cell>
          <cell r="AC99">
            <v>-32344.215</v>
          </cell>
          <cell r="AD99">
            <v>1291.4822100000001</v>
          </cell>
          <cell r="AE99">
            <v>-729.84861999999998</v>
          </cell>
          <cell r="AF99">
            <v>-2997.6538500000001</v>
          </cell>
          <cell r="AG99">
            <v>0</v>
          </cell>
          <cell r="AH99">
            <v>35450.68492</v>
          </cell>
          <cell r="AI99">
            <v>2562.3215700000001</v>
          </cell>
          <cell r="AJ99">
            <v>-2705.0550599999997</v>
          </cell>
          <cell r="AK99">
            <v>-119.89706999999994</v>
          </cell>
          <cell r="AL99">
            <v>-15037.355720000003</v>
          </cell>
          <cell r="AM99">
            <v>11381.28111</v>
          </cell>
          <cell r="AN99">
            <v>-3211.2556300000006</v>
          </cell>
          <cell r="AO99">
            <v>-2320.6058400000002</v>
          </cell>
          <cell r="AP99">
            <v>-199.20294999999999</v>
          </cell>
          <cell r="AQ99">
            <v>-1628.7410000000002</v>
          </cell>
          <cell r="AR99">
            <v>-954.23935000000006</v>
          </cell>
          <cell r="AT99">
            <v>-1753.30033</v>
          </cell>
          <cell r="AU99">
            <v>5.5733600000000001</v>
          </cell>
          <cell r="AV99">
            <v>0</v>
          </cell>
          <cell r="AW99">
            <v>0</v>
          </cell>
          <cell r="AX99">
            <v>395.61385261061901</v>
          </cell>
          <cell r="AY99">
            <v>0</v>
          </cell>
          <cell r="AZ99">
            <v>117.027697389381</v>
          </cell>
          <cell r="BA99">
            <v>15.855230000000002</v>
          </cell>
          <cell r="BB99">
            <v>-57.089469999999999</v>
          </cell>
          <cell r="BC99">
            <v>-1.7639800000000001</v>
          </cell>
          <cell r="BD99">
            <v>0</v>
          </cell>
          <cell r="BE99">
            <v>19725.143849999997</v>
          </cell>
          <cell r="BF99">
            <v>-20621.97289999999</v>
          </cell>
          <cell r="BG99">
            <v>-983.5562000000001</v>
          </cell>
          <cell r="BH99">
            <v>615.39881999999989</v>
          </cell>
          <cell r="BI99">
            <v>21.87979</v>
          </cell>
          <cell r="BJ99">
            <v>-4.0927261579781768E-15</v>
          </cell>
          <cell r="BK99">
            <v>1702.9690599999822</v>
          </cell>
        </row>
        <row r="100">
          <cell r="C100">
            <v>80572.597130392329</v>
          </cell>
          <cell r="N100">
            <v>36044.855559559292</v>
          </cell>
          <cell r="O100">
            <v>-2664.6484697622313</v>
          </cell>
          <cell r="P100">
            <v>0</v>
          </cell>
          <cell r="Q100">
            <v>-558.00162874387775</v>
          </cell>
          <cell r="R100">
            <v>0</v>
          </cell>
          <cell r="S100">
            <v>-1668.1969061696191</v>
          </cell>
          <cell r="T100">
            <v>-228.23623183030122</v>
          </cell>
          <cell r="U100">
            <v>0</v>
          </cell>
          <cell r="V100">
            <v>-11642.468890998012</v>
          </cell>
          <cell r="W100">
            <v>0</v>
          </cell>
          <cell r="X100">
            <v>-3465.7386563312584</v>
          </cell>
          <cell r="Y100">
            <v>-369.09374292932597</v>
          </cell>
          <cell r="Z100">
            <v>1789.2283968267941</v>
          </cell>
          <cell r="AA100">
            <v>0</v>
          </cell>
          <cell r="AB100">
            <v>0</v>
          </cell>
          <cell r="AC100">
            <v>-9178.9513632081125</v>
          </cell>
          <cell r="AD100">
            <v>0</v>
          </cell>
          <cell r="AE100">
            <v>0</v>
          </cell>
          <cell r="AF100">
            <v>-2902.9393891709501</v>
          </cell>
          <cell r="AG100">
            <v>0</v>
          </cell>
          <cell r="AH100">
            <v>12397.890752379062</v>
          </cell>
          <cell r="AI100">
            <v>369.09374292932597</v>
          </cell>
          <cell r="AJ100">
            <v>0</v>
          </cell>
          <cell r="AK100">
            <v>0</v>
          </cell>
          <cell r="AL100">
            <v>-7057.5106487749135</v>
          </cell>
          <cell r="AM100">
            <v>0</v>
          </cell>
          <cell r="AN100">
            <v>0</v>
          </cell>
          <cell r="AO100">
            <v>-2440.5844089587508</v>
          </cell>
          <cell r="AP100">
            <v>-191.51127820409835</v>
          </cell>
          <cell r="AQ100">
            <v>-1734.1837318793828</v>
          </cell>
          <cell r="AR100">
            <v>-1258.4614113272162</v>
          </cell>
          <cell r="AT100">
            <v>-1671.5465955189816</v>
          </cell>
          <cell r="AU100">
            <v>44.785902138927064</v>
          </cell>
          <cell r="AV100">
            <v>0</v>
          </cell>
          <cell r="AW100">
            <v>38.119001451934999</v>
          </cell>
          <cell r="AX100">
            <v>446.80071594319145</v>
          </cell>
          <cell r="AY100">
            <v>0</v>
          </cell>
          <cell r="AZ100">
            <v>221.63345994092646</v>
          </cell>
          <cell r="BA100">
            <v>14.432511878374338</v>
          </cell>
          <cell r="BB100">
            <v>-73.531962601100588</v>
          </cell>
          <cell r="BC100">
            <v>0</v>
          </cell>
          <cell r="BD100">
            <v>0</v>
          </cell>
          <cell r="BE100">
            <v>698.17257850796204</v>
          </cell>
          <cell r="BF100">
            <v>-948.05686475796199</v>
          </cell>
          <cell r="BG100">
            <v>-14.449345006102787</v>
          </cell>
          <cell r="BH100">
            <v>0</v>
          </cell>
          <cell r="BI100">
            <v>0</v>
          </cell>
          <cell r="BJ100">
            <v>0</v>
          </cell>
          <cell r="BK100">
            <v>3996.9010953835909</v>
          </cell>
        </row>
        <row r="102">
          <cell r="C102">
            <v>36335.40037000001</v>
          </cell>
          <cell r="N102">
            <v>23225.302650000005</v>
          </cell>
          <cell r="O102">
            <v>-601.07477000000017</v>
          </cell>
          <cell r="P102">
            <v>0</v>
          </cell>
          <cell r="Q102">
            <v>0</v>
          </cell>
          <cell r="R102">
            <v>11.118450000000001</v>
          </cell>
          <cell r="S102">
            <v>-681.98890000000006</v>
          </cell>
          <cell r="T102">
            <v>-28.157449999999997</v>
          </cell>
          <cell r="U102">
            <v>0</v>
          </cell>
          <cell r="V102">
            <v>-8446.5214800000012</v>
          </cell>
          <cell r="W102">
            <v>0</v>
          </cell>
          <cell r="X102">
            <v>-650</v>
          </cell>
          <cell r="Y102">
            <v>-81.108599999999996</v>
          </cell>
          <cell r="Z102">
            <v>419.50804999999997</v>
          </cell>
          <cell r="AA102">
            <v>3.7794999999999996</v>
          </cell>
          <cell r="AB102">
            <v>0</v>
          </cell>
          <cell r="AC102">
            <v>-7519.5833700000003</v>
          </cell>
          <cell r="AD102">
            <v>274.26341000000002</v>
          </cell>
          <cell r="AE102">
            <v>-179.81295</v>
          </cell>
          <cell r="AF102">
            <v>-809.64842999999996</v>
          </cell>
          <cell r="AG102">
            <v>0</v>
          </cell>
          <cell r="AH102">
            <v>9938.0759099999996</v>
          </cell>
          <cell r="AI102">
            <v>4955.8915200000001</v>
          </cell>
          <cell r="AJ102">
            <v>-683.7950800000001</v>
          </cell>
          <cell r="AK102">
            <v>-585.12546999999984</v>
          </cell>
          <cell r="AL102">
            <v>-5677.4620499999992</v>
          </cell>
          <cell r="AM102">
            <v>3933.4271699999999</v>
          </cell>
          <cell r="AN102">
            <v>-2002.6710899999998</v>
          </cell>
          <cell r="AO102">
            <v>-1083.9005099999999</v>
          </cell>
          <cell r="AP102">
            <v>-138.20968999999999</v>
          </cell>
          <cell r="AQ102">
            <v>-836.55443999999989</v>
          </cell>
          <cell r="AR102">
            <v>-559.69632000000001</v>
          </cell>
          <cell r="AT102">
            <v>-2284.4897800000003</v>
          </cell>
          <cell r="AU102">
            <v>0</v>
          </cell>
          <cell r="AV102">
            <v>0</v>
          </cell>
          <cell r="AW102">
            <v>0</v>
          </cell>
          <cell r="AX102">
            <v>26.768999999999998</v>
          </cell>
          <cell r="AY102">
            <v>0</v>
          </cell>
          <cell r="AZ102">
            <v>0</v>
          </cell>
          <cell r="BA102">
            <v>9.7310000000000008E-2</v>
          </cell>
          <cell r="BB102">
            <v>-0.90457999999999972</v>
          </cell>
          <cell r="BC102">
            <v>-2.6900000000000001E-3</v>
          </cell>
          <cell r="BD102">
            <v>0</v>
          </cell>
          <cell r="BE102">
            <v>138.46818999999999</v>
          </cell>
          <cell r="BF102">
            <v>1076.05233</v>
          </cell>
          <cell r="BG102">
            <v>-20.362870000000001</v>
          </cell>
          <cell r="BH102">
            <v>-69.644469999999998</v>
          </cell>
          <cell r="BI102">
            <v>0.70487000000000011</v>
          </cell>
          <cell r="BJ102">
            <v>2.1316282072803006E-17</v>
          </cell>
          <cell r="BK102">
            <v>11062.743370000004</v>
          </cell>
        </row>
        <row r="103">
          <cell r="C103">
            <v>36278.285579999996</v>
          </cell>
          <cell r="N103">
            <v>22946.988799999996</v>
          </cell>
          <cell r="O103">
            <v>-291.04368999999997</v>
          </cell>
          <cell r="P103">
            <v>0</v>
          </cell>
          <cell r="Q103">
            <v>0</v>
          </cell>
          <cell r="R103">
            <v>3.76</v>
          </cell>
          <cell r="S103">
            <v>-659.55595999999991</v>
          </cell>
          <cell r="T103">
            <v>-29.445339999999998</v>
          </cell>
          <cell r="U103">
            <v>0</v>
          </cell>
          <cell r="V103">
            <v>-8895.5422799999997</v>
          </cell>
          <cell r="W103">
            <v>0</v>
          </cell>
          <cell r="X103">
            <v>-973</v>
          </cell>
          <cell r="Y103">
            <v>-354.49060000000003</v>
          </cell>
          <cell r="Z103">
            <v>457.06187</v>
          </cell>
          <cell r="AA103">
            <v>34.633229999999998</v>
          </cell>
          <cell r="AB103">
            <v>0</v>
          </cell>
          <cell r="AC103">
            <v>-7611.0093799999995</v>
          </cell>
          <cell r="AD103">
            <v>383.61388999999997</v>
          </cell>
          <cell r="AE103">
            <v>-191.40742</v>
          </cell>
          <cell r="AF103">
            <v>-748.15529000000004</v>
          </cell>
          <cell r="AG103">
            <v>0</v>
          </cell>
          <cell r="AH103">
            <v>9093.460189999998</v>
          </cell>
          <cell r="AI103">
            <v>1490.6017600000002</v>
          </cell>
          <cell r="AJ103">
            <v>-59.786599999999957</v>
          </cell>
          <cell r="AK103">
            <v>-169.40103999999999</v>
          </cell>
          <cell r="AL103">
            <v>-5699.0687099999996</v>
          </cell>
          <cell r="AM103">
            <v>3938.6662000000006</v>
          </cell>
          <cell r="AN103">
            <v>-1912.2930900000006</v>
          </cell>
          <cell r="AO103">
            <v>-982.37098000000015</v>
          </cell>
          <cell r="AP103">
            <v>-94.319299999999998</v>
          </cell>
          <cell r="AQ103">
            <v>-851.39330000000007</v>
          </cell>
          <cell r="AR103">
            <v>-510.64673000000005</v>
          </cell>
          <cell r="AT103">
            <v>-2534.2424899999996</v>
          </cell>
          <cell r="AU103">
            <v>0</v>
          </cell>
          <cell r="AV103">
            <v>0</v>
          </cell>
          <cell r="AW103">
            <v>0</v>
          </cell>
          <cell r="AX103">
            <v>28.51</v>
          </cell>
          <cell r="AY103">
            <v>0</v>
          </cell>
          <cell r="AZ103">
            <v>0</v>
          </cell>
          <cell r="BA103">
            <v>0.42985000000000007</v>
          </cell>
          <cell r="BB103">
            <v>-0.92379</v>
          </cell>
          <cell r="BC103">
            <v>-1.1509999999999999E-2</v>
          </cell>
          <cell r="BD103">
            <v>0</v>
          </cell>
          <cell r="BE103">
            <v>129.15726000000001</v>
          </cell>
          <cell r="BF103">
            <v>25.13499999999992</v>
          </cell>
          <cell r="BG103">
            <v>-7.3112100000000009</v>
          </cell>
          <cell r="BH103">
            <v>-28.852350000000005</v>
          </cell>
          <cell r="BI103">
            <v>-0.50208999999999993</v>
          </cell>
          <cell r="BJ103">
            <v>0</v>
          </cell>
          <cell r="BK103">
            <v>5927.2448999999979</v>
          </cell>
        </row>
        <row r="104">
          <cell r="C104">
            <v>32024.443219474819</v>
          </cell>
          <cell r="N104">
            <v>22348.35371256488</v>
          </cell>
          <cell r="O104">
            <v>-2625.2157879847709</v>
          </cell>
          <cell r="P104">
            <v>0</v>
          </cell>
          <cell r="Q104">
            <v>-278.67147148720056</v>
          </cell>
          <cell r="R104">
            <v>0</v>
          </cell>
          <cell r="S104">
            <v>-739.40765601693761</v>
          </cell>
          <cell r="T104">
            <v>-179.0292072688103</v>
          </cell>
          <cell r="U104">
            <v>0</v>
          </cell>
          <cell r="V104">
            <v>-5642.4126632408361</v>
          </cell>
          <cell r="W104">
            <v>0</v>
          </cell>
          <cell r="X104">
            <v>-541.07342889325082</v>
          </cell>
          <cell r="Y104">
            <v>-152.05284355423356</v>
          </cell>
          <cell r="Z104">
            <v>274.38104082736226</v>
          </cell>
          <cell r="AA104">
            <v>0</v>
          </cell>
          <cell r="AB104">
            <v>0</v>
          </cell>
          <cell r="AC104">
            <v>-4664.6284438510593</v>
          </cell>
          <cell r="AD104">
            <v>0</v>
          </cell>
          <cell r="AE104">
            <v>0</v>
          </cell>
          <cell r="AF104">
            <v>-410.48965634554037</v>
          </cell>
          <cell r="AG104">
            <v>0</v>
          </cell>
          <cell r="AH104">
            <v>5338.3681001966015</v>
          </cell>
          <cell r="AI104">
            <v>152.05284355423356</v>
          </cell>
          <cell r="AJ104">
            <v>0</v>
          </cell>
          <cell r="AK104">
            <v>0</v>
          </cell>
          <cell r="AL104">
            <v>-3452.5258403990965</v>
          </cell>
          <cell r="AM104">
            <v>0</v>
          </cell>
          <cell r="AN104">
            <v>0</v>
          </cell>
          <cell r="AO104">
            <v>-1059.639188508153</v>
          </cell>
          <cell r="AP104">
            <v>-79.948994907056459</v>
          </cell>
          <cell r="AQ104">
            <v>-942.82516707632362</v>
          </cell>
          <cell r="AR104">
            <v>-692.9225240189337</v>
          </cell>
          <cell r="AT104">
            <v>-1978.5336594944879</v>
          </cell>
          <cell r="AU104">
            <v>194.56860156234572</v>
          </cell>
          <cell r="AV104">
            <v>0</v>
          </cell>
          <cell r="AW104">
            <v>27.32068240135937</v>
          </cell>
          <cell r="AX104">
            <v>309.45961946645451</v>
          </cell>
          <cell r="AY104">
            <v>0</v>
          </cell>
          <cell r="AZ104">
            <v>53.046317327412453</v>
          </cell>
          <cell r="BA104">
            <v>6.8658899661206423</v>
          </cell>
          <cell r="BB104">
            <v>-10.801064467613367</v>
          </cell>
          <cell r="BC104">
            <v>0</v>
          </cell>
          <cell r="BD104">
            <v>0</v>
          </cell>
          <cell r="BE104">
            <v>636.50935076925145</v>
          </cell>
          <cell r="BF104">
            <v>-636.50935076925145</v>
          </cell>
          <cell r="BG104">
            <v>-6.8658899661206423</v>
          </cell>
          <cell r="BH104">
            <v>0</v>
          </cell>
          <cell r="BI104">
            <v>0</v>
          </cell>
          <cell r="BJ104">
            <v>0</v>
          </cell>
          <cell r="BK104">
            <v>5247.373320386343</v>
          </cell>
        </row>
      </sheetData>
      <sheetData sheetId="1" refreshError="1">
        <row r="21">
          <cell r="C21">
            <v>8717.4396600000018</v>
          </cell>
          <cell r="N21">
            <v>8550.985930000008</v>
          </cell>
          <cell r="O21">
            <v>51.065860000000086</v>
          </cell>
          <cell r="P21">
            <v>0</v>
          </cell>
          <cell r="Q21">
            <v>0</v>
          </cell>
          <cell r="R21">
            <v>0</v>
          </cell>
          <cell r="S21">
            <v>-380.76499000000007</v>
          </cell>
          <cell r="T21">
            <v>-55.090550000000007</v>
          </cell>
          <cell r="U21">
            <v>-60.645779999999988</v>
          </cell>
          <cell r="V21">
            <v>-4230.1520561552106</v>
          </cell>
          <cell r="W21">
            <v>0</v>
          </cell>
          <cell r="X21">
            <v>-716.71089384479023</v>
          </cell>
          <cell r="Y21">
            <v>-64.200419999999994</v>
          </cell>
          <cell r="Z21">
            <v>541.41741000000002</v>
          </cell>
          <cell r="AA21">
            <v>11.428179999999999</v>
          </cell>
          <cell r="AB21">
            <v>210</v>
          </cell>
          <cell r="AC21">
            <v>-5818.5053100000005</v>
          </cell>
          <cell r="AD21">
            <v>96.828940000000017</v>
          </cell>
          <cell r="AE21">
            <v>-169.84189000000001</v>
          </cell>
          <cell r="AF21">
            <v>-326.89210999999983</v>
          </cell>
          <cell r="AG21">
            <v>0</v>
          </cell>
          <cell r="AH21">
            <v>-1451.4875600000037</v>
          </cell>
          <cell r="AI21">
            <v>1052.4424399999998</v>
          </cell>
          <cell r="AJ21">
            <v>8348.6188600000005</v>
          </cell>
          <cell r="AK21">
            <v>65.311810000000008</v>
          </cell>
          <cell r="AL21">
            <v>-1396.8871400000003</v>
          </cell>
          <cell r="AM21">
            <v>825.51640999999995</v>
          </cell>
          <cell r="AN21">
            <v>-805.38258000000042</v>
          </cell>
          <cell r="AO21">
            <v>-633.98170000000016</v>
          </cell>
          <cell r="AP21">
            <v>-78.963279999999997</v>
          </cell>
          <cell r="AQ21">
            <v>-454.58962000000002</v>
          </cell>
          <cell r="AR21">
            <v>-294.36790000000002</v>
          </cell>
          <cell r="AT21">
            <v>-263.79753000000011</v>
          </cell>
          <cell r="AU21">
            <v>0</v>
          </cell>
          <cell r="AV21">
            <v>0</v>
          </cell>
          <cell r="AW21">
            <v>0</v>
          </cell>
          <cell r="AX21">
            <v>-58.679545152376477</v>
          </cell>
          <cell r="AY21">
            <v>0</v>
          </cell>
          <cell r="AZ21">
            <v>58.679545152376477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103.71096000000003</v>
          </cell>
          <cell r="BF21">
            <v>-16.981890000009031</v>
          </cell>
          <cell r="BG21">
            <v>-3.0554799999999966</v>
          </cell>
          <cell r="BH21">
            <v>-1054.8710499999997</v>
          </cell>
          <cell r="BI21">
            <v>-16.265180000000004</v>
          </cell>
          <cell r="BJ21">
            <v>0</v>
          </cell>
          <cell r="BK21">
            <v>1563.8918899999944</v>
          </cell>
        </row>
        <row r="22">
          <cell r="C22">
            <v>9177.5862099999977</v>
          </cell>
          <cell r="N22">
            <v>8840.0384099999974</v>
          </cell>
          <cell r="O22">
            <v>230.56027999999998</v>
          </cell>
          <cell r="P22">
            <v>0</v>
          </cell>
          <cell r="Q22">
            <v>-250.923</v>
          </cell>
          <cell r="R22">
            <v>6.5329999999999941</v>
          </cell>
          <cell r="S22">
            <v>-608.99221999999997</v>
          </cell>
          <cell r="T22">
            <v>-36.490570000000034</v>
          </cell>
          <cell r="U22">
            <v>-50.323680000000003</v>
          </cell>
          <cell r="V22">
            <v>-4724.9179794727033</v>
          </cell>
          <cell r="W22">
            <v>0</v>
          </cell>
          <cell r="X22">
            <v>-1972.476800527297</v>
          </cell>
          <cell r="Y22">
            <v>-108.85905</v>
          </cell>
          <cell r="Z22">
            <v>517.74141999999995</v>
          </cell>
          <cell r="AA22">
            <v>13.24958</v>
          </cell>
          <cell r="AB22">
            <v>-270</v>
          </cell>
          <cell r="AC22">
            <v>-8321.3049300000002</v>
          </cell>
          <cell r="AD22">
            <v>80.185750000000027</v>
          </cell>
          <cell r="AE22">
            <v>-342.07283999999999</v>
          </cell>
          <cell r="AF22">
            <v>-501.20359000000008</v>
          </cell>
          <cell r="AG22">
            <v>0</v>
          </cell>
          <cell r="AH22">
            <v>13756.130099999997</v>
          </cell>
          <cell r="AI22">
            <v>180.54312000000004</v>
          </cell>
          <cell r="AJ22">
            <v>467.76267999999982</v>
          </cell>
          <cell r="AK22">
            <v>27.427689999999995</v>
          </cell>
          <cell r="AL22">
            <v>-1476.4387300000003</v>
          </cell>
          <cell r="AM22">
            <v>896.87723000000005</v>
          </cell>
          <cell r="AN22">
            <v>-848.5516299999997</v>
          </cell>
          <cell r="AO22">
            <v>-627.50531999999998</v>
          </cell>
          <cell r="AP22">
            <v>-96.739199999999997</v>
          </cell>
          <cell r="AQ22">
            <v>-648.44510000000014</v>
          </cell>
          <cell r="AR22">
            <v>-245.27303999999998</v>
          </cell>
          <cell r="AT22">
            <v>-762.7816799999996</v>
          </cell>
          <cell r="AU22">
            <v>0</v>
          </cell>
          <cell r="AV22">
            <v>0</v>
          </cell>
          <cell r="AW22">
            <v>0</v>
          </cell>
          <cell r="AX22">
            <v>29.463565532167806</v>
          </cell>
          <cell r="AY22">
            <v>0</v>
          </cell>
          <cell r="AZ22">
            <v>92.45661446783221</v>
          </cell>
          <cell r="BA22">
            <v>1.82141</v>
          </cell>
          <cell r="BB22">
            <v>-9.4125399999999999</v>
          </cell>
          <cell r="BC22">
            <v>-0.21023</v>
          </cell>
          <cell r="BD22">
            <v>0</v>
          </cell>
          <cell r="BE22">
            <v>1021.0603999999998</v>
          </cell>
          <cell r="BF22">
            <v>366.67925000001617</v>
          </cell>
          <cell r="BG22">
            <v>84.368679999999998</v>
          </cell>
          <cell r="BH22">
            <v>-119.13978</v>
          </cell>
          <cell r="BI22">
            <v>-6.8384399999999994</v>
          </cell>
          <cell r="BJ22">
            <v>0</v>
          </cell>
          <cell r="BK22">
            <v>4583.9988300000086</v>
          </cell>
        </row>
        <row r="23">
          <cell r="C23">
            <v>9007.1362122563278</v>
          </cell>
          <cell r="N23">
            <v>8403.2178728811959</v>
          </cell>
          <cell r="O23">
            <v>-1114.7981461036572</v>
          </cell>
          <cell r="P23">
            <v>0</v>
          </cell>
          <cell r="Q23">
            <v>-268.77749364952427</v>
          </cell>
          <cell r="R23">
            <v>0</v>
          </cell>
          <cell r="S23">
            <v>-632.30431944686904</v>
          </cell>
          <cell r="T23">
            <v>-104.07956158263974</v>
          </cell>
          <cell r="U23">
            <v>0</v>
          </cell>
          <cell r="V23">
            <v>-2058.1675458686445</v>
          </cell>
          <cell r="W23">
            <v>0</v>
          </cell>
          <cell r="X23">
            <v>-487.95905809032558</v>
          </cell>
          <cell r="Y23">
            <v>-60.959138300178125</v>
          </cell>
          <cell r="Z23">
            <v>243.16833641756841</v>
          </cell>
          <cell r="AA23">
            <v>0</v>
          </cell>
          <cell r="AB23">
            <v>0</v>
          </cell>
          <cell r="AC23">
            <v>-3070.8048602097488</v>
          </cell>
          <cell r="AD23">
            <v>0</v>
          </cell>
          <cell r="AE23">
            <v>0</v>
          </cell>
          <cell r="AF23">
            <v>-250.70270030030335</v>
          </cell>
          <cell r="AG23">
            <v>0</v>
          </cell>
          <cell r="AH23">
            <v>3847.7575605100519</v>
          </cell>
          <cell r="AI23">
            <v>60.959138300178125</v>
          </cell>
          <cell r="AJ23">
            <v>0</v>
          </cell>
          <cell r="AK23">
            <v>0</v>
          </cell>
          <cell r="AL23">
            <v>-1355.3948973759998</v>
          </cell>
          <cell r="AM23">
            <v>0</v>
          </cell>
          <cell r="AN23">
            <v>0</v>
          </cell>
          <cell r="AO23">
            <v>-631.99620448528276</v>
          </cell>
          <cell r="AP23">
            <v>-81.289223851140875</v>
          </cell>
          <cell r="AQ23">
            <v>-458.90022974779049</v>
          </cell>
          <cell r="AR23">
            <v>-295.25556212738456</v>
          </cell>
          <cell r="AT23">
            <v>-360.0094529962584</v>
          </cell>
          <cell r="AU23">
            <v>76.686981698269079</v>
          </cell>
          <cell r="AV23">
            <v>0</v>
          </cell>
          <cell r="AW23">
            <v>42.240705228577355</v>
          </cell>
          <cell r="AX23">
            <v>-108.77600189854937</v>
          </cell>
          <cell r="AY23">
            <v>0</v>
          </cell>
          <cell r="AZ23">
            <v>76.686981698269079</v>
          </cell>
          <cell r="BA23">
            <v>1.2639107303676234</v>
          </cell>
          <cell r="BB23">
            <v>-5.2379016799349918</v>
          </cell>
          <cell r="BC23">
            <v>0</v>
          </cell>
          <cell r="BD23">
            <v>0</v>
          </cell>
          <cell r="BE23">
            <v>-159.1029067571437</v>
          </cell>
          <cell r="BF23">
            <v>-23.730426576189643</v>
          </cell>
          <cell r="BG23">
            <v>-1.2639107303676234</v>
          </cell>
          <cell r="BH23">
            <v>0</v>
          </cell>
          <cell r="BI23">
            <v>0</v>
          </cell>
          <cell r="BJ23">
            <v>0</v>
          </cell>
          <cell r="BK23">
            <v>1222.471945686545</v>
          </cell>
        </row>
        <row r="25">
          <cell r="C25">
            <v>6224.8890499999998</v>
          </cell>
          <cell r="N25">
            <v>5916.9875699999966</v>
          </cell>
          <cell r="O25">
            <v>-1698.1910000000003</v>
          </cell>
          <cell r="P25">
            <v>-4.8120399999999997</v>
          </cell>
          <cell r="Q25">
            <v>0</v>
          </cell>
          <cell r="R25">
            <v>32.569929999999999</v>
          </cell>
          <cell r="S25">
            <v>-326.72357</v>
          </cell>
          <cell r="T25">
            <v>-33.412490000000005</v>
          </cell>
          <cell r="U25">
            <v>0</v>
          </cell>
          <cell r="V25">
            <v>-1916.8719900000001</v>
          </cell>
          <cell r="W25">
            <v>-3.4964400000000002</v>
          </cell>
          <cell r="X25">
            <v>0</v>
          </cell>
          <cell r="Y25">
            <v>-3.07057</v>
          </cell>
          <cell r="Z25">
            <v>28.114620000000002</v>
          </cell>
          <cell r="AA25">
            <v>4.1830000000000006E-2</v>
          </cell>
          <cell r="AB25">
            <v>-60</v>
          </cell>
          <cell r="AC25">
            <v>-2390.5331500000002</v>
          </cell>
          <cell r="AD25">
            <v>597.08555999999987</v>
          </cell>
          <cell r="AE25">
            <v>-82.945809999999994</v>
          </cell>
          <cell r="AF25">
            <v>-67.524979999999985</v>
          </cell>
          <cell r="AG25">
            <v>0</v>
          </cell>
          <cell r="AH25">
            <v>1978.6295400000004</v>
          </cell>
          <cell r="AI25">
            <v>36.517409999999998</v>
          </cell>
          <cell r="AJ25">
            <v>14.671570000000006</v>
          </cell>
          <cell r="AK25">
            <v>0.13972000000000004</v>
          </cell>
          <cell r="AL25">
            <v>-1085.7234500000004</v>
          </cell>
          <cell r="AM25">
            <v>592.83647000000008</v>
          </cell>
          <cell r="AN25">
            <v>-542.69086000000027</v>
          </cell>
          <cell r="AO25">
            <v>-520.54949999999985</v>
          </cell>
          <cell r="AP25">
            <v>-60.837200000000003</v>
          </cell>
          <cell r="AQ25">
            <v>-309.41922999999997</v>
          </cell>
          <cell r="AR25">
            <v>-225.39962</v>
          </cell>
          <cell r="AT25">
            <v>-103.94343000000001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0.51842999999999995</v>
          </cell>
          <cell r="BH25">
            <v>-3.3860000000000001E-2</v>
          </cell>
          <cell r="BI25">
            <v>-3.3699999999999997E-3</v>
          </cell>
          <cell r="BJ25">
            <v>0</v>
          </cell>
          <cell r="BK25">
            <v>-238.06991000000542</v>
          </cell>
        </row>
        <row r="26">
          <cell r="C26">
            <v>6357.0276600000061</v>
          </cell>
          <cell r="N26">
            <v>5951.9893000000038</v>
          </cell>
          <cell r="O26">
            <v>-1606.4409899999998</v>
          </cell>
          <cell r="P26">
            <v>0</v>
          </cell>
          <cell r="Q26">
            <v>0</v>
          </cell>
          <cell r="R26">
            <v>64.377530000000007</v>
          </cell>
          <cell r="S26">
            <v>-416.35118999999997</v>
          </cell>
          <cell r="T26">
            <v>-32.223179999999999</v>
          </cell>
          <cell r="U26">
            <v>0</v>
          </cell>
          <cell r="V26">
            <v>-2647.5667200000003</v>
          </cell>
          <cell r="W26">
            <v>0</v>
          </cell>
          <cell r="X26">
            <v>0</v>
          </cell>
          <cell r="Y26">
            <v>-20.055910000000001</v>
          </cell>
          <cell r="Z26">
            <v>43.720320000000001</v>
          </cell>
          <cell r="AA26">
            <v>0.32566000000000006</v>
          </cell>
          <cell r="AB26">
            <v>-380</v>
          </cell>
          <cell r="AC26">
            <v>-2678.50533</v>
          </cell>
          <cell r="AD26">
            <v>836.85054999999977</v>
          </cell>
          <cell r="AE26">
            <v>-136.29539</v>
          </cell>
          <cell r="AF26">
            <v>-91.498860000000008</v>
          </cell>
          <cell r="AG26">
            <v>0</v>
          </cell>
          <cell r="AH26">
            <v>2820.0100200000002</v>
          </cell>
          <cell r="AI26">
            <v>26.598900000000008</v>
          </cell>
          <cell r="AJ26">
            <v>-31.290629999999997</v>
          </cell>
          <cell r="AK26">
            <v>-0.26069000000000003</v>
          </cell>
          <cell r="AL26">
            <v>-1109.2518699999991</v>
          </cell>
          <cell r="AM26">
            <v>621.31083999999998</v>
          </cell>
          <cell r="AN26">
            <v>-557.85889999999995</v>
          </cell>
          <cell r="AO26">
            <v>-518.49189000000001</v>
          </cell>
          <cell r="AP26">
            <v>-70.455190000000002</v>
          </cell>
          <cell r="AQ26">
            <v>-436.91298</v>
          </cell>
          <cell r="AR26">
            <v>-214.90040999999999</v>
          </cell>
          <cell r="AT26">
            <v>-149.14119000000002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-0.49131999999999998</v>
          </cell>
          <cell r="BF26">
            <v>-9.2031700000000001</v>
          </cell>
          <cell r="BG26">
            <v>-6.8199999999999997E-2</v>
          </cell>
          <cell r="BH26">
            <v>5.0560000000000008E-2</v>
          </cell>
          <cell r="BI26">
            <v>7.3000000000000007E-4</v>
          </cell>
          <cell r="BJ26">
            <v>0</v>
          </cell>
          <cell r="BK26">
            <v>-742.02959999999621</v>
          </cell>
        </row>
        <row r="27">
          <cell r="C27">
            <v>6043.8989373344748</v>
          </cell>
          <cell r="N27">
            <v>5483.1789536431143</v>
          </cell>
          <cell r="O27">
            <v>-2851.1477827718986</v>
          </cell>
          <cell r="P27">
            <v>-124.02552170694241</v>
          </cell>
          <cell r="Q27">
            <v>0</v>
          </cell>
          <cell r="R27">
            <v>0</v>
          </cell>
          <cell r="S27">
            <v>-504.50396734816002</v>
          </cell>
          <cell r="T27">
            <v>-141.17228714893596</v>
          </cell>
          <cell r="U27">
            <v>0</v>
          </cell>
          <cell r="V27">
            <v>-499.79665580276367</v>
          </cell>
          <cell r="W27">
            <v>-22.449076692336448</v>
          </cell>
          <cell r="X27">
            <v>0</v>
          </cell>
          <cell r="Y27">
            <v>-13.894825831280791</v>
          </cell>
          <cell r="Z27">
            <v>5.7971928802737969</v>
          </cell>
          <cell r="AA27">
            <v>0</v>
          </cell>
          <cell r="AB27">
            <v>0</v>
          </cell>
          <cell r="AC27">
            <v>-424.17544160908722</v>
          </cell>
          <cell r="AD27">
            <v>0</v>
          </cell>
          <cell r="AE27">
            <v>0</v>
          </cell>
          <cell r="AF27">
            <v>-77.364056177181467</v>
          </cell>
          <cell r="AG27">
            <v>0</v>
          </cell>
          <cell r="AH27">
            <v>510.03949778626867</v>
          </cell>
          <cell r="AI27">
            <v>13.894825831280791</v>
          </cell>
          <cell r="AJ27">
            <v>0</v>
          </cell>
          <cell r="AK27">
            <v>0</v>
          </cell>
          <cell r="AL27">
            <v>-952.89535841166639</v>
          </cell>
          <cell r="AM27">
            <v>0</v>
          </cell>
          <cell r="AN27">
            <v>0</v>
          </cell>
          <cell r="AO27">
            <v>-514.82749333602214</v>
          </cell>
          <cell r="AP27">
            <v>-60.664710725692167</v>
          </cell>
          <cell r="AQ27">
            <v>-332.207954300464</v>
          </cell>
          <cell r="AR27">
            <v>-223.30919234037236</v>
          </cell>
          <cell r="AT27">
            <v>-58.305660658244591</v>
          </cell>
          <cell r="AU27">
            <v>3.478025966418322</v>
          </cell>
          <cell r="AV27">
            <v>19.215221672906569</v>
          </cell>
          <cell r="AW27">
            <v>0</v>
          </cell>
          <cell r="AX27">
            <v>-3.478025966418322</v>
          </cell>
          <cell r="AY27">
            <v>3.478025966418322</v>
          </cell>
          <cell r="AZ27">
            <v>0</v>
          </cell>
          <cell r="BA27">
            <v>1.5690192886653197E-2</v>
          </cell>
          <cell r="BB27">
            <v>-6.8008886211264313E-3</v>
          </cell>
          <cell r="BC27">
            <v>0</v>
          </cell>
          <cell r="BD27">
            <v>0</v>
          </cell>
          <cell r="BE27">
            <v>1.1495076334727852</v>
          </cell>
          <cell r="BF27">
            <v>-1.1495076334727852</v>
          </cell>
          <cell r="BG27">
            <v>-1.5690192886653197E-2</v>
          </cell>
          <cell r="BH27">
            <v>0</v>
          </cell>
          <cell r="BI27">
            <v>0</v>
          </cell>
          <cell r="BJ27">
            <v>0</v>
          </cell>
          <cell r="BK27">
            <v>-765.14306796940741</v>
          </cell>
        </row>
        <row r="29">
          <cell r="C29">
            <v>14942.328710000002</v>
          </cell>
          <cell r="N29">
            <v>14467.973500000004</v>
          </cell>
          <cell r="O29">
            <v>-1647.1251400000001</v>
          </cell>
          <cell r="P29">
            <v>-4.8120399999999997</v>
          </cell>
          <cell r="Q29">
            <v>0</v>
          </cell>
          <cell r="R29">
            <v>32.569929999999999</v>
          </cell>
          <cell r="S29">
            <v>-707.48856000000001</v>
          </cell>
          <cell r="T29">
            <v>-88.503040000000013</v>
          </cell>
          <cell r="U29">
            <v>-60.645779999999988</v>
          </cell>
          <cell r="V29">
            <v>-6147.0240461552112</v>
          </cell>
          <cell r="W29">
            <v>-3.4964400000000002</v>
          </cell>
          <cell r="X29">
            <v>-716.71089384479023</v>
          </cell>
          <cell r="Y29">
            <v>-67.270989999999998</v>
          </cell>
          <cell r="Z29">
            <v>569.53203000000008</v>
          </cell>
          <cell r="AA29">
            <v>11.470009999999998</v>
          </cell>
          <cell r="AB29">
            <v>150</v>
          </cell>
          <cell r="AC29">
            <v>-8209.0384599999998</v>
          </cell>
          <cell r="AD29">
            <v>693.91449999999986</v>
          </cell>
          <cell r="AE29">
            <v>-252.7877</v>
          </cell>
          <cell r="AF29">
            <v>-394.4170899999998</v>
          </cell>
          <cell r="AG29">
            <v>0</v>
          </cell>
          <cell r="AH29">
            <v>527.14197999999669</v>
          </cell>
          <cell r="AI29">
            <v>1088.9598499999997</v>
          </cell>
          <cell r="AJ29">
            <v>8363.2904300000009</v>
          </cell>
          <cell r="AK29">
            <v>65.451530000000005</v>
          </cell>
          <cell r="AL29">
            <v>-2482.6105900000007</v>
          </cell>
          <cell r="AM29">
            <v>1418.3528799999999</v>
          </cell>
          <cell r="AN29">
            <v>-1348.0734400000006</v>
          </cell>
          <cell r="AO29">
            <v>-1154.5311999999999</v>
          </cell>
          <cell r="AP29">
            <v>-139.80047999999999</v>
          </cell>
          <cell r="AQ29">
            <v>-764.00884999999994</v>
          </cell>
          <cell r="AR29">
            <v>-519.76751999999999</v>
          </cell>
          <cell r="AT29">
            <v>-367.74096000000009</v>
          </cell>
          <cell r="AU29">
            <v>0</v>
          </cell>
          <cell r="AV29">
            <v>0</v>
          </cell>
          <cell r="AW29">
            <v>0</v>
          </cell>
          <cell r="AX29">
            <v>-58.679545152376477</v>
          </cell>
          <cell r="AY29">
            <v>0</v>
          </cell>
          <cell r="AZ29">
            <v>58.679545152376477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103.71096000000003</v>
          </cell>
          <cell r="BF29">
            <v>-16.981890000009031</v>
          </cell>
          <cell r="BG29">
            <v>-2.5370499999999967</v>
          </cell>
          <cell r="BH29">
            <v>-1054.9049099999997</v>
          </cell>
          <cell r="BI29">
            <v>-16.268550000000005</v>
          </cell>
          <cell r="BJ29">
            <v>0</v>
          </cell>
          <cell r="BK29">
            <v>1325.821979999989</v>
          </cell>
          <cell r="EA29">
            <v>4978.9050400000033</v>
          </cell>
          <cell r="EL29">
            <v>4959.4883799999998</v>
          </cell>
          <cell r="EM29">
            <v>-805.5612900000001</v>
          </cell>
          <cell r="EN29">
            <v>-4.8120399999999997</v>
          </cell>
          <cell r="EO29">
            <v>0</v>
          </cell>
          <cell r="EP29">
            <v>31.095659999999999</v>
          </cell>
          <cell r="EQ29">
            <v>-282.35813000000002</v>
          </cell>
          <cell r="ER29">
            <v>-59.806660000000001</v>
          </cell>
          <cell r="ES29">
            <v>-20.215259999999994</v>
          </cell>
          <cell r="ET29">
            <v>-1616.7511910643921</v>
          </cell>
          <cell r="EU29">
            <v>-3.4964400000000002</v>
          </cell>
          <cell r="EV29">
            <v>-253.75045893560866</v>
          </cell>
          <cell r="EW29">
            <v>-67.270989999999998</v>
          </cell>
          <cell r="EX29">
            <v>265.42987999999997</v>
          </cell>
          <cell r="EY29">
            <v>11.470009999999998</v>
          </cell>
          <cell r="EZ29">
            <v>150</v>
          </cell>
          <cell r="FA29">
            <v>-3673.520860000001</v>
          </cell>
          <cell r="FB29">
            <v>215.73034999999996</v>
          </cell>
          <cell r="FC29">
            <v>-94.70966</v>
          </cell>
          <cell r="FD29">
            <v>-106.76456999999991</v>
          </cell>
          <cell r="FE29">
            <v>0</v>
          </cell>
          <cell r="FF29">
            <v>-10530.666180000002</v>
          </cell>
          <cell r="FG29">
            <v>1088.9598499999997</v>
          </cell>
          <cell r="FH29">
            <v>8651.1927300000007</v>
          </cell>
          <cell r="FI29">
            <v>65.451530000000005</v>
          </cell>
          <cell r="FJ29">
            <v>-824.8085699999998</v>
          </cell>
          <cell r="FK29">
            <v>363.09702000000004</v>
          </cell>
          <cell r="FL29">
            <v>-365.69298999999995</v>
          </cell>
          <cell r="FM29">
            <v>-322.65493999999995</v>
          </cell>
          <cell r="FN29">
            <v>-64.119010000000003</v>
          </cell>
          <cell r="FO29">
            <v>-227.62694000000005</v>
          </cell>
          <cell r="FP29">
            <v>-201.78104000000002</v>
          </cell>
          <cell r="FR29">
            <v>-106.60839000000007</v>
          </cell>
          <cell r="FS29">
            <v>0</v>
          </cell>
          <cell r="FT29">
            <v>0</v>
          </cell>
          <cell r="FU29">
            <v>0</v>
          </cell>
          <cell r="FV29">
            <v>-4.6409761061985932</v>
          </cell>
          <cell r="FW29">
            <v>0</v>
          </cell>
          <cell r="FX29">
            <v>4.6409761061985932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28.773910000000029</v>
          </cell>
          <cell r="GD29">
            <v>-11.627399999999767</v>
          </cell>
          <cell r="GE29">
            <v>-2.5370499999999967</v>
          </cell>
          <cell r="GF29">
            <v>-1013.4153499999998</v>
          </cell>
          <cell r="GG29">
            <v>-16.268550000000005</v>
          </cell>
          <cell r="GH29">
            <v>0</v>
          </cell>
          <cell r="GI29">
            <v>-4846.1346400000029</v>
          </cell>
        </row>
        <row r="30">
          <cell r="C30">
            <v>15534.613870000005</v>
          </cell>
          <cell r="N30">
            <v>14792.027710000002</v>
          </cell>
          <cell r="O30">
            <v>-1375.8807099999999</v>
          </cell>
          <cell r="P30">
            <v>0</v>
          </cell>
          <cell r="Q30">
            <v>-250.923</v>
          </cell>
          <cell r="R30">
            <v>70.910529999999994</v>
          </cell>
          <cell r="S30">
            <v>-1025.3434099999999</v>
          </cell>
          <cell r="T30">
            <v>-68.713750000000033</v>
          </cell>
          <cell r="U30">
            <v>-50.323680000000003</v>
          </cell>
          <cell r="V30">
            <v>-7372.4846994727031</v>
          </cell>
          <cell r="W30">
            <v>0</v>
          </cell>
          <cell r="X30">
            <v>-1972.476800527297</v>
          </cell>
          <cell r="Y30">
            <v>-128.91496000000001</v>
          </cell>
          <cell r="Z30">
            <v>561.46173999999996</v>
          </cell>
          <cell r="AA30">
            <v>13.575240000000001</v>
          </cell>
          <cell r="AB30">
            <v>-650</v>
          </cell>
          <cell r="AC30">
            <v>-10999.81026</v>
          </cell>
          <cell r="AD30">
            <v>917.03629999999976</v>
          </cell>
          <cell r="AE30">
            <v>-478.36822999999998</v>
          </cell>
          <cell r="AF30">
            <v>-592.70245000000011</v>
          </cell>
          <cell r="AG30">
            <v>0</v>
          </cell>
          <cell r="AH30">
            <v>16576.140119999996</v>
          </cell>
          <cell r="AI30">
            <v>207.14202000000006</v>
          </cell>
          <cell r="AJ30">
            <v>436.4720499999998</v>
          </cell>
          <cell r="AK30">
            <v>27.166999999999994</v>
          </cell>
          <cell r="AL30">
            <v>-2585.6905999999994</v>
          </cell>
          <cell r="AM30">
            <v>1518.1880700000002</v>
          </cell>
          <cell r="AN30">
            <v>-1406.4105299999997</v>
          </cell>
          <cell r="AO30">
            <v>-1145.99721</v>
          </cell>
          <cell r="AP30">
            <v>-167.19439</v>
          </cell>
          <cell r="AQ30">
            <v>-1085.3580800000002</v>
          </cell>
          <cell r="AR30">
            <v>-460.17345</v>
          </cell>
          <cell r="AT30">
            <v>-911.92286999999965</v>
          </cell>
          <cell r="AU30">
            <v>0</v>
          </cell>
          <cell r="AV30">
            <v>0</v>
          </cell>
          <cell r="AW30">
            <v>0</v>
          </cell>
          <cell r="AX30">
            <v>29.463565532167806</v>
          </cell>
          <cell r="AY30">
            <v>0</v>
          </cell>
          <cell r="AZ30">
            <v>92.45661446783221</v>
          </cell>
          <cell r="BA30">
            <v>1.82141</v>
          </cell>
          <cell r="BB30">
            <v>-9.4125399999999999</v>
          </cell>
          <cell r="BC30">
            <v>-0.21023</v>
          </cell>
          <cell r="BD30">
            <v>0</v>
          </cell>
          <cell r="BE30">
            <v>1020.5690799999999</v>
          </cell>
          <cell r="BF30">
            <v>357.47608000001617</v>
          </cell>
          <cell r="BG30">
            <v>84.300479999999993</v>
          </cell>
          <cell r="BH30">
            <v>-119.08922</v>
          </cell>
          <cell r="BI30">
            <v>-6.8377099999999995</v>
          </cell>
          <cell r="BJ30">
            <v>0</v>
          </cell>
          <cell r="BK30">
            <v>3841.9692300000124</v>
          </cell>
          <cell r="EA30">
            <v>5305.2733600000038</v>
          </cell>
          <cell r="EL30">
            <v>5189.4701600000044</v>
          </cell>
          <cell r="EM30">
            <v>-456.20690999999982</v>
          </cell>
          <cell r="EN30">
            <v>0</v>
          </cell>
          <cell r="EO30">
            <v>-250.923</v>
          </cell>
          <cell r="EP30">
            <v>161.43372000000002</v>
          </cell>
          <cell r="EQ30">
            <v>-368.32707999999991</v>
          </cell>
          <cell r="ER30">
            <v>-34.380600000000001</v>
          </cell>
          <cell r="ES30">
            <v>-16.774560000000001</v>
          </cell>
          <cell r="ET30">
            <v>-3287.2264920622242</v>
          </cell>
          <cell r="EU30">
            <v>0</v>
          </cell>
          <cell r="EV30">
            <v>-256.78696793777613</v>
          </cell>
          <cell r="EW30">
            <v>-128.91496000000001</v>
          </cell>
          <cell r="EX30">
            <v>204.24727999999993</v>
          </cell>
          <cell r="EY30">
            <v>13.575240000000001</v>
          </cell>
          <cell r="EZ30">
            <v>-650</v>
          </cell>
          <cell r="FA30">
            <v>-2998.8508100000008</v>
          </cell>
          <cell r="FB30">
            <v>6.5362899999999371</v>
          </cell>
          <cell r="FC30">
            <v>-163.88191999999998</v>
          </cell>
          <cell r="FD30">
            <v>-179.13561000000016</v>
          </cell>
          <cell r="FE30">
            <v>0</v>
          </cell>
          <cell r="FF30">
            <v>8005.9528199999968</v>
          </cell>
          <cell r="FG30">
            <v>207.14202000000006</v>
          </cell>
          <cell r="FH30">
            <v>392.39145999999988</v>
          </cell>
          <cell r="FI30">
            <v>27.166999999999994</v>
          </cell>
          <cell r="FJ30">
            <v>-877.21370999999965</v>
          </cell>
          <cell r="FK30">
            <v>401.45235999999977</v>
          </cell>
          <cell r="FL30">
            <v>-385.64864</v>
          </cell>
          <cell r="FM30">
            <v>-399.95278999999999</v>
          </cell>
          <cell r="FN30">
            <v>-56.07551999999999</v>
          </cell>
          <cell r="FO30">
            <v>-320.10617000000008</v>
          </cell>
          <cell r="FP30">
            <v>-148.69073999999998</v>
          </cell>
          <cell r="FR30">
            <v>-384.60415999999964</v>
          </cell>
          <cell r="FS30">
            <v>0</v>
          </cell>
          <cell r="FT30">
            <v>0</v>
          </cell>
          <cell r="FU30">
            <v>0</v>
          </cell>
          <cell r="FV30">
            <v>-55.484244467832198</v>
          </cell>
          <cell r="FW30">
            <v>0</v>
          </cell>
          <cell r="FX30">
            <v>92.45661446783221</v>
          </cell>
          <cell r="FY30">
            <v>1.82141</v>
          </cell>
          <cell r="FZ30">
            <v>-2.8543599999999998</v>
          </cell>
          <cell r="GA30">
            <v>-0.21023</v>
          </cell>
          <cell r="GB30">
            <v>0</v>
          </cell>
          <cell r="GC30">
            <v>32.0648699999999</v>
          </cell>
          <cell r="GD30">
            <v>827.5737400000005</v>
          </cell>
          <cell r="GE30">
            <v>84.300479999999993</v>
          </cell>
          <cell r="GF30">
            <v>-89.51194000000001</v>
          </cell>
          <cell r="GG30">
            <v>-6.8377099999999995</v>
          </cell>
          <cell r="GH30">
            <v>0</v>
          </cell>
          <cell r="GI30">
            <v>4128.9863400000031</v>
          </cell>
        </row>
        <row r="31">
          <cell r="C31">
            <v>15051.035149590803</v>
          </cell>
          <cell r="N31">
            <v>13886.396826524309</v>
          </cell>
          <cell r="O31">
            <v>-3965.9459288755561</v>
          </cell>
          <cell r="P31">
            <v>-124.02552170694241</v>
          </cell>
          <cell r="Q31">
            <v>-268.77749364952427</v>
          </cell>
          <cell r="R31">
            <v>0</v>
          </cell>
          <cell r="S31">
            <v>-1136.8082867950291</v>
          </cell>
          <cell r="T31">
            <v>-245.25184873157571</v>
          </cell>
          <cell r="U31">
            <v>0</v>
          </cell>
          <cell r="V31">
            <v>-2557.9642016714083</v>
          </cell>
          <cell r="W31">
            <v>-22.449076692336448</v>
          </cell>
          <cell r="X31">
            <v>-487.95905809032558</v>
          </cell>
          <cell r="Y31">
            <v>-74.853964131458923</v>
          </cell>
          <cell r="Z31">
            <v>248.96552929784221</v>
          </cell>
          <cell r="AA31">
            <v>0</v>
          </cell>
          <cell r="AB31">
            <v>0</v>
          </cell>
          <cell r="AC31">
            <v>-3494.9803018188359</v>
          </cell>
          <cell r="AD31">
            <v>0</v>
          </cell>
          <cell r="AE31">
            <v>0</v>
          </cell>
          <cell r="AF31">
            <v>-328.06675647748483</v>
          </cell>
          <cell r="AG31">
            <v>0</v>
          </cell>
          <cell r="AH31">
            <v>4357.7970582963208</v>
          </cell>
          <cell r="AI31">
            <v>74.853964131458923</v>
          </cell>
          <cell r="AJ31">
            <v>0</v>
          </cell>
          <cell r="AK31">
            <v>0</v>
          </cell>
          <cell r="AL31">
            <v>-2308.290255787666</v>
          </cell>
          <cell r="AM31">
            <v>0</v>
          </cell>
          <cell r="AN31">
            <v>0</v>
          </cell>
          <cell r="AO31">
            <v>-1146.8236978213049</v>
          </cell>
          <cell r="AP31">
            <v>-141.95393457683303</v>
          </cell>
          <cell r="AQ31">
            <v>-791.10818404825454</v>
          </cell>
          <cell r="AR31">
            <v>-518.56475446775698</v>
          </cell>
          <cell r="AT31">
            <v>-418.31511365450297</v>
          </cell>
          <cell r="AU31">
            <v>80.165007664687408</v>
          </cell>
          <cell r="AV31">
            <v>19.215221672906569</v>
          </cell>
          <cell r="AW31">
            <v>42.240705228577355</v>
          </cell>
          <cell r="AX31">
            <v>-112.2540278649677</v>
          </cell>
          <cell r="AY31">
            <v>3.478025966418322</v>
          </cell>
          <cell r="AZ31">
            <v>76.686981698269079</v>
          </cell>
          <cell r="BA31">
            <v>1.2796009232542767</v>
          </cell>
          <cell r="BB31">
            <v>-5.2447025685561179</v>
          </cell>
          <cell r="BC31">
            <v>0</v>
          </cell>
          <cell r="BD31">
            <v>0</v>
          </cell>
          <cell r="BE31">
            <v>-157.95339912367092</v>
          </cell>
          <cell r="BF31">
            <v>-24.87993420966243</v>
          </cell>
          <cell r="BG31">
            <v>-1.2796009232542767</v>
          </cell>
          <cell r="BH31">
            <v>0</v>
          </cell>
          <cell r="BI31">
            <v>0</v>
          </cell>
          <cell r="BJ31">
            <v>0</v>
          </cell>
          <cell r="BK31">
            <v>457.32887771713763</v>
          </cell>
          <cell r="EA31">
            <v>5176.0378426388215</v>
          </cell>
          <cell r="EL31">
            <v>4628.7989421747698</v>
          </cell>
          <cell r="EM31">
            <v>-1321.9819762918519</v>
          </cell>
          <cell r="EN31">
            <v>-41.3418405689808</v>
          </cell>
          <cell r="EO31">
            <v>-89.592497883174758</v>
          </cell>
          <cell r="EP31">
            <v>0</v>
          </cell>
          <cell r="EQ31">
            <v>-378.93609559834306</v>
          </cell>
          <cell r="ER31">
            <v>-81.750616243858573</v>
          </cell>
          <cell r="ES31">
            <v>0</v>
          </cell>
          <cell r="ET31">
            <v>-852.65473389046963</v>
          </cell>
          <cell r="EU31">
            <v>-7.4830255641121486</v>
          </cell>
          <cell r="EV31">
            <v>-162.65301936344184</v>
          </cell>
          <cell r="EW31">
            <v>-24.951321377152972</v>
          </cell>
          <cell r="EX31">
            <v>82.988509765947413</v>
          </cell>
          <cell r="EY31">
            <v>0</v>
          </cell>
          <cell r="EZ31">
            <v>0</v>
          </cell>
          <cell r="FA31">
            <v>-1164.9934339396118</v>
          </cell>
          <cell r="FB31">
            <v>0</v>
          </cell>
          <cell r="FC31">
            <v>0</v>
          </cell>
          <cell r="FD31">
            <v>-109.35558549249494</v>
          </cell>
          <cell r="FE31">
            <v>0</v>
          </cell>
          <cell r="FF31">
            <v>1452.5990194321066</v>
          </cell>
          <cell r="FG31">
            <v>24.951321377152972</v>
          </cell>
          <cell r="FH31">
            <v>0</v>
          </cell>
          <cell r="FI31">
            <v>0</v>
          </cell>
          <cell r="FJ31">
            <v>-769.43008526255539</v>
          </cell>
          <cell r="FK31">
            <v>0</v>
          </cell>
          <cell r="FL31">
            <v>0</v>
          </cell>
          <cell r="FM31">
            <v>-382.27456594043497</v>
          </cell>
          <cell r="FN31">
            <v>-47.317978192277678</v>
          </cell>
          <cell r="FO31">
            <v>-263.70272801608479</v>
          </cell>
          <cell r="FP31">
            <v>-172.85491815591899</v>
          </cell>
          <cell r="FR31">
            <v>-139.43837121816767</v>
          </cell>
          <cell r="FS31">
            <v>26.721669221562468</v>
          </cell>
          <cell r="FT31">
            <v>6.4050738909688558</v>
          </cell>
          <cell r="FU31">
            <v>14.080235076192452</v>
          </cell>
          <cell r="FV31">
            <v>-37.418009288322565</v>
          </cell>
          <cell r="FW31">
            <v>1.1593419888061072</v>
          </cell>
          <cell r="FX31">
            <v>25.56232723275636</v>
          </cell>
          <cell r="FY31">
            <v>0.42653364108475889</v>
          </cell>
          <cell r="FZ31">
            <v>-1.7482341895187061</v>
          </cell>
          <cell r="GA31">
            <v>0</v>
          </cell>
          <cell r="GB31">
            <v>0</v>
          </cell>
          <cell r="GC31">
            <v>-52.651133041223645</v>
          </cell>
          <cell r="GD31">
            <v>-8.2933114032208088</v>
          </cell>
          <cell r="GE31">
            <v>-0.42653364108475889</v>
          </cell>
          <cell r="GF31">
            <v>0</v>
          </cell>
          <cell r="GG31">
            <v>0</v>
          </cell>
          <cell r="GH31">
            <v>0</v>
          </cell>
          <cell r="GI31">
            <v>152.44295923904494</v>
          </cell>
        </row>
        <row r="33">
          <cell r="C33">
            <v>13760.091929999991</v>
          </cell>
          <cell r="N33">
            <v>13836.810819999993</v>
          </cell>
          <cell r="O33">
            <v>-761.82619</v>
          </cell>
          <cell r="P33">
            <v>-76.77527000000002</v>
          </cell>
          <cell r="Q33">
            <v>0</v>
          </cell>
          <cell r="R33">
            <v>8.2203599999999994</v>
          </cell>
          <cell r="S33">
            <v>-428.60474999999997</v>
          </cell>
          <cell r="T33">
            <v>-54.789840000000005</v>
          </cell>
          <cell r="U33">
            <v>0</v>
          </cell>
          <cell r="V33">
            <v>-4479.5656524743035</v>
          </cell>
          <cell r="W33">
            <v>-64.727599999999995</v>
          </cell>
          <cell r="X33">
            <v>-364.54618752569576</v>
          </cell>
          <cell r="Y33">
            <v>-33.254100000000001</v>
          </cell>
          <cell r="Z33">
            <v>163.26201999999998</v>
          </cell>
          <cell r="AA33">
            <v>1.4838899999999999</v>
          </cell>
          <cell r="AB33">
            <v>0</v>
          </cell>
          <cell r="AC33">
            <v>-3624.2065599999996</v>
          </cell>
          <cell r="AD33">
            <v>780.87563</v>
          </cell>
          <cell r="AE33">
            <v>-103.35444000000001</v>
          </cell>
          <cell r="AF33">
            <v>-297.63150000000002</v>
          </cell>
          <cell r="AG33">
            <v>0</v>
          </cell>
          <cell r="AH33">
            <v>3895.1620500000004</v>
          </cell>
          <cell r="AI33">
            <v>240.94521999999992</v>
          </cell>
          <cell r="AJ33">
            <v>28.891529999999879</v>
          </cell>
          <cell r="AK33">
            <v>-4.2498300000000011</v>
          </cell>
          <cell r="AL33">
            <v>-3395.0494500000054</v>
          </cell>
          <cell r="AM33">
            <v>2389.7527599999994</v>
          </cell>
          <cell r="AN33">
            <v>-2410.6875100000002</v>
          </cell>
          <cell r="AO33">
            <v>-948.39046999999994</v>
          </cell>
          <cell r="AP33">
            <v>-120.15142</v>
          </cell>
          <cell r="AQ33">
            <v>-581.37450999999999</v>
          </cell>
          <cell r="AR33">
            <v>-453.14261000000005</v>
          </cell>
          <cell r="AT33">
            <v>-1242.1962600000015</v>
          </cell>
          <cell r="AU33">
            <v>0</v>
          </cell>
          <cell r="AV33">
            <v>0</v>
          </cell>
          <cell r="AW33">
            <v>0</v>
          </cell>
          <cell r="AX33">
            <v>-44.639622687721101</v>
          </cell>
          <cell r="AY33">
            <v>0</v>
          </cell>
          <cell r="AZ33">
            <v>44.639622687721101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-62.430949999999996</v>
          </cell>
          <cell r="BG33">
            <v>-102.09275999999998</v>
          </cell>
          <cell r="BH33">
            <v>45.097230000000017</v>
          </cell>
          <cell r="BI33">
            <v>0.3936599999999999</v>
          </cell>
          <cell r="BJ33">
            <v>0</v>
          </cell>
          <cell r="BK33">
            <v>1781.8473099999867</v>
          </cell>
        </row>
        <row r="34">
          <cell r="C34">
            <v>14356.198270000003</v>
          </cell>
          <cell r="N34">
            <v>14359.76685</v>
          </cell>
          <cell r="O34">
            <v>-785.58243000000004</v>
          </cell>
          <cell r="P34">
            <v>0</v>
          </cell>
          <cell r="Q34">
            <v>-300</v>
          </cell>
          <cell r="R34">
            <v>10.345000000000006</v>
          </cell>
          <cell r="S34">
            <v>-458.88382000000001</v>
          </cell>
          <cell r="T34">
            <v>-55.1586</v>
          </cell>
          <cell r="U34">
            <v>0</v>
          </cell>
          <cell r="V34">
            <v>-5892.6243528579271</v>
          </cell>
          <cell r="W34">
            <v>0</v>
          </cell>
          <cell r="X34">
            <v>-294.82374714207288</v>
          </cell>
          <cell r="Y34">
            <v>-80.830100000000002</v>
          </cell>
          <cell r="Z34">
            <v>203.73027999999999</v>
          </cell>
          <cell r="AA34">
            <v>3.2411300000000001</v>
          </cell>
          <cell r="AB34">
            <v>0</v>
          </cell>
          <cell r="AC34">
            <v>-4268.1250799999998</v>
          </cell>
          <cell r="AD34">
            <v>521.31335000000001</v>
          </cell>
          <cell r="AE34">
            <v>-149.38328999999999</v>
          </cell>
          <cell r="AF34">
            <v>-337.76990000000001</v>
          </cell>
          <cell r="AG34">
            <v>0</v>
          </cell>
          <cell r="AH34">
            <v>7618.8933199999992</v>
          </cell>
          <cell r="AI34">
            <v>171.53435999999996</v>
          </cell>
          <cell r="AJ34">
            <v>-128.70984000000001</v>
          </cell>
          <cell r="AK34">
            <v>-1.43747</v>
          </cell>
          <cell r="AL34">
            <v>-3780.6255099999948</v>
          </cell>
          <cell r="AM34">
            <v>2513.5547099999999</v>
          </cell>
          <cell r="AN34">
            <v>-2515.092880000002</v>
          </cell>
          <cell r="AO34">
            <v>-908.18077999999991</v>
          </cell>
          <cell r="AP34">
            <v>-143.23118000000002</v>
          </cell>
          <cell r="AQ34">
            <v>-729.53646000000003</v>
          </cell>
          <cell r="AR34">
            <v>-434.50951999999995</v>
          </cell>
          <cell r="AT34">
            <v>-1703.6784000000071</v>
          </cell>
          <cell r="AU34">
            <v>0</v>
          </cell>
          <cell r="AV34">
            <v>0</v>
          </cell>
          <cell r="AW34">
            <v>0</v>
          </cell>
          <cell r="AX34">
            <v>36.325603491314823</v>
          </cell>
          <cell r="AY34">
            <v>0</v>
          </cell>
          <cell r="AZ34">
            <v>37.210276508685169</v>
          </cell>
          <cell r="BA34">
            <v>0.69949000000000006</v>
          </cell>
          <cell r="BB34">
            <v>-1.7469599999999998</v>
          </cell>
          <cell r="BC34">
            <v>-1.602E-2</v>
          </cell>
          <cell r="BD34">
            <v>0</v>
          </cell>
          <cell r="BE34">
            <v>270.26342999999991</v>
          </cell>
          <cell r="BF34">
            <v>-1241.7293099999999</v>
          </cell>
          <cell r="BG34">
            <v>-83.995220000000003</v>
          </cell>
          <cell r="BH34">
            <v>37.346719999999983</v>
          </cell>
          <cell r="BI34">
            <v>0.13213</v>
          </cell>
          <cell r="BJ34">
            <v>0</v>
          </cell>
          <cell r="BK34">
            <v>1488.6857799999948</v>
          </cell>
        </row>
        <row r="35">
          <cell r="C35">
            <v>13131.483596439135</v>
          </cell>
          <cell r="N35">
            <v>13142.971363986242</v>
          </cell>
          <cell r="O35">
            <v>-3195.3064829503351</v>
          </cell>
          <cell r="P35">
            <v>-802.07637728324039</v>
          </cell>
          <cell r="Q35">
            <v>-292.60724980176605</v>
          </cell>
          <cell r="R35">
            <v>0</v>
          </cell>
          <cell r="S35">
            <v>-575.95396081414253</v>
          </cell>
          <cell r="T35">
            <v>-363.57471697757626</v>
          </cell>
          <cell r="U35">
            <v>0</v>
          </cell>
          <cell r="V35">
            <v>-615.69195087498269</v>
          </cell>
          <cell r="W35">
            <v>-748.82454132732801</v>
          </cell>
          <cell r="X35">
            <v>-273.18033023740662</v>
          </cell>
          <cell r="Y35">
            <v>-72.970205734350472</v>
          </cell>
          <cell r="Z35">
            <v>91.929385517781597</v>
          </cell>
          <cell r="AA35">
            <v>0</v>
          </cell>
          <cell r="AB35">
            <v>0</v>
          </cell>
          <cell r="AC35">
            <v>-1162.1517225507152</v>
          </cell>
          <cell r="AD35">
            <v>0</v>
          </cell>
          <cell r="AE35">
            <v>0</v>
          </cell>
          <cell r="AF35">
            <v>-220.25040673458258</v>
          </cell>
          <cell r="AG35">
            <v>0</v>
          </cell>
          <cell r="AH35">
            <v>1427.9021292852979</v>
          </cell>
          <cell r="AI35">
            <v>72.970205734350472</v>
          </cell>
          <cell r="AJ35">
            <v>0</v>
          </cell>
          <cell r="AK35">
            <v>0</v>
          </cell>
          <cell r="AL35">
            <v>-3396.4040363740532</v>
          </cell>
          <cell r="AM35">
            <v>0</v>
          </cell>
          <cell r="AN35">
            <v>0</v>
          </cell>
          <cell r="AO35">
            <v>-928.51505778472631</v>
          </cell>
          <cell r="AP35">
            <v>-124.3378514756091</v>
          </cell>
          <cell r="AQ35">
            <v>-631.93426415289036</v>
          </cell>
          <cell r="AR35">
            <v>-453.28994696325645</v>
          </cell>
          <cell r="AT35">
            <v>-1362.9662086034673</v>
          </cell>
          <cell r="AU35">
            <v>311.73532667591411</v>
          </cell>
          <cell r="AV35">
            <v>333.90404252540185</v>
          </cell>
          <cell r="AW35">
            <v>0</v>
          </cell>
          <cell r="AX35">
            <v>-322.66736776164652</v>
          </cell>
          <cell r="AY35">
            <v>311.73532667591411</v>
          </cell>
          <cell r="AZ35">
            <v>0</v>
          </cell>
          <cell r="BA35">
            <v>6.5085100873895332</v>
          </cell>
          <cell r="BB35">
            <v>-8.5184995884321388</v>
          </cell>
          <cell r="BC35">
            <v>0</v>
          </cell>
          <cell r="BD35">
            <v>0</v>
          </cell>
          <cell r="BE35">
            <v>244.67270436084874</v>
          </cell>
          <cell r="BF35">
            <v>-244.67270436084874</v>
          </cell>
          <cell r="BG35">
            <v>-6.5085100873895332</v>
          </cell>
          <cell r="BH35">
            <v>0</v>
          </cell>
          <cell r="BI35">
            <v>0</v>
          </cell>
          <cell r="BJ35">
            <v>0</v>
          </cell>
          <cell r="BK35">
            <v>141.92660241039761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20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20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2020.5003500000003</v>
          </cell>
          <cell r="N41">
            <v>2010.3461300000001</v>
          </cell>
          <cell r="O41">
            <v>-21.690190000000001</v>
          </cell>
          <cell r="P41">
            <v>0</v>
          </cell>
          <cell r="Q41">
            <v>0</v>
          </cell>
          <cell r="R41">
            <v>0</v>
          </cell>
          <cell r="S41">
            <v>-127.24285999999999</v>
          </cell>
          <cell r="T41">
            <v>-1.69703</v>
          </cell>
          <cell r="U41">
            <v>0</v>
          </cell>
          <cell r="V41">
            <v>-608.86754426234847</v>
          </cell>
          <cell r="W41">
            <v>-1.3740000000000001</v>
          </cell>
          <cell r="X41">
            <v>-81.739545737651497</v>
          </cell>
          <cell r="Y41">
            <v>-11.680430000000001</v>
          </cell>
          <cell r="Z41">
            <v>83.925340000000006</v>
          </cell>
          <cell r="AA41">
            <v>1.3485399999999998</v>
          </cell>
          <cell r="AB41">
            <v>40</v>
          </cell>
          <cell r="AC41">
            <v>-753.42998000000011</v>
          </cell>
          <cell r="AD41">
            <v>20.431810000000006</v>
          </cell>
          <cell r="AE41">
            <v>-77.572059999999993</v>
          </cell>
          <cell r="AF41">
            <v>-100.8690099999999</v>
          </cell>
          <cell r="AG41">
            <v>0</v>
          </cell>
          <cell r="AH41">
            <v>-1116.0694599999999</v>
          </cell>
          <cell r="AI41">
            <v>298.68034000000006</v>
          </cell>
          <cell r="AJ41">
            <v>333.15642000000003</v>
          </cell>
          <cell r="AK41">
            <v>-19.070860000000014</v>
          </cell>
          <cell r="AL41">
            <v>-449.96152000000023</v>
          </cell>
          <cell r="AM41">
            <v>318.29606000000001</v>
          </cell>
          <cell r="AN41">
            <v>-316.60040999999995</v>
          </cell>
          <cell r="AO41">
            <v>-262.92788000000002</v>
          </cell>
          <cell r="AP41">
            <v>-32.833720000000007</v>
          </cell>
          <cell r="AQ41">
            <v>-115.07160999999999</v>
          </cell>
          <cell r="AR41">
            <v>-153.99862999999999</v>
          </cell>
          <cell r="AT41">
            <v>-45.217609999999986</v>
          </cell>
          <cell r="AU41">
            <v>0</v>
          </cell>
          <cell r="AV41">
            <v>0</v>
          </cell>
          <cell r="AW41">
            <v>0</v>
          </cell>
          <cell r="AX41">
            <v>-6.5964390631542358</v>
          </cell>
          <cell r="AY41">
            <v>0</v>
          </cell>
          <cell r="AZ41">
            <v>6.5964390631542358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0.89803000000073574</v>
          </cell>
          <cell r="BG41">
            <v>29.159649999999999</v>
          </cell>
          <cell r="BH41">
            <v>-27.013680000000001</v>
          </cell>
          <cell r="BI41">
            <v>-0.61621000000000015</v>
          </cell>
          <cell r="BJ41">
            <v>0</v>
          </cell>
          <cell r="BK41">
            <v>-1189.3019199999994</v>
          </cell>
        </row>
        <row r="42">
          <cell r="C42">
            <v>2119.0549700000001</v>
          </cell>
          <cell r="N42">
            <v>2098.5460600000001</v>
          </cell>
          <cell r="O42">
            <v>-24.119609999999998</v>
          </cell>
          <cell r="P42">
            <v>0</v>
          </cell>
          <cell r="Q42">
            <v>0</v>
          </cell>
          <cell r="R42">
            <v>0</v>
          </cell>
          <cell r="S42">
            <v>-109.46521000000001</v>
          </cell>
          <cell r="T42">
            <v>-0.68988000000000005</v>
          </cell>
          <cell r="U42">
            <v>0</v>
          </cell>
          <cell r="V42">
            <v>-1268.0098667237905</v>
          </cell>
          <cell r="W42">
            <v>0</v>
          </cell>
          <cell r="X42">
            <v>-70.87753327620932</v>
          </cell>
          <cell r="Y42">
            <v>-43.053990000000006</v>
          </cell>
          <cell r="Z42">
            <v>146.15902</v>
          </cell>
          <cell r="AA42">
            <v>4.8571900000000001</v>
          </cell>
          <cell r="AB42">
            <v>-20</v>
          </cell>
          <cell r="AC42">
            <v>-781.31551999999999</v>
          </cell>
          <cell r="AD42">
            <v>71.41367000000001</v>
          </cell>
          <cell r="AE42">
            <v>-83.061490000000006</v>
          </cell>
          <cell r="AF42">
            <v>-82.35074000000003</v>
          </cell>
          <cell r="AG42">
            <v>0</v>
          </cell>
          <cell r="AH42">
            <v>-822.91802999999845</v>
          </cell>
          <cell r="AI42">
            <v>220.01810999999998</v>
          </cell>
          <cell r="AJ42">
            <v>-77.881969999999995</v>
          </cell>
          <cell r="AK42">
            <v>-9.3445199999999886</v>
          </cell>
          <cell r="AL42">
            <v>-467.51112000000057</v>
          </cell>
          <cell r="AM42">
            <v>331.89900000000006</v>
          </cell>
          <cell r="AN42">
            <v>-328.32443999999992</v>
          </cell>
          <cell r="AO42">
            <v>-244.11993999999999</v>
          </cell>
          <cell r="AP42">
            <v>-33.611140000000006</v>
          </cell>
          <cell r="AQ42">
            <v>-155.30387999999999</v>
          </cell>
          <cell r="AR42">
            <v>-128.01289</v>
          </cell>
          <cell r="AT42">
            <v>-89.90297000000001</v>
          </cell>
          <cell r="AU42">
            <v>0</v>
          </cell>
          <cell r="AV42">
            <v>0</v>
          </cell>
          <cell r="AW42">
            <v>0</v>
          </cell>
          <cell r="AX42">
            <v>2.7366846124018895</v>
          </cell>
          <cell r="AY42">
            <v>0</v>
          </cell>
          <cell r="AZ42">
            <v>3.4941053875981103</v>
          </cell>
          <cell r="BA42">
            <v>0.19675999999999999</v>
          </cell>
          <cell r="BB42">
            <v>-0.70401000000000002</v>
          </cell>
          <cell r="BC42">
            <v>-2.2120000000000001E-2</v>
          </cell>
          <cell r="BD42">
            <v>0</v>
          </cell>
          <cell r="BE42">
            <v>25.2</v>
          </cell>
          <cell r="BF42">
            <v>137.23032999999987</v>
          </cell>
          <cell r="BG42">
            <v>-53.007350000000002</v>
          </cell>
          <cell r="BH42">
            <v>5.2571999999999974</v>
          </cell>
          <cell r="BI42">
            <v>1.0455299999999998</v>
          </cell>
          <cell r="BJ42">
            <v>0</v>
          </cell>
          <cell r="BK42">
            <v>-1845.5545599999989</v>
          </cell>
        </row>
        <row r="43">
          <cell r="C43">
            <v>1800.8952833722701</v>
          </cell>
          <cell r="N43">
            <v>1794.8952092239717</v>
          </cell>
          <cell r="O43">
            <v>-142.90744522783203</v>
          </cell>
          <cell r="P43">
            <v>0</v>
          </cell>
          <cell r="Q43">
            <v>-15.036834287896257</v>
          </cell>
          <cell r="R43">
            <v>0</v>
          </cell>
          <cell r="S43">
            <v>-182.10647256596565</v>
          </cell>
          <cell r="T43">
            <v>-7.4193741115205345</v>
          </cell>
          <cell r="U43">
            <v>0</v>
          </cell>
          <cell r="V43">
            <v>-382.5103292099144</v>
          </cell>
          <cell r="W43">
            <v>0</v>
          </cell>
          <cell r="X43">
            <v>-67.457033499459243</v>
          </cell>
          <cell r="Y43">
            <v>-12.522730323553585</v>
          </cell>
          <cell r="Z43">
            <v>60.675594049824511</v>
          </cell>
          <cell r="AA43">
            <v>0</v>
          </cell>
          <cell r="AB43">
            <v>0</v>
          </cell>
          <cell r="AC43">
            <v>-385.94473200638117</v>
          </cell>
          <cell r="AD43">
            <v>0</v>
          </cell>
          <cell r="AE43">
            <v>0</v>
          </cell>
          <cell r="AF43">
            <v>-79.735047731177445</v>
          </cell>
          <cell r="AG43">
            <v>0</v>
          </cell>
          <cell r="AH43">
            <v>465.67977973755865</v>
          </cell>
          <cell r="AI43">
            <v>12.522730323553585</v>
          </cell>
          <cell r="AJ43">
            <v>0</v>
          </cell>
          <cell r="AK43">
            <v>0</v>
          </cell>
          <cell r="AL43">
            <v>-393.73118764851711</v>
          </cell>
          <cell r="AM43">
            <v>0</v>
          </cell>
          <cell r="AN43">
            <v>0</v>
          </cell>
          <cell r="AO43">
            <v>-256.68411112136641</v>
          </cell>
          <cell r="AP43">
            <v>-30.230895425749075</v>
          </cell>
          <cell r="AQ43">
            <v>-131.03788980595999</v>
          </cell>
          <cell r="AR43">
            <v>-147.35623371913542</v>
          </cell>
          <cell r="AT43">
            <v>-66.690244219767081</v>
          </cell>
          <cell r="AU43">
            <v>0</v>
          </cell>
          <cell r="AV43">
            <v>0</v>
          </cell>
          <cell r="AW43">
            <v>0</v>
          </cell>
          <cell r="AX43">
            <v>-0.92400535058501587</v>
          </cell>
          <cell r="AY43">
            <v>0</v>
          </cell>
          <cell r="AZ43">
            <v>0</v>
          </cell>
          <cell r="BA43">
            <v>-1.6833127728449464E-2</v>
          </cell>
          <cell r="BB43">
            <v>8.473299641555912E-2</v>
          </cell>
          <cell r="BC43">
            <v>0</v>
          </cell>
          <cell r="BD43">
            <v>0</v>
          </cell>
          <cell r="BE43">
            <v>-25.469134846588709</v>
          </cell>
          <cell r="BF43">
            <v>-18.655865153411291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-12.578353051185076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-1.1300000000000001E-2</v>
          </cell>
          <cell r="N49">
            <v>-1.1280000000000002E-2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1.98E-3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-5.79E-3</v>
          </cell>
          <cell r="AR49">
            <v>-1.6800000000000001E-3</v>
          </cell>
          <cell r="AT49">
            <v>-4.0000000000000003E-5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-4.0008499999999998</v>
          </cell>
          <cell r="BH49">
            <v>0</v>
          </cell>
          <cell r="BI49">
            <v>0.28706999999999999</v>
          </cell>
          <cell r="BJ49">
            <v>0</v>
          </cell>
          <cell r="BK49">
            <v>-3.7305900000000003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-6.1499999999999992E-3</v>
          </cell>
          <cell r="AR50">
            <v>-1.6800000000000001E-3</v>
          </cell>
          <cell r="AT50">
            <v>-4.0000000000000003E-5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-0.67476000000000003</v>
          </cell>
          <cell r="BH50">
            <v>0</v>
          </cell>
          <cell r="BI50">
            <v>2.5000000000000001E-4</v>
          </cell>
          <cell r="BJ50">
            <v>0</v>
          </cell>
          <cell r="BK50">
            <v>-0.6823800000000001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1218.5501199999992</v>
          </cell>
          <cell r="N53">
            <v>1100.55699</v>
          </cell>
          <cell r="O53">
            <v>-7.2462299999999997</v>
          </cell>
          <cell r="P53">
            <v>0</v>
          </cell>
          <cell r="Q53">
            <v>0</v>
          </cell>
          <cell r="R53">
            <v>0</v>
          </cell>
          <cell r="S53">
            <v>-26.071829999999999</v>
          </cell>
          <cell r="T53">
            <v>0</v>
          </cell>
          <cell r="U53">
            <v>0</v>
          </cell>
          <cell r="V53">
            <v>-199.01865999999998</v>
          </cell>
          <cell r="W53">
            <v>0</v>
          </cell>
          <cell r="X53">
            <v>0</v>
          </cell>
          <cell r="Y53">
            <v>-2.6017399999999999</v>
          </cell>
          <cell r="Z53">
            <v>8.8976800000000011</v>
          </cell>
          <cell r="AA53">
            <v>0.11184999999999999</v>
          </cell>
          <cell r="AB53">
            <v>0</v>
          </cell>
          <cell r="AC53">
            <v>-108.7585</v>
          </cell>
          <cell r="AD53">
            <v>0.41186</v>
          </cell>
          <cell r="AE53">
            <v>-5.8562399999999997</v>
          </cell>
          <cell r="AF53">
            <v>-6.3992899999999997</v>
          </cell>
          <cell r="AG53">
            <v>0</v>
          </cell>
          <cell r="AH53">
            <v>274.16321999999997</v>
          </cell>
          <cell r="AI53">
            <v>1986.6841499999998</v>
          </cell>
          <cell r="AJ53">
            <v>-2.6319800000000027</v>
          </cell>
          <cell r="AK53">
            <v>-400.97537999999997</v>
          </cell>
          <cell r="AL53">
            <v>-306.6265600000001</v>
          </cell>
          <cell r="AM53">
            <v>246.16845000000001</v>
          </cell>
          <cell r="AN53">
            <v>-218.12054999999989</v>
          </cell>
          <cell r="AO53">
            <v>-220.98246999999998</v>
          </cell>
          <cell r="AP53">
            <v>-22.704509999999999</v>
          </cell>
          <cell r="AQ53">
            <v>-46.005539999999996</v>
          </cell>
          <cell r="AR53">
            <v>-77.64837</v>
          </cell>
          <cell r="AT53">
            <v>-28.230270000000001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0.30116999999999994</v>
          </cell>
          <cell r="BH53">
            <v>-4.4900000000000001E-3</v>
          </cell>
          <cell r="BI53">
            <v>-2.0000000000000002E-5</v>
          </cell>
          <cell r="BJ53">
            <v>0</v>
          </cell>
          <cell r="BK53">
            <v>1937.4127400000002</v>
          </cell>
        </row>
        <row r="54">
          <cell r="C54">
            <v>1023.5148199999992</v>
          </cell>
          <cell r="N54">
            <v>887.49872000000062</v>
          </cell>
          <cell r="O54">
            <v>-3.03165</v>
          </cell>
          <cell r="P54">
            <v>0</v>
          </cell>
          <cell r="Q54">
            <v>0</v>
          </cell>
          <cell r="R54">
            <v>0</v>
          </cell>
          <cell r="S54">
            <v>-11.128690000000001</v>
          </cell>
          <cell r="T54">
            <v>-9.9000000000000008E-3</v>
          </cell>
          <cell r="U54">
            <v>0</v>
          </cell>
          <cell r="V54">
            <v>-166.30235000000002</v>
          </cell>
          <cell r="W54">
            <v>0</v>
          </cell>
          <cell r="X54">
            <v>0</v>
          </cell>
          <cell r="Y54">
            <v>-50.956220000000002</v>
          </cell>
          <cell r="Z54">
            <v>7.3215200000000005</v>
          </cell>
          <cell r="AA54">
            <v>11.98227</v>
          </cell>
          <cell r="AB54">
            <v>0</v>
          </cell>
          <cell r="AC54">
            <v>-84.010570000000001</v>
          </cell>
          <cell r="AD54">
            <v>2.8561000000000001</v>
          </cell>
          <cell r="AE54">
            <v>-7.1606599999999991</v>
          </cell>
          <cell r="AF54">
            <v>-3.9890599999999998</v>
          </cell>
          <cell r="AG54">
            <v>0</v>
          </cell>
          <cell r="AH54">
            <v>258.46055999999999</v>
          </cell>
          <cell r="AI54">
            <v>359.87857000000002</v>
          </cell>
          <cell r="AJ54">
            <v>10.620949999999999</v>
          </cell>
          <cell r="AK54">
            <v>-79.205539999999985</v>
          </cell>
          <cell r="AL54">
            <v>-287.33310999999964</v>
          </cell>
          <cell r="AM54">
            <v>254.09178999999995</v>
          </cell>
          <cell r="AN54">
            <v>-220.87276000000011</v>
          </cell>
          <cell r="AO54">
            <v>-182.28172000000001</v>
          </cell>
          <cell r="AP54">
            <v>-14.883840000000001</v>
          </cell>
          <cell r="AQ54">
            <v>-34.964970000000001</v>
          </cell>
          <cell r="AR54">
            <v>-33.283560000000001</v>
          </cell>
          <cell r="AT54">
            <v>-15.409520000000001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-0.36175999999999997</v>
          </cell>
          <cell r="BH54">
            <v>1.5520000000000003E-2</v>
          </cell>
          <cell r="BI54">
            <v>1.4000000000000001E-4</v>
          </cell>
          <cell r="BJ54">
            <v>0</v>
          </cell>
          <cell r="BK54">
            <v>597.54026000000079</v>
          </cell>
        </row>
        <row r="55">
          <cell r="C55">
            <v>1154.9591886022802</v>
          </cell>
          <cell r="N55">
            <v>1219.115612933284</v>
          </cell>
          <cell r="O55">
            <v>-37.378104015346374</v>
          </cell>
          <cell r="P55">
            <v>0</v>
          </cell>
          <cell r="Q55">
            <v>0</v>
          </cell>
          <cell r="R55">
            <v>0</v>
          </cell>
          <cell r="S55">
            <v>-25.864885183553383</v>
          </cell>
          <cell r="T55">
            <v>0</v>
          </cell>
          <cell r="U55">
            <v>0</v>
          </cell>
          <cell r="V55">
            <v>-173.93725069487363</v>
          </cell>
          <cell r="W55">
            <v>0</v>
          </cell>
          <cell r="X55">
            <v>0</v>
          </cell>
          <cell r="Y55">
            <v>-3.8740853873551027</v>
          </cell>
          <cell r="Z55">
            <v>6.7603566017026022</v>
          </cell>
          <cell r="AA55">
            <v>0</v>
          </cell>
          <cell r="AB55">
            <v>0</v>
          </cell>
          <cell r="AC55">
            <v>-84.383628048886408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84.383628048886408</v>
          </cell>
          <cell r="AI55">
            <v>3.8740853873551027</v>
          </cell>
          <cell r="AJ55">
            <v>0</v>
          </cell>
          <cell r="AK55">
            <v>0</v>
          </cell>
          <cell r="AL55">
            <v>-297.63400546000156</v>
          </cell>
          <cell r="AM55">
            <v>0</v>
          </cell>
          <cell r="AN55">
            <v>0</v>
          </cell>
          <cell r="AO55">
            <v>-225.18308259943308</v>
          </cell>
          <cell r="AP55">
            <v>-16.329766231431115</v>
          </cell>
          <cell r="AQ55">
            <v>-51.118673599789076</v>
          </cell>
          <cell r="AR55">
            <v>-70.463153654721609</v>
          </cell>
          <cell r="AT55">
            <v>-20.675774600448573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307.29127349538771</v>
          </cell>
        </row>
        <row r="57">
          <cell r="C57">
            <v>998.09295999999938</v>
          </cell>
          <cell r="N57">
            <v>968.76833999999928</v>
          </cell>
          <cell r="O57">
            <v>-3.8632500000000003</v>
          </cell>
          <cell r="P57">
            <v>0</v>
          </cell>
          <cell r="Q57">
            <v>0</v>
          </cell>
          <cell r="R57">
            <v>0</v>
          </cell>
          <cell r="S57">
            <v>-214.16251</v>
          </cell>
          <cell r="T57">
            <v>0</v>
          </cell>
          <cell r="U57">
            <v>0</v>
          </cell>
          <cell r="V57">
            <v>-295.43671000000001</v>
          </cell>
          <cell r="W57">
            <v>0</v>
          </cell>
          <cell r="X57">
            <v>0</v>
          </cell>
          <cell r="Y57">
            <v>-1.3841600000000001</v>
          </cell>
          <cell r="Z57">
            <v>22.492370000000001</v>
          </cell>
          <cell r="AA57">
            <v>4.8869999999999997E-2</v>
          </cell>
          <cell r="AB57">
            <v>0</v>
          </cell>
          <cell r="AC57">
            <v>-392.87198999999998</v>
          </cell>
          <cell r="AD57">
            <v>30.547430000000006</v>
          </cell>
          <cell r="AE57">
            <v>-53.63494</v>
          </cell>
          <cell r="AF57">
            <v>6.6847860580310222E-14</v>
          </cell>
          <cell r="AG57">
            <v>0</v>
          </cell>
          <cell r="AH57">
            <v>498.02648999999991</v>
          </cell>
          <cell r="AI57">
            <v>128.78197</v>
          </cell>
          <cell r="AJ57">
            <v>-57.814769999999996</v>
          </cell>
          <cell r="AK57">
            <v>-5.7120099999999994</v>
          </cell>
          <cell r="AL57">
            <v>-178.73375000000004</v>
          </cell>
          <cell r="AM57">
            <v>103.04577000000002</v>
          </cell>
          <cell r="AN57">
            <v>-98.225799999999992</v>
          </cell>
          <cell r="AO57">
            <v>-43.103960000000008</v>
          </cell>
          <cell r="AP57">
            <v>-5.6526300000000003</v>
          </cell>
          <cell r="AQ57">
            <v>-43.42783</v>
          </cell>
          <cell r="AR57">
            <v>-20.860349999999997</v>
          </cell>
          <cell r="AT57">
            <v>-107.74670999999999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229.07986999999935</v>
          </cell>
        </row>
        <row r="58">
          <cell r="C58">
            <v>1018.5793900000006</v>
          </cell>
          <cell r="N58">
            <v>972.3036400000002</v>
          </cell>
          <cell r="O58">
            <v>-2.0036199999999997</v>
          </cell>
          <cell r="P58">
            <v>0</v>
          </cell>
          <cell r="Q58">
            <v>0</v>
          </cell>
          <cell r="R58">
            <v>0.53300000000000036</v>
          </cell>
          <cell r="S58">
            <v>-203.37894</v>
          </cell>
          <cell r="T58">
            <v>-2.1199999999999999E-3</v>
          </cell>
          <cell r="U58">
            <v>0</v>
          </cell>
          <cell r="V58">
            <v>-297.9563</v>
          </cell>
          <cell r="W58">
            <v>0</v>
          </cell>
          <cell r="X58">
            <v>0</v>
          </cell>
          <cell r="Y58">
            <v>-9.7156699999999994</v>
          </cell>
          <cell r="Z58">
            <v>23.999440000000003</v>
          </cell>
          <cell r="AA58">
            <v>0.59929999999999994</v>
          </cell>
          <cell r="AB58">
            <v>0</v>
          </cell>
          <cell r="AC58">
            <v>-439.41354000000001</v>
          </cell>
          <cell r="AD58">
            <v>12.13607</v>
          </cell>
          <cell r="AE58">
            <v>-57.314950000000003</v>
          </cell>
          <cell r="AF58">
            <v>0</v>
          </cell>
          <cell r="AG58">
            <v>0</v>
          </cell>
          <cell r="AH58">
            <v>780.27149000000009</v>
          </cell>
          <cell r="AI58">
            <v>13.848960000000002</v>
          </cell>
          <cell r="AJ58">
            <v>14.724789999999986</v>
          </cell>
          <cell r="AK58">
            <v>1.4641199999999996</v>
          </cell>
          <cell r="AL58">
            <v>-183.42530000000005</v>
          </cell>
          <cell r="AM58">
            <v>107.97696999999999</v>
          </cell>
          <cell r="AN58">
            <v>-100.15255999999997</v>
          </cell>
          <cell r="AO58">
            <v>-38.960039999999992</v>
          </cell>
          <cell r="AP58">
            <v>-5.34361</v>
          </cell>
          <cell r="AQ58">
            <v>-72.351779999999991</v>
          </cell>
          <cell r="AR58">
            <v>-18.289159999999999</v>
          </cell>
          <cell r="AT58">
            <v>-125.47471999999999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374.07547000000028</v>
          </cell>
        </row>
        <row r="59">
          <cell r="C59">
            <v>939.51843763641796</v>
          </cell>
          <cell r="N59">
            <v>850</v>
          </cell>
          <cell r="O59">
            <v>-15.896547987730848</v>
          </cell>
          <cell r="P59">
            <v>0</v>
          </cell>
          <cell r="Q59">
            <v>0</v>
          </cell>
          <cell r="R59">
            <v>0</v>
          </cell>
          <cell r="S59">
            <v>-204.60168196533098</v>
          </cell>
          <cell r="T59">
            <v>0</v>
          </cell>
          <cell r="U59">
            <v>0</v>
          </cell>
          <cell r="V59">
            <v>-222.91323791615929</v>
          </cell>
          <cell r="W59">
            <v>0</v>
          </cell>
          <cell r="X59">
            <v>0</v>
          </cell>
          <cell r="Y59">
            <v>-5.002837276333274</v>
          </cell>
          <cell r="Z59">
            <v>17.266389178731973</v>
          </cell>
          <cell r="AA59">
            <v>0</v>
          </cell>
          <cell r="AB59">
            <v>0</v>
          </cell>
          <cell r="AC59">
            <v>-345.98911044385909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345.98911044385909</v>
          </cell>
          <cell r="AI59">
            <v>5.002837276333274</v>
          </cell>
          <cell r="AJ59">
            <v>0</v>
          </cell>
          <cell r="AK59">
            <v>0</v>
          </cell>
          <cell r="AL59">
            <v>-151.9607032342156</v>
          </cell>
          <cell r="AM59">
            <v>0</v>
          </cell>
          <cell r="AN59">
            <v>0</v>
          </cell>
          <cell r="AO59">
            <v>-36.399431884990932</v>
          </cell>
          <cell r="AP59">
            <v>-3.4805951648263846</v>
          </cell>
          <cell r="AQ59">
            <v>-43.858485188199126</v>
          </cell>
          <cell r="AR59">
            <v>-21.122580112031283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167.03312572524757</v>
          </cell>
        </row>
        <row r="61">
          <cell r="C61">
            <v>63.370639999999909</v>
          </cell>
          <cell r="N61">
            <v>61.564569999999925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-1.51824</v>
          </cell>
          <cell r="T61">
            <v>0</v>
          </cell>
          <cell r="U61">
            <v>0</v>
          </cell>
          <cell r="V61">
            <v>-3.6960000000000002</v>
          </cell>
          <cell r="W61">
            <v>0</v>
          </cell>
          <cell r="X61">
            <v>0</v>
          </cell>
          <cell r="Y61">
            <v>-4.6310000000000004E-2</v>
          </cell>
          <cell r="Z61">
            <v>9.9379999999999996E-2</v>
          </cell>
          <cell r="AA61">
            <v>1.7900000000000001E-3</v>
          </cell>
          <cell r="AB61">
            <v>0</v>
          </cell>
          <cell r="AC61">
            <v>0</v>
          </cell>
          <cell r="AD61">
            <v>0</v>
          </cell>
          <cell r="AE61">
            <v>-0.10579000000000001</v>
          </cell>
          <cell r="AF61">
            <v>0</v>
          </cell>
          <cell r="AG61">
            <v>0</v>
          </cell>
          <cell r="AH61">
            <v>14.747559999999998</v>
          </cell>
          <cell r="AI61">
            <v>0.94205000000000005</v>
          </cell>
          <cell r="AJ61">
            <v>-0.82177999999999995</v>
          </cell>
          <cell r="AK61">
            <v>-6.8909999999999999E-2</v>
          </cell>
          <cell r="AL61">
            <v>-12.097390000000004</v>
          </cell>
          <cell r="AM61">
            <v>6.3773900000000001</v>
          </cell>
          <cell r="AN61">
            <v>-5.9919600000000033</v>
          </cell>
          <cell r="AO61">
            <v>-1.7699999999999999E-3</v>
          </cell>
          <cell r="AP61">
            <v>-0.53109000000000006</v>
          </cell>
          <cell r="AQ61">
            <v>-3.8655900000000001</v>
          </cell>
          <cell r="AR61">
            <v>-2.4767700000000001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52.511139999999912</v>
          </cell>
        </row>
        <row r="62">
          <cell r="C62">
            <v>71.58683000000002</v>
          </cell>
          <cell r="N62">
            <v>72.085030000000074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-0.57138</v>
          </cell>
          <cell r="T62">
            <v>-1.2029999999999999E-2</v>
          </cell>
          <cell r="U62">
            <v>0</v>
          </cell>
          <cell r="V62">
            <v>-2.10791</v>
          </cell>
          <cell r="W62">
            <v>0</v>
          </cell>
          <cell r="X62">
            <v>0</v>
          </cell>
          <cell r="Y62">
            <v>-4.8530000000000004E-2</v>
          </cell>
          <cell r="Z62">
            <v>7.2590000000000002E-2</v>
          </cell>
          <cell r="AA62">
            <v>2.99E-3</v>
          </cell>
          <cell r="AB62">
            <v>0</v>
          </cell>
          <cell r="AC62">
            <v>-0.375</v>
          </cell>
          <cell r="AD62">
            <v>0</v>
          </cell>
          <cell r="AE62">
            <v>-1.7419100000000001</v>
          </cell>
          <cell r="AF62">
            <v>0</v>
          </cell>
          <cell r="AG62">
            <v>0</v>
          </cell>
          <cell r="AH62">
            <v>24.442800000000002</v>
          </cell>
          <cell r="AI62">
            <v>0.42638999999999999</v>
          </cell>
          <cell r="AJ62">
            <v>-0.14804999999999996</v>
          </cell>
          <cell r="AK62">
            <v>1.3179999999999997E-2</v>
          </cell>
          <cell r="AL62">
            <v>-13.663809999999998</v>
          </cell>
          <cell r="AM62">
            <v>6.903539999999996</v>
          </cell>
          <cell r="AN62">
            <v>-7.0770599999999941</v>
          </cell>
          <cell r="AO62">
            <v>-7.4320900000000005</v>
          </cell>
          <cell r="AP62">
            <v>-0.78244999999999998</v>
          </cell>
          <cell r="AQ62">
            <v>-18.386030000000002</v>
          </cell>
          <cell r="AR62">
            <v>-2.6097700000000001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48.990500000000083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-4.5125864540438849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-6.3452408437597002E-2</v>
          </cell>
          <cell r="AP63">
            <v>-0.73807736853944506</v>
          </cell>
          <cell r="AQ63">
            <v>-3.9064382685956254</v>
          </cell>
          <cell r="AR63">
            <v>-3.9849827096169257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-13.205537209233478</v>
          </cell>
        </row>
        <row r="81">
          <cell r="C81">
            <v>4183.6531500000001</v>
          </cell>
          <cell r="N81">
            <v>4090.8774500000009</v>
          </cell>
          <cell r="O81">
            <v>-9.7694500000000009</v>
          </cell>
          <cell r="P81">
            <v>0</v>
          </cell>
          <cell r="Q81">
            <v>0</v>
          </cell>
          <cell r="R81">
            <v>0</v>
          </cell>
          <cell r="S81">
            <v>-199.63170000000002</v>
          </cell>
          <cell r="T81">
            <v>0</v>
          </cell>
          <cell r="U81">
            <v>0</v>
          </cell>
          <cell r="V81">
            <v>-3079.687810000004</v>
          </cell>
          <cell r="W81">
            <v>0</v>
          </cell>
          <cell r="X81">
            <v>0</v>
          </cell>
          <cell r="Y81">
            <v>-12.513019999999999</v>
          </cell>
          <cell r="Z81">
            <v>100.63517000000002</v>
          </cell>
          <cell r="AA81">
            <v>0.77900999999999998</v>
          </cell>
          <cell r="AB81">
            <v>0</v>
          </cell>
          <cell r="AC81">
            <v>-2510.0752700000003</v>
          </cell>
          <cell r="AD81">
            <v>0</v>
          </cell>
          <cell r="AE81">
            <v>-107.65543</v>
          </cell>
          <cell r="AF81">
            <v>-0.14022000000000001</v>
          </cell>
          <cell r="AG81">
            <v>0</v>
          </cell>
          <cell r="AH81">
            <v>2734.6765999999998</v>
          </cell>
          <cell r="AI81">
            <v>19.420139999999986</v>
          </cell>
          <cell r="AJ81">
            <v>-14.467559999999997</v>
          </cell>
          <cell r="AK81">
            <v>1.4899</v>
          </cell>
          <cell r="AL81">
            <v>-399.10487000000001</v>
          </cell>
          <cell r="AM81">
            <v>505.65478999999993</v>
          </cell>
          <cell r="AN81">
            <v>-428.13197000000002</v>
          </cell>
          <cell r="AO81">
            <v>-29.027100000000004</v>
          </cell>
          <cell r="AP81">
            <v>-3.6212899999999997</v>
          </cell>
          <cell r="AQ81">
            <v>-205.66950999999997</v>
          </cell>
          <cell r="AR81">
            <v>-81.645600000000016</v>
          </cell>
          <cell r="AT81">
            <v>-25.531029999999998</v>
          </cell>
          <cell r="AU81">
            <v>1.1011199999999999</v>
          </cell>
          <cell r="AV81">
            <v>0</v>
          </cell>
          <cell r="AW81">
            <v>0</v>
          </cell>
          <cell r="AX81">
            <v>16.604749999999999</v>
          </cell>
          <cell r="AY81">
            <v>0</v>
          </cell>
          <cell r="AZ81">
            <v>0</v>
          </cell>
          <cell r="BA81">
            <v>0.17824999999999999</v>
          </cell>
          <cell r="BB81">
            <v>-1.51542</v>
          </cell>
          <cell r="BC81">
            <v>-1.4670000000000001E-2</v>
          </cell>
          <cell r="BD81">
            <v>0</v>
          </cell>
          <cell r="BE81">
            <v>36.776369999999986</v>
          </cell>
          <cell r="BF81">
            <v>-19.313049999999578</v>
          </cell>
          <cell r="BG81">
            <v>-3.0097300000000002</v>
          </cell>
          <cell r="BH81">
            <v>-0.8577800000000001</v>
          </cell>
          <cell r="BI81">
            <v>-0.18234999999999998</v>
          </cell>
          <cell r="BJ81">
            <v>0</v>
          </cell>
          <cell r="BK81">
            <v>376.62871999999629</v>
          </cell>
        </row>
        <row r="82">
          <cell r="C82">
            <v>4387.0655699999998</v>
          </cell>
          <cell r="N82">
            <v>6064.5270799999989</v>
          </cell>
          <cell r="O82">
            <v>-145.43988999999999</v>
          </cell>
          <cell r="P82">
            <v>0</v>
          </cell>
          <cell r="Q82">
            <v>0</v>
          </cell>
          <cell r="R82">
            <v>11.1225</v>
          </cell>
          <cell r="S82">
            <v>-106.77051</v>
          </cell>
          <cell r="T82">
            <v>0</v>
          </cell>
          <cell r="U82">
            <v>0</v>
          </cell>
          <cell r="V82">
            <v>-2698.2175199999983</v>
          </cell>
          <cell r="W82">
            <v>0</v>
          </cell>
          <cell r="X82">
            <v>0</v>
          </cell>
          <cell r="Y82">
            <v>-23.611960000000003</v>
          </cell>
          <cell r="Z82">
            <v>69.497199999999992</v>
          </cell>
          <cell r="AA82">
            <v>0.64813999999999994</v>
          </cell>
          <cell r="AB82">
            <v>0</v>
          </cell>
          <cell r="AC82">
            <v>-2684.2426100000002</v>
          </cell>
          <cell r="AD82">
            <v>96.486770000000007</v>
          </cell>
          <cell r="AE82">
            <v>-56.122230000000009</v>
          </cell>
          <cell r="AF82">
            <v>-0.58034000000000008</v>
          </cell>
          <cell r="AG82">
            <v>0</v>
          </cell>
          <cell r="AH82">
            <v>3472.8321000000005</v>
          </cell>
          <cell r="AI82">
            <v>20.177930000000003</v>
          </cell>
          <cell r="AJ82">
            <v>4.5586899999999986</v>
          </cell>
          <cell r="AK82">
            <v>-0.13833000000000018</v>
          </cell>
          <cell r="AL82">
            <v>-448.24518999999987</v>
          </cell>
          <cell r="AM82">
            <v>426.77552000000003</v>
          </cell>
          <cell r="AN82">
            <v>-383.12886999999995</v>
          </cell>
          <cell r="AO82">
            <v>-54.139960000000002</v>
          </cell>
          <cell r="AP82">
            <v>-5.1811299999999996</v>
          </cell>
          <cell r="AQ82">
            <v>-406.37164999999999</v>
          </cell>
          <cell r="AR82">
            <v>-64.435980000000001</v>
          </cell>
          <cell r="AT82">
            <v>-16.145099999999999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6.3526899999999982</v>
          </cell>
          <cell r="BF82">
            <v>-18.904369999999812</v>
          </cell>
          <cell r="BG82">
            <v>-2.1276499999999996</v>
          </cell>
          <cell r="BH82">
            <v>-0.30320000000000003</v>
          </cell>
          <cell r="BI82">
            <v>-2.3999999999999998E-4</v>
          </cell>
          <cell r="BJ82">
            <v>0</v>
          </cell>
          <cell r="BK82">
            <v>3058.8718900000017</v>
          </cell>
        </row>
        <row r="83">
          <cell r="C83">
            <v>4246.9875842562406</v>
          </cell>
          <cell r="N83">
            <v>3954.791209176361</v>
          </cell>
          <cell r="O83">
            <v>-1607.8507266984213</v>
          </cell>
          <cell r="P83">
            <v>0</v>
          </cell>
          <cell r="Q83">
            <v>0</v>
          </cell>
          <cell r="R83">
            <v>0</v>
          </cell>
          <cell r="S83">
            <v>-301.24264181619066</v>
          </cell>
          <cell r="T83">
            <v>0</v>
          </cell>
          <cell r="U83">
            <v>0</v>
          </cell>
          <cell r="V83">
            <v>-990.40867206497796</v>
          </cell>
          <cell r="W83">
            <v>0</v>
          </cell>
          <cell r="X83">
            <v>0</v>
          </cell>
          <cell r="Y83">
            <v>-37.34123122678988</v>
          </cell>
          <cell r="Z83">
            <v>68.726334187239871</v>
          </cell>
          <cell r="AA83">
            <v>0</v>
          </cell>
          <cell r="AB83">
            <v>0</v>
          </cell>
          <cell r="AC83">
            <v>-1726.8289617249998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2144.942335744825</v>
          </cell>
          <cell r="AI83">
            <v>37.34123122678988</v>
          </cell>
          <cell r="AJ83">
            <v>0</v>
          </cell>
          <cell r="AK83">
            <v>0</v>
          </cell>
          <cell r="AL83">
            <v>-356.37063213686548</v>
          </cell>
          <cell r="AM83">
            <v>0</v>
          </cell>
          <cell r="AN83">
            <v>0</v>
          </cell>
          <cell r="AO83">
            <v>-29.5928032748227</v>
          </cell>
          <cell r="AP83">
            <v>-4.4084499485653046</v>
          </cell>
          <cell r="AQ83">
            <v>-217.6767226663008</v>
          </cell>
          <cell r="AR83">
            <v>-83.019318179219823</v>
          </cell>
          <cell r="AT83">
            <v>-22.172714445000025</v>
          </cell>
          <cell r="AU83">
            <v>1.42388185185119</v>
          </cell>
          <cell r="AV83">
            <v>0</v>
          </cell>
          <cell r="AW83">
            <v>0</v>
          </cell>
          <cell r="AX83">
            <v>7.987835170193021</v>
          </cell>
          <cell r="AY83">
            <v>0</v>
          </cell>
          <cell r="AZ83">
            <v>0</v>
          </cell>
          <cell r="BA83">
            <v>0.15666840680102984</v>
          </cell>
          <cell r="BB83">
            <v>-1.7441693936060119</v>
          </cell>
          <cell r="BC83">
            <v>0</v>
          </cell>
          <cell r="BD83">
            <v>0</v>
          </cell>
          <cell r="BE83">
            <v>1.5987211554602254E-14</v>
          </cell>
          <cell r="BF83">
            <v>0</v>
          </cell>
          <cell r="BG83">
            <v>-0.15666840680102984</v>
          </cell>
          <cell r="BH83">
            <v>0</v>
          </cell>
          <cell r="BI83">
            <v>0</v>
          </cell>
          <cell r="BJ83">
            <v>0</v>
          </cell>
          <cell r="BK83">
            <v>836.55578378149994</v>
          </cell>
        </row>
        <row r="92">
          <cell r="C92">
            <v>32077.891655640906</v>
          </cell>
        </row>
      </sheetData>
      <sheetData sheetId="2" refreshError="1">
        <row r="21">
          <cell r="C21">
            <v>13551.61695</v>
          </cell>
          <cell r="N21">
            <v>9149.0725800000018</v>
          </cell>
          <cell r="O21">
            <v>-692.25162999999998</v>
          </cell>
          <cell r="P21">
            <v>0</v>
          </cell>
          <cell r="Q21">
            <v>0</v>
          </cell>
          <cell r="R21">
            <v>11.163770000000001</v>
          </cell>
          <cell r="S21">
            <v>-372.21397000000002</v>
          </cell>
          <cell r="T21">
            <v>-87.480989999999991</v>
          </cell>
          <cell r="U21">
            <v>-319.18835999999999</v>
          </cell>
          <cell r="V21">
            <v>-5951.9700532628849</v>
          </cell>
          <cell r="W21">
            <v>0</v>
          </cell>
          <cell r="X21">
            <v>-1519.6710867371153</v>
          </cell>
          <cell r="Y21">
            <v>-92.215479999999985</v>
          </cell>
          <cell r="Z21">
            <v>670.42779999999993</v>
          </cell>
          <cell r="AA21">
            <v>11.01427</v>
          </cell>
          <cell r="AB21">
            <v>0</v>
          </cell>
          <cell r="AC21">
            <v>-6444.3166599999995</v>
          </cell>
          <cell r="AD21">
            <v>277.65692999999999</v>
          </cell>
          <cell r="AE21">
            <v>-235.971</v>
          </cell>
          <cell r="AF21">
            <v>-324.62807999999995</v>
          </cell>
          <cell r="AG21">
            <v>0</v>
          </cell>
          <cell r="AH21">
            <v>5384.4293900000021</v>
          </cell>
          <cell r="AI21">
            <v>1134.20101</v>
          </cell>
          <cell r="AJ21">
            <v>3039.74847</v>
          </cell>
          <cell r="AK21">
            <v>-39.622249999999994</v>
          </cell>
          <cell r="AL21">
            <v>-2189.97406</v>
          </cell>
          <cell r="AM21">
            <v>1530.0981099999999</v>
          </cell>
          <cell r="AN21">
            <v>-864.04058000000009</v>
          </cell>
          <cell r="AO21">
            <v>-565.89442000000008</v>
          </cell>
          <cell r="AP21">
            <v>-52.810099999999998</v>
          </cell>
          <cell r="AQ21">
            <v>-412.14107000000001</v>
          </cell>
          <cell r="AR21">
            <v>-258.18236999999999</v>
          </cell>
          <cell r="AT21">
            <v>-256.16748000000007</v>
          </cell>
          <cell r="AU21">
            <v>0</v>
          </cell>
          <cell r="AV21">
            <v>0</v>
          </cell>
          <cell r="AW21">
            <v>0</v>
          </cell>
          <cell r="AX21">
            <v>6.0806484125105698</v>
          </cell>
          <cell r="AY21">
            <v>0</v>
          </cell>
          <cell r="AZ21">
            <v>41.366911587489426</v>
          </cell>
          <cell r="BA21">
            <v>0.55946000000000007</v>
          </cell>
          <cell r="BB21">
            <v>-4.0875900000000005</v>
          </cell>
          <cell r="BC21">
            <v>-6.0950000000000004E-2</v>
          </cell>
          <cell r="BD21">
            <v>0</v>
          </cell>
          <cell r="BE21">
            <v>2.4952899999999998</v>
          </cell>
          <cell r="BF21">
            <v>-89.135710000002291</v>
          </cell>
          <cell r="BG21">
            <v>7.6229199999999997</v>
          </cell>
          <cell r="BH21">
            <v>-510.85191000000003</v>
          </cell>
          <cell r="BI21">
            <v>-12.17272</v>
          </cell>
          <cell r="BJ21">
            <v>0</v>
          </cell>
          <cell r="BK21">
            <v>-29.110959999998158</v>
          </cell>
        </row>
        <row r="22">
          <cell r="C22">
            <v>14401.481129999998</v>
          </cell>
          <cell r="N22">
            <v>9718.5139999999956</v>
          </cell>
          <cell r="O22">
            <v>-725.66109000000006</v>
          </cell>
          <cell r="P22">
            <v>0</v>
          </cell>
          <cell r="Q22">
            <v>0</v>
          </cell>
          <cell r="R22">
            <v>8.559800000000001</v>
          </cell>
          <cell r="S22">
            <v>-494.70026999999999</v>
          </cell>
          <cell r="T22">
            <v>-146.68686000000002</v>
          </cell>
          <cell r="U22">
            <v>-264.86151000000001</v>
          </cell>
          <cell r="V22">
            <v>-4736.465074231819</v>
          </cell>
          <cell r="W22">
            <v>0</v>
          </cell>
          <cell r="X22">
            <v>-590.4271657681802</v>
          </cell>
          <cell r="Y22">
            <v>-87.597679999999997</v>
          </cell>
          <cell r="Z22">
            <v>411.41094999999996</v>
          </cell>
          <cell r="AA22">
            <v>10.140879999999999</v>
          </cell>
          <cell r="AB22">
            <v>690</v>
          </cell>
          <cell r="AC22">
            <v>-9438.7757700000002</v>
          </cell>
          <cell r="AD22">
            <v>231.10480000000001</v>
          </cell>
          <cell r="AE22">
            <v>-301.34616</v>
          </cell>
          <cell r="AF22">
            <v>-430.99358000000007</v>
          </cell>
          <cell r="AG22">
            <v>0</v>
          </cell>
          <cell r="AH22">
            <v>5746.9526199999973</v>
          </cell>
          <cell r="AI22">
            <v>166.41495</v>
          </cell>
          <cell r="AJ22">
            <v>588.54155000000003</v>
          </cell>
          <cell r="AK22">
            <v>17.554410000000001</v>
          </cell>
          <cell r="AL22">
            <v>-2308.1065800000001</v>
          </cell>
          <cell r="AM22">
            <v>1642.9873899999998</v>
          </cell>
          <cell r="AN22">
            <v>-937.39076</v>
          </cell>
          <cell r="AO22">
            <v>-628.21321</v>
          </cell>
          <cell r="AP22">
            <v>-58.525399999999998</v>
          </cell>
          <cell r="AQ22">
            <v>-419.32033999999999</v>
          </cell>
          <cell r="AR22">
            <v>-281.23634000000004</v>
          </cell>
          <cell r="AT22">
            <v>-284.83085</v>
          </cell>
          <cell r="AU22">
            <v>0</v>
          </cell>
          <cell r="AV22">
            <v>0</v>
          </cell>
          <cell r="AW22">
            <v>0</v>
          </cell>
          <cell r="AX22">
            <v>355.93538834108188</v>
          </cell>
          <cell r="AY22">
            <v>0</v>
          </cell>
          <cell r="AZ22">
            <v>9.8251416589181293</v>
          </cell>
          <cell r="BA22">
            <v>5.4642299999999997</v>
          </cell>
          <cell r="BB22">
            <v>-28.23761</v>
          </cell>
          <cell r="BC22">
            <v>-0.63067999999999991</v>
          </cell>
          <cell r="BD22">
            <v>0</v>
          </cell>
          <cell r="BE22">
            <v>0</v>
          </cell>
          <cell r="BF22">
            <v>719.80130000000008</v>
          </cell>
          <cell r="BG22">
            <v>70.752459999999999</v>
          </cell>
          <cell r="BH22">
            <v>-85.795930000000013</v>
          </cell>
          <cell r="BI22">
            <v>-6.1554199999999994</v>
          </cell>
          <cell r="BJ22">
            <v>-1.1013412404281553E-16</v>
          </cell>
          <cell r="BK22">
            <v>-1861.9984100000065</v>
          </cell>
        </row>
        <row r="23">
          <cell r="C23">
            <v>14689.414131587713</v>
          </cell>
          <cell r="N23">
            <v>9582.6722008581</v>
          </cell>
          <cell r="O23">
            <v>-2223.4417028887365</v>
          </cell>
          <cell r="P23">
            <v>0</v>
          </cell>
          <cell r="Q23">
            <v>-506.23952374216429</v>
          </cell>
          <cell r="R23">
            <v>0</v>
          </cell>
          <cell r="S23">
            <v>-708.61589632748826</v>
          </cell>
          <cell r="T23">
            <v>-83.596075207229831</v>
          </cell>
          <cell r="U23">
            <v>0</v>
          </cell>
          <cell r="V23">
            <v>-3310.4370575727485</v>
          </cell>
          <cell r="W23">
            <v>0</v>
          </cell>
          <cell r="X23">
            <v>-1039.7271461218418</v>
          </cell>
          <cell r="Y23">
            <v>-114.03966036646267</v>
          </cell>
          <cell r="Z23">
            <v>449.26198112149609</v>
          </cell>
          <cell r="AA23">
            <v>0</v>
          </cell>
          <cell r="AB23">
            <v>0</v>
          </cell>
          <cell r="AC23">
            <v>-5551.6105080557554</v>
          </cell>
          <cell r="AD23">
            <v>0</v>
          </cell>
          <cell r="AE23">
            <v>0</v>
          </cell>
          <cell r="AF23">
            <v>-346.32039625942474</v>
          </cell>
          <cell r="AG23">
            <v>0</v>
          </cell>
          <cell r="AH23">
            <v>5900.1809043151798</v>
          </cell>
          <cell r="AI23">
            <v>114.03966036646267</v>
          </cell>
          <cell r="AJ23">
            <v>0</v>
          </cell>
          <cell r="AK23">
            <v>0</v>
          </cell>
          <cell r="AL23">
            <v>-1626.8771088029853</v>
          </cell>
          <cell r="AM23">
            <v>0</v>
          </cell>
          <cell r="AN23">
            <v>0</v>
          </cell>
          <cell r="AO23">
            <v>-565.21077688077116</v>
          </cell>
          <cell r="AP23">
            <v>-40.835379523578908</v>
          </cell>
          <cell r="AQ23">
            <v>-447.94364570662503</v>
          </cell>
          <cell r="AR23">
            <v>-356.84132311331302</v>
          </cell>
          <cell r="AT23">
            <v>-271.40689202031677</v>
          </cell>
          <cell r="AU23">
            <v>66.377030490024964</v>
          </cell>
          <cell r="AV23">
            <v>0</v>
          </cell>
          <cell r="AW23">
            <v>16.948188870827355</v>
          </cell>
          <cell r="AX23">
            <v>35.609055470811427</v>
          </cell>
          <cell r="AY23">
            <v>0</v>
          </cell>
          <cell r="AZ23">
            <v>30.769028185558035</v>
          </cell>
          <cell r="BA23">
            <v>2.2885097048018332</v>
          </cell>
          <cell r="BB23">
            <v>-9.3757196605469879</v>
          </cell>
          <cell r="BC23">
            <v>0</v>
          </cell>
          <cell r="BD23">
            <v>0</v>
          </cell>
          <cell r="BE23">
            <v>-73.318220066379823</v>
          </cell>
          <cell r="BF23">
            <v>-109.51511326695351</v>
          </cell>
          <cell r="BG23">
            <v>-2.2885097048018332</v>
          </cell>
          <cell r="BH23">
            <v>0</v>
          </cell>
          <cell r="BI23">
            <v>0</v>
          </cell>
          <cell r="BJ23">
            <v>0</v>
          </cell>
          <cell r="BK23">
            <v>-1189.4940959048629</v>
          </cell>
        </row>
        <row r="25">
          <cell r="C25">
            <v>16007.937729999998</v>
          </cell>
          <cell r="N25">
            <v>10192.887899999996</v>
          </cell>
          <cell r="O25">
            <v>-2344.6361500000003</v>
          </cell>
          <cell r="P25">
            <v>-5.0602399999999994</v>
          </cell>
          <cell r="Q25">
            <v>0</v>
          </cell>
          <cell r="R25">
            <v>231.03136000000001</v>
          </cell>
          <cell r="S25">
            <v>-299.45558999999997</v>
          </cell>
          <cell r="T25">
            <v>-34.880579999999995</v>
          </cell>
          <cell r="U25">
            <v>0</v>
          </cell>
          <cell r="V25">
            <v>-2498.6403499999997</v>
          </cell>
          <cell r="W25">
            <v>-6.9928800000000004</v>
          </cell>
          <cell r="X25">
            <v>0</v>
          </cell>
          <cell r="Y25">
            <v>-7.6587199999999998</v>
          </cell>
          <cell r="Z25">
            <v>37.637709999999998</v>
          </cell>
          <cell r="AA25">
            <v>0.10779</v>
          </cell>
          <cell r="AB25">
            <v>0</v>
          </cell>
          <cell r="AC25">
            <v>-3452.4827</v>
          </cell>
          <cell r="AD25">
            <v>1263.69409</v>
          </cell>
          <cell r="AE25">
            <v>-100.33511000000001</v>
          </cell>
          <cell r="AF25">
            <v>-117.10335000000002</v>
          </cell>
          <cell r="AG25">
            <v>0</v>
          </cell>
          <cell r="AH25">
            <v>1275.2646899999991</v>
          </cell>
          <cell r="AI25">
            <v>55.947709999999987</v>
          </cell>
          <cell r="AJ25">
            <v>58.736990000000006</v>
          </cell>
          <cell r="AK25">
            <v>0.28906999999999999</v>
          </cell>
          <cell r="AL25">
            <v>-2695.9433099999997</v>
          </cell>
          <cell r="AM25">
            <v>1917.8950399999999</v>
          </cell>
          <cell r="AN25">
            <v>-989.6281299999996</v>
          </cell>
          <cell r="AO25">
            <v>-487.34577999999999</v>
          </cell>
          <cell r="AP25">
            <v>-54.08737</v>
          </cell>
          <cell r="AQ25">
            <v>-433.50745999999998</v>
          </cell>
          <cell r="AR25">
            <v>-284.40730000000002</v>
          </cell>
          <cell r="AT25">
            <v>-175.99786999999998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-5.9999999999999984E-3</v>
          </cell>
          <cell r="BH25">
            <v>-7.8899999999999994E-3</v>
          </cell>
          <cell r="BI25">
            <v>-1.1000000000000002E-4</v>
          </cell>
          <cell r="BJ25">
            <v>0</v>
          </cell>
          <cell r="BK25">
            <v>1045.3154599999955</v>
          </cell>
        </row>
        <row r="26">
          <cell r="C26">
            <v>16894.429599999999</v>
          </cell>
          <cell r="N26">
            <v>10773.261300000002</v>
          </cell>
          <cell r="O26">
            <v>-1953.4224600000002</v>
          </cell>
          <cell r="P26">
            <v>0</v>
          </cell>
          <cell r="Q26">
            <v>0</v>
          </cell>
          <cell r="R26">
            <v>187.35021999999998</v>
          </cell>
          <cell r="S26">
            <v>-329.18233999999995</v>
          </cell>
          <cell r="T26">
            <v>-37.743089999999995</v>
          </cell>
          <cell r="U26">
            <v>0</v>
          </cell>
          <cell r="V26">
            <v>-3249.3718099999996</v>
          </cell>
          <cell r="W26">
            <v>0</v>
          </cell>
          <cell r="X26">
            <v>0</v>
          </cell>
          <cell r="Y26">
            <v>-30.150449999999999</v>
          </cell>
          <cell r="Z26">
            <v>54.703320000000005</v>
          </cell>
          <cell r="AA26">
            <v>0.50171999999999994</v>
          </cell>
          <cell r="AB26">
            <v>0</v>
          </cell>
          <cell r="AC26">
            <v>-3655.2937400000001</v>
          </cell>
          <cell r="AD26">
            <v>1844.7842800000001</v>
          </cell>
          <cell r="AE26">
            <v>-98.365790000000004</v>
          </cell>
          <cell r="AF26">
            <v>-109.97359999999998</v>
          </cell>
          <cell r="AG26">
            <v>0</v>
          </cell>
          <cell r="AH26">
            <v>2151.4216799999999</v>
          </cell>
          <cell r="AI26">
            <v>29.643889999999999</v>
          </cell>
          <cell r="AJ26">
            <v>-1.7829499999999925</v>
          </cell>
          <cell r="AK26">
            <v>-0.11260999999999999</v>
          </cell>
          <cell r="AL26">
            <v>-2818.9434999999999</v>
          </cell>
          <cell r="AM26">
            <v>2048.6783499999997</v>
          </cell>
          <cell r="AN26">
            <v>-1072.75695</v>
          </cell>
          <cell r="AO26">
            <v>-582.90229999999997</v>
          </cell>
          <cell r="AP26">
            <v>-57.08408</v>
          </cell>
          <cell r="AQ26">
            <v>-373.44957999999997</v>
          </cell>
          <cell r="AR26">
            <v>-284.50409999999999</v>
          </cell>
          <cell r="AT26">
            <v>-206.91619000000009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-0.17599999999999999</v>
          </cell>
          <cell r="BF26">
            <v>-43.179969999999997</v>
          </cell>
          <cell r="BG26">
            <v>-0.54603000000000002</v>
          </cell>
          <cell r="BH26">
            <v>0.43174000000000007</v>
          </cell>
          <cell r="BI26">
            <v>5.5600000000000007E-3</v>
          </cell>
          <cell r="BJ26">
            <v>0</v>
          </cell>
          <cell r="BK26">
            <v>2184.9245200000032</v>
          </cell>
        </row>
        <row r="27">
          <cell r="C27">
            <v>16600.106181526964</v>
          </cell>
          <cell r="N27">
            <v>10854.287308415787</v>
          </cell>
          <cell r="O27">
            <v>-3601.3510360552546</v>
          </cell>
          <cell r="P27">
            <v>-219.30180997149068</v>
          </cell>
          <cell r="Q27">
            <v>0</v>
          </cell>
          <cell r="R27">
            <v>0</v>
          </cell>
          <cell r="S27">
            <v>-464.37425105882096</v>
          </cell>
          <cell r="T27">
            <v>-156.03105727417517</v>
          </cell>
          <cell r="U27">
            <v>0</v>
          </cell>
          <cell r="V27">
            <v>-1060.7919109656584</v>
          </cell>
          <cell r="W27">
            <v>-71.647279405105337</v>
          </cell>
          <cell r="X27">
            <v>0</v>
          </cell>
          <cell r="Y27">
            <v>-30.747375401309718</v>
          </cell>
          <cell r="Z27">
            <v>14.351755322667536</v>
          </cell>
          <cell r="AA27">
            <v>0</v>
          </cell>
          <cell r="AB27">
            <v>0</v>
          </cell>
          <cell r="AC27">
            <v>-825.56628132094102</v>
          </cell>
          <cell r="AD27">
            <v>0</v>
          </cell>
          <cell r="AE27">
            <v>0</v>
          </cell>
          <cell r="AF27">
            <v>-100.88256422862297</v>
          </cell>
          <cell r="AG27">
            <v>0</v>
          </cell>
          <cell r="AH27">
            <v>931.94884554956388</v>
          </cell>
          <cell r="AI27">
            <v>30.747375401309718</v>
          </cell>
          <cell r="AJ27">
            <v>0</v>
          </cell>
          <cell r="AK27">
            <v>0</v>
          </cell>
          <cell r="AL27">
            <v>-1867.8980862676594</v>
          </cell>
          <cell r="AM27">
            <v>0</v>
          </cell>
          <cell r="AN27">
            <v>0</v>
          </cell>
          <cell r="AO27">
            <v>-485.94603374568806</v>
          </cell>
          <cell r="AP27">
            <v>-40.057002469822748</v>
          </cell>
          <cell r="AQ27">
            <v>-470.52003952191922</v>
          </cell>
          <cell r="AR27">
            <v>-381.53838783049059</v>
          </cell>
          <cell r="AT27">
            <v>-158.54693161215155</v>
          </cell>
          <cell r="AU27">
            <v>8.9638677896518519</v>
          </cell>
          <cell r="AV27">
            <v>33.976336756146438</v>
          </cell>
          <cell r="AW27">
            <v>0</v>
          </cell>
          <cell r="AX27">
            <v>1.3148447103481349</v>
          </cell>
          <cell r="AY27">
            <v>11.100282724734628</v>
          </cell>
          <cell r="AZ27">
            <v>0</v>
          </cell>
          <cell r="BA27">
            <v>0.11925985795320129</v>
          </cell>
          <cell r="BB27">
            <v>-5.8683366628961037E-2</v>
          </cell>
          <cell r="BC27">
            <v>0</v>
          </cell>
          <cell r="BD27">
            <v>0</v>
          </cell>
          <cell r="BE27">
            <v>9.7570837859112398</v>
          </cell>
          <cell r="BF27">
            <v>-9.7570837859112398</v>
          </cell>
          <cell r="BG27">
            <v>-0.11925985795320129</v>
          </cell>
          <cell r="BH27">
            <v>0</v>
          </cell>
          <cell r="BI27">
            <v>0</v>
          </cell>
          <cell r="BJ27">
            <v>0</v>
          </cell>
          <cell r="BK27">
            <v>1951.4318861744691</v>
          </cell>
        </row>
        <row r="29">
          <cell r="C29">
            <v>29559.554679999997</v>
          </cell>
          <cell r="N29">
            <v>19341.960479999998</v>
          </cell>
          <cell r="O29">
            <v>-3036.88778</v>
          </cell>
          <cell r="P29">
            <v>-5.0602399999999994</v>
          </cell>
          <cell r="Q29">
            <v>0</v>
          </cell>
          <cell r="R29">
            <v>242.19513000000001</v>
          </cell>
          <cell r="S29">
            <v>-671.66956000000005</v>
          </cell>
          <cell r="T29">
            <v>-122.36156999999999</v>
          </cell>
          <cell r="U29">
            <v>-319.18835999999999</v>
          </cell>
          <cell r="V29">
            <v>-8450.6104032628846</v>
          </cell>
          <cell r="W29">
            <v>-6.9928800000000004</v>
          </cell>
          <cell r="X29">
            <v>-1519.6710867371153</v>
          </cell>
          <cell r="Y29">
            <v>-99.874199999999988</v>
          </cell>
          <cell r="Z29">
            <v>708.0655099999999</v>
          </cell>
          <cell r="AA29">
            <v>11.122059999999999</v>
          </cell>
          <cell r="AB29">
            <v>0</v>
          </cell>
          <cell r="AC29">
            <v>-9896.7993599999991</v>
          </cell>
          <cell r="AD29">
            <v>1541.3510200000001</v>
          </cell>
          <cell r="AE29">
            <v>-336.30610999999999</v>
          </cell>
          <cell r="AF29">
            <v>-441.73142999999999</v>
          </cell>
          <cell r="AG29">
            <v>0</v>
          </cell>
          <cell r="AH29">
            <v>6659.6940800000011</v>
          </cell>
          <cell r="AI29">
            <v>1190.1487199999999</v>
          </cell>
          <cell r="AJ29">
            <v>3098.4854599999999</v>
          </cell>
          <cell r="AK29">
            <v>-39.333179999999992</v>
          </cell>
          <cell r="AL29">
            <v>-4885.9173699999992</v>
          </cell>
          <cell r="AM29">
            <v>3447.9931499999998</v>
          </cell>
          <cell r="AN29">
            <v>-1853.6687099999997</v>
          </cell>
          <cell r="AO29">
            <v>-1053.2402000000002</v>
          </cell>
          <cell r="AP29">
            <v>-106.89747</v>
          </cell>
          <cell r="AQ29">
            <v>-845.64852999999994</v>
          </cell>
          <cell r="AR29">
            <v>-542.58967000000007</v>
          </cell>
          <cell r="AT29">
            <v>-432.16535000000005</v>
          </cell>
          <cell r="AU29">
            <v>0</v>
          </cell>
          <cell r="AV29">
            <v>0</v>
          </cell>
          <cell r="AW29">
            <v>0</v>
          </cell>
          <cell r="AX29">
            <v>6.0806484125105698</v>
          </cell>
          <cell r="AY29">
            <v>0</v>
          </cell>
          <cell r="AZ29">
            <v>41.366911587489426</v>
          </cell>
          <cell r="BA29">
            <v>0.55946000000000007</v>
          </cell>
          <cell r="BB29">
            <v>-4.0875900000000005</v>
          </cell>
          <cell r="BC29">
            <v>-6.0950000000000004E-2</v>
          </cell>
          <cell r="BD29">
            <v>0</v>
          </cell>
          <cell r="BE29">
            <v>2.4952899999999998</v>
          </cell>
          <cell r="BF29">
            <v>-89.135710000002291</v>
          </cell>
          <cell r="BG29">
            <v>7.6169199999999995</v>
          </cell>
          <cell r="BH29">
            <v>-510.85980000000001</v>
          </cell>
          <cell r="BI29">
            <v>-12.172829999999999</v>
          </cell>
          <cell r="BJ29">
            <v>0</v>
          </cell>
          <cell r="BK29">
            <v>1016.2044999999973</v>
          </cell>
          <cell r="EA29">
            <v>4625.241439999998</v>
          </cell>
          <cell r="EL29">
            <v>6792.5240399999984</v>
          </cell>
          <cell r="EM29">
            <v>-1916.6623700000002</v>
          </cell>
          <cell r="EN29">
            <v>-5.0602399999999994</v>
          </cell>
          <cell r="EO29">
            <v>0</v>
          </cell>
          <cell r="EP29">
            <v>189.0223</v>
          </cell>
          <cell r="EQ29">
            <v>-223.64577</v>
          </cell>
          <cell r="ER29">
            <v>-75.772109999999984</v>
          </cell>
          <cell r="ES29">
            <v>-106.39612</v>
          </cell>
          <cell r="ET29">
            <v>-2342.7262357655068</v>
          </cell>
          <cell r="EU29">
            <v>-6.9928800000000004</v>
          </cell>
          <cell r="EV29">
            <v>-599.244854234493</v>
          </cell>
          <cell r="EW29">
            <v>-99.874199999999988</v>
          </cell>
          <cell r="EX29">
            <v>257.03197999999992</v>
          </cell>
          <cell r="EY29">
            <v>11.122059999999999</v>
          </cell>
          <cell r="EZ29">
            <v>0</v>
          </cell>
          <cell r="FA29">
            <v>-2724.5430000000006</v>
          </cell>
          <cell r="FB29">
            <v>451.94004999999999</v>
          </cell>
          <cell r="FC29">
            <v>-87.602670000000018</v>
          </cell>
          <cell r="FD29">
            <v>-105.00349999999999</v>
          </cell>
          <cell r="FE29">
            <v>0</v>
          </cell>
          <cell r="FF29">
            <v>282.10718999999904</v>
          </cell>
          <cell r="FG29">
            <v>1190.1487199999999</v>
          </cell>
          <cell r="FH29">
            <v>2750.6868600000003</v>
          </cell>
          <cell r="FI29">
            <v>-39.333179999999992</v>
          </cell>
          <cell r="FJ29">
            <v>-801.85313999999948</v>
          </cell>
          <cell r="FK29">
            <v>388.31740999999988</v>
          </cell>
          <cell r="FL29">
            <v>-735.26084999999978</v>
          </cell>
          <cell r="FM29">
            <v>-327.7826</v>
          </cell>
          <cell r="FN29">
            <v>-53.751599999999996</v>
          </cell>
          <cell r="FO29">
            <v>-276.24351999999999</v>
          </cell>
          <cell r="FP29">
            <v>-216.38857000000002</v>
          </cell>
          <cell r="FR29">
            <v>-148.85424000000003</v>
          </cell>
          <cell r="FS29">
            <v>0</v>
          </cell>
          <cell r="FT29">
            <v>0</v>
          </cell>
          <cell r="FU29">
            <v>0</v>
          </cell>
          <cell r="FV29">
            <v>22.423530158184278</v>
          </cell>
          <cell r="FW29">
            <v>0</v>
          </cell>
          <cell r="FX29">
            <v>25.024029841815718</v>
          </cell>
          <cell r="FY29">
            <v>0.55946000000000007</v>
          </cell>
          <cell r="FZ29">
            <v>-4.0875900000000005</v>
          </cell>
          <cell r="GA29">
            <v>-6.0950000000000004E-2</v>
          </cell>
          <cell r="GB29">
            <v>0</v>
          </cell>
          <cell r="GC29">
            <v>2.4952899999999998</v>
          </cell>
          <cell r="GD29">
            <v>-8.2933800000023012</v>
          </cell>
          <cell r="GE29">
            <v>7.6169199999999995</v>
          </cell>
          <cell r="GF29">
            <v>-493.81979000000001</v>
          </cell>
          <cell r="GG29">
            <v>-12.172829999999999</v>
          </cell>
          <cell r="GH29">
            <v>0</v>
          </cell>
          <cell r="GI29">
            <v>959.59364999999593</v>
          </cell>
        </row>
        <row r="30">
          <cell r="C30">
            <v>31295.910729999996</v>
          </cell>
          <cell r="N30">
            <v>20491.775299999998</v>
          </cell>
          <cell r="O30">
            <v>-2679.0835500000003</v>
          </cell>
          <cell r="P30">
            <v>0</v>
          </cell>
          <cell r="Q30">
            <v>0</v>
          </cell>
          <cell r="R30">
            <v>195.91001999999997</v>
          </cell>
          <cell r="S30">
            <v>-823.88260999999989</v>
          </cell>
          <cell r="T30">
            <v>-184.42995000000002</v>
          </cell>
          <cell r="U30">
            <v>-264.86151000000001</v>
          </cell>
          <cell r="V30">
            <v>-7985.8368842318187</v>
          </cell>
          <cell r="W30">
            <v>0</v>
          </cell>
          <cell r="X30">
            <v>-590.4271657681802</v>
          </cell>
          <cell r="Y30">
            <v>-117.74813</v>
          </cell>
          <cell r="Z30">
            <v>466.11426999999998</v>
          </cell>
          <cell r="AA30">
            <v>10.6426</v>
          </cell>
          <cell r="AB30">
            <v>690</v>
          </cell>
          <cell r="AC30">
            <v>-13094.069510000001</v>
          </cell>
          <cell r="AD30">
            <v>2075.8890799999999</v>
          </cell>
          <cell r="AE30">
            <v>-399.71195</v>
          </cell>
          <cell r="AF30">
            <v>-540.9671800000001</v>
          </cell>
          <cell r="AG30">
            <v>0</v>
          </cell>
          <cell r="AH30">
            <v>7898.3742999999977</v>
          </cell>
          <cell r="AI30">
            <v>196.05884</v>
          </cell>
          <cell r="AJ30">
            <v>586.7586</v>
          </cell>
          <cell r="AK30">
            <v>17.441800000000001</v>
          </cell>
          <cell r="AL30">
            <v>-5127.05008</v>
          </cell>
          <cell r="AM30">
            <v>3691.6657399999995</v>
          </cell>
          <cell r="AN30">
            <v>-2010.14771</v>
          </cell>
          <cell r="AO30">
            <v>-1211.1155100000001</v>
          </cell>
          <cell r="AP30">
            <v>-115.60947999999999</v>
          </cell>
          <cell r="AQ30">
            <v>-792.76991999999996</v>
          </cell>
          <cell r="AR30">
            <v>-565.74044000000004</v>
          </cell>
          <cell r="AT30">
            <v>-491.74704000000008</v>
          </cell>
          <cell r="AU30">
            <v>0</v>
          </cell>
          <cell r="AV30">
            <v>0</v>
          </cell>
          <cell r="AW30">
            <v>0</v>
          </cell>
          <cell r="AX30">
            <v>355.93538834108188</v>
          </cell>
          <cell r="AY30">
            <v>0</v>
          </cell>
          <cell r="AZ30">
            <v>9.8251416589181293</v>
          </cell>
          <cell r="BA30">
            <v>5.4642299999999997</v>
          </cell>
          <cell r="BB30">
            <v>-28.23761</v>
          </cell>
          <cell r="BC30">
            <v>-0.63067999999999991</v>
          </cell>
          <cell r="BD30">
            <v>0</v>
          </cell>
          <cell r="BE30">
            <v>-0.17599999999999999</v>
          </cell>
          <cell r="BF30">
            <v>676.62133000000006</v>
          </cell>
          <cell r="BG30">
            <v>70.206429999999997</v>
          </cell>
          <cell r="BH30">
            <v>-85.364190000000008</v>
          </cell>
          <cell r="BI30">
            <v>-6.1498599999999994</v>
          </cell>
          <cell r="BJ30">
            <v>-1.1013412404281553E-16</v>
          </cell>
          <cell r="BK30">
            <v>322.9261099999967</v>
          </cell>
          <cell r="EA30">
            <v>4966.9908099999993</v>
          </cell>
          <cell r="EL30">
            <v>7271.1600999999991</v>
          </cell>
          <cell r="EM30">
            <v>-1587.2573700000003</v>
          </cell>
          <cell r="EN30">
            <v>0</v>
          </cell>
          <cell r="EO30">
            <v>0</v>
          </cell>
          <cell r="EP30">
            <v>193.38578999999999</v>
          </cell>
          <cell r="EQ30">
            <v>-271.26978999999994</v>
          </cell>
          <cell r="ER30">
            <v>-73.719410000000011</v>
          </cell>
          <cell r="ES30">
            <v>-88.287170000000003</v>
          </cell>
          <cell r="ET30">
            <v>-2992.3347503728473</v>
          </cell>
          <cell r="EU30">
            <v>0</v>
          </cell>
          <cell r="EV30">
            <v>-215.52555962715098</v>
          </cell>
          <cell r="EW30">
            <v>-117.74813</v>
          </cell>
          <cell r="EX30">
            <v>168.52933999999999</v>
          </cell>
          <cell r="EY30">
            <v>10.6426</v>
          </cell>
          <cell r="EZ30">
            <v>690</v>
          </cell>
          <cell r="FA30">
            <v>-3378.9305500000005</v>
          </cell>
          <cell r="FB30">
            <v>481.24850000000009</v>
          </cell>
          <cell r="FC30">
            <v>-135.86266999999998</v>
          </cell>
          <cell r="FD30">
            <v>-177.05401000000001</v>
          </cell>
          <cell r="FE30">
            <v>0</v>
          </cell>
          <cell r="FF30">
            <v>5728.5906099999984</v>
          </cell>
          <cell r="FG30">
            <v>196.05884</v>
          </cell>
          <cell r="FH30">
            <v>67.128780000000035</v>
          </cell>
          <cell r="FI30">
            <v>17.441800000000001</v>
          </cell>
          <cell r="FJ30">
            <v>-867.94414999999935</v>
          </cell>
          <cell r="FK30">
            <v>420.63504999999986</v>
          </cell>
          <cell r="FL30">
            <v>-794.14007000000004</v>
          </cell>
          <cell r="FM30">
            <v>-401.56494000000004</v>
          </cell>
          <cell r="FN30">
            <v>-46.265189999999997</v>
          </cell>
          <cell r="FO30">
            <v>-259.50489999999991</v>
          </cell>
          <cell r="FP30">
            <v>-196.51332000000005</v>
          </cell>
          <cell r="FR30">
            <v>-161.37939000000006</v>
          </cell>
          <cell r="FS30">
            <v>0</v>
          </cell>
          <cell r="FT30">
            <v>0</v>
          </cell>
          <cell r="FU30">
            <v>0</v>
          </cell>
          <cell r="FV30">
            <v>101.09195834108189</v>
          </cell>
          <cell r="FW30">
            <v>0</v>
          </cell>
          <cell r="FX30">
            <v>9.8251416589181293</v>
          </cell>
          <cell r="FY30">
            <v>5.4642299999999997</v>
          </cell>
          <cell r="FZ30">
            <v>-8.5630699999999997</v>
          </cell>
          <cell r="GA30">
            <v>-0.63067999999999991</v>
          </cell>
          <cell r="GB30">
            <v>0</v>
          </cell>
          <cell r="GC30">
            <v>-0.17599999999999999</v>
          </cell>
          <cell r="GD30">
            <v>1194.8469300000022</v>
          </cell>
          <cell r="GE30">
            <v>70.206429999999997</v>
          </cell>
          <cell r="GF30">
            <v>-83.043630000000007</v>
          </cell>
          <cell r="GG30">
            <v>-6.1498599999999994</v>
          </cell>
          <cell r="GH30">
            <v>0</v>
          </cell>
          <cell r="GI30">
            <v>4762.3914899999991</v>
          </cell>
        </row>
        <row r="31">
          <cell r="C31">
            <v>31289.520313114677</v>
          </cell>
          <cell r="N31">
            <v>20436.959509273889</v>
          </cell>
          <cell r="O31">
            <v>-5824.792738943991</v>
          </cell>
          <cell r="P31">
            <v>-219.30180997149068</v>
          </cell>
          <cell r="Q31">
            <v>-506.23952374216429</v>
          </cell>
          <cell r="R31">
            <v>0</v>
          </cell>
          <cell r="S31">
            <v>-1172.9901473863092</v>
          </cell>
          <cell r="T31">
            <v>-239.627132481405</v>
          </cell>
          <cell r="U31">
            <v>0</v>
          </cell>
          <cell r="V31">
            <v>-4371.2289685384067</v>
          </cell>
          <cell r="W31">
            <v>-71.647279405105337</v>
          </cell>
          <cell r="X31">
            <v>-1039.7271461218418</v>
          </cell>
          <cell r="Y31">
            <v>-144.78703576777238</v>
          </cell>
          <cell r="Z31">
            <v>463.61373644416364</v>
          </cell>
          <cell r="AA31">
            <v>0</v>
          </cell>
          <cell r="AB31">
            <v>0</v>
          </cell>
          <cell r="AC31">
            <v>-6377.1767893766964</v>
          </cell>
          <cell r="AD31">
            <v>0</v>
          </cell>
          <cell r="AE31">
            <v>0</v>
          </cell>
          <cell r="AF31">
            <v>-447.20296048804772</v>
          </cell>
          <cell r="AG31">
            <v>0</v>
          </cell>
          <cell r="AH31">
            <v>6832.1297498647436</v>
          </cell>
          <cell r="AI31">
            <v>144.78703576777238</v>
          </cell>
          <cell r="AJ31">
            <v>0</v>
          </cell>
          <cell r="AK31">
            <v>0</v>
          </cell>
          <cell r="AL31">
            <v>-3494.7751950706447</v>
          </cell>
          <cell r="AM31">
            <v>0</v>
          </cell>
          <cell r="AN31">
            <v>0</v>
          </cell>
          <cell r="AO31">
            <v>-1051.1568106264592</v>
          </cell>
          <cell r="AP31">
            <v>-80.892381993401656</v>
          </cell>
          <cell r="AQ31">
            <v>-918.46368522854425</v>
          </cell>
          <cell r="AR31">
            <v>-738.37971094380362</v>
          </cell>
          <cell r="AT31">
            <v>-429.95382363246836</v>
          </cell>
          <cell r="AU31">
            <v>75.340898279676821</v>
          </cell>
          <cell r="AV31">
            <v>33.976336756146438</v>
          </cell>
          <cell r="AW31">
            <v>16.948188870827355</v>
          </cell>
          <cell r="AX31">
            <v>36.92390018115956</v>
          </cell>
          <cell r="AY31">
            <v>11.100282724734628</v>
          </cell>
          <cell r="AZ31">
            <v>30.769028185558035</v>
          </cell>
          <cell r="BA31">
            <v>2.4077695627550346</v>
          </cell>
          <cell r="BB31">
            <v>-9.4344030271759483</v>
          </cell>
          <cell r="BC31">
            <v>0</v>
          </cell>
          <cell r="BD31">
            <v>0</v>
          </cell>
          <cell r="BE31">
            <v>-63.561136280468581</v>
          </cell>
          <cell r="BF31">
            <v>-119.27219705286474</v>
          </cell>
          <cell r="BG31">
            <v>-2.4077695627550346</v>
          </cell>
          <cell r="BH31">
            <v>0</v>
          </cell>
          <cell r="BI31">
            <v>0</v>
          </cell>
          <cell r="BJ31">
            <v>0</v>
          </cell>
          <cell r="BK31">
            <v>761.93779026960624</v>
          </cell>
          <cell r="EA31">
            <v>4998.7721919466057</v>
          </cell>
          <cell r="EL31">
            <v>6812.3198364246282</v>
          </cell>
          <cell r="EM31">
            <v>-1941.5975796479966</v>
          </cell>
          <cell r="EN31">
            <v>-73.100603323830228</v>
          </cell>
          <cell r="EO31">
            <v>-168.74650791405475</v>
          </cell>
          <cell r="EP31">
            <v>0</v>
          </cell>
          <cell r="EQ31">
            <v>-390.99671579543639</v>
          </cell>
          <cell r="ER31">
            <v>-79.875710827135009</v>
          </cell>
          <cell r="ES31">
            <v>0</v>
          </cell>
          <cell r="ET31">
            <v>-1457.0763228461358</v>
          </cell>
          <cell r="EU31">
            <v>-23.882426468368443</v>
          </cell>
          <cell r="EV31">
            <v>-346.57571537394722</v>
          </cell>
          <cell r="EW31">
            <v>-48.262345255924131</v>
          </cell>
          <cell r="EX31">
            <v>154.53791214805455</v>
          </cell>
          <cell r="EY31">
            <v>0</v>
          </cell>
          <cell r="EZ31">
            <v>0</v>
          </cell>
          <cell r="FA31">
            <v>-2125.7255964588985</v>
          </cell>
          <cell r="FB31">
            <v>0</v>
          </cell>
          <cell r="FC31">
            <v>0</v>
          </cell>
          <cell r="FD31">
            <v>-149.06765349601591</v>
          </cell>
          <cell r="FE31">
            <v>0</v>
          </cell>
          <cell r="FF31">
            <v>2277.3765832882477</v>
          </cell>
          <cell r="FG31">
            <v>48.262345255924131</v>
          </cell>
          <cell r="FH31">
            <v>0</v>
          </cell>
          <cell r="FI31">
            <v>0</v>
          </cell>
          <cell r="FJ31">
            <v>-1164.9250650235481</v>
          </cell>
          <cell r="FK31">
            <v>0</v>
          </cell>
          <cell r="FL31">
            <v>0</v>
          </cell>
          <cell r="FM31">
            <v>-350.38560354215304</v>
          </cell>
          <cell r="FN31">
            <v>-26.964127331133888</v>
          </cell>
          <cell r="FO31">
            <v>-306.15456174284805</v>
          </cell>
          <cell r="FP31">
            <v>-246.12657031460122</v>
          </cell>
          <cell r="FR31">
            <v>-143.31794121082277</v>
          </cell>
          <cell r="FS31">
            <v>25.113632759892276</v>
          </cell>
          <cell r="FT31">
            <v>11.325445585382145</v>
          </cell>
          <cell r="FU31">
            <v>5.649396290275785</v>
          </cell>
          <cell r="FV31">
            <v>12.307966727053184</v>
          </cell>
          <cell r="FW31">
            <v>3.700094241578209</v>
          </cell>
          <cell r="FX31">
            <v>10.256342728519346</v>
          </cell>
          <cell r="FY31">
            <v>0.80258985425167817</v>
          </cell>
          <cell r="FZ31">
            <v>-3.1448010090586505</v>
          </cell>
          <cell r="GA31">
            <v>0</v>
          </cell>
          <cell r="GB31">
            <v>0</v>
          </cell>
          <cell r="GC31">
            <v>-21.187045426822856</v>
          </cell>
          <cell r="GD31">
            <v>-39.757399017621587</v>
          </cell>
          <cell r="GE31">
            <v>-0.80258985425167817</v>
          </cell>
          <cell r="GF31">
            <v>0</v>
          </cell>
          <cell r="GG31">
            <v>0</v>
          </cell>
          <cell r="GH31">
            <v>0</v>
          </cell>
          <cell r="GI31">
            <v>253.97926342320301</v>
          </cell>
        </row>
        <row r="33">
          <cell r="C33">
            <v>25977.176029999999</v>
          </cell>
          <cell r="N33">
            <v>13727.213460000001</v>
          </cell>
          <cell r="O33">
            <v>-576.98755000000006</v>
          </cell>
          <cell r="P33">
            <v>-11.60383</v>
          </cell>
          <cell r="Q33">
            <v>0</v>
          </cell>
          <cell r="R33">
            <v>8.1989400000000003</v>
          </cell>
          <cell r="S33">
            <v>-228.97456</v>
          </cell>
          <cell r="T33">
            <v>-100.68163</v>
          </cell>
          <cell r="U33">
            <v>0</v>
          </cell>
          <cell r="V33">
            <v>-3477.7432565826402</v>
          </cell>
          <cell r="W33">
            <v>-6.4123800000000006</v>
          </cell>
          <cell r="X33">
            <v>-1237.2974534173595</v>
          </cell>
          <cell r="Y33">
            <v>-36.865299999999998</v>
          </cell>
          <cell r="Z33">
            <v>121.43121000000001</v>
          </cell>
          <cell r="AA33">
            <v>0.96938999999999997</v>
          </cell>
          <cell r="AB33">
            <v>0</v>
          </cell>
          <cell r="AC33">
            <v>-2733.7022200000006</v>
          </cell>
          <cell r="AD33">
            <v>347.56979000000001</v>
          </cell>
          <cell r="AE33">
            <v>-58.70091</v>
          </cell>
          <cell r="AF33">
            <v>-270.29595</v>
          </cell>
          <cell r="AG33">
            <v>0</v>
          </cell>
          <cell r="AH33">
            <v>374.71939999999995</v>
          </cell>
          <cell r="AI33">
            <v>200.94798000000003</v>
          </cell>
          <cell r="AJ33">
            <v>11.708060000000007</v>
          </cell>
          <cell r="AK33">
            <v>-3.4829400000000001</v>
          </cell>
          <cell r="AL33">
            <v>-5580.3269900000014</v>
          </cell>
          <cell r="AM33">
            <v>4422.3802099999994</v>
          </cell>
          <cell r="AN33">
            <v>-1864.6219300000016</v>
          </cell>
          <cell r="AO33">
            <v>-1136.14617</v>
          </cell>
          <cell r="AP33">
            <v>-109.58926</v>
          </cell>
          <cell r="AQ33">
            <v>-639.39041000000009</v>
          </cell>
          <cell r="AR33">
            <v>-406.05537999999996</v>
          </cell>
          <cell r="AT33">
            <v>-1250.5707699999998</v>
          </cell>
          <cell r="AU33">
            <v>0</v>
          </cell>
          <cell r="AV33">
            <v>0</v>
          </cell>
          <cell r="AW33">
            <v>0</v>
          </cell>
          <cell r="AX33">
            <v>196.41493616691216</v>
          </cell>
          <cell r="AY33">
            <v>0</v>
          </cell>
          <cell r="AZ33">
            <v>112.53516383308781</v>
          </cell>
          <cell r="BA33">
            <v>2.56576</v>
          </cell>
          <cell r="BB33">
            <v>-6.8709299999999995</v>
          </cell>
          <cell r="BC33">
            <v>-4.972E-2</v>
          </cell>
          <cell r="BD33">
            <v>0</v>
          </cell>
          <cell r="BE33">
            <v>0.97299999999999998</v>
          </cell>
          <cell r="BF33">
            <v>-304.19824</v>
          </cell>
          <cell r="BG33">
            <v>6.7241300000000006</v>
          </cell>
          <cell r="BH33">
            <v>-6.4343500000000002</v>
          </cell>
          <cell r="BI33">
            <v>-0.49724999999999997</v>
          </cell>
          <cell r="BJ33">
            <v>0</v>
          </cell>
          <cell r="BK33">
            <v>-513.14795000000231</v>
          </cell>
        </row>
        <row r="34">
          <cell r="C34">
            <v>26188.35687</v>
          </cell>
          <cell r="N34">
            <v>14009.923329999992</v>
          </cell>
          <cell r="O34">
            <v>-560.49811999999997</v>
          </cell>
          <cell r="P34">
            <v>0</v>
          </cell>
          <cell r="Q34">
            <v>-109.619</v>
          </cell>
          <cell r="R34">
            <v>11.166219999999999</v>
          </cell>
          <cell r="S34">
            <v>-219.62452000000002</v>
          </cell>
          <cell r="T34">
            <v>-133.50918999999999</v>
          </cell>
          <cell r="U34">
            <v>0</v>
          </cell>
          <cell r="V34">
            <v>-3337.2991639386087</v>
          </cell>
          <cell r="W34">
            <v>0</v>
          </cell>
          <cell r="X34">
            <v>-2235.6848860613914</v>
          </cell>
          <cell r="Y34">
            <v>-56.886559999999996</v>
          </cell>
          <cell r="Z34">
            <v>144.17338000000001</v>
          </cell>
          <cell r="AA34">
            <v>1.6454300000000002</v>
          </cell>
          <cell r="AB34">
            <v>0</v>
          </cell>
          <cell r="AC34">
            <v>-6255.9208900000003</v>
          </cell>
          <cell r="AD34">
            <v>604.33517999999992</v>
          </cell>
          <cell r="AE34">
            <v>-53.182719999999996</v>
          </cell>
          <cell r="AF34">
            <v>-223.63361</v>
          </cell>
          <cell r="AG34">
            <v>0</v>
          </cell>
          <cell r="AH34">
            <v>9705.7167900000004</v>
          </cell>
          <cell r="AI34">
            <v>165.48971</v>
          </cell>
          <cell r="AJ34">
            <v>-92.951509999999985</v>
          </cell>
          <cell r="AK34">
            <v>-1.8087300000000004</v>
          </cell>
          <cell r="AL34">
            <v>-5656.2573699999966</v>
          </cell>
          <cell r="AM34">
            <v>4464.1757300000008</v>
          </cell>
          <cell r="AN34">
            <v>-1913.1645699999999</v>
          </cell>
          <cell r="AO34">
            <v>-1436.8032899999998</v>
          </cell>
          <cell r="AP34">
            <v>-120.00854000000001</v>
          </cell>
          <cell r="AQ34">
            <v>-655.43600000000004</v>
          </cell>
          <cell r="AR34">
            <v>-417.36368000000004</v>
          </cell>
          <cell r="AT34">
            <v>-1157.3743000000004</v>
          </cell>
          <cell r="AU34">
            <v>1.64</v>
          </cell>
          <cell r="AV34">
            <v>0</v>
          </cell>
          <cell r="AW34">
            <v>0</v>
          </cell>
          <cell r="AX34">
            <v>209.20017683001811</v>
          </cell>
          <cell r="AY34">
            <v>0</v>
          </cell>
          <cell r="AZ34">
            <v>147.09424316998189</v>
          </cell>
          <cell r="BA34">
            <v>3.38917</v>
          </cell>
          <cell r="BB34">
            <v>-8.4643000000000015</v>
          </cell>
          <cell r="BC34">
            <v>-7.7609999999999998E-2</v>
          </cell>
          <cell r="BD34">
            <v>0</v>
          </cell>
          <cell r="BE34">
            <v>182.386</v>
          </cell>
          <cell r="BF34">
            <v>-647.88053000000002</v>
          </cell>
          <cell r="BG34">
            <v>-13.817209999999999</v>
          </cell>
          <cell r="BH34">
            <v>6.18215</v>
          </cell>
          <cell r="BI34">
            <v>0.17516000000000001</v>
          </cell>
          <cell r="BJ34">
            <v>0</v>
          </cell>
          <cell r="BK34">
            <v>4349.4263699999938</v>
          </cell>
        </row>
        <row r="35">
          <cell r="C35">
            <v>24338.316853744633</v>
          </cell>
          <cell r="N35">
            <v>13753.438283596559</v>
          </cell>
          <cell r="O35">
            <v>-1922.3613220147947</v>
          </cell>
          <cell r="P35">
            <v>-772.07480594167475</v>
          </cell>
          <cell r="Q35">
            <v>-881.13870518967451</v>
          </cell>
          <cell r="R35">
            <v>0</v>
          </cell>
          <cell r="S35">
            <v>-317.57821697342087</v>
          </cell>
          <cell r="T35">
            <v>-100.09469588272661</v>
          </cell>
          <cell r="U35">
            <v>0</v>
          </cell>
          <cell r="V35">
            <v>-1557.1120096828226</v>
          </cell>
          <cell r="W35">
            <v>-840.0136671326436</v>
          </cell>
          <cell r="X35">
            <v>-990.28657142025202</v>
          </cell>
          <cell r="Y35">
            <v>-93.808744741819652</v>
          </cell>
          <cell r="Z35">
            <v>75.821110142914577</v>
          </cell>
          <cell r="AA35">
            <v>0</v>
          </cell>
          <cell r="AB35">
            <v>0</v>
          </cell>
          <cell r="AC35">
            <v>-1972.8721515247307</v>
          </cell>
          <cell r="AD35">
            <v>0</v>
          </cell>
          <cell r="AE35">
            <v>0</v>
          </cell>
          <cell r="AF35">
            <v>-185.7078823862343</v>
          </cell>
          <cell r="AG35">
            <v>0</v>
          </cell>
          <cell r="AH35">
            <v>2318.5800339109655</v>
          </cell>
          <cell r="AI35">
            <v>93.808744741819652</v>
          </cell>
          <cell r="AJ35">
            <v>0</v>
          </cell>
          <cell r="AK35">
            <v>0</v>
          </cell>
          <cell r="AL35">
            <v>-3078.9186561424813</v>
          </cell>
          <cell r="AM35">
            <v>0</v>
          </cell>
          <cell r="AN35">
            <v>0</v>
          </cell>
          <cell r="AO35">
            <v>-1252.1842118674249</v>
          </cell>
          <cell r="AP35">
            <v>-88.818677394538014</v>
          </cell>
          <cell r="AQ35">
            <v>-703.24854654844398</v>
          </cell>
          <cell r="AR35">
            <v>-1040.2695675013501</v>
          </cell>
          <cell r="AT35">
            <v>-1348.88450492692</v>
          </cell>
          <cell r="AU35">
            <v>126.56673610589135</v>
          </cell>
          <cell r="AV35">
            <v>321.41440159245928</v>
          </cell>
          <cell r="AW35">
            <v>0</v>
          </cell>
          <cell r="AX35">
            <v>-85.215220727134806</v>
          </cell>
          <cell r="AY35">
            <v>349.69731957724582</v>
          </cell>
          <cell r="AZ35">
            <v>0</v>
          </cell>
          <cell r="BA35">
            <v>8.0630840303188496</v>
          </cell>
          <cell r="BB35">
            <v>-6.6962875174281358</v>
          </cell>
          <cell r="BC35">
            <v>0</v>
          </cell>
          <cell r="BD35">
            <v>0</v>
          </cell>
          <cell r="BE35">
            <v>106.39684484776652</v>
          </cell>
          <cell r="BF35">
            <v>-106.39684484776652</v>
          </cell>
          <cell r="BG35">
            <v>-8.0630840303188496</v>
          </cell>
          <cell r="BH35">
            <v>0</v>
          </cell>
          <cell r="BI35">
            <v>0</v>
          </cell>
          <cell r="BJ35">
            <v>0</v>
          </cell>
          <cell r="BK35">
            <v>-197.95781584865995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-7.0000000000000007E-5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-1.1E-4</v>
          </cell>
          <cell r="AQ37">
            <v>0</v>
          </cell>
          <cell r="AR37">
            <v>-2.0000000000000002E-5</v>
          </cell>
          <cell r="AT37">
            <v>-1.7370699999999801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0.18356</v>
          </cell>
          <cell r="BH37">
            <v>0</v>
          </cell>
          <cell r="BI37">
            <v>-2.48E-3</v>
          </cell>
          <cell r="BJ37">
            <v>0</v>
          </cell>
          <cell r="BK37">
            <v>-1.5561899999999802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-8.9999999999999992E-5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-1.9059999999999994E-2</v>
          </cell>
          <cell r="AP38">
            <v>-7.2000000000000005E-4</v>
          </cell>
          <cell r="AQ38">
            <v>-0.36214999999999997</v>
          </cell>
          <cell r="AR38">
            <v>-1.448E-2</v>
          </cell>
          <cell r="AT38">
            <v>129.27776000000003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-6.0410000000000005E-2</v>
          </cell>
          <cell r="BH38">
            <v>0</v>
          </cell>
          <cell r="BI38">
            <v>-1.08E-3</v>
          </cell>
          <cell r="BJ38">
            <v>0</v>
          </cell>
          <cell r="BK38">
            <v>128.81977000000003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11568.439859999999</v>
          </cell>
          <cell r="N41">
            <v>5945.1693300000006</v>
          </cell>
          <cell r="O41">
            <v>-109.16299000000001</v>
          </cell>
          <cell r="P41">
            <v>0</v>
          </cell>
          <cell r="Q41">
            <v>0</v>
          </cell>
          <cell r="R41">
            <v>10.57559</v>
          </cell>
          <cell r="S41">
            <v>-157.37768999999997</v>
          </cell>
          <cell r="T41">
            <v>-13.62594</v>
          </cell>
          <cell r="U41">
            <v>0</v>
          </cell>
          <cell r="V41">
            <v>-1880.4665168220461</v>
          </cell>
          <cell r="W41">
            <v>-0.66830999999999996</v>
          </cell>
          <cell r="X41">
            <v>-526.41356317795385</v>
          </cell>
          <cell r="Y41">
            <v>-46.448139999999995</v>
          </cell>
          <cell r="Z41">
            <v>295.73318</v>
          </cell>
          <cell r="AA41">
            <v>5.21929</v>
          </cell>
          <cell r="AB41">
            <v>0</v>
          </cell>
          <cell r="AC41">
            <v>-1867.5461500000001</v>
          </cell>
          <cell r="AD41">
            <v>142.88168000000002</v>
          </cell>
          <cell r="AE41">
            <v>-99.501239999999996</v>
          </cell>
          <cell r="AF41">
            <v>-367.06061</v>
          </cell>
          <cell r="AG41">
            <v>0</v>
          </cell>
          <cell r="AH41">
            <v>-568.65712999999892</v>
          </cell>
          <cell r="AI41">
            <v>608.45554000000004</v>
          </cell>
          <cell r="AJ41">
            <v>550.77185999999983</v>
          </cell>
          <cell r="AK41">
            <v>-54.9268</v>
          </cell>
          <cell r="AL41">
            <v>-2539.5678099999996</v>
          </cell>
          <cell r="AM41">
            <v>1769.4760800000001</v>
          </cell>
          <cell r="AN41">
            <v>-564.82672000000002</v>
          </cell>
          <cell r="AO41">
            <v>-630.14324999999997</v>
          </cell>
          <cell r="AP41">
            <v>-59.10457000000001</v>
          </cell>
          <cell r="AQ41">
            <v>-301.02452999999997</v>
          </cell>
          <cell r="AR41">
            <v>-183.18544999999997</v>
          </cell>
          <cell r="AT41">
            <v>-174.55490000000009</v>
          </cell>
          <cell r="AU41">
            <v>0</v>
          </cell>
          <cell r="AV41">
            <v>0</v>
          </cell>
          <cell r="AW41">
            <v>0</v>
          </cell>
          <cell r="AX41">
            <v>24.360683372832597</v>
          </cell>
          <cell r="AY41">
            <v>0</v>
          </cell>
          <cell r="AZ41">
            <v>26.050946627167406</v>
          </cell>
          <cell r="BA41">
            <v>1.1170599999999999</v>
          </cell>
          <cell r="BB41">
            <v>-6.2381600000000006</v>
          </cell>
          <cell r="BC41">
            <v>-0.12395999999999999</v>
          </cell>
          <cell r="BD41">
            <v>0</v>
          </cell>
          <cell r="BE41">
            <v>3.5150500000000005</v>
          </cell>
          <cell r="BF41">
            <v>30.712369999999865</v>
          </cell>
          <cell r="BG41">
            <v>45.386290000000002</v>
          </cell>
          <cell r="BH41">
            <v>-133.90482000000006</v>
          </cell>
          <cell r="BI41">
            <v>0.55255999999999994</v>
          </cell>
          <cell r="BJ41">
            <v>5.6843418860808016E-16</v>
          </cell>
          <cell r="BK41">
            <v>-824.55173999999784</v>
          </cell>
        </row>
        <row r="42">
          <cell r="C42">
            <v>11922.81372</v>
          </cell>
          <cell r="N42">
            <v>6280.7755000000006</v>
          </cell>
          <cell r="O42">
            <v>-84.154589999999999</v>
          </cell>
          <cell r="P42">
            <v>0</v>
          </cell>
          <cell r="Q42">
            <v>0</v>
          </cell>
          <cell r="R42">
            <v>1.325</v>
          </cell>
          <cell r="S42">
            <v>-179.64724999999999</v>
          </cell>
          <cell r="T42">
            <v>-13.657469999999998</v>
          </cell>
          <cell r="U42">
            <v>0</v>
          </cell>
          <cell r="V42">
            <v>-2212.8723573599036</v>
          </cell>
          <cell r="W42">
            <v>0</v>
          </cell>
          <cell r="X42">
            <v>-426.04407264009632</v>
          </cell>
          <cell r="Y42">
            <v>-87.523889999999994</v>
          </cell>
          <cell r="Z42">
            <v>294.52208999999999</v>
          </cell>
          <cell r="AA42">
            <v>10.02646</v>
          </cell>
          <cell r="AB42">
            <v>0</v>
          </cell>
          <cell r="AC42">
            <v>-1501.4306300000003</v>
          </cell>
          <cell r="AD42">
            <v>86.068420000000003</v>
          </cell>
          <cell r="AE42">
            <v>-123.12262</v>
          </cell>
          <cell r="AF42">
            <v>-467.70407999999998</v>
          </cell>
          <cell r="AG42">
            <v>0</v>
          </cell>
          <cell r="AH42">
            <v>2980.6073699999988</v>
          </cell>
          <cell r="AI42">
            <v>598.91166999999996</v>
          </cell>
          <cell r="AJ42">
            <v>-393.91784000000001</v>
          </cell>
          <cell r="AK42">
            <v>-23.960129999999989</v>
          </cell>
          <cell r="AL42">
            <v>-2616.8152600000003</v>
          </cell>
          <cell r="AM42">
            <v>1783.9572100000003</v>
          </cell>
          <cell r="AN42">
            <v>-571.39640000000009</v>
          </cell>
          <cell r="AO42">
            <v>-841.19987999999989</v>
          </cell>
          <cell r="AP42">
            <v>-62.072959999999995</v>
          </cell>
          <cell r="AQ42">
            <v>-292.66775999999999</v>
          </cell>
          <cell r="AR42">
            <v>-201.15830999999997</v>
          </cell>
          <cell r="AT42">
            <v>-231.37515000000002</v>
          </cell>
          <cell r="AU42">
            <v>0</v>
          </cell>
          <cell r="AV42">
            <v>0</v>
          </cell>
          <cell r="AW42">
            <v>0</v>
          </cell>
          <cell r="AX42">
            <v>59.894208787008772</v>
          </cell>
          <cell r="AY42">
            <v>0</v>
          </cell>
          <cell r="AZ42">
            <v>19.592701212991237</v>
          </cell>
          <cell r="BA42">
            <v>2.48027</v>
          </cell>
          <cell r="BB42">
            <v>-8.9065700000000003</v>
          </cell>
          <cell r="BC42">
            <v>-0.27717000000000003</v>
          </cell>
          <cell r="BD42">
            <v>0</v>
          </cell>
          <cell r="BE42">
            <v>295.63222999999999</v>
          </cell>
          <cell r="BF42">
            <v>-1004.5116899999938</v>
          </cell>
          <cell r="BG42">
            <v>-185.54562000000001</v>
          </cell>
          <cell r="BH42">
            <v>72.939769999999982</v>
          </cell>
          <cell r="BI42">
            <v>3.9032500000000003</v>
          </cell>
          <cell r="BJ42">
            <v>-4.0927261579781768E-15</v>
          </cell>
          <cell r="BK42">
            <v>960.6744500000043</v>
          </cell>
        </row>
        <row r="43">
          <cell r="C43">
            <v>11453.023027310324</v>
          </cell>
          <cell r="N43">
            <v>5752.3333591348983</v>
          </cell>
          <cell r="O43">
            <v>-462.9103009893546</v>
          </cell>
          <cell r="P43">
            <v>0</v>
          </cell>
          <cell r="Q43">
            <v>-86.168169380418718</v>
          </cell>
          <cell r="R43">
            <v>0</v>
          </cell>
          <cell r="S43">
            <v>-249.27723072140574</v>
          </cell>
          <cell r="T43">
            <v>-43.890434597895307</v>
          </cell>
          <cell r="U43">
            <v>0</v>
          </cell>
          <cell r="V43">
            <v>-1528.6827242554277</v>
          </cell>
          <cell r="W43">
            <v>0</v>
          </cell>
          <cell r="X43">
            <v>-514.26692649450115</v>
          </cell>
          <cell r="Y43">
            <v>-51.758584828861188</v>
          </cell>
          <cell r="Z43">
            <v>253.77948961443883</v>
          </cell>
          <cell r="AA43">
            <v>0</v>
          </cell>
          <cell r="AB43">
            <v>0</v>
          </cell>
          <cell r="AC43">
            <v>-1403.8228413843899</v>
          </cell>
          <cell r="AD43">
            <v>0</v>
          </cell>
          <cell r="AE43">
            <v>0</v>
          </cell>
          <cell r="AF43">
            <v>-498.42303842432432</v>
          </cell>
          <cell r="AG43">
            <v>0</v>
          </cell>
          <cell r="AH43">
            <v>1901.2458798087141</v>
          </cell>
          <cell r="AI43">
            <v>51.758584828861188</v>
          </cell>
          <cell r="AJ43">
            <v>0</v>
          </cell>
          <cell r="AK43">
            <v>0</v>
          </cell>
          <cell r="AL43">
            <v>-1301.3842620298162</v>
          </cell>
          <cell r="AM43">
            <v>0</v>
          </cell>
          <cell r="AN43">
            <v>0</v>
          </cell>
          <cell r="AO43">
            <v>-719.80130516205099</v>
          </cell>
          <cell r="AP43">
            <v>-48.927689308052521</v>
          </cell>
          <cell r="AQ43">
            <v>-334.433765278843</v>
          </cell>
          <cell r="AR43">
            <v>-247.54025494580725</v>
          </cell>
          <cell r="AT43">
            <v>-202.33552145754766</v>
          </cell>
          <cell r="AU43">
            <v>53.128085252204031</v>
          </cell>
          <cell r="AV43">
            <v>0</v>
          </cell>
          <cell r="AW43">
            <v>11.867550447671459</v>
          </cell>
          <cell r="AX43">
            <v>84.753403878314202</v>
          </cell>
          <cell r="AY43">
            <v>0</v>
          </cell>
          <cell r="AZ43">
            <v>63.822061371392785</v>
          </cell>
          <cell r="BA43">
            <v>4.1542530058336942</v>
          </cell>
          <cell r="BB43">
            <v>-21.183788163943507</v>
          </cell>
          <cell r="BC43">
            <v>0</v>
          </cell>
          <cell r="BD43">
            <v>0</v>
          </cell>
          <cell r="BE43">
            <v>270.05358947271827</v>
          </cell>
          <cell r="BF43">
            <v>-314.17858947271827</v>
          </cell>
          <cell r="BG43">
            <v>-4.1542530058336942</v>
          </cell>
          <cell r="BH43">
            <v>0</v>
          </cell>
          <cell r="BI43">
            <v>0</v>
          </cell>
          <cell r="BJ43">
            <v>0</v>
          </cell>
          <cell r="BK43">
            <v>413.75657691385555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-6.1906099999999986</v>
          </cell>
          <cell r="AI45">
            <v>1.63039</v>
          </cell>
          <cell r="AJ45">
            <v>1.4618399999999998</v>
          </cell>
          <cell r="AK45">
            <v>-3.2760000000000004E-2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-102.97301000000004</v>
          </cell>
          <cell r="AU45">
            <v>0</v>
          </cell>
          <cell r="AV45">
            <v>0</v>
          </cell>
          <cell r="AW45">
            <v>0</v>
          </cell>
          <cell r="AX45">
            <v>23.797999999999998</v>
          </cell>
          <cell r="AY45">
            <v>0</v>
          </cell>
          <cell r="AZ45">
            <v>0</v>
          </cell>
          <cell r="BA45">
            <v>0.51471</v>
          </cell>
          <cell r="BB45">
            <v>-2.9508299999999998</v>
          </cell>
          <cell r="BC45">
            <v>-5.672E-2</v>
          </cell>
          <cell r="BD45">
            <v>0</v>
          </cell>
          <cell r="BE45">
            <v>0</v>
          </cell>
          <cell r="BF45">
            <v>0</v>
          </cell>
          <cell r="BG45">
            <v>-0.23832</v>
          </cell>
          <cell r="BH45">
            <v>-0.18462000000000001</v>
          </cell>
          <cell r="BI45">
            <v>3.5810000000000002E-2</v>
          </cell>
          <cell r="BJ45">
            <v>1.2789769243681802E-16</v>
          </cell>
          <cell r="BK45">
            <v>-85.186120000000031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40.436469999999986</v>
          </cell>
          <cell r="AI46">
            <v>1.2673100000000002</v>
          </cell>
          <cell r="AJ46">
            <v>-2.8594899999999996</v>
          </cell>
          <cell r="AK46">
            <v>-0.10327000000000003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-130.60803999999999</v>
          </cell>
          <cell r="AU46">
            <v>0</v>
          </cell>
          <cell r="AV46">
            <v>0</v>
          </cell>
          <cell r="AW46">
            <v>0</v>
          </cell>
          <cell r="AX46">
            <v>9.0990000000000002</v>
          </cell>
          <cell r="AY46">
            <v>0</v>
          </cell>
          <cell r="AZ46">
            <v>0</v>
          </cell>
          <cell r="BA46">
            <v>0.28732999999999997</v>
          </cell>
          <cell r="BB46">
            <v>-1.0280799999999999</v>
          </cell>
          <cell r="BC46">
            <v>-3.2299999999999995E-2</v>
          </cell>
          <cell r="BD46">
            <v>0</v>
          </cell>
          <cell r="BE46">
            <v>6.4027200000000004</v>
          </cell>
          <cell r="BF46">
            <v>-9.0990000000000002</v>
          </cell>
          <cell r="BG46">
            <v>-0.27250000000000002</v>
          </cell>
          <cell r="BH46">
            <v>1.0385199999999999</v>
          </cell>
          <cell r="BI46">
            <v>3.1140000000000001E-2</v>
          </cell>
          <cell r="BJ46">
            <v>0</v>
          </cell>
          <cell r="BK46">
            <v>-85.440190000000001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</row>
        <row r="49">
          <cell r="C49">
            <v>6.8905000000000003</v>
          </cell>
          <cell r="N49">
            <v>6.4492899999999995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-2.9999999999999997E-5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-1.139</v>
          </cell>
          <cell r="AM49">
            <v>0.60478999999999994</v>
          </cell>
          <cell r="AN49">
            <v>-0.55184000000000011</v>
          </cell>
          <cell r="AO49">
            <v>0</v>
          </cell>
          <cell r="AP49">
            <v>-4.0000000000000003E-5</v>
          </cell>
          <cell r="AQ49">
            <v>0</v>
          </cell>
          <cell r="AR49">
            <v>-1.0000000000000001E-5</v>
          </cell>
          <cell r="AT49">
            <v>2.5999999999999999E-3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2.2388100000000009</v>
          </cell>
          <cell r="BF49">
            <v>-0.20445000000000146</v>
          </cell>
          <cell r="BG49">
            <v>-0.39138999999999996</v>
          </cell>
          <cell r="BH49">
            <v>0.29409000000000002</v>
          </cell>
          <cell r="BI49">
            <v>1.434E-2</v>
          </cell>
          <cell r="BJ49">
            <v>0</v>
          </cell>
          <cell r="BK49">
            <v>7.3171599999999977</v>
          </cell>
        </row>
        <row r="50">
          <cell r="C50">
            <v>7.2917499999999995</v>
          </cell>
          <cell r="N50">
            <v>6.8124100000000025</v>
          </cell>
          <cell r="O50">
            <v>-4.875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-8.387E-2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-1.8971099999999999</v>
          </cell>
          <cell r="AD50">
            <v>0</v>
          </cell>
          <cell r="AE50">
            <v>0</v>
          </cell>
          <cell r="AF50">
            <v>-0.36179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-1.2242700000000009</v>
          </cell>
          <cell r="AM50">
            <v>0.74663000000000002</v>
          </cell>
          <cell r="AN50">
            <v>-0.6748200000000002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2.5999999999999999E-3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-0.31760000000000005</v>
          </cell>
          <cell r="BH50">
            <v>-1.3900000000000003E-2</v>
          </cell>
          <cell r="BI50">
            <v>1.82E-3</v>
          </cell>
          <cell r="BJ50">
            <v>0</v>
          </cell>
          <cell r="BK50">
            <v>-1.8848999999999989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404.3328600000001</v>
          </cell>
          <cell r="N53">
            <v>-416.4073400000002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-1.2737799999999999</v>
          </cell>
          <cell r="T53">
            <v>0</v>
          </cell>
          <cell r="U53">
            <v>0</v>
          </cell>
          <cell r="V53">
            <v>-37.021320000000003</v>
          </cell>
          <cell r="W53">
            <v>0</v>
          </cell>
          <cell r="X53">
            <v>0</v>
          </cell>
          <cell r="Y53">
            <v>-1.0616199999999998</v>
          </cell>
          <cell r="Z53">
            <v>2.5540900000000004</v>
          </cell>
          <cell r="AA53">
            <v>5.5030000000000003E-2</v>
          </cell>
          <cell r="AB53">
            <v>0</v>
          </cell>
          <cell r="AC53">
            <v>-65.039010000000005</v>
          </cell>
          <cell r="AD53">
            <v>0</v>
          </cell>
          <cell r="AE53">
            <v>-0.18952999999999998</v>
          </cell>
          <cell r="AF53">
            <v>-3.3062</v>
          </cell>
          <cell r="AG53">
            <v>0</v>
          </cell>
          <cell r="AH53">
            <v>118.12439000000001</v>
          </cell>
          <cell r="AI53">
            <v>6.3158000000000003</v>
          </cell>
          <cell r="AJ53">
            <v>-3.5619399999999994</v>
          </cell>
          <cell r="AK53">
            <v>-0.24764</v>
          </cell>
          <cell r="AL53">
            <v>-76.851829999999964</v>
          </cell>
          <cell r="AM53">
            <v>191.79568</v>
          </cell>
          <cell r="AN53">
            <v>-41.819130000000001</v>
          </cell>
          <cell r="AO53">
            <v>-7.1387099999999997</v>
          </cell>
          <cell r="AP53">
            <v>-0.76866999999999996</v>
          </cell>
          <cell r="AQ53">
            <v>-22.745270000000001</v>
          </cell>
          <cell r="AR53">
            <v>-11.769819999999999</v>
          </cell>
          <cell r="AT53">
            <v>-14.801739999999999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2.5</v>
          </cell>
          <cell r="BG53">
            <v>7.4299999999999991E-2</v>
          </cell>
          <cell r="BH53">
            <v>-0.15593000000000001</v>
          </cell>
          <cell r="BI53">
            <v>-3.15E-3</v>
          </cell>
          <cell r="BJ53">
            <v>0</v>
          </cell>
          <cell r="BK53">
            <v>-382.7433400000001</v>
          </cell>
        </row>
        <row r="54">
          <cell r="C54">
            <v>2458.6641199999995</v>
          </cell>
          <cell r="N54">
            <v>1805.5314499999993</v>
          </cell>
          <cell r="O54">
            <v>-3.75671</v>
          </cell>
          <cell r="P54">
            <v>0</v>
          </cell>
          <cell r="Q54">
            <v>0</v>
          </cell>
          <cell r="R54">
            <v>0</v>
          </cell>
          <cell r="S54">
            <v>-3.7403200000000001</v>
          </cell>
          <cell r="T54">
            <v>-8.7639999999999996E-2</v>
          </cell>
          <cell r="U54">
            <v>0</v>
          </cell>
          <cell r="V54">
            <v>-174.00417999999999</v>
          </cell>
          <cell r="W54">
            <v>0</v>
          </cell>
          <cell r="X54">
            <v>0</v>
          </cell>
          <cell r="Y54">
            <v>-38.633209999999998</v>
          </cell>
          <cell r="Z54">
            <v>9.8718700000000013</v>
          </cell>
          <cell r="AA54">
            <v>3.8618999999999999</v>
          </cell>
          <cell r="AB54">
            <v>0</v>
          </cell>
          <cell r="AC54">
            <v>-134.08523</v>
          </cell>
          <cell r="AD54">
            <v>0</v>
          </cell>
          <cell r="AE54">
            <v>-2.2013400000000001</v>
          </cell>
          <cell r="AF54">
            <v>-13.345510000000001</v>
          </cell>
          <cell r="AG54">
            <v>0</v>
          </cell>
          <cell r="AH54">
            <v>261.17676999999969</v>
          </cell>
          <cell r="AI54">
            <v>331.89996000000002</v>
          </cell>
          <cell r="AJ54">
            <v>-8.7615199999999991</v>
          </cell>
          <cell r="AK54">
            <v>-29.902600000000007</v>
          </cell>
          <cell r="AL54">
            <v>-365.10039000000035</v>
          </cell>
          <cell r="AM54">
            <v>61.015390000000004</v>
          </cell>
          <cell r="AN54">
            <v>27.813129999999987</v>
          </cell>
          <cell r="AO54">
            <v>-30.675550000000005</v>
          </cell>
          <cell r="AP54">
            <v>-3.8394299999999997</v>
          </cell>
          <cell r="AQ54">
            <v>-23.34441</v>
          </cell>
          <cell r="AR54">
            <v>-18.214980000000001</v>
          </cell>
          <cell r="AT54">
            <v>-13.77787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5.2366899999999994</v>
          </cell>
          <cell r="BG54">
            <v>0.17756999999999998</v>
          </cell>
          <cell r="BH54">
            <v>-0.32112999999999997</v>
          </cell>
          <cell r="BI54">
            <v>-1.3380000000000001E-2</v>
          </cell>
          <cell r="BJ54">
            <v>0</v>
          </cell>
          <cell r="BK54">
            <v>1642.7793299999987</v>
          </cell>
        </row>
        <row r="55">
          <cell r="C55">
            <v>374.13</v>
          </cell>
          <cell r="N55">
            <v>166.65027249864792</v>
          </cell>
          <cell r="O55">
            <v>-9.0493712575464009</v>
          </cell>
          <cell r="P55">
            <v>0</v>
          </cell>
          <cell r="Q55">
            <v>0</v>
          </cell>
          <cell r="R55">
            <v>0</v>
          </cell>
          <cell r="S55">
            <v>-1.9627917334978879</v>
          </cell>
          <cell r="T55">
            <v>0</v>
          </cell>
          <cell r="U55">
            <v>0</v>
          </cell>
          <cell r="V55">
            <v>-31.340732580773185</v>
          </cell>
          <cell r="W55">
            <v>0</v>
          </cell>
          <cell r="X55">
            <v>0</v>
          </cell>
          <cell r="Y55">
            <v>-0.76983732158786089</v>
          </cell>
          <cell r="Z55">
            <v>1.8093047697777147</v>
          </cell>
          <cell r="AA55">
            <v>0</v>
          </cell>
          <cell r="AB55">
            <v>0</v>
          </cell>
          <cell r="AC55">
            <v>-71.754751552014397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71.754751552014397</v>
          </cell>
          <cell r="AI55">
            <v>0.76983732158786089</v>
          </cell>
          <cell r="AJ55">
            <v>0</v>
          </cell>
          <cell r="AK55">
            <v>0</v>
          </cell>
          <cell r="AL55">
            <v>-32.723219442210748</v>
          </cell>
          <cell r="AM55">
            <v>0</v>
          </cell>
          <cell r="AN55">
            <v>0</v>
          </cell>
          <cell r="AO55">
            <v>-8.4577695266540243</v>
          </cell>
          <cell r="AP55">
            <v>-0.79525388089825255</v>
          </cell>
          <cell r="AQ55">
            <v>-25.353581498443248</v>
          </cell>
          <cell r="AR55">
            <v>-11.697435490972625</v>
          </cell>
          <cell r="AT55">
            <v>-4.1858168178490978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42.89360503958018</v>
          </cell>
        </row>
        <row r="57">
          <cell r="C57">
            <v>1768.7021500000003</v>
          </cell>
          <cell r="N57">
            <v>1111.7843800000001</v>
          </cell>
          <cell r="O57">
            <v>-1.359E-2</v>
          </cell>
          <cell r="P57">
            <v>0</v>
          </cell>
          <cell r="Q57">
            <v>0</v>
          </cell>
          <cell r="R57">
            <v>0</v>
          </cell>
          <cell r="S57">
            <v>-58.281559999999999</v>
          </cell>
          <cell r="T57">
            <v>0</v>
          </cell>
          <cell r="U57">
            <v>0</v>
          </cell>
          <cell r="V57">
            <v>-35.929589999999997</v>
          </cell>
          <cell r="W57">
            <v>0</v>
          </cell>
          <cell r="X57">
            <v>0</v>
          </cell>
          <cell r="Y57">
            <v>-0.16833000000000001</v>
          </cell>
          <cell r="Z57">
            <v>2.7354100000000003</v>
          </cell>
          <cell r="AA57">
            <v>5.94E-3</v>
          </cell>
          <cell r="AB57">
            <v>0</v>
          </cell>
          <cell r="AC57">
            <v>-78.616990000000001</v>
          </cell>
          <cell r="AD57">
            <v>5.8264200000000006</v>
          </cell>
          <cell r="AE57">
            <v>-16.46978</v>
          </cell>
          <cell r="AF57">
            <v>8.640199666842818E-15</v>
          </cell>
          <cell r="AG57">
            <v>0</v>
          </cell>
          <cell r="AH57">
            <v>87.465630000000004</v>
          </cell>
          <cell r="AI57">
            <v>22.9267</v>
          </cell>
          <cell r="AJ57">
            <v>-10.982780000000002</v>
          </cell>
          <cell r="AK57">
            <v>-1.0261900000000002</v>
          </cell>
          <cell r="AL57">
            <v>-331.38897000000003</v>
          </cell>
          <cell r="AM57">
            <v>217.04350000000002</v>
          </cell>
          <cell r="AN57">
            <v>-90.688239999999993</v>
          </cell>
          <cell r="AO57">
            <v>-31.569050000000001</v>
          </cell>
          <cell r="AP57">
            <v>-3.8529499999999999</v>
          </cell>
          <cell r="AQ57">
            <v>-43.288350000000001</v>
          </cell>
          <cell r="AR57">
            <v>-20.432399999999998</v>
          </cell>
          <cell r="AT57">
            <v>-936.62863000000004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-211.54941999999997</v>
          </cell>
        </row>
        <row r="58">
          <cell r="C58">
            <v>1772.2497899999998</v>
          </cell>
          <cell r="N58">
            <v>1107.2012399999999</v>
          </cell>
          <cell r="O58">
            <v>-1</v>
          </cell>
          <cell r="P58">
            <v>0</v>
          </cell>
          <cell r="Q58">
            <v>0</v>
          </cell>
          <cell r="R58">
            <v>7.8999999999999959E-2</v>
          </cell>
          <cell r="S58">
            <v>-50.672629999999998</v>
          </cell>
          <cell r="T58">
            <v>-1.9E-3</v>
          </cell>
          <cell r="U58">
            <v>0</v>
          </cell>
          <cell r="V58">
            <v>-43.734589999999997</v>
          </cell>
          <cell r="W58">
            <v>0</v>
          </cell>
          <cell r="X58">
            <v>0</v>
          </cell>
          <cell r="Y58">
            <v>-1.4290699999999998</v>
          </cell>
          <cell r="Z58">
            <v>3.5370500000000002</v>
          </cell>
          <cell r="AA58">
            <v>8.8150000000000006E-2</v>
          </cell>
          <cell r="AB58">
            <v>0</v>
          </cell>
          <cell r="AC58">
            <v>-68.26339999999999</v>
          </cell>
          <cell r="AD58">
            <v>-1.1779500000000001</v>
          </cell>
          <cell r="AE58">
            <v>-14.345880000000001</v>
          </cell>
          <cell r="AF58">
            <v>0</v>
          </cell>
          <cell r="AG58">
            <v>0</v>
          </cell>
          <cell r="AH58">
            <v>155.24771999999999</v>
          </cell>
          <cell r="AI58">
            <v>2.7362500000000001</v>
          </cell>
          <cell r="AJ58">
            <v>1.4521799999999994</v>
          </cell>
          <cell r="AK58">
            <v>0.21756</v>
          </cell>
          <cell r="AL58">
            <v>-331.60392000000002</v>
          </cell>
          <cell r="AM58">
            <v>222.26561000000001</v>
          </cell>
          <cell r="AN58">
            <v>-94.63863000000002</v>
          </cell>
          <cell r="AO58">
            <v>-20.838799999999999</v>
          </cell>
          <cell r="AP58">
            <v>-1.6922000000000001</v>
          </cell>
          <cell r="AQ58">
            <v>-38.75065</v>
          </cell>
          <cell r="AR58">
            <v>-20.259909999999998</v>
          </cell>
          <cell r="AT58">
            <v>-937.63248999999996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-133.2172600000001</v>
          </cell>
        </row>
        <row r="59">
          <cell r="C59">
            <v>1668.1350858622318</v>
          </cell>
          <cell r="N59">
            <v>1059.4585050299929</v>
          </cell>
          <cell r="O59">
            <v>3.2014108495341178</v>
          </cell>
          <cell r="P59">
            <v>0</v>
          </cell>
          <cell r="Q59">
            <v>0</v>
          </cell>
          <cell r="R59">
            <v>0</v>
          </cell>
          <cell r="S59">
            <v>-67.800862556381588</v>
          </cell>
          <cell r="T59">
            <v>-8.4342709798000772</v>
          </cell>
          <cell r="U59">
            <v>0</v>
          </cell>
          <cell r="V59">
            <v>-35.340443566294525</v>
          </cell>
          <cell r="W59">
            <v>0</v>
          </cell>
          <cell r="X59">
            <v>0</v>
          </cell>
          <cell r="Y59">
            <v>-0.76899185212015364</v>
          </cell>
          <cell r="Z59">
            <v>2.8011928133454971</v>
          </cell>
          <cell r="AA59">
            <v>0</v>
          </cell>
          <cell r="AB59">
            <v>0</v>
          </cell>
          <cell r="AC59">
            <v>-40.486416857605136</v>
          </cell>
          <cell r="AD59">
            <v>0</v>
          </cell>
          <cell r="AE59">
            <v>0</v>
          </cell>
          <cell r="AF59">
            <v>-15.231421259402795</v>
          </cell>
          <cell r="AG59">
            <v>0</v>
          </cell>
          <cell r="AH59">
            <v>55.717838117007929</v>
          </cell>
          <cell r="AI59">
            <v>0.76899185212015364</v>
          </cell>
          <cell r="AJ59">
            <v>0</v>
          </cell>
          <cell r="AK59">
            <v>0</v>
          </cell>
          <cell r="AL59">
            <v>-195.99577576223228</v>
          </cell>
          <cell r="AM59">
            <v>0</v>
          </cell>
          <cell r="AN59">
            <v>0</v>
          </cell>
          <cell r="AO59">
            <v>-34.776382396495599</v>
          </cell>
          <cell r="AP59">
            <v>-2.8932515608726996</v>
          </cell>
          <cell r="AQ59">
            <v>-47.597778341130876</v>
          </cell>
          <cell r="AR59">
            <v>-31.864954532202198</v>
          </cell>
          <cell r="AT59">
            <v>-742.17778767768357</v>
          </cell>
          <cell r="AU59">
            <v>134.96957729548538</v>
          </cell>
          <cell r="AV59">
            <v>0</v>
          </cell>
          <cell r="AW59">
            <v>0</v>
          </cell>
          <cell r="AX59">
            <v>96.530422704514621</v>
          </cell>
          <cell r="AY59">
            <v>0</v>
          </cell>
          <cell r="AZ59">
            <v>0</v>
          </cell>
          <cell r="BA59">
            <v>1.4961076025373894</v>
          </cell>
          <cell r="BB59">
            <v>-2.9227181610516562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-1.4961076025373894</v>
          </cell>
          <cell r="BH59">
            <v>0</v>
          </cell>
          <cell r="BI59">
            <v>0</v>
          </cell>
          <cell r="BJ59">
            <v>0</v>
          </cell>
          <cell r="BK59">
            <v>127.1568831587274</v>
          </cell>
        </row>
        <row r="61">
          <cell r="C61">
            <v>381.57938000000001</v>
          </cell>
          <cell r="N61">
            <v>207.55725000000004</v>
          </cell>
          <cell r="O61">
            <v>-16.912090000000003</v>
          </cell>
          <cell r="P61">
            <v>0</v>
          </cell>
          <cell r="Q61">
            <v>0</v>
          </cell>
          <cell r="R61">
            <v>0</v>
          </cell>
          <cell r="S61">
            <v>-13.308630000000001</v>
          </cell>
          <cell r="T61">
            <v>0</v>
          </cell>
          <cell r="U61">
            <v>0</v>
          </cell>
          <cell r="V61">
            <v>-34.906059999999997</v>
          </cell>
          <cell r="W61">
            <v>0</v>
          </cell>
          <cell r="X61">
            <v>0</v>
          </cell>
          <cell r="Y61">
            <v>-0.43739</v>
          </cell>
          <cell r="Z61">
            <v>0.93859999999999988</v>
          </cell>
          <cell r="AA61">
            <v>1.687E-2</v>
          </cell>
          <cell r="AB61">
            <v>0</v>
          </cell>
          <cell r="AC61">
            <v>-97.038849999999996</v>
          </cell>
          <cell r="AD61">
            <v>0</v>
          </cell>
          <cell r="AE61">
            <v>-6.4607099999999997</v>
          </cell>
          <cell r="AF61">
            <v>-34.972610000000003</v>
          </cell>
          <cell r="AG61">
            <v>0</v>
          </cell>
          <cell r="AH61">
            <v>133.72036</v>
          </cell>
          <cell r="AI61">
            <v>14.807730000000001</v>
          </cell>
          <cell r="AJ61">
            <v>-8.581529999999999</v>
          </cell>
          <cell r="AK61">
            <v>-0.9340900000000002</v>
          </cell>
          <cell r="AL61">
            <v>-52.799469999999992</v>
          </cell>
          <cell r="AM61">
            <v>41.148130000000002</v>
          </cell>
          <cell r="AN61">
            <v>-18.256420000000002</v>
          </cell>
          <cell r="AO61">
            <v>-13.538650000000001</v>
          </cell>
          <cell r="AP61">
            <v>-1.0819700000000001</v>
          </cell>
          <cell r="AQ61">
            <v>-21.417480000000001</v>
          </cell>
          <cell r="AR61">
            <v>-21.358670000000004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56.184320000000085</v>
          </cell>
        </row>
        <row r="62">
          <cell r="C62">
            <v>364.67953</v>
          </cell>
          <cell r="N62">
            <v>208.02046999999999</v>
          </cell>
          <cell r="O62">
            <v>-10.658519999999999</v>
          </cell>
          <cell r="P62">
            <v>0</v>
          </cell>
          <cell r="Q62">
            <v>0</v>
          </cell>
          <cell r="R62">
            <v>0</v>
          </cell>
          <cell r="S62">
            <v>-37.914070000000002</v>
          </cell>
          <cell r="T62">
            <v>-0.11244</v>
          </cell>
          <cell r="U62">
            <v>0</v>
          </cell>
          <cell r="V62">
            <v>-65.440689999999989</v>
          </cell>
          <cell r="W62">
            <v>0</v>
          </cell>
          <cell r="X62">
            <v>0</v>
          </cell>
          <cell r="Y62">
            <v>-1.50675</v>
          </cell>
          <cell r="Z62">
            <v>2.2534999999999998</v>
          </cell>
          <cell r="AA62">
            <v>9.2700000000000005E-2</v>
          </cell>
          <cell r="AB62">
            <v>0</v>
          </cell>
          <cell r="AC62">
            <v>-113.17018</v>
          </cell>
          <cell r="AD62">
            <v>0</v>
          </cell>
          <cell r="AE62">
            <v>-20.409559999999999</v>
          </cell>
          <cell r="AF62">
            <v>-29.801379999999998</v>
          </cell>
          <cell r="AG62">
            <v>0</v>
          </cell>
          <cell r="AH62">
            <v>250.64205999999999</v>
          </cell>
          <cell r="AI62">
            <v>3.8647500000000008</v>
          </cell>
          <cell r="AJ62">
            <v>-2.1573000000000002</v>
          </cell>
          <cell r="AK62">
            <v>6.937000000000007E-2</v>
          </cell>
          <cell r="AL62">
            <v>-53.354510000000005</v>
          </cell>
          <cell r="AM62">
            <v>41.91919</v>
          </cell>
          <cell r="AN62">
            <v>-18.778689999999997</v>
          </cell>
          <cell r="AO62">
            <v>-17.627959999999998</v>
          </cell>
          <cell r="AP62">
            <v>-1.6453499999999999</v>
          </cell>
          <cell r="AQ62">
            <v>-16.929659999999998</v>
          </cell>
          <cell r="AR62">
            <v>-19.030049999999999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98.324929999999995</v>
          </cell>
        </row>
        <row r="63">
          <cell r="C63">
            <v>315.95999999999998</v>
          </cell>
          <cell r="N63">
            <v>188.09983677189797</v>
          </cell>
          <cell r="O63">
            <v>-26.57922126934454</v>
          </cell>
          <cell r="P63">
            <v>0</v>
          </cell>
          <cell r="Q63">
            <v>0</v>
          </cell>
          <cell r="R63">
            <v>0</v>
          </cell>
          <cell r="S63">
            <v>-23.509391276045875</v>
          </cell>
          <cell r="T63">
            <v>0</v>
          </cell>
          <cell r="U63">
            <v>0</v>
          </cell>
          <cell r="V63">
            <v>-19.009494700199188</v>
          </cell>
          <cell r="W63">
            <v>0</v>
          </cell>
          <cell r="X63">
            <v>0</v>
          </cell>
          <cell r="Y63">
            <v>-0.47239105780017987</v>
          </cell>
          <cell r="Z63">
            <v>0.88828645166712517</v>
          </cell>
          <cell r="AA63">
            <v>0</v>
          </cell>
          <cell r="AB63">
            <v>0</v>
          </cell>
          <cell r="AC63">
            <v>-9.1240156783449322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9.1240156783449322</v>
          </cell>
          <cell r="AI63">
            <v>0.47239105780017987</v>
          </cell>
          <cell r="AJ63">
            <v>0</v>
          </cell>
          <cell r="AK63">
            <v>0</v>
          </cell>
          <cell r="AL63">
            <v>-27.374079703907597</v>
          </cell>
          <cell r="AM63">
            <v>0</v>
          </cell>
          <cell r="AN63">
            <v>0</v>
          </cell>
          <cell r="AO63">
            <v>-16.011680204863101</v>
          </cell>
          <cell r="AP63">
            <v>-1.0208247742132075</v>
          </cell>
          <cell r="AQ63">
            <v>-25.936012899401497</v>
          </cell>
          <cell r="AR63">
            <v>-23.518904372448375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26.028514023141717</v>
          </cell>
        </row>
        <row r="81">
          <cell r="C81">
            <v>97639.137690000003</v>
          </cell>
          <cell r="N81">
            <v>64195.138970000029</v>
          </cell>
          <cell r="O81">
            <v>-1924.6324300000001</v>
          </cell>
          <cell r="P81">
            <v>0</v>
          </cell>
          <cell r="Q81">
            <v>0</v>
          </cell>
          <cell r="R81">
            <v>48.9998</v>
          </cell>
          <cell r="S81">
            <v>-926.5443600000001</v>
          </cell>
          <cell r="T81">
            <v>0</v>
          </cell>
          <cell r="U81">
            <v>0</v>
          </cell>
          <cell r="V81">
            <v>-56777.194519999997</v>
          </cell>
          <cell r="W81">
            <v>0</v>
          </cell>
          <cell r="X81">
            <v>0</v>
          </cell>
          <cell r="Y81">
            <v>-409.08922999999999</v>
          </cell>
          <cell r="Z81">
            <v>8619.8874500000002</v>
          </cell>
          <cell r="AA81">
            <v>72.292270000000016</v>
          </cell>
          <cell r="AB81">
            <v>0</v>
          </cell>
          <cell r="AC81">
            <v>-37274.204620000004</v>
          </cell>
          <cell r="AD81">
            <v>197.76732000000001</v>
          </cell>
          <cell r="AE81">
            <v>-673.96773000000007</v>
          </cell>
          <cell r="AF81">
            <v>-13.21331</v>
          </cell>
          <cell r="AG81">
            <v>0</v>
          </cell>
          <cell r="AH81">
            <v>37128.124210000009</v>
          </cell>
          <cell r="AI81">
            <v>2043.8875100000012</v>
          </cell>
          <cell r="AJ81">
            <v>796.60141000000056</v>
          </cell>
          <cell r="AK81">
            <v>-154.59703999999982</v>
          </cell>
          <cell r="AL81">
            <v>-6607.177450000001</v>
          </cell>
          <cell r="AM81">
            <v>8274.1179399999983</v>
          </cell>
          <cell r="AN81">
            <v>-5853.9849599999989</v>
          </cell>
          <cell r="AO81">
            <v>-2036.6189700000004</v>
          </cell>
          <cell r="AP81">
            <v>-148.89448999999999</v>
          </cell>
          <cell r="AQ81">
            <v>-2712.7989099999995</v>
          </cell>
          <cell r="AR81">
            <v>-1368.8791299999998</v>
          </cell>
          <cell r="AT81">
            <v>-3943.7202599999991</v>
          </cell>
          <cell r="AU81">
            <v>2.6219200000000003</v>
          </cell>
          <cell r="AV81">
            <v>0</v>
          </cell>
          <cell r="AW81">
            <v>0</v>
          </cell>
          <cell r="AX81">
            <v>1245.1264000000001</v>
          </cell>
          <cell r="AY81">
            <v>0</v>
          </cell>
          <cell r="AZ81">
            <v>0</v>
          </cell>
          <cell r="BA81">
            <v>6.4181599999999994</v>
          </cell>
          <cell r="BB81">
            <v>-148.75945999999999</v>
          </cell>
          <cell r="BC81">
            <v>-1.1535700000000002</v>
          </cell>
          <cell r="BD81">
            <v>0</v>
          </cell>
          <cell r="BE81">
            <v>3160.2698499999997</v>
          </cell>
          <cell r="BF81">
            <v>-1361.6677799999982</v>
          </cell>
          <cell r="BG81">
            <v>-227.49795999999998</v>
          </cell>
          <cell r="BH81">
            <v>1240.4367200000002</v>
          </cell>
          <cell r="BI81">
            <v>-31.747340000000001</v>
          </cell>
          <cell r="BJ81">
            <v>0</v>
          </cell>
          <cell r="BK81">
            <v>4435.3464100000301</v>
          </cell>
        </row>
        <row r="82">
          <cell r="C82">
            <v>103161.83771000004</v>
          </cell>
          <cell r="N82">
            <v>67129.324970000031</v>
          </cell>
          <cell r="O82">
            <v>-1177.34114</v>
          </cell>
          <cell r="P82">
            <v>0</v>
          </cell>
          <cell r="Q82">
            <v>-582.577</v>
          </cell>
          <cell r="R82">
            <v>48.2545</v>
          </cell>
          <cell r="S82">
            <v>-749.24329000000012</v>
          </cell>
          <cell r="T82">
            <v>-15.64958</v>
          </cell>
          <cell r="U82">
            <v>0</v>
          </cell>
          <cell r="V82">
            <v>-57015.251479999992</v>
          </cell>
          <cell r="W82">
            <v>0</v>
          </cell>
          <cell r="X82">
            <v>-400</v>
          </cell>
          <cell r="Y82">
            <v>-785.03514999999993</v>
          </cell>
          <cell r="Z82">
            <v>9083.5157099999997</v>
          </cell>
          <cell r="AA82">
            <v>104.82436999999999</v>
          </cell>
          <cell r="AB82">
            <v>0</v>
          </cell>
          <cell r="AC82">
            <v>-40270.114850000013</v>
          </cell>
          <cell r="AD82">
            <v>753.45389</v>
          </cell>
          <cell r="AE82">
            <v>-586.01374999999996</v>
          </cell>
          <cell r="AF82">
            <v>-288.8408</v>
          </cell>
          <cell r="AG82">
            <v>0</v>
          </cell>
          <cell r="AH82">
            <v>30533.273729999997</v>
          </cell>
          <cell r="AI82">
            <v>796.87847999999997</v>
          </cell>
          <cell r="AJ82">
            <v>6558.0059599999995</v>
          </cell>
          <cell r="AK82">
            <v>75.119469999999993</v>
          </cell>
          <cell r="AL82">
            <v>-7304.0957799999996</v>
          </cell>
          <cell r="AM82">
            <v>9046.8911000000007</v>
          </cell>
          <cell r="AN82">
            <v>-6443.682350000001</v>
          </cell>
          <cell r="AO82">
            <v>-2620.7932499999997</v>
          </cell>
          <cell r="AP82">
            <v>-203.36001000000002</v>
          </cell>
          <cell r="AQ82">
            <v>-2092.8889399999998</v>
          </cell>
          <cell r="AR82">
            <v>-1379.29322</v>
          </cell>
          <cell r="AT82">
            <v>-5655.7190200000005</v>
          </cell>
          <cell r="AU82">
            <v>0</v>
          </cell>
          <cell r="AV82">
            <v>0</v>
          </cell>
          <cell r="AW82">
            <v>0</v>
          </cell>
          <cell r="AX82">
            <v>2961.6175199999998</v>
          </cell>
          <cell r="AY82">
            <v>0</v>
          </cell>
          <cell r="AZ82">
            <v>0</v>
          </cell>
          <cell r="BA82">
            <v>13.797540000000001</v>
          </cell>
          <cell r="BB82">
            <v>-531.35837000000004</v>
          </cell>
          <cell r="BC82">
            <v>-0.27172000000000002</v>
          </cell>
          <cell r="BD82">
            <v>0</v>
          </cell>
          <cell r="BE82">
            <v>2424.7420900000006</v>
          </cell>
          <cell r="BF82">
            <v>260.36040999996766</v>
          </cell>
          <cell r="BG82">
            <v>-206.55282000000008</v>
          </cell>
          <cell r="BH82">
            <v>-211.63413999999972</v>
          </cell>
          <cell r="BI82">
            <v>-0.91248999999999958</v>
          </cell>
          <cell r="BJ82">
            <v>0</v>
          </cell>
          <cell r="BK82">
            <v>1269.4305899999958</v>
          </cell>
        </row>
        <row r="83">
          <cell r="C83">
            <v>88194.113201116765</v>
          </cell>
          <cell r="N83">
            <v>61994.532650014364</v>
          </cell>
          <cell r="O83">
            <v>-12146.950984750238</v>
          </cell>
          <cell r="P83">
            <v>0</v>
          </cell>
          <cell r="Q83">
            <v>-7.5</v>
          </cell>
          <cell r="R83">
            <v>0</v>
          </cell>
          <cell r="S83">
            <v>-2074.6824282930875</v>
          </cell>
          <cell r="T83">
            <v>-264.78696584439433</v>
          </cell>
          <cell r="U83">
            <v>0</v>
          </cell>
          <cell r="V83">
            <v>-43495.256941717846</v>
          </cell>
          <cell r="W83">
            <v>0</v>
          </cell>
          <cell r="X83">
            <v>-242.5</v>
          </cell>
          <cell r="Y83">
            <v>-938.50126329844318</v>
          </cell>
          <cell r="Z83">
            <v>8796.0150303034115</v>
          </cell>
          <cell r="AA83">
            <v>0</v>
          </cell>
          <cell r="AB83">
            <v>0</v>
          </cell>
          <cell r="AC83">
            <v>-21415.318408167244</v>
          </cell>
          <cell r="AD83">
            <v>0</v>
          </cell>
          <cell r="AE83">
            <v>0</v>
          </cell>
          <cell r="AF83">
            <v>-604.45416917836928</v>
          </cell>
          <cell r="AG83">
            <v>0</v>
          </cell>
          <cell r="AH83">
            <v>22763.604041058901</v>
          </cell>
          <cell r="AI83">
            <v>938.50126329844318</v>
          </cell>
          <cell r="AJ83">
            <v>0</v>
          </cell>
          <cell r="AK83">
            <v>0</v>
          </cell>
          <cell r="AL83">
            <v>-3694.8292341092797</v>
          </cell>
          <cell r="AM83">
            <v>0</v>
          </cell>
          <cell r="AN83">
            <v>0</v>
          </cell>
          <cell r="AO83">
            <v>-2045.9704449503349</v>
          </cell>
          <cell r="AP83">
            <v>-145.2360058649223</v>
          </cell>
          <cell r="AQ83">
            <v>-2849.3009176474548</v>
          </cell>
          <cell r="AR83">
            <v>-1641.9128603581423</v>
          </cell>
          <cell r="AT83">
            <v>-4889.9043448458324</v>
          </cell>
          <cell r="AU83">
            <v>1078.4193638559725</v>
          </cell>
          <cell r="AV83">
            <v>0</v>
          </cell>
          <cell r="AW83">
            <v>0</v>
          </cell>
          <cell r="AX83">
            <v>3731.5823561057259</v>
          </cell>
          <cell r="AY83">
            <v>0</v>
          </cell>
          <cell r="AZ83">
            <v>0</v>
          </cell>
          <cell r="BA83">
            <v>76.246241471169299</v>
          </cell>
          <cell r="BB83">
            <v>-764.9344785627527</v>
          </cell>
          <cell r="BC83">
            <v>0</v>
          </cell>
          <cell r="BD83">
            <v>0</v>
          </cell>
          <cell r="BE83">
            <v>1720.7671049999997</v>
          </cell>
          <cell r="BF83">
            <v>-2077.5387424999999</v>
          </cell>
          <cell r="BG83">
            <v>-76.246241471169299</v>
          </cell>
          <cell r="BH83">
            <v>0</v>
          </cell>
          <cell r="BI83">
            <v>0</v>
          </cell>
          <cell r="BJ83">
            <v>0</v>
          </cell>
          <cell r="BK83">
            <v>1723.8436195484733</v>
          </cell>
        </row>
        <row r="91">
          <cell r="C91">
            <v>85419.641390000004</v>
          </cell>
        </row>
      </sheetData>
      <sheetData sheetId="3" refreshError="1">
        <row r="21">
          <cell r="C21">
            <v>61293.756090000003</v>
          </cell>
          <cell r="N21">
            <v>47798.311140000005</v>
          </cell>
          <cell r="O21">
            <v>6129.9297900000001</v>
          </cell>
          <cell r="P21">
            <v>0</v>
          </cell>
          <cell r="Q21">
            <v>-15.778</v>
          </cell>
          <cell r="R21">
            <v>76.724510000000009</v>
          </cell>
          <cell r="S21">
            <v>-2150.9451899999999</v>
          </cell>
          <cell r="T21">
            <v>-607.83604000000003</v>
          </cell>
          <cell r="U21">
            <v>-1489.5457200000001</v>
          </cell>
          <cell r="V21">
            <v>-35928.182146182982</v>
          </cell>
          <cell r="W21">
            <v>0</v>
          </cell>
          <cell r="X21">
            <v>-7733.1811838170161</v>
          </cell>
          <cell r="Y21">
            <v>-540.63380000000006</v>
          </cell>
          <cell r="Z21">
            <v>3854.4326400000004</v>
          </cell>
          <cell r="AA21">
            <v>62.090980000000002</v>
          </cell>
          <cell r="AB21">
            <v>-1700</v>
          </cell>
          <cell r="AC21">
            <v>-39867.898230000006</v>
          </cell>
          <cell r="AD21">
            <v>1127.1288299999999</v>
          </cell>
          <cell r="AE21">
            <v>-1381.6792499999999</v>
          </cell>
          <cell r="AF21">
            <v>-1582.3796800000002</v>
          </cell>
          <cell r="AG21">
            <v>0</v>
          </cell>
          <cell r="AH21">
            <v>33826.697490000006</v>
          </cell>
          <cell r="AI21">
            <v>3686.1739300000004</v>
          </cell>
          <cell r="AJ21">
            <v>4117.79684</v>
          </cell>
          <cell r="AK21">
            <v>-266.16157000000004</v>
          </cell>
          <cell r="AL21">
            <v>-4262.8535600000005</v>
          </cell>
          <cell r="AM21">
            <v>2973.5365700000002</v>
          </cell>
          <cell r="AN21">
            <v>-2226.1157499999995</v>
          </cell>
          <cell r="AO21">
            <v>-673.42499999999995</v>
          </cell>
          <cell r="AP21">
            <v>-187.17743999999999</v>
          </cell>
          <cell r="AQ21">
            <v>-2303.33214</v>
          </cell>
          <cell r="AR21">
            <v>-1006.58141</v>
          </cell>
          <cell r="AT21">
            <v>-1285.8064599999998</v>
          </cell>
          <cell r="AU21">
            <v>-150.09875999999997</v>
          </cell>
          <cell r="AV21">
            <v>0</v>
          </cell>
          <cell r="AW21">
            <v>0</v>
          </cell>
          <cell r="AX21">
            <v>687.7501107061056</v>
          </cell>
          <cell r="AY21">
            <v>0</v>
          </cell>
          <cell r="AZ21">
            <v>131.29111929389444</v>
          </cell>
          <cell r="BA21">
            <v>9.7892600000000005</v>
          </cell>
          <cell r="BB21">
            <v>-72.760599999999997</v>
          </cell>
          <cell r="BC21">
            <v>-1.1574800000000001</v>
          </cell>
          <cell r="BD21">
            <v>0</v>
          </cell>
          <cell r="BE21">
            <v>2857.6946800000005</v>
          </cell>
          <cell r="BF21">
            <v>-2315.0367599999886</v>
          </cell>
          <cell r="BG21">
            <v>-532.42942000000016</v>
          </cell>
          <cell r="BH21">
            <v>-1113.6329200000002</v>
          </cell>
          <cell r="BI21">
            <v>51.667040000000007</v>
          </cell>
          <cell r="BJ21">
            <v>4.8714809963712468E-14</v>
          </cell>
          <cell r="BK21">
            <v>-2003.6135799999752</v>
          </cell>
        </row>
        <row r="22">
          <cell r="C22">
            <v>56666.457889999998</v>
          </cell>
          <cell r="N22">
            <v>42317.605239999997</v>
          </cell>
          <cell r="O22">
            <v>4399.4451499999996</v>
          </cell>
          <cell r="P22">
            <v>0</v>
          </cell>
          <cell r="Q22">
            <v>-120.22499999999999</v>
          </cell>
          <cell r="R22">
            <v>122.50194999999999</v>
          </cell>
          <cell r="S22">
            <v>-2418.0787799999998</v>
          </cell>
          <cell r="T22">
            <v>-81.039230000000003</v>
          </cell>
          <cell r="U22">
            <v>-1236.0203100000001</v>
          </cell>
          <cell r="V22">
            <v>-29368.743536159924</v>
          </cell>
          <cell r="W22">
            <v>0</v>
          </cell>
          <cell r="X22">
            <v>-6118.8372838400765</v>
          </cell>
          <cell r="Y22">
            <v>-582.91508999999996</v>
          </cell>
          <cell r="Z22">
            <v>2740.3164899999997</v>
          </cell>
          <cell r="AA22">
            <v>66.830120000000008</v>
          </cell>
          <cell r="AB22">
            <v>-720</v>
          </cell>
          <cell r="AC22">
            <v>-35900.207269999992</v>
          </cell>
          <cell r="AD22">
            <v>1098.8572400000003</v>
          </cell>
          <cell r="AE22">
            <v>-1571.18172</v>
          </cell>
          <cell r="AF22">
            <v>-1475.4820500000001</v>
          </cell>
          <cell r="AG22">
            <v>0</v>
          </cell>
          <cell r="AH22">
            <v>34520.954550000002</v>
          </cell>
          <cell r="AI22">
            <v>734.35541000000001</v>
          </cell>
          <cell r="AJ22">
            <v>-914.94600999999977</v>
          </cell>
          <cell r="AK22">
            <v>-15.498649999999998</v>
          </cell>
          <cell r="AL22">
            <v>-4195.632450000001</v>
          </cell>
          <cell r="AM22">
            <v>2907.22541</v>
          </cell>
          <cell r="AN22">
            <v>-2058.7031299999999</v>
          </cell>
          <cell r="AO22">
            <v>-287.34338000000002</v>
          </cell>
          <cell r="AP22">
            <v>-105.16149999999999</v>
          </cell>
          <cell r="AQ22">
            <v>-2036.5943799999998</v>
          </cell>
          <cell r="AR22">
            <v>-1061.8751200000002</v>
          </cell>
          <cell r="AT22">
            <v>-3909.8531800000028</v>
          </cell>
          <cell r="AU22">
            <v>-6.3577000000000012</v>
          </cell>
          <cell r="AV22">
            <v>0</v>
          </cell>
          <cell r="AW22">
            <v>0</v>
          </cell>
          <cell r="AX22">
            <v>2954.5466356387592</v>
          </cell>
          <cell r="AY22">
            <v>0</v>
          </cell>
          <cell r="AZ22">
            <v>45.410444361240948</v>
          </cell>
          <cell r="BA22">
            <v>44.825570000000006</v>
          </cell>
          <cell r="BB22">
            <v>-231.62548999999999</v>
          </cell>
          <cell r="BC22">
            <v>-5.20031</v>
          </cell>
          <cell r="BD22">
            <v>0</v>
          </cell>
          <cell r="BE22">
            <v>2654.9339400000008</v>
          </cell>
          <cell r="BF22">
            <v>-3505.3527499999987</v>
          </cell>
          <cell r="BG22">
            <v>11.558460000000018</v>
          </cell>
          <cell r="BH22">
            <v>-160.59283999999994</v>
          </cell>
          <cell r="BI22">
            <v>-19.314699999999998</v>
          </cell>
          <cell r="BJ22">
            <v>-8.003553375601768E-14</v>
          </cell>
          <cell r="BK22">
            <v>-3487.4152499999982</v>
          </cell>
        </row>
        <row r="23">
          <cell r="C23">
            <v>55866.577911933331</v>
          </cell>
          <cell r="N23">
            <v>42840.960205461291</v>
          </cell>
          <cell r="O23">
            <v>-8019.1410528872766</v>
          </cell>
          <cell r="P23">
            <v>0</v>
          </cell>
          <cell r="Q23">
            <v>-2064.6502504291361</v>
          </cell>
          <cell r="R23">
            <v>0</v>
          </cell>
          <cell r="S23">
            <v>-4128.7449885230744</v>
          </cell>
          <cell r="T23">
            <v>-205.07875525123541</v>
          </cell>
          <cell r="U23">
            <v>0</v>
          </cell>
          <cell r="V23">
            <v>-17063.701477777675</v>
          </cell>
          <cell r="W23">
            <v>0</v>
          </cell>
          <cell r="X23">
            <v>-4305.7191722574644</v>
          </cell>
          <cell r="Y23">
            <v>-503.50373120417908</v>
          </cell>
          <cell r="Z23">
            <v>1981.0370121066437</v>
          </cell>
          <cell r="AA23">
            <v>0</v>
          </cell>
          <cell r="AB23">
            <v>0</v>
          </cell>
          <cell r="AC23">
            <v>-23258.635486967538</v>
          </cell>
          <cell r="AD23">
            <v>0</v>
          </cell>
          <cell r="AE23">
            <v>0</v>
          </cell>
          <cell r="AF23">
            <v>-1343.1117849307607</v>
          </cell>
          <cell r="AG23">
            <v>0</v>
          </cell>
          <cell r="AH23">
            <v>24601.747271898297</v>
          </cell>
          <cell r="AI23">
            <v>503.50373120417908</v>
          </cell>
          <cell r="AJ23">
            <v>0</v>
          </cell>
          <cell r="AK23">
            <v>0</v>
          </cell>
          <cell r="AL23">
            <v>-3404.7769446396046</v>
          </cell>
          <cell r="AM23">
            <v>0</v>
          </cell>
          <cell r="AN23">
            <v>0</v>
          </cell>
          <cell r="AO23">
            <v>-703.91492109870251</v>
          </cell>
          <cell r="AP23">
            <v>-169.72835583574215</v>
          </cell>
          <cell r="AQ23">
            <v>-2493.0110410193779</v>
          </cell>
          <cell r="AR23">
            <v>-1426.5330477815905</v>
          </cell>
          <cell r="AT23">
            <v>-4410.0296681518594</v>
          </cell>
          <cell r="AU23">
            <v>941.92735727375248</v>
          </cell>
          <cell r="AV23">
            <v>0</v>
          </cell>
          <cell r="AW23">
            <v>36.464371374231085</v>
          </cell>
          <cell r="AX23">
            <v>1810.8301498255992</v>
          </cell>
          <cell r="AY23">
            <v>0</v>
          </cell>
          <cell r="AZ23">
            <v>75.37507908588546</v>
          </cell>
          <cell r="BA23">
            <v>44.160712964491061</v>
          </cell>
          <cell r="BB23">
            <v>-180.40528913866618</v>
          </cell>
          <cell r="BC23">
            <v>0</v>
          </cell>
          <cell r="BD23">
            <v>0</v>
          </cell>
          <cell r="BE23">
            <v>1819.7712339131181</v>
          </cell>
          <cell r="BF23">
            <v>-2161.3707697464515</v>
          </cell>
          <cell r="BG23">
            <v>-44.160712964491061</v>
          </cell>
          <cell r="BH23">
            <v>0</v>
          </cell>
          <cell r="BI23">
            <v>0</v>
          </cell>
          <cell r="BJ23">
            <v>0</v>
          </cell>
          <cell r="BK23">
            <v>-1230.440325497334</v>
          </cell>
        </row>
        <row r="25">
          <cell r="C25">
            <v>39628.817059999994</v>
          </cell>
          <cell r="N25">
            <v>32326.091659999991</v>
          </cell>
          <cell r="O25">
            <v>-8734.3473000000013</v>
          </cell>
          <cell r="P25">
            <v>-7.2599999999999998E-2</v>
          </cell>
          <cell r="Q25">
            <v>0</v>
          </cell>
          <cell r="R25">
            <v>865.83190999999988</v>
          </cell>
          <cell r="S25">
            <v>-1471.87086</v>
          </cell>
          <cell r="T25">
            <v>-194.62858000000003</v>
          </cell>
          <cell r="U25">
            <v>0</v>
          </cell>
          <cell r="V25">
            <v>-8872.6191899999994</v>
          </cell>
          <cell r="W25">
            <v>-3.4964400000000002</v>
          </cell>
          <cell r="X25">
            <v>0</v>
          </cell>
          <cell r="Y25">
            <v>-33.08746</v>
          </cell>
          <cell r="Z25">
            <v>135.27289000000002</v>
          </cell>
          <cell r="AA25">
            <v>0.46919</v>
          </cell>
          <cell r="AB25">
            <v>0</v>
          </cell>
          <cell r="AC25">
            <v>-13764.423900000002</v>
          </cell>
          <cell r="AD25">
            <v>6556.1820600000001</v>
          </cell>
          <cell r="AE25">
            <v>-498.65048999999999</v>
          </cell>
          <cell r="AF25">
            <v>-322.16865999999999</v>
          </cell>
          <cell r="AG25">
            <v>0</v>
          </cell>
          <cell r="AH25">
            <v>5272.5602199999994</v>
          </cell>
          <cell r="AI25">
            <v>247.83085999999997</v>
          </cell>
          <cell r="AJ25">
            <v>151.22643000000002</v>
          </cell>
          <cell r="AK25">
            <v>-1.0455000000000001</v>
          </cell>
          <cell r="AL25">
            <v>-5413.9359100000029</v>
          </cell>
          <cell r="AM25">
            <v>3625.2263700000003</v>
          </cell>
          <cell r="AN25">
            <v>-2898.6193099999996</v>
          </cell>
          <cell r="AO25">
            <v>-885.99612999999999</v>
          </cell>
          <cell r="AP25">
            <v>-144.96061</v>
          </cell>
          <cell r="AQ25">
            <v>-2154.1603300000002</v>
          </cell>
          <cell r="AR25">
            <v>-846.02116000000001</v>
          </cell>
          <cell r="AT25">
            <v>-1204.8222299999995</v>
          </cell>
          <cell r="AU25">
            <v>64.904989999999984</v>
          </cell>
          <cell r="AV25">
            <v>0</v>
          </cell>
          <cell r="AW25">
            <v>0</v>
          </cell>
          <cell r="AX25">
            <v>387.14400000000001</v>
          </cell>
          <cell r="AY25">
            <v>0</v>
          </cell>
          <cell r="AZ25">
            <v>0</v>
          </cell>
          <cell r="BA25">
            <v>1.27044</v>
          </cell>
          <cell r="BB25">
            <v>-5.9336299999999991</v>
          </cell>
          <cell r="BC25">
            <v>-1.797E-2</v>
          </cell>
          <cell r="BD25">
            <v>0</v>
          </cell>
          <cell r="BE25">
            <v>249.95432</v>
          </cell>
          <cell r="BF25">
            <v>-808.05399999999997</v>
          </cell>
          <cell r="BG25">
            <v>-7.2444399999999982</v>
          </cell>
          <cell r="BH25">
            <v>-7.5227800000000009</v>
          </cell>
          <cell r="BI25">
            <v>1.8679999999999995E-2</v>
          </cell>
          <cell r="BJ25">
            <v>6.5483618527650828E-14</v>
          </cell>
          <cell r="BK25">
            <v>1610.2845399999885</v>
          </cell>
        </row>
        <row r="26">
          <cell r="C26">
            <v>40996.110250000012</v>
          </cell>
          <cell r="N26">
            <v>32366.543129999998</v>
          </cell>
          <cell r="O26">
            <v>-7817.5620599999984</v>
          </cell>
          <cell r="P26">
            <v>0</v>
          </cell>
          <cell r="Q26">
            <v>0</v>
          </cell>
          <cell r="R26">
            <v>673.11060999999995</v>
          </cell>
          <cell r="S26">
            <v>-1421.5252799999998</v>
          </cell>
          <cell r="T26">
            <v>-196.87992</v>
          </cell>
          <cell r="U26">
            <v>0</v>
          </cell>
          <cell r="V26">
            <v>-10747.736340000001</v>
          </cell>
          <cell r="W26">
            <v>0</v>
          </cell>
          <cell r="X26">
            <v>0</v>
          </cell>
          <cell r="Y26">
            <v>-108.75929000000001</v>
          </cell>
          <cell r="Z26">
            <v>181.40987999999999</v>
          </cell>
          <cell r="AA26">
            <v>1.8150899999999999</v>
          </cell>
          <cell r="AB26">
            <v>0</v>
          </cell>
          <cell r="AC26">
            <v>-16058.21931</v>
          </cell>
          <cell r="AD26">
            <v>5937.7263199999998</v>
          </cell>
          <cell r="AE26">
            <v>-443.54422999999997</v>
          </cell>
          <cell r="AF26">
            <v>-374.03110999999996</v>
          </cell>
          <cell r="AG26">
            <v>0</v>
          </cell>
          <cell r="AH26">
            <v>11264.00302</v>
          </cell>
          <cell r="AI26">
            <v>126.75324999999999</v>
          </cell>
          <cell r="AJ26">
            <v>-49.103979999999993</v>
          </cell>
          <cell r="AK26">
            <v>-0.56990000000000007</v>
          </cell>
          <cell r="AL26">
            <v>-5488.0179299999982</v>
          </cell>
          <cell r="AM26">
            <v>3654.7074799999996</v>
          </cell>
          <cell r="AN26">
            <v>-2741.5735000000004</v>
          </cell>
          <cell r="AO26">
            <v>-1042.0755099999999</v>
          </cell>
          <cell r="AP26">
            <v>-97.790839999999989</v>
          </cell>
          <cell r="AQ26">
            <v>-1748.0077200000001</v>
          </cell>
          <cell r="AR26">
            <v>-858.78854999999999</v>
          </cell>
          <cell r="AT26">
            <v>-1632.5117</v>
          </cell>
          <cell r="AU26">
            <v>32.768280000000004</v>
          </cell>
          <cell r="AV26">
            <v>0</v>
          </cell>
          <cell r="AW26">
            <v>0</v>
          </cell>
          <cell r="AX26">
            <v>458.15300000000002</v>
          </cell>
          <cell r="AY26">
            <v>0</v>
          </cell>
          <cell r="AZ26">
            <v>0</v>
          </cell>
          <cell r="BA26">
            <v>5.7855299999999996</v>
          </cell>
          <cell r="BB26">
            <v>-7.7726300000000013</v>
          </cell>
          <cell r="BC26">
            <v>-8.9380000000000001E-2</v>
          </cell>
          <cell r="BD26">
            <v>0</v>
          </cell>
          <cell r="BE26">
            <v>553.31354999999996</v>
          </cell>
          <cell r="BF26">
            <v>-829.72857000000022</v>
          </cell>
          <cell r="BG26">
            <v>-13.200380000000003</v>
          </cell>
          <cell r="BH26">
            <v>-7.7422199999999997</v>
          </cell>
          <cell r="BI26">
            <v>-3.0760000000000006E-2</v>
          </cell>
          <cell r="BJ26">
            <v>3.3651303965598343E-14</v>
          </cell>
          <cell r="BK26">
            <v>3570.8280300000015</v>
          </cell>
        </row>
        <row r="27">
          <cell r="C27">
            <v>43326.823316958042</v>
          </cell>
          <cell r="N27">
            <v>32958.818618406411</v>
          </cell>
          <cell r="O27">
            <v>-11689.40104318637</v>
          </cell>
          <cell r="P27">
            <v>-647.4133388964558</v>
          </cell>
          <cell r="Q27">
            <v>0</v>
          </cell>
          <cell r="R27">
            <v>0</v>
          </cell>
          <cell r="S27">
            <v>-2328.4491189233822</v>
          </cell>
          <cell r="T27">
            <v>-814.32854640778817</v>
          </cell>
          <cell r="U27">
            <v>0</v>
          </cell>
          <cell r="V27">
            <v>-3965.2512410069239</v>
          </cell>
          <cell r="W27">
            <v>-224.69223456764877</v>
          </cell>
          <cell r="X27">
            <v>0</v>
          </cell>
          <cell r="Y27">
            <v>-107.88229245535516</v>
          </cell>
          <cell r="Z27">
            <v>50.982151448220947</v>
          </cell>
          <cell r="AA27">
            <v>0</v>
          </cell>
          <cell r="AB27">
            <v>0</v>
          </cell>
          <cell r="AC27">
            <v>-2760.4299942506291</v>
          </cell>
          <cell r="AD27">
            <v>0</v>
          </cell>
          <cell r="AE27">
            <v>0</v>
          </cell>
          <cell r="AF27">
            <v>-327.01722036497694</v>
          </cell>
          <cell r="AG27">
            <v>0</v>
          </cell>
          <cell r="AH27">
            <v>3087.4472146156063</v>
          </cell>
          <cell r="AI27">
            <v>107.88229245535516</v>
          </cell>
          <cell r="AJ27">
            <v>0</v>
          </cell>
          <cell r="AK27">
            <v>0</v>
          </cell>
          <cell r="AL27">
            <v>-4662.3776743509488</v>
          </cell>
          <cell r="AM27">
            <v>0</v>
          </cell>
          <cell r="AN27">
            <v>0</v>
          </cell>
          <cell r="AO27">
            <v>-920.19387373957238</v>
          </cell>
          <cell r="AP27">
            <v>-129.99699627873756</v>
          </cell>
          <cell r="AQ27">
            <v>-2334.3857953700876</v>
          </cell>
          <cell r="AR27">
            <v>-1266.2806249689429</v>
          </cell>
          <cell r="AT27">
            <v>-2765.0052945913721</v>
          </cell>
          <cell r="AU27">
            <v>602.3807968044249</v>
          </cell>
          <cell r="AV27">
            <v>100.30347504029595</v>
          </cell>
          <cell r="AW27">
            <v>0</v>
          </cell>
          <cell r="AX27">
            <v>221.18400819557522</v>
          </cell>
          <cell r="AY27">
            <v>34.811472961185004</v>
          </cell>
          <cell r="AZ27">
            <v>0</v>
          </cell>
          <cell r="BA27">
            <v>5.6989041371577791</v>
          </cell>
          <cell r="BB27">
            <v>-2.8235481640213824</v>
          </cell>
          <cell r="BC27">
            <v>0</v>
          </cell>
          <cell r="BD27">
            <v>0</v>
          </cell>
          <cell r="BE27">
            <v>217.15742799998975</v>
          </cell>
          <cell r="BF27">
            <v>-217.15742799998975</v>
          </cell>
          <cell r="BG27">
            <v>-5.6989041371577791</v>
          </cell>
          <cell r="BH27">
            <v>0</v>
          </cell>
          <cell r="BI27">
            <v>0</v>
          </cell>
          <cell r="BJ27">
            <v>0</v>
          </cell>
          <cell r="BK27">
            <v>2217.8811924038614</v>
          </cell>
        </row>
        <row r="29">
          <cell r="C29">
            <v>100922.57315</v>
          </cell>
          <cell r="N29">
            <v>80124.402799999996</v>
          </cell>
          <cell r="O29">
            <v>-2604.4175100000011</v>
          </cell>
          <cell r="P29">
            <v>-7.2599999999999998E-2</v>
          </cell>
          <cell r="Q29">
            <v>-15.778</v>
          </cell>
          <cell r="R29">
            <v>942.55641999999989</v>
          </cell>
          <cell r="S29">
            <v>-3622.8160499999999</v>
          </cell>
          <cell r="T29">
            <v>-802.46462000000008</v>
          </cell>
          <cell r="U29">
            <v>-1489.5457200000001</v>
          </cell>
          <cell r="V29">
            <v>-44800.80133618298</v>
          </cell>
          <cell r="W29">
            <v>-3.4964400000000002</v>
          </cell>
          <cell r="X29">
            <v>-7733.1811838170161</v>
          </cell>
          <cell r="Y29">
            <v>-573.72126000000003</v>
          </cell>
          <cell r="Z29">
            <v>3989.7055300000006</v>
          </cell>
          <cell r="AA29">
            <v>62.560169999999999</v>
          </cell>
          <cell r="AB29">
            <v>-1700</v>
          </cell>
          <cell r="AC29">
            <v>-53632.322130000008</v>
          </cell>
          <cell r="AD29">
            <v>7683.3108899999997</v>
          </cell>
          <cell r="AE29">
            <v>-1880.3297399999999</v>
          </cell>
          <cell r="AF29">
            <v>-1904.5483400000003</v>
          </cell>
          <cell r="AG29">
            <v>0</v>
          </cell>
          <cell r="AH29">
            <v>39099.257710000005</v>
          </cell>
          <cell r="AI29">
            <v>3934.0047900000004</v>
          </cell>
          <cell r="AJ29">
            <v>4269.0232699999997</v>
          </cell>
          <cell r="AK29">
            <v>-267.20707000000004</v>
          </cell>
          <cell r="AL29">
            <v>-9676.7894700000033</v>
          </cell>
          <cell r="AM29">
            <v>6598.7629400000005</v>
          </cell>
          <cell r="AN29">
            <v>-5124.7350599999991</v>
          </cell>
          <cell r="AO29">
            <v>-1559.4211299999999</v>
          </cell>
          <cell r="AP29">
            <v>-332.13805000000002</v>
          </cell>
          <cell r="AQ29">
            <v>-4457.4924700000001</v>
          </cell>
          <cell r="AR29">
            <v>-1852.60257</v>
          </cell>
          <cell r="AT29">
            <v>-2490.6286899999996</v>
          </cell>
          <cell r="AU29">
            <v>-85.193769999999986</v>
          </cell>
          <cell r="AV29">
            <v>0</v>
          </cell>
          <cell r="AW29">
            <v>0</v>
          </cell>
          <cell r="AX29">
            <v>1074.8941107061055</v>
          </cell>
          <cell r="AY29">
            <v>0</v>
          </cell>
          <cell r="AZ29">
            <v>131.29111929389444</v>
          </cell>
          <cell r="BA29">
            <v>11.059700000000001</v>
          </cell>
          <cell r="BB29">
            <v>-78.69422999999999</v>
          </cell>
          <cell r="BC29">
            <v>-1.1754500000000001</v>
          </cell>
          <cell r="BD29">
            <v>0</v>
          </cell>
          <cell r="BE29">
            <v>3107.6490000000003</v>
          </cell>
          <cell r="BF29">
            <v>-3123.0907599999887</v>
          </cell>
          <cell r="BG29">
            <v>-539.67386000000022</v>
          </cell>
          <cell r="BH29">
            <v>-1121.1557000000003</v>
          </cell>
          <cell r="BI29">
            <v>51.685720000000011</v>
          </cell>
          <cell r="BJ29">
            <v>1.141984284913633E-13</v>
          </cell>
          <cell r="BK29">
            <v>-393.32903999998666</v>
          </cell>
          <cell r="EA29">
            <v>22023.731459999995</v>
          </cell>
          <cell r="EL29">
            <v>28617.283150000003</v>
          </cell>
          <cell r="EM29">
            <v>-5012.9828199999993</v>
          </cell>
          <cell r="EN29">
            <v>-7.2599999999999998E-2</v>
          </cell>
          <cell r="EO29">
            <v>-6.5050000000000008</v>
          </cell>
          <cell r="EP29">
            <v>680.85932999999989</v>
          </cell>
          <cell r="EQ29">
            <v>-1158.6159200000002</v>
          </cell>
          <cell r="ER29">
            <v>-509.54383000000007</v>
          </cell>
          <cell r="ES29">
            <v>-496.51524000000006</v>
          </cell>
          <cell r="ET29">
            <v>-11981.467476983833</v>
          </cell>
          <cell r="EU29">
            <v>-3.4964400000000002</v>
          </cell>
          <cell r="EV29">
            <v>-3003.0967430161663</v>
          </cell>
          <cell r="EW29">
            <v>-573.72126000000003</v>
          </cell>
          <cell r="EX29">
            <v>1294.4637100000004</v>
          </cell>
          <cell r="EY29">
            <v>62.560169999999999</v>
          </cell>
          <cell r="EZ29">
            <v>-1700</v>
          </cell>
          <cell r="FA29">
            <v>-14701.533520000001</v>
          </cell>
          <cell r="FB29">
            <v>2589.9522100000004</v>
          </cell>
          <cell r="FC29">
            <v>-460.75752999999986</v>
          </cell>
          <cell r="FD29">
            <v>-489.87902000000003</v>
          </cell>
          <cell r="FE29">
            <v>0</v>
          </cell>
          <cell r="FF29">
            <v>15329.854530000004</v>
          </cell>
          <cell r="FG29">
            <v>3934.0047900000004</v>
          </cell>
          <cell r="FH29">
            <v>3119.7841000000003</v>
          </cell>
          <cell r="FI29">
            <v>-267.20707000000004</v>
          </cell>
          <cell r="FJ29">
            <v>-2331.3911800000005</v>
          </cell>
          <cell r="FK29">
            <v>1360.5047100000002</v>
          </cell>
          <cell r="FL29">
            <v>-1927.3806699999991</v>
          </cell>
          <cell r="FM29">
            <v>-468.90577000000002</v>
          </cell>
          <cell r="FN29">
            <v>-164.51255</v>
          </cell>
          <cell r="FO29">
            <v>-1486.1047500000002</v>
          </cell>
          <cell r="FP29">
            <v>-739.33452</v>
          </cell>
          <cell r="FR29">
            <v>-1146.5997199999997</v>
          </cell>
          <cell r="FS29">
            <v>-5.7613699999999994</v>
          </cell>
          <cell r="FT29">
            <v>0</v>
          </cell>
          <cell r="FU29">
            <v>0</v>
          </cell>
          <cell r="FV29">
            <v>577.48246545956135</v>
          </cell>
          <cell r="FW29">
            <v>0</v>
          </cell>
          <cell r="FX29">
            <v>110.86876454043875</v>
          </cell>
          <cell r="FY29">
            <v>11.059700000000001</v>
          </cell>
          <cell r="FZ29">
            <v>-47.508349999999993</v>
          </cell>
          <cell r="GA29">
            <v>-1.1754500000000001</v>
          </cell>
          <cell r="GB29">
            <v>0</v>
          </cell>
          <cell r="GC29">
            <v>1178.3840600000001</v>
          </cell>
          <cell r="GD29">
            <v>-1236.1103299999932</v>
          </cell>
          <cell r="GE29">
            <v>-539.67386000000022</v>
          </cell>
          <cell r="GF29">
            <v>-917.63891000000035</v>
          </cell>
          <cell r="GG29">
            <v>51.685720000000011</v>
          </cell>
          <cell r="GH29">
            <v>1.141984284913633E-13</v>
          </cell>
          <cell r="GI29">
            <v>7541.2555100000154</v>
          </cell>
        </row>
        <row r="30">
          <cell r="C30">
            <v>97662.568140000018</v>
          </cell>
          <cell r="N30">
            <v>74684.148369999995</v>
          </cell>
          <cell r="O30">
            <v>-3418.1169099999988</v>
          </cell>
          <cell r="P30">
            <v>0</v>
          </cell>
          <cell r="Q30">
            <v>-120.22499999999999</v>
          </cell>
          <cell r="R30">
            <v>795.61255999999992</v>
          </cell>
          <cell r="S30">
            <v>-3839.6040599999997</v>
          </cell>
          <cell r="T30">
            <v>-277.91915</v>
          </cell>
          <cell r="U30">
            <v>-1236.0203100000001</v>
          </cell>
          <cell r="V30">
            <v>-40116.479876159923</v>
          </cell>
          <cell r="W30">
            <v>0</v>
          </cell>
          <cell r="X30">
            <v>-6118.8372838400765</v>
          </cell>
          <cell r="Y30">
            <v>-691.67437999999993</v>
          </cell>
          <cell r="Z30">
            <v>2921.7263699999999</v>
          </cell>
          <cell r="AA30">
            <v>68.645210000000006</v>
          </cell>
          <cell r="AB30">
            <v>-720</v>
          </cell>
          <cell r="AC30">
            <v>-51958.426579999992</v>
          </cell>
          <cell r="AD30">
            <v>7036.58356</v>
          </cell>
          <cell r="AE30">
            <v>-2014.72595</v>
          </cell>
          <cell r="AF30">
            <v>-1849.51316</v>
          </cell>
          <cell r="AG30">
            <v>0</v>
          </cell>
          <cell r="AH30">
            <v>45784.957569999999</v>
          </cell>
          <cell r="AI30">
            <v>861.10865999999999</v>
          </cell>
          <cell r="AJ30">
            <v>-964.04998999999975</v>
          </cell>
          <cell r="AK30">
            <v>-16.068549999999998</v>
          </cell>
          <cell r="AL30">
            <v>-9683.6503799999991</v>
          </cell>
          <cell r="AM30">
            <v>6561.93289</v>
          </cell>
          <cell r="AN30">
            <v>-4800.2766300000003</v>
          </cell>
          <cell r="AO30">
            <v>-1329.4188899999999</v>
          </cell>
          <cell r="AP30">
            <v>-202.95233999999999</v>
          </cell>
          <cell r="AQ30">
            <v>-3784.6021000000001</v>
          </cell>
          <cell r="AR30">
            <v>-1920.6636700000001</v>
          </cell>
          <cell r="AT30">
            <v>-5542.3648800000028</v>
          </cell>
          <cell r="AU30">
            <v>26.410580000000003</v>
          </cell>
          <cell r="AV30">
            <v>0</v>
          </cell>
          <cell r="AW30">
            <v>0</v>
          </cell>
          <cell r="AX30">
            <v>3412.699635638759</v>
          </cell>
          <cell r="AY30">
            <v>0</v>
          </cell>
          <cell r="AZ30">
            <v>45.410444361240948</v>
          </cell>
          <cell r="BA30">
            <v>50.611100000000008</v>
          </cell>
          <cell r="BB30">
            <v>-239.39811999999998</v>
          </cell>
          <cell r="BC30">
            <v>-5.2896900000000002</v>
          </cell>
          <cell r="BD30">
            <v>0</v>
          </cell>
          <cell r="BE30">
            <v>3208.2474900000007</v>
          </cell>
          <cell r="BF30">
            <v>-4335.0813199999993</v>
          </cell>
          <cell r="BG30">
            <v>-1.6419199999999847</v>
          </cell>
          <cell r="BH30">
            <v>-168.33505999999994</v>
          </cell>
          <cell r="BI30">
            <v>-19.345459999999999</v>
          </cell>
          <cell r="BJ30">
            <v>-4.6384229790419337E-14</v>
          </cell>
          <cell r="BK30">
            <v>83.412780000003295</v>
          </cell>
          <cell r="EA30">
            <v>21463.096250000006</v>
          </cell>
          <cell r="EL30">
            <v>27298.353789999997</v>
          </cell>
          <cell r="EM30">
            <v>-4173.9718299999995</v>
          </cell>
          <cell r="EN30">
            <v>0</v>
          </cell>
          <cell r="EO30">
            <v>-86.852999999999994</v>
          </cell>
          <cell r="EP30">
            <v>720.01011999999992</v>
          </cell>
          <cell r="EQ30">
            <v>-1224.9475999999995</v>
          </cell>
          <cell r="ER30">
            <v>-148.01523</v>
          </cell>
          <cell r="ES30">
            <v>-412.00677000000007</v>
          </cell>
          <cell r="ET30">
            <v>-11047.452731992655</v>
          </cell>
          <cell r="EU30">
            <v>0</v>
          </cell>
          <cell r="EV30">
            <v>-1929.9336980073476</v>
          </cell>
          <cell r="EW30">
            <v>-691.67437999999993</v>
          </cell>
          <cell r="EX30">
            <v>885.4402799999998</v>
          </cell>
          <cell r="EY30">
            <v>68.645210000000006</v>
          </cell>
          <cell r="EZ30">
            <v>-720</v>
          </cell>
          <cell r="FA30">
            <v>-12619.750229999994</v>
          </cell>
          <cell r="FB30">
            <v>2002.7050499999998</v>
          </cell>
          <cell r="FC30">
            <v>-684.11351000000013</v>
          </cell>
          <cell r="FD30">
            <v>-544.42599999999993</v>
          </cell>
          <cell r="FE30">
            <v>0</v>
          </cell>
          <cell r="FF30">
            <v>4807.2699200000025</v>
          </cell>
          <cell r="FG30">
            <v>861.10865999999999</v>
          </cell>
          <cell r="FH30">
            <v>246.11958999999973</v>
          </cell>
          <cell r="FI30">
            <v>-16.068549999999998</v>
          </cell>
          <cell r="FJ30">
            <v>-2356.9922300000003</v>
          </cell>
          <cell r="FK30">
            <v>1283.4928500000001</v>
          </cell>
          <cell r="FL30">
            <v>-1800.55393</v>
          </cell>
          <cell r="FM30">
            <v>-436.36255999999992</v>
          </cell>
          <cell r="FN30">
            <v>-84.302669999999978</v>
          </cell>
          <cell r="FO30">
            <v>-1236.3926999999999</v>
          </cell>
          <cell r="FP30">
            <v>-669.85680000000002</v>
          </cell>
          <cell r="FR30">
            <v>-2109.0341700000022</v>
          </cell>
          <cell r="FS30">
            <v>59.533270000000002</v>
          </cell>
          <cell r="FT30">
            <v>0</v>
          </cell>
          <cell r="FU30">
            <v>0</v>
          </cell>
          <cell r="FV30">
            <v>1207.5321756387591</v>
          </cell>
          <cell r="FW30">
            <v>0</v>
          </cell>
          <cell r="FX30">
            <v>45.410444361240948</v>
          </cell>
          <cell r="FY30">
            <v>50.611100000000008</v>
          </cell>
          <cell r="FZ30">
            <v>-86.608749999999972</v>
          </cell>
          <cell r="GA30">
            <v>-5.2896900000000002</v>
          </cell>
          <cell r="GB30">
            <v>0</v>
          </cell>
          <cell r="GC30">
            <v>778.46952000000147</v>
          </cell>
          <cell r="GD30">
            <v>-2645.2049499999894</v>
          </cell>
          <cell r="GE30">
            <v>-1.6419199999999847</v>
          </cell>
          <cell r="GF30">
            <v>29.597750000000019</v>
          </cell>
          <cell r="GG30">
            <v>-19.345459999999999</v>
          </cell>
          <cell r="GH30">
            <v>-5.4569682106375692E-14</v>
          </cell>
          <cell r="GI30">
            <v>-5406.4996299999802</v>
          </cell>
        </row>
        <row r="31">
          <cell r="C31">
            <v>99193.401228891365</v>
          </cell>
          <cell r="N31">
            <v>75799.778823867702</v>
          </cell>
          <cell r="O31">
            <v>-19708.542096073645</v>
          </cell>
          <cell r="P31">
            <v>-647.4133388964558</v>
          </cell>
          <cell r="Q31">
            <v>-2064.6502504291361</v>
          </cell>
          <cell r="R31">
            <v>0</v>
          </cell>
          <cell r="S31">
            <v>-6457.1941074464567</v>
          </cell>
          <cell r="T31">
            <v>-1019.4073016590236</v>
          </cell>
          <cell r="U31">
            <v>0</v>
          </cell>
          <cell r="V31">
            <v>-21028.9527187846</v>
          </cell>
          <cell r="W31">
            <v>-224.69223456764877</v>
          </cell>
          <cell r="X31">
            <v>-4305.7191722574644</v>
          </cell>
          <cell r="Y31">
            <v>-611.3860236595342</v>
          </cell>
          <cell r="Z31">
            <v>2032.0191635548647</v>
          </cell>
          <cell r="AA31">
            <v>0</v>
          </cell>
          <cell r="AB31">
            <v>0</v>
          </cell>
          <cell r="AC31">
            <v>-26019.065481218167</v>
          </cell>
          <cell r="AD31">
            <v>0</v>
          </cell>
          <cell r="AE31">
            <v>0</v>
          </cell>
          <cell r="AF31">
            <v>-1670.1290052957377</v>
          </cell>
          <cell r="AG31">
            <v>0</v>
          </cell>
          <cell r="AH31">
            <v>27689.194486513905</v>
          </cell>
          <cell r="AI31">
            <v>611.3860236595342</v>
          </cell>
          <cell r="AJ31">
            <v>0</v>
          </cell>
          <cell r="AK31">
            <v>0</v>
          </cell>
          <cell r="AL31">
            <v>-8067.154618990553</v>
          </cell>
          <cell r="AM31">
            <v>0</v>
          </cell>
          <cell r="AN31">
            <v>0</v>
          </cell>
          <cell r="AO31">
            <v>-1624.1087948382749</v>
          </cell>
          <cell r="AP31">
            <v>-299.72535211447973</v>
          </cell>
          <cell r="AQ31">
            <v>-4827.3968363894655</v>
          </cell>
          <cell r="AR31">
            <v>-2692.8136727505334</v>
          </cell>
          <cell r="AT31">
            <v>-7175.0349627432315</v>
          </cell>
          <cell r="AU31">
            <v>1544.3081540781773</v>
          </cell>
          <cell r="AV31">
            <v>100.30347504029595</v>
          </cell>
          <cell r="AW31">
            <v>36.464371374231085</v>
          </cell>
          <cell r="AX31">
            <v>2032.0141580211744</v>
          </cell>
          <cell r="AY31">
            <v>34.811472961185004</v>
          </cell>
          <cell r="AZ31">
            <v>75.37507908588546</v>
          </cell>
          <cell r="BA31">
            <v>49.859617101648837</v>
          </cell>
          <cell r="BB31">
            <v>-183.22883730268757</v>
          </cell>
          <cell r="BC31">
            <v>0</v>
          </cell>
          <cell r="BD31">
            <v>0</v>
          </cell>
          <cell r="BE31">
            <v>2036.9286619131078</v>
          </cell>
          <cell r="BF31">
            <v>-2378.528197746441</v>
          </cell>
          <cell r="BG31">
            <v>-49.859617101648837</v>
          </cell>
          <cell r="BH31">
            <v>0</v>
          </cell>
          <cell r="BI31">
            <v>0</v>
          </cell>
          <cell r="BJ31">
            <v>0</v>
          </cell>
          <cell r="BK31">
            <v>987.44086690652739</v>
          </cell>
          <cell r="EA31">
            <v>22347.233566319039</v>
          </cell>
          <cell r="EL31">
            <v>25266.592941289233</v>
          </cell>
          <cell r="EM31">
            <v>-6569.5140320245491</v>
          </cell>
          <cell r="EN31">
            <v>-215.80444629881862</v>
          </cell>
          <cell r="EO31">
            <v>-688.21675014304537</v>
          </cell>
          <cell r="EP31">
            <v>0</v>
          </cell>
          <cell r="EQ31">
            <v>-2152.3980358154859</v>
          </cell>
          <cell r="ER31">
            <v>-339.8024338863413</v>
          </cell>
          <cell r="ES31">
            <v>0</v>
          </cell>
          <cell r="ET31">
            <v>-7009.6509062615332</v>
          </cell>
          <cell r="EU31">
            <v>-74.897411522549561</v>
          </cell>
          <cell r="EV31">
            <v>-1435.2397240858218</v>
          </cell>
          <cell r="EW31">
            <v>-203.79534121984472</v>
          </cell>
          <cell r="EX31">
            <v>677.33972118495501</v>
          </cell>
          <cell r="EY31">
            <v>0</v>
          </cell>
          <cell r="EZ31">
            <v>0</v>
          </cell>
          <cell r="FA31">
            <v>-8673.0218270727237</v>
          </cell>
          <cell r="FB31">
            <v>0</v>
          </cell>
          <cell r="FC31">
            <v>0</v>
          </cell>
          <cell r="FD31">
            <v>-556.70966843191241</v>
          </cell>
          <cell r="FE31">
            <v>0</v>
          </cell>
          <cell r="FF31">
            <v>9229.7314955046368</v>
          </cell>
          <cell r="FG31">
            <v>203.79534121984472</v>
          </cell>
          <cell r="FH31">
            <v>0</v>
          </cell>
          <cell r="FI31">
            <v>0</v>
          </cell>
          <cell r="FJ31">
            <v>-2689.0515396635183</v>
          </cell>
          <cell r="FK31">
            <v>0</v>
          </cell>
          <cell r="FL31">
            <v>0</v>
          </cell>
          <cell r="FM31">
            <v>-541.36959827942485</v>
          </cell>
          <cell r="FN31">
            <v>-99.908450704826549</v>
          </cell>
          <cell r="FO31">
            <v>-1609.1322787964887</v>
          </cell>
          <cell r="FP31">
            <v>-897.60455758351122</v>
          </cell>
          <cell r="FR31">
            <v>-2391.6783209144105</v>
          </cell>
          <cell r="FS31">
            <v>514.76938469272579</v>
          </cell>
          <cell r="FT31">
            <v>33.434491680098645</v>
          </cell>
          <cell r="FU31">
            <v>12.154790458077031</v>
          </cell>
          <cell r="FV31">
            <v>677.33805267372486</v>
          </cell>
          <cell r="FW31">
            <v>11.603824320394999</v>
          </cell>
          <cell r="FX31">
            <v>25.125026361961822</v>
          </cell>
          <cell r="FY31">
            <v>16.619872367216278</v>
          </cell>
          <cell r="FZ31">
            <v>-61.076279100895853</v>
          </cell>
          <cell r="GA31">
            <v>0</v>
          </cell>
          <cell r="GB31">
            <v>0</v>
          </cell>
          <cell r="GC31">
            <v>678.97622063770245</v>
          </cell>
          <cell r="GD31">
            <v>-792.84273258214716</v>
          </cell>
          <cell r="GE31">
            <v>-16.619872367216278</v>
          </cell>
          <cell r="GF31">
            <v>0</v>
          </cell>
          <cell r="GG31">
            <v>0</v>
          </cell>
          <cell r="GH31">
            <v>0</v>
          </cell>
          <cell r="GI31">
            <v>329.1469556355114</v>
          </cell>
        </row>
        <row r="33">
          <cell r="C33">
            <v>108708.09534</v>
          </cell>
          <cell r="N33">
            <v>45550.488299999997</v>
          </cell>
          <cell r="O33">
            <v>-532.71750999999995</v>
          </cell>
          <cell r="P33">
            <v>-10.840070000000001</v>
          </cell>
          <cell r="Q33">
            <v>-31.811</v>
          </cell>
          <cell r="R33">
            <v>34.174050000000001</v>
          </cell>
          <cell r="S33">
            <v>-679.29700000000003</v>
          </cell>
          <cell r="T33">
            <v>-846.90307000000007</v>
          </cell>
          <cell r="U33">
            <v>0</v>
          </cell>
          <cell r="V33">
            <v>-9625.6139841192071</v>
          </cell>
          <cell r="W33">
            <v>-643.14125000000001</v>
          </cell>
          <cell r="X33">
            <v>-12337.128945880797</v>
          </cell>
          <cell r="Y33">
            <v>-183.20439999999999</v>
          </cell>
          <cell r="Z33">
            <v>531.09948999999995</v>
          </cell>
          <cell r="AA33">
            <v>3.9905600000000003</v>
          </cell>
          <cell r="AB33">
            <v>0</v>
          </cell>
          <cell r="AC33">
            <v>-24135.971480000004</v>
          </cell>
          <cell r="AD33">
            <v>979.85811000000012</v>
          </cell>
          <cell r="AE33">
            <v>-194.59474</v>
          </cell>
          <cell r="AF33">
            <v>-1069.4679599999999</v>
          </cell>
          <cell r="AG33">
            <v>0</v>
          </cell>
          <cell r="AH33">
            <v>25507.105040000002</v>
          </cell>
          <cell r="AI33">
            <v>1160.2980099999997</v>
          </cell>
          <cell r="AJ33">
            <v>371.32976999999988</v>
          </cell>
          <cell r="AK33">
            <v>-15.811999999999998</v>
          </cell>
          <cell r="AL33">
            <v>-16798.528439999998</v>
          </cell>
          <cell r="AM33">
            <v>13102.56403</v>
          </cell>
          <cell r="AN33">
            <v>-3691.0206199999993</v>
          </cell>
          <cell r="AO33">
            <v>-2006.2590399999999</v>
          </cell>
          <cell r="AP33">
            <v>-247.13070999999997</v>
          </cell>
          <cell r="AQ33">
            <v>-1889.7419</v>
          </cell>
          <cell r="AR33">
            <v>-1030.76154</v>
          </cell>
          <cell r="AT33">
            <v>-4462.7353300000004</v>
          </cell>
          <cell r="AU33">
            <v>0</v>
          </cell>
          <cell r="AV33">
            <v>0</v>
          </cell>
          <cell r="AW33">
            <v>0</v>
          </cell>
          <cell r="AX33">
            <v>503.76837300963962</v>
          </cell>
          <cell r="AY33">
            <v>0</v>
          </cell>
          <cell r="AZ33">
            <v>903.67096699036051</v>
          </cell>
          <cell r="BA33">
            <v>11.68844</v>
          </cell>
          <cell r="BB33">
            <v>-31.300900000000002</v>
          </cell>
          <cell r="BC33">
            <v>-0.22649</v>
          </cell>
          <cell r="BD33">
            <v>0</v>
          </cell>
          <cell r="BE33">
            <v>3661.1272100000001</v>
          </cell>
          <cell r="BF33">
            <v>-5811.8419700000004</v>
          </cell>
          <cell r="BG33">
            <v>92.960299999999989</v>
          </cell>
          <cell r="BH33">
            <v>-115.47902999999998</v>
          </cell>
          <cell r="BI33">
            <v>-6.9391299999999996</v>
          </cell>
          <cell r="BJ33">
            <v>0</v>
          </cell>
          <cell r="BK33">
            <v>6015.6541399999933</v>
          </cell>
        </row>
        <row r="34">
          <cell r="C34">
            <v>110626.14524000001</v>
          </cell>
          <cell r="N34">
            <v>44934.647699999987</v>
          </cell>
          <cell r="O34">
            <v>-483.75586999999996</v>
          </cell>
          <cell r="P34">
            <v>0</v>
          </cell>
          <cell r="Q34">
            <v>-274.56200000000001</v>
          </cell>
          <cell r="R34">
            <v>4.5584599999999966</v>
          </cell>
          <cell r="S34">
            <v>-519.80776000000003</v>
          </cell>
          <cell r="T34">
            <v>-516.00858000000005</v>
          </cell>
          <cell r="U34">
            <v>0</v>
          </cell>
          <cell r="V34">
            <v>-11379.279622557555</v>
          </cell>
          <cell r="W34">
            <v>0</v>
          </cell>
          <cell r="X34">
            <v>-11729.81078744244</v>
          </cell>
          <cell r="Y34">
            <v>-228.71696</v>
          </cell>
          <cell r="Z34">
            <v>580.09798999999998</v>
          </cell>
          <cell r="AA34">
            <v>6.2486700000000006</v>
          </cell>
          <cell r="AB34">
            <v>0</v>
          </cell>
          <cell r="AC34">
            <v>-19317.393970000005</v>
          </cell>
          <cell r="AD34">
            <v>893.55674999999997</v>
          </cell>
          <cell r="AE34">
            <v>-132.77253999999999</v>
          </cell>
          <cell r="AF34">
            <v>-1288.2076999999999</v>
          </cell>
          <cell r="AG34">
            <v>0</v>
          </cell>
          <cell r="AH34">
            <v>20472.917860000001</v>
          </cell>
          <cell r="AI34">
            <v>446.05983000000003</v>
          </cell>
          <cell r="AJ34">
            <v>397.10577000000001</v>
          </cell>
          <cell r="AK34">
            <v>1.3262200000000006</v>
          </cell>
          <cell r="AL34">
            <v>-16928.151169999997</v>
          </cell>
          <cell r="AM34">
            <v>13560.869890000002</v>
          </cell>
          <cell r="AN34">
            <v>-3851.3936700000004</v>
          </cell>
          <cell r="AO34">
            <v>-1633.7534600000001</v>
          </cell>
          <cell r="AP34">
            <v>-153.60374999999999</v>
          </cell>
          <cell r="AQ34">
            <v>-1651.4446199999998</v>
          </cell>
          <cell r="AR34">
            <v>-1153.1515199999999</v>
          </cell>
          <cell r="AT34">
            <v>-4507.1021100000007</v>
          </cell>
          <cell r="AU34">
            <v>0</v>
          </cell>
          <cell r="AV34">
            <v>0</v>
          </cell>
          <cell r="AW34">
            <v>0</v>
          </cell>
          <cell r="AX34">
            <v>612.84893107437301</v>
          </cell>
          <cell r="AY34">
            <v>0</v>
          </cell>
          <cell r="AZ34">
            <v>802.71670892562702</v>
          </cell>
          <cell r="BA34">
            <v>13.46523</v>
          </cell>
          <cell r="BB34">
            <v>-33.628839999999997</v>
          </cell>
          <cell r="BC34">
            <v>-0.30837999999999999</v>
          </cell>
          <cell r="BD34">
            <v>0</v>
          </cell>
          <cell r="BE34">
            <v>853.29872</v>
          </cell>
          <cell r="BF34">
            <v>-3830.5104500000007</v>
          </cell>
          <cell r="BG34">
            <v>-89.983549999999994</v>
          </cell>
          <cell r="BH34">
            <v>-48.988839999999996</v>
          </cell>
          <cell r="BI34">
            <v>0.66916999999999993</v>
          </cell>
          <cell r="BJ34">
            <v>-9.5923269327613524E-17</v>
          </cell>
          <cell r="BK34">
            <v>3828.051749999991</v>
          </cell>
        </row>
        <row r="35">
          <cell r="C35">
            <v>112548.45367250161</v>
          </cell>
          <cell r="N35">
            <v>58982.08747338158</v>
          </cell>
          <cell r="O35">
            <v>-8364.8681853069029</v>
          </cell>
          <cell r="P35">
            <v>-3262.2726872631174</v>
          </cell>
          <cell r="Q35">
            <v>-7144.2533512750078</v>
          </cell>
          <cell r="R35">
            <v>0</v>
          </cell>
          <cell r="S35">
            <v>-917.11482946736498</v>
          </cell>
          <cell r="T35">
            <v>-703.49780789406282</v>
          </cell>
          <cell r="U35">
            <v>0</v>
          </cell>
          <cell r="V35">
            <v>-7458.5560233596789</v>
          </cell>
          <cell r="W35">
            <v>-3653.3045669655512</v>
          </cell>
          <cell r="X35">
            <v>-8096.3257239838977</v>
          </cell>
          <cell r="Y35">
            <v>-516.35125425275521</v>
          </cell>
          <cell r="Z35">
            <v>379.35985216052455</v>
          </cell>
          <cell r="AA35">
            <v>0</v>
          </cell>
          <cell r="AB35">
            <v>0</v>
          </cell>
          <cell r="AC35">
            <v>-17427.474591690181</v>
          </cell>
          <cell r="AD35">
            <v>0</v>
          </cell>
          <cell r="AE35">
            <v>0</v>
          </cell>
          <cell r="AF35">
            <v>-1085.8274276413008</v>
          </cell>
          <cell r="AG35">
            <v>0</v>
          </cell>
          <cell r="AH35">
            <v>19104.552019331481</v>
          </cell>
          <cell r="AI35">
            <v>516.35125425275521</v>
          </cell>
          <cell r="AJ35">
            <v>0</v>
          </cell>
          <cell r="AK35">
            <v>0</v>
          </cell>
          <cell r="AL35">
            <v>-9296.7182757313312</v>
          </cell>
          <cell r="AM35">
            <v>0</v>
          </cell>
          <cell r="AN35">
            <v>0</v>
          </cell>
          <cell r="AO35">
            <v>-2220.8490154838773</v>
          </cell>
          <cell r="AP35">
            <v>-219.71164596649197</v>
          </cell>
          <cell r="AQ35">
            <v>-2050.4414057632948</v>
          </cell>
          <cell r="AR35">
            <v>-1672.2180120743426</v>
          </cell>
          <cell r="AT35">
            <v>-5713.1809908322348</v>
          </cell>
          <cell r="AU35">
            <v>810.18855451215472</v>
          </cell>
          <cell r="AV35">
            <v>1358.0826825831036</v>
          </cell>
          <cell r="AW35">
            <v>680.61587818503494</v>
          </cell>
          <cell r="AX35">
            <v>70.660032994930134</v>
          </cell>
          <cell r="AY35">
            <v>1520.869081842487</v>
          </cell>
          <cell r="AZ35">
            <v>763.04067890270346</v>
          </cell>
          <cell r="BA35">
            <v>63.378373158087207</v>
          </cell>
          <cell r="BB35">
            <v>-47.720617294794764</v>
          </cell>
          <cell r="BC35">
            <v>0</v>
          </cell>
          <cell r="BD35">
            <v>0</v>
          </cell>
          <cell r="BE35">
            <v>3250.6522400366412</v>
          </cell>
          <cell r="BF35">
            <v>-3250.6522400366412</v>
          </cell>
          <cell r="BG35">
            <v>-63.378373158087207</v>
          </cell>
          <cell r="BH35">
            <v>0</v>
          </cell>
          <cell r="BI35">
            <v>0</v>
          </cell>
          <cell r="BJ35">
            <v>0</v>
          </cell>
          <cell r="BK35">
            <v>4335.1210959005775</v>
          </cell>
        </row>
        <row r="37">
          <cell r="C37">
            <v>21495.266920000002</v>
          </cell>
          <cell r="N37">
            <v>11689.634729999998</v>
          </cell>
          <cell r="O37">
            <v>-200.01474999999999</v>
          </cell>
          <cell r="P37">
            <v>0</v>
          </cell>
          <cell r="Q37">
            <v>0</v>
          </cell>
          <cell r="R37">
            <v>0.35469000000000001</v>
          </cell>
          <cell r="S37">
            <v>-349.57373000000001</v>
          </cell>
          <cell r="T37">
            <v>-19.61544</v>
          </cell>
          <cell r="U37">
            <v>0</v>
          </cell>
          <cell r="V37">
            <v>-3706.8136</v>
          </cell>
          <cell r="W37">
            <v>-10</v>
          </cell>
          <cell r="X37">
            <v>-1370</v>
          </cell>
          <cell r="Y37">
            <v>-55.217190000000002</v>
          </cell>
          <cell r="Z37">
            <v>235.14686</v>
          </cell>
          <cell r="AA37">
            <v>3.5893799999999998</v>
          </cell>
          <cell r="AB37">
            <v>0</v>
          </cell>
          <cell r="AC37">
            <v>-3223.4541300000001</v>
          </cell>
          <cell r="AD37">
            <v>42.222079999999998</v>
          </cell>
          <cell r="AE37">
            <v>-87.303240000000002</v>
          </cell>
          <cell r="AF37">
            <v>-548.66940999999997</v>
          </cell>
          <cell r="AG37">
            <v>0</v>
          </cell>
          <cell r="AH37">
            <v>2680.0154400000001</v>
          </cell>
          <cell r="AI37">
            <v>740.83378999999968</v>
          </cell>
          <cell r="AJ37">
            <v>250.32160000000002</v>
          </cell>
          <cell r="AK37">
            <v>-27.532499999999999</v>
          </cell>
          <cell r="AL37">
            <v>-3053.0590000000011</v>
          </cell>
          <cell r="AM37">
            <v>2044.5159300000003</v>
          </cell>
          <cell r="AN37">
            <v>-784.21029000000067</v>
          </cell>
          <cell r="AO37">
            <v>-888.95251000000007</v>
          </cell>
          <cell r="AP37">
            <v>-93.267160000000004</v>
          </cell>
          <cell r="AQ37">
            <v>-956.97916000000009</v>
          </cell>
          <cell r="AR37">
            <v>-361.63929000000002</v>
          </cell>
          <cell r="AT37">
            <v>-1155.9747200000033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5.5778400000000046</v>
          </cell>
          <cell r="BF37">
            <v>230.77900000000085</v>
          </cell>
          <cell r="BG37">
            <v>51.300269999999998</v>
          </cell>
          <cell r="BH37">
            <v>-17.68122</v>
          </cell>
          <cell r="BI37">
            <v>-2.62418</v>
          </cell>
          <cell r="BJ37">
            <v>0</v>
          </cell>
          <cell r="BK37">
            <v>1061.7100899999934</v>
          </cell>
        </row>
        <row r="38">
          <cell r="C38">
            <v>21370.802630000006</v>
          </cell>
          <cell r="N38">
            <v>11070.775670000003</v>
          </cell>
          <cell r="O38">
            <v>-113.54455</v>
          </cell>
          <cell r="P38">
            <v>0</v>
          </cell>
          <cell r="Q38">
            <v>0</v>
          </cell>
          <cell r="R38">
            <v>0</v>
          </cell>
          <cell r="S38">
            <v>-307.56798000000003</v>
          </cell>
          <cell r="T38">
            <v>-20.822150000000001</v>
          </cell>
          <cell r="U38">
            <v>0</v>
          </cell>
          <cell r="V38">
            <v>-5422.6509900000001</v>
          </cell>
          <cell r="W38">
            <v>0</v>
          </cell>
          <cell r="X38">
            <v>0</v>
          </cell>
          <cell r="Y38">
            <v>-92.762650000000008</v>
          </cell>
          <cell r="Z38">
            <v>235.75431</v>
          </cell>
          <cell r="AA38">
            <v>5.9318800000000005</v>
          </cell>
          <cell r="AB38">
            <v>0</v>
          </cell>
          <cell r="AC38">
            <v>-3533.2416599999997</v>
          </cell>
          <cell r="AD38">
            <v>207.13613000000001</v>
          </cell>
          <cell r="AE38">
            <v>-74.338589999999996</v>
          </cell>
          <cell r="AF38">
            <v>-479.04816999999991</v>
          </cell>
          <cell r="AG38">
            <v>0</v>
          </cell>
          <cell r="AH38">
            <v>2782.2349199999994</v>
          </cell>
          <cell r="AI38">
            <v>90.527169999999998</v>
          </cell>
          <cell r="AJ38">
            <v>169.25964999999999</v>
          </cell>
          <cell r="AK38">
            <v>13.50723</v>
          </cell>
          <cell r="AL38">
            <v>-2923.0994600000004</v>
          </cell>
          <cell r="AM38">
            <v>1979.9445699999997</v>
          </cell>
          <cell r="AN38">
            <v>-741.8069500000006</v>
          </cell>
          <cell r="AO38">
            <v>-747.1697099999999</v>
          </cell>
          <cell r="AP38">
            <v>-71.568259999999995</v>
          </cell>
          <cell r="AQ38">
            <v>-814.44259999999997</v>
          </cell>
          <cell r="AR38">
            <v>-343.68525999999997</v>
          </cell>
          <cell r="AT38">
            <v>-1377.751370000004</v>
          </cell>
          <cell r="AU38">
            <v>0</v>
          </cell>
          <cell r="AV38">
            <v>0</v>
          </cell>
          <cell r="AW38">
            <v>0</v>
          </cell>
          <cell r="AX38">
            <v>13.5</v>
          </cell>
          <cell r="AY38">
            <v>0</v>
          </cell>
          <cell r="AZ38">
            <v>0</v>
          </cell>
          <cell r="BA38">
            <v>0.28973000000000004</v>
          </cell>
          <cell r="BB38">
            <v>-0.82153999999999994</v>
          </cell>
          <cell r="BC38">
            <v>-2.2760000000000002E-2</v>
          </cell>
          <cell r="BD38">
            <v>0</v>
          </cell>
          <cell r="BE38">
            <v>3.7188099999999995</v>
          </cell>
          <cell r="BF38">
            <v>-97.531999999998959</v>
          </cell>
          <cell r="BG38">
            <v>-6.2360499999999988</v>
          </cell>
          <cell r="BH38">
            <v>-0.91232000000000868</v>
          </cell>
          <cell r="BI38">
            <v>-0.92009999999999981</v>
          </cell>
          <cell r="BJ38">
            <v>0</v>
          </cell>
          <cell r="BK38">
            <v>-597.36505000000227</v>
          </cell>
        </row>
        <row r="39">
          <cell r="C39">
            <v>23805.96328432329</v>
          </cell>
          <cell r="N39">
            <v>14421.655364791339</v>
          </cell>
          <cell r="O39">
            <v>-1895.3624272593852</v>
          </cell>
          <cell r="P39">
            <v>-120.24841444992975</v>
          </cell>
          <cell r="Q39">
            <v>-618.70125510921116</v>
          </cell>
          <cell r="R39">
            <v>0</v>
          </cell>
          <cell r="S39">
            <v>-430.97618516088971</v>
          </cell>
          <cell r="T39">
            <v>-85.638823800955805</v>
          </cell>
          <cell r="U39">
            <v>0</v>
          </cell>
          <cell r="V39">
            <v>-3058.4959156088744</v>
          </cell>
          <cell r="W39">
            <v>-220.25158555007025</v>
          </cell>
          <cell r="X39">
            <v>-1081.9490393950289</v>
          </cell>
          <cell r="Y39">
            <v>-112.63168437174204</v>
          </cell>
          <cell r="Z39">
            <v>189.95027395270392</v>
          </cell>
          <cell r="AA39">
            <v>0</v>
          </cell>
          <cell r="AB39">
            <v>0</v>
          </cell>
          <cell r="AC39">
            <v>-925.79114425423529</v>
          </cell>
          <cell r="AD39">
            <v>0</v>
          </cell>
          <cell r="AE39">
            <v>0</v>
          </cell>
          <cell r="AF39">
            <v>-260.14671579569955</v>
          </cell>
          <cell r="AG39">
            <v>0</v>
          </cell>
          <cell r="AH39">
            <v>1185.9378600499347</v>
          </cell>
          <cell r="AI39">
            <v>112.63168437174204</v>
          </cell>
          <cell r="AJ39">
            <v>0</v>
          </cell>
          <cell r="AK39">
            <v>0</v>
          </cell>
          <cell r="AL39">
            <v>-2307.3627014680692</v>
          </cell>
          <cell r="AM39">
            <v>0</v>
          </cell>
          <cell r="AN39">
            <v>0</v>
          </cell>
          <cell r="AO39">
            <v>-867.74165757445496</v>
          </cell>
          <cell r="AP39">
            <v>-60.86224880745425</v>
          </cell>
          <cell r="AQ39">
            <v>-1022.9785859714398</v>
          </cell>
          <cell r="AR39">
            <v>-489.55509100970352</v>
          </cell>
          <cell r="AT39">
            <v>-1307.3055351876233</v>
          </cell>
          <cell r="AU39">
            <v>114.89894428750105</v>
          </cell>
          <cell r="AV39">
            <v>50.059361962635954</v>
          </cell>
          <cell r="AW39">
            <v>63.660962296052617</v>
          </cell>
          <cell r="AX39">
            <v>-114.89894428750108</v>
          </cell>
          <cell r="AY39">
            <v>91.690638037364039</v>
          </cell>
          <cell r="AZ39">
            <v>118.61429823185475</v>
          </cell>
          <cell r="BA39">
            <v>4.7935815524509282</v>
          </cell>
          <cell r="BB39">
            <v>-9.3754556023729094</v>
          </cell>
          <cell r="BC39">
            <v>0</v>
          </cell>
          <cell r="BD39">
            <v>0</v>
          </cell>
          <cell r="BE39">
            <v>-983.07861874802302</v>
          </cell>
          <cell r="BF39">
            <v>983.07861874802302</v>
          </cell>
          <cell r="BG39">
            <v>-4.7935815524509282</v>
          </cell>
          <cell r="BH39">
            <v>0</v>
          </cell>
          <cell r="BI39">
            <v>0</v>
          </cell>
          <cell r="BJ39">
            <v>0</v>
          </cell>
          <cell r="BK39">
            <v>1358.8259773164887</v>
          </cell>
        </row>
        <row r="41">
          <cell r="C41">
            <v>43196.668170000004</v>
          </cell>
          <cell r="N41">
            <v>16334.504120000005</v>
          </cell>
          <cell r="O41">
            <v>-114.96265</v>
          </cell>
          <cell r="P41">
            <v>0</v>
          </cell>
          <cell r="Q41">
            <v>-2.7149999999999999</v>
          </cell>
          <cell r="R41">
            <v>0</v>
          </cell>
          <cell r="S41">
            <v>-556.84375</v>
          </cell>
          <cell r="T41">
            <v>-97.098050000000001</v>
          </cell>
          <cell r="U41">
            <v>0</v>
          </cell>
          <cell r="V41">
            <v>-7141.7714508589406</v>
          </cell>
          <cell r="W41">
            <v>0</v>
          </cell>
          <cell r="X41">
            <v>-2308.0511391410596</v>
          </cell>
          <cell r="Y41">
            <v>-188.60444000000001</v>
          </cell>
          <cell r="Z41">
            <v>1165.1084499999999</v>
          </cell>
          <cell r="AA41">
            <v>21.048740000000002</v>
          </cell>
          <cell r="AB41">
            <v>0</v>
          </cell>
          <cell r="AC41">
            <v>-6821.7766200000005</v>
          </cell>
          <cell r="AD41">
            <v>1564.27154</v>
          </cell>
          <cell r="AE41">
            <v>-334.32675</v>
          </cell>
          <cell r="AF41">
            <v>-1960.0705399999999</v>
          </cell>
          <cell r="AG41">
            <v>0</v>
          </cell>
          <cell r="AH41">
            <v>6772.8754600000002</v>
          </cell>
          <cell r="AI41">
            <v>2989.2904300000005</v>
          </cell>
          <cell r="AJ41">
            <v>-146.53164000000021</v>
          </cell>
          <cell r="AK41">
            <v>-242.42366999999999</v>
          </cell>
          <cell r="AL41">
            <v>-8295.6674300000032</v>
          </cell>
          <cell r="AM41">
            <v>6518.8363600000002</v>
          </cell>
          <cell r="AN41">
            <v>-1479.9664599999999</v>
          </cell>
          <cell r="AO41">
            <v>-966.25329999999997</v>
          </cell>
          <cell r="AP41">
            <v>-103.48738</v>
          </cell>
          <cell r="AQ41">
            <v>-789.51325999999995</v>
          </cell>
          <cell r="AR41">
            <v>-352.07310999999999</v>
          </cell>
          <cell r="AT41">
            <v>-700.68710999999985</v>
          </cell>
          <cell r="AU41">
            <v>158.95562000000001</v>
          </cell>
          <cell r="AV41">
            <v>0</v>
          </cell>
          <cell r="AW41">
            <v>0</v>
          </cell>
          <cell r="AX41">
            <v>179.58857874774048</v>
          </cell>
          <cell r="AY41">
            <v>0</v>
          </cell>
          <cell r="AZ41">
            <v>74.189411252259504</v>
          </cell>
          <cell r="BA41">
            <v>5.5766200000000001</v>
          </cell>
          <cell r="BB41">
            <v>-31.182780000000001</v>
          </cell>
          <cell r="BC41">
            <v>-0.63044</v>
          </cell>
          <cell r="BD41">
            <v>0</v>
          </cell>
          <cell r="BE41">
            <v>104.86150000000001</v>
          </cell>
          <cell r="BF41">
            <v>32.468510000001544</v>
          </cell>
          <cell r="BG41">
            <v>-82.325469999999996</v>
          </cell>
          <cell r="BH41">
            <v>-119.70591999999994</v>
          </cell>
          <cell r="BI41">
            <v>6.7176300000000007</v>
          </cell>
          <cell r="BJ41">
            <v>5.3290705182007515E-18</v>
          </cell>
          <cell r="BK41">
            <v>3091.6246100000021</v>
          </cell>
        </row>
        <row r="42">
          <cell r="C42">
            <v>43184.557829999991</v>
          </cell>
          <cell r="N42">
            <v>16868.90273999999</v>
          </cell>
          <cell r="O42">
            <v>-67.759950000000003</v>
          </cell>
          <cell r="P42">
            <v>0</v>
          </cell>
          <cell r="Q42">
            <v>0</v>
          </cell>
          <cell r="R42">
            <v>0</v>
          </cell>
          <cell r="S42">
            <v>-477.17548000000005</v>
          </cell>
          <cell r="T42">
            <v>-23.441780000000001</v>
          </cell>
          <cell r="U42">
            <v>0</v>
          </cell>
          <cell r="V42">
            <v>-8102.7834925539801</v>
          </cell>
          <cell r="W42">
            <v>0</v>
          </cell>
          <cell r="X42">
            <v>-2046.2688174460211</v>
          </cell>
          <cell r="Y42">
            <v>-337.98897999999997</v>
          </cell>
          <cell r="Z42">
            <v>1137.19938</v>
          </cell>
          <cell r="AA42">
            <v>38.821420000000003</v>
          </cell>
          <cell r="AB42">
            <v>0</v>
          </cell>
          <cell r="AC42">
            <v>-9505.420979999999</v>
          </cell>
          <cell r="AD42">
            <v>701.63072000000011</v>
          </cell>
          <cell r="AE42">
            <v>-325.24194</v>
          </cell>
          <cell r="AF42">
            <v>-1838.46839</v>
          </cell>
          <cell r="AG42">
            <v>0</v>
          </cell>
          <cell r="AH42">
            <v>9748.9910899999977</v>
          </cell>
          <cell r="AI42">
            <v>716.28715999999986</v>
          </cell>
          <cell r="AJ42">
            <v>-1494.32601</v>
          </cell>
          <cell r="AK42">
            <v>-48.15440999999997</v>
          </cell>
          <cell r="AL42">
            <v>-8383.1613300000008</v>
          </cell>
          <cell r="AM42">
            <v>6420.4303500000005</v>
          </cell>
          <cell r="AN42">
            <v>-1411.3279500000001</v>
          </cell>
          <cell r="AO42">
            <v>-775.02152000000001</v>
          </cell>
          <cell r="AP42">
            <v>-71.450860000000006</v>
          </cell>
          <cell r="AQ42">
            <v>-722.3071000000001</v>
          </cell>
          <cell r="AR42">
            <v>-408.00306999999998</v>
          </cell>
          <cell r="AT42">
            <v>-798.02544999999986</v>
          </cell>
          <cell r="AU42">
            <v>5.5733600000000001</v>
          </cell>
          <cell r="AV42">
            <v>0</v>
          </cell>
          <cell r="AW42">
            <v>0</v>
          </cell>
          <cell r="AX42">
            <v>312.24495921120831</v>
          </cell>
          <cell r="AY42">
            <v>0</v>
          </cell>
          <cell r="AZ42">
            <v>93.940890788791663</v>
          </cell>
          <cell r="BA42">
            <v>12.543530000000001</v>
          </cell>
          <cell r="BB42">
            <v>-45.186239999999998</v>
          </cell>
          <cell r="BC42">
            <v>-1.39446</v>
          </cell>
          <cell r="BD42">
            <v>0</v>
          </cell>
          <cell r="BE42">
            <v>1119.4480699999999</v>
          </cell>
          <cell r="BF42">
            <v>-1663.3058099999971</v>
          </cell>
          <cell r="BG42">
            <v>-201.06065999999998</v>
          </cell>
          <cell r="BH42">
            <v>242.95073999999997</v>
          </cell>
          <cell r="BI42">
            <v>10.777119999999998</v>
          </cell>
          <cell r="BJ42">
            <v>0</v>
          </cell>
          <cell r="BK42">
            <v>-1317.533150000007</v>
          </cell>
        </row>
        <row r="43">
          <cell r="C43">
            <v>45109.579333571135</v>
          </cell>
          <cell r="N43">
            <v>17695.976721155086</v>
          </cell>
          <cell r="O43">
            <v>-1284.320715339554</v>
          </cell>
          <cell r="P43">
            <v>0</v>
          </cell>
          <cell r="Q43">
            <v>-286.38781587874752</v>
          </cell>
          <cell r="R43">
            <v>0</v>
          </cell>
          <cell r="S43">
            <v>-866.46486139952026</v>
          </cell>
          <cell r="T43">
            <v>-153.68634566971207</v>
          </cell>
          <cell r="U43">
            <v>0</v>
          </cell>
          <cell r="V43">
            <v>-6306.8942160725364</v>
          </cell>
          <cell r="W43">
            <v>0</v>
          </cell>
          <cell r="X43">
            <v>-1843.9139811444352</v>
          </cell>
          <cell r="Y43">
            <v>-193.43090963581523</v>
          </cell>
          <cell r="Z43">
            <v>950.11260835245525</v>
          </cell>
          <cell r="AA43">
            <v>0</v>
          </cell>
          <cell r="AB43">
            <v>0</v>
          </cell>
          <cell r="AC43">
            <v>-3029.3055285053324</v>
          </cell>
          <cell r="AD43">
            <v>0</v>
          </cell>
          <cell r="AE43">
            <v>0</v>
          </cell>
          <cell r="AF43">
            <v>-2314.7813030154484</v>
          </cell>
          <cell r="AG43">
            <v>0</v>
          </cell>
          <cell r="AH43">
            <v>5656.5868315207808</v>
          </cell>
          <cell r="AI43">
            <v>193.43090963581523</v>
          </cell>
          <cell r="AJ43">
            <v>0</v>
          </cell>
          <cell r="AK43">
            <v>0</v>
          </cell>
          <cell r="AL43">
            <v>-3589.8922152723512</v>
          </cell>
          <cell r="AM43">
            <v>0</v>
          </cell>
          <cell r="AN43">
            <v>0</v>
          </cell>
          <cell r="AO43">
            <v>-1017.7914490631783</v>
          </cell>
          <cell r="AP43">
            <v>-72.847704569553798</v>
          </cell>
          <cell r="AQ43">
            <v>-849.78297876740749</v>
          </cell>
          <cell r="AR43">
            <v>-529.65260066181577</v>
          </cell>
          <cell r="AT43">
            <v>-847.26231300227437</v>
          </cell>
          <cell r="AU43">
            <v>-8.3421831132769668</v>
          </cell>
          <cell r="AV43">
            <v>0</v>
          </cell>
          <cell r="AW43">
            <v>26.251451004263537</v>
          </cell>
          <cell r="AX43">
            <v>280.22439497121559</v>
          </cell>
          <cell r="AY43">
            <v>0</v>
          </cell>
          <cell r="AZ43">
            <v>157.81139856953365</v>
          </cell>
          <cell r="BA43">
            <v>8.7876445447333928</v>
          </cell>
          <cell r="BB43">
            <v>-44.844861889894823</v>
          </cell>
          <cell r="BC43">
            <v>0</v>
          </cell>
          <cell r="BD43">
            <v>0</v>
          </cell>
          <cell r="BE43">
            <v>402.92155616654429</v>
          </cell>
          <cell r="BF43">
            <v>-564.55584241654424</v>
          </cell>
          <cell r="BG43">
            <v>-8.7876445447333928</v>
          </cell>
          <cell r="BH43">
            <v>0</v>
          </cell>
          <cell r="BI43">
            <v>0</v>
          </cell>
          <cell r="BJ43">
            <v>0</v>
          </cell>
          <cell r="BK43">
            <v>1559.1580459582949</v>
          </cell>
        </row>
        <row r="45">
          <cell r="C45">
            <v>20774.809789999999</v>
          </cell>
          <cell r="N45">
            <v>8088.3617800000011</v>
          </cell>
          <cell r="O45">
            <v>-28.143940000000001</v>
          </cell>
          <cell r="P45">
            <v>0</v>
          </cell>
          <cell r="Q45">
            <v>0</v>
          </cell>
          <cell r="R45">
            <v>0</v>
          </cell>
          <cell r="S45">
            <v>-198.70038</v>
          </cell>
          <cell r="T45">
            <v>-15.49306</v>
          </cell>
          <cell r="U45">
            <v>0</v>
          </cell>
          <cell r="V45">
            <v>-3755.0858459142037</v>
          </cell>
          <cell r="W45">
            <v>0</v>
          </cell>
          <cell r="X45">
            <v>-710.98512408579677</v>
          </cell>
          <cell r="Y45">
            <v>-69.149860000000004</v>
          </cell>
          <cell r="Z45">
            <v>550.41531000000009</v>
          </cell>
          <cell r="AA45">
            <v>7.6428500000000001</v>
          </cell>
          <cell r="AB45">
            <v>0</v>
          </cell>
          <cell r="AC45">
            <v>-1376.0314600000002</v>
          </cell>
          <cell r="AD45">
            <v>265.10590000000002</v>
          </cell>
          <cell r="AE45">
            <v>-135.57830999999999</v>
          </cell>
          <cell r="AF45">
            <v>-614.03076999999996</v>
          </cell>
          <cell r="AG45">
            <v>0</v>
          </cell>
          <cell r="AH45">
            <v>1338.8192999999997</v>
          </cell>
          <cell r="AI45">
            <v>878.70616000000007</v>
          </cell>
          <cell r="AJ45">
            <v>110.66736999999986</v>
          </cell>
          <cell r="AK45">
            <v>-70.78877</v>
          </cell>
          <cell r="AL45">
            <v>-3616.9439100000009</v>
          </cell>
          <cell r="AM45">
            <v>2542.2468599999993</v>
          </cell>
          <cell r="AN45">
            <v>-337.89204999999993</v>
          </cell>
          <cell r="AO45">
            <v>-279.33894999999995</v>
          </cell>
          <cell r="AP45">
            <v>-34.421240000000004</v>
          </cell>
          <cell r="AQ45">
            <v>-281.46496999999999</v>
          </cell>
          <cell r="AR45">
            <v>-160.51953</v>
          </cell>
          <cell r="AT45">
            <v>-471.66513000000009</v>
          </cell>
          <cell r="AU45">
            <v>0</v>
          </cell>
          <cell r="AV45">
            <v>0</v>
          </cell>
          <cell r="AW45">
            <v>0</v>
          </cell>
          <cell r="AX45">
            <v>-40.356929628507018</v>
          </cell>
          <cell r="AY45">
            <v>0</v>
          </cell>
          <cell r="AZ45">
            <v>73.77092962850702</v>
          </cell>
          <cell r="BA45">
            <v>0</v>
          </cell>
          <cell r="BB45">
            <v>-4.0480100000000006</v>
          </cell>
          <cell r="BC45">
            <v>0</v>
          </cell>
          <cell r="BD45">
            <v>0</v>
          </cell>
          <cell r="BE45">
            <v>107.17620999999997</v>
          </cell>
          <cell r="BF45">
            <v>-1607.07</v>
          </cell>
          <cell r="BG45">
            <v>-60.934559999999998</v>
          </cell>
          <cell r="BH45">
            <v>199.14937</v>
          </cell>
          <cell r="BI45">
            <v>7.0925400000000005</v>
          </cell>
          <cell r="BJ45">
            <v>0</v>
          </cell>
          <cell r="BK45">
            <v>300.51177999999845</v>
          </cell>
        </row>
        <row r="46">
          <cell r="C46">
            <v>19324.455620000001</v>
          </cell>
          <cell r="N46">
            <v>8224.4270600000018</v>
          </cell>
          <cell r="O46">
            <v>-24.81373</v>
          </cell>
          <cell r="P46">
            <v>0</v>
          </cell>
          <cell r="Q46">
            <v>0</v>
          </cell>
          <cell r="R46">
            <v>0</v>
          </cell>
          <cell r="S46">
            <v>-244.51733000000002</v>
          </cell>
          <cell r="T46">
            <v>-7.0851900000000008</v>
          </cell>
          <cell r="U46">
            <v>0</v>
          </cell>
          <cell r="V46">
            <v>-4238.2860600000004</v>
          </cell>
          <cell r="W46">
            <v>0</v>
          </cell>
          <cell r="X46">
            <v>0</v>
          </cell>
          <cell r="Y46">
            <v>-118.49775000000001</v>
          </cell>
          <cell r="Z46">
            <v>474.04453999999998</v>
          </cell>
          <cell r="AA46">
            <v>13.65751</v>
          </cell>
          <cell r="AB46">
            <v>0</v>
          </cell>
          <cell r="AC46">
            <v>-1948.1743999999999</v>
          </cell>
          <cell r="AD46">
            <v>430.26774</v>
          </cell>
          <cell r="AE46">
            <v>-196.90107</v>
          </cell>
          <cell r="AF46">
            <v>-560.69900000000007</v>
          </cell>
          <cell r="AG46">
            <v>0</v>
          </cell>
          <cell r="AH46">
            <v>4421.4918900000002</v>
          </cell>
          <cell r="AI46">
            <v>453.20325999999994</v>
          </cell>
          <cell r="AJ46">
            <v>-485.77274999999986</v>
          </cell>
          <cell r="AK46">
            <v>-33.324849999999998</v>
          </cell>
          <cell r="AL46">
            <v>-3282.0908100000001</v>
          </cell>
          <cell r="AM46">
            <v>2359.1166199999998</v>
          </cell>
          <cell r="AN46">
            <v>-480.9068700000002</v>
          </cell>
          <cell r="AO46">
            <v>-432.55445999999995</v>
          </cell>
          <cell r="AP46">
            <v>-25.112020000000001</v>
          </cell>
          <cell r="AQ46">
            <v>-426.06054000000006</v>
          </cell>
          <cell r="AR46">
            <v>-162.54191000000003</v>
          </cell>
          <cell r="AT46">
            <v>-436.19543999999996</v>
          </cell>
          <cell r="AU46">
            <v>0</v>
          </cell>
          <cell r="AV46">
            <v>0</v>
          </cell>
          <cell r="AW46">
            <v>0</v>
          </cell>
          <cell r="AX46">
            <v>11.638999999999999</v>
          </cell>
          <cell r="AY46">
            <v>0</v>
          </cell>
          <cell r="AZ46">
            <v>0</v>
          </cell>
          <cell r="BA46">
            <v>0.34734000000000004</v>
          </cell>
          <cell r="BB46">
            <v>-1.26457</v>
          </cell>
          <cell r="BC46">
            <v>-3.7929999999999998E-2</v>
          </cell>
          <cell r="BD46">
            <v>0</v>
          </cell>
          <cell r="BE46">
            <v>93.130630000000011</v>
          </cell>
          <cell r="BF46">
            <v>-142.40168</v>
          </cell>
          <cell r="BG46">
            <v>-6.8737400000000006</v>
          </cell>
          <cell r="BH46">
            <v>17.34075</v>
          </cell>
          <cell r="BI46">
            <v>0.74377999999999989</v>
          </cell>
          <cell r="BJ46">
            <v>0</v>
          </cell>
          <cell r="BK46">
            <v>3245.2980200000034</v>
          </cell>
        </row>
        <row r="47">
          <cell r="C47">
            <v>20573.95948613861</v>
          </cell>
          <cell r="N47">
            <v>9180.7672939359072</v>
          </cell>
          <cell r="O47">
            <v>-629.02518561738907</v>
          </cell>
          <cell r="P47">
            <v>0</v>
          </cell>
          <cell r="Q47">
            <v>-150.01815136046974</v>
          </cell>
          <cell r="R47">
            <v>0</v>
          </cell>
          <cell r="S47">
            <v>-350.08878318452724</v>
          </cell>
          <cell r="T47">
            <v>-10.544020156617039</v>
          </cell>
          <cell r="U47">
            <v>0</v>
          </cell>
          <cell r="V47">
            <v>-2913.6504784838189</v>
          </cell>
          <cell r="W47">
            <v>0</v>
          </cell>
          <cell r="X47">
            <v>-962.69963809960927</v>
          </cell>
          <cell r="Y47">
            <v>-92.27127386104695</v>
          </cell>
          <cell r="Z47">
            <v>453.12997920470349</v>
          </cell>
          <cell r="AA47">
            <v>0</v>
          </cell>
          <cell r="AB47">
            <v>0</v>
          </cell>
          <cell r="AC47">
            <v>-2773.3428046383628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2773.3428046383628</v>
          </cell>
          <cell r="AI47">
            <v>92.27127386104695</v>
          </cell>
          <cell r="AJ47">
            <v>0</v>
          </cell>
          <cell r="AK47">
            <v>0</v>
          </cell>
          <cell r="AL47">
            <v>-1308.9388950903754</v>
          </cell>
          <cell r="AM47">
            <v>0</v>
          </cell>
          <cell r="AN47">
            <v>0</v>
          </cell>
          <cell r="AO47">
            <v>-352.38730093401921</v>
          </cell>
          <cell r="AP47">
            <v>-27.844877077944275</v>
          </cell>
          <cell r="AQ47">
            <v>-357.46107485849348</v>
          </cell>
          <cell r="AR47">
            <v>-255.26511328653601</v>
          </cell>
          <cell r="AT47">
            <v>-472.78509658281064</v>
          </cell>
          <cell r="AU47">
            <v>0</v>
          </cell>
          <cell r="AV47">
            <v>0</v>
          </cell>
          <cell r="AW47">
            <v>0</v>
          </cell>
          <cell r="AX47">
            <v>82.746922444246692</v>
          </cell>
          <cell r="AY47">
            <v>0</v>
          </cell>
          <cell r="AZ47">
            <v>0</v>
          </cell>
          <cell r="BA47">
            <v>1.5074474555356994</v>
          </cell>
          <cell r="BB47">
            <v>-7.588045543677814</v>
          </cell>
          <cell r="BC47">
            <v>0</v>
          </cell>
          <cell r="BD47">
            <v>0</v>
          </cell>
          <cell r="BE47">
            <v>50.666567715288281</v>
          </cell>
          <cell r="BF47">
            <v>-50.666567715288281</v>
          </cell>
          <cell r="BG47">
            <v>-1.5074474555356994</v>
          </cell>
          <cell r="BH47">
            <v>0</v>
          </cell>
          <cell r="BI47">
            <v>0</v>
          </cell>
          <cell r="BJ47">
            <v>0</v>
          </cell>
          <cell r="BK47">
            <v>1918.3475353085685</v>
          </cell>
        </row>
        <row r="49">
          <cell r="C49">
            <v>21921.365100000003</v>
          </cell>
          <cell r="N49">
            <v>13685.9591</v>
          </cell>
          <cell r="O49">
            <v>-536.9285900000001</v>
          </cell>
          <cell r="P49">
            <v>0</v>
          </cell>
          <cell r="Q49">
            <v>0</v>
          </cell>
          <cell r="R49">
            <v>11.118450000000001</v>
          </cell>
          <cell r="S49">
            <v>-238.83368999999999</v>
          </cell>
          <cell r="T49">
            <v>-28.157449999999997</v>
          </cell>
          <cell r="U49">
            <v>0</v>
          </cell>
          <cell r="V49">
            <v>-6494.9703099999997</v>
          </cell>
          <cell r="W49">
            <v>0</v>
          </cell>
          <cell r="X49">
            <v>-650</v>
          </cell>
          <cell r="Y49">
            <v>-55.797109999999996</v>
          </cell>
          <cell r="Z49">
            <v>319.16674999999998</v>
          </cell>
          <cell r="AA49">
            <v>2.7640899999999999</v>
          </cell>
          <cell r="AB49">
            <v>0</v>
          </cell>
          <cell r="AC49">
            <v>-5836.0247099999997</v>
          </cell>
          <cell r="AD49">
            <v>164.33969999999999</v>
          </cell>
          <cell r="AE49">
            <v>-65.023719999999997</v>
          </cell>
          <cell r="AF49">
            <v>-743.11091999999985</v>
          </cell>
          <cell r="AG49">
            <v>0</v>
          </cell>
          <cell r="AH49">
            <v>7633.6184599999997</v>
          </cell>
          <cell r="AI49">
            <v>899.96563000000003</v>
          </cell>
          <cell r="AJ49">
            <v>-552.30191000000002</v>
          </cell>
          <cell r="AK49">
            <v>-35.872659999999996</v>
          </cell>
          <cell r="AL49">
            <v>-3109.1642499999998</v>
          </cell>
          <cell r="AM49">
            <v>2021.6327099999999</v>
          </cell>
          <cell r="AN49">
            <v>-924.76580999999987</v>
          </cell>
          <cell r="AO49">
            <v>-692.13733999999999</v>
          </cell>
          <cell r="AP49">
            <v>-70.028530000000003</v>
          </cell>
          <cell r="AQ49">
            <v>-503.40028999999998</v>
          </cell>
          <cell r="AR49">
            <v>-259.32107999999999</v>
          </cell>
          <cell r="AT49">
            <v>-1023.4088700000004</v>
          </cell>
          <cell r="AU49">
            <v>0</v>
          </cell>
          <cell r="AV49">
            <v>0</v>
          </cell>
          <cell r="AW49">
            <v>0</v>
          </cell>
          <cell r="AX49">
            <v>26.768999999999998</v>
          </cell>
          <cell r="AY49">
            <v>0</v>
          </cell>
          <cell r="AZ49">
            <v>0</v>
          </cell>
          <cell r="BA49">
            <v>9.7310000000000008E-2</v>
          </cell>
          <cell r="BB49">
            <v>-0.90457999999999972</v>
          </cell>
          <cell r="BC49">
            <v>-2.6900000000000001E-3</v>
          </cell>
          <cell r="BD49">
            <v>0</v>
          </cell>
          <cell r="BE49">
            <v>130.19490999999999</v>
          </cell>
          <cell r="BF49">
            <v>1081.7357799999997</v>
          </cell>
          <cell r="BG49">
            <v>-14.132460000000002</v>
          </cell>
          <cell r="BH49">
            <v>-69.956369999999993</v>
          </cell>
          <cell r="BI49">
            <v>0.25964000000000009</v>
          </cell>
          <cell r="BJ49">
            <v>2.1316282072803006E-17</v>
          </cell>
          <cell r="BK49">
            <v>4073.3781899999999</v>
          </cell>
        </row>
        <row r="50">
          <cell r="C50">
            <v>22417.323169999996</v>
          </cell>
          <cell r="N50">
            <v>13906.051679999999</v>
          </cell>
          <cell r="O50">
            <v>-232.96758999999997</v>
          </cell>
          <cell r="P50">
            <v>0</v>
          </cell>
          <cell r="Q50">
            <v>0</v>
          </cell>
          <cell r="R50">
            <v>2.75</v>
          </cell>
          <cell r="S50">
            <v>-233.50646</v>
          </cell>
          <cell r="T50">
            <v>-28.677989999999994</v>
          </cell>
          <cell r="U50">
            <v>0</v>
          </cell>
          <cell r="V50">
            <v>-6856.2714500000002</v>
          </cell>
          <cell r="W50">
            <v>0</v>
          </cell>
          <cell r="X50">
            <v>-973</v>
          </cell>
          <cell r="Y50">
            <v>-128.45929000000001</v>
          </cell>
          <cell r="Z50">
            <v>346.03017999999997</v>
          </cell>
          <cell r="AA50">
            <v>6.2308699999999995</v>
          </cell>
          <cell r="AB50">
            <v>0</v>
          </cell>
          <cell r="AC50">
            <v>-5972.6836999999996</v>
          </cell>
          <cell r="AD50">
            <v>314.75518</v>
          </cell>
          <cell r="AE50">
            <v>-61.817020000000007</v>
          </cell>
          <cell r="AF50">
            <v>-690.15941999999995</v>
          </cell>
          <cell r="AG50">
            <v>0</v>
          </cell>
          <cell r="AH50">
            <v>5946.5006100000001</v>
          </cell>
          <cell r="AI50">
            <v>199.17956999999998</v>
          </cell>
          <cell r="AJ50">
            <v>-89.623859999999951</v>
          </cell>
          <cell r="AK50">
            <v>-1.9278</v>
          </cell>
          <cell r="AL50">
            <v>-3217.5926799999997</v>
          </cell>
          <cell r="AM50">
            <v>2170.496110000001</v>
          </cell>
          <cell r="AN50">
            <v>-963.84355000000028</v>
          </cell>
          <cell r="AO50">
            <v>-643.29902000000004</v>
          </cell>
          <cell r="AP50">
            <v>-43.55932</v>
          </cell>
          <cell r="AQ50">
            <v>-445.85977000000003</v>
          </cell>
          <cell r="AR50">
            <v>-305.11822000000001</v>
          </cell>
          <cell r="AT50">
            <v>-1315.4514599999998</v>
          </cell>
          <cell r="AU50">
            <v>0</v>
          </cell>
          <cell r="AV50">
            <v>0</v>
          </cell>
          <cell r="AW50">
            <v>0</v>
          </cell>
          <cell r="AX50">
            <v>28.51</v>
          </cell>
          <cell r="AY50">
            <v>0</v>
          </cell>
          <cell r="AZ50">
            <v>0</v>
          </cell>
          <cell r="BA50">
            <v>0.42985000000000007</v>
          </cell>
          <cell r="BB50">
            <v>-0.92379</v>
          </cell>
          <cell r="BC50">
            <v>-1.1509999999999999E-2</v>
          </cell>
          <cell r="BD50">
            <v>0</v>
          </cell>
          <cell r="BE50">
            <v>127.86932000000002</v>
          </cell>
          <cell r="BF50">
            <v>11.64699999999992</v>
          </cell>
          <cell r="BG50">
            <v>-5.9791000000000007</v>
          </cell>
          <cell r="BH50">
            <v>-28.053130000000007</v>
          </cell>
          <cell r="BI50">
            <v>-0.45668999999999998</v>
          </cell>
          <cell r="BJ50">
            <v>0</v>
          </cell>
          <cell r="BK50">
            <v>821.20755000000008</v>
          </cell>
        </row>
        <row r="51">
          <cell r="C51">
            <v>20131.249767002824</v>
          </cell>
          <cell r="N51">
            <v>14045.686262675114</v>
          </cell>
          <cell r="O51">
            <v>-2143.8144316464668</v>
          </cell>
          <cell r="P51">
            <v>0</v>
          </cell>
          <cell r="Q51">
            <v>-278.67147148720056</v>
          </cell>
          <cell r="R51">
            <v>0</v>
          </cell>
          <cell r="S51">
            <v>-284.82496615953755</v>
          </cell>
          <cell r="T51">
            <v>-147.71594605241864</v>
          </cell>
          <cell r="U51">
            <v>0</v>
          </cell>
          <cell r="V51">
            <v>-4568.7924467303137</v>
          </cell>
          <cell r="W51">
            <v>0</v>
          </cell>
          <cell r="X51">
            <v>-541.07342889325082</v>
          </cell>
          <cell r="Y51">
            <v>-123.93113358612517</v>
          </cell>
          <cell r="Z51">
            <v>208.38416716362127</v>
          </cell>
          <cell r="AA51">
            <v>0</v>
          </cell>
          <cell r="AB51">
            <v>0</v>
          </cell>
          <cell r="AC51">
            <v>-3571.391632610525</v>
          </cell>
          <cell r="AD51">
            <v>0</v>
          </cell>
          <cell r="AE51">
            <v>0</v>
          </cell>
          <cell r="AF51">
            <v>-331.69965053491666</v>
          </cell>
          <cell r="AG51">
            <v>0</v>
          </cell>
          <cell r="AH51">
            <v>4153.0912831454425</v>
          </cell>
          <cell r="AI51">
            <v>123.93113358612517</v>
          </cell>
          <cell r="AJ51">
            <v>0</v>
          </cell>
          <cell r="AK51">
            <v>0</v>
          </cell>
          <cell r="AL51">
            <v>-2020.6341289162276</v>
          </cell>
          <cell r="AM51">
            <v>0</v>
          </cell>
          <cell r="AN51">
            <v>0</v>
          </cell>
          <cell r="AO51">
            <v>-660.72452998535709</v>
          </cell>
          <cell r="AP51">
            <v>-39.368192540240429</v>
          </cell>
          <cell r="AQ51">
            <v>-558.34173576826697</v>
          </cell>
          <cell r="AR51">
            <v>-378.85264556996299</v>
          </cell>
          <cell r="AT51">
            <v>-1045.1909700947756</v>
          </cell>
          <cell r="AU51">
            <v>53.848959632673974</v>
          </cell>
          <cell r="AV51">
            <v>0</v>
          </cell>
          <cell r="AW51">
            <v>27.32068240135937</v>
          </cell>
          <cell r="AX51">
            <v>210.8443064227495</v>
          </cell>
          <cell r="AY51">
            <v>0</v>
          </cell>
          <cell r="AZ51">
            <v>53.046317327412453</v>
          </cell>
          <cell r="BA51">
            <v>5.2698842095922807</v>
          </cell>
          <cell r="BB51">
            <v>-7.6902303683739301</v>
          </cell>
          <cell r="BC51">
            <v>0</v>
          </cell>
          <cell r="BD51">
            <v>0</v>
          </cell>
          <cell r="BE51">
            <v>609.12983847825876</v>
          </cell>
          <cell r="BF51">
            <v>-609.12983847825876</v>
          </cell>
          <cell r="BG51">
            <v>-5.2698842095922807</v>
          </cell>
          <cell r="BH51">
            <v>0</v>
          </cell>
          <cell r="BI51">
            <v>0</v>
          </cell>
          <cell r="BJ51">
            <v>0</v>
          </cell>
          <cell r="BK51">
            <v>2173.4355714105391</v>
          </cell>
        </row>
        <row r="53">
          <cell r="C53">
            <v>5866.2681300000077</v>
          </cell>
          <cell r="N53">
            <v>4042.5233700000076</v>
          </cell>
          <cell r="O53">
            <v>-23.156700000000001</v>
          </cell>
          <cell r="P53">
            <v>0</v>
          </cell>
          <cell r="Q53">
            <v>0</v>
          </cell>
          <cell r="R53">
            <v>0</v>
          </cell>
          <cell r="S53">
            <v>-14.7554</v>
          </cell>
          <cell r="T53">
            <v>0</v>
          </cell>
          <cell r="U53">
            <v>0</v>
          </cell>
          <cell r="V53">
            <v>-566.32120999999995</v>
          </cell>
          <cell r="W53">
            <v>0</v>
          </cell>
          <cell r="X53">
            <v>0</v>
          </cell>
          <cell r="Y53">
            <v>-9.7670899999999996</v>
          </cell>
          <cell r="Z53">
            <v>32.446470000000005</v>
          </cell>
          <cell r="AA53">
            <v>0.47288999999999992</v>
          </cell>
          <cell r="AB53">
            <v>0</v>
          </cell>
          <cell r="AC53">
            <v>-306.14693999999997</v>
          </cell>
          <cell r="AD53">
            <v>23.927160000000001</v>
          </cell>
          <cell r="AE53">
            <v>-4.6307200000000002</v>
          </cell>
          <cell r="AF53">
            <v>-12.949340000000001</v>
          </cell>
          <cell r="AG53">
            <v>0</v>
          </cell>
          <cell r="AH53">
            <v>394.49950000000035</v>
          </cell>
          <cell r="AI53">
            <v>1693.6563899999999</v>
          </cell>
          <cell r="AJ53">
            <v>44.296270000000007</v>
          </cell>
          <cell r="AK53">
            <v>-131.39561999999998</v>
          </cell>
          <cell r="AL53">
            <v>-809.04101999999932</v>
          </cell>
          <cell r="AM53">
            <v>201.55281000000005</v>
          </cell>
          <cell r="AN53">
            <v>60.337299999999999</v>
          </cell>
          <cell r="AO53">
            <v>-56.03117000000001</v>
          </cell>
          <cell r="AP53">
            <v>-16.705030000000001</v>
          </cell>
          <cell r="AQ53">
            <v>-94.338850000000008</v>
          </cell>
          <cell r="AR53">
            <v>-67.401139999999998</v>
          </cell>
          <cell r="AT53">
            <v>-158.04403000000002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6.0344699999999998</v>
          </cell>
          <cell r="BF53">
            <v>-7.9790000000000001</v>
          </cell>
          <cell r="BG53">
            <v>-2.2136400000000003</v>
          </cell>
          <cell r="BH53">
            <v>0.17822999999999997</v>
          </cell>
          <cell r="BI53">
            <v>0.14698999999999998</v>
          </cell>
          <cell r="BJ53">
            <v>0</v>
          </cell>
          <cell r="BK53">
            <v>4219.1949500000073</v>
          </cell>
        </row>
        <row r="54">
          <cell r="C54">
            <v>3756.8863499999984</v>
          </cell>
          <cell r="N54">
            <v>1734.5666299999993</v>
          </cell>
          <cell r="O54">
            <v>-31.220929999999996</v>
          </cell>
          <cell r="P54">
            <v>0</v>
          </cell>
          <cell r="Q54">
            <v>0</v>
          </cell>
          <cell r="R54">
            <v>0</v>
          </cell>
          <cell r="S54">
            <v>-3.2905099999999998</v>
          </cell>
          <cell r="T54">
            <v>-7.8900000000000012E-2</v>
          </cell>
          <cell r="U54">
            <v>0</v>
          </cell>
          <cell r="V54">
            <v>-444.55279000000002</v>
          </cell>
          <cell r="W54">
            <v>0</v>
          </cell>
          <cell r="X54">
            <v>0</v>
          </cell>
          <cell r="Y54">
            <v>-102.47001</v>
          </cell>
          <cell r="Z54">
            <v>24.945260000000001</v>
          </cell>
          <cell r="AA54">
            <v>10.703150000000001</v>
          </cell>
          <cell r="AB54">
            <v>0</v>
          </cell>
          <cell r="AC54">
            <v>-288.74227000000002</v>
          </cell>
          <cell r="AD54">
            <v>38.757170000000002</v>
          </cell>
          <cell r="AE54">
            <v>-1.2947</v>
          </cell>
          <cell r="AF54">
            <v>-6.9771199999999993</v>
          </cell>
          <cell r="AG54">
            <v>0</v>
          </cell>
          <cell r="AH54">
            <v>658.14039999999841</v>
          </cell>
          <cell r="AI54">
            <v>586.03686999999991</v>
          </cell>
          <cell r="AJ54">
            <v>-29.181150000000002</v>
          </cell>
          <cell r="AK54">
            <v>-62.826539999999994</v>
          </cell>
          <cell r="AL54">
            <v>-540.21024</v>
          </cell>
          <cell r="AM54">
            <v>214.35716000000002</v>
          </cell>
          <cell r="AN54">
            <v>118.32108999999997</v>
          </cell>
          <cell r="AO54">
            <v>-25.842370000000003</v>
          </cell>
          <cell r="AP54">
            <v>-6.3073699999999997</v>
          </cell>
          <cell r="AQ54">
            <v>-55.94491</v>
          </cell>
          <cell r="AR54">
            <v>-37.760949999999994</v>
          </cell>
          <cell r="AT54">
            <v>-106.26518000000003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1.2879400000000001</v>
          </cell>
          <cell r="BF54">
            <v>8.2513099999999984</v>
          </cell>
          <cell r="BG54">
            <v>-0.15555999999999992</v>
          </cell>
          <cell r="BH54">
            <v>-0.47970999999999997</v>
          </cell>
          <cell r="BI54">
            <v>-3.4229999999999997E-2</v>
          </cell>
          <cell r="BJ54">
            <v>0</v>
          </cell>
          <cell r="BK54">
            <v>1651.7315399999977</v>
          </cell>
        </row>
        <row r="55">
          <cell r="C55">
            <v>5017.9404784264107</v>
          </cell>
          <cell r="N55">
            <v>3201.6311764955326</v>
          </cell>
          <cell r="O55">
            <v>-228.17554168028803</v>
          </cell>
          <cell r="P55">
            <v>0</v>
          </cell>
          <cell r="Q55">
            <v>0</v>
          </cell>
          <cell r="R55">
            <v>0</v>
          </cell>
          <cell r="S55">
            <v>-19.80153984670277</v>
          </cell>
          <cell r="T55">
            <v>0</v>
          </cell>
          <cell r="U55">
            <v>0</v>
          </cell>
          <cell r="V55">
            <v>-303.84440084390201</v>
          </cell>
          <cell r="W55">
            <v>0</v>
          </cell>
          <cell r="X55">
            <v>0</v>
          </cell>
          <cell r="Y55">
            <v>-9.8221965802405578</v>
          </cell>
          <cell r="Z55">
            <v>18.228211195131024</v>
          </cell>
          <cell r="AA55">
            <v>0</v>
          </cell>
          <cell r="AB55">
            <v>0</v>
          </cell>
          <cell r="AC55">
            <v>-412.86491962686227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412.86491962686227</v>
          </cell>
          <cell r="AI55">
            <v>9.8221965802405578</v>
          </cell>
          <cell r="AJ55">
            <v>0</v>
          </cell>
          <cell r="AK55">
            <v>0</v>
          </cell>
          <cell r="AL55">
            <v>-414.35125065621804</v>
          </cell>
          <cell r="AM55">
            <v>0</v>
          </cell>
          <cell r="AN55">
            <v>0</v>
          </cell>
          <cell r="AO55">
            <v>-56.519104269116212</v>
          </cell>
          <cell r="AP55">
            <v>-8.2194539578956274</v>
          </cell>
          <cell r="AQ55">
            <v>-97.628039221204546</v>
          </cell>
          <cell r="AR55">
            <v>-91.304736668271829</v>
          </cell>
          <cell r="AT55">
            <v>-149.09119781439722</v>
          </cell>
          <cell r="AU55">
            <v>2.8349549733767487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5.0027900562436223E-2</v>
          </cell>
          <cell r="BB55">
            <v>-9.0691999909404783E-2</v>
          </cell>
          <cell r="BC55">
            <v>0</v>
          </cell>
          <cell r="BD55">
            <v>0</v>
          </cell>
          <cell r="BE55">
            <v>27.379512290992729</v>
          </cell>
          <cell r="BF55">
            <v>-27.379512290992729</v>
          </cell>
          <cell r="BG55">
            <v>-5.0027900562436223E-2</v>
          </cell>
          <cell r="BH55">
            <v>0</v>
          </cell>
          <cell r="BI55">
            <v>0</v>
          </cell>
          <cell r="BJ55">
            <v>0</v>
          </cell>
          <cell r="BK55">
            <v>1853.6683857061353</v>
          </cell>
        </row>
        <row r="57">
          <cell r="C57">
            <v>265.26893000000013</v>
          </cell>
          <cell r="N57">
            <v>209.7632900000001</v>
          </cell>
          <cell r="O57">
            <v>-0.23596</v>
          </cell>
          <cell r="P57">
            <v>0</v>
          </cell>
          <cell r="Q57">
            <v>0</v>
          </cell>
          <cell r="R57">
            <v>0</v>
          </cell>
          <cell r="S57">
            <v>-87.882019999999983</v>
          </cell>
          <cell r="T57">
            <v>0</v>
          </cell>
          <cell r="U57">
            <v>0</v>
          </cell>
          <cell r="V57">
            <v>-143.7269</v>
          </cell>
          <cell r="W57">
            <v>0</v>
          </cell>
          <cell r="X57">
            <v>0</v>
          </cell>
          <cell r="Y57">
            <v>-0.67337999999999998</v>
          </cell>
          <cell r="Z57">
            <v>10.942299999999999</v>
          </cell>
          <cell r="AA57">
            <v>2.3769999999999999E-2</v>
          </cell>
          <cell r="AB57">
            <v>0</v>
          </cell>
          <cell r="AC57">
            <v>-152.16651000000002</v>
          </cell>
          <cell r="AD57">
            <v>33.775219999999997</v>
          </cell>
          <cell r="AE57">
            <v>-21.94519</v>
          </cell>
          <cell r="AF57">
            <v>5.6843418860808018E-15</v>
          </cell>
          <cell r="AG57">
            <v>0</v>
          </cell>
          <cell r="AH57">
            <v>252.20071000000002</v>
          </cell>
          <cell r="AI57">
            <v>73.016850000000034</v>
          </cell>
          <cell r="AJ57">
            <v>-35.82593</v>
          </cell>
          <cell r="AK57">
            <v>-3.3384399999999999</v>
          </cell>
          <cell r="AL57">
            <v>-29.203680000000006</v>
          </cell>
          <cell r="AM57">
            <v>15.35618</v>
          </cell>
          <cell r="AN57">
            <v>-8.0676500000000022</v>
          </cell>
          <cell r="AO57">
            <v>-2.7259899999999995</v>
          </cell>
          <cell r="AP57">
            <v>-3.1200099999999997</v>
          </cell>
          <cell r="AQ57">
            <v>-6.3760900000000005</v>
          </cell>
          <cell r="AR57">
            <v>-12.097619999999999</v>
          </cell>
          <cell r="AT57">
            <v>-13.13068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74.562270000000098</v>
          </cell>
        </row>
        <row r="58">
          <cell r="C58">
            <v>289.77442000000008</v>
          </cell>
          <cell r="N58">
            <v>217.70490000000012</v>
          </cell>
          <cell r="O58">
            <v>-1.0296700000000001</v>
          </cell>
          <cell r="P58">
            <v>0</v>
          </cell>
          <cell r="Q58">
            <v>0</v>
          </cell>
          <cell r="R58">
            <v>0.39799999999999969</v>
          </cell>
          <cell r="S58">
            <v>-76.466329999999999</v>
          </cell>
          <cell r="T58">
            <v>0</v>
          </cell>
          <cell r="U58">
            <v>0</v>
          </cell>
          <cell r="V58">
            <v>-221.24128000000002</v>
          </cell>
          <cell r="W58">
            <v>0</v>
          </cell>
          <cell r="X58">
            <v>0</v>
          </cell>
          <cell r="Y58">
            <v>-7.2292800000000002</v>
          </cell>
          <cell r="Z58">
            <v>17.892969999999998</v>
          </cell>
          <cell r="AA58">
            <v>0.44592999999999999</v>
          </cell>
          <cell r="AB58">
            <v>0</v>
          </cell>
          <cell r="AC58">
            <v>-141.76606000000001</v>
          </cell>
          <cell r="AD58">
            <v>5.9319699999999997</v>
          </cell>
          <cell r="AE58">
            <v>-19.14263</v>
          </cell>
          <cell r="AF58">
            <v>0</v>
          </cell>
          <cell r="AG58">
            <v>0</v>
          </cell>
          <cell r="AH58">
            <v>253.26190000000011</v>
          </cell>
          <cell r="AI58">
            <v>4.5513300000000001</v>
          </cell>
          <cell r="AJ58">
            <v>0.82360999999999507</v>
          </cell>
          <cell r="AK58">
            <v>0.56283999999999978</v>
          </cell>
          <cell r="AL58">
            <v>-34.784340000000036</v>
          </cell>
          <cell r="AM58">
            <v>18.422609999999995</v>
          </cell>
          <cell r="AN58">
            <v>-8.3432199999999987</v>
          </cell>
          <cell r="AO58">
            <v>-2.22343</v>
          </cell>
          <cell r="AP58">
            <v>-0.64405000000000001</v>
          </cell>
          <cell r="AQ58">
            <v>-5.5745800000000001</v>
          </cell>
          <cell r="AR58">
            <v>-3.5580600000000002</v>
          </cell>
          <cell r="AT58">
            <v>-12.62988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-14.63674999999985</v>
          </cell>
        </row>
        <row r="59">
          <cell r="C59">
            <v>265.09026194465599</v>
          </cell>
          <cell r="N59">
            <v>205.98979860767912</v>
          </cell>
          <cell r="O59">
            <v>7.7967958648522755</v>
          </cell>
          <cell r="P59">
            <v>0</v>
          </cell>
          <cell r="Q59">
            <v>0</v>
          </cell>
          <cell r="R59">
            <v>0</v>
          </cell>
          <cell r="S59">
            <v>-84.220386679144369</v>
          </cell>
          <cell r="T59">
            <v>-22.517668182869087</v>
          </cell>
          <cell r="U59">
            <v>0</v>
          </cell>
          <cell r="V59">
            <v>-138.95668495821641</v>
          </cell>
          <cell r="W59">
            <v>0</v>
          </cell>
          <cell r="X59">
            <v>0</v>
          </cell>
          <cell r="Y59">
            <v>-2.9631056846129606</v>
          </cell>
          <cell r="Z59">
            <v>10.557855122494853</v>
          </cell>
          <cell r="AA59">
            <v>0</v>
          </cell>
          <cell r="AB59">
            <v>0</v>
          </cell>
          <cell r="AC59">
            <v>-22.583759035115612</v>
          </cell>
          <cell r="AD59">
            <v>0</v>
          </cell>
          <cell r="AE59">
            <v>0</v>
          </cell>
          <cell r="AF59">
            <v>-63.411622512087682</v>
          </cell>
          <cell r="AG59">
            <v>0</v>
          </cell>
          <cell r="AH59">
            <v>85.995381547203294</v>
          </cell>
          <cell r="AI59">
            <v>2.9631056846129606</v>
          </cell>
          <cell r="AJ59">
            <v>0</v>
          </cell>
          <cell r="AK59">
            <v>0</v>
          </cell>
          <cell r="AL59">
            <v>-25.485305468339678</v>
          </cell>
          <cell r="AM59">
            <v>0</v>
          </cell>
          <cell r="AN59">
            <v>0</v>
          </cell>
          <cell r="AO59">
            <v>-2.8124243791406598</v>
          </cell>
          <cell r="AP59">
            <v>-2.5333188119251657</v>
          </cell>
          <cell r="AQ59">
            <v>-6.4754663596642317</v>
          </cell>
          <cell r="AR59">
            <v>-14.188281004284672</v>
          </cell>
          <cell r="AT59">
            <v>-14.001973123325723</v>
          </cell>
          <cell r="AU59">
            <v>2.9151096608096196</v>
          </cell>
          <cell r="AV59">
            <v>0</v>
          </cell>
          <cell r="AW59">
            <v>0</v>
          </cell>
          <cell r="AX59">
            <v>2.0848903391903804</v>
          </cell>
          <cell r="AY59">
            <v>0</v>
          </cell>
          <cell r="AZ59">
            <v>0</v>
          </cell>
          <cell r="BA59">
            <v>4.9870253428535558E-2</v>
          </cell>
          <cell r="BB59">
            <v>-9.7423938278375311E-2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-4.9870253428535558E-2</v>
          </cell>
          <cell r="BH59">
            <v>0</v>
          </cell>
          <cell r="BI59">
            <v>0</v>
          </cell>
          <cell r="BJ59">
            <v>0</v>
          </cell>
          <cell r="BK59">
            <v>-81.944483310162127</v>
          </cell>
        </row>
        <row r="61">
          <cell r="C61">
            <v>1892.3619999999999</v>
          </cell>
          <cell r="N61">
            <v>861.2000899999997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-11.62088</v>
          </cell>
          <cell r="T61">
            <v>0</v>
          </cell>
          <cell r="U61">
            <v>0</v>
          </cell>
          <cell r="V61">
            <v>-27.18206</v>
          </cell>
          <cell r="W61">
            <v>0</v>
          </cell>
          <cell r="X61">
            <v>0</v>
          </cell>
          <cell r="Y61">
            <v>-0.34060000000000001</v>
          </cell>
          <cell r="Z61">
            <v>0.73090000000000011</v>
          </cell>
          <cell r="AA61">
            <v>1.3140000000000001E-2</v>
          </cell>
          <cell r="AB61">
            <v>0</v>
          </cell>
          <cell r="AC61">
            <v>0</v>
          </cell>
          <cell r="AD61">
            <v>0</v>
          </cell>
          <cell r="AE61">
            <v>-4.5193699999999994</v>
          </cell>
          <cell r="AF61">
            <v>-8.910070000000001</v>
          </cell>
          <cell r="AG61">
            <v>0</v>
          </cell>
          <cell r="AH61">
            <v>7.2264999999999953</v>
          </cell>
          <cell r="AI61">
            <v>4.2904000000000009</v>
          </cell>
          <cell r="AJ61">
            <v>-5.6229999999999877E-2</v>
          </cell>
          <cell r="AK61">
            <v>-0.40462999999999999</v>
          </cell>
          <cell r="AL61">
            <v>-346.82416000000001</v>
          </cell>
          <cell r="AM61">
            <v>296.98684999999995</v>
          </cell>
          <cell r="AN61">
            <v>-108.51077000000002</v>
          </cell>
          <cell r="AO61">
            <v>-2.3330700000000002</v>
          </cell>
          <cell r="AP61">
            <v>-7.2405200000000001</v>
          </cell>
          <cell r="AQ61">
            <v>-57.793360000000007</v>
          </cell>
          <cell r="AR61">
            <v>-20.344650000000001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574.36750999999958</v>
          </cell>
        </row>
        <row r="62">
          <cell r="C62">
            <v>1701.3516300000001</v>
          </cell>
          <cell r="N62">
            <v>779.5628399999996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-7.6296900000000001</v>
          </cell>
          <cell r="T62">
            <v>-1.2610000000000001E-2</v>
          </cell>
          <cell r="U62">
            <v>0</v>
          </cell>
          <cell r="V62">
            <v>-56.377510000000001</v>
          </cell>
          <cell r="W62">
            <v>0</v>
          </cell>
          <cell r="X62">
            <v>0</v>
          </cell>
          <cell r="Y62">
            <v>-1.29806</v>
          </cell>
          <cell r="Z62">
            <v>1.9414</v>
          </cell>
          <cell r="AA62">
            <v>7.986E-2</v>
          </cell>
          <cell r="AB62">
            <v>0</v>
          </cell>
          <cell r="AC62">
            <v>0</v>
          </cell>
          <cell r="AD62">
            <v>0</v>
          </cell>
          <cell r="AE62">
            <v>-4.1215799999999998</v>
          </cell>
          <cell r="AF62">
            <v>-3.5210100000000004</v>
          </cell>
          <cell r="AG62">
            <v>0</v>
          </cell>
          <cell r="AH62">
            <v>132.56256000000002</v>
          </cell>
          <cell r="AI62">
            <v>-0.68711999999999895</v>
          </cell>
          <cell r="AJ62">
            <v>2.7468400000000006</v>
          </cell>
          <cell r="AK62">
            <v>0.3095</v>
          </cell>
          <cell r="AL62">
            <v>-294.64965000000001</v>
          </cell>
          <cell r="AM62">
            <v>258.35585000000003</v>
          </cell>
          <cell r="AN62">
            <v>-99.815240000000017</v>
          </cell>
          <cell r="AO62">
            <v>-2.5461300000000002</v>
          </cell>
          <cell r="AP62">
            <v>-0.66283999999999998</v>
          </cell>
          <cell r="AQ62">
            <v>-41.246409999999997</v>
          </cell>
          <cell r="AR62">
            <v>-19.117339999999999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643.87365999999975</v>
          </cell>
        </row>
        <row r="63">
          <cell r="C63">
            <v>1603.33</v>
          </cell>
          <cell r="N63">
            <v>866.59078972376483</v>
          </cell>
          <cell r="O63">
            <v>-36.101910698838239</v>
          </cell>
          <cell r="P63">
            <v>0</v>
          </cell>
          <cell r="Q63">
            <v>0</v>
          </cell>
          <cell r="R63">
            <v>0</v>
          </cell>
          <cell r="S63">
            <v>-16.456912552517402</v>
          </cell>
          <cell r="T63">
            <v>0</v>
          </cell>
          <cell r="U63">
            <v>0</v>
          </cell>
          <cell r="V63">
            <v>-25.820134952116071</v>
          </cell>
          <cell r="W63">
            <v>0</v>
          </cell>
          <cell r="X63">
            <v>0</v>
          </cell>
          <cell r="Y63">
            <v>-0.64163730048640411</v>
          </cell>
          <cell r="Z63">
            <v>1.2065379118046111</v>
          </cell>
          <cell r="AA63">
            <v>0</v>
          </cell>
          <cell r="AB63">
            <v>0</v>
          </cell>
          <cell r="AC63">
            <v>-5.28364063288604E-2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5.28364063288604E-2</v>
          </cell>
          <cell r="AI63">
            <v>0.64163730048640411</v>
          </cell>
          <cell r="AJ63">
            <v>0</v>
          </cell>
          <cell r="AK63">
            <v>0</v>
          </cell>
          <cell r="AL63">
            <v>-161.75857910295062</v>
          </cell>
          <cell r="AM63">
            <v>0</v>
          </cell>
          <cell r="AN63">
            <v>0</v>
          </cell>
          <cell r="AO63">
            <v>-3.0143865838568749</v>
          </cell>
          <cell r="AP63">
            <v>-1.7389701789690628</v>
          </cell>
          <cell r="AQ63">
            <v>-72.398192770267499</v>
          </cell>
          <cell r="AR63">
            <v>-27.026108458484501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523.48213233756906</v>
          </cell>
        </row>
      </sheetData>
      <sheetData sheetId="4" refreshError="1">
        <row r="21">
          <cell r="C21">
            <v>18095.316599999998</v>
          </cell>
          <cell r="N21">
            <v>15471.581460000005</v>
          </cell>
          <cell r="O21">
            <v>-277.45635000000004</v>
          </cell>
          <cell r="P21">
            <v>0</v>
          </cell>
          <cell r="Q21">
            <v>0</v>
          </cell>
          <cell r="R21">
            <v>18.690750000000001</v>
          </cell>
          <cell r="S21">
            <v>-185.78554000000003</v>
          </cell>
          <cell r="T21">
            <v>0</v>
          </cell>
          <cell r="U21">
            <v>-438.49815999999993</v>
          </cell>
          <cell r="V21">
            <v>-9418.6504622799603</v>
          </cell>
          <cell r="W21">
            <v>0</v>
          </cell>
          <cell r="X21">
            <v>-1791.0994477200393</v>
          </cell>
          <cell r="Y21">
            <v>-113.78222</v>
          </cell>
          <cell r="Z21">
            <v>772.79940000000011</v>
          </cell>
          <cell r="AA21">
            <v>8.1888199999999998</v>
          </cell>
          <cell r="AB21">
            <v>0</v>
          </cell>
          <cell r="AC21">
            <v>-11783.555990000001</v>
          </cell>
          <cell r="AD21">
            <v>361.98930999999993</v>
          </cell>
          <cell r="AE21">
            <v>-116.44802000000001</v>
          </cell>
          <cell r="AF21">
            <v>0</v>
          </cell>
          <cell r="AG21">
            <v>0</v>
          </cell>
          <cell r="AH21">
            <v>10997.091060000008</v>
          </cell>
          <cell r="AI21">
            <v>1898.4951899999996</v>
          </cell>
          <cell r="AJ21">
            <v>-3237.1148799999992</v>
          </cell>
          <cell r="AK21">
            <v>-166.94303999999997</v>
          </cell>
          <cell r="AL21">
            <v>-4893.571570000001</v>
          </cell>
          <cell r="AM21">
            <v>5118.3656699999992</v>
          </cell>
          <cell r="AN21">
            <v>-4489.0400000000009</v>
          </cell>
          <cell r="AO21">
            <v>-251.62567999999999</v>
          </cell>
          <cell r="AP21">
            <v>-35.587159999999997</v>
          </cell>
          <cell r="AQ21">
            <v>-301.00501000000003</v>
          </cell>
          <cell r="AR21">
            <v>-286.75002000000001</v>
          </cell>
          <cell r="AT21">
            <v>-285.55266999999992</v>
          </cell>
          <cell r="AU21">
            <v>0</v>
          </cell>
          <cell r="AV21">
            <v>0</v>
          </cell>
          <cell r="AW21">
            <v>0</v>
          </cell>
          <cell r="AX21">
            <v>1.2097547775639441</v>
          </cell>
          <cell r="AY21">
            <v>0</v>
          </cell>
          <cell r="AZ21">
            <v>-1.2097547775639441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3.1670000000001437</v>
          </cell>
          <cell r="BG21">
            <v>-19.049769999999999</v>
          </cell>
          <cell r="BH21">
            <v>42.696550000000009</v>
          </cell>
          <cell r="BI21">
            <v>2.2349299999999999</v>
          </cell>
          <cell r="BJ21">
            <v>0</v>
          </cell>
          <cell r="BK21">
            <v>-3396.215849999991</v>
          </cell>
        </row>
        <row r="22">
          <cell r="C22">
            <v>16027.854949999999</v>
          </cell>
          <cell r="N22">
            <v>13696.608539999999</v>
          </cell>
          <cell r="O22">
            <v>-285.44598000000002</v>
          </cell>
          <cell r="P22">
            <v>0</v>
          </cell>
          <cell r="Q22">
            <v>0</v>
          </cell>
          <cell r="R22">
            <v>10.34609</v>
          </cell>
          <cell r="S22">
            <v>-190.43923000000001</v>
          </cell>
          <cell r="T22">
            <v>-9.8020999999999994</v>
          </cell>
          <cell r="U22">
            <v>-363.86299999999994</v>
          </cell>
          <cell r="V22">
            <v>-7306.2141137733943</v>
          </cell>
          <cell r="W22">
            <v>0</v>
          </cell>
          <cell r="X22">
            <v>-2007.1421562266057</v>
          </cell>
          <cell r="Y22">
            <v>-152.87433999999999</v>
          </cell>
          <cell r="Z22">
            <v>731.77607999999998</v>
          </cell>
          <cell r="AA22">
            <v>16.838150000000002</v>
          </cell>
          <cell r="AB22">
            <v>0</v>
          </cell>
          <cell r="AC22">
            <v>-11297.881049999996</v>
          </cell>
          <cell r="AD22">
            <v>424.00612000000001</v>
          </cell>
          <cell r="AE22">
            <v>-121.75532</v>
          </cell>
          <cell r="AF22">
            <v>0</v>
          </cell>
          <cell r="AG22">
            <v>0</v>
          </cell>
          <cell r="AH22">
            <v>10931.222400000001</v>
          </cell>
          <cell r="AI22">
            <v>-330.30254999999994</v>
          </cell>
          <cell r="AJ22">
            <v>2016.7458099999999</v>
          </cell>
          <cell r="AK22">
            <v>83.547119999999993</v>
          </cell>
          <cell r="AL22">
            <v>-4118.4181000000017</v>
          </cell>
          <cell r="AM22">
            <v>4912.7233799999995</v>
          </cell>
          <cell r="AN22">
            <v>-4375.4043500000007</v>
          </cell>
          <cell r="AO22">
            <v>-125.79254999999998</v>
          </cell>
          <cell r="AP22">
            <v>-69.065489999999997</v>
          </cell>
          <cell r="AQ22">
            <v>-290.53314</v>
          </cell>
          <cell r="AR22">
            <v>-318.72017999999997</v>
          </cell>
          <cell r="AT22">
            <v>-311.87772000000007</v>
          </cell>
          <cell r="AU22">
            <v>0</v>
          </cell>
          <cell r="AV22">
            <v>0</v>
          </cell>
          <cell r="AW22">
            <v>0</v>
          </cell>
          <cell r="AX22">
            <v>35.519100308444649</v>
          </cell>
          <cell r="AY22">
            <v>0</v>
          </cell>
          <cell r="AZ22">
            <v>-35.519100308444649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5.8660800000000002</v>
          </cell>
          <cell r="BF22">
            <v>-3.0620800000000021</v>
          </cell>
          <cell r="BG22">
            <v>12.444140000000001</v>
          </cell>
          <cell r="BH22">
            <v>-52.54251</v>
          </cell>
          <cell r="BI22">
            <v>-1.9505599999999998</v>
          </cell>
          <cell r="BJ22">
            <v>0</v>
          </cell>
          <cell r="BK22">
            <v>1109.0373900000004</v>
          </cell>
        </row>
        <row r="23">
          <cell r="C23">
            <v>16485.080000000002</v>
          </cell>
          <cell r="N23">
            <v>15074.523391691371</v>
          </cell>
          <cell r="O23">
            <v>-2436.6971797750916</v>
          </cell>
          <cell r="P23">
            <v>0</v>
          </cell>
          <cell r="Q23">
            <v>-580.37280261040769</v>
          </cell>
          <cell r="R23">
            <v>0</v>
          </cell>
          <cell r="S23">
            <v>-350.99336761640711</v>
          </cell>
          <cell r="T23">
            <v>0</v>
          </cell>
          <cell r="U23">
            <v>0</v>
          </cell>
          <cell r="V23">
            <v>-6295.831626100955</v>
          </cell>
          <cell r="W23">
            <v>0</v>
          </cell>
          <cell r="X23">
            <v>-1499.5418700081193</v>
          </cell>
          <cell r="Y23">
            <v>-211.78479491810083</v>
          </cell>
          <cell r="Z23">
            <v>806.80377805356216</v>
          </cell>
          <cell r="AA23">
            <v>0</v>
          </cell>
          <cell r="AB23">
            <v>0</v>
          </cell>
          <cell r="AC23">
            <v>-10850.572029047937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10938.072029047937</v>
          </cell>
          <cell r="AI23">
            <v>211.78479491810083</v>
          </cell>
          <cell r="AJ23">
            <v>0</v>
          </cell>
          <cell r="AK23">
            <v>0</v>
          </cell>
          <cell r="AL23">
            <v>-3772.0166048642818</v>
          </cell>
          <cell r="AM23">
            <v>0</v>
          </cell>
          <cell r="AN23">
            <v>0</v>
          </cell>
          <cell r="AO23">
            <v>-288.19793471728349</v>
          </cell>
          <cell r="AP23">
            <v>-71.869760852089598</v>
          </cell>
          <cell r="AQ23">
            <v>-328.59903774453824</v>
          </cell>
          <cell r="AR23">
            <v>-426.22957361860017</v>
          </cell>
          <cell r="AT23">
            <v>-489.76621842816485</v>
          </cell>
          <cell r="AU23">
            <v>9.0476889533484837</v>
          </cell>
          <cell r="AV23">
            <v>0</v>
          </cell>
          <cell r="AW23">
            <v>0</v>
          </cell>
          <cell r="AX23">
            <v>23.377023098485026</v>
          </cell>
          <cell r="AY23">
            <v>0</v>
          </cell>
          <cell r="AZ23">
            <v>0</v>
          </cell>
          <cell r="BA23">
            <v>0.53359443017418151</v>
          </cell>
          <cell r="BB23">
            <v>-2.1118213243517641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-0.53359443017418151</v>
          </cell>
          <cell r="BH23">
            <v>0</v>
          </cell>
          <cell r="BI23">
            <v>0</v>
          </cell>
          <cell r="BJ23">
            <v>0</v>
          </cell>
          <cell r="BK23">
            <v>-540.97591586352439</v>
          </cell>
        </row>
        <row r="25">
          <cell r="C25">
            <v>16548.543610000001</v>
          </cell>
          <cell r="N25">
            <v>12889.771580000008</v>
          </cell>
          <cell r="O25">
            <v>-1411.10681</v>
          </cell>
          <cell r="P25">
            <v>0</v>
          </cell>
          <cell r="Q25">
            <v>0</v>
          </cell>
          <cell r="R25">
            <v>82.909930000000003</v>
          </cell>
          <cell r="S25">
            <v>-49.244410000000002</v>
          </cell>
          <cell r="T25">
            <v>0</v>
          </cell>
          <cell r="U25">
            <v>0</v>
          </cell>
          <cell r="V25">
            <v>-6454.38346</v>
          </cell>
          <cell r="W25">
            <v>-2.5499999999999998</v>
          </cell>
          <cell r="X25">
            <v>0</v>
          </cell>
          <cell r="Y25">
            <v>-16.238130000000002</v>
          </cell>
          <cell r="Z25">
            <v>86.318919999999991</v>
          </cell>
          <cell r="AA25">
            <v>0.23916999999999999</v>
          </cell>
          <cell r="AB25">
            <v>0</v>
          </cell>
          <cell r="AC25">
            <v>-7112.5458999999992</v>
          </cell>
          <cell r="AD25">
            <v>2147.8536899999995</v>
          </cell>
          <cell r="AE25">
            <v>-14.686019999999999</v>
          </cell>
          <cell r="AF25">
            <v>0</v>
          </cell>
          <cell r="AG25">
            <v>0</v>
          </cell>
          <cell r="AH25">
            <v>7940.8850300000004</v>
          </cell>
          <cell r="AI25">
            <v>208.64185000000003</v>
          </cell>
          <cell r="AJ25">
            <v>-41.978070000000024</v>
          </cell>
          <cell r="AK25">
            <v>-4.1213599999999992</v>
          </cell>
          <cell r="AL25">
            <v>-4182.4399599999997</v>
          </cell>
          <cell r="AM25">
            <v>6307.5612599999986</v>
          </cell>
          <cell r="AN25">
            <v>-5490.0938700000006</v>
          </cell>
          <cell r="AO25">
            <v>-221.79953999999998</v>
          </cell>
          <cell r="AP25">
            <v>-31.921430000000001</v>
          </cell>
          <cell r="AQ25">
            <v>-293.77157</v>
          </cell>
          <cell r="AR25">
            <v>-276.20130999999998</v>
          </cell>
          <cell r="AT25">
            <v>-187.37653999999969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9.8997200000000056</v>
          </cell>
          <cell r="BF25">
            <v>0</v>
          </cell>
          <cell r="BG25">
            <v>-6.1700000000000001E-3</v>
          </cell>
          <cell r="BH25">
            <v>-1.9539999999999998E-2</v>
          </cell>
          <cell r="BI25">
            <v>1.1E-4</v>
          </cell>
          <cell r="BJ25">
            <v>0</v>
          </cell>
          <cell r="BK25">
            <v>3883.5971700000077</v>
          </cell>
        </row>
        <row r="26">
          <cell r="C26">
            <v>14175.313029999998</v>
          </cell>
          <cell r="N26">
            <v>11253.686709999998</v>
          </cell>
          <cell r="O26">
            <v>-1180.0123700000001</v>
          </cell>
          <cell r="P26">
            <v>0</v>
          </cell>
          <cell r="Q26">
            <v>0</v>
          </cell>
          <cell r="R26">
            <v>83.452400000000011</v>
          </cell>
          <cell r="S26">
            <v>-33.641659999999995</v>
          </cell>
          <cell r="T26">
            <v>-4.5731199999999994</v>
          </cell>
          <cell r="U26">
            <v>0</v>
          </cell>
          <cell r="V26">
            <v>-5825.5607299999992</v>
          </cell>
          <cell r="W26">
            <v>0</v>
          </cell>
          <cell r="X26">
            <v>0</v>
          </cell>
          <cell r="Y26">
            <v>-40.632689999999997</v>
          </cell>
          <cell r="Z26">
            <v>91.161869999999993</v>
          </cell>
          <cell r="AA26">
            <v>0.73083999999999993</v>
          </cell>
          <cell r="AB26">
            <v>0</v>
          </cell>
          <cell r="AC26">
            <v>-6987.7312900000015</v>
          </cell>
          <cell r="AD26">
            <v>2080.6554399999995</v>
          </cell>
          <cell r="AE26">
            <v>-6.12052</v>
          </cell>
          <cell r="AF26">
            <v>0</v>
          </cell>
          <cell r="AG26">
            <v>0</v>
          </cell>
          <cell r="AH26">
            <v>5047.8456200000001</v>
          </cell>
          <cell r="AI26">
            <v>54.570179999999993</v>
          </cell>
          <cell r="AJ26">
            <v>64.366289999999978</v>
          </cell>
          <cell r="AK26">
            <v>0.33635999999999983</v>
          </cell>
          <cell r="AL26">
            <v>-3602.5170700000003</v>
          </cell>
          <cell r="AM26">
            <v>5486.7676299999994</v>
          </cell>
          <cell r="AN26">
            <v>-4812.2975200000001</v>
          </cell>
          <cell r="AO26">
            <v>-105.81013999999999</v>
          </cell>
          <cell r="AP26">
            <v>-60.312739999999998</v>
          </cell>
          <cell r="AQ26">
            <v>-212.10998999999998</v>
          </cell>
          <cell r="AR26">
            <v>-275.75785999999999</v>
          </cell>
          <cell r="AT26">
            <v>-198.20880000000002</v>
          </cell>
          <cell r="AU26">
            <v>0.87667000000000006</v>
          </cell>
          <cell r="AV26">
            <v>0</v>
          </cell>
          <cell r="AW26">
            <v>0</v>
          </cell>
          <cell r="AX26">
            <v>0.43834000000000001</v>
          </cell>
          <cell r="AY26">
            <v>0</v>
          </cell>
          <cell r="AZ26">
            <v>0</v>
          </cell>
          <cell r="BA26">
            <v>4.9800000000000001E-3</v>
          </cell>
          <cell r="BB26">
            <v>-6.8599999999999998E-3</v>
          </cell>
          <cell r="BC26">
            <v>-8.0000000000000007E-5</v>
          </cell>
          <cell r="BD26">
            <v>0</v>
          </cell>
          <cell r="BE26">
            <v>8.3193999999999999</v>
          </cell>
          <cell r="BF26">
            <v>-0.43833000000000027</v>
          </cell>
          <cell r="BG26">
            <v>-5.3650000000000003E-2</v>
          </cell>
          <cell r="BH26">
            <v>-0.1024</v>
          </cell>
          <cell r="BI26">
            <v>1E-3</v>
          </cell>
          <cell r="BJ26">
            <v>0</v>
          </cell>
          <cell r="BK26">
            <v>827.32590999999729</v>
          </cell>
        </row>
        <row r="27">
          <cell r="C27">
            <v>16528.940000000002</v>
          </cell>
          <cell r="N27">
            <v>15114.644842129936</v>
          </cell>
          <cell r="O27">
            <v>-6244.1533270726813</v>
          </cell>
          <cell r="P27">
            <v>-350.93585646197562</v>
          </cell>
          <cell r="Q27">
            <v>0</v>
          </cell>
          <cell r="R27">
            <v>0</v>
          </cell>
          <cell r="S27">
            <v>-75.095010090825667</v>
          </cell>
          <cell r="T27">
            <v>0</v>
          </cell>
          <cell r="U27">
            <v>0</v>
          </cell>
          <cell r="V27">
            <v>-2037.9033752132596</v>
          </cell>
          <cell r="W27">
            <v>-114.53488229804503</v>
          </cell>
          <cell r="X27">
            <v>0</v>
          </cell>
          <cell r="Y27">
            <v>-64.462062962640701</v>
          </cell>
          <cell r="Z27">
            <v>40.093218599492452</v>
          </cell>
          <cell r="AA27">
            <v>0</v>
          </cell>
          <cell r="AB27">
            <v>0</v>
          </cell>
          <cell r="AC27">
            <v>-2188.6450393152081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2531.8950393152081</v>
          </cell>
          <cell r="AI27">
            <v>64.462062962640701</v>
          </cell>
          <cell r="AJ27">
            <v>0</v>
          </cell>
          <cell r="AK27">
            <v>0</v>
          </cell>
          <cell r="AL27">
            <v>-3738.4089979701102</v>
          </cell>
          <cell r="AM27">
            <v>0</v>
          </cell>
          <cell r="AN27">
            <v>0</v>
          </cell>
          <cell r="AO27">
            <v>-258.07802685774197</v>
          </cell>
          <cell r="AP27">
            <v>-68.112248810793801</v>
          </cell>
          <cell r="AQ27">
            <v>-322.60751065767823</v>
          </cell>
          <cell r="AR27">
            <v>-426.24822568941579</v>
          </cell>
          <cell r="AT27">
            <v>-287.90225935659333</v>
          </cell>
          <cell r="AU27">
            <v>73.338621401353379</v>
          </cell>
          <cell r="AV27">
            <v>54.370343958897607</v>
          </cell>
          <cell r="AW27">
            <v>0</v>
          </cell>
          <cell r="AX27">
            <v>23.935514754147178</v>
          </cell>
          <cell r="AY27">
            <v>17.744840919415424</v>
          </cell>
          <cell r="AZ27">
            <v>0</v>
          </cell>
          <cell r="BA27">
            <v>0.67064708405103246</v>
          </cell>
          <cell r="BB27">
            <v>-0.43334470933803187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-0.67064708405103246</v>
          </cell>
          <cell r="BH27">
            <v>0</v>
          </cell>
          <cell r="BI27">
            <v>0</v>
          </cell>
          <cell r="BJ27">
            <v>0</v>
          </cell>
          <cell r="BK27">
            <v>1742.9643165747834</v>
          </cell>
        </row>
        <row r="29">
          <cell r="C29">
            <v>34643.860209999999</v>
          </cell>
          <cell r="N29">
            <v>28361.353040000013</v>
          </cell>
          <cell r="O29">
            <v>-1688.5631600000002</v>
          </cell>
          <cell r="P29">
            <v>0</v>
          </cell>
          <cell r="Q29">
            <v>0</v>
          </cell>
          <cell r="R29">
            <v>101.60068000000001</v>
          </cell>
          <cell r="S29">
            <v>-235.02995000000004</v>
          </cell>
          <cell r="T29">
            <v>0</v>
          </cell>
          <cell r="U29">
            <v>-438.49815999999993</v>
          </cell>
          <cell r="V29">
            <v>-15873.033922279959</v>
          </cell>
          <cell r="W29">
            <v>-2.5499999999999998</v>
          </cell>
          <cell r="X29">
            <v>-1791.0994477200393</v>
          </cell>
          <cell r="Y29">
            <v>-130.02035000000001</v>
          </cell>
          <cell r="Z29">
            <v>859.11832000000004</v>
          </cell>
          <cell r="AA29">
            <v>8.4279899999999994</v>
          </cell>
          <cell r="AB29">
            <v>0</v>
          </cell>
          <cell r="AC29">
            <v>-18896.101889999998</v>
          </cell>
          <cell r="AD29">
            <v>2509.8429999999994</v>
          </cell>
          <cell r="AE29">
            <v>-131.13404000000003</v>
          </cell>
          <cell r="AF29">
            <v>0</v>
          </cell>
          <cell r="AG29">
            <v>0</v>
          </cell>
          <cell r="AH29">
            <v>18937.976090000007</v>
          </cell>
          <cell r="AI29">
            <v>2107.1370399999996</v>
          </cell>
          <cell r="AJ29">
            <v>-3279.0929499999993</v>
          </cell>
          <cell r="AK29">
            <v>-171.06439999999998</v>
          </cell>
          <cell r="AL29">
            <v>-9076.0115299999998</v>
          </cell>
          <cell r="AM29">
            <v>11425.926929999998</v>
          </cell>
          <cell r="AN29">
            <v>-9979.1338700000015</v>
          </cell>
          <cell r="AO29">
            <v>-473.42521999999997</v>
          </cell>
          <cell r="AP29">
            <v>-67.508589999999998</v>
          </cell>
          <cell r="AQ29">
            <v>-594.77657999999997</v>
          </cell>
          <cell r="AR29">
            <v>-562.95132999999998</v>
          </cell>
          <cell r="AT29">
            <v>-472.92920999999961</v>
          </cell>
          <cell r="AU29">
            <v>0</v>
          </cell>
          <cell r="AV29">
            <v>0</v>
          </cell>
          <cell r="AW29">
            <v>0</v>
          </cell>
          <cell r="AX29">
            <v>1.2097547775639441</v>
          </cell>
          <cell r="AY29">
            <v>0</v>
          </cell>
          <cell r="AZ29">
            <v>-1.2097547775639441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9.8997200000000056</v>
          </cell>
          <cell r="BF29">
            <v>3.1670000000001437</v>
          </cell>
          <cell r="BG29">
            <v>-19.05594</v>
          </cell>
          <cell r="BH29">
            <v>42.67701000000001</v>
          </cell>
          <cell r="BI29">
            <v>2.2350399999999997</v>
          </cell>
          <cell r="BJ29">
            <v>0</v>
          </cell>
          <cell r="BK29">
            <v>487.38132000001679</v>
          </cell>
          <cell r="EA29">
            <v>8315.7735699999976</v>
          </cell>
          <cell r="EL29">
            <v>9333.242380000007</v>
          </cell>
          <cell r="EM29">
            <v>-1351.1601200000002</v>
          </cell>
          <cell r="EN29">
            <v>0</v>
          </cell>
          <cell r="EO29">
            <v>0</v>
          </cell>
          <cell r="EP29">
            <v>100.11440000000002</v>
          </cell>
          <cell r="EQ29">
            <v>-72.51011000000004</v>
          </cell>
          <cell r="ER29">
            <v>0</v>
          </cell>
          <cell r="ES29">
            <v>-146.16632999999996</v>
          </cell>
          <cell r="ET29">
            <v>-4457.7043102422467</v>
          </cell>
          <cell r="EU29">
            <v>-2.5499999999999998</v>
          </cell>
          <cell r="EV29">
            <v>-849.4140997577515</v>
          </cell>
          <cell r="EW29">
            <v>-130.02035000000001</v>
          </cell>
          <cell r="EX29">
            <v>272.95458000000002</v>
          </cell>
          <cell r="EY29">
            <v>8.4279899999999994</v>
          </cell>
          <cell r="EZ29">
            <v>0</v>
          </cell>
          <cell r="FA29">
            <v>-4400.6670099999992</v>
          </cell>
          <cell r="FB29">
            <v>800.93433999999979</v>
          </cell>
          <cell r="FC29">
            <v>-25.701950000000018</v>
          </cell>
          <cell r="FD29">
            <v>0</v>
          </cell>
          <cell r="FE29">
            <v>0</v>
          </cell>
          <cell r="FF29">
            <v>1748.8203399999993</v>
          </cell>
          <cell r="FG29">
            <v>2107.1370399999996</v>
          </cell>
          <cell r="FH29">
            <v>76.994910000000104</v>
          </cell>
          <cell r="FI29">
            <v>-171.06439999999998</v>
          </cell>
          <cell r="FJ29">
            <v>-2421.0110999999997</v>
          </cell>
          <cell r="FK29">
            <v>4293.270849999999</v>
          </cell>
          <cell r="FL29">
            <v>-4509.5195700000004</v>
          </cell>
          <cell r="FM29">
            <v>-161.43815999999995</v>
          </cell>
          <cell r="FN29">
            <v>-27.983229999999995</v>
          </cell>
          <cell r="FO29">
            <v>-198.33345000000003</v>
          </cell>
          <cell r="FP29">
            <v>-189.19888999999998</v>
          </cell>
          <cell r="FR29">
            <v>-158.29597999999959</v>
          </cell>
          <cell r="FS29">
            <v>0</v>
          </cell>
          <cell r="FT29">
            <v>0</v>
          </cell>
          <cell r="FU29">
            <v>0</v>
          </cell>
          <cell r="FV29">
            <v>-1.2851844712834861</v>
          </cell>
          <cell r="FW29">
            <v>0</v>
          </cell>
          <cell r="FX29">
            <v>1.2851844712834861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-0.55319999999999414</v>
          </cell>
          <cell r="GD29">
            <v>0</v>
          </cell>
          <cell r="GE29">
            <v>-19.05594</v>
          </cell>
          <cell r="GF29">
            <v>-2.3291999999999997</v>
          </cell>
          <cell r="GG29">
            <v>2.2350399999999997</v>
          </cell>
          <cell r="GH29">
            <v>0</v>
          </cell>
          <cell r="GI29">
            <v>-550.54552999999282</v>
          </cell>
        </row>
        <row r="30">
          <cell r="C30">
            <v>30203.167979999998</v>
          </cell>
          <cell r="N30">
            <v>24950.295249999996</v>
          </cell>
          <cell r="O30">
            <v>-1465.4583500000001</v>
          </cell>
          <cell r="P30">
            <v>0</v>
          </cell>
          <cell r="Q30">
            <v>0</v>
          </cell>
          <cell r="R30">
            <v>93.798490000000015</v>
          </cell>
          <cell r="S30">
            <v>-224.08089000000001</v>
          </cell>
          <cell r="T30">
            <v>-14.375219999999999</v>
          </cell>
          <cell r="U30">
            <v>-363.86299999999994</v>
          </cell>
          <cell r="V30">
            <v>-13131.774843773394</v>
          </cell>
          <cell r="W30">
            <v>0</v>
          </cell>
          <cell r="X30">
            <v>-2007.1421562266057</v>
          </cell>
          <cell r="Y30">
            <v>-193.50702999999999</v>
          </cell>
          <cell r="Z30">
            <v>822.93795</v>
          </cell>
          <cell r="AA30">
            <v>17.568990000000003</v>
          </cell>
          <cell r="AB30">
            <v>0</v>
          </cell>
          <cell r="AC30">
            <v>-18285.61234</v>
          </cell>
          <cell r="AD30">
            <v>2504.6615599999996</v>
          </cell>
          <cell r="AE30">
            <v>-127.87584</v>
          </cell>
          <cell r="AF30">
            <v>0</v>
          </cell>
          <cell r="AG30">
            <v>0</v>
          </cell>
          <cell r="AH30">
            <v>15979.068020000001</v>
          </cell>
          <cell r="AI30">
            <v>-275.73236999999995</v>
          </cell>
          <cell r="AJ30">
            <v>2081.1120999999998</v>
          </cell>
          <cell r="AK30">
            <v>83.883479999999992</v>
          </cell>
          <cell r="AL30">
            <v>-7720.9351700000025</v>
          </cell>
          <cell r="AM30">
            <v>10399.491009999998</v>
          </cell>
          <cell r="AN30">
            <v>-9187.7018700000008</v>
          </cell>
          <cell r="AO30">
            <v>-231.60268999999997</v>
          </cell>
          <cell r="AP30">
            <v>-129.37823</v>
          </cell>
          <cell r="AQ30">
            <v>-502.64312999999999</v>
          </cell>
          <cell r="AR30">
            <v>-594.47803999999996</v>
          </cell>
          <cell r="AT30">
            <v>-510.08652000000006</v>
          </cell>
          <cell r="AU30">
            <v>0.87667000000000006</v>
          </cell>
          <cell r="AV30">
            <v>0</v>
          </cell>
          <cell r="AW30">
            <v>0</v>
          </cell>
          <cell r="AX30">
            <v>35.957440308444646</v>
          </cell>
          <cell r="AY30">
            <v>0</v>
          </cell>
          <cell r="AZ30">
            <v>-35.519100308444649</v>
          </cell>
          <cell r="BA30">
            <v>4.9800000000000001E-3</v>
          </cell>
          <cell r="BB30">
            <v>-6.8599999999999998E-3</v>
          </cell>
          <cell r="BC30">
            <v>-8.0000000000000007E-5</v>
          </cell>
          <cell r="BD30">
            <v>0</v>
          </cell>
          <cell r="BE30">
            <v>14.18548</v>
          </cell>
          <cell r="BF30">
            <v>-3.5004100000000022</v>
          </cell>
          <cell r="BG30">
            <v>12.390490000000002</v>
          </cell>
          <cell r="BH30">
            <v>-52.644910000000003</v>
          </cell>
          <cell r="BI30">
            <v>-1.94956</v>
          </cell>
          <cell r="BJ30">
            <v>0</v>
          </cell>
          <cell r="BK30">
            <v>1936.3632999999977</v>
          </cell>
          <cell r="EA30">
            <v>7634.7286299999996</v>
          </cell>
          <cell r="EL30">
            <v>8270.5583699999988</v>
          </cell>
          <cell r="EM30">
            <v>-1244.1495600000003</v>
          </cell>
          <cell r="EN30">
            <v>0</v>
          </cell>
          <cell r="EO30">
            <v>0</v>
          </cell>
          <cell r="EP30">
            <v>93.798490000000015</v>
          </cell>
          <cell r="EQ30">
            <v>-70.072240000000008</v>
          </cell>
          <cell r="ER30">
            <v>0</v>
          </cell>
          <cell r="ES30">
            <v>-121.28766999999993</v>
          </cell>
          <cell r="ET30">
            <v>-3789.8507758469177</v>
          </cell>
          <cell r="EU30">
            <v>0</v>
          </cell>
          <cell r="EV30">
            <v>-770.58066415308053</v>
          </cell>
          <cell r="EW30">
            <v>-193.50702999999999</v>
          </cell>
          <cell r="EX30">
            <v>263.32240999999999</v>
          </cell>
          <cell r="EY30">
            <v>17.568990000000003</v>
          </cell>
          <cell r="EZ30">
            <v>0</v>
          </cell>
          <cell r="FA30">
            <v>-4450.2160100000001</v>
          </cell>
          <cell r="FB30">
            <v>826.2068899999997</v>
          </cell>
          <cell r="FC30">
            <v>-42.955220000000004</v>
          </cell>
          <cell r="FD30">
            <v>0</v>
          </cell>
          <cell r="FE30">
            <v>0</v>
          </cell>
          <cell r="FF30">
            <v>3999.8098399999994</v>
          </cell>
          <cell r="FG30">
            <v>-275.73236999999995</v>
          </cell>
          <cell r="FH30">
            <v>-18.487669999999881</v>
          </cell>
          <cell r="FI30">
            <v>83.883479999999992</v>
          </cell>
          <cell r="FJ30">
            <v>-2003.38123</v>
          </cell>
          <cell r="FK30">
            <v>3893.5212800000004</v>
          </cell>
          <cell r="FL30">
            <v>-4042.5996300000006</v>
          </cell>
          <cell r="FM30">
            <v>-74.219209999999961</v>
          </cell>
          <cell r="FN30">
            <v>-43.503619999999991</v>
          </cell>
          <cell r="FO30">
            <v>-158.94221000000002</v>
          </cell>
          <cell r="FP30">
            <v>-188.31640999999996</v>
          </cell>
          <cell r="FR30">
            <v>-169.77136999999996</v>
          </cell>
          <cell r="FS30">
            <v>0.43476000000000004</v>
          </cell>
          <cell r="FT30">
            <v>0</v>
          </cell>
          <cell r="FU30">
            <v>0</v>
          </cell>
          <cell r="FV30">
            <v>35.515530308444646</v>
          </cell>
          <cell r="FW30">
            <v>0</v>
          </cell>
          <cell r="FX30">
            <v>-35.519100308444649</v>
          </cell>
          <cell r="FY30">
            <v>4.9800000000000001E-3</v>
          </cell>
          <cell r="FZ30">
            <v>6.0000000000000157E-5</v>
          </cell>
          <cell r="GA30">
            <v>-8.0000000000000007E-5</v>
          </cell>
          <cell r="GB30">
            <v>0</v>
          </cell>
          <cell r="GC30">
            <v>1.3544500000000008</v>
          </cell>
          <cell r="GD30">
            <v>-4.0500000000002312E-2</v>
          </cell>
          <cell r="GE30">
            <v>12.390490000000002</v>
          </cell>
          <cell r="GF30">
            <v>-2.4928500000000025</v>
          </cell>
          <cell r="GG30">
            <v>-1.94956</v>
          </cell>
          <cell r="GH30">
            <v>0</v>
          </cell>
          <cell r="GI30">
            <v>-199.20496000000139</v>
          </cell>
        </row>
        <row r="31">
          <cell r="C31">
            <v>33014.020000000004</v>
          </cell>
          <cell r="N31">
            <v>30189.168233821307</v>
          </cell>
          <cell r="O31">
            <v>-8680.8505068477734</v>
          </cell>
          <cell r="P31">
            <v>-350.93585646197562</v>
          </cell>
          <cell r="Q31">
            <v>-580.37280261040769</v>
          </cell>
          <cell r="R31">
            <v>0</v>
          </cell>
          <cell r="S31">
            <v>-426.08837770723278</v>
          </cell>
          <cell r="T31">
            <v>0</v>
          </cell>
          <cell r="U31">
            <v>0</v>
          </cell>
          <cell r="V31">
            <v>-8333.735001314215</v>
          </cell>
          <cell r="W31">
            <v>-114.53488229804503</v>
          </cell>
          <cell r="X31">
            <v>-1499.5418700081193</v>
          </cell>
          <cell r="Y31">
            <v>-276.24685788074152</v>
          </cell>
          <cell r="Z31">
            <v>846.89699665305466</v>
          </cell>
          <cell r="AA31">
            <v>0</v>
          </cell>
          <cell r="AB31">
            <v>0</v>
          </cell>
          <cell r="AC31">
            <v>-13039.217068363145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13469.967068363145</v>
          </cell>
          <cell r="AI31">
            <v>276.24685788074152</v>
          </cell>
          <cell r="AJ31">
            <v>0</v>
          </cell>
          <cell r="AK31">
            <v>0</v>
          </cell>
          <cell r="AL31">
            <v>-7510.4256028343916</v>
          </cell>
          <cell r="AM31">
            <v>0</v>
          </cell>
          <cell r="AN31">
            <v>0</v>
          </cell>
          <cell r="AO31">
            <v>-546.27596157502546</v>
          </cell>
          <cell r="AP31">
            <v>-139.9820096628834</v>
          </cell>
          <cell r="AQ31">
            <v>-651.20654840221641</v>
          </cell>
          <cell r="AR31">
            <v>-852.47779930801596</v>
          </cell>
          <cell r="AT31">
            <v>-777.66847778475812</v>
          </cell>
          <cell r="AU31">
            <v>82.386310354701862</v>
          </cell>
          <cell r="AV31">
            <v>54.370343958897607</v>
          </cell>
          <cell r="AW31">
            <v>0</v>
          </cell>
          <cell r="AX31">
            <v>47.312537852632204</v>
          </cell>
          <cell r="AY31">
            <v>17.744840919415424</v>
          </cell>
          <cell r="AZ31">
            <v>0</v>
          </cell>
          <cell r="BA31">
            <v>1.2042415142252141</v>
          </cell>
          <cell r="BB31">
            <v>-2.5451660336897959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-1.2042415142252141</v>
          </cell>
          <cell r="BH31">
            <v>0</v>
          </cell>
          <cell r="BI31">
            <v>0</v>
          </cell>
          <cell r="BJ31">
            <v>0</v>
          </cell>
          <cell r="BK31">
            <v>1201.9884007112591</v>
          </cell>
          <cell r="EA31">
            <v>8345.260000000002</v>
          </cell>
          <cell r="EL31">
            <v>10063.056077940437</v>
          </cell>
          <cell r="EM31">
            <v>-2893.6168356159251</v>
          </cell>
          <cell r="EN31">
            <v>-116.9786188206586</v>
          </cell>
          <cell r="EO31">
            <v>-193.45760087013593</v>
          </cell>
          <cell r="EP31">
            <v>0</v>
          </cell>
          <cell r="EQ31">
            <v>-142.02945923574424</v>
          </cell>
          <cell r="ER31">
            <v>0</v>
          </cell>
          <cell r="ES31">
            <v>0</v>
          </cell>
          <cell r="ET31">
            <v>-2777.9116671047382</v>
          </cell>
          <cell r="EU31">
            <v>-38.178294099348349</v>
          </cell>
          <cell r="EV31">
            <v>-499.84729000270647</v>
          </cell>
          <cell r="EW31">
            <v>-92.082285960247191</v>
          </cell>
          <cell r="EX31">
            <v>282.29899888435148</v>
          </cell>
          <cell r="EY31">
            <v>0</v>
          </cell>
          <cell r="EZ31">
            <v>0</v>
          </cell>
          <cell r="FA31">
            <v>-4346.4056894543828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4489.9890227877149</v>
          </cell>
          <cell r="FG31">
            <v>92.082285960247191</v>
          </cell>
          <cell r="FH31">
            <v>0</v>
          </cell>
          <cell r="FI31">
            <v>0</v>
          </cell>
          <cell r="FJ31">
            <v>-2503.4752009447971</v>
          </cell>
          <cell r="FK31">
            <v>0</v>
          </cell>
          <cell r="FL31">
            <v>0</v>
          </cell>
          <cell r="FM31">
            <v>-182.09198719167517</v>
          </cell>
          <cell r="FN31">
            <v>-46.660669887627805</v>
          </cell>
          <cell r="FO31">
            <v>-217.06884946740547</v>
          </cell>
          <cell r="FP31">
            <v>-284.15926643600528</v>
          </cell>
          <cell r="FR31">
            <v>-259.22282592825275</v>
          </cell>
          <cell r="FS31">
            <v>27.462103451567284</v>
          </cell>
          <cell r="FT31">
            <v>18.123447986299205</v>
          </cell>
          <cell r="FU31">
            <v>0</v>
          </cell>
          <cell r="FV31">
            <v>15.770845950877399</v>
          </cell>
          <cell r="FW31">
            <v>5.9149469731384752</v>
          </cell>
          <cell r="FX31">
            <v>0</v>
          </cell>
          <cell r="FY31">
            <v>0.40141383807507131</v>
          </cell>
          <cell r="FZ31">
            <v>-0.84838867789659878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-0.40141383807507131</v>
          </cell>
          <cell r="GF31">
            <v>0</v>
          </cell>
          <cell r="GG31">
            <v>0</v>
          </cell>
          <cell r="GH31">
            <v>0</v>
          </cell>
          <cell r="GI31">
            <v>400.66280023708566</v>
          </cell>
        </row>
        <row r="33">
          <cell r="C33">
            <v>3551.9553500000006</v>
          </cell>
          <cell r="N33">
            <v>3235.6591799999992</v>
          </cell>
          <cell r="O33">
            <v>-133.14467000000002</v>
          </cell>
          <cell r="P33">
            <v>-0.53</v>
          </cell>
          <cell r="Q33">
            <v>0</v>
          </cell>
          <cell r="R33">
            <v>0</v>
          </cell>
          <cell r="S33">
            <v>-9.8263800000000003</v>
          </cell>
          <cell r="T33">
            <v>0</v>
          </cell>
          <cell r="U33">
            <v>0</v>
          </cell>
          <cell r="V33">
            <v>-1387.5720194156575</v>
          </cell>
          <cell r="W33">
            <v>-4.73224</v>
          </cell>
          <cell r="X33">
            <v>-609.68855058434247</v>
          </cell>
          <cell r="Y33">
            <v>-12.612670000000001</v>
          </cell>
          <cell r="Z33">
            <v>32.053739999999998</v>
          </cell>
          <cell r="AA33">
            <v>0.19308000000000003</v>
          </cell>
          <cell r="AB33">
            <v>-210</v>
          </cell>
          <cell r="AC33">
            <v>-917.61673000000008</v>
          </cell>
          <cell r="AD33">
            <v>34.870239999999995</v>
          </cell>
          <cell r="AE33">
            <v>-3.7755100000000001</v>
          </cell>
          <cell r="AF33">
            <v>0</v>
          </cell>
          <cell r="AG33">
            <v>0</v>
          </cell>
          <cell r="AH33">
            <v>2065.6884800000003</v>
          </cell>
          <cell r="AI33">
            <v>-36.036760000000001</v>
          </cell>
          <cell r="AJ33">
            <v>-17.757159999999995</v>
          </cell>
          <cell r="AK33">
            <v>0.72665000000000002</v>
          </cell>
          <cell r="AL33">
            <v>-1283.5968000000003</v>
          </cell>
          <cell r="AM33">
            <v>2106.7656900000002</v>
          </cell>
          <cell r="AN33">
            <v>-1991.3745800000008</v>
          </cell>
          <cell r="AO33">
            <v>-65.590589999999992</v>
          </cell>
          <cell r="AP33">
            <v>-10.556049999999999</v>
          </cell>
          <cell r="AQ33">
            <v>-153.61476999999999</v>
          </cell>
          <cell r="AR33">
            <v>-123.83292</v>
          </cell>
          <cell r="AT33">
            <v>-389.56078000000002</v>
          </cell>
          <cell r="AU33">
            <v>0</v>
          </cell>
          <cell r="AV33">
            <v>0</v>
          </cell>
          <cell r="AW33">
            <v>0</v>
          </cell>
          <cell r="AX33">
            <v>-13.934787286857272</v>
          </cell>
          <cell r="AY33">
            <v>0</v>
          </cell>
          <cell r="AZ33">
            <v>13.934787286857272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114.53787999999813</v>
          </cell>
        </row>
        <row r="34">
          <cell r="C34">
            <v>3115.14066</v>
          </cell>
          <cell r="N34">
            <v>2887.7826899999995</v>
          </cell>
          <cell r="O34">
            <v>-127.02806000000002</v>
          </cell>
          <cell r="P34">
            <v>0</v>
          </cell>
          <cell r="Q34">
            <v>0</v>
          </cell>
          <cell r="R34">
            <v>0.23901</v>
          </cell>
          <cell r="S34">
            <v>-6.00021</v>
          </cell>
          <cell r="T34">
            <v>-1.08708</v>
          </cell>
          <cell r="U34">
            <v>0</v>
          </cell>
          <cell r="V34">
            <v>-954.42276656012814</v>
          </cell>
          <cell r="W34">
            <v>0</v>
          </cell>
          <cell r="X34">
            <v>-272.60144343987173</v>
          </cell>
          <cell r="Y34">
            <v>-9.1803600000000003</v>
          </cell>
          <cell r="Z34">
            <v>24.115269999999999</v>
          </cell>
          <cell r="AA34">
            <v>0.19357999999999997</v>
          </cell>
          <cell r="AB34">
            <v>0</v>
          </cell>
          <cell r="AC34">
            <v>-970.24743999999998</v>
          </cell>
          <cell r="AD34">
            <v>7.9594699999999996</v>
          </cell>
          <cell r="AE34">
            <v>-0.65737999999999996</v>
          </cell>
          <cell r="AF34">
            <v>0</v>
          </cell>
          <cell r="AG34">
            <v>0</v>
          </cell>
          <cell r="AH34">
            <v>1117.07186</v>
          </cell>
          <cell r="AI34">
            <v>-279.64391000000001</v>
          </cell>
          <cell r="AJ34">
            <v>-4.1490800000000263</v>
          </cell>
          <cell r="AK34">
            <v>1.7081900000000001</v>
          </cell>
          <cell r="AL34">
            <v>-1124.7303900000002</v>
          </cell>
          <cell r="AM34">
            <v>1912.69686</v>
          </cell>
          <cell r="AN34">
            <v>-1830.5302600000002</v>
          </cell>
          <cell r="AO34">
            <v>-288.69828999999999</v>
          </cell>
          <cell r="AP34">
            <v>-34.501310000000004</v>
          </cell>
          <cell r="AQ34">
            <v>-79.49718</v>
          </cell>
          <cell r="AR34">
            <v>-100.08589000000001</v>
          </cell>
          <cell r="AT34">
            <v>-337.95178000000004</v>
          </cell>
          <cell r="AU34">
            <v>0</v>
          </cell>
          <cell r="AV34">
            <v>0</v>
          </cell>
          <cell r="AW34">
            <v>0</v>
          </cell>
          <cell r="AX34">
            <v>-15.594274235756131</v>
          </cell>
          <cell r="AY34">
            <v>0</v>
          </cell>
          <cell r="AZ34">
            <v>15.594274235756131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-469.24590000000074</v>
          </cell>
        </row>
        <row r="35">
          <cell r="C35">
            <v>6517.19</v>
          </cell>
          <cell r="N35">
            <v>6224</v>
          </cell>
          <cell r="O35">
            <v>-1199.7713813550581</v>
          </cell>
          <cell r="P35">
            <v>-517.83026879147849</v>
          </cell>
          <cell r="Q35">
            <v>-285.70632612078998</v>
          </cell>
          <cell r="R35">
            <v>0</v>
          </cell>
          <cell r="S35">
            <v>-11.875603279058268</v>
          </cell>
          <cell r="T35">
            <v>0</v>
          </cell>
          <cell r="U35">
            <v>0</v>
          </cell>
          <cell r="V35">
            <v>-856.38209391260625</v>
          </cell>
          <cell r="W35">
            <v>-369.62089342230843</v>
          </cell>
          <cell r="X35">
            <v>-203.93367070571227</v>
          </cell>
          <cell r="Y35">
            <v>-41.994587880116384</v>
          </cell>
          <cell r="Z35">
            <v>23.079452234664465</v>
          </cell>
          <cell r="AA35">
            <v>0</v>
          </cell>
          <cell r="AB35">
            <v>0</v>
          </cell>
          <cell r="AC35">
            <v>-1245.0564690207063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1638.3064690207063</v>
          </cell>
          <cell r="AI35">
            <v>41.994587880116384</v>
          </cell>
          <cell r="AJ35">
            <v>0</v>
          </cell>
          <cell r="AK35">
            <v>0</v>
          </cell>
          <cell r="AL35">
            <v>-2239.2651952937772</v>
          </cell>
          <cell r="AM35">
            <v>0</v>
          </cell>
          <cell r="AN35">
            <v>0</v>
          </cell>
          <cell r="AO35">
            <v>-71.796646320183243</v>
          </cell>
          <cell r="AP35">
            <v>-30.147465380893827</v>
          </cell>
          <cell r="AQ35">
            <v>-163.34360132170499</v>
          </cell>
          <cell r="AR35">
            <v>-176.19286440313749</v>
          </cell>
          <cell r="AT35">
            <v>-451.11647961447648</v>
          </cell>
          <cell r="AU35">
            <v>0</v>
          </cell>
          <cell r="AV35">
            <v>215.57251277883137</v>
          </cell>
          <cell r="AW35">
            <v>0</v>
          </cell>
          <cell r="AX35">
            <v>0</v>
          </cell>
          <cell r="AY35">
            <v>153.87301510311963</v>
          </cell>
          <cell r="AZ35">
            <v>0</v>
          </cell>
          <cell r="BA35">
            <v>3.339409102223744</v>
          </cell>
          <cell r="BB35">
            <v>-1.9066656225638581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-3.339409102223744</v>
          </cell>
          <cell r="BH35">
            <v>0</v>
          </cell>
          <cell r="BI35">
            <v>0</v>
          </cell>
          <cell r="BJ35">
            <v>0</v>
          </cell>
          <cell r="BK35">
            <v>430.88582457286725</v>
          </cell>
        </row>
        <row r="37">
          <cell r="C37">
            <v>2.4634299999999998</v>
          </cell>
          <cell r="N37">
            <v>1.4849299999999999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-1E-4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-4.1799999999999997E-2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-1.7479100000000001</v>
          </cell>
          <cell r="AM37">
            <v>1.45909</v>
          </cell>
          <cell r="AN37">
            <v>-1.1142800000000002</v>
          </cell>
          <cell r="AO37">
            <v>0</v>
          </cell>
          <cell r="AP37">
            <v>-1.4000000000000001E-4</v>
          </cell>
          <cell r="AQ37">
            <v>0</v>
          </cell>
          <cell r="AR37">
            <v>-2.0000000000000002E-5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3.9769999999999577E-2</v>
          </cell>
        </row>
        <row r="38">
          <cell r="C38">
            <v>3.6837400000000002</v>
          </cell>
          <cell r="N38">
            <v>2.1137199999999989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-6.4999999999999997E-4</v>
          </cell>
          <cell r="U38">
            <v>0</v>
          </cell>
          <cell r="V38">
            <v>-3.9799999999999974E-3</v>
          </cell>
          <cell r="W38">
            <v>0</v>
          </cell>
          <cell r="X38">
            <v>0</v>
          </cell>
          <cell r="Y38">
            <v>-5.0000000000000002E-5</v>
          </cell>
          <cell r="Z38">
            <v>1.3000000000000012E-4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3.9800000000000009E-3</v>
          </cell>
          <cell r="AI38">
            <v>8.0000000000000007E-5</v>
          </cell>
          <cell r="AJ38">
            <v>-1.8999999999999996E-4</v>
          </cell>
          <cell r="AK38">
            <v>0</v>
          </cell>
          <cell r="AL38">
            <v>-1.3708300000000002</v>
          </cell>
          <cell r="AM38">
            <v>2.5231599999999994</v>
          </cell>
          <cell r="AN38">
            <v>-1.9315699999999991</v>
          </cell>
          <cell r="AO38">
            <v>-4.6300000000000004E-3</v>
          </cell>
          <cell r="AP38">
            <v>-1.6999999999999999E-4</v>
          </cell>
          <cell r="AQ38">
            <v>-8.8040000000000007E-2</v>
          </cell>
          <cell r="AR38">
            <v>-3.5300000000000002E-3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1.2374299999999994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1067.93541</v>
          </cell>
          <cell r="N41">
            <v>722.0391199999998</v>
          </cell>
          <cell r="O41">
            <v>-2.7605500000000003</v>
          </cell>
          <cell r="P41">
            <v>0</v>
          </cell>
          <cell r="Q41">
            <v>0</v>
          </cell>
          <cell r="R41">
            <v>0</v>
          </cell>
          <cell r="S41">
            <v>-3.0780700000000003</v>
          </cell>
          <cell r="T41">
            <v>0</v>
          </cell>
          <cell r="U41">
            <v>0</v>
          </cell>
          <cell r="V41">
            <v>-383.80995000000001</v>
          </cell>
          <cell r="W41">
            <v>0</v>
          </cell>
          <cell r="X41">
            <v>0</v>
          </cell>
          <cell r="Y41">
            <v>-4.7352499999999997</v>
          </cell>
          <cell r="Z41">
            <v>26.266639999999999</v>
          </cell>
          <cell r="AA41">
            <v>0.30269000000000001</v>
          </cell>
          <cell r="AB41">
            <v>-80</v>
          </cell>
          <cell r="AC41">
            <v>-359.77552000000003</v>
          </cell>
          <cell r="AD41">
            <v>12.204409999999999</v>
          </cell>
          <cell r="AE41">
            <v>-1.1807300000000001</v>
          </cell>
          <cell r="AF41">
            <v>0</v>
          </cell>
          <cell r="AG41">
            <v>0</v>
          </cell>
          <cell r="AH41">
            <v>1177.1510299999998</v>
          </cell>
          <cell r="AI41">
            <v>40.960400000000007</v>
          </cell>
          <cell r="AJ41">
            <v>-61.683929999999997</v>
          </cell>
          <cell r="AK41">
            <v>-2.4291099999999992</v>
          </cell>
          <cell r="AL41">
            <v>-357.37696000000005</v>
          </cell>
          <cell r="AM41">
            <v>623.43610000000024</v>
          </cell>
          <cell r="AN41">
            <v>-518.12001999999984</v>
          </cell>
          <cell r="AO41">
            <v>-27.45964</v>
          </cell>
          <cell r="AP41">
            <v>-2.9298999999999999</v>
          </cell>
          <cell r="AQ41">
            <v>-25.77092</v>
          </cell>
          <cell r="AR41">
            <v>-18.61121</v>
          </cell>
          <cell r="AT41">
            <v>-32.415140000000008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720.22348999999986</v>
          </cell>
        </row>
        <row r="42">
          <cell r="C42">
            <v>721.35706000000005</v>
          </cell>
          <cell r="N42">
            <v>564.84365999999966</v>
          </cell>
          <cell r="O42">
            <v>-7.7454699999999992</v>
          </cell>
          <cell r="P42">
            <v>0</v>
          </cell>
          <cell r="Q42">
            <v>0</v>
          </cell>
          <cell r="R42">
            <v>0</v>
          </cell>
          <cell r="S42">
            <v>-2.8036099999999999</v>
          </cell>
          <cell r="T42">
            <v>-0.74373999999999996</v>
          </cell>
          <cell r="U42">
            <v>0</v>
          </cell>
          <cell r="V42">
            <v>-268.22180000000003</v>
          </cell>
          <cell r="W42">
            <v>0</v>
          </cell>
          <cell r="X42">
            <v>0</v>
          </cell>
          <cell r="Y42">
            <v>-5.0903700000000001</v>
          </cell>
          <cell r="Z42">
            <v>18.15259</v>
          </cell>
          <cell r="AA42">
            <v>0.36395</v>
          </cell>
          <cell r="AB42">
            <v>0</v>
          </cell>
          <cell r="AC42">
            <v>-425.37513999999999</v>
          </cell>
          <cell r="AD42">
            <v>2.1016599999999999</v>
          </cell>
          <cell r="AE42">
            <v>-0.33361999999999997</v>
          </cell>
          <cell r="AF42">
            <v>0</v>
          </cell>
          <cell r="AG42">
            <v>0</v>
          </cell>
          <cell r="AH42">
            <v>1145.28979</v>
          </cell>
          <cell r="AI42">
            <v>9.6964900000000007</v>
          </cell>
          <cell r="AJ42">
            <v>19.90889</v>
          </cell>
          <cell r="AK42">
            <v>0.58755000000000002</v>
          </cell>
          <cell r="AL42">
            <v>-253.26159000000004</v>
          </cell>
          <cell r="AM42">
            <v>471.21725999999984</v>
          </cell>
          <cell r="AN42">
            <v>-417.09553</v>
          </cell>
          <cell r="AO42">
            <v>-16.055289999999999</v>
          </cell>
          <cell r="AP42">
            <v>-6.4498899999999999</v>
          </cell>
          <cell r="AQ42">
            <v>-19.2258</v>
          </cell>
          <cell r="AR42">
            <v>-26.606369999999998</v>
          </cell>
          <cell r="AT42">
            <v>-36.292760000000001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746.86085999999932</v>
          </cell>
        </row>
        <row r="43">
          <cell r="C43">
            <v>1170.1500000000001</v>
          </cell>
          <cell r="N43">
            <v>1095</v>
          </cell>
          <cell r="O43">
            <v>-125.58622133892501</v>
          </cell>
          <cell r="P43">
            <v>0</v>
          </cell>
          <cell r="Q43">
            <v>-16.201665829089478</v>
          </cell>
          <cell r="R43">
            <v>0</v>
          </cell>
          <cell r="S43">
            <v>-4.1126826231871298</v>
          </cell>
          <cell r="T43">
            <v>0</v>
          </cell>
          <cell r="U43">
            <v>0</v>
          </cell>
          <cell r="V43">
            <v>-369.48817253821142</v>
          </cell>
          <cell r="W43">
            <v>0</v>
          </cell>
          <cell r="X43">
            <v>-47.667043688730018</v>
          </cell>
          <cell r="Y43">
            <v>-10.95926675395701</v>
          </cell>
          <cell r="Z43">
            <v>31.359110129997308</v>
          </cell>
          <cell r="AA43">
            <v>0</v>
          </cell>
          <cell r="AB43">
            <v>0</v>
          </cell>
          <cell r="AC43">
            <v>-1596.535456673646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1601.035456673646</v>
          </cell>
          <cell r="AI43">
            <v>10.95926675395701</v>
          </cell>
          <cell r="AJ43">
            <v>0</v>
          </cell>
          <cell r="AK43">
            <v>0</v>
          </cell>
          <cell r="AL43">
            <v>-384.68164231743953</v>
          </cell>
          <cell r="AM43">
            <v>0</v>
          </cell>
          <cell r="AN43">
            <v>0</v>
          </cell>
          <cell r="AO43">
            <v>-31.318514255408274</v>
          </cell>
          <cell r="AP43">
            <v>-5.51849694061276</v>
          </cell>
          <cell r="AQ43">
            <v>-27.950863857996175</v>
          </cell>
          <cell r="AR43">
            <v>-28.785752751390852</v>
          </cell>
          <cell r="AT43">
            <v>-54.787242231423015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34.760811757583625</v>
          </cell>
        </row>
        <row r="49">
          <cell r="C49">
            <v>107.87987999999999</v>
          </cell>
          <cell r="N49">
            <v>99.852920000000054</v>
          </cell>
          <cell r="O49">
            <v>-0.76836000000000004</v>
          </cell>
          <cell r="P49">
            <v>0</v>
          </cell>
          <cell r="Q49">
            <v>0</v>
          </cell>
          <cell r="R49">
            <v>0</v>
          </cell>
          <cell r="S49">
            <v>-0.19602</v>
          </cell>
          <cell r="T49">
            <v>0</v>
          </cell>
          <cell r="U49">
            <v>0</v>
          </cell>
          <cell r="V49">
            <v>-1.8929499999999999</v>
          </cell>
          <cell r="W49">
            <v>0</v>
          </cell>
          <cell r="X49">
            <v>0</v>
          </cell>
          <cell r="Y49">
            <v>-1.5440000000000001E-2</v>
          </cell>
          <cell r="Z49">
            <v>8.6770000000000028E-2</v>
          </cell>
          <cell r="AA49">
            <v>7.7999999999999999E-4</v>
          </cell>
          <cell r="AB49">
            <v>0</v>
          </cell>
          <cell r="AC49">
            <v>-276.81551999999999</v>
          </cell>
          <cell r="AD49">
            <v>0.25</v>
          </cell>
          <cell r="AE49">
            <v>-7.7189999999999995E-2</v>
          </cell>
          <cell r="AF49">
            <v>0</v>
          </cell>
          <cell r="AG49">
            <v>0</v>
          </cell>
          <cell r="AH49">
            <v>31.654859999999985</v>
          </cell>
          <cell r="AI49">
            <v>18.429200000000002</v>
          </cell>
          <cell r="AJ49">
            <v>-1.9194200000000001</v>
          </cell>
          <cell r="AK49">
            <v>-0.72523000000000004</v>
          </cell>
          <cell r="AL49">
            <v>-29.669020000000007</v>
          </cell>
          <cell r="AM49">
            <v>53.44748000000002</v>
          </cell>
          <cell r="AN49">
            <v>-51.126470000000012</v>
          </cell>
          <cell r="AO49">
            <v>-1.4812000000000001</v>
          </cell>
          <cell r="AP49">
            <v>-0.22946</v>
          </cell>
          <cell r="AQ49">
            <v>-0.46156999999999998</v>
          </cell>
          <cell r="AR49">
            <v>-0.52485999999999999</v>
          </cell>
          <cell r="AT49">
            <v>-0.60960000000000103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-162.79029999999995</v>
          </cell>
        </row>
        <row r="50">
          <cell r="C50">
            <v>116.86346999999999</v>
          </cell>
          <cell r="N50">
            <v>107.83339999999997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-0.23497999999999999</v>
          </cell>
          <cell r="T50">
            <v>-5.4310000000000004E-2</v>
          </cell>
          <cell r="U50">
            <v>0</v>
          </cell>
          <cell r="V50">
            <v>-2.7160000000000295E-2</v>
          </cell>
          <cell r="W50">
            <v>0</v>
          </cell>
          <cell r="X50">
            <v>0</v>
          </cell>
          <cell r="Y50">
            <v>-4.4999999999999999E-4</v>
          </cell>
          <cell r="Z50">
            <v>1.2299999999999534E-3</v>
          </cell>
          <cell r="AA50">
            <v>2.0000000000000002E-5</v>
          </cell>
          <cell r="AB50">
            <v>0</v>
          </cell>
          <cell r="AC50">
            <v>-61.023650000000004</v>
          </cell>
          <cell r="AD50">
            <v>1.1009999999999999E-2</v>
          </cell>
          <cell r="AE50">
            <v>-1.3800000000000002E-2</v>
          </cell>
          <cell r="AF50">
            <v>0</v>
          </cell>
          <cell r="AG50">
            <v>0</v>
          </cell>
          <cell r="AH50">
            <v>-279.39751999999999</v>
          </cell>
          <cell r="AI50">
            <v>-6.3721000000000014</v>
          </cell>
          <cell r="AJ50">
            <v>14.02411</v>
          </cell>
          <cell r="AK50">
            <v>0.37739000000000006</v>
          </cell>
          <cell r="AL50">
            <v>-30.634029999999992</v>
          </cell>
          <cell r="AM50">
            <v>51.751260000000023</v>
          </cell>
          <cell r="AN50">
            <v>-48.529649999999997</v>
          </cell>
          <cell r="AO50">
            <v>-1.3779299999999999</v>
          </cell>
          <cell r="AP50">
            <v>-0.73621999999999999</v>
          </cell>
          <cell r="AQ50">
            <v>-3.6883800000000004</v>
          </cell>
          <cell r="AR50">
            <v>-3.7082600000000001</v>
          </cell>
          <cell r="AT50">
            <v>-5.9856000000000016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-267.78561999999994</v>
          </cell>
        </row>
        <row r="51">
          <cell r="C51">
            <v>16.86</v>
          </cell>
          <cell r="N51">
            <v>16.100000000000019</v>
          </cell>
          <cell r="O51">
            <v>1.9541989586175455E-2</v>
          </cell>
          <cell r="P51">
            <v>0</v>
          </cell>
          <cell r="Q51">
            <v>0</v>
          </cell>
          <cell r="R51">
            <v>0</v>
          </cell>
          <cell r="S51">
            <v>-6.9859167149557977E-2</v>
          </cell>
          <cell r="T51">
            <v>0</v>
          </cell>
          <cell r="U51">
            <v>0</v>
          </cell>
          <cell r="V51">
            <v>3.7943070585443134E-2</v>
          </cell>
          <cell r="W51">
            <v>0</v>
          </cell>
          <cell r="X51">
            <v>0</v>
          </cell>
          <cell r="Y51">
            <v>9.4547890627096304E-4</v>
          </cell>
          <cell r="Z51">
            <v>-1.6739247745209554E-3</v>
          </cell>
          <cell r="AA51">
            <v>0</v>
          </cell>
          <cell r="AB51">
            <v>0</v>
          </cell>
          <cell r="AC51">
            <v>-5.9435790565129363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5.9435790565129363</v>
          </cell>
          <cell r="AI51">
            <v>-9.4547890627096304E-4</v>
          </cell>
          <cell r="AJ51">
            <v>0</v>
          </cell>
          <cell r="AK51">
            <v>0</v>
          </cell>
          <cell r="AL51">
            <v>-4.1841856941889377</v>
          </cell>
          <cell r="AM51">
            <v>0</v>
          </cell>
          <cell r="AN51">
            <v>0</v>
          </cell>
          <cell r="AO51">
            <v>-1.6153272943802226</v>
          </cell>
          <cell r="AP51">
            <v>-0.15258426453223126</v>
          </cell>
          <cell r="AQ51">
            <v>-0.5143456231286031</v>
          </cell>
          <cell r="AR51">
            <v>-0.50928687894393276</v>
          </cell>
          <cell r="AT51">
            <v>-1.2771683724159923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7.83305384065764</v>
          </cell>
        </row>
        <row r="53">
          <cell r="C53">
            <v>71.004310000000004</v>
          </cell>
          <cell r="N53">
            <v>62.240860000000026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-0.31002999999999997</v>
          </cell>
          <cell r="T53">
            <v>0</v>
          </cell>
          <cell r="U53">
            <v>0</v>
          </cell>
          <cell r="V53">
            <v>-0.62514999999999965</v>
          </cell>
          <cell r="W53">
            <v>0</v>
          </cell>
          <cell r="X53">
            <v>0</v>
          </cell>
          <cell r="Y53">
            <v>-7.1690000000000004E-2</v>
          </cell>
          <cell r="Z53">
            <v>4.3129999999999974E-2</v>
          </cell>
          <cell r="AA53">
            <v>3.7200000000000002E-3</v>
          </cell>
          <cell r="AB53">
            <v>0</v>
          </cell>
          <cell r="AC53">
            <v>-29.006360000000001</v>
          </cell>
          <cell r="AD53">
            <v>0</v>
          </cell>
          <cell r="AE53">
            <v>-0.10195</v>
          </cell>
          <cell r="AF53">
            <v>0</v>
          </cell>
          <cell r="AG53">
            <v>0</v>
          </cell>
          <cell r="AH53">
            <v>2.8141600000000011</v>
          </cell>
          <cell r="AI53">
            <v>1.4540399999999998</v>
          </cell>
          <cell r="AJ53">
            <v>0.55737999999999999</v>
          </cell>
          <cell r="AK53">
            <v>-1.5889999999999998E-2</v>
          </cell>
          <cell r="AL53">
            <v>-21.771750000000008</v>
          </cell>
          <cell r="AM53">
            <v>38.948559999999986</v>
          </cell>
          <cell r="AN53">
            <v>-36.40620999999998</v>
          </cell>
          <cell r="AO53">
            <v>-1.6476299999999999</v>
          </cell>
          <cell r="AP53">
            <v>-0.25866</v>
          </cell>
          <cell r="AQ53">
            <v>-1.8618300000000003</v>
          </cell>
          <cell r="AR53">
            <v>-1.8065000000000002</v>
          </cell>
          <cell r="AT53">
            <v>-1.87677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10.301430000000028</v>
          </cell>
        </row>
        <row r="54">
          <cell r="C54">
            <v>85.579470000000015</v>
          </cell>
          <cell r="N54">
            <v>76.919479999999965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-2.9010000000000001E-2</v>
          </cell>
          <cell r="T54">
            <v>-2.8250000000000004E-2</v>
          </cell>
          <cell r="U54">
            <v>0</v>
          </cell>
          <cell r="V54">
            <v>-1.411999999999991E-2</v>
          </cell>
          <cell r="W54">
            <v>0</v>
          </cell>
          <cell r="X54">
            <v>0</v>
          </cell>
          <cell r="Y54">
            <v>-6.4000000000000005E-4</v>
          </cell>
          <cell r="Z54">
            <v>9.3000000000000027E-4</v>
          </cell>
          <cell r="AA54">
            <v>2.9999999999999997E-5</v>
          </cell>
          <cell r="AB54">
            <v>0</v>
          </cell>
          <cell r="AC54">
            <v>-7.8500199999999998</v>
          </cell>
          <cell r="AD54">
            <v>4.725E-2</v>
          </cell>
          <cell r="AE54">
            <v>-1.2139999999999998E-2</v>
          </cell>
          <cell r="AF54">
            <v>0</v>
          </cell>
          <cell r="AG54">
            <v>0</v>
          </cell>
          <cell r="AH54">
            <v>2.0094500000000082</v>
          </cell>
          <cell r="AI54">
            <v>2.2875399999999999</v>
          </cell>
          <cell r="AJ54">
            <v>-0.91322999999999999</v>
          </cell>
          <cell r="AK54">
            <v>-6.3269999999999993E-2</v>
          </cell>
          <cell r="AL54">
            <v>-26.724289999999996</v>
          </cell>
          <cell r="AM54">
            <v>45.843490000000003</v>
          </cell>
          <cell r="AN54">
            <v>-43.364239999999995</v>
          </cell>
          <cell r="AO54">
            <v>-1.0552600000000001</v>
          </cell>
          <cell r="AP54">
            <v>-0.55018</v>
          </cell>
          <cell r="AQ54">
            <v>-2.7413799999999999</v>
          </cell>
          <cell r="AR54">
            <v>-2.5945299999999998</v>
          </cell>
          <cell r="AT54">
            <v>-1.6183300000000003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39.549279999999975</v>
          </cell>
        </row>
        <row r="55">
          <cell r="C55">
            <v>94.92</v>
          </cell>
          <cell r="N55">
            <v>90.644932800574466</v>
          </cell>
          <cell r="O55">
            <v>-2.420234559916552</v>
          </cell>
          <cell r="P55">
            <v>0</v>
          </cell>
          <cell r="Q55">
            <v>0</v>
          </cell>
          <cell r="R55">
            <v>0</v>
          </cell>
          <cell r="S55">
            <v>-0.3534567058395981</v>
          </cell>
          <cell r="T55">
            <v>0</v>
          </cell>
          <cell r="U55">
            <v>0</v>
          </cell>
          <cell r="V55">
            <v>-8.3820104144623215</v>
          </cell>
          <cell r="W55">
            <v>0</v>
          </cell>
          <cell r="X55">
            <v>0</v>
          </cell>
          <cell r="Y55">
            <v>-0.21554471569710346</v>
          </cell>
          <cell r="Z55">
            <v>0.50658498799877993</v>
          </cell>
          <cell r="AA55">
            <v>0</v>
          </cell>
          <cell r="AB55">
            <v>0</v>
          </cell>
          <cell r="AC55">
            <v>-31.655397229398357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34.155397229398361</v>
          </cell>
          <cell r="AI55">
            <v>0.21554471569710346</v>
          </cell>
          <cell r="AJ55">
            <v>0</v>
          </cell>
          <cell r="AK55">
            <v>0</v>
          </cell>
          <cell r="AL55">
            <v>-28.244589280937209</v>
          </cell>
          <cell r="AM55">
            <v>0</v>
          </cell>
          <cell r="AN55">
            <v>0</v>
          </cell>
          <cell r="AO55">
            <v>-1.7881420553162588</v>
          </cell>
          <cell r="AP55">
            <v>-0.43059415190648498</v>
          </cell>
          <cell r="AQ55">
            <v>-1.9661708017585651</v>
          </cell>
          <cell r="AR55">
            <v>-2.7782494574096548</v>
          </cell>
          <cell r="AT55">
            <v>-1.9329709935920369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45.355099367434569</v>
          </cell>
        </row>
        <row r="57">
          <cell r="C57">
            <v>101.41809000000001</v>
          </cell>
          <cell r="N57">
            <v>77.954689999999999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-9.758E-2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-3.8000000000000006E-2</v>
          </cell>
          <cell r="AF57">
            <v>0</v>
          </cell>
          <cell r="AG57">
            <v>0</v>
          </cell>
          <cell r="AH57">
            <v>11.933169999999999</v>
          </cell>
          <cell r="AI57">
            <v>0.31179000000000001</v>
          </cell>
          <cell r="AJ57">
            <v>-0.41576999999999997</v>
          </cell>
          <cell r="AK57">
            <v>-1.4030000000000001E-2</v>
          </cell>
          <cell r="AL57">
            <v>-27.204650000000004</v>
          </cell>
          <cell r="AM57">
            <v>43.448930000000011</v>
          </cell>
          <cell r="AN57">
            <v>-37.379480000000008</v>
          </cell>
          <cell r="AO57">
            <v>-0.73022000000000009</v>
          </cell>
          <cell r="AP57">
            <v>-0.11225</v>
          </cell>
          <cell r="AQ57">
            <v>-0.25130999999999998</v>
          </cell>
          <cell r="AR57">
            <v>-0.1056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67.299690000000012</v>
          </cell>
        </row>
        <row r="58">
          <cell r="C58">
            <v>77.724170000000001</v>
          </cell>
          <cell r="N58">
            <v>56.675369999999972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-1.7080000000000001E-2</v>
          </cell>
          <cell r="T58">
            <v>-3.0000000000000003E-4</v>
          </cell>
          <cell r="U58">
            <v>0</v>
          </cell>
          <cell r="V58">
            <v>-1E-3</v>
          </cell>
          <cell r="W58">
            <v>0</v>
          </cell>
          <cell r="X58">
            <v>0</v>
          </cell>
          <cell r="Y58">
            <v>-2.0000000000000002E-5</v>
          </cell>
          <cell r="Z58">
            <v>2.9999999999999997E-5</v>
          </cell>
          <cell r="AA58">
            <v>0</v>
          </cell>
          <cell r="AB58">
            <v>0</v>
          </cell>
          <cell r="AC58">
            <v>-0.13219</v>
          </cell>
          <cell r="AD58">
            <v>2.3844000000000003</v>
          </cell>
          <cell r="AE58">
            <v>-6.9900000000000006E-3</v>
          </cell>
          <cell r="AF58">
            <v>0</v>
          </cell>
          <cell r="AG58">
            <v>0</v>
          </cell>
          <cell r="AH58">
            <v>0</v>
          </cell>
          <cell r="AI58">
            <v>-1.7079999999999998E-2</v>
          </cell>
          <cell r="AJ58">
            <v>4.4179999999999997E-2</v>
          </cell>
          <cell r="AK58">
            <v>1.83E-3</v>
          </cell>
          <cell r="AL58">
            <v>-20.989490000000007</v>
          </cell>
          <cell r="AM58">
            <v>37.00239000000002</v>
          </cell>
          <cell r="AN58">
            <v>-31.55801000000001</v>
          </cell>
          <cell r="AO58">
            <v>-0.30188000000000009</v>
          </cell>
          <cell r="AP58">
            <v>-0.29247000000000001</v>
          </cell>
          <cell r="AQ58">
            <v>-1.8790800000000001</v>
          </cell>
          <cell r="AR58">
            <v>-1.4698600000000002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39.442749999999968</v>
          </cell>
        </row>
        <row r="59">
          <cell r="C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-0.11037635168292215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-0.79409978459285746</v>
          </cell>
          <cell r="AP59">
            <v>-4.7955984722787101E-2</v>
          </cell>
          <cell r="AQ59">
            <v>-0.56823160456913069</v>
          </cell>
          <cell r="AR59">
            <v>-0.38808392954967197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-1.9087476551173692</v>
          </cell>
        </row>
        <row r="61">
          <cell r="C61">
            <v>1268.3266199999998</v>
          </cell>
          <cell r="N61">
            <v>1145.5273699999993</v>
          </cell>
          <cell r="O61">
            <v>-11.95</v>
          </cell>
          <cell r="P61">
            <v>0</v>
          </cell>
          <cell r="Q61">
            <v>0</v>
          </cell>
          <cell r="R61">
            <v>0</v>
          </cell>
          <cell r="S61">
            <v>-1.41221</v>
          </cell>
          <cell r="T61">
            <v>0</v>
          </cell>
          <cell r="U61">
            <v>0</v>
          </cell>
          <cell r="V61">
            <v>-605.79456000000005</v>
          </cell>
          <cell r="W61">
            <v>0</v>
          </cell>
          <cell r="X61">
            <v>0</v>
          </cell>
          <cell r="Y61">
            <v>-8.743739999999999</v>
          </cell>
          <cell r="Z61">
            <v>18.374200000000002</v>
          </cell>
          <cell r="AA61">
            <v>0.26075999999999999</v>
          </cell>
          <cell r="AB61">
            <v>0</v>
          </cell>
          <cell r="AC61">
            <v>-177.17899</v>
          </cell>
          <cell r="AD61">
            <v>15.18562</v>
          </cell>
          <cell r="AE61">
            <v>-0.55126000000000008</v>
          </cell>
          <cell r="AF61">
            <v>0</v>
          </cell>
          <cell r="AG61">
            <v>0</v>
          </cell>
          <cell r="AH61">
            <v>477.88089999999966</v>
          </cell>
          <cell r="AI61">
            <v>104.25154000000001</v>
          </cell>
          <cell r="AJ61">
            <v>-53.734890000000007</v>
          </cell>
          <cell r="AK61">
            <v>-4.3947500000000002</v>
          </cell>
          <cell r="AL61">
            <v>-344.94852999999995</v>
          </cell>
          <cell r="AM61">
            <v>455.8699400000001</v>
          </cell>
          <cell r="AN61">
            <v>-423.09712000000002</v>
          </cell>
          <cell r="AO61">
            <v>-10.463709999999999</v>
          </cell>
          <cell r="AP61">
            <v>-1.62452</v>
          </cell>
          <cell r="AQ61">
            <v>-4.6261099999999997</v>
          </cell>
          <cell r="AR61">
            <v>-4.8304099999999996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563.9995299999988</v>
          </cell>
        </row>
        <row r="62">
          <cell r="C62">
            <v>1109.4641200000001</v>
          </cell>
          <cell r="N62">
            <v>1006.5372999999996</v>
          </cell>
          <cell r="O62">
            <v>-0.5</v>
          </cell>
          <cell r="P62">
            <v>0</v>
          </cell>
          <cell r="Q62">
            <v>0</v>
          </cell>
          <cell r="R62">
            <v>0</v>
          </cell>
          <cell r="S62">
            <v>-2.8502800000000001</v>
          </cell>
          <cell r="T62">
            <v>-0.27905000000000002</v>
          </cell>
          <cell r="U62">
            <v>0</v>
          </cell>
          <cell r="V62">
            <v>-567.51094999999998</v>
          </cell>
          <cell r="W62">
            <v>0</v>
          </cell>
          <cell r="X62">
            <v>0</v>
          </cell>
          <cell r="Y62">
            <v>-12.743400000000001</v>
          </cell>
          <cell r="Z62">
            <v>19.193899999999999</v>
          </cell>
          <cell r="AA62">
            <v>0.54605999999999999</v>
          </cell>
          <cell r="AB62">
            <v>0</v>
          </cell>
          <cell r="AC62">
            <v>-296.86446000000001</v>
          </cell>
          <cell r="AD62">
            <v>7.9126899999999996</v>
          </cell>
          <cell r="AE62">
            <v>-9.4770000000000007E-2</v>
          </cell>
          <cell r="AF62">
            <v>0</v>
          </cell>
          <cell r="AG62">
            <v>0</v>
          </cell>
          <cell r="AH62">
            <v>648.81939000000011</v>
          </cell>
          <cell r="AI62">
            <v>-7.0552099999999944</v>
          </cell>
          <cell r="AJ62">
            <v>26.562450000000002</v>
          </cell>
          <cell r="AK62">
            <v>1.5089300000000001</v>
          </cell>
          <cell r="AL62">
            <v>-297.44071999999989</v>
          </cell>
          <cell r="AM62">
            <v>447.26405999999997</v>
          </cell>
          <cell r="AN62">
            <v>-420.77813999999989</v>
          </cell>
          <cell r="AO62">
            <v>-7.6798999999999999</v>
          </cell>
          <cell r="AP62">
            <v>-5.5395899999999996</v>
          </cell>
          <cell r="AQ62">
            <v>-18.730589999999999</v>
          </cell>
          <cell r="AR62">
            <v>-27.276770000000003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493.00094999999993</v>
          </cell>
        </row>
        <row r="63">
          <cell r="C63">
            <v>232.35</v>
          </cell>
          <cell r="N63">
            <v>221.89628565338904</v>
          </cell>
          <cell r="O63">
            <v>-58.989665779248007</v>
          </cell>
          <cell r="P63">
            <v>0</v>
          </cell>
          <cell r="Q63">
            <v>0</v>
          </cell>
          <cell r="R63">
            <v>0</v>
          </cell>
          <cell r="S63">
            <v>-1.6599424920720527</v>
          </cell>
          <cell r="T63">
            <v>0</v>
          </cell>
          <cell r="U63">
            <v>0</v>
          </cell>
          <cell r="V63">
            <v>-58.450715795319837</v>
          </cell>
          <cell r="W63">
            <v>0</v>
          </cell>
          <cell r="X63">
            <v>0</v>
          </cell>
          <cell r="Y63">
            <v>-1.8204855045149275</v>
          </cell>
          <cell r="Z63">
            <v>2.6426108876949148</v>
          </cell>
          <cell r="AA63">
            <v>0</v>
          </cell>
          <cell r="AB63">
            <v>0</v>
          </cell>
          <cell r="AC63">
            <v>-68.545359344740191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79.295359344740177</v>
          </cell>
          <cell r="AI63">
            <v>1.8204855045149275</v>
          </cell>
          <cell r="AJ63">
            <v>0</v>
          </cell>
          <cell r="AK63">
            <v>0</v>
          </cell>
          <cell r="AL63">
            <v>-59.706481771416492</v>
          </cell>
          <cell r="AM63">
            <v>0</v>
          </cell>
          <cell r="AN63">
            <v>0</v>
          </cell>
          <cell r="AO63">
            <v>-11.399910453082427</v>
          </cell>
          <cell r="AP63">
            <v>-1.6242356946935099</v>
          </cell>
          <cell r="AQ63">
            <v>-5.2105075546512207</v>
          </cell>
          <cell r="AR63">
            <v>-9.9303145293806008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28.31712247121979</v>
          </cell>
        </row>
        <row r="81">
          <cell r="C81">
            <v>784.97925999999995</v>
          </cell>
          <cell r="N81">
            <v>205.91491000000002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-0.29944999999999999</v>
          </cell>
          <cell r="T81">
            <v>0</v>
          </cell>
          <cell r="U81">
            <v>0</v>
          </cell>
          <cell r="V81">
            <v>-152.37702999999999</v>
          </cell>
          <cell r="W81">
            <v>0</v>
          </cell>
          <cell r="X81">
            <v>0</v>
          </cell>
          <cell r="Y81">
            <v>-1.0103899999999999</v>
          </cell>
          <cell r="Z81">
            <v>2.04562</v>
          </cell>
          <cell r="AA81">
            <v>1.332E-2</v>
          </cell>
          <cell r="AB81">
            <v>0</v>
          </cell>
          <cell r="AC81">
            <v>0</v>
          </cell>
          <cell r="AD81">
            <v>0</v>
          </cell>
          <cell r="AE81">
            <v>-5.6220000000000006E-2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-149.21797999999998</v>
          </cell>
          <cell r="AM81">
            <v>225.65078</v>
          </cell>
          <cell r="AN81">
            <v>-114.72796</v>
          </cell>
          <cell r="AO81">
            <v>-48.905889999999999</v>
          </cell>
          <cell r="AP81">
            <v>-2.5045900000000003</v>
          </cell>
          <cell r="AQ81">
            <v>-11.662479999999999</v>
          </cell>
          <cell r="AR81">
            <v>-8.5815799999999989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-55.718939999999975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-2.3100000000000004E-3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-2.3100000000000004E-3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-27.601509999999998</v>
          </cell>
          <cell r="AP82">
            <v>-1.14392</v>
          </cell>
          <cell r="AQ82">
            <v>-36.343840000000007</v>
          </cell>
          <cell r="AR82">
            <v>-1.8305200000000001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-66.924410000000009</v>
          </cell>
        </row>
        <row r="83">
          <cell r="C83">
            <v>436.36</v>
          </cell>
          <cell r="N83">
            <v>600</v>
          </cell>
          <cell r="O83">
            <v>-65.274930586787988</v>
          </cell>
          <cell r="P83">
            <v>0</v>
          </cell>
          <cell r="Q83">
            <v>-2.16</v>
          </cell>
          <cell r="R83">
            <v>0</v>
          </cell>
          <cell r="S83">
            <v>-2.577378786806312</v>
          </cell>
          <cell r="T83">
            <v>0</v>
          </cell>
          <cell r="U83">
            <v>0</v>
          </cell>
          <cell r="V83">
            <v>-369.89127332513192</v>
          </cell>
          <cell r="W83">
            <v>0</v>
          </cell>
          <cell r="X83">
            <v>-69.84</v>
          </cell>
          <cell r="Y83">
            <v>-7.5974083455660626</v>
          </cell>
          <cell r="Z83">
            <v>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7.5974083455660626</v>
          </cell>
          <cell r="AJ83">
            <v>0</v>
          </cell>
          <cell r="AK83">
            <v>0</v>
          </cell>
          <cell r="AL83">
            <v>-114</v>
          </cell>
          <cell r="AM83">
            <v>0</v>
          </cell>
          <cell r="AN83">
            <v>0</v>
          </cell>
          <cell r="AO83">
            <v>-55.752536937333751</v>
          </cell>
          <cell r="AP83">
            <v>-23.351126211499597</v>
          </cell>
          <cell r="AQ83">
            <v>-12.818936156942499</v>
          </cell>
          <cell r="AR83">
            <v>-28.651292931773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-138.317474936275</v>
          </cell>
        </row>
      </sheetData>
      <sheetData sheetId="5" refreshError="1">
        <row r="21">
          <cell r="C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</row>
        <row r="22">
          <cell r="C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-10.81945</v>
          </cell>
          <cell r="AP22">
            <v>-0.37063999999999997</v>
          </cell>
          <cell r="AQ22">
            <v>-1.2021600000000001</v>
          </cell>
          <cell r="AR22">
            <v>-6.0090000000000005E-2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-12.452340000000001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</row>
        <row r="25">
          <cell r="C25">
            <v>47.75278999999999</v>
          </cell>
          <cell r="N25">
            <v>43.950409999999998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-7.1649100000000008</v>
          </cell>
          <cell r="AM25">
            <v>0.7035499999999999</v>
          </cell>
          <cell r="AN25">
            <v>-0.13352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37.355530000000002</v>
          </cell>
        </row>
        <row r="26">
          <cell r="C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-10.81945</v>
          </cell>
          <cell r="AP26">
            <v>-0.37063999999999997</v>
          </cell>
          <cell r="AQ26">
            <v>-1.2021600000000001</v>
          </cell>
          <cell r="AR26">
            <v>-6.0090000000000005E-2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-12.452340000000001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</row>
        <row r="29">
          <cell r="C29">
            <v>47.75278999999999</v>
          </cell>
          <cell r="N29">
            <v>43.950409999999998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-7.1649100000000008</v>
          </cell>
          <cell r="AM29">
            <v>0.7035499999999999</v>
          </cell>
          <cell r="AN29">
            <v>-0.13352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37.355530000000002</v>
          </cell>
          <cell r="EA29">
            <v>15.743920000000003</v>
          </cell>
          <cell r="EL29">
            <v>15.7773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-2.3621399999999984</v>
          </cell>
          <cell r="FK29">
            <v>5.3279999999999994E-2</v>
          </cell>
          <cell r="FL29">
            <v>-5.8230000000000004E-2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13.410210000000001</v>
          </cell>
        </row>
        <row r="30">
          <cell r="C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-21.6389</v>
          </cell>
          <cell r="AP30">
            <v>-0.74127999999999994</v>
          </cell>
          <cell r="AQ30">
            <v>-2.4043200000000002</v>
          </cell>
          <cell r="AR30">
            <v>-0.12018000000000001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-24.904680000000003</v>
          </cell>
          <cell r="EA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-6.2025000000000006</v>
          </cell>
          <cell r="FN30">
            <v>-0.26655999999999996</v>
          </cell>
          <cell r="FO30">
            <v>-0.68916000000000022</v>
          </cell>
          <cell r="FP30">
            <v>-5.5360000000000006E-2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-7.2135800000000012</v>
          </cell>
        </row>
        <row r="31">
          <cell r="C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EA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</row>
        <row r="33">
          <cell r="C33">
            <v>42.017579999999995</v>
          </cell>
          <cell r="N33">
            <v>26.223940000000006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-109.95618</v>
          </cell>
          <cell r="T33">
            <v>0</v>
          </cell>
          <cell r="U33">
            <v>0</v>
          </cell>
          <cell r="V33">
            <v>-29.108510000000003</v>
          </cell>
          <cell r="W33">
            <v>0</v>
          </cell>
          <cell r="X33">
            <v>0</v>
          </cell>
          <cell r="Y33">
            <v>-0.24086999999999997</v>
          </cell>
          <cell r="Z33">
            <v>0.64735999999999994</v>
          </cell>
          <cell r="AA33">
            <v>4.6700000000000005E-3</v>
          </cell>
          <cell r="AB33">
            <v>0</v>
          </cell>
          <cell r="AC33">
            <v>-10.45</v>
          </cell>
          <cell r="AD33">
            <v>0</v>
          </cell>
          <cell r="AE33">
            <v>-1.4052800000000001</v>
          </cell>
          <cell r="AF33">
            <v>-0.55659999999999998</v>
          </cell>
          <cell r="AG33">
            <v>0</v>
          </cell>
          <cell r="AH33">
            <v>14.188699999999999</v>
          </cell>
          <cell r="AI33">
            <v>2.7480000000000001E-2</v>
          </cell>
          <cell r="AJ33">
            <v>-0.12652999999999998</v>
          </cell>
          <cell r="AK33">
            <v>-1.9299999999999999E-3</v>
          </cell>
          <cell r="AL33">
            <v>-6.3035899999999989</v>
          </cell>
          <cell r="AM33">
            <v>2.7941400000000005</v>
          </cell>
          <cell r="AN33">
            <v>-0.42518000000000011</v>
          </cell>
          <cell r="AO33">
            <v>-51.330309999999997</v>
          </cell>
          <cell r="AP33">
            <v>-37.812200000000004</v>
          </cell>
          <cell r="AQ33">
            <v>-103.12879000000001</v>
          </cell>
          <cell r="AR33">
            <v>-283.29019</v>
          </cell>
          <cell r="AT33">
            <v>-20.725000000000001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-610.97487000000001</v>
          </cell>
        </row>
        <row r="34">
          <cell r="C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-222.68263000000002</v>
          </cell>
          <cell r="T34">
            <v>-3.9020000000000006E-2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-0.30412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-34.439799999999991</v>
          </cell>
          <cell r="AP34">
            <v>-75.433480000000003</v>
          </cell>
          <cell r="AQ34">
            <v>-10.53322</v>
          </cell>
          <cell r="AR34">
            <v>-434.05442999999997</v>
          </cell>
          <cell r="AT34">
            <v>-9.4870000000000001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-786.97370000000001</v>
          </cell>
        </row>
        <row r="35">
          <cell r="C35">
            <v>273.17</v>
          </cell>
          <cell r="N35">
            <v>308.94008499504946</v>
          </cell>
          <cell r="O35">
            <v>7.3883012278836144</v>
          </cell>
          <cell r="P35">
            <v>-54.489695731418266</v>
          </cell>
          <cell r="Q35">
            <v>-8.4090257323901465</v>
          </cell>
          <cell r="R35">
            <v>0</v>
          </cell>
          <cell r="S35">
            <v>-6.5255443470042813</v>
          </cell>
          <cell r="T35">
            <v>-3.5779177757593157</v>
          </cell>
          <cell r="U35">
            <v>0</v>
          </cell>
          <cell r="V35">
            <v>-54.995928989029629</v>
          </cell>
          <cell r="W35">
            <v>0</v>
          </cell>
          <cell r="X35">
            <v>-9.8184392823177742</v>
          </cell>
          <cell r="Y35">
            <v>-3.3232185856683065</v>
          </cell>
          <cell r="Z35">
            <v>2.1483567753938257</v>
          </cell>
          <cell r="AA35">
            <v>0</v>
          </cell>
          <cell r="AB35">
            <v>0</v>
          </cell>
          <cell r="AC35">
            <v>0.87620611515658409</v>
          </cell>
          <cell r="AD35">
            <v>0</v>
          </cell>
          <cell r="AE35">
            <v>0</v>
          </cell>
          <cell r="AF35">
            <v>-0.87620611515658409</v>
          </cell>
          <cell r="AG35">
            <v>0</v>
          </cell>
          <cell r="AH35">
            <v>0</v>
          </cell>
          <cell r="AI35">
            <v>3.3232185856683065</v>
          </cell>
          <cell r="AJ35">
            <v>0</v>
          </cell>
          <cell r="AK35">
            <v>0</v>
          </cell>
          <cell r="AL35">
            <v>-46.341012749257416</v>
          </cell>
          <cell r="AM35">
            <v>0</v>
          </cell>
          <cell r="AN35">
            <v>0</v>
          </cell>
          <cell r="AO35">
            <v>-87.146142386982248</v>
          </cell>
          <cell r="AP35">
            <v>-2.2801890059675674</v>
          </cell>
          <cell r="AQ35">
            <v>-143.59752440835751</v>
          </cell>
          <cell r="AR35">
            <v>-107.13539306840875</v>
          </cell>
          <cell r="AT35">
            <v>-19.61146281037308</v>
          </cell>
          <cell r="AU35">
            <v>8.3509673852620736</v>
          </cell>
          <cell r="AV35">
            <v>0</v>
          </cell>
          <cell r="AW35">
            <v>0</v>
          </cell>
          <cell r="AX35">
            <v>9.7506499361735486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-207.34991596750342</v>
          </cell>
        </row>
        <row r="37">
          <cell r="C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</row>
        <row r="38">
          <cell r="C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568.55008000000112</v>
          </cell>
          <cell r="N41">
            <v>383.9864199999995</v>
          </cell>
          <cell r="O41">
            <v>-11.79307</v>
          </cell>
          <cell r="P41">
            <v>0</v>
          </cell>
          <cell r="Q41">
            <v>0</v>
          </cell>
          <cell r="R41">
            <v>0</v>
          </cell>
          <cell r="S41">
            <v>-10.81531</v>
          </cell>
          <cell r="T41">
            <v>-1.4161199999999998</v>
          </cell>
          <cell r="U41">
            <v>0</v>
          </cell>
          <cell r="V41">
            <v>-178.57474999999999</v>
          </cell>
          <cell r="W41">
            <v>0</v>
          </cell>
          <cell r="X41">
            <v>0</v>
          </cell>
          <cell r="Y41">
            <v>-3.7556400000000001</v>
          </cell>
          <cell r="Z41">
            <v>22.142379999999999</v>
          </cell>
          <cell r="AA41">
            <v>0.41510000000000002</v>
          </cell>
          <cell r="AB41">
            <v>0</v>
          </cell>
          <cell r="AC41">
            <v>-58.132240000000003</v>
          </cell>
          <cell r="AD41">
            <v>0</v>
          </cell>
          <cell r="AE41">
            <v>-1.4215</v>
          </cell>
          <cell r="AF41">
            <v>-2.5654400000000002</v>
          </cell>
          <cell r="AG41">
            <v>0</v>
          </cell>
          <cell r="AH41">
            <v>342.42259000000001</v>
          </cell>
          <cell r="AI41">
            <v>14.709520000000001</v>
          </cell>
          <cell r="AJ41">
            <v>-35.734659999999991</v>
          </cell>
          <cell r="AK41">
            <v>-1.7623700000000002</v>
          </cell>
          <cell r="AL41">
            <v>-85.504769999999965</v>
          </cell>
          <cell r="AM41">
            <v>34.83341999999999</v>
          </cell>
          <cell r="AN41">
            <v>-5.830479999999997</v>
          </cell>
          <cell r="AO41">
            <v>-52.212460000000007</v>
          </cell>
          <cell r="AP41">
            <v>-5.8321100000000001</v>
          </cell>
          <cell r="AQ41">
            <v>-22.623989999999999</v>
          </cell>
          <cell r="AR41">
            <v>-36.95505</v>
          </cell>
          <cell r="AT41">
            <v>-12.849989999999998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270.72947999999963</v>
          </cell>
        </row>
        <row r="42">
          <cell r="C42">
            <v>227.20669999999981</v>
          </cell>
          <cell r="N42">
            <v>154.21565999999981</v>
          </cell>
          <cell r="O42">
            <v>-0.67345999999999995</v>
          </cell>
          <cell r="P42">
            <v>0</v>
          </cell>
          <cell r="Q42">
            <v>0</v>
          </cell>
          <cell r="R42">
            <v>0</v>
          </cell>
          <cell r="S42">
            <v>-3.2441</v>
          </cell>
          <cell r="T42">
            <v>-1E-4</v>
          </cell>
          <cell r="U42">
            <v>0</v>
          </cell>
          <cell r="V42">
            <v>-8.3979999999999997</v>
          </cell>
          <cell r="W42">
            <v>0</v>
          </cell>
          <cell r="X42">
            <v>0</v>
          </cell>
          <cell r="Y42">
            <v>-0.28281000000000001</v>
          </cell>
          <cell r="Z42">
            <v>0.94888000000000017</v>
          </cell>
          <cell r="AA42">
            <v>3.2659999999999995E-2</v>
          </cell>
          <cell r="AB42">
            <v>0</v>
          </cell>
          <cell r="AC42">
            <v>0</v>
          </cell>
          <cell r="AD42">
            <v>0</v>
          </cell>
          <cell r="AE42">
            <v>-1.1878799999999998</v>
          </cell>
          <cell r="AF42">
            <v>0</v>
          </cell>
          <cell r="AG42">
            <v>0</v>
          </cell>
          <cell r="AH42">
            <v>-50.327829999999999</v>
          </cell>
          <cell r="AI42">
            <v>-1.7506100000000002</v>
          </cell>
          <cell r="AJ42">
            <v>6.3438600000000003</v>
          </cell>
          <cell r="AK42">
            <v>0.23144000000000001</v>
          </cell>
          <cell r="AL42">
            <v>-34.515689999999999</v>
          </cell>
          <cell r="AM42">
            <v>14.660669999999998</v>
          </cell>
          <cell r="AN42">
            <v>-2.2044400000000008</v>
          </cell>
          <cell r="AO42">
            <v>-11.654749999999998</v>
          </cell>
          <cell r="AP42">
            <v>-0.50607999999999997</v>
          </cell>
          <cell r="AQ42">
            <v>-13.175920000000001</v>
          </cell>
          <cell r="AR42">
            <v>-27.916800000000002</v>
          </cell>
          <cell r="AT42">
            <v>-30.900520000000004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-10.305820000000182</v>
          </cell>
        </row>
        <row r="43">
          <cell r="C43">
            <v>464.99</v>
          </cell>
          <cell r="N43">
            <v>525.88297610942857</v>
          </cell>
          <cell r="O43">
            <v>-19.898601249176632</v>
          </cell>
          <cell r="P43">
            <v>0</v>
          </cell>
          <cell r="Q43">
            <v>-4.1889920072560498</v>
          </cell>
          <cell r="R43">
            <v>0</v>
          </cell>
          <cell r="S43">
            <v>-16.146875675013327</v>
          </cell>
          <cell r="T43">
            <v>-12.696057294556244</v>
          </cell>
          <cell r="U43">
            <v>0</v>
          </cell>
          <cell r="V43">
            <v>-141.24297043810282</v>
          </cell>
          <cell r="W43">
            <v>0</v>
          </cell>
          <cell r="X43">
            <v>-29.734033404523714</v>
          </cell>
          <cell r="Y43">
            <v>-8.150977526091987</v>
          </cell>
          <cell r="Z43">
            <v>40.171615475374679</v>
          </cell>
          <cell r="AA43">
            <v>0</v>
          </cell>
          <cell r="AB43">
            <v>0</v>
          </cell>
          <cell r="AC43">
            <v>10</v>
          </cell>
          <cell r="AD43">
            <v>0</v>
          </cell>
          <cell r="AE43">
            <v>0</v>
          </cell>
          <cell r="AF43">
            <v>-10</v>
          </cell>
          <cell r="AG43">
            <v>0</v>
          </cell>
          <cell r="AH43">
            <v>0</v>
          </cell>
          <cell r="AI43">
            <v>8.150977526091987</v>
          </cell>
          <cell r="AJ43">
            <v>0</v>
          </cell>
          <cell r="AK43">
            <v>0</v>
          </cell>
          <cell r="AL43">
            <v>-78.882446416414282</v>
          </cell>
          <cell r="AM43">
            <v>0</v>
          </cell>
          <cell r="AN43">
            <v>0</v>
          </cell>
          <cell r="AO43">
            <v>-62.601728422727419</v>
          </cell>
          <cell r="AP43">
            <v>-6.1416148821859053</v>
          </cell>
          <cell r="AQ43">
            <v>-33.51715931068275</v>
          </cell>
          <cell r="AR43">
            <v>-49.861455962530997</v>
          </cell>
          <cell r="AT43">
            <v>-18.804920903791906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92.337735617841176</v>
          </cell>
        </row>
        <row r="49">
          <cell r="C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</row>
        <row r="50">
          <cell r="C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</row>
        <row r="54">
          <cell r="C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</row>
        <row r="57">
          <cell r="C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-9.9380500000000005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-0.20856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-1.5570000000000001E-2</v>
          </cell>
          <cell r="AP57">
            <v>-3.52338</v>
          </cell>
          <cell r="AQ57">
            <v>-0.93503000000000003</v>
          </cell>
          <cell r="AR57">
            <v>-19.52101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-34.141599999999997</v>
          </cell>
        </row>
        <row r="58">
          <cell r="C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-23.159970000000001</v>
          </cell>
          <cell r="T58">
            <v>-3.2400000000000003E-3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-1.7294900000000002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-0.22889999999999999</v>
          </cell>
          <cell r="AP58">
            <v>-6.1851799999999999</v>
          </cell>
          <cell r="AQ58">
            <v>-3.2747300000000004</v>
          </cell>
          <cell r="AR58">
            <v>-42.425139999999999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-77.006650000000008</v>
          </cell>
        </row>
        <row r="59">
          <cell r="C59">
            <v>210</v>
          </cell>
          <cell r="N59">
            <v>216.49023937500002</v>
          </cell>
          <cell r="O59">
            <v>-77.828507794017824</v>
          </cell>
          <cell r="P59">
            <v>0</v>
          </cell>
          <cell r="Q59">
            <v>0</v>
          </cell>
          <cell r="R59">
            <v>0</v>
          </cell>
          <cell r="S59">
            <v>-3.6580168934378197</v>
          </cell>
          <cell r="T59">
            <v>-0.36132205372246312</v>
          </cell>
          <cell r="U59">
            <v>0</v>
          </cell>
          <cell r="V59">
            <v>-55.663053158790987</v>
          </cell>
          <cell r="W59">
            <v>0</v>
          </cell>
          <cell r="X59">
            <v>0</v>
          </cell>
          <cell r="Y59">
            <v>-1.7715427662661458</v>
          </cell>
          <cell r="Z59">
            <v>3.3312176681663841</v>
          </cell>
          <cell r="AA59">
            <v>0</v>
          </cell>
          <cell r="AB59">
            <v>0</v>
          </cell>
          <cell r="AC59">
            <v>0.1469620391332426</v>
          </cell>
          <cell r="AD59">
            <v>0</v>
          </cell>
          <cell r="AE59">
            <v>0</v>
          </cell>
          <cell r="AF59">
            <v>-0.1469620391332426</v>
          </cell>
          <cell r="AG59">
            <v>0</v>
          </cell>
          <cell r="AH59">
            <v>0</v>
          </cell>
          <cell r="AI59">
            <v>1.7715427662661458</v>
          </cell>
          <cell r="AJ59">
            <v>0</v>
          </cell>
          <cell r="AK59">
            <v>0</v>
          </cell>
          <cell r="AL59">
            <v>-32.47353590625</v>
          </cell>
          <cell r="AM59">
            <v>0</v>
          </cell>
          <cell r="AN59">
            <v>0</v>
          </cell>
          <cell r="AO59">
            <v>-7.9464682436042489E-2</v>
          </cell>
          <cell r="AP59">
            <v>-0.575920341390045</v>
          </cell>
          <cell r="AQ59">
            <v>-1.9515075772533272</v>
          </cell>
          <cell r="AR59">
            <v>-5.2928066506528006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41.937321985215071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-2.3264400000000003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-0.77546999999999999</v>
          </cell>
          <cell r="AQ61">
            <v>0</v>
          </cell>
          <cell r="AR61">
            <v>-4.2651300000000001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-7.3670400000000003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-4.9656199999999995</v>
          </cell>
          <cell r="T62">
            <v>-8.0000000000000004E-4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-1.6552</v>
          </cell>
          <cell r="AQ62">
            <v>0</v>
          </cell>
          <cell r="AR62">
            <v>-9.1036300000000008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-15.725249999999999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81">
          <cell r="C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-0.15598999999999999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-1.056E-2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-33.169820000000001</v>
          </cell>
          <cell r="AP81">
            <v>-7.4340000000000003E-2</v>
          </cell>
          <cell r="AQ81">
            <v>-50.271529999999998</v>
          </cell>
          <cell r="AR81">
            <v>-1.5367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-85.218940000000003</v>
          </cell>
        </row>
        <row r="82">
          <cell r="C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-25.917619999999999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-1.18E-2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-0.19545000000000001</v>
          </cell>
          <cell r="AP82">
            <v>-8.6349099999999996</v>
          </cell>
          <cell r="AQ82">
            <v>-0.76266999999999996</v>
          </cell>
          <cell r="AR82">
            <v>-48.635099999999994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-84.157549999999986</v>
          </cell>
        </row>
        <row r="83">
          <cell r="C83">
            <v>134.63</v>
          </cell>
          <cell r="N83">
            <v>319.734375</v>
          </cell>
          <cell r="O83">
            <v>-35.439519040832415</v>
          </cell>
          <cell r="P83">
            <v>0</v>
          </cell>
          <cell r="Q83">
            <v>-5.7406492162175346E-2</v>
          </cell>
          <cell r="R83">
            <v>0</v>
          </cell>
          <cell r="S83">
            <v>-0.295975145607898</v>
          </cell>
          <cell r="T83">
            <v>-1.579571958942191</v>
          </cell>
          <cell r="U83">
            <v>0</v>
          </cell>
          <cell r="V83">
            <v>-200.82394123138369</v>
          </cell>
          <cell r="W83">
            <v>0</v>
          </cell>
          <cell r="X83">
            <v>-1.8561432465770031</v>
          </cell>
          <cell r="Y83">
            <v>-5.3536529976619427</v>
          </cell>
          <cell r="Z83">
            <v>1.3432378182187677E-8</v>
          </cell>
          <cell r="AA83">
            <v>0</v>
          </cell>
          <cell r="AB83">
            <v>0</v>
          </cell>
          <cell r="AC83">
            <v>1.0119820349768911</v>
          </cell>
          <cell r="AD83">
            <v>0</v>
          </cell>
          <cell r="AE83">
            <v>0</v>
          </cell>
          <cell r="AF83">
            <v>-1.0119820349768911</v>
          </cell>
          <cell r="AG83">
            <v>0</v>
          </cell>
          <cell r="AH83">
            <v>0</v>
          </cell>
          <cell r="AI83">
            <v>5.3536529976619427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-57.173496195401746</v>
          </cell>
          <cell r="AP83">
            <v>-0.117466573533655</v>
          </cell>
          <cell r="AQ83">
            <v>-86.175529467071499</v>
          </cell>
          <cell r="AR83">
            <v>-1.914348679672615</v>
          </cell>
          <cell r="AT83">
            <v>-9.8722000786979329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-75.571223096450396</v>
          </cell>
        </row>
        <row r="94">
          <cell r="C94">
            <v>42.017579999999995</v>
          </cell>
        </row>
      </sheetData>
      <sheetData sheetId="6" refreshError="1">
        <row r="21">
          <cell r="C21">
            <v>194.33375000000001</v>
          </cell>
          <cell r="N21">
            <v>69.095929999999996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-22.763000000000002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137.30500000000001</v>
          </cell>
          <cell r="AI21">
            <v>50.365939999999995</v>
          </cell>
          <cell r="AJ21">
            <v>-35.119419999999984</v>
          </cell>
          <cell r="AK21">
            <v>-0.84894999999999998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297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495.03550000000001</v>
          </cell>
        </row>
        <row r="22">
          <cell r="C22">
            <v>122.00984</v>
          </cell>
          <cell r="N22">
            <v>14.821349999999995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-0.28699999999999998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-119.25853000000001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253.66058000000001</v>
          </cell>
          <cell r="AI22">
            <v>-27.522169999999996</v>
          </cell>
          <cell r="AJ22">
            <v>35.062570000000001</v>
          </cell>
          <cell r="AK22">
            <v>0.68706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308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465.16386</v>
          </cell>
        </row>
        <row r="23">
          <cell r="C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</row>
        <row r="25">
          <cell r="C25">
            <v>32.97486</v>
          </cell>
          <cell r="N25">
            <v>7.8764700000000003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129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136.87647000000001</v>
          </cell>
        </row>
        <row r="26">
          <cell r="C26">
            <v>30.641960000000001</v>
          </cell>
          <cell r="N26">
            <v>3.9638100000000009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115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118.96381</v>
          </cell>
        </row>
        <row r="27">
          <cell r="C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</row>
        <row r="29">
          <cell r="EA29">
            <v>59.704430000000016</v>
          </cell>
          <cell r="EL29">
            <v>17.683890000000005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-22.763000000000002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137.30500000000001</v>
          </cell>
          <cell r="FG29">
            <v>50.365939999999995</v>
          </cell>
          <cell r="FH29">
            <v>0.94721000000001254</v>
          </cell>
          <cell r="FI29">
            <v>-0.84894999999999998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R29">
            <v>79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261.69009000000005</v>
          </cell>
        </row>
        <row r="30">
          <cell r="EA30">
            <v>55.331399999999988</v>
          </cell>
          <cell r="EL30">
            <v>14.312839999999996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-119.25853000000001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253.66058000000001</v>
          </cell>
          <cell r="FG30">
            <v>-27.522169999999996</v>
          </cell>
          <cell r="FH30">
            <v>4.0350000000003661E-2</v>
          </cell>
          <cell r="FI30">
            <v>0.68706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R30">
            <v>160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281.92012999999997</v>
          </cell>
        </row>
        <row r="31">
          <cell r="EA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</row>
        <row r="33">
          <cell r="C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2.3400000000000001E-2</v>
          </cell>
          <cell r="AN33">
            <v>-2.3400000000000001E-2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</row>
        <row r="34">
          <cell r="C34">
            <v>-1.02</v>
          </cell>
          <cell r="N34">
            <v>-1.0088900000000001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2.0000000000000002E-5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3.0099999999999997E-3</v>
          </cell>
          <cell r="AJ34">
            <v>-7.9000000000000001E-4</v>
          </cell>
          <cell r="AK34">
            <v>0</v>
          </cell>
          <cell r="AL34">
            <v>0.20998999999999998</v>
          </cell>
          <cell r="AM34">
            <v>0</v>
          </cell>
          <cell r="AN34">
            <v>-2.33E-3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0.78122000000000003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-2.5000000000000001E-3</v>
          </cell>
          <cell r="BH34">
            <v>7.7000000000000007E-4</v>
          </cell>
          <cell r="BI34">
            <v>0</v>
          </cell>
          <cell r="BJ34">
            <v>0</v>
          </cell>
          <cell r="BK34">
            <v>-1.9499999999999962E-2</v>
          </cell>
        </row>
        <row r="37">
          <cell r="C37">
            <v>1.0691300000000001</v>
          </cell>
          <cell r="N37">
            <v>18.22823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-9.9990000000000006</v>
          </cell>
          <cell r="W37">
            <v>0</v>
          </cell>
          <cell r="X37">
            <v>0</v>
          </cell>
          <cell r="Y37">
            <v>-0.10357</v>
          </cell>
          <cell r="Z37">
            <v>0.30714999999999998</v>
          </cell>
          <cell r="AA37">
            <v>3.0600000000000002E-3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-1.6283099999999999</v>
          </cell>
          <cell r="AG37">
            <v>0</v>
          </cell>
          <cell r="AH37">
            <v>193.577</v>
          </cell>
          <cell r="AI37">
            <v>2.3641000000000001</v>
          </cell>
          <cell r="AJ37">
            <v>0.17942999999999998</v>
          </cell>
          <cell r="AK37">
            <v>-2.2299999999999998E-3</v>
          </cell>
          <cell r="AL37">
            <v>0</v>
          </cell>
          <cell r="AM37">
            <v>0</v>
          </cell>
          <cell r="AN37">
            <v>-2.60554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-13.26343</v>
          </cell>
          <cell r="AU37">
            <v>0</v>
          </cell>
          <cell r="AV37">
            <v>0</v>
          </cell>
          <cell r="AW37">
            <v>0</v>
          </cell>
          <cell r="AX37">
            <v>8.9990000000000006</v>
          </cell>
          <cell r="AY37">
            <v>0</v>
          </cell>
          <cell r="AZ37">
            <v>0</v>
          </cell>
          <cell r="BA37">
            <v>9.2620000000000008E-2</v>
          </cell>
          <cell r="BB37">
            <v>-0.27643000000000001</v>
          </cell>
          <cell r="BC37">
            <v>-2.7400000000000002E-3</v>
          </cell>
          <cell r="BD37">
            <v>0</v>
          </cell>
          <cell r="BE37">
            <v>1.6283099999999999</v>
          </cell>
          <cell r="BF37">
            <v>-176.43899999999999</v>
          </cell>
          <cell r="BG37">
            <v>0.40995999999999994</v>
          </cell>
          <cell r="BH37">
            <v>-0.17701000000000003</v>
          </cell>
          <cell r="BI37">
            <v>-8.1199999999999987E-3</v>
          </cell>
          <cell r="BJ37">
            <v>0</v>
          </cell>
          <cell r="BK37">
            <v>21.283480000000065</v>
          </cell>
        </row>
        <row r="38">
          <cell r="C38">
            <v>-1.5629999999999999</v>
          </cell>
          <cell r="N38">
            <v>17.283600000000003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-7.3000000000000001E-3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-15.616</v>
          </cell>
          <cell r="AG38">
            <v>0</v>
          </cell>
          <cell r="AH38">
            <v>-392.69300000000004</v>
          </cell>
          <cell r="AI38">
            <v>-1.27938</v>
          </cell>
          <cell r="AJ38">
            <v>-0.24444000000000002</v>
          </cell>
          <cell r="AK38">
            <v>3.9999999999999922E-5</v>
          </cell>
          <cell r="AL38">
            <v>0</v>
          </cell>
          <cell r="AM38">
            <v>0</v>
          </cell>
          <cell r="AN38">
            <v>-2.60555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-13.263409999999999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15.616</v>
          </cell>
          <cell r="BF38">
            <v>356.23500000000001</v>
          </cell>
          <cell r="BG38">
            <v>1.1915500000000001</v>
          </cell>
          <cell r="BH38">
            <v>0.23252</v>
          </cell>
          <cell r="BI38">
            <v>1.2800000000000001E-3</v>
          </cell>
          <cell r="BJ38">
            <v>0</v>
          </cell>
          <cell r="BK38">
            <v>-35.149089999999966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1">
          <cell r="C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-12.832360000000001</v>
          </cell>
          <cell r="AD41">
            <v>0</v>
          </cell>
          <cell r="AE41">
            <v>0</v>
          </cell>
          <cell r="AF41">
            <v>-1.112E-2</v>
          </cell>
          <cell r="AG41">
            <v>0</v>
          </cell>
          <cell r="AH41">
            <v>3.9950000000000001</v>
          </cell>
          <cell r="AI41">
            <v>1.9096499999999996</v>
          </cell>
          <cell r="AJ41">
            <v>-3.0120000000000004E-2</v>
          </cell>
          <cell r="AK41">
            <v>-3.6199999999999996E-2</v>
          </cell>
          <cell r="AL41">
            <v>0</v>
          </cell>
          <cell r="AM41">
            <v>6.1200000000000004E-3</v>
          </cell>
          <cell r="AN41">
            <v>-6.1200000000000004E-3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9.7300000000000008E-3</v>
          </cell>
          <cell r="BF41">
            <v>1E-3</v>
          </cell>
          <cell r="BG41">
            <v>-3.1021499999999995</v>
          </cell>
          <cell r="BH41">
            <v>-1.7500000000000016E-3</v>
          </cell>
          <cell r="BI41">
            <v>4.2540000000000008E-2</v>
          </cell>
          <cell r="BJ41">
            <v>0</v>
          </cell>
          <cell r="BK41">
            <v>-10.05578</v>
          </cell>
        </row>
        <row r="42">
          <cell r="C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-19.424010000000003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-18182.498330000002</v>
          </cell>
          <cell r="AD42">
            <v>0</v>
          </cell>
          <cell r="AE42">
            <v>0</v>
          </cell>
          <cell r="AF42">
            <v>-48.431640000000002</v>
          </cell>
          <cell r="AG42">
            <v>0</v>
          </cell>
          <cell r="AH42">
            <v>17987.114170000001</v>
          </cell>
          <cell r="AI42">
            <v>564.68817999999999</v>
          </cell>
          <cell r="AJ42">
            <v>-276.54975000000002</v>
          </cell>
          <cell r="AK42">
            <v>-5.8288799999999998</v>
          </cell>
          <cell r="AL42">
            <v>8.0000000000000142E-5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18185.330199999997</v>
          </cell>
          <cell r="BF42">
            <v>-17939.885050000001</v>
          </cell>
          <cell r="BG42">
            <v>-536.79633000000001</v>
          </cell>
          <cell r="BH42">
            <v>275.87183999999996</v>
          </cell>
          <cell r="BI42">
            <v>5.3789700000000007</v>
          </cell>
          <cell r="BJ42">
            <v>0</v>
          </cell>
          <cell r="BK42">
            <v>8.9694499999970976</v>
          </cell>
        </row>
        <row r="43">
          <cell r="C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</row>
        <row r="49">
          <cell r="C49">
            <v>0</v>
          </cell>
          <cell r="N49">
            <v>1.8760000000000002E-2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5.62E-2</v>
          </cell>
          <cell r="AJ49">
            <v>2.0000000000000004E-4</v>
          </cell>
          <cell r="AK49">
            <v>0</v>
          </cell>
          <cell r="AL49">
            <v>0</v>
          </cell>
          <cell r="AM49">
            <v>0</v>
          </cell>
          <cell r="AN49">
            <v>-9.3999999999999997E-4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-1.5040000000000001E-2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5.9179999999999996E-2</v>
          </cell>
        </row>
        <row r="50">
          <cell r="C50">
            <v>6.7525500000000003</v>
          </cell>
          <cell r="N50">
            <v>1.6842400000000002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-0.73199999999999998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1.3220000000000001</v>
          </cell>
          <cell r="AI50">
            <v>1.9360000000000002E-2</v>
          </cell>
          <cell r="AJ50">
            <v>-5.9000000000000003E-4</v>
          </cell>
          <cell r="AK50">
            <v>-1.0000000000000001E-5</v>
          </cell>
          <cell r="AL50">
            <v>-0.33817000000000003</v>
          </cell>
          <cell r="AM50">
            <v>0.25414999999999999</v>
          </cell>
          <cell r="AN50">
            <v>-7.3999999999999999E-4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2.20824</v>
          </cell>
        </row>
        <row r="51">
          <cell r="C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</row>
        <row r="53">
          <cell r="C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</row>
        <row r="54">
          <cell r="C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2.0999999999999998E-4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2.0999999999999998E-4</v>
          </cell>
        </row>
        <row r="55">
          <cell r="C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</row>
        <row r="57">
          <cell r="C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</row>
        <row r="58">
          <cell r="C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</row>
        <row r="59">
          <cell r="C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</row>
        <row r="61">
          <cell r="C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8.1000000000000003E-2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1.08E-3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14.245850000000026</v>
          </cell>
          <cell r="AR61">
            <v>-14.930250000000001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-0.60231999999997576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1.0000000000000001E-5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3.7200000000000002E-3</v>
          </cell>
          <cell r="AJ62">
            <v>-1.0000000000000001E-5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-67.719820000000055</v>
          </cell>
          <cell r="AR62">
            <v>53.175139999999992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-14.540960000000062</v>
          </cell>
        </row>
        <row r="63">
          <cell r="C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</row>
        <row r="94">
          <cell r="C94">
            <v>1.0691300000000001</v>
          </cell>
        </row>
        <row r="98">
          <cell r="C9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1">
          <cell r="C21">
            <v>101852.46305000002</v>
          </cell>
          <cell r="N21">
            <v>81039.047040000019</v>
          </cell>
          <cell r="O21">
            <v>5211.2876700000006</v>
          </cell>
          <cell r="P21">
            <v>0</v>
          </cell>
          <cell r="Q21">
            <v>-15.778</v>
          </cell>
          <cell r="R21">
            <v>106.57903000000002</v>
          </cell>
          <cell r="S21">
            <v>-3089.7096900000001</v>
          </cell>
          <cell r="T21">
            <v>-750.40758000000005</v>
          </cell>
          <cell r="U21">
            <v>-2307.8780200000001</v>
          </cell>
          <cell r="V21">
            <v>-55528.954717881039</v>
          </cell>
          <cell r="W21">
            <v>0</v>
          </cell>
          <cell r="X21">
            <v>-11760.66261211896</v>
          </cell>
          <cell r="Y21">
            <v>-810.83192000000008</v>
          </cell>
          <cell r="Z21">
            <v>5839.0772500000003</v>
          </cell>
          <cell r="AA21">
            <v>92.722250000000003</v>
          </cell>
          <cell r="AB21">
            <v>-1490</v>
          </cell>
          <cell r="AC21">
            <v>-63937.039190000003</v>
          </cell>
          <cell r="AD21">
            <v>1863.6040099999996</v>
          </cell>
          <cell r="AE21">
            <v>-1903.9401599999999</v>
          </cell>
          <cell r="AF21">
            <v>-2233.8998700000002</v>
          </cell>
          <cell r="AG21">
            <v>0</v>
          </cell>
          <cell r="AH21">
            <v>48894.035380000016</v>
          </cell>
          <cell r="AI21">
            <v>7821.6785099999997</v>
          </cell>
          <cell r="AJ21">
            <v>12233.92987</v>
          </cell>
          <cell r="AK21">
            <v>-408.26400000000001</v>
          </cell>
          <cell r="AL21">
            <v>-12743.286330000001</v>
          </cell>
          <cell r="AM21">
            <v>10447.516759999999</v>
          </cell>
          <cell r="AN21">
            <v>-8384.5789100000002</v>
          </cell>
          <cell r="AO21">
            <v>-2124.9268000000002</v>
          </cell>
          <cell r="AP21">
            <v>-354.53798</v>
          </cell>
          <cell r="AQ21">
            <v>-3471.0678400000002</v>
          </cell>
          <cell r="AR21">
            <v>-1845.8816999999999</v>
          </cell>
          <cell r="AT21">
            <v>-1794.3241399999999</v>
          </cell>
          <cell r="AU21">
            <v>-150.09875999999997</v>
          </cell>
          <cell r="AV21">
            <v>0</v>
          </cell>
          <cell r="AW21">
            <v>0</v>
          </cell>
          <cell r="AX21">
            <v>636.3609687438036</v>
          </cell>
          <cell r="AY21">
            <v>0</v>
          </cell>
          <cell r="AZ21">
            <v>230.1278212561964</v>
          </cell>
          <cell r="BA21">
            <v>10.34872</v>
          </cell>
          <cell r="BB21">
            <v>-76.848190000000002</v>
          </cell>
          <cell r="BC21">
            <v>-1.2184300000000001</v>
          </cell>
          <cell r="BD21">
            <v>0</v>
          </cell>
          <cell r="BE21">
            <v>2963.9009300000002</v>
          </cell>
          <cell r="BF21">
            <v>-2417.9873599999996</v>
          </cell>
          <cell r="BG21">
            <v>-546.9117500000001</v>
          </cell>
          <cell r="BH21">
            <v>-2636.65933</v>
          </cell>
          <cell r="BI21">
            <v>25.464070000000007</v>
          </cell>
          <cell r="BJ21">
            <v>4.8714809963712468E-14</v>
          </cell>
          <cell r="BK21">
            <v>-3370.0129999999704</v>
          </cell>
          <cell r="EA21">
            <v>22801.633620000022</v>
          </cell>
          <cell r="EL21">
            <v>28380.427890000006</v>
          </cell>
          <cell r="EM21">
            <v>-394.1070299999983</v>
          </cell>
          <cell r="EN21">
            <v>0</v>
          </cell>
          <cell r="EO21">
            <v>-6.5050000000000008</v>
          </cell>
          <cell r="EP21">
            <v>77.742040000000017</v>
          </cell>
          <cell r="EQ21">
            <v>-949.51089000000002</v>
          </cell>
          <cell r="ER21">
            <v>-484.63998000000004</v>
          </cell>
          <cell r="ES21">
            <v>-769.29295000000002</v>
          </cell>
          <cell r="ET21">
            <v>-16835.965874055975</v>
          </cell>
          <cell r="EU21">
            <v>0</v>
          </cell>
          <cell r="EV21">
            <v>-4705.5061559440192</v>
          </cell>
          <cell r="EW21">
            <v>-810.83192000000008</v>
          </cell>
          <cell r="EX21">
            <v>2038.6306700000005</v>
          </cell>
          <cell r="EY21">
            <v>92.722250000000003</v>
          </cell>
          <cell r="EZ21">
            <v>-1490</v>
          </cell>
          <cell r="FA21">
            <v>-19426.858689999994</v>
          </cell>
          <cell r="FB21">
            <v>668.43672999999967</v>
          </cell>
          <cell r="FC21">
            <v>-405.68011999999976</v>
          </cell>
          <cell r="FD21">
            <v>-591.22164000000021</v>
          </cell>
          <cell r="FE21">
            <v>0</v>
          </cell>
          <cell r="FF21">
            <v>3185.8956700000053</v>
          </cell>
          <cell r="FG21">
            <v>7821.6785099999997</v>
          </cell>
          <cell r="FH21">
            <v>14484.659629999998</v>
          </cell>
          <cell r="FI21">
            <v>-408.26400000000001</v>
          </cell>
          <cell r="FJ21">
            <v>-3252.2393599999996</v>
          </cell>
          <cell r="FK21">
            <v>2901.8639299999995</v>
          </cell>
          <cell r="FL21">
            <v>-3437.4879700000001</v>
          </cell>
          <cell r="FM21">
            <v>-635.32806000000005</v>
          </cell>
          <cell r="FN21">
            <v>-167.80328000000003</v>
          </cell>
          <cell r="FO21">
            <v>-1129.3302500000004</v>
          </cell>
          <cell r="FP21">
            <v>-707.57163999999989</v>
          </cell>
          <cell r="FR21">
            <v>-942.58897000000024</v>
          </cell>
          <cell r="FS21">
            <v>-28.205669999999984</v>
          </cell>
          <cell r="FT21">
            <v>0</v>
          </cell>
          <cell r="FU21">
            <v>0</v>
          </cell>
          <cell r="FV21">
            <v>412.5968350402635</v>
          </cell>
          <cell r="FW21">
            <v>0</v>
          </cell>
          <cell r="FX21">
            <v>141.81895495973654</v>
          </cell>
          <cell r="FY21">
            <v>10.34872</v>
          </cell>
          <cell r="FZ21">
            <v>-48.815950000000001</v>
          </cell>
          <cell r="GA21">
            <v>-1.2184300000000001</v>
          </cell>
          <cell r="GB21">
            <v>0</v>
          </cell>
          <cell r="GC21">
            <v>1109.97615</v>
          </cell>
          <cell r="GD21">
            <v>-1113.037109999995</v>
          </cell>
          <cell r="GE21">
            <v>-546.9117500000001</v>
          </cell>
          <cell r="GF21">
            <v>-2423.1071000000002</v>
          </cell>
          <cell r="GG21">
            <v>25.464070000000007</v>
          </cell>
          <cell r="GH21">
            <v>4.8714809963712468E-14</v>
          </cell>
          <cell r="GI21">
            <v>-359.76773999997067</v>
          </cell>
        </row>
        <row r="22">
          <cell r="C22">
            <v>96395.390019999992</v>
          </cell>
          <cell r="N22">
            <v>74587.587539999979</v>
          </cell>
          <cell r="O22">
            <v>3618.8983599999992</v>
          </cell>
          <cell r="P22">
            <v>0</v>
          </cell>
          <cell r="Q22">
            <v>-371.14800000000002</v>
          </cell>
          <cell r="R22">
            <v>147.94083999999998</v>
          </cell>
          <cell r="S22">
            <v>-3712.2104999999997</v>
          </cell>
          <cell r="T22">
            <v>-274.30576000000008</v>
          </cell>
          <cell r="U22">
            <v>-1915.0685000000001</v>
          </cell>
          <cell r="V22">
            <v>-46136.340703637834</v>
          </cell>
          <cell r="W22">
            <v>0</v>
          </cell>
          <cell r="X22">
            <v>-10688.88340636216</v>
          </cell>
          <cell r="Y22">
            <v>-932.24615999999992</v>
          </cell>
          <cell r="Z22">
            <v>4401.2449399999996</v>
          </cell>
          <cell r="AA22">
            <v>107.05873</v>
          </cell>
          <cell r="AB22">
            <v>-300</v>
          </cell>
          <cell r="AC22">
            <v>-65077.427549999986</v>
          </cell>
          <cell r="AD22">
            <v>1834.1539100000005</v>
          </cell>
          <cell r="AE22">
            <v>-2336.3560400000001</v>
          </cell>
          <cell r="AF22">
            <v>-2407.67922</v>
          </cell>
          <cell r="AG22">
            <v>0</v>
          </cell>
          <cell r="AH22">
            <v>65208.920249999996</v>
          </cell>
          <cell r="AI22">
            <v>723.48876000000018</v>
          </cell>
          <cell r="AJ22">
            <v>2193.1666</v>
          </cell>
          <cell r="AK22">
            <v>113.71763</v>
          </cell>
          <cell r="AL22">
            <v>-12098.595860000003</v>
          </cell>
          <cell r="AM22">
            <v>10359.813409999999</v>
          </cell>
          <cell r="AN22">
            <v>-8220.0498700000007</v>
          </cell>
          <cell r="AO22">
            <v>-1679.67391</v>
          </cell>
          <cell r="AP22">
            <v>-329.86222999999995</v>
          </cell>
          <cell r="AQ22">
            <v>-3396.09512</v>
          </cell>
          <cell r="AR22">
            <v>-1907.1647699999999</v>
          </cell>
          <cell r="AT22">
            <v>-4961.3434300000026</v>
          </cell>
          <cell r="AU22">
            <v>-6.3577000000000012</v>
          </cell>
          <cell r="AV22">
            <v>0</v>
          </cell>
          <cell r="AW22">
            <v>0</v>
          </cell>
          <cell r="AX22">
            <v>3375.4646898204533</v>
          </cell>
          <cell r="AY22">
            <v>0</v>
          </cell>
          <cell r="AZ22">
            <v>112.17310017954664</v>
          </cell>
          <cell r="BA22">
            <v>52.111210000000007</v>
          </cell>
          <cell r="BB22">
            <v>-269.27563999999995</v>
          </cell>
          <cell r="BC22">
            <v>-6.04122</v>
          </cell>
          <cell r="BD22">
            <v>0</v>
          </cell>
          <cell r="BE22">
            <v>3681.8604200000009</v>
          </cell>
          <cell r="BF22">
            <v>-2421.9342799999822</v>
          </cell>
          <cell r="BG22">
            <v>179.12374</v>
          </cell>
          <cell r="BH22">
            <v>-418.07105999999999</v>
          </cell>
          <cell r="BI22">
            <v>-34.259119999999996</v>
          </cell>
          <cell r="BJ22">
            <v>-8.0145667880060492E-14</v>
          </cell>
          <cell r="BK22">
            <v>796.334080000021</v>
          </cell>
          <cell r="EA22">
            <v>21440.386469999998</v>
          </cell>
          <cell r="EL22">
            <v>26452.295069999986</v>
          </cell>
          <cell r="EM22">
            <v>-219.36693000000105</v>
          </cell>
          <cell r="EN22">
            <v>0</v>
          </cell>
          <cell r="EO22">
            <v>-337.77600000000001</v>
          </cell>
          <cell r="EP22">
            <v>248.49093999999997</v>
          </cell>
          <cell r="EQ22">
            <v>-1224.0250199999996</v>
          </cell>
          <cell r="ER22">
            <v>-98.007480000000015</v>
          </cell>
          <cell r="ES22">
            <v>-638.35617000000002</v>
          </cell>
          <cell r="ET22">
            <v>-15133.088820274636</v>
          </cell>
          <cell r="EU22">
            <v>0</v>
          </cell>
          <cell r="EV22">
            <v>-3172.8268897253556</v>
          </cell>
          <cell r="EW22">
            <v>-932.24615999999992</v>
          </cell>
          <cell r="EX22">
            <v>1423.1322700000001</v>
          </cell>
          <cell r="EY22">
            <v>107.05873</v>
          </cell>
          <cell r="EZ22">
            <v>-300</v>
          </cell>
          <cell r="FA22">
            <v>-17769.859399999994</v>
          </cell>
          <cell r="FB22">
            <v>511.93384000000015</v>
          </cell>
          <cell r="FC22">
            <v>-790.01193000000012</v>
          </cell>
          <cell r="FD22">
            <v>-741.31529</v>
          </cell>
          <cell r="FE22">
            <v>0</v>
          </cell>
          <cell r="FF22">
            <v>19514.969039999996</v>
          </cell>
          <cell r="FG22">
            <v>723.48876000000018</v>
          </cell>
          <cell r="FH22">
            <v>655.91453999999976</v>
          </cell>
          <cell r="FI22">
            <v>113.71763</v>
          </cell>
          <cell r="FJ22">
            <v>-2983.4044200000008</v>
          </cell>
          <cell r="FK22">
            <v>2811.3506899999993</v>
          </cell>
          <cell r="FL22">
            <v>-3315.0503400000007</v>
          </cell>
          <cell r="FM22">
            <v>-565.07745</v>
          </cell>
          <cell r="FN22">
            <v>-121.85347999999993</v>
          </cell>
          <cell r="FO22">
            <v>-1086.0273299999999</v>
          </cell>
          <cell r="FP22">
            <v>-640.57570999999962</v>
          </cell>
          <cell r="FR22">
            <v>-1965.2284400000017</v>
          </cell>
          <cell r="FS22">
            <v>33.082569999999997</v>
          </cell>
          <cell r="FT22">
            <v>0</v>
          </cell>
          <cell r="FU22">
            <v>0</v>
          </cell>
          <cell r="FV22">
            <v>1120.2929898204529</v>
          </cell>
          <cell r="FW22">
            <v>0</v>
          </cell>
          <cell r="FX22">
            <v>112.17310017954664</v>
          </cell>
          <cell r="FY22">
            <v>52.111210000000007</v>
          </cell>
          <cell r="FZ22">
            <v>-95.169829999999934</v>
          </cell>
          <cell r="GA22">
            <v>-6.04122</v>
          </cell>
          <cell r="GB22">
            <v>0</v>
          </cell>
          <cell r="GC22">
            <v>663.35541000000148</v>
          </cell>
          <cell r="GD22">
            <v>-298.89803999998639</v>
          </cell>
          <cell r="GE22">
            <v>179.12374</v>
          </cell>
          <cell r="GF22">
            <v>-143.36008000000004</v>
          </cell>
          <cell r="GG22">
            <v>-34.259119999999996</v>
          </cell>
          <cell r="GH22">
            <v>-8.003553375601768E-14</v>
          </cell>
          <cell r="GI22">
            <v>2110.6649800000046</v>
          </cell>
        </row>
        <row r="23">
          <cell r="C23">
            <v>96048.208255777383</v>
          </cell>
          <cell r="N23">
            <v>75901.373670891961</v>
          </cell>
          <cell r="O23">
            <v>-13794.078081654763</v>
          </cell>
          <cell r="P23">
            <v>0</v>
          </cell>
          <cell r="Q23">
            <v>-3420.0400704312324</v>
          </cell>
          <cell r="R23">
            <v>0</v>
          </cell>
          <cell r="S23">
            <v>-5820.6585719138393</v>
          </cell>
          <cell r="T23">
            <v>-392.75439204110501</v>
          </cell>
          <cell r="U23">
            <v>0</v>
          </cell>
          <cell r="V23">
            <v>-28728.13770732002</v>
          </cell>
          <cell r="W23">
            <v>0</v>
          </cell>
          <cell r="X23">
            <v>-7332.9472464777509</v>
          </cell>
          <cell r="Y23">
            <v>-890.28732478892061</v>
          </cell>
          <cell r="Z23">
            <v>3480.2711076992705</v>
          </cell>
          <cell r="AA23">
            <v>0</v>
          </cell>
          <cell r="AB23">
            <v>0</v>
          </cell>
          <cell r="AC23">
            <v>-42731.62288428098</v>
          </cell>
          <cell r="AD23">
            <v>0</v>
          </cell>
          <cell r="AE23">
            <v>0</v>
          </cell>
          <cell r="AF23">
            <v>-1940.1348814904889</v>
          </cell>
          <cell r="AG23">
            <v>0</v>
          </cell>
          <cell r="AH23">
            <v>45287.757765771465</v>
          </cell>
          <cell r="AI23">
            <v>890.28732478892061</v>
          </cell>
          <cell r="AJ23">
            <v>0</v>
          </cell>
          <cell r="AK23">
            <v>0</v>
          </cell>
          <cell r="AL23">
            <v>-10159.065555682871</v>
          </cell>
          <cell r="AM23">
            <v>0</v>
          </cell>
          <cell r="AN23">
            <v>0</v>
          </cell>
          <cell r="AO23">
            <v>-2189.3198371820399</v>
          </cell>
          <cell r="AP23">
            <v>-363.72272006255156</v>
          </cell>
          <cell r="AQ23">
            <v>-3728.4539542183315</v>
          </cell>
          <cell r="AR23">
            <v>-2504.8595066408884</v>
          </cell>
          <cell r="AT23">
            <v>-5531.2122315965998</v>
          </cell>
          <cell r="AU23">
            <v>1094.0390584153949</v>
          </cell>
          <cell r="AV23">
            <v>0</v>
          </cell>
          <cell r="AW23">
            <v>95.653265473635798</v>
          </cell>
          <cell r="AX23">
            <v>1761.0402264963463</v>
          </cell>
          <cell r="AY23">
            <v>0</v>
          </cell>
          <cell r="AZ23">
            <v>182.83108896971257</v>
          </cell>
          <cell r="BA23">
            <v>48.246727829834697</v>
          </cell>
          <cell r="BB23">
            <v>-197.13073180349991</v>
          </cell>
          <cell r="BC23">
            <v>0</v>
          </cell>
          <cell r="BD23">
            <v>0</v>
          </cell>
          <cell r="BE23">
            <v>1587.3501070895945</v>
          </cell>
          <cell r="BF23">
            <v>-2294.6163095895945</v>
          </cell>
          <cell r="BG23">
            <v>-48.246727829834697</v>
          </cell>
          <cell r="BH23">
            <v>0</v>
          </cell>
          <cell r="BI23">
            <v>0</v>
          </cell>
          <cell r="BJ23">
            <v>0</v>
          </cell>
          <cell r="BK23">
            <v>-1738.4383915791796</v>
          </cell>
          <cell r="EA23">
            <v>22311.565357631334</v>
          </cell>
          <cell r="EL23">
            <v>25300.457890297315</v>
          </cell>
          <cell r="EM23">
            <v>-4598.026027218255</v>
          </cell>
          <cell r="EN23">
            <v>0</v>
          </cell>
          <cell r="EO23">
            <v>-1140.0133568104111</v>
          </cell>
          <cell r="EP23">
            <v>0</v>
          </cell>
          <cell r="EQ23">
            <v>-1940.2195239712796</v>
          </cell>
          <cell r="ER23">
            <v>-130.91813068036839</v>
          </cell>
          <cell r="ES23">
            <v>0</v>
          </cell>
          <cell r="ET23">
            <v>-9576.0459024400043</v>
          </cell>
          <cell r="EU23">
            <v>0</v>
          </cell>
          <cell r="EV23">
            <v>-2444.3157488259176</v>
          </cell>
          <cell r="EW23">
            <v>-296.76244159630687</v>
          </cell>
          <cell r="EX23">
            <v>1160.0903692330903</v>
          </cell>
          <cell r="EY23">
            <v>0</v>
          </cell>
          <cell r="EZ23">
            <v>0</v>
          </cell>
          <cell r="FA23">
            <v>-14243.874294760331</v>
          </cell>
          <cell r="FB23">
            <v>0</v>
          </cell>
          <cell r="FC23">
            <v>0</v>
          </cell>
          <cell r="FD23">
            <v>-646.71162716349636</v>
          </cell>
          <cell r="FE23">
            <v>0</v>
          </cell>
          <cell r="FF23">
            <v>15095.919255257155</v>
          </cell>
          <cell r="FG23">
            <v>296.76244159630687</v>
          </cell>
          <cell r="FH23">
            <v>0</v>
          </cell>
          <cell r="FI23">
            <v>0</v>
          </cell>
          <cell r="FJ23">
            <v>-3386.3551852276232</v>
          </cell>
          <cell r="FK23">
            <v>0</v>
          </cell>
          <cell r="FL23">
            <v>0</v>
          </cell>
          <cell r="FM23">
            <v>-729.7732790606799</v>
          </cell>
          <cell r="FN23">
            <v>-121.2409066875172</v>
          </cell>
          <cell r="FO23">
            <v>-1242.8179847394435</v>
          </cell>
          <cell r="FP23">
            <v>-834.95316888029629</v>
          </cell>
          <cell r="FR23">
            <v>-1843.7374105322006</v>
          </cell>
          <cell r="FS23">
            <v>364.67968613846494</v>
          </cell>
          <cell r="FT23">
            <v>0</v>
          </cell>
          <cell r="FU23">
            <v>31.884421824545271</v>
          </cell>
          <cell r="FV23">
            <v>587.0134088321156</v>
          </cell>
          <cell r="FW23">
            <v>0</v>
          </cell>
          <cell r="FX23">
            <v>60.943696323237518</v>
          </cell>
          <cell r="FY23">
            <v>16.082242609944899</v>
          </cell>
          <cell r="FZ23">
            <v>-65.710243934499971</v>
          </cell>
          <cell r="GA23">
            <v>0</v>
          </cell>
          <cell r="GB23">
            <v>0</v>
          </cell>
          <cell r="GC23">
            <v>529.1167023631981</v>
          </cell>
          <cell r="GD23">
            <v>-764.8721031965315</v>
          </cell>
          <cell r="GE23">
            <v>-16.082242609944899</v>
          </cell>
          <cell r="GF23">
            <v>0</v>
          </cell>
          <cell r="GG23">
            <v>0</v>
          </cell>
          <cell r="GH23">
            <v>0</v>
          </cell>
          <cell r="GI23">
            <v>-579.47946385973501</v>
          </cell>
        </row>
        <row r="25">
          <cell r="C25">
            <v>78490.915099999984</v>
          </cell>
          <cell r="O25">
            <v>-14188.281260000002</v>
          </cell>
          <cell r="P25">
            <v>-9.9448799999999995</v>
          </cell>
          <cell r="Q25">
            <v>0</v>
          </cell>
          <cell r="R25">
            <v>1212.3431299999997</v>
          </cell>
          <cell r="S25">
            <v>-2147.2944299999999</v>
          </cell>
          <cell r="T25">
            <v>-262.92165</v>
          </cell>
          <cell r="U25">
            <v>0</v>
          </cell>
          <cell r="V25">
            <v>-19742.51499</v>
          </cell>
          <cell r="W25">
            <v>-16.535760000000003</v>
          </cell>
          <cell r="X25">
            <v>0</v>
          </cell>
          <cell r="Y25">
            <v>-60.054880000000004</v>
          </cell>
          <cell r="Z25">
            <v>287.34414000000004</v>
          </cell>
          <cell r="AA25">
            <v>0.85798000000000008</v>
          </cell>
          <cell r="AB25">
            <v>-60</v>
          </cell>
          <cell r="AC25">
            <v>-26719.985650000002</v>
          </cell>
          <cell r="AD25">
            <v>10564.815399999999</v>
          </cell>
          <cell r="AE25">
            <v>-696.61743000000001</v>
          </cell>
          <cell r="AF25">
            <v>-506.79698999999999</v>
          </cell>
          <cell r="AG25">
            <v>0</v>
          </cell>
          <cell r="AH25">
            <v>16467.339479999999</v>
          </cell>
          <cell r="AI25">
            <v>548.93782999999996</v>
          </cell>
          <cell r="AJ25">
            <v>182.65692000000001</v>
          </cell>
          <cell r="AK25">
            <v>-4.7380699999999996</v>
          </cell>
          <cell r="AL25">
            <v>-13385.207540000003</v>
          </cell>
          <cell r="AM25">
            <v>12444.222689999999</v>
          </cell>
          <cell r="AN25">
            <v>-9921.1656899999998</v>
          </cell>
          <cell r="AO25">
            <v>-2115.6909500000002</v>
          </cell>
          <cell r="AP25">
            <v>-291.80660999999998</v>
          </cell>
          <cell r="AQ25">
            <v>-3190.8585899999998</v>
          </cell>
          <cell r="AR25">
            <v>-1632.0293900000001</v>
          </cell>
          <cell r="AT25">
            <v>-1543.140069999999</v>
          </cell>
          <cell r="AU25">
            <v>64.904989999999984</v>
          </cell>
          <cell r="AV25">
            <v>0</v>
          </cell>
          <cell r="AW25">
            <v>0</v>
          </cell>
          <cell r="AX25">
            <v>387.14400000000001</v>
          </cell>
          <cell r="AY25">
            <v>0</v>
          </cell>
          <cell r="AZ25">
            <v>0</v>
          </cell>
          <cell r="BA25">
            <v>1.27044</v>
          </cell>
          <cell r="BB25">
            <v>-5.9336299999999991</v>
          </cell>
          <cell r="BC25">
            <v>-1.797E-2</v>
          </cell>
          <cell r="BD25">
            <v>0</v>
          </cell>
          <cell r="BE25">
            <v>259.85404</v>
          </cell>
          <cell r="BF25">
            <v>-808.05399999999997</v>
          </cell>
          <cell r="BG25">
            <v>-6.7381799999999981</v>
          </cell>
          <cell r="BH25">
            <v>-7.5840700000000005</v>
          </cell>
          <cell r="BI25">
            <v>1.5309999999999997E-2</v>
          </cell>
          <cell r="BJ25">
            <v>6.5483618527650828E-14</v>
          </cell>
          <cell r="BK25">
            <v>6475.3592599999847</v>
          </cell>
          <cell r="EA25">
            <v>17217.466239999987</v>
          </cell>
          <cell r="EL25">
            <v>21355.571250000001</v>
          </cell>
          <cell r="EM25">
            <v>-8692.259570000002</v>
          </cell>
          <cell r="EN25">
            <v>-9.9448799999999995</v>
          </cell>
          <cell r="EO25">
            <v>0</v>
          </cell>
          <cell r="EP25">
            <v>923.34964999999977</v>
          </cell>
          <cell r="EQ25">
            <v>-787.61903999999981</v>
          </cell>
          <cell r="ER25">
            <v>-160.48262</v>
          </cell>
          <cell r="ES25">
            <v>0</v>
          </cell>
          <cell r="ET25">
            <v>-3562.6833399999996</v>
          </cell>
          <cell r="EU25">
            <v>-16.535760000000003</v>
          </cell>
          <cell r="EV25">
            <v>0</v>
          </cell>
          <cell r="EW25">
            <v>-60.054880000000004</v>
          </cell>
          <cell r="EX25">
            <v>51.249480000000034</v>
          </cell>
          <cell r="EY25">
            <v>0.85798000000000008</v>
          </cell>
          <cell r="EZ25">
            <v>-60</v>
          </cell>
          <cell r="FA25">
            <v>-6096.168700000002</v>
          </cell>
          <cell r="FB25">
            <v>3390.1202199999998</v>
          </cell>
          <cell r="FC25">
            <v>-263.09168999999997</v>
          </cell>
          <cell r="FD25">
            <v>-110.42544999999996</v>
          </cell>
          <cell r="FE25">
            <v>0</v>
          </cell>
          <cell r="FF25">
            <v>3781.5252099999962</v>
          </cell>
          <cell r="FG25">
            <v>548.93782999999996</v>
          </cell>
          <cell r="FH25">
            <v>114.94618</v>
          </cell>
          <cell r="FI25">
            <v>-4.7380699999999996</v>
          </cell>
          <cell r="FJ25">
            <v>-3129.1867700000003</v>
          </cell>
          <cell r="FK25">
            <v>3503.3793399999995</v>
          </cell>
          <cell r="FL25">
            <v>-4100.4243399999987</v>
          </cell>
          <cell r="FM25">
            <v>-645.45341000000008</v>
          </cell>
          <cell r="FN25">
            <v>-142.56310999999997</v>
          </cell>
          <cell r="FO25">
            <v>-1058.9784099999997</v>
          </cell>
          <cell r="FP25">
            <v>-639.13138000000015</v>
          </cell>
          <cell r="FR25">
            <v>-538.7693599999991</v>
          </cell>
          <cell r="FS25">
            <v>22.444299999999984</v>
          </cell>
          <cell r="FT25">
            <v>0</v>
          </cell>
          <cell r="FU25">
            <v>0</v>
          </cell>
          <cell r="FV25">
            <v>181.38300000000001</v>
          </cell>
          <cell r="FW25">
            <v>0</v>
          </cell>
          <cell r="FX25">
            <v>0</v>
          </cell>
          <cell r="FY25">
            <v>1.27044</v>
          </cell>
          <cell r="FZ25">
            <v>-2.7799899999999993</v>
          </cell>
          <cell r="GA25">
            <v>-1.797E-2</v>
          </cell>
          <cell r="GB25">
            <v>0</v>
          </cell>
          <cell r="GC25">
            <v>99.123909999999967</v>
          </cell>
          <cell r="GD25">
            <v>-142.99400000000003</v>
          </cell>
          <cell r="GE25">
            <v>-6.7381799999999981</v>
          </cell>
          <cell r="GF25">
            <v>-4.0961500000000006</v>
          </cell>
          <cell r="GG25">
            <v>1.5309999999999997E-2</v>
          </cell>
          <cell r="GH25">
            <v>6.5483618527650828E-14</v>
          </cell>
          <cell r="GI25">
            <v>3739.0370299999981</v>
          </cell>
        </row>
        <row r="26">
          <cell r="C26">
            <v>78453.522500000021</v>
          </cell>
          <cell r="O26">
            <v>-12557.437879999998</v>
          </cell>
          <cell r="P26">
            <v>0</v>
          </cell>
          <cell r="Q26">
            <v>0</v>
          </cell>
          <cell r="R26">
            <v>1008.29076</v>
          </cell>
          <cell r="S26">
            <v>-2200.7004699999998</v>
          </cell>
          <cell r="T26">
            <v>-271.41931</v>
          </cell>
          <cell r="U26">
            <v>0</v>
          </cell>
          <cell r="V26">
            <v>-22470.2356</v>
          </cell>
          <cell r="W26">
            <v>0</v>
          </cell>
          <cell r="X26">
            <v>0</v>
          </cell>
          <cell r="Y26">
            <v>-199.59834000000001</v>
          </cell>
          <cell r="Z26">
            <v>370.99538999999999</v>
          </cell>
          <cell r="AA26">
            <v>3.37331</v>
          </cell>
          <cell r="AB26">
            <v>-380</v>
          </cell>
          <cell r="AC26">
            <v>-29379.749670000005</v>
          </cell>
          <cell r="AD26">
            <v>10700.016589999999</v>
          </cell>
          <cell r="AE26">
            <v>-684.32592999999997</v>
          </cell>
          <cell r="AF26">
            <v>-575.50356999999997</v>
          </cell>
          <cell r="AG26">
            <v>0</v>
          </cell>
          <cell r="AH26">
            <v>21283.280339999998</v>
          </cell>
          <cell r="AI26">
            <v>237.56621999999999</v>
          </cell>
          <cell r="AJ26">
            <v>-17.81127</v>
          </cell>
          <cell r="AK26">
            <v>-0.60684000000000027</v>
          </cell>
          <cell r="AL26">
            <v>-13018.730369999997</v>
          </cell>
          <cell r="AM26">
            <v>11811.4643</v>
          </cell>
          <cell r="AN26">
            <v>-9184.4868700000006</v>
          </cell>
          <cell r="AO26">
            <v>-2260.0992900000001</v>
          </cell>
          <cell r="AP26">
            <v>-286.01348999999999</v>
          </cell>
          <cell r="AQ26">
            <v>-2771.6824299999998</v>
          </cell>
          <cell r="AR26">
            <v>-1634.0110099999997</v>
          </cell>
          <cell r="AT26">
            <v>-2071.7778800000001</v>
          </cell>
          <cell r="AU26">
            <v>33.644950000000001</v>
          </cell>
          <cell r="AV26">
            <v>0</v>
          </cell>
          <cell r="AW26">
            <v>0</v>
          </cell>
          <cell r="AX26">
            <v>458.59134</v>
          </cell>
          <cell r="AY26">
            <v>0</v>
          </cell>
          <cell r="AZ26">
            <v>0</v>
          </cell>
          <cell r="BA26">
            <v>5.7905099999999994</v>
          </cell>
          <cell r="BB26">
            <v>-7.7794900000000009</v>
          </cell>
          <cell r="BC26">
            <v>-8.9459999999999998E-2</v>
          </cell>
          <cell r="BD26">
            <v>0</v>
          </cell>
          <cell r="BE26">
            <v>560.96562999999992</v>
          </cell>
          <cell r="BF26">
            <v>-882.55004000000019</v>
          </cell>
          <cell r="BG26">
            <v>-13.868260000000003</v>
          </cell>
          <cell r="BH26">
            <v>-7.3623199999999995</v>
          </cell>
          <cell r="BI26">
            <v>-2.3470000000000008E-2</v>
          </cell>
          <cell r="BJ26">
            <v>3.3651303965598343E-14</v>
          </cell>
          <cell r="BK26">
            <v>5947.5603300000184</v>
          </cell>
          <cell r="EA26">
            <v>17985.033980000007</v>
          </cell>
          <cell r="EL26">
            <v>21591.560190000004</v>
          </cell>
          <cell r="EM26">
            <v>-7242.2187399999975</v>
          </cell>
          <cell r="EN26">
            <v>0</v>
          </cell>
          <cell r="EO26">
            <v>0</v>
          </cell>
          <cell r="EP26">
            <v>920.13717999999994</v>
          </cell>
          <cell r="EQ26">
            <v>-710.59168999999974</v>
          </cell>
          <cell r="ER26">
            <v>-158.10775999999998</v>
          </cell>
          <cell r="ES26">
            <v>0</v>
          </cell>
          <cell r="ET26">
            <v>-5983.7759299999998</v>
          </cell>
          <cell r="EU26">
            <v>0</v>
          </cell>
          <cell r="EV26">
            <v>0</v>
          </cell>
          <cell r="EW26">
            <v>-199.59834000000001</v>
          </cell>
          <cell r="EX26">
            <v>98.407039999999995</v>
          </cell>
          <cell r="EY26">
            <v>3.37331</v>
          </cell>
          <cell r="EZ26">
            <v>-380</v>
          </cell>
          <cell r="FA26">
            <v>-5797.1467300000004</v>
          </cell>
          <cell r="FB26">
            <v>2804.7628899999991</v>
          </cell>
          <cell r="FC26">
            <v>-236.80138999999997</v>
          </cell>
          <cell r="FD26">
            <v>-159.30033000000003</v>
          </cell>
          <cell r="FE26">
            <v>0</v>
          </cell>
          <cell r="FF26">
            <v>3280.3147299999982</v>
          </cell>
          <cell r="FG26">
            <v>237.56621999999999</v>
          </cell>
          <cell r="FH26">
            <v>31.277970000000025</v>
          </cell>
          <cell r="FI26">
            <v>-0.60684000000000027</v>
          </cell>
          <cell r="FJ26">
            <v>-3122.1268999999993</v>
          </cell>
          <cell r="FK26">
            <v>3187.7508500000004</v>
          </cell>
          <cell r="FL26">
            <v>-3707.8919299999998</v>
          </cell>
          <cell r="FM26">
            <v>-753.22455000000014</v>
          </cell>
          <cell r="FN26">
            <v>-108.56007999999997</v>
          </cell>
          <cell r="FO26">
            <v>-889.60780999999952</v>
          </cell>
          <cell r="FP26">
            <v>-562.85691999999972</v>
          </cell>
          <cell r="FR26">
            <v>-699.5606499999999</v>
          </cell>
          <cell r="FS26">
            <v>26.885460000000002</v>
          </cell>
          <cell r="FT26">
            <v>0</v>
          </cell>
          <cell r="FU26">
            <v>0</v>
          </cell>
          <cell r="FV26">
            <v>168.36243000000002</v>
          </cell>
          <cell r="FW26">
            <v>0</v>
          </cell>
          <cell r="FX26">
            <v>0</v>
          </cell>
          <cell r="FY26">
            <v>5.7905099999999994</v>
          </cell>
          <cell r="FZ26">
            <v>-2.8562900000000004</v>
          </cell>
          <cell r="GA26">
            <v>-8.9459999999999998E-2</v>
          </cell>
          <cell r="GB26">
            <v>0</v>
          </cell>
          <cell r="GC26">
            <v>148.35742999999991</v>
          </cell>
          <cell r="GD26">
            <v>-323.92674</v>
          </cell>
          <cell r="GE26">
            <v>-13.868260000000003</v>
          </cell>
          <cell r="GF26">
            <v>-2.0905899999999988</v>
          </cell>
          <cell r="GG26">
            <v>-2.3470000000000008E-2</v>
          </cell>
          <cell r="GH26">
            <v>2.5465851649641988E-14</v>
          </cell>
          <cell r="GI26">
            <v>1449.7148100000054</v>
          </cell>
        </row>
        <row r="27">
          <cell r="C27">
            <v>82499.768435819482</v>
          </cell>
          <cell r="O27">
            <v>-24386.053189086204</v>
          </cell>
          <cell r="P27">
            <v>-1341.6765270368646</v>
          </cell>
          <cell r="Q27">
            <v>0</v>
          </cell>
          <cell r="R27">
            <v>0</v>
          </cell>
          <cell r="S27">
            <v>-3372.4223474211885</v>
          </cell>
          <cell r="T27">
            <v>-1111.5318908308993</v>
          </cell>
          <cell r="U27">
            <v>0</v>
          </cell>
          <cell r="V27">
            <v>-7563.7431829886063</v>
          </cell>
          <cell r="W27">
            <v>-433.3234729631356</v>
          </cell>
          <cell r="X27">
            <v>0</v>
          </cell>
          <cell r="Y27">
            <v>-216.98655665058635</v>
          </cell>
          <cell r="Z27">
            <v>111.22431825065473</v>
          </cell>
          <cell r="AA27">
            <v>0</v>
          </cell>
          <cell r="AB27">
            <v>0</v>
          </cell>
          <cell r="AC27">
            <v>-6198.8167564958658</v>
          </cell>
          <cell r="AD27">
            <v>0</v>
          </cell>
          <cell r="AE27">
            <v>0</v>
          </cell>
          <cell r="AF27">
            <v>-505.26384077078137</v>
          </cell>
          <cell r="AG27">
            <v>0</v>
          </cell>
          <cell r="AH27">
            <v>7061.3305972666476</v>
          </cell>
          <cell r="AI27">
            <v>216.98655665058635</v>
          </cell>
          <cell r="AJ27">
            <v>0</v>
          </cell>
          <cell r="AK27">
            <v>0</v>
          </cell>
          <cell r="AL27">
            <v>-11221.580117000383</v>
          </cell>
          <cell r="AM27">
            <v>0</v>
          </cell>
          <cell r="AN27">
            <v>0</v>
          </cell>
          <cell r="AO27">
            <v>-2179.0454276790247</v>
          </cell>
          <cell r="AP27">
            <v>-298.83095828504628</v>
          </cell>
          <cell r="AQ27">
            <v>-3459.7212998501491</v>
          </cell>
          <cell r="AR27">
            <v>-2297.3764308292216</v>
          </cell>
          <cell r="AT27">
            <v>-3269.7601462183616</v>
          </cell>
          <cell r="AU27">
            <v>688.16131196184847</v>
          </cell>
          <cell r="AV27">
            <v>207.86537742824657</v>
          </cell>
          <cell r="AW27">
            <v>0</v>
          </cell>
          <cell r="AX27">
            <v>242.95634169365221</v>
          </cell>
          <cell r="AY27">
            <v>67.134622571753368</v>
          </cell>
          <cell r="AZ27">
            <v>0</v>
          </cell>
          <cell r="BA27">
            <v>6.5045012720486657</v>
          </cell>
          <cell r="BB27">
            <v>-3.3223771286095021</v>
          </cell>
          <cell r="BC27">
            <v>0</v>
          </cell>
          <cell r="BD27">
            <v>0</v>
          </cell>
          <cell r="BE27">
            <v>228.06401941937378</v>
          </cell>
          <cell r="BF27">
            <v>-228.06401941937378</v>
          </cell>
          <cell r="BG27">
            <v>-6.5045012720486657</v>
          </cell>
          <cell r="BH27">
            <v>0</v>
          </cell>
          <cell r="BI27">
            <v>0</v>
          </cell>
          <cell r="BJ27">
            <v>0</v>
          </cell>
          <cell r="BK27">
            <v>5147.134327183705</v>
          </cell>
          <cell r="EA27">
            <v>18555.738243273139</v>
          </cell>
          <cell r="EL27">
            <v>21470.309907531744</v>
          </cell>
          <cell r="EM27">
            <v>-8128.6843963620686</v>
          </cell>
          <cell r="EN27">
            <v>-447.2255090122884</v>
          </cell>
          <cell r="EO27">
            <v>0</v>
          </cell>
          <cell r="EP27">
            <v>0</v>
          </cell>
          <cell r="EQ27">
            <v>-1124.1407824737294</v>
          </cell>
          <cell r="ER27">
            <v>-370.51063027696659</v>
          </cell>
          <cell r="ES27">
            <v>0</v>
          </cell>
          <cell r="ET27">
            <v>-2521.2477276628688</v>
          </cell>
          <cell r="EU27">
            <v>-144.44115765437851</v>
          </cell>
          <cell r="EV27">
            <v>0</v>
          </cell>
          <cell r="EW27">
            <v>-72.328852216862117</v>
          </cell>
          <cell r="EX27">
            <v>37.074772750218244</v>
          </cell>
          <cell r="EY27">
            <v>0</v>
          </cell>
          <cell r="EZ27">
            <v>0</v>
          </cell>
          <cell r="FA27">
            <v>-2066.2722521652895</v>
          </cell>
          <cell r="FB27">
            <v>0</v>
          </cell>
          <cell r="FC27">
            <v>0</v>
          </cell>
          <cell r="FD27">
            <v>-168.42128025692716</v>
          </cell>
          <cell r="FE27">
            <v>0</v>
          </cell>
          <cell r="FF27">
            <v>2353.7768657555498</v>
          </cell>
          <cell r="FG27">
            <v>72.328852216862117</v>
          </cell>
          <cell r="FH27">
            <v>0</v>
          </cell>
          <cell r="FI27">
            <v>0</v>
          </cell>
          <cell r="FJ27">
            <v>-3740.5267056667935</v>
          </cell>
          <cell r="FK27">
            <v>0</v>
          </cell>
          <cell r="FL27">
            <v>0</v>
          </cell>
          <cell r="FM27">
            <v>-726.34847589300807</v>
          </cell>
          <cell r="FN27">
            <v>-99.61031942834876</v>
          </cell>
          <cell r="FO27">
            <v>-1153.240433283383</v>
          </cell>
          <cell r="FP27">
            <v>-765.79214360974061</v>
          </cell>
          <cell r="FR27">
            <v>-1089.9200487394537</v>
          </cell>
          <cell r="FS27">
            <v>229.38710398728284</v>
          </cell>
          <cell r="FT27">
            <v>69.288459142748849</v>
          </cell>
          <cell r="FU27">
            <v>0</v>
          </cell>
          <cell r="FV27">
            <v>80.985447231217393</v>
          </cell>
          <cell r="FW27">
            <v>22.37820752391778</v>
          </cell>
          <cell r="FX27">
            <v>0</v>
          </cell>
          <cell r="FY27">
            <v>2.1681670906828874</v>
          </cell>
          <cell r="FZ27">
            <v>-1.1074590428698343</v>
          </cell>
          <cell r="GA27">
            <v>0</v>
          </cell>
          <cell r="GB27">
            <v>0</v>
          </cell>
          <cell r="GC27">
            <v>76.021339806457945</v>
          </cell>
          <cell r="GD27">
            <v>-76.021339806457945</v>
          </cell>
          <cell r="GE27">
            <v>-2.1681670906828874</v>
          </cell>
          <cell r="GF27">
            <v>0</v>
          </cell>
          <cell r="GG27">
            <v>0</v>
          </cell>
          <cell r="GH27">
            <v>0</v>
          </cell>
          <cell r="GI27">
            <v>1715.7114423945638</v>
          </cell>
        </row>
        <row r="29">
          <cell r="C29">
            <v>180343.37815</v>
          </cell>
          <cell r="N29">
            <v>142416.61263000002</v>
          </cell>
          <cell r="O29">
            <v>-8976.9935900000019</v>
          </cell>
          <cell r="P29">
            <v>-9.9448799999999995</v>
          </cell>
          <cell r="Q29">
            <v>-15.778</v>
          </cell>
          <cell r="R29">
            <v>1318.9221599999998</v>
          </cell>
          <cell r="S29">
            <v>-5237.0041199999996</v>
          </cell>
          <cell r="T29">
            <v>-1013.3292300000001</v>
          </cell>
          <cell r="U29">
            <v>-2307.8780200000001</v>
          </cell>
          <cell r="V29">
            <v>-75271.469707881042</v>
          </cell>
          <cell r="W29">
            <v>-16.535760000000003</v>
          </cell>
          <cell r="X29">
            <v>-11760.66261211896</v>
          </cell>
          <cell r="Y29">
            <v>-870.88680000000011</v>
          </cell>
          <cell r="Z29">
            <v>6126.4213900000004</v>
          </cell>
          <cell r="AA29">
            <v>93.58023</v>
          </cell>
          <cell r="AB29">
            <v>-1550</v>
          </cell>
          <cell r="AC29">
            <v>-90657.024839999998</v>
          </cell>
          <cell r="AD29">
            <v>12428.419409999999</v>
          </cell>
          <cell r="AE29">
            <v>-2600.5575899999999</v>
          </cell>
          <cell r="AF29">
            <v>-2740.69686</v>
          </cell>
          <cell r="AG29">
            <v>0</v>
          </cell>
          <cell r="AH29">
            <v>65361.374860000011</v>
          </cell>
          <cell r="AI29">
            <v>8370.6163400000005</v>
          </cell>
          <cell r="AJ29">
            <v>12416.586789999999</v>
          </cell>
          <cell r="AK29">
            <v>-413.00207</v>
          </cell>
          <cell r="AL29">
            <v>-26128.493870000006</v>
          </cell>
          <cell r="AM29">
            <v>22891.739449999997</v>
          </cell>
          <cell r="AN29">
            <v>-18305.744599999998</v>
          </cell>
          <cell r="AO29">
            <v>-4240.6177500000003</v>
          </cell>
          <cell r="AP29">
            <v>-646.34458999999993</v>
          </cell>
          <cell r="AQ29">
            <v>-6661.9264299999995</v>
          </cell>
          <cell r="AR29">
            <v>-3477.9110900000001</v>
          </cell>
          <cell r="AT29">
            <v>-3337.4642099999992</v>
          </cell>
          <cell r="AU29">
            <v>-85.193769999999986</v>
          </cell>
          <cell r="AV29">
            <v>0</v>
          </cell>
          <cell r="AW29">
            <v>0</v>
          </cell>
          <cell r="AX29">
            <v>1023.5049687438036</v>
          </cell>
          <cell r="AY29">
            <v>0</v>
          </cell>
          <cell r="AZ29">
            <v>230.1278212561964</v>
          </cell>
          <cell r="BA29">
            <v>11.619160000000001</v>
          </cell>
          <cell r="BB29">
            <v>-82.781819999999996</v>
          </cell>
          <cell r="BC29">
            <v>-1.2364000000000002</v>
          </cell>
          <cell r="BD29">
            <v>0</v>
          </cell>
          <cell r="BE29">
            <v>3223.7549700000004</v>
          </cell>
          <cell r="BF29">
            <v>-3226.0413599999997</v>
          </cell>
          <cell r="BG29">
            <v>-553.64993000000004</v>
          </cell>
          <cell r="BH29">
            <v>-2644.2433999999998</v>
          </cell>
          <cell r="BI29">
            <v>25.479380000000006</v>
          </cell>
          <cell r="BJ29">
            <v>1.141984284913633E-13</v>
          </cell>
          <cell r="BK29">
            <v>3105.3462600000144</v>
          </cell>
          <cell r="EA29">
            <v>40019.099860000009</v>
          </cell>
          <cell r="EL29">
            <v>49735.999140000007</v>
          </cell>
          <cell r="EM29">
            <v>-9086.3666000000012</v>
          </cell>
          <cell r="EN29">
            <v>-9.9448799999999995</v>
          </cell>
          <cell r="EO29">
            <v>-6.5050000000000008</v>
          </cell>
          <cell r="EP29">
            <v>1001.0916899999997</v>
          </cell>
          <cell r="EQ29">
            <v>-1737.1299299999998</v>
          </cell>
          <cell r="ER29">
            <v>-645.12260000000003</v>
          </cell>
          <cell r="ES29">
            <v>-769.29295000000002</v>
          </cell>
          <cell r="ET29">
            <v>-20398.649214055975</v>
          </cell>
          <cell r="EU29">
            <v>-16.535760000000003</v>
          </cell>
          <cell r="EV29">
            <v>-4705.5061559440192</v>
          </cell>
          <cell r="EW29">
            <v>-870.88680000000011</v>
          </cell>
          <cell r="EX29">
            <v>2089.8801500000004</v>
          </cell>
          <cell r="EY29">
            <v>93.58023</v>
          </cell>
          <cell r="EZ29">
            <v>-1550</v>
          </cell>
          <cell r="FA29">
            <v>-25523.027389999996</v>
          </cell>
          <cell r="FB29">
            <v>4058.5569499999992</v>
          </cell>
          <cell r="FC29">
            <v>-668.77180999999973</v>
          </cell>
          <cell r="FD29">
            <v>-701.64709000000016</v>
          </cell>
          <cell r="FE29">
            <v>0</v>
          </cell>
          <cell r="FF29">
            <v>6967.4208800000015</v>
          </cell>
          <cell r="FG29">
            <v>8370.6163400000005</v>
          </cell>
          <cell r="FH29">
            <v>14599.605809999999</v>
          </cell>
          <cell r="FI29">
            <v>-413.00207</v>
          </cell>
          <cell r="FJ29">
            <v>-6381.4261299999998</v>
          </cell>
          <cell r="FK29">
            <v>6405.243269999999</v>
          </cell>
          <cell r="FL29">
            <v>-7537.9123099999988</v>
          </cell>
          <cell r="FM29">
            <v>-1280.7814700000001</v>
          </cell>
          <cell r="FN29">
            <v>-310.36639000000002</v>
          </cell>
          <cell r="FO29">
            <v>-2188.3086600000001</v>
          </cell>
          <cell r="FP29">
            <v>-1346.7030199999999</v>
          </cell>
          <cell r="FR29">
            <v>-1481.3583299999993</v>
          </cell>
          <cell r="FS29">
            <v>-5.7613699999999994</v>
          </cell>
          <cell r="FT29">
            <v>0</v>
          </cell>
          <cell r="FU29">
            <v>0</v>
          </cell>
          <cell r="FV29">
            <v>593.97983504026354</v>
          </cell>
          <cell r="FW29">
            <v>0</v>
          </cell>
          <cell r="FX29">
            <v>141.81895495973654</v>
          </cell>
          <cell r="FY29">
            <v>11.619160000000001</v>
          </cell>
          <cell r="FZ29">
            <v>-51.595939999999999</v>
          </cell>
          <cell r="GA29">
            <v>-1.2364000000000002</v>
          </cell>
          <cell r="GB29">
            <v>0</v>
          </cell>
          <cell r="GC29">
            <v>1209.10006</v>
          </cell>
          <cell r="GD29">
            <v>-1256.0311099999949</v>
          </cell>
          <cell r="GE29">
            <v>-553.64993000000004</v>
          </cell>
          <cell r="GF29">
            <v>-2427.20325</v>
          </cell>
          <cell r="GG29">
            <v>25.479380000000006</v>
          </cell>
          <cell r="GH29">
            <v>1.141984284913633E-13</v>
          </cell>
          <cell r="GI29">
            <v>3379.2692900000275</v>
          </cell>
        </row>
        <row r="30">
          <cell r="C30">
            <v>174848.91252000001</v>
          </cell>
          <cell r="N30">
            <v>134937.03178999998</v>
          </cell>
          <cell r="O30">
            <v>-8938.5395199999984</v>
          </cell>
          <cell r="P30">
            <v>0</v>
          </cell>
          <cell r="Q30">
            <v>-371.14800000000002</v>
          </cell>
          <cell r="R30">
            <v>1156.2316000000001</v>
          </cell>
          <cell r="S30">
            <v>-5912.910969999999</v>
          </cell>
          <cell r="T30">
            <v>-545.72507000000007</v>
          </cell>
          <cell r="U30">
            <v>-1915.0685000000001</v>
          </cell>
          <cell r="V30">
            <v>-68606.576303637834</v>
          </cell>
          <cell r="W30">
            <v>0</v>
          </cell>
          <cell r="X30">
            <v>-10688.88340636216</v>
          </cell>
          <cell r="Y30">
            <v>-1131.8444999999999</v>
          </cell>
          <cell r="Z30">
            <v>4772.2403299999996</v>
          </cell>
          <cell r="AA30">
            <v>110.43204</v>
          </cell>
          <cell r="AB30">
            <v>-680</v>
          </cell>
          <cell r="AC30">
            <v>-94457.177219999983</v>
          </cell>
          <cell r="AD30">
            <v>12534.1705</v>
          </cell>
          <cell r="AE30">
            <v>-3020.6819700000001</v>
          </cell>
          <cell r="AF30">
            <v>-2983.1827899999998</v>
          </cell>
          <cell r="AG30">
            <v>0</v>
          </cell>
          <cell r="AH30">
            <v>86492.200589999993</v>
          </cell>
          <cell r="AI30">
            <v>961.05498000000011</v>
          </cell>
          <cell r="AJ30">
            <v>2175.3553299999999</v>
          </cell>
          <cell r="AK30">
            <v>113.11078999999999</v>
          </cell>
          <cell r="AL30">
            <v>-25117.326229999999</v>
          </cell>
          <cell r="AM30">
            <v>22171.277709999998</v>
          </cell>
          <cell r="AN30">
            <v>-17404.536740000003</v>
          </cell>
          <cell r="AO30">
            <v>-3939.7732000000001</v>
          </cell>
          <cell r="AP30">
            <v>-615.87572</v>
          </cell>
          <cell r="AQ30">
            <v>-6167.7775499999998</v>
          </cell>
          <cell r="AR30">
            <v>-3541.1757799999996</v>
          </cell>
          <cell r="AT30">
            <v>-7033.1213100000023</v>
          </cell>
          <cell r="AU30">
            <v>27.28725</v>
          </cell>
          <cell r="AV30">
            <v>0</v>
          </cell>
          <cell r="AW30">
            <v>0</v>
          </cell>
          <cell r="AX30">
            <v>3834.0560298204532</v>
          </cell>
          <cell r="AY30">
            <v>0</v>
          </cell>
          <cell r="AZ30">
            <v>112.17310017954664</v>
          </cell>
          <cell r="BA30">
            <v>57.901720000000005</v>
          </cell>
          <cell r="BB30">
            <v>-277.05512999999996</v>
          </cell>
          <cell r="BC30">
            <v>-6.1306799999999999</v>
          </cell>
          <cell r="BD30">
            <v>0</v>
          </cell>
          <cell r="BE30">
            <v>4242.8260500000006</v>
          </cell>
          <cell r="BF30">
            <v>-3304.4843199999823</v>
          </cell>
          <cell r="BG30">
            <v>165.25548000000001</v>
          </cell>
          <cell r="BH30">
            <v>-425.43338</v>
          </cell>
          <cell r="BI30">
            <v>-34.282589999999999</v>
          </cell>
          <cell r="BJ30">
            <v>-4.6494363914462148E-14</v>
          </cell>
          <cell r="BK30">
            <v>6743.894410000039</v>
          </cell>
          <cell r="EA30">
            <v>39425.420450000005</v>
          </cell>
          <cell r="EL30">
            <v>48043.855259999989</v>
          </cell>
          <cell r="EM30">
            <v>-7461.5856699999986</v>
          </cell>
          <cell r="EN30">
            <v>0</v>
          </cell>
          <cell r="EO30">
            <v>-337.77600000000001</v>
          </cell>
          <cell r="EP30">
            <v>1168.6281199999999</v>
          </cell>
          <cell r="EQ30">
            <v>-1934.6167099999993</v>
          </cell>
          <cell r="ER30">
            <v>-256.11523999999997</v>
          </cell>
          <cell r="ES30">
            <v>-638.35617000000002</v>
          </cell>
          <cell r="ET30">
            <v>-21116.864750274635</v>
          </cell>
          <cell r="EU30">
            <v>0</v>
          </cell>
          <cell r="EV30">
            <v>-3172.8268897253556</v>
          </cell>
          <cell r="EW30">
            <v>-1131.8444999999999</v>
          </cell>
          <cell r="EX30">
            <v>1521.5393100000001</v>
          </cell>
          <cell r="EY30">
            <v>110.43204</v>
          </cell>
          <cell r="EZ30">
            <v>-680</v>
          </cell>
          <cell r="FA30">
            <v>-23567.006129999994</v>
          </cell>
          <cell r="FB30">
            <v>3316.6967299999992</v>
          </cell>
          <cell r="FC30">
            <v>-1026.8133200000002</v>
          </cell>
          <cell r="FD30">
            <v>-900.61562000000004</v>
          </cell>
          <cell r="FE30">
            <v>0</v>
          </cell>
          <cell r="FF30">
            <v>22795.283769999995</v>
          </cell>
          <cell r="FG30">
            <v>961.05498000000011</v>
          </cell>
          <cell r="FH30">
            <v>687.19250999999974</v>
          </cell>
          <cell r="FI30">
            <v>113.11078999999999</v>
          </cell>
          <cell r="FJ30">
            <v>-6105.5313200000001</v>
          </cell>
          <cell r="FK30">
            <v>5999.1015399999997</v>
          </cell>
          <cell r="FL30">
            <v>-7022.9422700000005</v>
          </cell>
          <cell r="FM30">
            <v>-1318.3020000000001</v>
          </cell>
          <cell r="FN30">
            <v>-230.4135599999999</v>
          </cell>
          <cell r="FO30">
            <v>-1975.6351399999994</v>
          </cell>
          <cell r="FP30">
            <v>-1203.4326299999993</v>
          </cell>
          <cell r="FR30">
            <v>-2664.7890900000016</v>
          </cell>
          <cell r="FS30">
            <v>59.968029999999999</v>
          </cell>
          <cell r="FT30">
            <v>0</v>
          </cell>
          <cell r="FU30">
            <v>0</v>
          </cell>
          <cell r="FV30">
            <v>1288.6554198204531</v>
          </cell>
          <cell r="FW30">
            <v>0</v>
          </cell>
          <cell r="FX30">
            <v>112.17310017954664</v>
          </cell>
          <cell r="FY30">
            <v>57.901720000000005</v>
          </cell>
          <cell r="FZ30">
            <v>-98.026119999999935</v>
          </cell>
          <cell r="GA30">
            <v>-6.1306799999999999</v>
          </cell>
          <cell r="GB30">
            <v>0</v>
          </cell>
          <cell r="GC30">
            <v>811.71284000000139</v>
          </cell>
          <cell r="GD30">
            <v>-622.82477999998639</v>
          </cell>
          <cell r="GE30">
            <v>165.25548000000001</v>
          </cell>
          <cell r="GF30">
            <v>-145.45067000000003</v>
          </cell>
          <cell r="GG30">
            <v>-34.282589999999999</v>
          </cell>
          <cell r="GH30">
            <v>-5.4569682106375692E-14</v>
          </cell>
          <cell r="GI30">
            <v>3560.37979000001</v>
          </cell>
        </row>
        <row r="31">
          <cell r="C31">
            <v>178547.97669159685</v>
          </cell>
          <cell r="N31">
            <v>140312.30339348721</v>
          </cell>
          <cell r="O31">
            <v>-38180.131270740967</v>
          </cell>
          <cell r="P31">
            <v>-1341.6765270368646</v>
          </cell>
          <cell r="Q31">
            <v>-3420.0400704312324</v>
          </cell>
          <cell r="R31">
            <v>0</v>
          </cell>
          <cell r="S31">
            <v>-9193.0809193350287</v>
          </cell>
          <cell r="T31">
            <v>-1504.2862828720044</v>
          </cell>
          <cell r="U31">
            <v>0</v>
          </cell>
          <cell r="V31">
            <v>-36291.880890308625</v>
          </cell>
          <cell r="W31">
            <v>-433.3234729631356</v>
          </cell>
          <cell r="X31">
            <v>-7332.9472464777509</v>
          </cell>
          <cell r="Y31">
            <v>-1107.273881439507</v>
          </cell>
          <cell r="Z31">
            <v>3591.4954259499254</v>
          </cell>
          <cell r="AA31">
            <v>0</v>
          </cell>
          <cell r="AB31">
            <v>0</v>
          </cell>
          <cell r="AC31">
            <v>-48930.439640776844</v>
          </cell>
          <cell r="AD31">
            <v>0</v>
          </cell>
          <cell r="AE31">
            <v>0</v>
          </cell>
          <cell r="AF31">
            <v>-2445.3987222612704</v>
          </cell>
          <cell r="AG31">
            <v>0</v>
          </cell>
          <cell r="AH31">
            <v>52349.088363038114</v>
          </cell>
          <cell r="AI31">
            <v>1107.273881439507</v>
          </cell>
          <cell r="AJ31">
            <v>0</v>
          </cell>
          <cell r="AK31">
            <v>0</v>
          </cell>
          <cell r="AL31">
            <v>-21380.645672683255</v>
          </cell>
          <cell r="AM31">
            <v>0</v>
          </cell>
          <cell r="AN31">
            <v>0</v>
          </cell>
          <cell r="AO31">
            <v>-4368.3652648610641</v>
          </cell>
          <cell r="AP31">
            <v>-662.55367834759784</v>
          </cell>
          <cell r="AQ31">
            <v>-7188.1752540684811</v>
          </cell>
          <cell r="AR31">
            <v>-4802.23593747011</v>
          </cell>
          <cell r="AT31">
            <v>-8800.9723778149619</v>
          </cell>
          <cell r="AU31">
            <v>1782.2003703772434</v>
          </cell>
          <cell r="AV31">
            <v>207.86537742824657</v>
          </cell>
          <cell r="AW31">
            <v>95.653265473635798</v>
          </cell>
          <cell r="AX31">
            <v>2003.9965681899985</v>
          </cell>
          <cell r="AY31">
            <v>67.134622571753368</v>
          </cell>
          <cell r="AZ31">
            <v>182.83108896971257</v>
          </cell>
          <cell r="BA31">
            <v>54.751229101883361</v>
          </cell>
          <cell r="BB31">
            <v>-200.45310893210942</v>
          </cell>
          <cell r="BC31">
            <v>0</v>
          </cell>
          <cell r="BD31">
            <v>0</v>
          </cell>
          <cell r="BE31">
            <v>1815.4141265089684</v>
          </cell>
          <cell r="BF31">
            <v>-2522.6803290089683</v>
          </cell>
          <cell r="BG31">
            <v>-54.751229101883361</v>
          </cell>
          <cell r="BH31">
            <v>0</v>
          </cell>
          <cell r="BI31">
            <v>0</v>
          </cell>
          <cell r="BJ31">
            <v>0</v>
          </cell>
          <cell r="BK31">
            <v>3408.6959356045254</v>
          </cell>
          <cell r="EA31">
            <v>40867.303600904474</v>
          </cell>
          <cell r="EL31">
            <v>46770.767797829059</v>
          </cell>
          <cell r="EM31">
            <v>-12726.710423580324</v>
          </cell>
          <cell r="EN31">
            <v>-447.2255090122884</v>
          </cell>
          <cell r="EO31">
            <v>-1140.0133568104111</v>
          </cell>
          <cell r="EP31">
            <v>0</v>
          </cell>
          <cell r="EQ31">
            <v>-3064.360306445009</v>
          </cell>
          <cell r="ER31">
            <v>-501.42876095733499</v>
          </cell>
          <cell r="ES31">
            <v>0</v>
          </cell>
          <cell r="ET31">
            <v>-12097.293630102873</v>
          </cell>
          <cell r="EU31">
            <v>-144.44115765437851</v>
          </cell>
          <cell r="EV31">
            <v>-2444.3157488259176</v>
          </cell>
          <cell r="EW31">
            <v>-369.09129381316899</v>
          </cell>
          <cell r="EX31">
            <v>1197.1651419833086</v>
          </cell>
          <cell r="EY31">
            <v>0</v>
          </cell>
          <cell r="EZ31">
            <v>0</v>
          </cell>
          <cell r="FA31">
            <v>-16310.146546925622</v>
          </cell>
          <cell r="FB31">
            <v>0</v>
          </cell>
          <cell r="FC31">
            <v>0</v>
          </cell>
          <cell r="FD31">
            <v>-815.13290742042352</v>
          </cell>
          <cell r="FE31">
            <v>0</v>
          </cell>
          <cell r="FF31">
            <v>17449.696121012705</v>
          </cell>
          <cell r="FG31">
            <v>369.09129381316899</v>
          </cell>
          <cell r="FH31">
            <v>0</v>
          </cell>
          <cell r="FI31">
            <v>0</v>
          </cell>
          <cell r="FJ31">
            <v>-7126.8818908944168</v>
          </cell>
          <cell r="FK31">
            <v>0</v>
          </cell>
          <cell r="FL31">
            <v>0</v>
          </cell>
          <cell r="FM31">
            <v>-1456.121754953688</v>
          </cell>
          <cell r="FN31">
            <v>-220.85122611586596</v>
          </cell>
          <cell r="FO31">
            <v>-2396.0584180228266</v>
          </cell>
          <cell r="FP31">
            <v>-1600.7453124900369</v>
          </cell>
          <cell r="FR31">
            <v>-2933.6574592716543</v>
          </cell>
          <cell r="FS31">
            <v>594.06679012574773</v>
          </cell>
          <cell r="FT31">
            <v>69.288459142748849</v>
          </cell>
          <cell r="FU31">
            <v>31.884421824545271</v>
          </cell>
          <cell r="FV31">
            <v>667.99885606333305</v>
          </cell>
          <cell r="FW31">
            <v>22.37820752391778</v>
          </cell>
          <cell r="FX31">
            <v>60.943696323237518</v>
          </cell>
          <cell r="FY31">
            <v>18.250409700627785</v>
          </cell>
          <cell r="FZ31">
            <v>-66.817702977369805</v>
          </cell>
          <cell r="GA31">
            <v>0</v>
          </cell>
          <cell r="GB31">
            <v>0</v>
          </cell>
          <cell r="GC31">
            <v>605.13804216965605</v>
          </cell>
          <cell r="GD31">
            <v>-840.89344300298944</v>
          </cell>
          <cell r="GE31">
            <v>-18.250409700627785</v>
          </cell>
          <cell r="GF31">
            <v>0</v>
          </cell>
          <cell r="GG31">
            <v>0</v>
          </cell>
          <cell r="GH31">
            <v>0</v>
          </cell>
          <cell r="GI31">
            <v>1136.2319785348288</v>
          </cell>
        </row>
        <row r="33">
          <cell r="C33">
            <v>43331.240889999986</v>
          </cell>
          <cell r="N33">
            <v>30825.907399999996</v>
          </cell>
          <cell r="O33">
            <v>-1471.9584100000002</v>
          </cell>
          <cell r="P33">
            <v>-88.909100000000024</v>
          </cell>
          <cell r="Q33">
            <v>0</v>
          </cell>
          <cell r="R33">
            <v>16.4193</v>
          </cell>
          <cell r="S33">
            <v>-777.36186999999995</v>
          </cell>
          <cell r="T33">
            <v>-155.47147000000001</v>
          </cell>
          <cell r="U33">
            <v>0</v>
          </cell>
          <cell r="V33">
            <v>-9373.9894384726013</v>
          </cell>
          <cell r="W33">
            <v>-75.872219999999999</v>
          </cell>
          <cell r="X33">
            <v>-2211.532191527398</v>
          </cell>
          <cell r="Y33">
            <v>-82.972939999999994</v>
          </cell>
          <cell r="Z33">
            <v>317.39432999999997</v>
          </cell>
          <cell r="AA33">
            <v>2.6510299999999996</v>
          </cell>
          <cell r="AB33">
            <v>-210</v>
          </cell>
          <cell r="AC33">
            <v>-7285.9755100000002</v>
          </cell>
          <cell r="AD33">
            <v>1163.31566</v>
          </cell>
          <cell r="AE33">
            <v>-167.23614000000001</v>
          </cell>
          <cell r="AF33">
            <v>-568.48405000000002</v>
          </cell>
          <cell r="AG33">
            <v>0</v>
          </cell>
          <cell r="AH33">
            <v>6349.7586300000003</v>
          </cell>
          <cell r="AI33">
            <v>405.88391999999999</v>
          </cell>
          <cell r="AJ33">
            <v>22.715899999999891</v>
          </cell>
          <cell r="AK33">
            <v>-7.0080500000000008</v>
          </cell>
          <cell r="AL33">
            <v>-10265.276830000006</v>
          </cell>
          <cell r="AM33">
            <v>8921.6927999999989</v>
          </cell>
          <cell r="AN33">
            <v>-6267.1092000000026</v>
          </cell>
          <cell r="AO33">
            <v>-2201.4575399999999</v>
          </cell>
          <cell r="AP33">
            <v>-278.10892999999999</v>
          </cell>
          <cell r="AQ33">
            <v>-1477.50848</v>
          </cell>
          <cell r="AR33">
            <v>-1266.3211000000001</v>
          </cell>
          <cell r="AT33">
            <v>-2903.052810000001</v>
          </cell>
          <cell r="AU33">
            <v>0</v>
          </cell>
          <cell r="AV33">
            <v>0</v>
          </cell>
          <cell r="AW33">
            <v>0</v>
          </cell>
          <cell r="AX33">
            <v>137.84052619233378</v>
          </cell>
          <cell r="AY33">
            <v>0</v>
          </cell>
          <cell r="AZ33">
            <v>171.10957380766618</v>
          </cell>
          <cell r="BA33">
            <v>2.56576</v>
          </cell>
          <cell r="BB33">
            <v>-6.8709299999999995</v>
          </cell>
          <cell r="BC33">
            <v>-4.972E-2</v>
          </cell>
          <cell r="BD33">
            <v>0</v>
          </cell>
          <cell r="BE33">
            <v>0.97299999999999998</v>
          </cell>
          <cell r="BF33">
            <v>-366.62918999999999</v>
          </cell>
          <cell r="BG33">
            <v>-95.368629999999982</v>
          </cell>
          <cell r="BH33">
            <v>38.662880000000015</v>
          </cell>
          <cell r="BI33">
            <v>-0.10359000000000007</v>
          </cell>
          <cell r="BJ33">
            <v>0</v>
          </cell>
          <cell r="BK33">
            <v>772.26236999998537</v>
          </cell>
          <cell r="EA33">
            <v>8084.8075599999938</v>
          </cell>
          <cell r="EL33">
            <v>10537.427740000006</v>
          </cell>
          <cell r="EM33">
            <v>-921.07236000000023</v>
          </cell>
          <cell r="EN33">
            <v>-88.909100000000024</v>
          </cell>
          <cell r="EO33">
            <v>0</v>
          </cell>
          <cell r="EP33">
            <v>16.225940000000001</v>
          </cell>
          <cell r="EQ33">
            <v>-310.78443999999996</v>
          </cell>
          <cell r="ER33">
            <v>-52.356960000000015</v>
          </cell>
          <cell r="ES33">
            <v>0</v>
          </cell>
          <cell r="ET33">
            <v>-2982.118141773004</v>
          </cell>
          <cell r="EU33">
            <v>-75.872219999999999</v>
          </cell>
          <cell r="EV33">
            <v>-1032.935698226996</v>
          </cell>
          <cell r="EW33">
            <v>-82.972939999999994</v>
          </cell>
          <cell r="EX33">
            <v>99.275479999999959</v>
          </cell>
          <cell r="EY33">
            <v>2.6510299999999996</v>
          </cell>
          <cell r="EZ33">
            <v>-210</v>
          </cell>
          <cell r="FA33">
            <v>-1646.4744799999999</v>
          </cell>
          <cell r="FB33">
            <v>202.96975999999995</v>
          </cell>
          <cell r="FC33">
            <v>-62.989789999999999</v>
          </cell>
          <cell r="FD33">
            <v>-124.25461000000007</v>
          </cell>
          <cell r="FE33">
            <v>0</v>
          </cell>
          <cell r="FF33">
            <v>-220.5279900000005</v>
          </cell>
          <cell r="FG33">
            <v>405.88391999999999</v>
          </cell>
          <cell r="FH33">
            <v>230.35333</v>
          </cell>
          <cell r="FI33">
            <v>-7.0080500000000008</v>
          </cell>
          <cell r="FJ33">
            <v>-1858.1430000000037</v>
          </cell>
          <cell r="FK33">
            <v>1675.1833399999987</v>
          </cell>
          <cell r="FL33">
            <v>-2224.5231200000012</v>
          </cell>
          <cell r="FM33">
            <v>-579.82055000000014</v>
          </cell>
          <cell r="FN33">
            <v>-121.90717999999998</v>
          </cell>
          <cell r="FO33">
            <v>-487.11171999999999</v>
          </cell>
          <cell r="FP33">
            <v>-462.44779000000017</v>
          </cell>
          <cell r="FR33">
            <v>-948.77516000000128</v>
          </cell>
          <cell r="FS33">
            <v>0</v>
          </cell>
          <cell r="FT33">
            <v>0</v>
          </cell>
          <cell r="FU33">
            <v>0</v>
          </cell>
          <cell r="FV33">
            <v>54.831734149266694</v>
          </cell>
          <cell r="FW33">
            <v>0</v>
          </cell>
          <cell r="FX33">
            <v>37.580445850733298</v>
          </cell>
          <cell r="FY33">
            <v>2.56576</v>
          </cell>
          <cell r="FZ33">
            <v>-2.0552099999999998</v>
          </cell>
          <cell r="GA33">
            <v>-4.972E-2</v>
          </cell>
          <cell r="GB33">
            <v>0</v>
          </cell>
          <cell r="GC33">
            <v>0</v>
          </cell>
          <cell r="GD33">
            <v>1.1527399999999943</v>
          </cell>
          <cell r="GE33">
            <v>-95.368629999999982</v>
          </cell>
          <cell r="GF33">
            <v>30.440550000000027</v>
          </cell>
          <cell r="GG33">
            <v>-0.10359000000000007</v>
          </cell>
          <cell r="GH33">
            <v>0</v>
          </cell>
          <cell r="GI33">
            <v>-1302.0406800000007</v>
          </cell>
        </row>
        <row r="34">
          <cell r="C34">
            <v>43659.695800000001</v>
          </cell>
          <cell r="N34">
            <v>31257.472869999991</v>
          </cell>
          <cell r="O34">
            <v>-1473.10861</v>
          </cell>
          <cell r="P34">
            <v>0</v>
          </cell>
          <cell r="Q34">
            <v>-409.61900000000003</v>
          </cell>
          <cell r="R34">
            <v>21.750230000000006</v>
          </cell>
          <cell r="S34">
            <v>-907.19118000000003</v>
          </cell>
          <cell r="T34">
            <v>-189.79388999999998</v>
          </cell>
          <cell r="U34">
            <v>0</v>
          </cell>
          <cell r="V34">
            <v>-10184.346283356665</v>
          </cell>
          <cell r="W34">
            <v>0</v>
          </cell>
          <cell r="X34">
            <v>-2803.110076643336</v>
          </cell>
          <cell r="Y34">
            <v>-146.89702</v>
          </cell>
          <cell r="Z34">
            <v>372.01893000000001</v>
          </cell>
          <cell r="AA34">
            <v>5.0801400000000001</v>
          </cell>
          <cell r="AB34">
            <v>0</v>
          </cell>
          <cell r="AC34">
            <v>-11494.29341</v>
          </cell>
          <cell r="AD34">
            <v>1133.6079999999999</v>
          </cell>
          <cell r="AE34">
            <v>-203.52750999999998</v>
          </cell>
          <cell r="AF34">
            <v>-561.40350999999998</v>
          </cell>
          <cell r="AG34">
            <v>0</v>
          </cell>
          <cell r="AH34">
            <v>18441.681969999998</v>
          </cell>
          <cell r="AI34">
            <v>57.380159999999961</v>
          </cell>
          <cell r="AJ34">
            <v>-225.81043000000003</v>
          </cell>
          <cell r="AK34">
            <v>-1.5380100000000003</v>
          </cell>
          <cell r="AL34">
            <v>-10561.613269999991</v>
          </cell>
          <cell r="AM34">
            <v>8890.4273000000012</v>
          </cell>
          <cell r="AN34">
            <v>-6258.7877100000023</v>
          </cell>
          <cell r="AO34">
            <v>-2668.1221599999999</v>
          </cell>
          <cell r="AP34">
            <v>-373.17451000000005</v>
          </cell>
          <cell r="AQ34">
            <v>-1475.0028600000001</v>
          </cell>
          <cell r="AR34">
            <v>-1386.01352</v>
          </cell>
          <cell r="AT34">
            <v>-3208.4914800000079</v>
          </cell>
          <cell r="AU34">
            <v>1.64</v>
          </cell>
          <cell r="AV34">
            <v>0</v>
          </cell>
          <cell r="AW34">
            <v>0</v>
          </cell>
          <cell r="AX34">
            <v>229.93150608557681</v>
          </cell>
          <cell r="AY34">
            <v>0</v>
          </cell>
          <cell r="AZ34">
            <v>199.89879391442321</v>
          </cell>
          <cell r="BA34">
            <v>4.08866</v>
          </cell>
          <cell r="BB34">
            <v>-10.211260000000001</v>
          </cell>
          <cell r="BC34">
            <v>-9.3629999999999991E-2</v>
          </cell>
          <cell r="BD34">
            <v>0</v>
          </cell>
          <cell r="BE34">
            <v>452.64942999999994</v>
          </cell>
          <cell r="BF34">
            <v>-1889.6098400000001</v>
          </cell>
          <cell r="BG34">
            <v>-97.812430000000006</v>
          </cell>
          <cell r="BH34">
            <v>43.528869999999984</v>
          </cell>
          <cell r="BI34">
            <v>0.30729000000000001</v>
          </cell>
          <cell r="BJ34">
            <v>0</v>
          </cell>
          <cell r="BK34">
            <v>4581.8925499999878</v>
          </cell>
          <cell r="EA34">
            <v>8095.6165599999949</v>
          </cell>
          <cell r="EL34">
            <v>10711.009409999981</v>
          </cell>
          <cell r="EM34">
            <v>-729.90350999999998</v>
          </cell>
          <cell r="EN34">
            <v>0</v>
          </cell>
          <cell r="EO34">
            <v>-309.61900000000003</v>
          </cell>
          <cell r="EP34">
            <v>22.529110000000006</v>
          </cell>
          <cell r="EQ34">
            <v>-340.26125000000002</v>
          </cell>
          <cell r="ER34">
            <v>-50.451779999999985</v>
          </cell>
          <cell r="ES34">
            <v>0</v>
          </cell>
          <cell r="ET34">
            <v>-3762.2807282782633</v>
          </cell>
          <cell r="EU34">
            <v>0</v>
          </cell>
          <cell r="EV34">
            <v>-767.15312172173753</v>
          </cell>
          <cell r="EW34">
            <v>-146.89702</v>
          </cell>
          <cell r="EX34">
            <v>151.59126000000003</v>
          </cell>
          <cell r="EY34">
            <v>5.0801400000000001</v>
          </cell>
          <cell r="EZ34">
            <v>0</v>
          </cell>
          <cell r="FA34">
            <v>-3829.0802100000001</v>
          </cell>
          <cell r="FB34">
            <v>210.36842999999999</v>
          </cell>
          <cell r="FC34">
            <v>-68.883219999999994</v>
          </cell>
          <cell r="FD34">
            <v>-95.29822999999999</v>
          </cell>
          <cell r="FE34">
            <v>0</v>
          </cell>
          <cell r="FF34">
            <v>2834.7656999999981</v>
          </cell>
          <cell r="FG34">
            <v>57.380159999999961</v>
          </cell>
          <cell r="FH34">
            <v>95.436009999999982</v>
          </cell>
          <cell r="FI34">
            <v>-1.5380100000000003</v>
          </cell>
          <cell r="FJ34">
            <v>-2163.6743599999973</v>
          </cell>
          <cell r="FK34">
            <v>1630.2842900000014</v>
          </cell>
          <cell r="FL34">
            <v>-2195.353250000001</v>
          </cell>
          <cell r="FM34">
            <v>-905.35377000000017</v>
          </cell>
          <cell r="FN34">
            <v>-137.13196000000005</v>
          </cell>
          <cell r="FO34">
            <v>-469.49232000000006</v>
          </cell>
          <cell r="FP34">
            <v>-488.28989999999999</v>
          </cell>
          <cell r="FR34">
            <v>-1196.7996400000081</v>
          </cell>
          <cell r="FS34">
            <v>1.64</v>
          </cell>
          <cell r="FT34">
            <v>0</v>
          </cell>
          <cell r="FU34">
            <v>0</v>
          </cell>
          <cell r="FV34">
            <v>-79.969213914423221</v>
          </cell>
          <cell r="FW34">
            <v>0</v>
          </cell>
          <cell r="FX34">
            <v>199.89879391442321</v>
          </cell>
          <cell r="FY34">
            <v>4.08866</v>
          </cell>
          <cell r="FZ34">
            <v>-2.8491100000000005</v>
          </cell>
          <cell r="GA34">
            <v>-9.3629999999999991E-2</v>
          </cell>
          <cell r="GB34">
            <v>0</v>
          </cell>
          <cell r="GC34">
            <v>452.64942999999994</v>
          </cell>
          <cell r="GD34">
            <v>-1441.2786100000001</v>
          </cell>
          <cell r="GE34">
            <v>-97.812430000000006</v>
          </cell>
          <cell r="GF34">
            <v>38.265809999999988</v>
          </cell>
          <cell r="GG34">
            <v>0.30729000000000001</v>
          </cell>
          <cell r="GH34">
            <v>0</v>
          </cell>
          <cell r="GI34">
            <v>-2864.1697800000265</v>
          </cell>
        </row>
        <row r="35">
          <cell r="C35">
            <v>44260.160450183765</v>
          </cell>
          <cell r="N35">
            <v>33429.349732577852</v>
          </cell>
          <cell r="O35">
            <v>-6310.0508850923034</v>
          </cell>
          <cell r="P35">
            <v>-2146.4711477478122</v>
          </cell>
          <cell r="Q35">
            <v>-1467.8613068446207</v>
          </cell>
          <cell r="R35">
            <v>0</v>
          </cell>
          <cell r="S35">
            <v>-911.93332541362588</v>
          </cell>
          <cell r="T35">
            <v>-467.2473306360622</v>
          </cell>
          <cell r="U35">
            <v>0</v>
          </cell>
          <cell r="V35">
            <v>-3084.1819834594412</v>
          </cell>
          <cell r="W35">
            <v>-1958.45910188228</v>
          </cell>
          <cell r="X35">
            <v>-1477.2190116456886</v>
          </cell>
          <cell r="Y35">
            <v>-212.09675694195482</v>
          </cell>
          <cell r="Z35">
            <v>192.97830467075445</v>
          </cell>
          <cell r="AA35">
            <v>0</v>
          </cell>
          <cell r="AB35">
            <v>0</v>
          </cell>
          <cell r="AC35">
            <v>-4379.2041369809958</v>
          </cell>
          <cell r="AD35">
            <v>0</v>
          </cell>
          <cell r="AE35">
            <v>0</v>
          </cell>
          <cell r="AF35">
            <v>-406.83449523597346</v>
          </cell>
          <cell r="AG35">
            <v>0</v>
          </cell>
          <cell r="AH35">
            <v>5384.7886322169697</v>
          </cell>
          <cell r="AI35">
            <v>212.09675694195482</v>
          </cell>
          <cell r="AJ35">
            <v>0</v>
          </cell>
          <cell r="AK35">
            <v>0</v>
          </cell>
          <cell r="AL35">
            <v>-8760.9289005595692</v>
          </cell>
          <cell r="AM35">
            <v>0</v>
          </cell>
          <cell r="AN35">
            <v>0</v>
          </cell>
          <cell r="AO35">
            <v>-2339.6420583593167</v>
          </cell>
          <cell r="AP35">
            <v>-245.5841832570085</v>
          </cell>
          <cell r="AQ35">
            <v>-1642.1239364313969</v>
          </cell>
          <cell r="AR35">
            <v>-1776.8877719361528</v>
          </cell>
          <cell r="AT35">
            <v>-3182.5786559552371</v>
          </cell>
          <cell r="AU35">
            <v>446.65303016706753</v>
          </cell>
          <cell r="AV35">
            <v>870.8909568966925</v>
          </cell>
          <cell r="AW35">
            <v>0</v>
          </cell>
          <cell r="AX35">
            <v>-398.13193855260778</v>
          </cell>
          <cell r="AY35">
            <v>815.30566135627953</v>
          </cell>
          <cell r="AZ35">
            <v>0</v>
          </cell>
          <cell r="BA35">
            <v>17.911003219932127</v>
          </cell>
          <cell r="BB35">
            <v>-17.121452728424131</v>
          </cell>
          <cell r="BC35">
            <v>0</v>
          </cell>
          <cell r="BD35">
            <v>0</v>
          </cell>
          <cell r="BE35">
            <v>351.06954920861529</v>
          </cell>
          <cell r="BF35">
            <v>-351.06954920861529</v>
          </cell>
          <cell r="BG35">
            <v>-17.911003219932127</v>
          </cell>
          <cell r="BH35">
            <v>0</v>
          </cell>
          <cell r="BI35">
            <v>0</v>
          </cell>
          <cell r="BJ35">
            <v>0</v>
          </cell>
          <cell r="BK35">
            <v>167.50469516710132</v>
          </cell>
          <cell r="EA35">
            <v>8943.2278112629356</v>
          </cell>
          <cell r="EL35">
            <v>11143.116577525951</v>
          </cell>
          <cell r="EM35">
            <v>-2103.3502950307666</v>
          </cell>
          <cell r="EN35">
            <v>-715.4903825826043</v>
          </cell>
          <cell r="EO35">
            <v>-489.28710228154011</v>
          </cell>
          <cell r="EP35">
            <v>0</v>
          </cell>
          <cell r="EQ35">
            <v>-303.97777513787526</v>
          </cell>
          <cell r="ER35">
            <v>-155.74911021202075</v>
          </cell>
          <cell r="ES35">
            <v>0</v>
          </cell>
          <cell r="ET35">
            <v>-1028.0606611531466</v>
          </cell>
          <cell r="EU35">
            <v>-652.81970062742676</v>
          </cell>
          <cell r="EV35">
            <v>-492.40633721522954</v>
          </cell>
          <cell r="EW35">
            <v>-70.698918980651626</v>
          </cell>
          <cell r="EX35">
            <v>64.326101556918132</v>
          </cell>
          <cell r="EY35">
            <v>0</v>
          </cell>
          <cell r="EZ35">
            <v>0</v>
          </cell>
          <cell r="FA35">
            <v>-1459.7347123269988</v>
          </cell>
          <cell r="FB35">
            <v>0</v>
          </cell>
          <cell r="FC35">
            <v>0</v>
          </cell>
          <cell r="FD35">
            <v>-135.61149841199114</v>
          </cell>
          <cell r="FE35">
            <v>0</v>
          </cell>
          <cell r="FF35">
            <v>1794.9295440723236</v>
          </cell>
          <cell r="FG35">
            <v>70.698918980651626</v>
          </cell>
          <cell r="FH35">
            <v>0</v>
          </cell>
          <cell r="FI35">
            <v>0</v>
          </cell>
          <cell r="FJ35">
            <v>-2920.309633519857</v>
          </cell>
          <cell r="FK35">
            <v>0</v>
          </cell>
          <cell r="FL35">
            <v>0</v>
          </cell>
          <cell r="FM35">
            <v>-779.88068611977224</v>
          </cell>
          <cell r="FN35">
            <v>-81.861394419002835</v>
          </cell>
          <cell r="FO35">
            <v>-547.37464547713216</v>
          </cell>
          <cell r="FP35">
            <v>-592.29592397871761</v>
          </cell>
          <cell r="FR35">
            <v>-1060.8595519850787</v>
          </cell>
          <cell r="FS35">
            <v>148.88434338902249</v>
          </cell>
          <cell r="FT35">
            <v>290.29698563223076</v>
          </cell>
          <cell r="FU35">
            <v>0</v>
          </cell>
          <cell r="FV35">
            <v>-132.71064618420257</v>
          </cell>
          <cell r="FW35">
            <v>271.76855378542643</v>
          </cell>
          <cell r="FX35">
            <v>0</v>
          </cell>
          <cell r="FY35">
            <v>5.9703344066440422</v>
          </cell>
          <cell r="FZ35">
            <v>-5.7071509094747093</v>
          </cell>
          <cell r="GA35">
            <v>0</v>
          </cell>
          <cell r="GB35">
            <v>0</v>
          </cell>
          <cell r="GC35">
            <v>117.02318306953845</v>
          </cell>
          <cell r="GD35">
            <v>-117.02318306953845</v>
          </cell>
          <cell r="GE35">
            <v>-5.9703344066440422</v>
          </cell>
          <cell r="GF35">
            <v>0</v>
          </cell>
          <cell r="GG35">
            <v>0</v>
          </cell>
          <cell r="GH35">
            <v>0</v>
          </cell>
          <cell r="GI35">
            <v>55.834898389033924</v>
          </cell>
        </row>
        <row r="37">
          <cell r="C37">
            <v>2.4634299999999998</v>
          </cell>
          <cell r="N37">
            <v>1.4849299999999999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-1.7000000000000001E-4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20</v>
          </cell>
          <cell r="AC37">
            <v>-4.1799999999999997E-2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-1.7479100000000001</v>
          </cell>
          <cell r="AM37">
            <v>1.45909</v>
          </cell>
          <cell r="AN37">
            <v>-1.1142800000000002</v>
          </cell>
          <cell r="AO37">
            <v>0</v>
          </cell>
          <cell r="AP37">
            <v>-2.5000000000000001E-4</v>
          </cell>
          <cell r="AQ37">
            <v>0</v>
          </cell>
          <cell r="AR37">
            <v>-4.0000000000000003E-5</v>
          </cell>
          <cell r="AT37">
            <v>-1.7370699999999801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0.18356</v>
          </cell>
          <cell r="BH37">
            <v>0</v>
          </cell>
          <cell r="BI37">
            <v>-2.48E-3</v>
          </cell>
          <cell r="BJ37">
            <v>0</v>
          </cell>
          <cell r="BK37">
            <v>18.483580000000021</v>
          </cell>
          <cell r="EA37">
            <v>0.10253999999999985</v>
          </cell>
          <cell r="EL37">
            <v>0.46835999999999989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20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-0.89168999999999987</v>
          </cell>
          <cell r="FK37">
            <v>0.55715000000000026</v>
          </cell>
          <cell r="FL37">
            <v>-0.69451000000000029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R37">
            <v>-0.59832999999999581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0.18356</v>
          </cell>
          <cell r="GF37">
            <v>0</v>
          </cell>
          <cell r="GG37">
            <v>-2.48E-3</v>
          </cell>
          <cell r="GH37">
            <v>0</v>
          </cell>
          <cell r="GI37">
            <v>19.022060000000003</v>
          </cell>
        </row>
        <row r="38">
          <cell r="C38">
            <v>3.6837400000000002</v>
          </cell>
          <cell r="N38">
            <v>2.1137199999999989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-7.3999999999999999E-4</v>
          </cell>
          <cell r="U38">
            <v>0</v>
          </cell>
          <cell r="V38">
            <v>-3.9799999999999974E-3</v>
          </cell>
          <cell r="W38">
            <v>0</v>
          </cell>
          <cell r="X38">
            <v>0</v>
          </cell>
          <cell r="Y38">
            <v>-5.0000000000000002E-5</v>
          </cell>
          <cell r="Z38">
            <v>1.3000000000000012E-4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3.9800000000000009E-3</v>
          </cell>
          <cell r="AI38">
            <v>8.0000000000000007E-5</v>
          </cell>
          <cell r="AJ38">
            <v>-1.8999999999999996E-4</v>
          </cell>
          <cell r="AK38">
            <v>0</v>
          </cell>
          <cell r="AL38">
            <v>-1.3708300000000002</v>
          </cell>
          <cell r="AM38">
            <v>2.5231599999999994</v>
          </cell>
          <cell r="AN38">
            <v>-1.9315699999999991</v>
          </cell>
          <cell r="AO38">
            <v>-2.3689999999999996E-2</v>
          </cell>
          <cell r="AP38">
            <v>-8.9000000000000006E-4</v>
          </cell>
          <cell r="AQ38">
            <v>-0.45018999999999998</v>
          </cell>
          <cell r="AR38">
            <v>-1.8009999999999998E-2</v>
          </cell>
          <cell r="AT38">
            <v>129.27776000000003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-6.0410000000000005E-2</v>
          </cell>
          <cell r="BH38">
            <v>0</v>
          </cell>
          <cell r="BI38">
            <v>-1.08E-3</v>
          </cell>
          <cell r="BJ38">
            <v>0</v>
          </cell>
          <cell r="BK38">
            <v>130.05720000000005</v>
          </cell>
          <cell r="EA38">
            <v>0.14890000000000025</v>
          </cell>
          <cell r="EL38">
            <v>0.56698000000000026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3.0370000000000001E-2</v>
          </cell>
          <cell r="EU38">
            <v>0</v>
          </cell>
          <cell r="EV38">
            <v>0</v>
          </cell>
          <cell r="EW38">
            <v>-5.0000000000000002E-5</v>
          </cell>
          <cell r="EX38">
            <v>-9.8999999999999999E-4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-1.7139999999999999E-2</v>
          </cell>
          <cell r="FG38">
            <v>8.0000000000000007E-5</v>
          </cell>
          <cell r="FH38">
            <v>6.4999999999999997E-4</v>
          </cell>
          <cell r="FI38">
            <v>0</v>
          </cell>
          <cell r="FJ38">
            <v>-5.367999999999995E-2</v>
          </cell>
          <cell r="FK38">
            <v>1.0194999999999999</v>
          </cell>
          <cell r="FL38">
            <v>-1.1740899999999994</v>
          </cell>
          <cell r="FM38">
            <v>-7.7899999999999983E-3</v>
          </cell>
          <cell r="FN38">
            <v>-3.2000000000000008E-4</v>
          </cell>
          <cell r="FO38">
            <v>-0.14809</v>
          </cell>
          <cell r="FP38">
            <v>-6.7399999999999977E-3</v>
          </cell>
          <cell r="FR38">
            <v>-4.5655499999999734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-6.0410000000000005E-2</v>
          </cell>
          <cell r="GF38">
            <v>0</v>
          </cell>
          <cell r="GG38">
            <v>-1.08E-3</v>
          </cell>
          <cell r="GH38">
            <v>0</v>
          </cell>
          <cell r="GI38">
            <v>-4.4183499999999736</v>
          </cell>
        </row>
        <row r="39">
          <cell r="C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EA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</row>
        <row r="41">
          <cell r="C41">
            <v>15225.4257</v>
          </cell>
          <cell r="N41">
            <v>9061.5409999999993</v>
          </cell>
          <cell r="O41">
            <v>-145.4068</v>
          </cell>
          <cell r="P41">
            <v>0</v>
          </cell>
          <cell r="Q41">
            <v>0</v>
          </cell>
          <cell r="R41">
            <v>10.57559</v>
          </cell>
          <cell r="S41">
            <v>-298.51392999999996</v>
          </cell>
          <cell r="T41">
            <v>-16.739090000000001</v>
          </cell>
          <cell r="U41">
            <v>0</v>
          </cell>
          <cell r="V41">
            <v>-3051.7187610843948</v>
          </cell>
          <cell r="W41">
            <v>-2.0423100000000001</v>
          </cell>
          <cell r="X41">
            <v>-608.15310891560534</v>
          </cell>
          <cell r="Y41">
            <v>-66.619460000000004</v>
          </cell>
          <cell r="Z41">
            <v>428.06754000000001</v>
          </cell>
          <cell r="AA41">
            <v>7.2856199999999998</v>
          </cell>
          <cell r="AB41">
            <v>-40</v>
          </cell>
          <cell r="AC41">
            <v>-3038.8838900000001</v>
          </cell>
          <cell r="AD41">
            <v>175.51790000000003</v>
          </cell>
          <cell r="AE41">
            <v>-179.67552999999998</v>
          </cell>
          <cell r="AF41">
            <v>-470.49505999999991</v>
          </cell>
          <cell r="AG41">
            <v>0</v>
          </cell>
          <cell r="AH41">
            <v>-165.15296999999907</v>
          </cell>
          <cell r="AI41">
            <v>962.80580000000009</v>
          </cell>
          <cell r="AJ41">
            <v>786.50968999999986</v>
          </cell>
          <cell r="AK41">
            <v>-78.189140000000009</v>
          </cell>
          <cell r="AL41">
            <v>-3432.4110599999999</v>
          </cell>
          <cell r="AM41">
            <v>2746.0416600000003</v>
          </cell>
          <cell r="AN41">
            <v>-1405.37763</v>
          </cell>
          <cell r="AO41">
            <v>-972.74322999999993</v>
          </cell>
          <cell r="AP41">
            <v>-100.70030000000001</v>
          </cell>
          <cell r="AQ41">
            <v>-464.49104999999997</v>
          </cell>
          <cell r="AR41">
            <v>-392.75033999999994</v>
          </cell>
          <cell r="AT41">
            <v>-265.03764000000007</v>
          </cell>
          <cell r="AU41">
            <v>0</v>
          </cell>
          <cell r="AV41">
            <v>0</v>
          </cell>
          <cell r="AW41">
            <v>0</v>
          </cell>
          <cell r="AX41">
            <v>17.764244309678361</v>
          </cell>
          <cell r="AY41">
            <v>0</v>
          </cell>
          <cell r="AZ41">
            <v>32.647385690321642</v>
          </cell>
          <cell r="BA41">
            <v>1.1170599999999999</v>
          </cell>
          <cell r="BB41">
            <v>-6.2381600000000006</v>
          </cell>
          <cell r="BC41">
            <v>-0.12395999999999999</v>
          </cell>
          <cell r="BD41">
            <v>0</v>
          </cell>
          <cell r="BE41">
            <v>3.5150500000000005</v>
          </cell>
          <cell r="BF41">
            <v>31.610400000000602</v>
          </cell>
          <cell r="BG41">
            <v>74.545940000000002</v>
          </cell>
          <cell r="BH41">
            <v>-160.91850000000005</v>
          </cell>
          <cell r="BI41">
            <v>-6.3650000000000206E-2</v>
          </cell>
          <cell r="BJ41">
            <v>5.6843418860808016E-16</v>
          </cell>
          <cell r="BK41">
            <v>-1022.9006899999973</v>
          </cell>
          <cell r="EA41">
            <v>1900.0503899999985</v>
          </cell>
          <cell r="EL41">
            <v>2874.0704699999987</v>
          </cell>
          <cell r="EM41">
            <v>-98.162099999999995</v>
          </cell>
          <cell r="EN41">
            <v>0</v>
          </cell>
          <cell r="EO41">
            <v>0</v>
          </cell>
          <cell r="EP41">
            <v>10.57559</v>
          </cell>
          <cell r="EQ41">
            <v>-116.79963999999995</v>
          </cell>
          <cell r="ER41">
            <v>-10.52797</v>
          </cell>
          <cell r="ES41">
            <v>0</v>
          </cell>
          <cell r="ET41">
            <v>-1012.8126203157149</v>
          </cell>
          <cell r="EU41">
            <v>-2.0423100000000001</v>
          </cell>
          <cell r="EV41">
            <v>-279.56643968428523</v>
          </cell>
          <cell r="EW41">
            <v>-66.619460000000004</v>
          </cell>
          <cell r="EX41">
            <v>152.34151000000003</v>
          </cell>
          <cell r="EY41">
            <v>7.2856199999999998</v>
          </cell>
          <cell r="EZ41">
            <v>-40</v>
          </cell>
          <cell r="FA41">
            <v>-756.83799999999974</v>
          </cell>
          <cell r="FB41">
            <v>8.9319700000000068</v>
          </cell>
          <cell r="FC41">
            <v>-61.164330000000007</v>
          </cell>
          <cell r="FD41">
            <v>-126.14133999999996</v>
          </cell>
          <cell r="FE41">
            <v>0</v>
          </cell>
          <cell r="FF41">
            <v>-2644.0588000000002</v>
          </cell>
          <cell r="FG41">
            <v>962.80580000000009</v>
          </cell>
          <cell r="FH41">
            <v>734.17628999999988</v>
          </cell>
          <cell r="FI41">
            <v>-78.189140000000009</v>
          </cell>
          <cell r="FJ41">
            <v>-457.49845000000005</v>
          </cell>
          <cell r="FK41">
            <v>377.51250000000027</v>
          </cell>
          <cell r="FL41">
            <v>-588.68052999999998</v>
          </cell>
          <cell r="FM41">
            <v>-220.79383999999993</v>
          </cell>
          <cell r="FN41">
            <v>-43.692590000000003</v>
          </cell>
          <cell r="FO41">
            <v>-151.75686999999999</v>
          </cell>
          <cell r="FP41">
            <v>-156.34198999999995</v>
          </cell>
          <cell r="FR41">
            <v>-88.391780000000011</v>
          </cell>
          <cell r="FS41">
            <v>0</v>
          </cell>
          <cell r="FT41">
            <v>0</v>
          </cell>
          <cell r="FU41">
            <v>0</v>
          </cell>
          <cell r="FV41">
            <v>1.7102526802259845</v>
          </cell>
          <cell r="FW41">
            <v>0</v>
          </cell>
          <cell r="FX41">
            <v>12.432147319774018</v>
          </cell>
          <cell r="FY41">
            <v>1.1170599999999999</v>
          </cell>
          <cell r="FZ41">
            <v>-1.6127100000000008</v>
          </cell>
          <cell r="GA41">
            <v>-0.12395999999999999</v>
          </cell>
          <cell r="GB41">
            <v>0</v>
          </cell>
          <cell r="GC41">
            <v>2.9581500000000007</v>
          </cell>
          <cell r="GD41">
            <v>-1.674260000000686</v>
          </cell>
          <cell r="GE41">
            <v>74.545940000000002</v>
          </cell>
          <cell r="GF41">
            <v>-91.370910000000038</v>
          </cell>
          <cell r="GG41">
            <v>-6.3650000000000206E-2</v>
          </cell>
          <cell r="GH41">
            <v>5.6843418860808016E-16</v>
          </cell>
          <cell r="GI41">
            <v>-1874.4603900000018</v>
          </cell>
        </row>
        <row r="42">
          <cell r="C42">
            <v>14990.43245</v>
          </cell>
          <cell r="N42">
            <v>9098.3808800000006</v>
          </cell>
          <cell r="O42">
            <v>-116.69313</v>
          </cell>
          <cell r="P42">
            <v>0</v>
          </cell>
          <cell r="Q42">
            <v>0</v>
          </cell>
          <cell r="R42">
            <v>1.325</v>
          </cell>
          <cell r="S42">
            <v>-295.16016999999999</v>
          </cell>
          <cell r="T42">
            <v>-15.091189999999997</v>
          </cell>
          <cell r="U42">
            <v>0</v>
          </cell>
          <cell r="V42">
            <v>-3757.5020240836943</v>
          </cell>
          <cell r="W42">
            <v>0</v>
          </cell>
          <cell r="X42">
            <v>-496.92160591630562</v>
          </cell>
          <cell r="Y42">
            <v>-135.95105999999998</v>
          </cell>
          <cell r="Z42">
            <v>459.78257999999994</v>
          </cell>
          <cell r="AA42">
            <v>15.28026</v>
          </cell>
          <cell r="AB42">
            <v>-20</v>
          </cell>
          <cell r="AC42">
            <v>-2708.12129</v>
          </cell>
          <cell r="AD42">
            <v>159.58375000000001</v>
          </cell>
          <cell r="AE42">
            <v>-207.70560999999998</v>
          </cell>
          <cell r="AF42">
            <v>-550.05482000000006</v>
          </cell>
          <cell r="AG42">
            <v>0</v>
          </cell>
          <cell r="AH42">
            <v>3252.6513000000004</v>
          </cell>
          <cell r="AI42">
            <v>826.87565999999993</v>
          </cell>
          <cell r="AJ42">
            <v>-445.54705999999999</v>
          </cell>
          <cell r="AK42">
            <v>-32.485659999999982</v>
          </cell>
          <cell r="AL42">
            <v>-3372.1036600000011</v>
          </cell>
          <cell r="AM42">
            <v>2601.73414</v>
          </cell>
          <cell r="AN42">
            <v>-1319.02081</v>
          </cell>
          <cell r="AO42">
            <v>-1113.0298599999999</v>
          </cell>
          <cell r="AP42">
            <v>-102.64006999999999</v>
          </cell>
          <cell r="AQ42">
            <v>-480.37335999999999</v>
          </cell>
          <cell r="AR42">
            <v>-383.69436999999994</v>
          </cell>
          <cell r="AT42">
            <v>-388.47140000000007</v>
          </cell>
          <cell r="AU42">
            <v>0</v>
          </cell>
          <cell r="AV42">
            <v>0</v>
          </cell>
          <cell r="AW42">
            <v>0</v>
          </cell>
          <cell r="AX42">
            <v>62.63089339941066</v>
          </cell>
          <cell r="AY42">
            <v>0</v>
          </cell>
          <cell r="AZ42">
            <v>23.086806600589348</v>
          </cell>
          <cell r="BA42">
            <v>2.6770299999999998</v>
          </cell>
          <cell r="BB42">
            <v>-9.6105800000000006</v>
          </cell>
          <cell r="BC42">
            <v>-0.29929000000000006</v>
          </cell>
          <cell r="BD42">
            <v>0</v>
          </cell>
          <cell r="BE42">
            <v>320.83222999999998</v>
          </cell>
          <cell r="BF42">
            <v>-867.28135999999392</v>
          </cell>
          <cell r="BG42">
            <v>-238.55297000000002</v>
          </cell>
          <cell r="BH42">
            <v>78.196969999999979</v>
          </cell>
          <cell r="BI42">
            <v>4.9487800000000002</v>
          </cell>
          <cell r="BJ42">
            <v>-4.0927261579781768E-15</v>
          </cell>
          <cell r="BK42">
            <v>-148.32506999999401</v>
          </cell>
          <cell r="EA42">
            <v>1843.1941700000007</v>
          </cell>
          <cell r="EL42">
            <v>2768.7233299999998</v>
          </cell>
          <cell r="EM42">
            <v>-60.042779999999993</v>
          </cell>
          <cell r="EN42">
            <v>0</v>
          </cell>
          <cell r="EO42">
            <v>0</v>
          </cell>
          <cell r="EP42">
            <v>2.9450000000000003</v>
          </cell>
          <cell r="EQ42">
            <v>-111.46752000000001</v>
          </cell>
          <cell r="ER42">
            <v>-7.2902899999999988</v>
          </cell>
          <cell r="ES42">
            <v>0</v>
          </cell>
          <cell r="ET42">
            <v>-1567.391199256318</v>
          </cell>
          <cell r="EU42">
            <v>0</v>
          </cell>
          <cell r="EV42">
            <v>-207.80278074368158</v>
          </cell>
          <cell r="EW42">
            <v>-135.95105999999998</v>
          </cell>
          <cell r="EX42">
            <v>184.40788999999995</v>
          </cell>
          <cell r="EY42">
            <v>15.28026</v>
          </cell>
          <cell r="EZ42">
            <v>-20</v>
          </cell>
          <cell r="FA42">
            <v>-1128.2416799999999</v>
          </cell>
          <cell r="FB42">
            <v>28.351789999999994</v>
          </cell>
          <cell r="FC42">
            <v>-72.11809999999997</v>
          </cell>
          <cell r="FD42">
            <v>3.5790399999998499</v>
          </cell>
          <cell r="FE42">
            <v>0</v>
          </cell>
          <cell r="FF42">
            <v>5054.612360000001</v>
          </cell>
          <cell r="FG42">
            <v>826.87565999999993</v>
          </cell>
          <cell r="FH42">
            <v>-1039.32303</v>
          </cell>
          <cell r="FI42">
            <v>-32.485659999999982</v>
          </cell>
          <cell r="FJ42">
            <v>-443.44480999999996</v>
          </cell>
          <cell r="FK42">
            <v>327.63460999999961</v>
          </cell>
          <cell r="FL42">
            <v>-529.3940399999999</v>
          </cell>
          <cell r="FM42">
            <v>-376.59440999999993</v>
          </cell>
          <cell r="FN42">
            <v>-38.026089999999996</v>
          </cell>
          <cell r="FO42">
            <v>-153.36131999999998</v>
          </cell>
          <cell r="FP42">
            <v>-138.22908999999993</v>
          </cell>
          <cell r="FR42">
            <v>-140.58339000000004</v>
          </cell>
          <cell r="FS42">
            <v>0</v>
          </cell>
          <cell r="FT42">
            <v>0</v>
          </cell>
          <cell r="FU42">
            <v>0</v>
          </cell>
          <cell r="FV42">
            <v>5.434143399410658</v>
          </cell>
          <cell r="FW42">
            <v>0</v>
          </cell>
          <cell r="FX42">
            <v>23.086806600589348</v>
          </cell>
          <cell r="FY42">
            <v>2.6770299999999998</v>
          </cell>
          <cell r="FZ42">
            <v>-3.1154000000000011</v>
          </cell>
          <cell r="GA42">
            <v>-0.29929000000000006</v>
          </cell>
          <cell r="GB42">
            <v>0</v>
          </cell>
          <cell r="GC42">
            <v>160.93949000000001</v>
          </cell>
          <cell r="GD42">
            <v>-1251.2293899999975</v>
          </cell>
          <cell r="GE42">
            <v>-238.55297000000002</v>
          </cell>
          <cell r="GF42">
            <v>132.98564999999999</v>
          </cell>
          <cell r="GG42">
            <v>4.9487800000000002</v>
          </cell>
          <cell r="GH42">
            <v>0</v>
          </cell>
          <cell r="GI42">
            <v>1847.5375400000044</v>
          </cell>
        </row>
        <row r="43">
          <cell r="C43">
            <v>14889.058310682594</v>
          </cell>
          <cell r="N43">
            <v>9168.1115444682982</v>
          </cell>
          <cell r="O43">
            <v>-751.30256880528827</v>
          </cell>
          <cell r="P43">
            <v>0</v>
          </cell>
          <cell r="Q43">
            <v>-121.5956615046605</v>
          </cell>
          <cell r="R43">
            <v>0</v>
          </cell>
          <cell r="S43">
            <v>-451.64326158557185</v>
          </cell>
          <cell r="T43">
            <v>-64.005866003972088</v>
          </cell>
          <cell r="U43">
            <v>0</v>
          </cell>
          <cell r="V43">
            <v>-2421.9241964416565</v>
          </cell>
          <cell r="W43">
            <v>0</v>
          </cell>
          <cell r="X43">
            <v>-659.1250370872142</v>
          </cell>
          <cell r="Y43">
            <v>-83.391559432463765</v>
          </cell>
          <cell r="Z43">
            <v>385.9858092696353</v>
          </cell>
          <cell r="AA43">
            <v>0</v>
          </cell>
          <cell r="AB43">
            <v>0</v>
          </cell>
          <cell r="AC43">
            <v>-3376.3030300644168</v>
          </cell>
          <cell r="AD43">
            <v>0</v>
          </cell>
          <cell r="AE43">
            <v>0</v>
          </cell>
          <cell r="AF43">
            <v>-588.15808615550179</v>
          </cell>
          <cell r="AG43">
            <v>0</v>
          </cell>
          <cell r="AH43">
            <v>3967.9611162199185</v>
          </cell>
          <cell r="AI43">
            <v>83.391559432463765</v>
          </cell>
          <cell r="AJ43">
            <v>0</v>
          </cell>
          <cell r="AK43">
            <v>0</v>
          </cell>
          <cell r="AL43">
            <v>-2158.679538412187</v>
          </cell>
          <cell r="AM43">
            <v>0</v>
          </cell>
          <cell r="AN43">
            <v>0</v>
          </cell>
          <cell r="AO43">
            <v>-1070.4056589615532</v>
          </cell>
          <cell r="AP43">
            <v>-90.818696556600258</v>
          </cell>
          <cell r="AQ43">
            <v>-526.93967825348193</v>
          </cell>
          <cell r="AR43">
            <v>-473.54369737886452</v>
          </cell>
          <cell r="AT43">
            <v>-342.61792881252961</v>
          </cell>
          <cell r="AU43">
            <v>53.128085252204031</v>
          </cell>
          <cell r="AV43">
            <v>0</v>
          </cell>
          <cell r="AW43">
            <v>11.867550447671459</v>
          </cell>
          <cell r="AX43">
            <v>83.829398527729182</v>
          </cell>
          <cell r="AY43">
            <v>0</v>
          </cell>
          <cell r="AZ43">
            <v>63.822061371392785</v>
          </cell>
          <cell r="BA43">
            <v>4.1374198781052449</v>
          </cell>
          <cell r="BB43">
            <v>-21.099055167527947</v>
          </cell>
          <cell r="BC43">
            <v>0</v>
          </cell>
          <cell r="BD43">
            <v>0</v>
          </cell>
          <cell r="BE43">
            <v>244.58445462612957</v>
          </cell>
          <cell r="BF43">
            <v>-332.83445462612957</v>
          </cell>
          <cell r="BG43">
            <v>-4.1542530058336942</v>
          </cell>
          <cell r="BH43">
            <v>0</v>
          </cell>
          <cell r="BI43">
            <v>0</v>
          </cell>
          <cell r="BJ43">
            <v>0</v>
          </cell>
          <cell r="BK43">
            <v>528.27677123809372</v>
          </cell>
          <cell r="EA43">
            <v>2147.2041328704581</v>
          </cell>
          <cell r="EL43">
            <v>3056.0371814894334</v>
          </cell>
          <cell r="EM43">
            <v>-250.4341896017628</v>
          </cell>
          <cell r="EN43">
            <v>0</v>
          </cell>
          <cell r="EO43">
            <v>-40.531887168220166</v>
          </cell>
          <cell r="EP43">
            <v>0</v>
          </cell>
          <cell r="EQ43">
            <v>-150.54775386185725</v>
          </cell>
          <cell r="ER43">
            <v>-21.335288667990696</v>
          </cell>
          <cell r="ES43">
            <v>0</v>
          </cell>
          <cell r="ET43">
            <v>-807.30806548055216</v>
          </cell>
          <cell r="EU43">
            <v>0</v>
          </cell>
          <cell r="EV43">
            <v>-219.7083456957381</v>
          </cell>
          <cell r="EW43">
            <v>-27.797186477487912</v>
          </cell>
          <cell r="EX43">
            <v>128.66193642321173</v>
          </cell>
          <cell r="EY43">
            <v>0</v>
          </cell>
          <cell r="EZ43">
            <v>0</v>
          </cell>
          <cell r="FA43">
            <v>-1125.4343433548052</v>
          </cell>
          <cell r="FB43">
            <v>0</v>
          </cell>
          <cell r="FC43">
            <v>0</v>
          </cell>
          <cell r="FD43">
            <v>-196.05269538516723</v>
          </cell>
          <cell r="FE43">
            <v>0</v>
          </cell>
          <cell r="FF43">
            <v>1322.6537054066389</v>
          </cell>
          <cell r="FG43">
            <v>27.797186477487912</v>
          </cell>
          <cell r="FH43">
            <v>0</v>
          </cell>
          <cell r="FI43">
            <v>0</v>
          </cell>
          <cell r="FJ43">
            <v>-719.55984613739565</v>
          </cell>
          <cell r="FK43">
            <v>0</v>
          </cell>
          <cell r="FL43">
            <v>0</v>
          </cell>
          <cell r="FM43">
            <v>-356.80188632051772</v>
          </cell>
          <cell r="FN43">
            <v>-30.272898852200079</v>
          </cell>
          <cell r="FO43">
            <v>-175.64655941782735</v>
          </cell>
          <cell r="FP43">
            <v>-157.84789912628816</v>
          </cell>
          <cell r="FR43">
            <v>-114.20597627084317</v>
          </cell>
          <cell r="FS43">
            <v>17.709361750734672</v>
          </cell>
          <cell r="FT43">
            <v>0</v>
          </cell>
          <cell r="FU43">
            <v>3.9558501492238198</v>
          </cell>
          <cell r="FV43">
            <v>27.943132842576397</v>
          </cell>
          <cell r="FW43">
            <v>0</v>
          </cell>
          <cell r="FX43">
            <v>21.274020457130923</v>
          </cell>
          <cell r="FY43">
            <v>1.3791399593684153</v>
          </cell>
          <cell r="FZ43">
            <v>-7.0330183891759805</v>
          </cell>
          <cell r="GA43">
            <v>0</v>
          </cell>
          <cell r="GB43">
            <v>0</v>
          </cell>
          <cell r="GC43">
            <v>81.52815154204319</v>
          </cell>
          <cell r="GD43">
            <v>-110.94481820870988</v>
          </cell>
          <cell r="GE43">
            <v>-1.384751001944565</v>
          </cell>
          <cell r="GF43">
            <v>0</v>
          </cell>
          <cell r="GG43">
            <v>0</v>
          </cell>
          <cell r="GH43">
            <v>0</v>
          </cell>
          <cell r="GI43">
            <v>176.09225707936514</v>
          </cell>
        </row>
        <row r="45">
          <cell r="C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-6.1906099999999986</v>
          </cell>
          <cell r="AI45">
            <v>1.63039</v>
          </cell>
          <cell r="AJ45">
            <v>1.4618399999999998</v>
          </cell>
          <cell r="AK45">
            <v>-3.2760000000000004E-2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-102.97301000000002</v>
          </cell>
          <cell r="AU45">
            <v>0</v>
          </cell>
          <cell r="AV45">
            <v>0</v>
          </cell>
          <cell r="AW45">
            <v>0</v>
          </cell>
          <cell r="AX45">
            <v>23.797999999999998</v>
          </cell>
          <cell r="AY45">
            <v>0</v>
          </cell>
          <cell r="AZ45">
            <v>0</v>
          </cell>
          <cell r="BA45">
            <v>0.51471</v>
          </cell>
          <cell r="BB45">
            <v>-2.9508299999999998</v>
          </cell>
          <cell r="BC45">
            <v>-5.672E-2</v>
          </cell>
          <cell r="BD45">
            <v>0</v>
          </cell>
          <cell r="BE45">
            <v>0</v>
          </cell>
          <cell r="BF45">
            <v>0</v>
          </cell>
          <cell r="BG45">
            <v>-0.23832</v>
          </cell>
          <cell r="BH45">
            <v>-0.18462000000000001</v>
          </cell>
          <cell r="BI45">
            <v>3.5810000000000002E-2</v>
          </cell>
          <cell r="BJ45">
            <v>1.2789769243681802E-16</v>
          </cell>
          <cell r="BK45">
            <v>-85.186120000000003</v>
          </cell>
          <cell r="EA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-1.8956900000000001</v>
          </cell>
          <cell r="FG45">
            <v>1.63039</v>
          </cell>
          <cell r="FH45">
            <v>0.41959999999999997</v>
          </cell>
          <cell r="FI45">
            <v>-3.2760000000000004E-2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R45">
            <v>-33.629090000000005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0.51471</v>
          </cell>
          <cell r="FZ45">
            <v>0</v>
          </cell>
          <cell r="GA45">
            <v>-5.672E-2</v>
          </cell>
          <cell r="GB45">
            <v>0</v>
          </cell>
          <cell r="GC45">
            <v>0</v>
          </cell>
          <cell r="GD45">
            <v>0</v>
          </cell>
          <cell r="GE45">
            <v>-0.23832</v>
          </cell>
          <cell r="GF45">
            <v>-6.0859999999999997E-2</v>
          </cell>
          <cell r="GG45">
            <v>3.5810000000000002E-2</v>
          </cell>
          <cell r="GH45">
            <v>1.2789769243681802E-16</v>
          </cell>
          <cell r="GI45">
            <v>-33.312930000000009</v>
          </cell>
        </row>
        <row r="46">
          <cell r="C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40.436469999999986</v>
          </cell>
          <cell r="AI46">
            <v>1.2673100000000002</v>
          </cell>
          <cell r="AJ46">
            <v>-2.8594899999999996</v>
          </cell>
          <cell r="AK46">
            <v>-0.10327000000000003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-130.60803999999999</v>
          </cell>
          <cell r="AU46">
            <v>0</v>
          </cell>
          <cell r="AV46">
            <v>0</v>
          </cell>
          <cell r="AW46">
            <v>0</v>
          </cell>
          <cell r="AX46">
            <v>9.0990000000000002</v>
          </cell>
          <cell r="AY46">
            <v>0</v>
          </cell>
          <cell r="AZ46">
            <v>0</v>
          </cell>
          <cell r="BA46">
            <v>0.28732999999999997</v>
          </cell>
          <cell r="BB46">
            <v>-1.0280799999999999</v>
          </cell>
          <cell r="BC46">
            <v>-3.2299999999999995E-2</v>
          </cell>
          <cell r="BD46">
            <v>0</v>
          </cell>
          <cell r="BE46">
            <v>6.4027200000000004</v>
          </cell>
          <cell r="BF46">
            <v>-9.0990000000000002</v>
          </cell>
          <cell r="BG46">
            <v>-0.27250000000000002</v>
          </cell>
          <cell r="BH46">
            <v>1.0385199999999999</v>
          </cell>
          <cell r="BI46">
            <v>3.1140000000000001E-2</v>
          </cell>
          <cell r="BJ46">
            <v>0</v>
          </cell>
          <cell r="BK46">
            <v>-85.440190000000001</v>
          </cell>
          <cell r="EA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53.388609999999986</v>
          </cell>
          <cell r="FG46">
            <v>1.2673100000000002</v>
          </cell>
          <cell r="FH46">
            <v>-4.29148</v>
          </cell>
          <cell r="FI46">
            <v>-0.10327000000000003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R46">
            <v>-20.375650000000007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0.28732999999999997</v>
          </cell>
          <cell r="FZ46">
            <v>0</v>
          </cell>
          <cell r="GA46">
            <v>-3.2299999999999995E-2</v>
          </cell>
          <cell r="GB46">
            <v>0</v>
          </cell>
          <cell r="GC46">
            <v>0</v>
          </cell>
          <cell r="GD46">
            <v>-20</v>
          </cell>
          <cell r="GE46">
            <v>-0.27250000000000002</v>
          </cell>
          <cell r="GF46">
            <v>2.3822399999999999</v>
          </cell>
          <cell r="GG46">
            <v>3.1140000000000001E-2</v>
          </cell>
          <cell r="GH46">
            <v>0</v>
          </cell>
          <cell r="GI46">
            <v>12.281429999999988</v>
          </cell>
        </row>
        <row r="47">
          <cell r="C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-8.8812571213669873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-8.8812571213669873</v>
          </cell>
          <cell r="EA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R47">
            <v>-2.9604190404556627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-2.9604190404556627</v>
          </cell>
        </row>
        <row r="49">
          <cell r="C49">
            <v>114.75907999999998</v>
          </cell>
          <cell r="N49">
            <v>106.29093000000006</v>
          </cell>
          <cell r="O49">
            <v>-0.76836000000000004</v>
          </cell>
          <cell r="P49">
            <v>0</v>
          </cell>
          <cell r="Q49">
            <v>0</v>
          </cell>
          <cell r="R49">
            <v>0</v>
          </cell>
          <cell r="S49">
            <v>-0.19605</v>
          </cell>
          <cell r="T49">
            <v>0</v>
          </cell>
          <cell r="U49">
            <v>0</v>
          </cell>
          <cell r="V49">
            <v>-1.8929499999999999</v>
          </cell>
          <cell r="W49">
            <v>0</v>
          </cell>
          <cell r="X49">
            <v>0</v>
          </cell>
          <cell r="Y49">
            <v>-1.5440000000000001E-2</v>
          </cell>
          <cell r="Z49">
            <v>8.6770000000000028E-2</v>
          </cell>
          <cell r="AA49">
            <v>7.7999999999999999E-4</v>
          </cell>
          <cell r="AB49">
            <v>0</v>
          </cell>
          <cell r="AC49">
            <v>-276.81551999999999</v>
          </cell>
          <cell r="AD49">
            <v>0.25</v>
          </cell>
          <cell r="AE49">
            <v>-7.7189999999999995E-2</v>
          </cell>
          <cell r="AF49">
            <v>0</v>
          </cell>
          <cell r="AG49">
            <v>0</v>
          </cell>
          <cell r="AH49">
            <v>31.654859999999985</v>
          </cell>
          <cell r="AI49">
            <v>18.429200000000002</v>
          </cell>
          <cell r="AJ49">
            <v>-1.9194200000000001</v>
          </cell>
          <cell r="AK49">
            <v>-0.72523000000000004</v>
          </cell>
          <cell r="AL49">
            <v>-30.806040000000007</v>
          </cell>
          <cell r="AM49">
            <v>54.052270000000021</v>
          </cell>
          <cell r="AN49">
            <v>-51.67831000000001</v>
          </cell>
          <cell r="AO49">
            <v>-1.4812000000000001</v>
          </cell>
          <cell r="AP49">
            <v>-0.22950000000000001</v>
          </cell>
          <cell r="AQ49">
            <v>-0.46736</v>
          </cell>
          <cell r="AR49">
            <v>-0.52654999999999996</v>
          </cell>
          <cell r="AT49">
            <v>-0.60704000000000102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2.2388100000000009</v>
          </cell>
          <cell r="BF49">
            <v>-0.20445000000000146</v>
          </cell>
          <cell r="BG49">
            <v>-4.3922400000000001</v>
          </cell>
          <cell r="BH49">
            <v>0.29409000000000002</v>
          </cell>
          <cell r="BI49">
            <v>0.30141000000000001</v>
          </cell>
          <cell r="BJ49">
            <v>0</v>
          </cell>
          <cell r="BK49">
            <v>-159.20372999999995</v>
          </cell>
          <cell r="EA49">
            <v>31.185370000000006</v>
          </cell>
          <cell r="EL49">
            <v>34.45772000000008</v>
          </cell>
          <cell r="EM49">
            <v>-0.76836000000000004</v>
          </cell>
          <cell r="EN49">
            <v>0</v>
          </cell>
          <cell r="EO49">
            <v>0</v>
          </cell>
          <cell r="EP49">
            <v>0</v>
          </cell>
          <cell r="EQ49">
            <v>-7.6479999999999979E-2</v>
          </cell>
          <cell r="ER49">
            <v>0</v>
          </cell>
          <cell r="ES49">
            <v>0</v>
          </cell>
          <cell r="ET49">
            <v>3.20418</v>
          </cell>
          <cell r="EU49">
            <v>0</v>
          </cell>
          <cell r="EV49">
            <v>0</v>
          </cell>
          <cell r="EW49">
            <v>-1.5440000000000001E-2</v>
          </cell>
          <cell r="EX49">
            <v>-0.14687</v>
          </cell>
          <cell r="EY49">
            <v>7.7999999999999999E-4</v>
          </cell>
          <cell r="EZ49">
            <v>0</v>
          </cell>
          <cell r="FA49">
            <v>-11.174289999999985</v>
          </cell>
          <cell r="FB49">
            <v>0</v>
          </cell>
          <cell r="FC49">
            <v>-2.8969999999999996E-2</v>
          </cell>
          <cell r="FD49">
            <v>0</v>
          </cell>
          <cell r="FE49">
            <v>0</v>
          </cell>
          <cell r="FF49">
            <v>-38.568180000000012</v>
          </cell>
          <cell r="FG49">
            <v>18.429200000000002</v>
          </cell>
          <cell r="FH49">
            <v>0.60528000000000004</v>
          </cell>
          <cell r="FI49">
            <v>-0.72523000000000004</v>
          </cell>
          <cell r="FJ49">
            <v>-8.458829999999999</v>
          </cell>
          <cell r="FK49">
            <v>18.657860000000007</v>
          </cell>
          <cell r="FL49">
            <v>-19.455159999999999</v>
          </cell>
          <cell r="FM49">
            <v>-0.50326000000000004</v>
          </cell>
          <cell r="FN49">
            <v>-9.2609999999999998E-2</v>
          </cell>
          <cell r="FO49">
            <v>-0.15732000000000002</v>
          </cell>
          <cell r="FP49">
            <v>-0.20621999999999996</v>
          </cell>
          <cell r="FR49">
            <v>-0.20235000000000092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-29.831409999999998</v>
          </cell>
          <cell r="GD49">
            <v>-0.20445000000000146</v>
          </cell>
          <cell r="GE49">
            <v>-4.3922400000000001</v>
          </cell>
          <cell r="GF49">
            <v>-3.0399999999999872E-3</v>
          </cell>
          <cell r="GG49">
            <v>0.30141000000000001</v>
          </cell>
          <cell r="GH49">
            <v>0</v>
          </cell>
          <cell r="GI49">
            <v>-39.35427999999991</v>
          </cell>
        </row>
        <row r="50">
          <cell r="C50">
            <v>124.15521999999999</v>
          </cell>
          <cell r="N50">
            <v>114.64580999999997</v>
          </cell>
          <cell r="O50">
            <v>-4.875</v>
          </cell>
          <cell r="P50">
            <v>0</v>
          </cell>
          <cell r="Q50">
            <v>0</v>
          </cell>
          <cell r="R50">
            <v>0</v>
          </cell>
          <cell r="S50">
            <v>-0.23497999999999999</v>
          </cell>
          <cell r="T50">
            <v>-0.13818</v>
          </cell>
          <cell r="U50">
            <v>0</v>
          </cell>
          <cell r="V50">
            <v>-2.7160000000000295E-2</v>
          </cell>
          <cell r="W50">
            <v>0</v>
          </cell>
          <cell r="X50">
            <v>0</v>
          </cell>
          <cell r="Y50">
            <v>-4.4999999999999999E-4</v>
          </cell>
          <cell r="Z50">
            <v>1.2299999999999534E-3</v>
          </cell>
          <cell r="AA50">
            <v>2.0000000000000002E-5</v>
          </cell>
          <cell r="AB50">
            <v>0</v>
          </cell>
          <cell r="AC50">
            <v>-62.920760000000001</v>
          </cell>
          <cell r="AD50">
            <v>1.1009999999999999E-2</v>
          </cell>
          <cell r="AE50">
            <v>-1.3800000000000002E-2</v>
          </cell>
          <cell r="AF50">
            <v>-0.36179</v>
          </cell>
          <cell r="AG50">
            <v>0</v>
          </cell>
          <cell r="AH50">
            <v>-279.39751999999999</v>
          </cell>
          <cell r="AI50">
            <v>-6.3721000000000014</v>
          </cell>
          <cell r="AJ50">
            <v>14.02411</v>
          </cell>
          <cell r="AK50">
            <v>0.37739000000000006</v>
          </cell>
          <cell r="AL50">
            <v>-31.858299999999993</v>
          </cell>
          <cell r="AM50">
            <v>52.497890000000027</v>
          </cell>
          <cell r="AN50">
            <v>-49.204469999999993</v>
          </cell>
          <cell r="AO50">
            <v>-1.3779299999999999</v>
          </cell>
          <cell r="AP50">
            <v>-0.73621999999999999</v>
          </cell>
          <cell r="AQ50">
            <v>-3.6945300000000003</v>
          </cell>
          <cell r="AR50">
            <v>-3.70994</v>
          </cell>
          <cell r="AT50">
            <v>-5.9830400000000017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-0.99236000000000013</v>
          </cell>
          <cell r="BH50">
            <v>-1.3900000000000003E-2</v>
          </cell>
          <cell r="BI50">
            <v>2.0699999999999998E-3</v>
          </cell>
          <cell r="BJ50">
            <v>0</v>
          </cell>
          <cell r="BK50">
            <v>-270.35289999999998</v>
          </cell>
          <cell r="EA50">
            <v>34.855339999999984</v>
          </cell>
          <cell r="EL50">
            <v>37.234619999999993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-7.3019999999999974E-2</v>
          </cell>
          <cell r="ER50">
            <v>0</v>
          </cell>
          <cell r="ES50">
            <v>0</v>
          </cell>
          <cell r="ET50">
            <v>6.7591000000000001</v>
          </cell>
          <cell r="EU50">
            <v>0</v>
          </cell>
          <cell r="EV50">
            <v>0</v>
          </cell>
          <cell r="EW50">
            <v>-4.4999999999999999E-4</v>
          </cell>
          <cell r="EX50">
            <v>-0.30767</v>
          </cell>
          <cell r="EY50">
            <v>2.0000000000000002E-5</v>
          </cell>
          <cell r="EZ50">
            <v>0</v>
          </cell>
          <cell r="FA50">
            <v>-13.883350000000007</v>
          </cell>
          <cell r="FB50">
            <v>0</v>
          </cell>
          <cell r="FC50">
            <v>-4.5500000000000002E-3</v>
          </cell>
          <cell r="FD50">
            <v>0</v>
          </cell>
          <cell r="FE50">
            <v>0</v>
          </cell>
          <cell r="FF50">
            <v>-14.594130000000007</v>
          </cell>
          <cell r="FG50">
            <v>-6.3721000000000014</v>
          </cell>
          <cell r="FH50">
            <v>1.2399500000000021</v>
          </cell>
          <cell r="FI50">
            <v>0.37739000000000006</v>
          </cell>
          <cell r="FJ50">
            <v>-9.1850600000000036</v>
          </cell>
          <cell r="FK50">
            <v>18.827700000000007</v>
          </cell>
          <cell r="FL50">
            <v>-19.159070000000003</v>
          </cell>
          <cell r="FM50">
            <v>-0.44040999999999997</v>
          </cell>
          <cell r="FN50">
            <v>-0.24826000000000004</v>
          </cell>
          <cell r="FO50">
            <v>-1.1859999999999999</v>
          </cell>
          <cell r="FP50">
            <v>-1.1963000000000004</v>
          </cell>
          <cell r="FR50">
            <v>-1.9953499999999997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-0.99236000000000013</v>
          </cell>
          <cell r="GF50">
            <v>-4.7870000000000003E-2</v>
          </cell>
          <cell r="GG50">
            <v>2.0699999999999998E-3</v>
          </cell>
          <cell r="GH50">
            <v>0</v>
          </cell>
          <cell r="GI50">
            <v>-5.2451000000000239</v>
          </cell>
        </row>
        <row r="51">
          <cell r="C51">
            <v>16.86</v>
          </cell>
          <cell r="N51">
            <v>16.100000000000019</v>
          </cell>
          <cell r="O51">
            <v>1.9541989586175455E-2</v>
          </cell>
          <cell r="P51">
            <v>0</v>
          </cell>
          <cell r="Q51">
            <v>0</v>
          </cell>
          <cell r="R51">
            <v>0</v>
          </cell>
          <cell r="S51">
            <v>-6.9859167149557977E-2</v>
          </cell>
          <cell r="T51">
            <v>0</v>
          </cell>
          <cell r="U51">
            <v>0</v>
          </cell>
          <cell r="V51">
            <v>3.7943070585443134E-2</v>
          </cell>
          <cell r="W51">
            <v>0</v>
          </cell>
          <cell r="X51">
            <v>0</v>
          </cell>
          <cell r="Y51">
            <v>9.4547890627096304E-4</v>
          </cell>
          <cell r="Z51">
            <v>-1.6739247745209554E-3</v>
          </cell>
          <cell r="AA51">
            <v>0</v>
          </cell>
          <cell r="AB51">
            <v>0</v>
          </cell>
          <cell r="AC51">
            <v>-5.9435790565129363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5.9435790565129363</v>
          </cell>
          <cell r="AI51">
            <v>-9.4547890627096304E-4</v>
          </cell>
          <cell r="AJ51">
            <v>0</v>
          </cell>
          <cell r="AK51">
            <v>0</v>
          </cell>
          <cell r="AL51">
            <v>-4.1841856941889377</v>
          </cell>
          <cell r="AM51">
            <v>0</v>
          </cell>
          <cell r="AN51">
            <v>0</v>
          </cell>
          <cell r="AO51">
            <v>-1.6153272943802226</v>
          </cell>
          <cell r="AP51">
            <v>-0.15258426453223126</v>
          </cell>
          <cell r="AQ51">
            <v>-0.5143456231286031</v>
          </cell>
          <cell r="AR51">
            <v>-0.50928687894393276</v>
          </cell>
          <cell r="AT51">
            <v>-1.2771683724159923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7.83305384065764</v>
          </cell>
          <cell r="EA51">
            <v>4.8899999999999988</v>
          </cell>
          <cell r="EL51">
            <v>5.3666666666666725</v>
          </cell>
          <cell r="EM51">
            <v>6.5139965287251515E-3</v>
          </cell>
          <cell r="EN51">
            <v>0</v>
          </cell>
          <cell r="EO51">
            <v>0</v>
          </cell>
          <cell r="EP51">
            <v>0</v>
          </cell>
          <cell r="EQ51">
            <v>-2.3286389049852661E-2</v>
          </cell>
          <cell r="ER51">
            <v>0</v>
          </cell>
          <cell r="ES51">
            <v>0</v>
          </cell>
          <cell r="ET51">
            <v>1.264769019514771E-2</v>
          </cell>
          <cell r="EU51">
            <v>0</v>
          </cell>
          <cell r="EV51">
            <v>0</v>
          </cell>
          <cell r="EW51">
            <v>3.1515963542365431E-4</v>
          </cell>
          <cell r="EX51">
            <v>-5.579749248403184E-4</v>
          </cell>
          <cell r="EY51">
            <v>0</v>
          </cell>
          <cell r="EZ51">
            <v>0</v>
          </cell>
          <cell r="FA51">
            <v>-1.9811930188376454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1.9811930188376454</v>
          </cell>
          <cell r="FG51">
            <v>-3.1515963542365431E-4</v>
          </cell>
          <cell r="FH51">
            <v>0</v>
          </cell>
          <cell r="FI51">
            <v>0</v>
          </cell>
          <cell r="FJ51">
            <v>-1.3947285647296459</v>
          </cell>
          <cell r="FK51">
            <v>0</v>
          </cell>
          <cell r="FL51">
            <v>0</v>
          </cell>
          <cell r="FM51">
            <v>-0.5384424314600742</v>
          </cell>
          <cell r="FN51">
            <v>-5.0861421510743757E-2</v>
          </cell>
          <cell r="FO51">
            <v>-0.17144854104286772</v>
          </cell>
          <cell r="FP51">
            <v>-0.16976229298131096</v>
          </cell>
          <cell r="FR51">
            <v>-0.42572279080533082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2.6110179468858794</v>
          </cell>
        </row>
        <row r="53">
          <cell r="C53">
            <v>1693.8872899999992</v>
          </cell>
          <cell r="N53">
            <v>746.39050999999995</v>
          </cell>
          <cell r="O53">
            <v>-7.2462299999999997</v>
          </cell>
          <cell r="P53">
            <v>0</v>
          </cell>
          <cell r="Q53">
            <v>0</v>
          </cell>
          <cell r="R53">
            <v>0</v>
          </cell>
          <cell r="S53">
            <v>-27.655639999999998</v>
          </cell>
          <cell r="T53">
            <v>0</v>
          </cell>
          <cell r="U53">
            <v>0</v>
          </cell>
          <cell r="V53">
            <v>-236.66512999999998</v>
          </cell>
          <cell r="W53">
            <v>0</v>
          </cell>
          <cell r="X53">
            <v>0</v>
          </cell>
          <cell r="Y53">
            <v>-3.7350499999999993</v>
          </cell>
          <cell r="Z53">
            <v>11.494900000000001</v>
          </cell>
          <cell r="AA53">
            <v>0.1706</v>
          </cell>
          <cell r="AB53">
            <v>0</v>
          </cell>
          <cell r="AC53">
            <v>-202.80387000000002</v>
          </cell>
          <cell r="AD53">
            <v>0.41186</v>
          </cell>
          <cell r="AE53">
            <v>-6.1477199999999996</v>
          </cell>
          <cell r="AF53">
            <v>-9.7054899999999993</v>
          </cell>
          <cell r="AG53">
            <v>0</v>
          </cell>
          <cell r="AH53">
            <v>395.10176999999999</v>
          </cell>
          <cell r="AI53">
            <v>1994.45399</v>
          </cell>
          <cell r="AJ53">
            <v>-5.6365400000000019</v>
          </cell>
          <cell r="AK53">
            <v>-401.23890999999998</v>
          </cell>
          <cell r="AL53">
            <v>-405.25014000000004</v>
          </cell>
          <cell r="AM53">
            <v>476.91269</v>
          </cell>
          <cell r="AN53">
            <v>-296.34588999999988</v>
          </cell>
          <cell r="AO53">
            <v>-229.76880999999997</v>
          </cell>
          <cell r="AP53">
            <v>-23.731839999999998</v>
          </cell>
          <cell r="AQ53">
            <v>-70.612639999999999</v>
          </cell>
          <cell r="AR53">
            <v>-91.224689999999995</v>
          </cell>
          <cell r="AT53">
            <v>-44.90878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2.5</v>
          </cell>
          <cell r="BG53">
            <v>0.37546999999999991</v>
          </cell>
          <cell r="BH53">
            <v>-0.16042000000000001</v>
          </cell>
          <cell r="BI53">
            <v>-3.1700000000000001E-3</v>
          </cell>
          <cell r="BJ53">
            <v>0</v>
          </cell>
          <cell r="BK53">
            <v>1564.9708300000002</v>
          </cell>
          <cell r="EA53">
            <v>393.47853999999984</v>
          </cell>
          <cell r="EL53">
            <v>466.76953000000049</v>
          </cell>
          <cell r="EM53">
            <v>-4.7838599999999998</v>
          </cell>
          <cell r="EN53">
            <v>0</v>
          </cell>
          <cell r="EO53">
            <v>0</v>
          </cell>
          <cell r="EP53">
            <v>0</v>
          </cell>
          <cell r="EQ53">
            <v>-13.646059999999997</v>
          </cell>
          <cell r="ER53">
            <v>0</v>
          </cell>
          <cell r="ES53">
            <v>0</v>
          </cell>
          <cell r="ET53">
            <v>-81.448039999999992</v>
          </cell>
          <cell r="EU53">
            <v>0</v>
          </cell>
          <cell r="EV53">
            <v>0</v>
          </cell>
          <cell r="EW53">
            <v>-3.7350499999999993</v>
          </cell>
          <cell r="EX53">
            <v>4.1283700000000003</v>
          </cell>
          <cell r="EY53">
            <v>0.1706</v>
          </cell>
          <cell r="EZ53">
            <v>0</v>
          </cell>
          <cell r="FA53">
            <v>-53.40634</v>
          </cell>
          <cell r="FB53">
            <v>0</v>
          </cell>
          <cell r="FC53">
            <v>-2.2630499999999998</v>
          </cell>
          <cell r="FD53">
            <v>-3.1397099999999991</v>
          </cell>
          <cell r="FE53">
            <v>0</v>
          </cell>
          <cell r="FF53">
            <v>34.395560000000046</v>
          </cell>
          <cell r="FG53">
            <v>1994.45399</v>
          </cell>
          <cell r="FH53">
            <v>6.07226</v>
          </cell>
          <cell r="FI53">
            <v>-401.23890999999998</v>
          </cell>
          <cell r="FJ53">
            <v>-106.49930999999998</v>
          </cell>
          <cell r="FK53">
            <v>94.020660000000021</v>
          </cell>
          <cell r="FL53">
            <v>-107.19206999999994</v>
          </cell>
          <cell r="FM53">
            <v>-49.909500000000008</v>
          </cell>
          <cell r="FN53">
            <v>-10.284049999999997</v>
          </cell>
          <cell r="FO53">
            <v>-22.728409999999997</v>
          </cell>
          <cell r="FP53">
            <v>-40.075369999999992</v>
          </cell>
          <cell r="FR53">
            <v>-12.688980000000001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2.5</v>
          </cell>
          <cell r="GE53">
            <v>0.37546999999999991</v>
          </cell>
          <cell r="GF53">
            <v>-0.15743000000000001</v>
          </cell>
          <cell r="GG53">
            <v>-3.1700000000000001E-3</v>
          </cell>
          <cell r="GH53">
            <v>0</v>
          </cell>
          <cell r="GI53">
            <v>1689.6871300000005</v>
          </cell>
        </row>
        <row r="54">
          <cell r="C54">
            <v>3567.7584099999985</v>
          </cell>
          <cell r="N54">
            <v>2769.9496499999996</v>
          </cell>
          <cell r="O54">
            <v>-6.7883599999999999</v>
          </cell>
          <cell r="P54">
            <v>0</v>
          </cell>
          <cell r="Q54">
            <v>0</v>
          </cell>
          <cell r="R54">
            <v>0</v>
          </cell>
          <cell r="S54">
            <v>-14.898020000000001</v>
          </cell>
          <cell r="T54">
            <v>-0.12579000000000001</v>
          </cell>
          <cell r="U54">
            <v>0</v>
          </cell>
          <cell r="V54">
            <v>-340.32065</v>
          </cell>
          <cell r="W54">
            <v>0</v>
          </cell>
          <cell r="X54">
            <v>0</v>
          </cell>
          <cell r="Y54">
            <v>-89.590069999999997</v>
          </cell>
          <cell r="Z54">
            <v>17.194320000000001</v>
          </cell>
          <cell r="AA54">
            <v>15.844200000000001</v>
          </cell>
          <cell r="AB54">
            <v>0</v>
          </cell>
          <cell r="AC54">
            <v>-225.94582</v>
          </cell>
          <cell r="AD54">
            <v>2.9033500000000001</v>
          </cell>
          <cell r="AE54">
            <v>-9.3741399999999988</v>
          </cell>
          <cell r="AF54">
            <v>-17.334569999999999</v>
          </cell>
          <cell r="AG54">
            <v>0</v>
          </cell>
          <cell r="AH54">
            <v>521.64677999999969</v>
          </cell>
          <cell r="AI54">
            <v>694.06607000000008</v>
          </cell>
          <cell r="AJ54">
            <v>0.94619999999999926</v>
          </cell>
          <cell r="AK54">
            <v>-109.17140999999999</v>
          </cell>
          <cell r="AL54">
            <v>-679.15778999999998</v>
          </cell>
          <cell r="AM54">
            <v>360.95066999999995</v>
          </cell>
          <cell r="AN54">
            <v>-236.42387000000008</v>
          </cell>
          <cell r="AO54">
            <v>-214.01253000000003</v>
          </cell>
          <cell r="AP54">
            <v>-19.27345</v>
          </cell>
          <cell r="AQ54">
            <v>-61.050759999999997</v>
          </cell>
          <cell r="AR54">
            <v>-54.093069999999997</v>
          </cell>
          <cell r="AT54">
            <v>-30.805720000000001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5.2366899999999994</v>
          </cell>
          <cell r="BG54">
            <v>-0.18418999999999999</v>
          </cell>
          <cell r="BH54">
            <v>-0.30560999999999999</v>
          </cell>
          <cell r="BI54">
            <v>-1.3240000000000002E-2</v>
          </cell>
          <cell r="BJ54">
            <v>0</v>
          </cell>
          <cell r="BK54">
            <v>2279.8688699999993</v>
          </cell>
          <cell r="EA54">
            <v>356.64879999999994</v>
          </cell>
          <cell r="EL54">
            <v>932.94826999999987</v>
          </cell>
          <cell r="EM54">
            <v>-3.0819000000000001</v>
          </cell>
          <cell r="EN54">
            <v>0</v>
          </cell>
          <cell r="EO54">
            <v>0</v>
          </cell>
          <cell r="EP54">
            <v>0</v>
          </cell>
          <cell r="EQ54">
            <v>-5.0890000000000022</v>
          </cell>
          <cell r="ER54">
            <v>0</v>
          </cell>
          <cell r="ES54">
            <v>0</v>
          </cell>
          <cell r="ET54">
            <v>-101.96518</v>
          </cell>
          <cell r="EU54">
            <v>0</v>
          </cell>
          <cell r="EV54">
            <v>0</v>
          </cell>
          <cell r="EW54">
            <v>-89.590069999999997</v>
          </cell>
          <cell r="EX54">
            <v>5.4545400000000015</v>
          </cell>
          <cell r="EY54">
            <v>15.844200000000001</v>
          </cell>
          <cell r="EZ54">
            <v>0</v>
          </cell>
          <cell r="FA54">
            <v>-51.237259999999992</v>
          </cell>
          <cell r="FB54">
            <v>8.6930000000000174E-2</v>
          </cell>
          <cell r="FC54">
            <v>-3.2307899999999989</v>
          </cell>
          <cell r="FD54">
            <v>-1.409399999999998</v>
          </cell>
          <cell r="FE54">
            <v>0</v>
          </cell>
          <cell r="FF54">
            <v>65.753480000000025</v>
          </cell>
          <cell r="FG54">
            <v>694.06607000000008</v>
          </cell>
          <cell r="FH54">
            <v>14.810619999999998</v>
          </cell>
          <cell r="FI54">
            <v>-109.17140999999999</v>
          </cell>
          <cell r="FJ54">
            <v>-105.28539999999998</v>
          </cell>
          <cell r="FK54">
            <v>95.285629999999969</v>
          </cell>
          <cell r="FL54">
            <v>-163.61824000000001</v>
          </cell>
          <cell r="FM54">
            <v>-76.485900000000015</v>
          </cell>
          <cell r="FN54">
            <v>-5.5429100000000027</v>
          </cell>
          <cell r="FO54">
            <v>-21.097259999999999</v>
          </cell>
          <cell r="FP54">
            <v>-14.569739999999996</v>
          </cell>
          <cell r="FR54">
            <v>-10.334710000000001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5.2366899999999994</v>
          </cell>
          <cell r="GE54">
            <v>-0.18418999999999999</v>
          </cell>
          <cell r="GF54">
            <v>-0.30826999999999999</v>
          </cell>
          <cell r="GG54">
            <v>-1.3240000000000002E-2</v>
          </cell>
          <cell r="GH54">
            <v>0</v>
          </cell>
          <cell r="GI54">
            <v>1067.2715600000004</v>
          </cell>
        </row>
        <row r="55">
          <cell r="C55">
            <v>1624.0091886022801</v>
          </cell>
          <cell r="N55">
            <v>1476.4108182325062</v>
          </cell>
          <cell r="O55">
            <v>-48.847709832809329</v>
          </cell>
          <cell r="P55">
            <v>0</v>
          </cell>
          <cell r="Q55">
            <v>0</v>
          </cell>
          <cell r="R55">
            <v>0</v>
          </cell>
          <cell r="S55">
            <v>-28.181133622890869</v>
          </cell>
          <cell r="T55">
            <v>0</v>
          </cell>
          <cell r="U55">
            <v>0</v>
          </cell>
          <cell r="V55">
            <v>-213.65999369010913</v>
          </cell>
          <cell r="W55">
            <v>0</v>
          </cell>
          <cell r="X55">
            <v>0</v>
          </cell>
          <cell r="Y55">
            <v>-4.8594674246400675</v>
          </cell>
          <cell r="Z55">
            <v>9.0762463594790965</v>
          </cell>
          <cell r="AA55">
            <v>0</v>
          </cell>
          <cell r="AB55">
            <v>0</v>
          </cell>
          <cell r="AC55">
            <v>-187.79377683029918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190.29377683029918</v>
          </cell>
          <cell r="AI55">
            <v>4.8594674246400675</v>
          </cell>
          <cell r="AJ55">
            <v>0</v>
          </cell>
          <cell r="AK55">
            <v>0</v>
          </cell>
          <cell r="AL55">
            <v>-358.60181418314949</v>
          </cell>
          <cell r="AM55">
            <v>0</v>
          </cell>
          <cell r="AN55">
            <v>0</v>
          </cell>
          <cell r="AO55">
            <v>-235.42899418140337</v>
          </cell>
          <cell r="AP55">
            <v>-17.555614264235853</v>
          </cell>
          <cell r="AQ55">
            <v>-78.438425899990889</v>
          </cell>
          <cell r="AR55">
            <v>-84.938838603103889</v>
          </cell>
          <cell r="AT55">
            <v>-26.794562411889707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395.53997790240265</v>
          </cell>
          <cell r="EA55">
            <v>340.88768123981026</v>
          </cell>
          <cell r="EL55">
            <v>492.13693941083534</v>
          </cell>
          <cell r="EM55">
            <v>-16.282569944269781</v>
          </cell>
          <cell r="EN55">
            <v>0</v>
          </cell>
          <cell r="EO55">
            <v>0</v>
          </cell>
          <cell r="EP55">
            <v>0</v>
          </cell>
          <cell r="EQ55">
            <v>-9.3937112076302896</v>
          </cell>
          <cell r="ER55">
            <v>0</v>
          </cell>
          <cell r="ES55">
            <v>0</v>
          </cell>
          <cell r="ET55">
            <v>-71.219997896703035</v>
          </cell>
          <cell r="EU55">
            <v>0</v>
          </cell>
          <cell r="EV55">
            <v>0</v>
          </cell>
          <cell r="EW55">
            <v>-1.619822474880023</v>
          </cell>
          <cell r="EX55">
            <v>3.0254154531596988</v>
          </cell>
          <cell r="EY55">
            <v>0</v>
          </cell>
          <cell r="EZ55">
            <v>0</v>
          </cell>
          <cell r="FA55">
            <v>-62.597925610099736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63.431258943433079</v>
          </cell>
          <cell r="FG55">
            <v>1.619822474880023</v>
          </cell>
          <cell r="FH55">
            <v>0</v>
          </cell>
          <cell r="FI55">
            <v>0</v>
          </cell>
          <cell r="FJ55">
            <v>-119.53393806104981</v>
          </cell>
          <cell r="FK55">
            <v>0</v>
          </cell>
          <cell r="FL55">
            <v>0</v>
          </cell>
          <cell r="FM55">
            <v>-78.476331393801104</v>
          </cell>
          <cell r="FN55">
            <v>-5.8518714214119516</v>
          </cell>
          <cell r="FO55">
            <v>-26.146141966663635</v>
          </cell>
          <cell r="FP55">
            <v>-28.312946201034634</v>
          </cell>
          <cell r="FR55">
            <v>-8.9315208039632346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131.84665930080092</v>
          </cell>
        </row>
        <row r="57">
          <cell r="C57">
            <v>2868.2131999999997</v>
          </cell>
          <cell r="N57">
            <v>2158.5074099999993</v>
          </cell>
          <cell r="O57">
            <v>-3.8768400000000005</v>
          </cell>
          <cell r="P57">
            <v>0</v>
          </cell>
          <cell r="Q57">
            <v>0</v>
          </cell>
          <cell r="R57">
            <v>0</v>
          </cell>
          <cell r="S57">
            <v>-282.47969999999998</v>
          </cell>
          <cell r="T57">
            <v>0</v>
          </cell>
          <cell r="U57">
            <v>0</v>
          </cell>
          <cell r="V57">
            <v>-331.36630000000002</v>
          </cell>
          <cell r="W57">
            <v>0</v>
          </cell>
          <cell r="X57">
            <v>0</v>
          </cell>
          <cell r="Y57">
            <v>-1.5524900000000001</v>
          </cell>
          <cell r="Z57">
            <v>25.227780000000003</v>
          </cell>
          <cell r="AA57">
            <v>5.4809999999999998E-2</v>
          </cell>
          <cell r="AB57">
            <v>0</v>
          </cell>
          <cell r="AC57">
            <v>-471.48897999999997</v>
          </cell>
          <cell r="AD57">
            <v>36.373850000000004</v>
          </cell>
          <cell r="AE57">
            <v>-70.351280000000003</v>
          </cell>
          <cell r="AF57">
            <v>7.5488060247153035E-14</v>
          </cell>
          <cell r="AG57">
            <v>0</v>
          </cell>
          <cell r="AH57">
            <v>597.4252899999999</v>
          </cell>
          <cell r="AI57">
            <v>152.02046000000001</v>
          </cell>
          <cell r="AJ57">
            <v>-69.213319999999996</v>
          </cell>
          <cell r="AK57">
            <v>-6.7522299999999991</v>
          </cell>
          <cell r="AL57">
            <v>-537.32737000000009</v>
          </cell>
          <cell r="AM57">
            <v>363.53820000000007</v>
          </cell>
          <cell r="AN57">
            <v>-226.29352</v>
          </cell>
          <cell r="AO57">
            <v>-75.418800000000005</v>
          </cell>
          <cell r="AP57">
            <v>-13.141210000000001</v>
          </cell>
          <cell r="AQ57">
            <v>-87.902519999999996</v>
          </cell>
          <cell r="AR57">
            <v>-60.919359999999998</v>
          </cell>
          <cell r="AT57">
            <v>-1044.3753400000001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50.688539999999364</v>
          </cell>
          <cell r="EA57">
            <v>622.96833999999944</v>
          </cell>
          <cell r="EL57">
            <v>749.12169999999969</v>
          </cell>
          <cell r="EM57">
            <v>-2.3934500000000005</v>
          </cell>
          <cell r="EN57">
            <v>0</v>
          </cell>
          <cell r="EO57">
            <v>0</v>
          </cell>
          <cell r="EP57">
            <v>0</v>
          </cell>
          <cell r="EQ57">
            <v>-97.754899999999964</v>
          </cell>
          <cell r="ER57">
            <v>0</v>
          </cell>
          <cell r="ES57">
            <v>0</v>
          </cell>
          <cell r="ET57">
            <v>-105.61233000000004</v>
          </cell>
          <cell r="EU57">
            <v>0</v>
          </cell>
          <cell r="EV57">
            <v>0</v>
          </cell>
          <cell r="EW57">
            <v>-1.5524900000000001</v>
          </cell>
          <cell r="EX57">
            <v>5.809190000000001</v>
          </cell>
          <cell r="EY57">
            <v>5.4809999999999998E-2</v>
          </cell>
          <cell r="EZ57">
            <v>0</v>
          </cell>
          <cell r="FA57">
            <v>-142.52585999999997</v>
          </cell>
          <cell r="FB57">
            <v>8.6996900000000004</v>
          </cell>
          <cell r="FC57">
            <v>-24.103680000000004</v>
          </cell>
          <cell r="FD57">
            <v>0</v>
          </cell>
          <cell r="FE57">
            <v>0</v>
          </cell>
          <cell r="FF57">
            <v>167.91227999999995</v>
          </cell>
          <cell r="FG57">
            <v>152.02046000000001</v>
          </cell>
          <cell r="FH57">
            <v>-65.217590000000001</v>
          </cell>
          <cell r="FI57">
            <v>-6.7522299999999991</v>
          </cell>
          <cell r="FJ57">
            <v>-114.56338000000005</v>
          </cell>
          <cell r="FK57">
            <v>59.81686000000002</v>
          </cell>
          <cell r="FL57">
            <v>-83.849350000000015</v>
          </cell>
          <cell r="FM57">
            <v>-22.707729999999998</v>
          </cell>
          <cell r="FN57">
            <v>-5.7706</v>
          </cell>
          <cell r="FO57">
            <v>-28.209769999999999</v>
          </cell>
          <cell r="FP57">
            <v>-21.010669999999998</v>
          </cell>
          <cell r="FR57">
            <v>-189.47309999999993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231.93785999999966</v>
          </cell>
        </row>
        <row r="58">
          <cell r="C58">
            <v>2868.5533500000001</v>
          </cell>
          <cell r="N58">
            <v>2136.1802500000003</v>
          </cell>
          <cell r="O58">
            <v>-3.0036199999999997</v>
          </cell>
          <cell r="P58">
            <v>0</v>
          </cell>
          <cell r="Q58">
            <v>0</v>
          </cell>
          <cell r="R58">
            <v>0.61200000000000032</v>
          </cell>
          <cell r="S58">
            <v>-277.22861999999998</v>
          </cell>
          <cell r="T58">
            <v>-7.5600000000000007E-3</v>
          </cell>
          <cell r="U58">
            <v>0</v>
          </cell>
          <cell r="V58">
            <v>-341.69188999999994</v>
          </cell>
          <cell r="W58">
            <v>0</v>
          </cell>
          <cell r="X58">
            <v>0</v>
          </cell>
          <cell r="Y58">
            <v>-11.144759999999998</v>
          </cell>
          <cell r="Z58">
            <v>27.536520000000003</v>
          </cell>
          <cell r="AA58">
            <v>0.68744999999999989</v>
          </cell>
          <cell r="AB58">
            <v>0</v>
          </cell>
          <cell r="AC58">
            <v>-507.80912999999998</v>
          </cell>
          <cell r="AD58">
            <v>13.34252</v>
          </cell>
          <cell r="AE58">
            <v>-73.397310000000004</v>
          </cell>
          <cell r="AF58">
            <v>0</v>
          </cell>
          <cell r="AG58">
            <v>0</v>
          </cell>
          <cell r="AH58">
            <v>935.51921000000004</v>
          </cell>
          <cell r="AI58">
            <v>16.568130000000004</v>
          </cell>
          <cell r="AJ58">
            <v>16.221149999999987</v>
          </cell>
          <cell r="AK58">
            <v>1.6835099999999996</v>
          </cell>
          <cell r="AL58">
            <v>-536.01871000000006</v>
          </cell>
          <cell r="AM58">
            <v>367.24497000000002</v>
          </cell>
          <cell r="AN58">
            <v>-226.3492</v>
          </cell>
          <cell r="AO58">
            <v>-60.329619999999991</v>
          </cell>
          <cell r="AP58">
            <v>-13.51346</v>
          </cell>
          <cell r="AQ58">
            <v>-116.25623999999999</v>
          </cell>
          <cell r="AR58">
            <v>-82.444069999999996</v>
          </cell>
          <cell r="AT58">
            <v>-1063.1072099999999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203.29431000000062</v>
          </cell>
          <cell r="EA58">
            <v>640.37103000000025</v>
          </cell>
          <cell r="EL58">
            <v>755.28142000000071</v>
          </cell>
          <cell r="EM58">
            <v>-3.0036199999999997</v>
          </cell>
          <cell r="EN58">
            <v>0</v>
          </cell>
          <cell r="EO58">
            <v>0</v>
          </cell>
          <cell r="EP58">
            <v>6.976</v>
          </cell>
          <cell r="EQ58">
            <v>-103.30906999999996</v>
          </cell>
          <cell r="ER58">
            <v>0.53274999999999995</v>
          </cell>
          <cell r="ES58">
            <v>0</v>
          </cell>
          <cell r="ET58">
            <v>-101.62592999999993</v>
          </cell>
          <cell r="EU58">
            <v>0</v>
          </cell>
          <cell r="EV58">
            <v>0</v>
          </cell>
          <cell r="EW58">
            <v>-11.144759999999998</v>
          </cell>
          <cell r="EX58">
            <v>9.6248400000000025</v>
          </cell>
          <cell r="EY58">
            <v>0.68744999999999989</v>
          </cell>
          <cell r="EZ58">
            <v>0</v>
          </cell>
          <cell r="FA58">
            <v>-487.95826</v>
          </cell>
          <cell r="FB58">
            <v>3.8615500000000011</v>
          </cell>
          <cell r="FC58">
            <v>-26.756120000000003</v>
          </cell>
          <cell r="FD58">
            <v>365.14323999999999</v>
          </cell>
          <cell r="FE58">
            <v>0</v>
          </cell>
          <cell r="FF58">
            <v>383.68738999999994</v>
          </cell>
          <cell r="FG58">
            <v>16.568130000000004</v>
          </cell>
          <cell r="FH58">
            <v>51.311449999999994</v>
          </cell>
          <cell r="FI58">
            <v>1.6835099999999996</v>
          </cell>
          <cell r="FJ58">
            <v>-117.17742999999996</v>
          </cell>
          <cell r="FK58">
            <v>60.586500000000001</v>
          </cell>
          <cell r="FL58">
            <v>-82.731190000000026</v>
          </cell>
          <cell r="FM58">
            <v>-18.977489999999996</v>
          </cell>
          <cell r="FN58">
            <v>-4.9543999999999997</v>
          </cell>
          <cell r="FO58">
            <v>-34.428059999999988</v>
          </cell>
          <cell r="FP58">
            <v>-27.961689999999997</v>
          </cell>
          <cell r="FR58">
            <v>-195.88299999999992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440.03321000000085</v>
          </cell>
        </row>
        <row r="59">
          <cell r="C59">
            <v>2817.6535234986495</v>
          </cell>
          <cell r="N59">
            <v>2125.9487444049928</v>
          </cell>
          <cell r="O59">
            <v>-90.523644932214552</v>
          </cell>
          <cell r="P59">
            <v>0</v>
          </cell>
          <cell r="Q59">
            <v>0</v>
          </cell>
          <cell r="R59">
            <v>0</v>
          </cell>
          <cell r="S59">
            <v>-276.17093776683333</v>
          </cell>
          <cell r="T59">
            <v>-8.7955930335225396</v>
          </cell>
          <cell r="U59">
            <v>0</v>
          </cell>
          <cell r="V59">
            <v>-313.91673464124483</v>
          </cell>
          <cell r="W59">
            <v>0</v>
          </cell>
          <cell r="X59">
            <v>0</v>
          </cell>
          <cell r="Y59">
            <v>-7.5433718947195736</v>
          </cell>
          <cell r="Z59">
            <v>23.398799660243853</v>
          </cell>
          <cell r="AA59">
            <v>0</v>
          </cell>
          <cell r="AB59">
            <v>0</v>
          </cell>
          <cell r="AC59">
            <v>-386.32856526233098</v>
          </cell>
          <cell r="AD59">
            <v>0</v>
          </cell>
          <cell r="AE59">
            <v>0</v>
          </cell>
          <cell r="AF59">
            <v>-15.378383298536038</v>
          </cell>
          <cell r="AG59">
            <v>0</v>
          </cell>
          <cell r="AH59">
            <v>401.70694856086703</v>
          </cell>
          <cell r="AI59">
            <v>7.5433718947195736</v>
          </cell>
          <cell r="AJ59">
            <v>0</v>
          </cell>
          <cell r="AK59">
            <v>0</v>
          </cell>
          <cell r="AL59">
            <v>-380.43001490269785</v>
          </cell>
          <cell r="AM59">
            <v>0</v>
          </cell>
          <cell r="AN59">
            <v>0</v>
          </cell>
          <cell r="AO59">
            <v>-72.049378748515437</v>
          </cell>
          <cell r="AP59">
            <v>-6.9977230518119171</v>
          </cell>
          <cell r="AQ59">
            <v>-93.976002711152461</v>
          </cell>
          <cell r="AR59">
            <v>-58.66842522443595</v>
          </cell>
          <cell r="AT59">
            <v>-742.17778767768357</v>
          </cell>
          <cell r="AU59">
            <v>134.96957729548538</v>
          </cell>
          <cell r="AV59">
            <v>0</v>
          </cell>
          <cell r="AW59">
            <v>0</v>
          </cell>
          <cell r="AX59">
            <v>96.530422704514621</v>
          </cell>
          <cell r="AY59">
            <v>0</v>
          </cell>
          <cell r="AZ59">
            <v>0</v>
          </cell>
          <cell r="BA59">
            <v>1.4961076025373894</v>
          </cell>
          <cell r="BB59">
            <v>-2.9227181610516562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-1.4961076025373894</v>
          </cell>
          <cell r="BH59">
            <v>0</v>
          </cell>
          <cell r="BI59">
            <v>0</v>
          </cell>
          <cell r="BJ59">
            <v>0</v>
          </cell>
          <cell r="BK59">
            <v>334.21858321407296</v>
          </cell>
          <cell r="EA59">
            <v>630.11742582418447</v>
          </cell>
          <cell r="EL59">
            <v>708.64958146833078</v>
          </cell>
          <cell r="EM59">
            <v>-30.174548310738182</v>
          </cell>
          <cell r="EN59">
            <v>0</v>
          </cell>
          <cell r="EO59">
            <v>0</v>
          </cell>
          <cell r="EP59">
            <v>0</v>
          </cell>
          <cell r="EQ59">
            <v>-92.056979255611139</v>
          </cell>
          <cell r="ER59">
            <v>-2.9318643445075123</v>
          </cell>
          <cell r="ES59">
            <v>0</v>
          </cell>
          <cell r="ET59">
            <v>-104.63891154708162</v>
          </cell>
          <cell r="EU59">
            <v>0</v>
          </cell>
          <cell r="EV59">
            <v>0</v>
          </cell>
          <cell r="EW59">
            <v>-2.5144572982398579</v>
          </cell>
          <cell r="EX59">
            <v>7.7995998867479504</v>
          </cell>
          <cell r="EY59">
            <v>0</v>
          </cell>
          <cell r="EZ59">
            <v>0</v>
          </cell>
          <cell r="FA59">
            <v>-128.77618842077703</v>
          </cell>
          <cell r="FB59">
            <v>0</v>
          </cell>
          <cell r="FC59">
            <v>0</v>
          </cell>
          <cell r="FD59">
            <v>-5.1261277661786799</v>
          </cell>
          <cell r="FE59">
            <v>0</v>
          </cell>
          <cell r="FF59">
            <v>133.90231618695572</v>
          </cell>
          <cell r="FG59">
            <v>2.5144572982398579</v>
          </cell>
          <cell r="FH59">
            <v>0</v>
          </cell>
          <cell r="FI59">
            <v>0</v>
          </cell>
          <cell r="FJ59">
            <v>-126.81000496756593</v>
          </cell>
          <cell r="FK59">
            <v>0</v>
          </cell>
          <cell r="FL59">
            <v>0</v>
          </cell>
          <cell r="FM59">
            <v>-24.016459582838486</v>
          </cell>
          <cell r="FN59">
            <v>-2.3325743506039727</v>
          </cell>
          <cell r="FO59">
            <v>-31.325334237050825</v>
          </cell>
          <cell r="FP59">
            <v>-19.556141741478648</v>
          </cell>
          <cell r="FR59">
            <v>-247.39259589256119</v>
          </cell>
          <cell r="FS59">
            <v>44.989859098495131</v>
          </cell>
          <cell r="FT59">
            <v>0</v>
          </cell>
          <cell r="FU59">
            <v>0</v>
          </cell>
          <cell r="FV59">
            <v>32.17680756817154</v>
          </cell>
          <cell r="FW59">
            <v>0</v>
          </cell>
          <cell r="FX59">
            <v>0</v>
          </cell>
          <cell r="FY59">
            <v>0.4987025341791298</v>
          </cell>
          <cell r="FZ59">
            <v>-0.97423938701721879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-0.4987025341791298</v>
          </cell>
          <cell r="GF59">
            <v>0</v>
          </cell>
          <cell r="GG59">
            <v>0</v>
          </cell>
          <cell r="GH59">
            <v>0</v>
          </cell>
          <cell r="GI59">
            <v>111.40619440469067</v>
          </cell>
        </row>
        <row r="60"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/>
          <cell r="GE60"/>
          <cell r="GF60"/>
          <cell r="GG60"/>
          <cell r="GH60"/>
        </row>
        <row r="61">
          <cell r="O61">
            <v>-28.862090000000002</v>
          </cell>
          <cell r="P61">
            <v>0</v>
          </cell>
          <cell r="Q61">
            <v>0</v>
          </cell>
          <cell r="R61">
            <v>0</v>
          </cell>
          <cell r="S61">
            <v>-18.565519999999999</v>
          </cell>
          <cell r="T61">
            <v>0</v>
          </cell>
          <cell r="U61">
            <v>0</v>
          </cell>
          <cell r="V61">
            <v>-644.3966200000001</v>
          </cell>
          <cell r="W61">
            <v>0</v>
          </cell>
          <cell r="X61">
            <v>0</v>
          </cell>
          <cell r="Y61">
            <v>-9.2274399999999996</v>
          </cell>
          <cell r="Z61">
            <v>19.412180000000003</v>
          </cell>
          <cell r="AA61">
            <v>0.27942</v>
          </cell>
          <cell r="AB61">
            <v>0</v>
          </cell>
          <cell r="AC61">
            <v>-274.21784000000002</v>
          </cell>
          <cell r="AD61">
            <v>15.18562</v>
          </cell>
          <cell r="AE61">
            <v>-7.1177599999999996</v>
          </cell>
          <cell r="AF61">
            <v>-34.972610000000003</v>
          </cell>
          <cell r="AG61">
            <v>0</v>
          </cell>
          <cell r="AH61">
            <v>626.34881999999971</v>
          </cell>
          <cell r="AI61">
            <v>120.00132000000001</v>
          </cell>
          <cell r="AJ61">
            <v>-63.138200000000005</v>
          </cell>
          <cell r="AK61">
            <v>-5.3977500000000003</v>
          </cell>
          <cell r="AL61">
            <v>-409.84538999999995</v>
          </cell>
          <cell r="AM61">
            <v>503.39546000000007</v>
          </cell>
          <cell r="AN61">
            <v>-447.34550000000002</v>
          </cell>
          <cell r="AO61">
            <v>-24.00413</v>
          </cell>
          <cell r="AP61">
            <v>-4.0130499999999998</v>
          </cell>
          <cell r="AQ61">
            <v>-29.909179999999999</v>
          </cell>
          <cell r="AR61">
            <v>-32.930980000000005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EM61">
            <v>-13.883940000000001</v>
          </cell>
          <cell r="EN61">
            <v>0</v>
          </cell>
          <cell r="EO61">
            <v>0</v>
          </cell>
          <cell r="EP61">
            <v>0</v>
          </cell>
          <cell r="EQ61">
            <v>-6.7963999999999984</v>
          </cell>
          <cell r="ER61">
            <v>0</v>
          </cell>
          <cell r="ES61">
            <v>0</v>
          </cell>
          <cell r="ET61">
            <v>-222.4780100000001</v>
          </cell>
          <cell r="EU61">
            <v>0</v>
          </cell>
          <cell r="EV61">
            <v>0</v>
          </cell>
          <cell r="EW61">
            <v>-9.2274399999999996</v>
          </cell>
          <cell r="EX61">
            <v>6.6945000000000032</v>
          </cell>
          <cell r="EY61">
            <v>0.27942</v>
          </cell>
          <cell r="EZ61">
            <v>0</v>
          </cell>
          <cell r="FA61">
            <v>-95.283740000000023</v>
          </cell>
          <cell r="FB61">
            <v>1.5</v>
          </cell>
          <cell r="FC61">
            <v>-2.3749599999999997</v>
          </cell>
          <cell r="FD61">
            <v>-30.187800000000003</v>
          </cell>
          <cell r="FE61">
            <v>0</v>
          </cell>
          <cell r="FF61">
            <v>-481.74200999999994</v>
          </cell>
          <cell r="FG61">
            <v>120.00132000000001</v>
          </cell>
          <cell r="FH61">
            <v>14.914080000000006</v>
          </cell>
          <cell r="FI61">
            <v>-5.3977500000000003</v>
          </cell>
          <cell r="FJ61">
            <v>-106.01658999999995</v>
          </cell>
          <cell r="FK61">
            <v>169.61392000000001</v>
          </cell>
          <cell r="FL61">
            <v>-180.76020000000005</v>
          </cell>
          <cell r="FM61">
            <v>-7.3106200000000001</v>
          </cell>
          <cell r="FN61">
            <v>-1.6100099999999999</v>
          </cell>
          <cell r="FO61">
            <v>-9.7496799999999979</v>
          </cell>
          <cell r="FP61">
            <v>-13.260430000000007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O62">
            <v>-11.158519999999999</v>
          </cell>
          <cell r="P62">
            <v>0</v>
          </cell>
          <cell r="Q62">
            <v>0</v>
          </cell>
          <cell r="R62">
            <v>0</v>
          </cell>
          <cell r="S62">
            <v>-46.301350000000006</v>
          </cell>
          <cell r="T62">
            <v>-0.40432000000000001</v>
          </cell>
          <cell r="U62">
            <v>0</v>
          </cell>
          <cell r="V62">
            <v>-635.05954999999994</v>
          </cell>
          <cell r="W62">
            <v>0</v>
          </cell>
          <cell r="X62">
            <v>0</v>
          </cell>
          <cell r="Y62">
            <v>-14.298680000000001</v>
          </cell>
          <cell r="Z62">
            <v>21.51999</v>
          </cell>
          <cell r="AA62">
            <v>0.64175000000000004</v>
          </cell>
          <cell r="AB62">
            <v>0</v>
          </cell>
          <cell r="AC62">
            <v>-410.40964000000002</v>
          </cell>
          <cell r="AD62">
            <v>7.9126899999999996</v>
          </cell>
          <cell r="AE62">
            <v>-22.24624</v>
          </cell>
          <cell r="AF62">
            <v>-29.801379999999998</v>
          </cell>
          <cell r="AG62">
            <v>0</v>
          </cell>
          <cell r="AH62">
            <v>923.90425000000016</v>
          </cell>
          <cell r="AI62">
            <v>-2.764069999999994</v>
          </cell>
          <cell r="AJ62">
            <v>24.257100000000001</v>
          </cell>
          <cell r="AK62">
            <v>1.5914800000000002</v>
          </cell>
          <cell r="AL62">
            <v>-364.4590399999999</v>
          </cell>
          <cell r="AM62">
            <v>496.08679000000001</v>
          </cell>
          <cell r="AN62">
            <v>-446.63388999999989</v>
          </cell>
          <cell r="AO62">
            <v>-32.73995</v>
          </cell>
          <cell r="AP62">
            <v>-9.6225899999999989</v>
          </cell>
          <cell r="AQ62">
            <v>-54.046279999999996</v>
          </cell>
          <cell r="AR62">
            <v>-58.020220000000002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EM62">
            <v>-2.4501100000000005</v>
          </cell>
          <cell r="EN62">
            <v>0</v>
          </cell>
          <cell r="EO62">
            <v>0</v>
          </cell>
          <cell r="EP62">
            <v>0</v>
          </cell>
          <cell r="EQ62">
            <v>-14.841550000000005</v>
          </cell>
          <cell r="ER62">
            <v>0</v>
          </cell>
          <cell r="ES62">
            <v>0</v>
          </cell>
          <cell r="ET62">
            <v>-199.53828999999996</v>
          </cell>
          <cell r="EU62">
            <v>0</v>
          </cell>
          <cell r="EV62">
            <v>0</v>
          </cell>
          <cell r="EW62">
            <v>-14.298680000000001</v>
          </cell>
          <cell r="EX62">
            <v>6.7570699999999988</v>
          </cell>
          <cell r="EY62">
            <v>0.64175000000000004</v>
          </cell>
          <cell r="EZ62">
            <v>0</v>
          </cell>
          <cell r="FA62">
            <v>-141.34781000000004</v>
          </cell>
          <cell r="FB62">
            <v>7.9126899999999996</v>
          </cell>
          <cell r="FC62">
            <v>-6.9703100000000013</v>
          </cell>
          <cell r="FD62">
            <v>-4.7387300000000003</v>
          </cell>
          <cell r="FE62">
            <v>0</v>
          </cell>
          <cell r="FF62">
            <v>298.51002000000017</v>
          </cell>
          <cell r="FG62">
            <v>-2.764069999999994</v>
          </cell>
          <cell r="FH62">
            <v>-0.28601000000000099</v>
          </cell>
          <cell r="FI62">
            <v>1.5914800000000002</v>
          </cell>
          <cell r="FJ62">
            <v>-94.816699999999912</v>
          </cell>
          <cell r="FK62">
            <v>164.4844599999999</v>
          </cell>
          <cell r="FL62">
            <v>-174.96173000000005</v>
          </cell>
          <cell r="FM62">
            <v>-9.9614000000000011</v>
          </cell>
          <cell r="FN62">
            <v>-3.4102499999999996</v>
          </cell>
          <cell r="FO62">
            <v>-16.393799999999999</v>
          </cell>
          <cell r="FP62">
            <v>-19.574249999999999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</row>
        <row r="63">
          <cell r="O63">
            <v>-85.568887048592543</v>
          </cell>
          <cell r="P63">
            <v>0</v>
          </cell>
          <cell r="Q63">
            <v>0</v>
          </cell>
          <cell r="R63">
            <v>0</v>
          </cell>
          <cell r="S63">
            <v>-29.681920222161814</v>
          </cell>
          <cell r="T63">
            <v>0</v>
          </cell>
          <cell r="U63">
            <v>0</v>
          </cell>
          <cell r="V63">
            <v>-77.460210495519021</v>
          </cell>
          <cell r="W63">
            <v>0</v>
          </cell>
          <cell r="X63">
            <v>0</v>
          </cell>
          <cell r="Y63">
            <v>-2.2928765623151075</v>
          </cell>
          <cell r="Z63">
            <v>3.5308973393620402</v>
          </cell>
          <cell r="AA63">
            <v>0</v>
          </cell>
          <cell r="AB63">
            <v>0</v>
          </cell>
          <cell r="AC63">
            <v>-77.669375023085124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88.419375023085109</v>
          </cell>
          <cell r="AI63">
            <v>2.2928765623151075</v>
          </cell>
          <cell r="AJ63">
            <v>0</v>
          </cell>
          <cell r="AK63">
            <v>0</v>
          </cell>
          <cell r="AL63">
            <v>-87.080561475324089</v>
          </cell>
          <cell r="AM63">
            <v>0</v>
          </cell>
          <cell r="AN63">
            <v>0</v>
          </cell>
          <cell r="AO63">
            <v>-27.475043066383122</v>
          </cell>
          <cell r="AP63">
            <v>-3.3831378374461627</v>
          </cell>
          <cell r="AQ63">
            <v>-35.052958722648341</v>
          </cell>
          <cell r="AR63">
            <v>-37.4342016114459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EM63">
            <v>-28.522962349530843</v>
          </cell>
          <cell r="EN63">
            <v>0</v>
          </cell>
          <cell r="EO63">
            <v>0</v>
          </cell>
          <cell r="EP63">
            <v>0</v>
          </cell>
          <cell r="EQ63">
            <v>-9.8939734073872714</v>
          </cell>
          <cell r="ER63">
            <v>0</v>
          </cell>
          <cell r="ES63">
            <v>0</v>
          </cell>
          <cell r="ET63">
            <v>-25.820070165173007</v>
          </cell>
          <cell r="EU63">
            <v>0</v>
          </cell>
          <cell r="EV63">
            <v>0</v>
          </cell>
          <cell r="EW63">
            <v>-0.76429218743836924</v>
          </cell>
          <cell r="EX63">
            <v>1.1769657797873467</v>
          </cell>
          <cell r="EY63">
            <v>0</v>
          </cell>
          <cell r="EZ63">
            <v>0</v>
          </cell>
          <cell r="FA63">
            <v>-25.88979167436171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29.473125007695032</v>
          </cell>
          <cell r="FG63">
            <v>0.76429218743836924</v>
          </cell>
          <cell r="FH63">
            <v>0</v>
          </cell>
          <cell r="FI63">
            <v>0</v>
          </cell>
          <cell r="FJ63">
            <v>-29.026853825108034</v>
          </cell>
          <cell r="FK63">
            <v>0</v>
          </cell>
          <cell r="FL63">
            <v>0</v>
          </cell>
          <cell r="FM63">
            <v>-9.1583476887943718</v>
          </cell>
          <cell r="FN63">
            <v>-1.1277126124820542</v>
          </cell>
          <cell r="FO63">
            <v>-11.684319574216111</v>
          </cell>
          <cell r="FP63">
            <v>-12.4780672038153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</row>
        <row r="66">
          <cell r="EM66">
            <v>-8260.0675899999969</v>
          </cell>
          <cell r="EN66">
            <v>0</v>
          </cell>
          <cell r="EO66">
            <v>-647.39499999999998</v>
          </cell>
          <cell r="EP66">
            <v>1201.0782299999998</v>
          </cell>
          <cell r="EQ66">
            <v>-2509.6581199999991</v>
          </cell>
          <cell r="ER66">
            <v>-313.32455999999996</v>
          </cell>
          <cell r="ES66">
            <v>-638.35617000000002</v>
          </cell>
          <cell r="ET66">
            <v>-26842.876607809216</v>
          </cell>
          <cell r="EU66">
            <v>0</v>
          </cell>
          <cell r="EV66">
            <v>-4147.7827921907747</v>
          </cell>
          <cell r="EW66">
            <v>-1529.72659</v>
          </cell>
          <cell r="EX66">
            <v>1879.0662500000003</v>
          </cell>
          <cell r="EY66">
            <v>147.96586000000002</v>
          </cell>
          <cell r="EZ66">
            <v>-700</v>
          </cell>
          <cell r="FA66">
            <v>-29218.754699999994</v>
          </cell>
          <cell r="FB66">
            <v>3567.2781199999995</v>
          </cell>
          <cell r="FC66">
            <v>-1204.7764100000002</v>
          </cell>
          <cell r="FD66">
            <v>-633.33970000000022</v>
          </cell>
          <cell r="FE66">
            <v>0</v>
          </cell>
          <cell r="FF66">
            <v>31471.390059999994</v>
          </cell>
          <cell r="FG66">
            <v>2548.0762199999999</v>
          </cell>
          <cell r="FH66">
            <v>-193.90933000000027</v>
          </cell>
          <cell r="FI66">
            <v>-26.535179999999972</v>
          </cell>
          <cell r="FJ66">
            <v>-9039.1687599999968</v>
          </cell>
          <cell r="FK66">
            <v>8297.2242300000016</v>
          </cell>
          <cell r="FL66">
            <v>-10189.333880000002</v>
          </cell>
          <cell r="FM66">
            <v>-2706.1231700000012</v>
          </cell>
          <cell r="FN66">
            <v>-419.72775000000001</v>
          </cell>
          <cell r="FO66">
            <v>-2671.74199</v>
          </cell>
          <cell r="FP66">
            <v>-1893.2603399999991</v>
          </cell>
          <cell r="FR66">
            <v>-4235.3263800000095</v>
          </cell>
          <cell r="FS66">
            <v>61.608029999999999</v>
          </cell>
          <cell r="FT66">
            <v>0</v>
          </cell>
          <cell r="FU66">
            <v>0</v>
          </cell>
          <cell r="FV66">
            <v>1214.1203493054406</v>
          </cell>
          <cell r="FW66">
            <v>0</v>
          </cell>
          <cell r="FX66">
            <v>335.15870069455917</v>
          </cell>
          <cell r="FY66">
            <v>64.954740000000001</v>
          </cell>
          <cell r="FZ66">
            <v>-103.99062999999992</v>
          </cell>
          <cell r="GA66">
            <v>-6.5559000000000003</v>
          </cell>
          <cell r="GB66">
            <v>0</v>
          </cell>
          <cell r="GC66">
            <v>1425.3017600000014</v>
          </cell>
          <cell r="GD66">
            <v>-3330.0960899999841</v>
          </cell>
          <cell r="GE66">
            <v>-172.61938000000004</v>
          </cell>
          <cell r="GF66">
            <v>27.826889999999949</v>
          </cell>
          <cell r="GG66">
            <v>-29.007629999999999</v>
          </cell>
          <cell r="GH66">
            <v>-5.4569682106375692E-14</v>
          </cell>
        </row>
        <row r="67">
          <cell r="EM67">
            <v>-15155.468474820864</v>
          </cell>
          <cell r="EN67">
            <v>-1162.7158915948926</v>
          </cell>
          <cell r="EO67">
            <v>-1669.8323462601716</v>
          </cell>
          <cell r="EP67">
            <v>0</v>
          </cell>
          <cell r="EQ67">
            <v>-3630.2537857044194</v>
          </cell>
          <cell r="ER67">
            <v>-681.44502418185391</v>
          </cell>
          <cell r="ES67">
            <v>0</v>
          </cell>
          <cell r="ET67">
            <v>-14134.328688655334</v>
          </cell>
          <cell r="EU67">
            <v>-797.26085828180521</v>
          </cell>
          <cell r="EV67">
            <v>-3156.4304317368851</v>
          </cell>
          <cell r="EW67">
            <v>-472.48565607223134</v>
          </cell>
          <cell r="EX67">
            <v>1402.1546031082087</v>
          </cell>
          <cell r="EY67">
            <v>0</v>
          </cell>
          <cell r="EZ67">
            <v>0</v>
          </cell>
          <cell r="FA67">
            <v>-19114.560701331498</v>
          </cell>
          <cell r="FB67">
            <v>0</v>
          </cell>
          <cell r="FC67">
            <v>0</v>
          </cell>
          <cell r="FD67">
            <v>-1151.9232289837605</v>
          </cell>
          <cell r="FE67">
            <v>0</v>
          </cell>
          <cell r="FF67">
            <v>20796.067263648587</v>
          </cell>
          <cell r="FG67">
            <v>472.48565607223134</v>
          </cell>
          <cell r="FH67">
            <v>0</v>
          </cell>
          <cell r="FI67">
            <v>0</v>
          </cell>
          <cell r="FJ67">
            <v>-11043.516895970122</v>
          </cell>
          <cell r="FK67">
            <v>0</v>
          </cell>
          <cell r="FL67">
            <v>0</v>
          </cell>
          <cell r="FM67">
            <v>-2704.9939084908729</v>
          </cell>
          <cell r="FN67">
            <v>-342.34853919307756</v>
          </cell>
          <cell r="FO67">
            <v>-3188.4068672367594</v>
          </cell>
          <cell r="FP67">
            <v>-2411.4060530343531</v>
          </cell>
          <cell r="FR67">
            <v>-4368.4332460553615</v>
          </cell>
          <cell r="FS67">
            <v>805.6503543639999</v>
          </cell>
          <cell r="FT67">
            <v>359.58544477497958</v>
          </cell>
          <cell r="FU67">
            <v>35.840271973769092</v>
          </cell>
          <cell r="FV67">
            <v>595.40815028987834</v>
          </cell>
          <cell r="FW67">
            <v>294.14676130934424</v>
          </cell>
          <cell r="FX67">
            <v>82.217716780368448</v>
          </cell>
          <cell r="FY67">
            <v>26.098586600819374</v>
          </cell>
          <cell r="FZ67">
            <v>-80.532111663037711</v>
          </cell>
          <cell r="GA67">
            <v>0</v>
          </cell>
          <cell r="GB67">
            <v>0</v>
          </cell>
          <cell r="GC67">
            <v>803.68937678123757</v>
          </cell>
          <cell r="GD67">
            <v>-1068.8614442812377</v>
          </cell>
          <cell r="GE67">
            <v>-26.104197643395523</v>
          </cell>
          <cell r="GF67">
            <v>0</v>
          </cell>
          <cell r="GG67">
            <v>0</v>
          </cell>
          <cell r="GH67">
            <v>0</v>
          </cell>
        </row>
        <row r="69">
          <cell r="C69">
            <v>64406.278969999999</v>
          </cell>
          <cell r="N69">
            <v>34753.877930000031</v>
          </cell>
          <cell r="O69">
            <v>-519.28938000000005</v>
          </cell>
          <cell r="P69">
            <v>0</v>
          </cell>
          <cell r="Q69">
            <v>0</v>
          </cell>
          <cell r="R69">
            <v>0</v>
          </cell>
          <cell r="S69">
            <v>-440.12960999999996</v>
          </cell>
          <cell r="T69">
            <v>0</v>
          </cell>
          <cell r="U69">
            <v>0</v>
          </cell>
          <cell r="V69">
            <v>-35337.501960000001</v>
          </cell>
          <cell r="W69">
            <v>0</v>
          </cell>
          <cell r="X69">
            <v>0</v>
          </cell>
          <cell r="Y69">
            <v>-356.18512999999996</v>
          </cell>
          <cell r="Z69">
            <v>8178.1966199999997</v>
          </cell>
          <cell r="AA69">
            <v>66.139560000000003</v>
          </cell>
          <cell r="AB69">
            <v>0</v>
          </cell>
          <cell r="AC69">
            <v>-18521.495990000007</v>
          </cell>
          <cell r="AD69">
            <v>0</v>
          </cell>
          <cell r="AE69">
            <v>-414.93925999999999</v>
          </cell>
          <cell r="AF69">
            <v>-1.1226800000000001</v>
          </cell>
          <cell r="AG69">
            <v>0</v>
          </cell>
          <cell r="AH69">
            <v>13117.198070000002</v>
          </cell>
          <cell r="AI69">
            <v>2872.6560100000002</v>
          </cell>
          <cell r="AJ69">
            <v>2777.8582500000007</v>
          </cell>
          <cell r="AK69">
            <v>-318.28685999999982</v>
          </cell>
          <cell r="AL69">
            <v>-3659.4282400000011</v>
          </cell>
          <cell r="AM69">
            <v>8226.2653999999984</v>
          </cell>
          <cell r="AN69">
            <v>-5878.2217799999989</v>
          </cell>
          <cell r="AO69">
            <v>-1351.6543800000004</v>
          </cell>
          <cell r="AP69">
            <v>-72.193049999999999</v>
          </cell>
          <cell r="AQ69">
            <v>-1214.0625299999999</v>
          </cell>
          <cell r="AR69">
            <v>-593.81848000000002</v>
          </cell>
          <cell r="AT69">
            <v>-1741.0248899999992</v>
          </cell>
          <cell r="AU69">
            <v>0</v>
          </cell>
          <cell r="AV69">
            <v>0</v>
          </cell>
          <cell r="AW69">
            <v>0</v>
          </cell>
          <cell r="AX69">
            <v>661.92548999999997</v>
          </cell>
          <cell r="AY69">
            <v>0</v>
          </cell>
          <cell r="AZ69">
            <v>0</v>
          </cell>
          <cell r="BA69">
            <v>6.4181599999999994</v>
          </cell>
          <cell r="BB69">
            <v>-148.75945999999999</v>
          </cell>
          <cell r="BC69">
            <v>-1.1535700000000002</v>
          </cell>
          <cell r="BD69">
            <v>0</v>
          </cell>
          <cell r="BE69">
            <v>972.03495999999996</v>
          </cell>
          <cell r="BF69">
            <v>1838.7395800000002</v>
          </cell>
          <cell r="BG69">
            <v>-233.94793999999999</v>
          </cell>
          <cell r="BH69">
            <v>-1290.1302500000002</v>
          </cell>
          <cell r="BI69">
            <v>-24.471799999999998</v>
          </cell>
          <cell r="BJ69">
            <v>0</v>
          </cell>
          <cell r="BK69">
            <v>1353.492790000018</v>
          </cell>
          <cell r="EA69">
            <v>9905.44571</v>
          </cell>
          <cell r="EL69">
            <v>12607.068770000016</v>
          </cell>
          <cell r="EM69">
            <v>-383.68090000000007</v>
          </cell>
          <cell r="EN69">
            <v>0</v>
          </cell>
          <cell r="EO69">
            <v>0</v>
          </cell>
          <cell r="EP69">
            <v>0</v>
          </cell>
          <cell r="EQ69">
            <v>-146.40546999999998</v>
          </cell>
          <cell r="ER69">
            <v>0</v>
          </cell>
          <cell r="ES69">
            <v>0</v>
          </cell>
          <cell r="ET69">
            <v>-13109.133190000004</v>
          </cell>
          <cell r="EU69">
            <v>0</v>
          </cell>
          <cell r="EV69">
            <v>0</v>
          </cell>
          <cell r="EW69">
            <v>-356.18512999999996</v>
          </cell>
          <cell r="EX69">
            <v>3478.5371799999994</v>
          </cell>
          <cell r="EY69">
            <v>66.139560000000003</v>
          </cell>
          <cell r="EZ69">
            <v>0</v>
          </cell>
          <cell r="FA69">
            <v>-4765.1020499999977</v>
          </cell>
          <cell r="FB69">
            <v>0</v>
          </cell>
          <cell r="FC69">
            <v>-136.05751999999995</v>
          </cell>
          <cell r="FD69">
            <v>-1.1226800000000001</v>
          </cell>
          <cell r="FE69">
            <v>0</v>
          </cell>
          <cell r="FF69">
            <v>-769.85457999999926</v>
          </cell>
          <cell r="FG69">
            <v>2872.6560100000002</v>
          </cell>
          <cell r="FH69">
            <v>2390.5407300000002</v>
          </cell>
          <cell r="FI69">
            <v>-318.28685999999982</v>
          </cell>
          <cell r="FJ69">
            <v>-234.50671999999986</v>
          </cell>
          <cell r="FK69">
            <v>2539.0003099999994</v>
          </cell>
          <cell r="FL69">
            <v>-2792.6998299999973</v>
          </cell>
          <cell r="FM69">
            <v>-419.36597000000017</v>
          </cell>
          <cell r="FN69">
            <v>-28.080069999999999</v>
          </cell>
          <cell r="FO69">
            <v>-393.67558999999994</v>
          </cell>
          <cell r="FP69">
            <v>-199.60856000000007</v>
          </cell>
          <cell r="FR69">
            <v>-718.07007999999917</v>
          </cell>
          <cell r="FS69">
            <v>0</v>
          </cell>
          <cell r="FT69">
            <v>0</v>
          </cell>
          <cell r="FU69">
            <v>0</v>
          </cell>
          <cell r="FV69">
            <v>266.19583999999998</v>
          </cell>
          <cell r="FW69">
            <v>0</v>
          </cell>
          <cell r="FX69">
            <v>0</v>
          </cell>
          <cell r="FY69">
            <v>6.4181599999999994</v>
          </cell>
          <cell r="FZ69">
            <v>-63.084909999999994</v>
          </cell>
          <cell r="GA69">
            <v>-1.1535700000000002</v>
          </cell>
          <cell r="GB69">
            <v>0</v>
          </cell>
          <cell r="GC69">
            <v>255.17339999999979</v>
          </cell>
          <cell r="GD69">
            <v>1551.28946</v>
          </cell>
          <cell r="GE69">
            <v>-233.94793999999999</v>
          </cell>
          <cell r="GF69">
            <v>-562.35624000000007</v>
          </cell>
          <cell r="GG69">
            <v>-24.471799999999998</v>
          </cell>
          <cell r="GH69">
            <v>0</v>
          </cell>
          <cell r="GI69">
            <v>376.16976000001938</v>
          </cell>
        </row>
        <row r="70">
          <cell r="C70">
            <v>71447.611110000042</v>
          </cell>
          <cell r="N70">
            <v>39821.462900000028</v>
          </cell>
          <cell r="O70">
            <v>-52.962609999999948</v>
          </cell>
          <cell r="P70">
            <v>0</v>
          </cell>
          <cell r="Q70">
            <v>-582.577</v>
          </cell>
          <cell r="R70">
            <v>2.5354200000000002</v>
          </cell>
          <cell r="S70">
            <v>-587.60144000000014</v>
          </cell>
          <cell r="T70">
            <v>-15.64958</v>
          </cell>
          <cell r="U70">
            <v>0</v>
          </cell>
          <cell r="V70">
            <v>-32789.857149999996</v>
          </cell>
          <cell r="W70">
            <v>0</v>
          </cell>
          <cell r="X70">
            <v>-400</v>
          </cell>
          <cell r="Y70">
            <v>-524.34479999999996</v>
          </cell>
          <cell r="Z70">
            <v>6139.8526400000001</v>
          </cell>
          <cell r="AA70">
            <v>78.704059999999984</v>
          </cell>
          <cell r="AB70">
            <v>0</v>
          </cell>
          <cell r="AC70">
            <v>-23059.268570000007</v>
          </cell>
          <cell r="AD70">
            <v>189.53228000000001</v>
          </cell>
          <cell r="AE70">
            <v>-493.56668999999994</v>
          </cell>
          <cell r="AF70">
            <v>-283.67366000000004</v>
          </cell>
          <cell r="AG70">
            <v>0</v>
          </cell>
          <cell r="AH70">
            <v>14409.196169999997</v>
          </cell>
          <cell r="AI70">
            <v>609.69119999999998</v>
          </cell>
          <cell r="AJ70">
            <v>7275.9725400000007</v>
          </cell>
          <cell r="AK70">
            <v>70.64115000000001</v>
          </cell>
          <cell r="AL70">
            <v>-4306.8311400000002</v>
          </cell>
          <cell r="AM70">
            <v>8768.8225300000013</v>
          </cell>
          <cell r="AN70">
            <v>-6323.6691100000016</v>
          </cell>
          <cell r="AO70">
            <v>-1922.86149</v>
          </cell>
          <cell r="AP70">
            <v>-145.35043999999999</v>
          </cell>
          <cell r="AQ70">
            <v>-1470.8814499999999</v>
          </cell>
          <cell r="AR70">
            <v>-909.08747999999991</v>
          </cell>
          <cell r="AT70">
            <v>-2266.7802100000008</v>
          </cell>
          <cell r="AU70">
            <v>0</v>
          </cell>
          <cell r="AV70">
            <v>0</v>
          </cell>
          <cell r="AW70">
            <v>0</v>
          </cell>
          <cell r="AX70">
            <v>926.13885000000005</v>
          </cell>
          <cell r="AY70">
            <v>0</v>
          </cell>
          <cell r="AZ70">
            <v>0</v>
          </cell>
          <cell r="BA70">
            <v>7.1634400000000005</v>
          </cell>
          <cell r="BB70">
            <v>-177.97852</v>
          </cell>
          <cell r="BC70">
            <v>-0.15525</v>
          </cell>
          <cell r="BD70">
            <v>0</v>
          </cell>
          <cell r="BE70">
            <v>731.83612000000005</v>
          </cell>
          <cell r="BF70">
            <v>494.32964999999933</v>
          </cell>
          <cell r="BG70">
            <v>-174.52864000000008</v>
          </cell>
          <cell r="BH70">
            <v>-533.24679999999989</v>
          </cell>
          <cell r="BI70">
            <v>-6.1819999999999903E-2</v>
          </cell>
          <cell r="BJ70">
            <v>0</v>
          </cell>
          <cell r="BK70">
            <v>2504.9451000000254</v>
          </cell>
          <cell r="EA70">
            <v>8483.5909500000125</v>
          </cell>
          <cell r="EL70">
            <v>14882.346070000012</v>
          </cell>
          <cell r="EM70">
            <v>82.57692000000003</v>
          </cell>
          <cell r="EN70">
            <v>0</v>
          </cell>
          <cell r="EO70">
            <v>-582.577</v>
          </cell>
          <cell r="EP70">
            <v>2.5354200000000002</v>
          </cell>
          <cell r="EQ70">
            <v>-204.04561000000007</v>
          </cell>
          <cell r="ER70">
            <v>-1.3085199999999997</v>
          </cell>
          <cell r="ES70">
            <v>0</v>
          </cell>
          <cell r="ET70">
            <v>-12330.927149999996</v>
          </cell>
          <cell r="EU70">
            <v>0</v>
          </cell>
          <cell r="EV70">
            <v>-100</v>
          </cell>
          <cell r="EW70">
            <v>-524.34479999999996</v>
          </cell>
          <cell r="EX70">
            <v>2323.7094400000001</v>
          </cell>
          <cell r="EY70">
            <v>78.704059999999984</v>
          </cell>
          <cell r="EZ70">
            <v>0</v>
          </cell>
          <cell r="FA70">
            <v>-11873.591450000009</v>
          </cell>
          <cell r="FB70">
            <v>1.3900800000000118</v>
          </cell>
          <cell r="FC70">
            <v>-157.5270799999999</v>
          </cell>
          <cell r="FD70">
            <v>-67.133730000000071</v>
          </cell>
          <cell r="FE70">
            <v>0</v>
          </cell>
          <cell r="FF70">
            <v>6368.6724099999992</v>
          </cell>
          <cell r="FG70">
            <v>609.69119999999998</v>
          </cell>
          <cell r="FH70">
            <v>2578.1963100000012</v>
          </cell>
          <cell r="FI70">
            <v>70.64115000000001</v>
          </cell>
          <cell r="FJ70">
            <v>-398.81032999999979</v>
          </cell>
          <cell r="FK70">
            <v>3850.3677299999999</v>
          </cell>
          <cell r="FL70">
            <v>-4782.4321000000009</v>
          </cell>
          <cell r="FM70">
            <v>-610.11079000000018</v>
          </cell>
          <cell r="FN70">
            <v>-92.298349999999999</v>
          </cell>
          <cell r="FO70">
            <v>-650.31380000000001</v>
          </cell>
          <cell r="FP70">
            <v>-302.78311999999983</v>
          </cell>
          <cell r="FR70">
            <v>-827.10543999999982</v>
          </cell>
          <cell r="FS70">
            <v>0</v>
          </cell>
          <cell r="FT70">
            <v>0</v>
          </cell>
          <cell r="FU70">
            <v>0</v>
          </cell>
          <cell r="FV70">
            <v>317.90156000000002</v>
          </cell>
          <cell r="FW70">
            <v>0</v>
          </cell>
          <cell r="FX70">
            <v>0</v>
          </cell>
          <cell r="FY70">
            <v>7.1634400000000005</v>
          </cell>
          <cell r="FZ70">
            <v>-62.366249999999994</v>
          </cell>
          <cell r="GA70">
            <v>-0.15525</v>
          </cell>
          <cell r="GB70">
            <v>0</v>
          </cell>
          <cell r="GC70">
            <v>441.66886999999997</v>
          </cell>
          <cell r="GD70">
            <v>-51.372380000000021</v>
          </cell>
          <cell r="GE70">
            <v>-174.52864000000008</v>
          </cell>
          <cell r="GF70">
            <v>-110.32060999999999</v>
          </cell>
          <cell r="GG70">
            <v>-6.1819999999999903E-2</v>
          </cell>
          <cell r="GH70">
            <v>0</v>
          </cell>
          <cell r="GI70">
            <v>-2288.5495599999913</v>
          </cell>
        </row>
        <row r="71">
          <cell r="C71">
            <v>56759.92</v>
          </cell>
          <cell r="N71">
            <v>34257.234375</v>
          </cell>
          <cell r="O71">
            <v>-4760.5541277268203</v>
          </cell>
          <cell r="P71">
            <v>0</v>
          </cell>
          <cell r="Q71">
            <v>-9.7174064921621763</v>
          </cell>
          <cell r="R71">
            <v>0</v>
          </cell>
          <cell r="S71">
            <v>-1096.3430632336167</v>
          </cell>
          <cell r="T71">
            <v>-266.36653780333654</v>
          </cell>
          <cell r="U71">
            <v>0</v>
          </cell>
          <cell r="V71">
            <v>-26976.473390451985</v>
          </cell>
          <cell r="W71">
            <v>0</v>
          </cell>
          <cell r="X71">
            <v>-314.19614324657698</v>
          </cell>
          <cell r="Y71">
            <v>-580.85583812159689</v>
          </cell>
          <cell r="Z71">
            <v>5928.8228552201826</v>
          </cell>
          <cell r="AA71">
            <v>0</v>
          </cell>
          <cell r="AB71">
            <v>0</v>
          </cell>
          <cell r="AC71">
            <v>-9896.5957311322691</v>
          </cell>
          <cell r="AD71">
            <v>0</v>
          </cell>
          <cell r="AE71">
            <v>0</v>
          </cell>
          <cell r="AF71">
            <v>-605.46615121334617</v>
          </cell>
          <cell r="AG71">
            <v>0</v>
          </cell>
          <cell r="AH71">
            <v>10502.061882345615</v>
          </cell>
          <cell r="AI71">
            <v>580.85583812159689</v>
          </cell>
          <cell r="AJ71">
            <v>0</v>
          </cell>
          <cell r="AK71">
            <v>0</v>
          </cell>
          <cell r="AL71">
            <v>-1294.1475</v>
          </cell>
          <cell r="AM71">
            <v>0</v>
          </cell>
          <cell r="AN71">
            <v>0</v>
          </cell>
          <cell r="AO71">
            <v>-1372.9304780720829</v>
          </cell>
          <cell r="AP71">
            <v>-93.80268830841851</v>
          </cell>
          <cell r="AQ71">
            <v>-1286.6708080939741</v>
          </cell>
          <cell r="AR71">
            <v>-822.74187918409552</v>
          </cell>
          <cell r="AT71">
            <v>-2222.9681815810973</v>
          </cell>
          <cell r="AU71">
            <v>268.77477749999997</v>
          </cell>
          <cell r="AV71">
            <v>0</v>
          </cell>
          <cell r="AW71">
            <v>0</v>
          </cell>
          <cell r="AX71">
            <v>1523.0570725</v>
          </cell>
          <cell r="AY71">
            <v>0</v>
          </cell>
          <cell r="AZ71">
            <v>0</v>
          </cell>
          <cell r="BA71">
            <v>30.912170084658904</v>
          </cell>
          <cell r="BB71">
            <v>-363.09629804843922</v>
          </cell>
          <cell r="BC71">
            <v>0</v>
          </cell>
          <cell r="BD71">
            <v>0</v>
          </cell>
          <cell r="BE71">
            <v>2077.5387424999999</v>
          </cell>
          <cell r="BF71">
            <v>-2077.5387424999999</v>
          </cell>
          <cell r="BG71">
            <v>-30.912170084658904</v>
          </cell>
          <cell r="BH71">
            <v>0</v>
          </cell>
          <cell r="BI71">
            <v>0</v>
          </cell>
          <cell r="BJ71">
            <v>0</v>
          </cell>
          <cell r="BK71">
            <v>1097.880577977576</v>
          </cell>
          <cell r="EA71">
            <v>9171.739999999998</v>
          </cell>
          <cell r="EL71">
            <v>11419.078124999998</v>
          </cell>
          <cell r="EM71">
            <v>-1586.8513759089401</v>
          </cell>
          <cell r="EN71">
            <v>0</v>
          </cell>
          <cell r="EO71">
            <v>-3.2391354973873927</v>
          </cell>
          <cell r="EP71">
            <v>0</v>
          </cell>
          <cell r="EQ71">
            <v>-365.44768774453883</v>
          </cell>
          <cell r="ER71">
            <v>-88.788845934445533</v>
          </cell>
          <cell r="ES71">
            <v>0</v>
          </cell>
          <cell r="ET71">
            <v>-8992.1577968173297</v>
          </cell>
          <cell r="EU71">
            <v>0</v>
          </cell>
          <cell r="EV71">
            <v>-104.73204774885897</v>
          </cell>
          <cell r="EW71">
            <v>-193.61861270719891</v>
          </cell>
          <cell r="EX71">
            <v>1976.2742850733944</v>
          </cell>
          <cell r="EY71">
            <v>0</v>
          </cell>
          <cell r="EZ71">
            <v>0</v>
          </cell>
          <cell r="FA71">
            <v>-3298.8652437107567</v>
          </cell>
          <cell r="FB71">
            <v>0</v>
          </cell>
          <cell r="FC71">
            <v>0</v>
          </cell>
          <cell r="FD71">
            <v>-201.8220504044487</v>
          </cell>
          <cell r="FE71">
            <v>0</v>
          </cell>
          <cell r="FF71">
            <v>3500.6872941152051</v>
          </cell>
          <cell r="FG71">
            <v>193.61861270719891</v>
          </cell>
          <cell r="FH71">
            <v>0</v>
          </cell>
          <cell r="FI71">
            <v>0</v>
          </cell>
          <cell r="FJ71">
            <v>-431.38250000000005</v>
          </cell>
          <cell r="FK71">
            <v>0</v>
          </cell>
          <cell r="FL71">
            <v>0</v>
          </cell>
          <cell r="FM71">
            <v>-457.6434926906943</v>
          </cell>
          <cell r="FN71">
            <v>-31.267562769472846</v>
          </cell>
          <cell r="FO71">
            <v>-428.89026936465802</v>
          </cell>
          <cell r="FP71">
            <v>-274.2472930613651</v>
          </cell>
          <cell r="FR71">
            <v>-740.98939386036591</v>
          </cell>
          <cell r="FS71">
            <v>89.59159249999999</v>
          </cell>
          <cell r="FT71">
            <v>0</v>
          </cell>
          <cell r="FU71">
            <v>0</v>
          </cell>
          <cell r="FV71">
            <v>507.6856908333333</v>
          </cell>
          <cell r="FW71">
            <v>0</v>
          </cell>
          <cell r="FX71">
            <v>0</v>
          </cell>
          <cell r="FY71">
            <v>10.304056694886302</v>
          </cell>
          <cell r="FZ71">
            <v>-121.03209934947975</v>
          </cell>
          <cell r="GA71">
            <v>0</v>
          </cell>
          <cell r="GB71">
            <v>0</v>
          </cell>
          <cell r="GC71">
            <v>692.51291416666663</v>
          </cell>
          <cell r="GD71">
            <v>-692.51291416666663</v>
          </cell>
          <cell r="GE71">
            <v>-10.304056694886302</v>
          </cell>
          <cell r="GF71">
            <v>0</v>
          </cell>
          <cell r="GG71">
            <v>0</v>
          </cell>
          <cell r="GH71">
            <v>0</v>
          </cell>
          <cell r="GI71">
            <v>365.96019265918767</v>
          </cell>
        </row>
        <row r="73">
          <cell r="C73">
            <v>16762.979899999998</v>
          </cell>
          <cell r="N73">
            <v>16827.413349999999</v>
          </cell>
          <cell r="O73">
            <v>-159.24642999999995</v>
          </cell>
          <cell r="P73">
            <v>0</v>
          </cell>
          <cell r="Q73">
            <v>0</v>
          </cell>
          <cell r="R73">
            <v>48.9998</v>
          </cell>
          <cell r="S73">
            <v>-135.98161999999999</v>
          </cell>
          <cell r="T73">
            <v>0</v>
          </cell>
          <cell r="U73">
            <v>0</v>
          </cell>
          <cell r="V73">
            <v>-12706.276459999999</v>
          </cell>
          <cell r="W73">
            <v>0</v>
          </cell>
          <cell r="X73">
            <v>0</v>
          </cell>
          <cell r="Y73">
            <v>-36.574129999999997</v>
          </cell>
          <cell r="Z73">
            <v>347.53107999999997</v>
          </cell>
          <cell r="AA73">
            <v>6.5187900000000001</v>
          </cell>
          <cell r="AB73">
            <v>0</v>
          </cell>
          <cell r="AC73">
            <v>-10358.549370000001</v>
          </cell>
          <cell r="AD73">
            <v>0</v>
          </cell>
          <cell r="AE73">
            <v>-76.360079999999982</v>
          </cell>
          <cell r="AF73">
            <v>-12.230849999999998</v>
          </cell>
          <cell r="AG73">
            <v>0</v>
          </cell>
          <cell r="AH73">
            <v>14329.482500000007</v>
          </cell>
          <cell r="AI73">
            <v>-1340.551909999999</v>
          </cell>
          <cell r="AJ73">
            <v>-1995.2577800000001</v>
          </cell>
          <cell r="AK73">
            <v>194.84571</v>
          </cell>
          <cell r="AL73">
            <v>-1135.6946899999998</v>
          </cell>
          <cell r="AM73">
            <v>135.22403</v>
          </cell>
          <cell r="AN73">
            <v>-116.80186</v>
          </cell>
          <cell r="AO73">
            <v>-523.54792000000009</v>
          </cell>
          <cell r="AP73">
            <v>-57.814299999999996</v>
          </cell>
          <cell r="AQ73">
            <v>-1124.66911</v>
          </cell>
          <cell r="AR73">
            <v>-542.88609999999994</v>
          </cell>
          <cell r="AT73">
            <v>-1347.3256500000002</v>
          </cell>
          <cell r="AU73">
            <v>3.7230400000000001</v>
          </cell>
          <cell r="AV73">
            <v>0</v>
          </cell>
          <cell r="AW73">
            <v>0</v>
          </cell>
          <cell r="AX73">
            <v>599.80565999999999</v>
          </cell>
          <cell r="AY73">
            <v>0</v>
          </cell>
          <cell r="AZ73">
            <v>0</v>
          </cell>
          <cell r="BA73">
            <v>0.17824999999999999</v>
          </cell>
          <cell r="BB73">
            <v>-1.51542</v>
          </cell>
          <cell r="BC73">
            <v>-1.4670000000000001E-2</v>
          </cell>
          <cell r="BD73">
            <v>0</v>
          </cell>
          <cell r="BE73">
            <v>879.18129999999974</v>
          </cell>
          <cell r="BF73">
            <v>-3361.055629999998</v>
          </cell>
          <cell r="BG73">
            <v>30.052339999999997</v>
          </cell>
          <cell r="BH73">
            <v>2534.6011500000004</v>
          </cell>
          <cell r="BI73">
            <v>-8.1840000000000011</v>
          </cell>
          <cell r="BJ73">
            <v>0</v>
          </cell>
          <cell r="BK73">
            <v>897.01902000000791</v>
          </cell>
          <cell r="EA73">
            <v>7099.1416699999991</v>
          </cell>
          <cell r="EL73">
            <v>7214.4777199999971</v>
          </cell>
          <cell r="EM73">
            <v>-154.80153999999996</v>
          </cell>
          <cell r="EN73">
            <v>0</v>
          </cell>
          <cell r="EO73">
            <v>0</v>
          </cell>
          <cell r="EP73">
            <v>48.9998</v>
          </cell>
          <cell r="EQ73">
            <v>-55.087339999999998</v>
          </cell>
          <cell r="ER73">
            <v>0</v>
          </cell>
          <cell r="ES73">
            <v>0</v>
          </cell>
          <cell r="ET73">
            <v>-5049.4026799999992</v>
          </cell>
          <cell r="EU73">
            <v>0</v>
          </cell>
          <cell r="EV73">
            <v>0</v>
          </cell>
          <cell r="EW73">
            <v>-36.574129999999997</v>
          </cell>
          <cell r="EX73">
            <v>292.98194999999998</v>
          </cell>
          <cell r="EY73">
            <v>6.5187900000000001</v>
          </cell>
          <cell r="EZ73">
            <v>0</v>
          </cell>
          <cell r="FA73">
            <v>-4394.9450000000006</v>
          </cell>
          <cell r="FB73">
            <v>0</v>
          </cell>
          <cell r="FC73">
            <v>-24.867409999999985</v>
          </cell>
          <cell r="FD73">
            <v>-8.9792699999999979</v>
          </cell>
          <cell r="FE73">
            <v>0</v>
          </cell>
          <cell r="FF73">
            <v>12697.438000000004</v>
          </cell>
          <cell r="FG73">
            <v>-1340.551909999999</v>
          </cell>
          <cell r="FH73">
            <v>-6879.7265900000002</v>
          </cell>
          <cell r="FI73">
            <v>194.84571</v>
          </cell>
          <cell r="FJ73">
            <v>-508.99535999999989</v>
          </cell>
          <cell r="FK73">
            <v>58.926899999999989</v>
          </cell>
          <cell r="FL73">
            <v>-53.768100000000004</v>
          </cell>
          <cell r="FM73">
            <v>-184.45523000000009</v>
          </cell>
          <cell r="FN73">
            <v>-22.912999999999997</v>
          </cell>
          <cell r="FO73">
            <v>-351.95684000000006</v>
          </cell>
          <cell r="FP73">
            <v>-164.19685999999996</v>
          </cell>
          <cell r="FR73">
            <v>-263.40916000000016</v>
          </cell>
          <cell r="FS73">
            <v>2.6219200000000003</v>
          </cell>
          <cell r="FT73">
            <v>0</v>
          </cell>
          <cell r="FU73">
            <v>0</v>
          </cell>
          <cell r="FV73">
            <v>324.39371</v>
          </cell>
          <cell r="FW73">
            <v>0</v>
          </cell>
          <cell r="FX73">
            <v>0</v>
          </cell>
          <cell r="FY73">
            <v>0.17824999999999999</v>
          </cell>
          <cell r="FZ73">
            <v>6.3399999999999901E-2</v>
          </cell>
          <cell r="GA73">
            <v>-1.4670000000000001E-2</v>
          </cell>
          <cell r="GB73">
            <v>0</v>
          </cell>
          <cell r="GC73">
            <v>396.77114999999969</v>
          </cell>
          <cell r="GD73">
            <v>-3949.6079399999967</v>
          </cell>
          <cell r="GE73">
            <v>30.052339999999997</v>
          </cell>
          <cell r="GF73">
            <v>3473.2344200000002</v>
          </cell>
          <cell r="GG73">
            <v>-8.1840000000000011</v>
          </cell>
          <cell r="GH73">
            <v>0</v>
          </cell>
          <cell r="GI73">
            <v>1289.0670300000047</v>
          </cell>
        </row>
        <row r="74">
          <cell r="C74">
            <v>15874.847610000003</v>
          </cell>
          <cell r="N74">
            <v>15675.564450000002</v>
          </cell>
          <cell r="O74">
            <v>-102.24328</v>
          </cell>
          <cell r="P74">
            <v>0</v>
          </cell>
          <cell r="Q74">
            <v>0</v>
          </cell>
          <cell r="R74">
            <v>44.189889999999998</v>
          </cell>
          <cell r="S74">
            <v>-35.024320000000003</v>
          </cell>
          <cell r="T74">
            <v>0</v>
          </cell>
          <cell r="U74">
            <v>0</v>
          </cell>
          <cell r="V74">
            <v>-15151.428599999999</v>
          </cell>
          <cell r="W74">
            <v>0</v>
          </cell>
          <cell r="X74">
            <v>0</v>
          </cell>
          <cell r="Y74">
            <v>-161.30385999999999</v>
          </cell>
          <cell r="Z74">
            <v>2801.9606299999996</v>
          </cell>
          <cell r="AA74">
            <v>24.996820000000003</v>
          </cell>
          <cell r="AB74">
            <v>0</v>
          </cell>
          <cell r="AC74">
            <v>-8613.3159300000007</v>
          </cell>
          <cell r="AD74">
            <v>0</v>
          </cell>
          <cell r="AE74">
            <v>-15.764389999999999</v>
          </cell>
          <cell r="AF74">
            <v>-5.7474799999999995</v>
          </cell>
          <cell r="AG74">
            <v>0</v>
          </cell>
          <cell r="AH74">
            <v>7429.6293499999992</v>
          </cell>
          <cell r="AI74">
            <v>150.78711000000001</v>
          </cell>
          <cell r="AJ74">
            <v>-713.69965000000116</v>
          </cell>
          <cell r="AK74">
            <v>-8.8023699999999998</v>
          </cell>
          <cell r="AL74">
            <v>-1168.3492999999999</v>
          </cell>
          <cell r="AM74">
            <v>146.47613000000001</v>
          </cell>
          <cell r="AN74">
            <v>-116.60205999999997</v>
          </cell>
          <cell r="AO74">
            <v>-458.55628999999999</v>
          </cell>
          <cell r="AP74">
            <v>-43.597819999999999</v>
          </cell>
          <cell r="AQ74">
            <v>-606.88151000000005</v>
          </cell>
          <cell r="AR74">
            <v>-336.22401000000002</v>
          </cell>
          <cell r="AT74">
            <v>-2232.8840900000005</v>
          </cell>
          <cell r="AU74">
            <v>0</v>
          </cell>
          <cell r="AV74">
            <v>0</v>
          </cell>
          <cell r="AW74">
            <v>0</v>
          </cell>
          <cell r="AX74">
            <v>2035.47867</v>
          </cell>
          <cell r="AY74">
            <v>0</v>
          </cell>
          <cell r="AZ74">
            <v>0</v>
          </cell>
          <cell r="BA74">
            <v>6.6341000000000001</v>
          </cell>
          <cell r="BB74">
            <v>-353.37985000000003</v>
          </cell>
          <cell r="BC74">
            <v>-0.11647</v>
          </cell>
          <cell r="BD74">
            <v>0</v>
          </cell>
          <cell r="BE74">
            <v>575.66580000000022</v>
          </cell>
          <cell r="BF74">
            <v>-183.94961000003099</v>
          </cell>
          <cell r="BG74">
            <v>-35.99871000000001</v>
          </cell>
          <cell r="BH74">
            <v>327.92973000000018</v>
          </cell>
          <cell r="BI74">
            <v>0.18189</v>
          </cell>
          <cell r="BJ74">
            <v>0</v>
          </cell>
          <cell r="BK74">
            <v>-1124.3750300000338</v>
          </cell>
          <cell r="EA74">
            <v>6748.5756000000019</v>
          </cell>
          <cell r="EL74">
            <v>7348.1989100000019</v>
          </cell>
          <cell r="EM74">
            <v>-90.545349999999999</v>
          </cell>
          <cell r="EN74">
            <v>0</v>
          </cell>
          <cell r="EO74">
            <v>0</v>
          </cell>
          <cell r="EP74">
            <v>44.189889999999998</v>
          </cell>
          <cell r="EQ74">
            <v>-13.679590000000005</v>
          </cell>
          <cell r="ER74">
            <v>0</v>
          </cell>
          <cell r="ES74">
            <v>0</v>
          </cell>
          <cell r="ET74">
            <v>-7753.6335499999986</v>
          </cell>
          <cell r="EU74">
            <v>0</v>
          </cell>
          <cell r="EV74">
            <v>0</v>
          </cell>
          <cell r="EW74">
            <v>-161.30385999999999</v>
          </cell>
          <cell r="EX74">
            <v>1485.7903399999996</v>
          </cell>
          <cell r="EY74">
            <v>24.996820000000003</v>
          </cell>
          <cell r="EZ74">
            <v>0</v>
          </cell>
          <cell r="FA74">
            <v>-3213.2651600000008</v>
          </cell>
          <cell r="FB74">
            <v>0</v>
          </cell>
          <cell r="FC74">
            <v>-6.216429999999999</v>
          </cell>
          <cell r="FD74">
            <v>-1.08507</v>
          </cell>
          <cell r="FE74">
            <v>0</v>
          </cell>
          <cell r="FF74">
            <v>1257.2269100000003</v>
          </cell>
          <cell r="FG74">
            <v>150.78711000000001</v>
          </cell>
          <cell r="FH74">
            <v>465.27504000000022</v>
          </cell>
          <cell r="FI74">
            <v>-8.8023699999999998</v>
          </cell>
          <cell r="FJ74">
            <v>-560.92539999999985</v>
          </cell>
          <cell r="FK74">
            <v>47.716850000000008</v>
          </cell>
          <cell r="FL74">
            <v>-58.749219999999973</v>
          </cell>
          <cell r="FM74">
            <v>-168.81153</v>
          </cell>
          <cell r="FN74">
            <v>-16.230529999999998</v>
          </cell>
          <cell r="FO74">
            <v>-217.46148000000005</v>
          </cell>
          <cell r="FP74">
            <v>-96.912129999999991</v>
          </cell>
          <cell r="FR74">
            <v>-1842.5168900000003</v>
          </cell>
          <cell r="FS74">
            <v>0</v>
          </cell>
          <cell r="FT74">
            <v>0</v>
          </cell>
          <cell r="FU74">
            <v>0</v>
          </cell>
          <cell r="FV74">
            <v>1372.5493999999999</v>
          </cell>
          <cell r="FW74">
            <v>0</v>
          </cell>
          <cell r="FX74">
            <v>0</v>
          </cell>
          <cell r="FY74">
            <v>6.6341000000000001</v>
          </cell>
          <cell r="FZ74">
            <v>-238.64598000000004</v>
          </cell>
          <cell r="GA74">
            <v>-0.11647</v>
          </cell>
          <cell r="GB74">
            <v>0</v>
          </cell>
          <cell r="GC74">
            <v>369.38478000000021</v>
          </cell>
          <cell r="GD74">
            <v>294.02371999999087</v>
          </cell>
          <cell r="GE74">
            <v>-35.99871000000001</v>
          </cell>
          <cell r="GF74">
            <v>-93.509029999999996</v>
          </cell>
          <cell r="GG74">
            <v>0.18189</v>
          </cell>
          <cell r="GH74">
            <v>0</v>
          </cell>
          <cell r="GI74">
            <v>-1711.4529900000077</v>
          </cell>
        </row>
        <row r="75">
          <cell r="C75">
            <v>17416.689024312909</v>
          </cell>
          <cell r="N75">
            <v>17253.636448104677</v>
          </cell>
          <cell r="O75">
            <v>-2345.6912591632718</v>
          </cell>
          <cell r="P75">
            <v>0</v>
          </cell>
          <cell r="Q75">
            <v>0</v>
          </cell>
          <cell r="R75">
            <v>0</v>
          </cell>
          <cell r="S75">
            <v>-451.18143287034445</v>
          </cell>
          <cell r="T75">
            <v>0</v>
          </cell>
          <cell r="U75">
            <v>0</v>
          </cell>
          <cell r="V75">
            <v>-13159.094003479539</v>
          </cell>
          <cell r="W75">
            <v>0</v>
          </cell>
          <cell r="X75">
            <v>0</v>
          </cell>
          <cell r="Y75">
            <v>-268.1334885990309</v>
          </cell>
          <cell r="Z75">
            <v>2873.3303229914318</v>
          </cell>
          <cell r="AA75">
            <v>0</v>
          </cell>
          <cell r="AB75">
            <v>0</v>
          </cell>
          <cell r="AC75">
            <v>-7399.8187819749983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7947.0766384972567</v>
          </cell>
          <cell r="AI75">
            <v>268.1334885990309</v>
          </cell>
          <cell r="AJ75">
            <v>0</v>
          </cell>
          <cell r="AK75">
            <v>0</v>
          </cell>
          <cell r="AL75">
            <v>-1256.1231673897412</v>
          </cell>
          <cell r="AM75">
            <v>0</v>
          </cell>
          <cell r="AN75">
            <v>0</v>
          </cell>
          <cell r="AO75">
            <v>-515.59415517317552</v>
          </cell>
          <cell r="AP75">
            <v>-51.436538238894606</v>
          </cell>
          <cell r="AQ75">
            <v>-1201.604239839879</v>
          </cell>
          <cell r="AR75">
            <v>-601.91006035215707</v>
          </cell>
          <cell r="AT75">
            <v>-1703.0930402884339</v>
          </cell>
          <cell r="AU75">
            <v>325.44236259738869</v>
          </cell>
          <cell r="AV75">
            <v>0</v>
          </cell>
          <cell r="AW75">
            <v>0</v>
          </cell>
          <cell r="AX75">
            <v>1825.6991943863532</v>
          </cell>
          <cell r="AY75">
            <v>0</v>
          </cell>
          <cell r="AZ75">
            <v>0</v>
          </cell>
          <cell r="BA75">
            <v>35.80812297525641</v>
          </cell>
          <cell r="BB75">
            <v>-398.64726662683955</v>
          </cell>
          <cell r="BC75">
            <v>0</v>
          </cell>
          <cell r="BD75">
            <v>0</v>
          </cell>
          <cell r="BE75">
            <v>-370.00000000000023</v>
          </cell>
          <cell r="BF75">
            <v>0</v>
          </cell>
          <cell r="BG75">
            <v>-35.80812297525641</v>
          </cell>
          <cell r="BH75">
            <v>0</v>
          </cell>
          <cell r="BI75">
            <v>0</v>
          </cell>
          <cell r="BJ75">
            <v>0</v>
          </cell>
          <cell r="BK75">
            <v>770.99102117983455</v>
          </cell>
          <cell r="EA75">
            <v>6907.621149766188</v>
          </cell>
          <cell r="EL75">
            <v>5751.2121493682243</v>
          </cell>
          <cell r="EM75">
            <v>-781.89708638775733</v>
          </cell>
          <cell r="EN75">
            <v>0</v>
          </cell>
          <cell r="EO75">
            <v>0</v>
          </cell>
          <cell r="EP75">
            <v>0</v>
          </cell>
          <cell r="EQ75">
            <v>-150.39381095678152</v>
          </cell>
          <cell r="ER75">
            <v>0</v>
          </cell>
          <cell r="ES75">
            <v>0</v>
          </cell>
          <cell r="ET75">
            <v>-4386.3646678265122</v>
          </cell>
          <cell r="EU75">
            <v>0</v>
          </cell>
          <cell r="EV75">
            <v>0</v>
          </cell>
          <cell r="EW75">
            <v>-89.377829533010299</v>
          </cell>
          <cell r="EX75">
            <v>957.77677433047711</v>
          </cell>
          <cell r="EY75">
            <v>0</v>
          </cell>
          <cell r="EZ75">
            <v>0</v>
          </cell>
          <cell r="FA75">
            <v>-2466.6062606583318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2649.0255461657525</v>
          </cell>
          <cell r="FG75">
            <v>89.377829533010299</v>
          </cell>
          <cell r="FH75">
            <v>0</v>
          </cell>
          <cell r="FI75">
            <v>0</v>
          </cell>
          <cell r="FJ75">
            <v>-418.70772246324702</v>
          </cell>
          <cell r="FK75">
            <v>0</v>
          </cell>
          <cell r="FL75">
            <v>0</v>
          </cell>
          <cell r="FM75">
            <v>-171.86471839105855</v>
          </cell>
          <cell r="FN75">
            <v>-17.145512746298202</v>
          </cell>
          <cell r="FO75">
            <v>-400.53474661329312</v>
          </cell>
          <cell r="FP75">
            <v>-200.63668678405242</v>
          </cell>
          <cell r="FR75">
            <v>-567.69768009614472</v>
          </cell>
          <cell r="FS75">
            <v>108.4807875324629</v>
          </cell>
          <cell r="FT75">
            <v>0</v>
          </cell>
          <cell r="FU75">
            <v>0</v>
          </cell>
          <cell r="FV75">
            <v>608.56639812878439</v>
          </cell>
          <cell r="FW75">
            <v>0</v>
          </cell>
          <cell r="FX75">
            <v>0</v>
          </cell>
          <cell r="FY75">
            <v>11.936040991752137</v>
          </cell>
          <cell r="FZ75">
            <v>-132.88242220894654</v>
          </cell>
          <cell r="GA75">
            <v>0</v>
          </cell>
          <cell r="GB75">
            <v>0</v>
          </cell>
          <cell r="GC75">
            <v>-123.3333333333334</v>
          </cell>
          <cell r="GD75">
            <v>0</v>
          </cell>
          <cell r="GE75">
            <v>-11.936040991752137</v>
          </cell>
          <cell r="GF75">
            <v>0</v>
          </cell>
          <cell r="GG75">
            <v>0</v>
          </cell>
          <cell r="GH75">
            <v>0</v>
          </cell>
          <cell r="GI75">
            <v>256.99700705994411</v>
          </cell>
        </row>
        <row r="81">
          <cell r="C81">
            <v>102607.77009999999</v>
          </cell>
          <cell r="N81">
            <v>68491.931330000036</v>
          </cell>
          <cell r="O81">
            <v>-1934.4018799999999</v>
          </cell>
          <cell r="P81">
            <v>0</v>
          </cell>
          <cell r="Q81">
            <v>0</v>
          </cell>
          <cell r="R81">
            <v>48.9998</v>
          </cell>
          <cell r="S81">
            <v>-1126.6315</v>
          </cell>
          <cell r="T81">
            <v>0</v>
          </cell>
          <cell r="U81">
            <v>0</v>
          </cell>
          <cell r="V81">
            <v>-60009.259360000004</v>
          </cell>
          <cell r="W81">
            <v>0</v>
          </cell>
          <cell r="X81">
            <v>0</v>
          </cell>
          <cell r="Y81">
            <v>-422.61263999999994</v>
          </cell>
          <cell r="Z81">
            <v>8722.5682399999987</v>
          </cell>
          <cell r="AA81">
            <v>73.084599999999995</v>
          </cell>
          <cell r="AB81">
            <v>0</v>
          </cell>
          <cell r="AC81">
            <v>-39784.279890000005</v>
          </cell>
          <cell r="AD81">
            <v>197.76732000000001</v>
          </cell>
          <cell r="AE81">
            <v>-781.68993999999998</v>
          </cell>
          <cell r="AF81">
            <v>-13.353529999999999</v>
          </cell>
          <cell r="AG81">
            <v>0</v>
          </cell>
          <cell r="AH81">
            <v>39862.800810000015</v>
          </cell>
          <cell r="AI81">
            <v>2063.3076500000011</v>
          </cell>
          <cell r="AJ81">
            <v>782.13385000000062</v>
          </cell>
          <cell r="AK81">
            <v>-153.10713999999984</v>
          </cell>
          <cell r="AL81">
            <v>-7155.5003000000015</v>
          </cell>
          <cell r="AM81">
            <v>9005.4235099999969</v>
          </cell>
          <cell r="AN81">
            <v>-6396.8448899999985</v>
          </cell>
          <cell r="AO81">
            <v>-2147.7217800000003</v>
          </cell>
          <cell r="AP81">
            <v>-155.09470999999999</v>
          </cell>
          <cell r="AQ81">
            <v>-2980.4024300000001</v>
          </cell>
          <cell r="AR81">
            <v>-1460.64301</v>
          </cell>
          <cell r="AT81">
            <v>-3969.2512899999992</v>
          </cell>
          <cell r="AU81">
            <v>3.7230400000000001</v>
          </cell>
          <cell r="AV81">
            <v>0</v>
          </cell>
          <cell r="AW81">
            <v>0</v>
          </cell>
          <cell r="AX81">
            <v>1261.7311500000001</v>
          </cell>
          <cell r="AY81">
            <v>0</v>
          </cell>
          <cell r="AZ81">
            <v>0</v>
          </cell>
          <cell r="BA81">
            <v>6.5964099999999997</v>
          </cell>
          <cell r="BB81">
            <v>-150.27488</v>
          </cell>
          <cell r="BC81">
            <v>-1.1682400000000002</v>
          </cell>
          <cell r="BD81">
            <v>0</v>
          </cell>
          <cell r="BE81">
            <v>3197.0462199999997</v>
          </cell>
          <cell r="BF81">
            <v>-1380.9808299999979</v>
          </cell>
          <cell r="BG81">
            <v>-230.50769</v>
          </cell>
          <cell r="BH81">
            <v>1239.5789400000003</v>
          </cell>
          <cell r="BI81">
            <v>-31.929690000000001</v>
          </cell>
          <cell r="BJ81">
            <v>0</v>
          </cell>
          <cell r="BK81">
            <v>4671.0372500000212</v>
          </cell>
          <cell r="EA81">
            <v>24364.283519999997</v>
          </cell>
          <cell r="EL81">
            <v>27311.857790000016</v>
          </cell>
          <cell r="EM81">
            <v>-1519.82141</v>
          </cell>
          <cell r="EN81">
            <v>0</v>
          </cell>
          <cell r="EO81">
            <v>0</v>
          </cell>
          <cell r="EP81">
            <v>48.9998</v>
          </cell>
          <cell r="EQ81">
            <v>-382.05553999999995</v>
          </cell>
          <cell r="ER81">
            <v>0</v>
          </cell>
          <cell r="ES81">
            <v>0</v>
          </cell>
          <cell r="ET81">
            <v>-23594.425940000008</v>
          </cell>
          <cell r="EU81">
            <v>0</v>
          </cell>
          <cell r="EV81">
            <v>0</v>
          </cell>
          <cell r="EW81">
            <v>-422.61263999999994</v>
          </cell>
          <cell r="EX81">
            <v>3884.6159399999992</v>
          </cell>
          <cell r="EY81">
            <v>73.084599999999995</v>
          </cell>
          <cell r="EZ81">
            <v>0</v>
          </cell>
          <cell r="FA81">
            <v>-14359.29529</v>
          </cell>
          <cell r="FB81">
            <v>189.44464000000002</v>
          </cell>
          <cell r="FC81">
            <v>-255.18661999999992</v>
          </cell>
          <cell r="FD81">
            <v>-10.101949999999999</v>
          </cell>
          <cell r="FE81">
            <v>0</v>
          </cell>
          <cell r="FF81">
            <v>17179.272070000006</v>
          </cell>
          <cell r="FG81">
            <v>2063.3076500000011</v>
          </cell>
          <cell r="FH81">
            <v>-4546.7018399999997</v>
          </cell>
          <cell r="FI81">
            <v>-153.10713999999984</v>
          </cell>
          <cell r="FJ81">
            <v>-1512.2819899999995</v>
          </cell>
          <cell r="FK81">
            <v>2971.1152799999995</v>
          </cell>
          <cell r="FL81">
            <v>-3220.8317999999972</v>
          </cell>
          <cell r="FM81">
            <v>-695.49825000000033</v>
          </cell>
          <cell r="FN81">
            <v>-59.655299999999997</v>
          </cell>
          <cell r="FO81">
            <v>-963.37235999999996</v>
          </cell>
          <cell r="FP81">
            <v>-474.10271999999998</v>
          </cell>
          <cell r="FR81">
            <v>-1784.9289999999994</v>
          </cell>
          <cell r="FS81">
            <v>2.6219200000000003</v>
          </cell>
          <cell r="FT81">
            <v>0</v>
          </cell>
          <cell r="FU81">
            <v>0</v>
          </cell>
          <cell r="FV81">
            <v>590.58954999999992</v>
          </cell>
          <cell r="FW81">
            <v>0</v>
          </cell>
          <cell r="FX81">
            <v>0</v>
          </cell>
          <cell r="FY81">
            <v>6.5964099999999997</v>
          </cell>
          <cell r="FZ81">
            <v>-63.021509999999992</v>
          </cell>
          <cell r="GA81">
            <v>-1.1682400000000002</v>
          </cell>
          <cell r="GB81">
            <v>0</v>
          </cell>
          <cell r="GC81">
            <v>1883.8389199999995</v>
          </cell>
          <cell r="GD81">
            <v>-2227.3562199999965</v>
          </cell>
          <cell r="GE81">
            <v>-230.50769</v>
          </cell>
          <cell r="GF81">
            <v>2908.9093900000003</v>
          </cell>
          <cell r="GG81">
            <v>-31.929690000000001</v>
          </cell>
          <cell r="GH81">
            <v>0</v>
          </cell>
          <cell r="GI81">
            <v>2606.2908200000193</v>
          </cell>
        </row>
        <row r="82">
          <cell r="C82">
            <v>107548.90328000004</v>
          </cell>
          <cell r="N82">
            <v>73193.85205000003</v>
          </cell>
          <cell r="O82">
            <v>-1322.7810300000001</v>
          </cell>
          <cell r="P82">
            <v>0</v>
          </cell>
          <cell r="Q82">
            <v>-582.577</v>
          </cell>
          <cell r="R82">
            <v>59.377000000000002</v>
          </cell>
          <cell r="S82">
            <v>-881.93373000000008</v>
          </cell>
          <cell r="T82">
            <v>-15.64958</v>
          </cell>
          <cell r="U82">
            <v>0</v>
          </cell>
          <cell r="V82">
            <v>-59713.468999999997</v>
          </cell>
          <cell r="W82">
            <v>0</v>
          </cell>
          <cell r="X82">
            <v>-400</v>
          </cell>
          <cell r="Y82">
            <v>-808.64711</v>
          </cell>
          <cell r="Z82">
            <v>9153.0129099999995</v>
          </cell>
          <cell r="AA82">
            <v>105.47250999999999</v>
          </cell>
          <cell r="AB82">
            <v>0</v>
          </cell>
          <cell r="AC82">
            <v>-42954.357460000014</v>
          </cell>
          <cell r="AD82">
            <v>849.94065999999998</v>
          </cell>
          <cell r="AE82">
            <v>-642.15008999999986</v>
          </cell>
          <cell r="AF82">
            <v>-289.42114000000004</v>
          </cell>
          <cell r="AG82">
            <v>0</v>
          </cell>
          <cell r="AH82">
            <v>34006.10583</v>
          </cell>
          <cell r="AI82">
            <v>817.05641000000003</v>
          </cell>
          <cell r="AJ82">
            <v>6562.5646499999993</v>
          </cell>
          <cell r="AK82">
            <v>74.981140000000011</v>
          </cell>
          <cell r="AL82">
            <v>-7752.3409700000002</v>
          </cell>
          <cell r="AM82">
            <v>9473.66662</v>
          </cell>
          <cell r="AN82">
            <v>-6826.8112200000014</v>
          </cell>
          <cell r="AO82">
            <v>-2702.7301699999998</v>
          </cell>
          <cell r="AP82">
            <v>-218.31997000000001</v>
          </cell>
          <cell r="AQ82">
            <v>-2536.3670999999999</v>
          </cell>
          <cell r="AR82">
            <v>-1494.1948200000002</v>
          </cell>
          <cell r="AT82">
            <v>-5671.8641200000011</v>
          </cell>
          <cell r="AU82">
            <v>0</v>
          </cell>
          <cell r="AV82">
            <v>0</v>
          </cell>
          <cell r="AW82">
            <v>0</v>
          </cell>
          <cell r="AX82">
            <v>2961.6175199999998</v>
          </cell>
          <cell r="AY82">
            <v>0</v>
          </cell>
          <cell r="AZ82">
            <v>0</v>
          </cell>
          <cell r="BA82">
            <v>13.797540000000001</v>
          </cell>
          <cell r="BB82">
            <v>-531.35837000000004</v>
          </cell>
          <cell r="BC82">
            <v>-0.27172000000000002</v>
          </cell>
          <cell r="BD82">
            <v>0</v>
          </cell>
          <cell r="BE82">
            <v>2431.0947800000004</v>
          </cell>
          <cell r="BF82">
            <v>241.45603999996786</v>
          </cell>
          <cell r="BG82">
            <v>-208.6804700000001</v>
          </cell>
          <cell r="BH82">
            <v>-211.93733999999972</v>
          </cell>
          <cell r="BI82">
            <v>-0.9127299999999996</v>
          </cell>
          <cell r="BJ82">
            <v>0</v>
          </cell>
          <cell r="BK82">
            <v>4177.2205199999889</v>
          </cell>
          <cell r="EA82">
            <v>21810.470100000013</v>
          </cell>
          <cell r="EL82">
            <v>30471.508020000016</v>
          </cell>
          <cell r="EM82">
            <v>-1025.5206400000002</v>
          </cell>
          <cell r="EN82">
            <v>0</v>
          </cell>
          <cell r="EO82">
            <v>-582.577</v>
          </cell>
          <cell r="EP82">
            <v>59.164729999999999</v>
          </cell>
          <cell r="EQ82">
            <v>-316.28804000000002</v>
          </cell>
          <cell r="ER82">
            <v>-1.3085199999999997</v>
          </cell>
          <cell r="ES82">
            <v>0</v>
          </cell>
          <cell r="ET82">
            <v>-24808.839439999996</v>
          </cell>
          <cell r="EU82">
            <v>0</v>
          </cell>
          <cell r="EV82">
            <v>-100</v>
          </cell>
          <cell r="EW82">
            <v>-808.64711</v>
          </cell>
          <cell r="EX82">
            <v>3917.8289799999998</v>
          </cell>
          <cell r="EY82">
            <v>105.47250999999999</v>
          </cell>
          <cell r="EZ82">
            <v>0</v>
          </cell>
          <cell r="FA82">
            <v>-20200.187440000012</v>
          </cell>
          <cell r="FB82">
            <v>234.76344999999992</v>
          </cell>
          <cell r="FC82">
            <v>-214.1787599999999</v>
          </cell>
          <cell r="FD82">
            <v>-68.218800000000073</v>
          </cell>
          <cell r="FE82">
            <v>0</v>
          </cell>
          <cell r="FF82">
            <v>12484.084559999999</v>
          </cell>
          <cell r="FG82">
            <v>817.05641000000003</v>
          </cell>
          <cell r="FH82">
            <v>3037.2333200000016</v>
          </cell>
          <cell r="FI82">
            <v>74.981140000000011</v>
          </cell>
          <cell r="FJ82">
            <v>-1743.1861099999996</v>
          </cell>
          <cell r="FK82">
            <v>4213.9087499999996</v>
          </cell>
          <cell r="FL82">
            <v>-5209.207620000001</v>
          </cell>
          <cell r="FM82">
            <v>-898.04798000000017</v>
          </cell>
          <cell r="FN82">
            <v>-117.51104000000001</v>
          </cell>
          <cell r="FO82">
            <v>-1037.8162300000001</v>
          </cell>
          <cell r="FP82">
            <v>-455.43679999999983</v>
          </cell>
          <cell r="FR82">
            <v>-3841.82215</v>
          </cell>
          <cell r="FS82">
            <v>0</v>
          </cell>
          <cell r="FT82">
            <v>0</v>
          </cell>
          <cell r="FU82">
            <v>0</v>
          </cell>
          <cell r="FV82">
            <v>1690.4509599999999</v>
          </cell>
          <cell r="FW82">
            <v>0</v>
          </cell>
          <cell r="FX82">
            <v>0</v>
          </cell>
          <cell r="FY82">
            <v>13.797540000000001</v>
          </cell>
          <cell r="FZ82">
            <v>-301.01223000000005</v>
          </cell>
          <cell r="GA82">
            <v>-0.27172000000000002</v>
          </cell>
          <cell r="GB82">
            <v>0</v>
          </cell>
          <cell r="GC82">
            <v>1934.6465100000005</v>
          </cell>
          <cell r="GD82">
            <v>173.72732999999084</v>
          </cell>
          <cell r="GE82">
            <v>-208.6804700000001</v>
          </cell>
          <cell r="GF82">
            <v>-202.39578999999998</v>
          </cell>
          <cell r="GG82">
            <v>-0.9127299999999996</v>
          </cell>
          <cell r="GH82">
            <v>0</v>
          </cell>
          <cell r="GI82">
            <v>-2913.4424100000042</v>
          </cell>
        </row>
        <row r="83">
          <cell r="C83">
            <v>93012.090785372988</v>
          </cell>
          <cell r="N83">
            <v>66869.058234190728</v>
          </cell>
          <cell r="O83">
            <v>-13855.516161076281</v>
          </cell>
          <cell r="P83">
            <v>0</v>
          </cell>
          <cell r="Q83">
            <v>-9.7174064921621763</v>
          </cell>
          <cell r="R83">
            <v>0</v>
          </cell>
          <cell r="S83">
            <v>-2378.7984240416922</v>
          </cell>
          <cell r="T83">
            <v>-266.36653780333654</v>
          </cell>
          <cell r="U83">
            <v>0</v>
          </cell>
          <cell r="V83">
            <v>-45056.380828339337</v>
          </cell>
          <cell r="W83">
            <v>0</v>
          </cell>
          <cell r="X83">
            <v>-314.19614324657698</v>
          </cell>
          <cell r="Y83">
            <v>-988.79355586846111</v>
          </cell>
          <cell r="Z83">
            <v>8870.7413645040851</v>
          </cell>
          <cell r="AA83">
            <v>0</v>
          </cell>
          <cell r="AB83">
            <v>0</v>
          </cell>
          <cell r="AC83">
            <v>-23141.135387857263</v>
          </cell>
          <cell r="AD83">
            <v>0</v>
          </cell>
          <cell r="AE83">
            <v>0</v>
          </cell>
          <cell r="AF83">
            <v>-605.46615121334617</v>
          </cell>
          <cell r="AG83">
            <v>0</v>
          </cell>
          <cell r="AH83">
            <v>24908.546376803723</v>
          </cell>
          <cell r="AI83">
            <v>988.79355586846111</v>
          </cell>
          <cell r="AJ83">
            <v>0</v>
          </cell>
          <cell r="AK83">
            <v>0</v>
          </cell>
          <cell r="AL83">
            <v>-4165.1998662461447</v>
          </cell>
          <cell r="AM83">
            <v>0</v>
          </cell>
          <cell r="AN83">
            <v>0</v>
          </cell>
          <cell r="AO83">
            <v>-2188.4892813578931</v>
          </cell>
          <cell r="AP83">
            <v>-173.11304859852086</v>
          </cell>
          <cell r="AQ83">
            <v>-3165.9721059377698</v>
          </cell>
          <cell r="AR83">
            <v>-1755.4978201488077</v>
          </cell>
          <cell r="AT83">
            <v>-4921.9492593695304</v>
          </cell>
          <cell r="AU83">
            <v>1079.8432457078236</v>
          </cell>
          <cell r="AV83">
            <v>0</v>
          </cell>
          <cell r="AW83">
            <v>0</v>
          </cell>
          <cell r="AX83">
            <v>3739.5701912759187</v>
          </cell>
          <cell r="AY83">
            <v>0</v>
          </cell>
          <cell r="AZ83">
            <v>0</v>
          </cell>
          <cell r="BA83">
            <v>76.40290987797033</v>
          </cell>
          <cell r="BB83">
            <v>-766.67864795635865</v>
          </cell>
          <cell r="BC83">
            <v>0</v>
          </cell>
          <cell r="BD83">
            <v>0</v>
          </cell>
          <cell r="BE83">
            <v>1720.7671049999997</v>
          </cell>
          <cell r="BF83">
            <v>-2077.5387424999999</v>
          </cell>
          <cell r="BG83">
            <v>-76.40290987797033</v>
          </cell>
          <cell r="BH83">
            <v>0</v>
          </cell>
          <cell r="BI83">
            <v>0</v>
          </cell>
          <cell r="BJ83">
            <v>0</v>
          </cell>
          <cell r="BK83">
            <v>2346.5107052972498</v>
          </cell>
          <cell r="EA83">
            <v>23341.923947617928</v>
          </cell>
          <cell r="EL83">
            <v>22289.686078063569</v>
          </cell>
          <cell r="EM83">
            <v>-4618.5053870254269</v>
          </cell>
          <cell r="EN83">
            <v>0</v>
          </cell>
          <cell r="EO83">
            <v>-3.2391354973873927</v>
          </cell>
          <cell r="EP83">
            <v>0</v>
          </cell>
          <cell r="EQ83">
            <v>-792.93280801389744</v>
          </cell>
          <cell r="ER83">
            <v>-88.788845934445533</v>
          </cell>
          <cell r="ES83">
            <v>0</v>
          </cell>
          <cell r="ET83">
            <v>-15018.793609446448</v>
          </cell>
          <cell r="EU83">
            <v>0</v>
          </cell>
          <cell r="EV83">
            <v>-104.73204774885897</v>
          </cell>
          <cell r="EW83">
            <v>-329.59785195615365</v>
          </cell>
          <cell r="EX83">
            <v>2956.9137881680285</v>
          </cell>
          <cell r="EY83">
            <v>0</v>
          </cell>
          <cell r="EZ83">
            <v>0</v>
          </cell>
          <cell r="FA83">
            <v>-7713.7117959524212</v>
          </cell>
          <cell r="FB83">
            <v>0</v>
          </cell>
          <cell r="FC83">
            <v>0</v>
          </cell>
          <cell r="FD83">
            <v>-201.8220504044487</v>
          </cell>
          <cell r="FE83">
            <v>0</v>
          </cell>
          <cell r="FF83">
            <v>8302.8487922679087</v>
          </cell>
          <cell r="FG83">
            <v>329.59785195615365</v>
          </cell>
          <cell r="FH83">
            <v>0</v>
          </cell>
          <cell r="FI83">
            <v>0</v>
          </cell>
          <cell r="FJ83">
            <v>-1388.3999554153816</v>
          </cell>
          <cell r="FK83">
            <v>0</v>
          </cell>
          <cell r="FL83">
            <v>0</v>
          </cell>
          <cell r="FM83">
            <v>-729.49642711929778</v>
          </cell>
          <cell r="FN83">
            <v>-57.704349532840297</v>
          </cell>
          <cell r="FO83">
            <v>-1055.32403531259</v>
          </cell>
          <cell r="FP83">
            <v>-585.16594004960257</v>
          </cell>
          <cell r="FR83">
            <v>-1640.6497531231771</v>
          </cell>
          <cell r="FS83">
            <v>359.94774856927455</v>
          </cell>
          <cell r="FT83">
            <v>0</v>
          </cell>
          <cell r="FU83">
            <v>0</v>
          </cell>
          <cell r="FV83">
            <v>1246.523397091973</v>
          </cell>
          <cell r="FW83">
            <v>0</v>
          </cell>
          <cell r="FX83">
            <v>0</v>
          </cell>
          <cell r="FY83">
            <v>25.46763662599011</v>
          </cell>
          <cell r="FZ83">
            <v>-255.55954931878625</v>
          </cell>
          <cell r="GA83">
            <v>0</v>
          </cell>
          <cell r="GB83">
            <v>0</v>
          </cell>
          <cell r="GC83">
            <v>573.58903499999997</v>
          </cell>
          <cell r="GD83">
            <v>-692.51291416666663</v>
          </cell>
          <cell r="GE83">
            <v>-25.46763662599011</v>
          </cell>
          <cell r="GF83">
            <v>0</v>
          </cell>
          <cell r="GG83">
            <v>0</v>
          </cell>
          <cell r="GH83">
            <v>0</v>
          </cell>
          <cell r="GI83">
            <v>782.17023509907926</v>
          </cell>
        </row>
      </sheetData>
      <sheetData sheetId="16" refreshError="1">
        <row r="33">
          <cell r="C33">
            <v>108708.09534</v>
          </cell>
          <cell r="N33">
            <v>45550.488299999997</v>
          </cell>
          <cell r="O33">
            <v>-532.71750999999995</v>
          </cell>
          <cell r="P33">
            <v>-10.840070000000001</v>
          </cell>
          <cell r="Q33">
            <v>-31.811</v>
          </cell>
          <cell r="R33">
            <v>34.174050000000001</v>
          </cell>
          <cell r="S33">
            <v>-679.29700000000003</v>
          </cell>
          <cell r="T33">
            <v>-846.90307000000007</v>
          </cell>
          <cell r="U33">
            <v>0</v>
          </cell>
          <cell r="V33">
            <v>-9625.6139841192071</v>
          </cell>
          <cell r="W33">
            <v>-643.14125000000001</v>
          </cell>
          <cell r="X33">
            <v>-12337.128945880797</v>
          </cell>
          <cell r="Y33">
            <v>-183.20439999999999</v>
          </cell>
          <cell r="Z33">
            <v>531.09948999999995</v>
          </cell>
          <cell r="AA33">
            <v>3.9905600000000003</v>
          </cell>
          <cell r="AB33">
            <v>0</v>
          </cell>
          <cell r="AC33">
            <v>-24135.971480000004</v>
          </cell>
          <cell r="AD33">
            <v>979.85811000000012</v>
          </cell>
          <cell r="AE33">
            <v>-194.59474</v>
          </cell>
          <cell r="AF33">
            <v>-1069.4679599999999</v>
          </cell>
          <cell r="AG33">
            <v>0</v>
          </cell>
          <cell r="AH33">
            <v>25507.105040000002</v>
          </cell>
          <cell r="AI33">
            <v>1160.2980099999997</v>
          </cell>
          <cell r="AJ33">
            <v>371.32976999999988</v>
          </cell>
          <cell r="AK33">
            <v>-15.811999999999998</v>
          </cell>
          <cell r="AL33">
            <v>-16798.528439999998</v>
          </cell>
          <cell r="AM33">
            <v>13102.58743</v>
          </cell>
          <cell r="AN33">
            <v>-3691.0440199999994</v>
          </cell>
          <cell r="AO33">
            <v>-2006.2590399999999</v>
          </cell>
          <cell r="AP33">
            <v>-247.13070999999997</v>
          </cell>
          <cell r="AQ33">
            <v>-1889.7419</v>
          </cell>
          <cell r="AR33">
            <v>-1030.76154</v>
          </cell>
          <cell r="AT33">
            <v>-4462.7353300000004</v>
          </cell>
          <cell r="AU33">
            <v>0</v>
          </cell>
          <cell r="AV33">
            <v>0</v>
          </cell>
          <cell r="AW33">
            <v>0</v>
          </cell>
          <cell r="AX33">
            <v>503.76837300963962</v>
          </cell>
          <cell r="AY33">
            <v>0</v>
          </cell>
          <cell r="AZ33">
            <v>903.67096699036051</v>
          </cell>
          <cell r="BA33">
            <v>11.68844</v>
          </cell>
          <cell r="BB33">
            <v>-31.300900000000002</v>
          </cell>
          <cell r="BC33">
            <v>-0.22649</v>
          </cell>
          <cell r="BD33">
            <v>0</v>
          </cell>
          <cell r="BE33">
            <v>3661.1272100000001</v>
          </cell>
          <cell r="BF33">
            <v>-5811.8419700000004</v>
          </cell>
          <cell r="BG33">
            <v>92.960299999999989</v>
          </cell>
          <cell r="BH33">
            <v>-115.47902999999998</v>
          </cell>
          <cell r="BI33">
            <v>-6.9391299999999996</v>
          </cell>
          <cell r="BJ33">
            <v>0</v>
          </cell>
          <cell r="BK33">
            <v>6015.6541399999933</v>
          </cell>
          <cell r="EA33">
            <v>20722.506399999998</v>
          </cell>
          <cell r="EL33">
            <v>18906.074310000004</v>
          </cell>
          <cell r="EM33">
            <v>-315.44050999999996</v>
          </cell>
          <cell r="EN33">
            <v>-10.840070000000001</v>
          </cell>
          <cell r="EO33">
            <v>-19.029</v>
          </cell>
          <cell r="EP33">
            <v>31.852610000000002</v>
          </cell>
          <cell r="EQ33">
            <v>-266.35892000000001</v>
          </cell>
          <cell r="ER33">
            <v>-51.611470000000054</v>
          </cell>
          <cell r="ES33">
            <v>0</v>
          </cell>
          <cell r="ET33">
            <v>-3609.3658999072995</v>
          </cell>
          <cell r="EU33">
            <v>-643.14125000000001</v>
          </cell>
          <cell r="EV33">
            <v>-3857.1342600927037</v>
          </cell>
          <cell r="EW33">
            <v>-183.20439999999999</v>
          </cell>
          <cell r="EX33">
            <v>172.10344999999995</v>
          </cell>
          <cell r="EY33">
            <v>3.9905600000000003</v>
          </cell>
          <cell r="EZ33">
            <v>0</v>
          </cell>
          <cell r="FA33">
            <v>-9732.6808800000017</v>
          </cell>
          <cell r="FB33">
            <v>405.07640000000015</v>
          </cell>
          <cell r="FC33">
            <v>-65.904410000000013</v>
          </cell>
          <cell r="FD33">
            <v>-354.38042999999993</v>
          </cell>
          <cell r="FE33">
            <v>0</v>
          </cell>
          <cell r="FF33">
            <v>8451.7118299999966</v>
          </cell>
          <cell r="FG33">
            <v>1160.2980099999997</v>
          </cell>
          <cell r="FH33">
            <v>372.75500999999991</v>
          </cell>
          <cell r="FI33">
            <v>-15.811999999999998</v>
          </cell>
          <cell r="FJ33">
            <v>-3133.1603800000012</v>
          </cell>
          <cell r="FK33">
            <v>1911.5834600000017</v>
          </cell>
          <cell r="FL33">
            <v>-1840.1289399999998</v>
          </cell>
          <cell r="FM33">
            <v>-640.80561999999986</v>
          </cell>
          <cell r="FN33">
            <v>-131.66185999999996</v>
          </cell>
          <cell r="FO33">
            <v>-621.11005</v>
          </cell>
          <cell r="FP33">
            <v>-358.26265999999998</v>
          </cell>
          <cell r="FR33">
            <v>-1470.84076</v>
          </cell>
          <cell r="FS33">
            <v>0</v>
          </cell>
          <cell r="FT33">
            <v>0</v>
          </cell>
          <cell r="FU33">
            <v>0</v>
          </cell>
          <cell r="FV33">
            <v>134.56737780415324</v>
          </cell>
          <cell r="FW33">
            <v>0</v>
          </cell>
          <cell r="FX33">
            <v>215.65740219584677</v>
          </cell>
          <cell r="FY33">
            <v>11.68844</v>
          </cell>
          <cell r="FZ33">
            <v>-7.7888599999999997</v>
          </cell>
          <cell r="GA33">
            <v>-0.22649</v>
          </cell>
          <cell r="GB33">
            <v>0</v>
          </cell>
          <cell r="GC33">
            <v>3093.7130099999999</v>
          </cell>
          <cell r="GD33">
            <v>-4831.0247200000003</v>
          </cell>
          <cell r="GE33">
            <v>92.960299999999989</v>
          </cell>
          <cell r="GF33">
            <v>-80.236479999999986</v>
          </cell>
          <cell r="GG33">
            <v>-6.9391299999999996</v>
          </cell>
          <cell r="GH33">
            <v>0</v>
          </cell>
          <cell r="GI33">
            <v>2716.9427199999941</v>
          </cell>
        </row>
        <row r="34">
          <cell r="C34">
            <v>110625.12524000001</v>
          </cell>
          <cell r="N34">
            <v>44933.638809999989</v>
          </cell>
          <cell r="O34">
            <v>-483.75586999999996</v>
          </cell>
          <cell r="P34">
            <v>0</v>
          </cell>
          <cell r="Q34">
            <v>-274.56200000000001</v>
          </cell>
          <cell r="R34">
            <v>4.5584599999999966</v>
          </cell>
          <cell r="S34">
            <v>-519.80776000000003</v>
          </cell>
          <cell r="T34">
            <v>-516.0085600000001</v>
          </cell>
          <cell r="U34">
            <v>0</v>
          </cell>
          <cell r="V34">
            <v>-11379.279622557555</v>
          </cell>
          <cell r="W34">
            <v>0</v>
          </cell>
          <cell r="X34">
            <v>-11729.81078744244</v>
          </cell>
          <cell r="Y34">
            <v>-228.71696</v>
          </cell>
          <cell r="Z34">
            <v>580.09798999999998</v>
          </cell>
          <cell r="AA34">
            <v>6.2486700000000006</v>
          </cell>
          <cell r="AB34">
            <v>0</v>
          </cell>
          <cell r="AC34">
            <v>-19317.393970000005</v>
          </cell>
          <cell r="AD34">
            <v>893.55674999999997</v>
          </cell>
          <cell r="AE34">
            <v>-132.77253999999999</v>
          </cell>
          <cell r="AF34">
            <v>-1288.2076999999999</v>
          </cell>
          <cell r="AG34">
            <v>0</v>
          </cell>
          <cell r="AH34">
            <v>20472.917860000001</v>
          </cell>
          <cell r="AI34">
            <v>446.06284000000005</v>
          </cell>
          <cell r="AJ34">
            <v>397.10498000000001</v>
          </cell>
          <cell r="AK34">
            <v>1.3262200000000006</v>
          </cell>
          <cell r="AL34">
            <v>-16927.941179999998</v>
          </cell>
          <cell r="AM34">
            <v>13560.869890000002</v>
          </cell>
          <cell r="AN34">
            <v>-3851.3960000000002</v>
          </cell>
          <cell r="AO34">
            <v>-1633.7534600000001</v>
          </cell>
          <cell r="AP34">
            <v>-153.60374999999999</v>
          </cell>
          <cell r="AQ34">
            <v>-1651.4446199999998</v>
          </cell>
          <cell r="AR34">
            <v>-1153.1515199999999</v>
          </cell>
          <cell r="AT34">
            <v>-4506.3208900000009</v>
          </cell>
          <cell r="AU34">
            <v>0</v>
          </cell>
          <cell r="AV34">
            <v>0</v>
          </cell>
          <cell r="AW34">
            <v>0</v>
          </cell>
          <cell r="AX34">
            <v>612.84893107437301</v>
          </cell>
          <cell r="AY34">
            <v>0</v>
          </cell>
          <cell r="AZ34">
            <v>802.71670892562702</v>
          </cell>
          <cell r="BA34">
            <v>13.46523</v>
          </cell>
          <cell r="BB34">
            <v>-33.628839999999997</v>
          </cell>
          <cell r="BC34">
            <v>-0.30837999999999999</v>
          </cell>
          <cell r="BD34">
            <v>0</v>
          </cell>
          <cell r="BE34">
            <v>853.29872</v>
          </cell>
          <cell r="BF34">
            <v>-3830.5104500000007</v>
          </cell>
          <cell r="BG34">
            <v>-89.986049999999992</v>
          </cell>
          <cell r="BH34">
            <v>-48.988069999999993</v>
          </cell>
          <cell r="BI34">
            <v>0.66916999999999993</v>
          </cell>
          <cell r="BJ34">
            <v>-9.5923269327613524E-17</v>
          </cell>
          <cell r="BK34">
            <v>3828.0322499999925</v>
          </cell>
          <cell r="EA34">
            <v>21992.49871</v>
          </cell>
          <cell r="EL34">
            <v>18869.110909999999</v>
          </cell>
          <cell r="EM34">
            <v>-365.62565000000001</v>
          </cell>
          <cell r="EN34">
            <v>0</v>
          </cell>
          <cell r="EO34">
            <v>-48.322000000000003</v>
          </cell>
          <cell r="EP34">
            <v>38.417459999999998</v>
          </cell>
          <cell r="EQ34">
            <v>-181.25272000000001</v>
          </cell>
          <cell r="ER34">
            <v>-70.007610000000057</v>
          </cell>
          <cell r="ES34">
            <v>0</v>
          </cell>
          <cell r="ET34">
            <v>-2841.5313091424923</v>
          </cell>
          <cell r="EU34">
            <v>0</v>
          </cell>
          <cell r="EV34">
            <v>-5750.6236808575031</v>
          </cell>
          <cell r="EW34">
            <v>-228.71696</v>
          </cell>
          <cell r="EX34">
            <v>220.55424999999997</v>
          </cell>
          <cell r="EY34">
            <v>6.2486700000000006</v>
          </cell>
          <cell r="EZ34">
            <v>0</v>
          </cell>
          <cell r="FA34">
            <v>-6401.7149900000022</v>
          </cell>
          <cell r="FB34">
            <v>235.06770000000006</v>
          </cell>
          <cell r="FC34">
            <v>-44.201999999999998</v>
          </cell>
          <cell r="FD34">
            <v>-354.40530000000001</v>
          </cell>
          <cell r="FE34">
            <v>0</v>
          </cell>
          <cell r="FF34">
            <v>12362.04653</v>
          </cell>
          <cell r="FG34">
            <v>446.06284000000005</v>
          </cell>
          <cell r="FH34">
            <v>72.462439999999958</v>
          </cell>
          <cell r="FI34">
            <v>1.3262200000000006</v>
          </cell>
          <cell r="FJ34">
            <v>-2753.349589999998</v>
          </cell>
          <cell r="FK34">
            <v>1919.0278900000012</v>
          </cell>
          <cell r="FL34">
            <v>-1832.82743</v>
          </cell>
          <cell r="FM34">
            <v>-565.71076000000016</v>
          </cell>
          <cell r="FN34">
            <v>-66.073559999999986</v>
          </cell>
          <cell r="FO34">
            <v>-554.3947099999998</v>
          </cell>
          <cell r="FP34">
            <v>-402.33713999999986</v>
          </cell>
          <cell r="FR34">
            <v>-1487.6514199999997</v>
          </cell>
          <cell r="FS34">
            <v>0</v>
          </cell>
          <cell r="FT34">
            <v>0</v>
          </cell>
          <cell r="FU34">
            <v>0</v>
          </cell>
          <cell r="FV34">
            <v>-419.15432892562694</v>
          </cell>
          <cell r="FW34">
            <v>0</v>
          </cell>
          <cell r="FX34">
            <v>802.71670892562702</v>
          </cell>
          <cell r="FY34">
            <v>13.46523</v>
          </cell>
          <cell r="FZ34">
            <v>-9.1120899999999985</v>
          </cell>
          <cell r="GA34">
            <v>-0.30837999999999999</v>
          </cell>
          <cell r="GB34">
            <v>0</v>
          </cell>
          <cell r="GC34">
            <v>432.25581999999997</v>
          </cell>
          <cell r="GD34">
            <v>-916.98313999999982</v>
          </cell>
          <cell r="GE34">
            <v>-89.986049999999992</v>
          </cell>
          <cell r="GF34">
            <v>-38.222819999999992</v>
          </cell>
          <cell r="GG34">
            <v>0.66916999999999993</v>
          </cell>
          <cell r="GH34">
            <v>0</v>
          </cell>
          <cell r="GI34">
            <v>9996.9182000000019</v>
          </cell>
        </row>
        <row r="35">
          <cell r="C35">
            <v>112548.45367250161</v>
          </cell>
          <cell r="N35">
            <v>58982.08747338158</v>
          </cell>
          <cell r="O35">
            <v>-8364.8681853069029</v>
          </cell>
          <cell r="P35">
            <v>-3262.2726872631174</v>
          </cell>
          <cell r="Q35">
            <v>-7144.2533512750078</v>
          </cell>
          <cell r="R35">
            <v>0</v>
          </cell>
          <cell r="S35">
            <v>-917.11482946736498</v>
          </cell>
          <cell r="T35">
            <v>-703.49780789406282</v>
          </cell>
          <cell r="U35">
            <v>0</v>
          </cell>
          <cell r="V35">
            <v>-7458.5560233596789</v>
          </cell>
          <cell r="W35">
            <v>-3653.3045669655512</v>
          </cell>
          <cell r="X35">
            <v>-8096.3257239838977</v>
          </cell>
          <cell r="Y35">
            <v>-516.35125425275521</v>
          </cell>
          <cell r="Z35">
            <v>379.35985216052455</v>
          </cell>
          <cell r="AA35">
            <v>0</v>
          </cell>
          <cell r="AB35">
            <v>0</v>
          </cell>
          <cell r="AC35">
            <v>-17427.474591690181</v>
          </cell>
          <cell r="AD35">
            <v>0</v>
          </cell>
          <cell r="AE35">
            <v>0</v>
          </cell>
          <cell r="AF35">
            <v>-1085.8274276413008</v>
          </cell>
          <cell r="AG35">
            <v>0</v>
          </cell>
          <cell r="AH35">
            <v>19104.552019331481</v>
          </cell>
          <cell r="AI35">
            <v>516.35125425275521</v>
          </cell>
          <cell r="AJ35">
            <v>0</v>
          </cell>
          <cell r="AK35">
            <v>0</v>
          </cell>
          <cell r="AL35">
            <v>-9296.7182757313312</v>
          </cell>
          <cell r="AM35">
            <v>0</v>
          </cell>
          <cell r="AN35">
            <v>0</v>
          </cell>
          <cell r="AO35">
            <v>-2220.8490154838773</v>
          </cell>
          <cell r="AP35">
            <v>-219.71164596649197</v>
          </cell>
          <cell r="AQ35">
            <v>-2050.4414057632948</v>
          </cell>
          <cell r="AR35">
            <v>-1672.2180120743426</v>
          </cell>
          <cell r="AT35">
            <v>-5713.1809908322348</v>
          </cell>
          <cell r="AU35">
            <v>810.18855451215472</v>
          </cell>
          <cell r="AV35">
            <v>1358.0826825831036</v>
          </cell>
          <cell r="AW35">
            <v>680.61587818503494</v>
          </cell>
          <cell r="AX35">
            <v>70.660032994930134</v>
          </cell>
          <cell r="AY35">
            <v>1520.869081842487</v>
          </cell>
          <cell r="AZ35">
            <v>763.04067890270346</v>
          </cell>
          <cell r="BA35">
            <v>63.378373158087207</v>
          </cell>
          <cell r="BB35">
            <v>-47.720617294794764</v>
          </cell>
          <cell r="BC35">
            <v>0</v>
          </cell>
          <cell r="BD35">
            <v>0</v>
          </cell>
          <cell r="BE35">
            <v>3250.6522400366412</v>
          </cell>
          <cell r="BF35">
            <v>-3250.6522400366412</v>
          </cell>
          <cell r="BG35">
            <v>-63.378373158087207</v>
          </cell>
          <cell r="BH35">
            <v>0</v>
          </cell>
          <cell r="BI35">
            <v>0</v>
          </cell>
          <cell r="BJ35">
            <v>0</v>
          </cell>
          <cell r="BK35">
            <v>4335.1210959005775</v>
          </cell>
          <cell r="EA35">
            <v>28251.055588192103</v>
          </cell>
          <cell r="EL35">
            <v>19660.695824460527</v>
          </cell>
          <cell r="EM35">
            <v>-2788.2893951023016</v>
          </cell>
          <cell r="EN35">
            <v>-1087.424229087706</v>
          </cell>
          <cell r="EO35">
            <v>-2381.4177837583366</v>
          </cell>
          <cell r="EP35">
            <v>0</v>
          </cell>
          <cell r="EQ35">
            <v>-305.70494315578833</v>
          </cell>
          <cell r="ER35">
            <v>-234.49926929802086</v>
          </cell>
          <cell r="ES35">
            <v>0</v>
          </cell>
          <cell r="ET35">
            <v>-2486.1853411198936</v>
          </cell>
          <cell r="EU35">
            <v>-1217.7681889885171</v>
          </cell>
          <cell r="EV35">
            <v>-2698.7752413279659</v>
          </cell>
          <cell r="EW35">
            <v>-172.11708475091837</v>
          </cell>
          <cell r="EX35">
            <v>126.45328405350818</v>
          </cell>
          <cell r="EY35">
            <v>0</v>
          </cell>
          <cell r="EZ35">
            <v>0</v>
          </cell>
          <cell r="FA35">
            <v>-5809.1581972300628</v>
          </cell>
          <cell r="FB35">
            <v>0</v>
          </cell>
          <cell r="FC35">
            <v>0</v>
          </cell>
          <cell r="FD35">
            <v>-361.94247588043356</v>
          </cell>
          <cell r="FE35">
            <v>0</v>
          </cell>
          <cell r="FF35">
            <v>6368.1840064438275</v>
          </cell>
          <cell r="FG35">
            <v>172.11708475091837</v>
          </cell>
          <cell r="FH35">
            <v>0</v>
          </cell>
          <cell r="FI35">
            <v>0</v>
          </cell>
          <cell r="FJ35">
            <v>-3098.9060919104431</v>
          </cell>
          <cell r="FK35">
            <v>0</v>
          </cell>
          <cell r="FL35">
            <v>0</v>
          </cell>
          <cell r="FM35">
            <v>-740.28300516129229</v>
          </cell>
          <cell r="FN35">
            <v>-73.237215322163991</v>
          </cell>
          <cell r="FO35">
            <v>-683.48046858776479</v>
          </cell>
          <cell r="FP35">
            <v>-557.40600402478094</v>
          </cell>
          <cell r="FR35">
            <v>-1904.3936636107446</v>
          </cell>
          <cell r="FS35">
            <v>270.06285150405154</v>
          </cell>
          <cell r="FT35">
            <v>452.69422752770117</v>
          </cell>
          <cell r="FU35">
            <v>226.87195939501169</v>
          </cell>
          <cell r="FV35">
            <v>23.553344331643416</v>
          </cell>
          <cell r="FW35">
            <v>506.95636061416235</v>
          </cell>
          <cell r="FX35">
            <v>254.34689296756778</v>
          </cell>
          <cell r="FY35">
            <v>21.126124386029069</v>
          </cell>
          <cell r="FZ35">
            <v>-15.906872431598252</v>
          </cell>
          <cell r="GA35">
            <v>0</v>
          </cell>
          <cell r="GB35">
            <v>0</v>
          </cell>
          <cell r="GC35">
            <v>1083.5507466788804</v>
          </cell>
          <cell r="GD35">
            <v>-1083.5507466788804</v>
          </cell>
          <cell r="GE35">
            <v>-21.126124386029069</v>
          </cell>
          <cell r="GF35">
            <v>0</v>
          </cell>
          <cell r="GG35">
            <v>0</v>
          </cell>
          <cell r="GH35">
            <v>0</v>
          </cell>
          <cell r="GI35">
            <v>1445.0403653001863</v>
          </cell>
        </row>
        <row r="37">
          <cell r="C37">
            <v>21496.336050000002</v>
          </cell>
          <cell r="N37">
            <v>11707.862959999999</v>
          </cell>
          <cell r="O37">
            <v>-200.01474999999999</v>
          </cell>
          <cell r="P37">
            <v>0</v>
          </cell>
          <cell r="Q37">
            <v>0</v>
          </cell>
          <cell r="R37">
            <v>0.35469000000000001</v>
          </cell>
          <cell r="S37">
            <v>-349.57373000000001</v>
          </cell>
          <cell r="T37">
            <v>-19.61544</v>
          </cell>
          <cell r="U37">
            <v>0</v>
          </cell>
          <cell r="V37">
            <v>-3716.8125999999997</v>
          </cell>
          <cell r="W37">
            <v>-10</v>
          </cell>
          <cell r="X37">
            <v>-1370</v>
          </cell>
          <cell r="Y37">
            <v>-55.32076</v>
          </cell>
          <cell r="Z37">
            <v>235.45401000000001</v>
          </cell>
          <cell r="AA37">
            <v>3.5924399999999999</v>
          </cell>
          <cell r="AB37">
            <v>0</v>
          </cell>
          <cell r="AC37">
            <v>-3223.4541300000001</v>
          </cell>
          <cell r="AD37">
            <v>42.222079999999998</v>
          </cell>
          <cell r="AE37">
            <v>-87.303240000000002</v>
          </cell>
          <cell r="AF37">
            <v>-550.29772000000003</v>
          </cell>
          <cell r="AG37">
            <v>0</v>
          </cell>
          <cell r="AH37">
            <v>2873.5924400000004</v>
          </cell>
          <cell r="AI37">
            <v>743.19788999999969</v>
          </cell>
          <cell r="AJ37">
            <v>250.50103000000001</v>
          </cell>
          <cell r="AK37">
            <v>-27.53473</v>
          </cell>
          <cell r="AL37">
            <v>-3053.0590000000011</v>
          </cell>
          <cell r="AM37">
            <v>2044.5159300000003</v>
          </cell>
          <cell r="AN37">
            <v>-786.81583000000069</v>
          </cell>
          <cell r="AO37">
            <v>-888.95251000000007</v>
          </cell>
          <cell r="AP37">
            <v>-93.267160000000004</v>
          </cell>
          <cell r="AQ37">
            <v>-956.97916000000009</v>
          </cell>
          <cell r="AR37">
            <v>-361.63929000000002</v>
          </cell>
          <cell r="AT37">
            <v>-1169.2381500000033</v>
          </cell>
          <cell r="AU37">
            <v>0</v>
          </cell>
          <cell r="AV37">
            <v>0</v>
          </cell>
          <cell r="AW37">
            <v>0</v>
          </cell>
          <cell r="AX37">
            <v>8.9990000000000006</v>
          </cell>
          <cell r="AY37">
            <v>0</v>
          </cell>
          <cell r="AZ37">
            <v>0</v>
          </cell>
          <cell r="BA37">
            <v>9.2620000000000008E-2</v>
          </cell>
          <cell r="BB37">
            <v>-0.27643000000000001</v>
          </cell>
          <cell r="BC37">
            <v>-2.7400000000000002E-3</v>
          </cell>
          <cell r="BD37">
            <v>0</v>
          </cell>
          <cell r="BE37">
            <v>7.2061500000000045</v>
          </cell>
          <cell r="BF37">
            <v>54.340000000000856</v>
          </cell>
          <cell r="BG37">
            <v>51.710229999999996</v>
          </cell>
          <cell r="BH37">
            <v>-17.858229999999999</v>
          </cell>
          <cell r="BI37">
            <v>-2.6322999999999999</v>
          </cell>
          <cell r="BJ37">
            <v>0</v>
          </cell>
          <cell r="BK37">
            <v>1082.9935699999971</v>
          </cell>
          <cell r="EA37">
            <v>4260.3791600000004</v>
          </cell>
          <cell r="EL37">
            <v>4116.5360300000066</v>
          </cell>
          <cell r="EM37">
            <v>-166.69808</v>
          </cell>
          <cell r="EN37">
            <v>0</v>
          </cell>
          <cell r="EO37">
            <v>0</v>
          </cell>
          <cell r="EP37">
            <v>0.35469000000000001</v>
          </cell>
          <cell r="EQ37">
            <v>-125.87580000000003</v>
          </cell>
          <cell r="ER37">
            <v>-17.09938</v>
          </cell>
          <cell r="ES37">
            <v>0</v>
          </cell>
          <cell r="ET37">
            <v>-1394.1694000000002</v>
          </cell>
          <cell r="EU37">
            <v>-10</v>
          </cell>
          <cell r="EV37">
            <v>-420</v>
          </cell>
          <cell r="EW37">
            <v>-55.32076</v>
          </cell>
          <cell r="EX37">
            <v>88.199889999999982</v>
          </cell>
          <cell r="EY37">
            <v>3.5924399999999999</v>
          </cell>
          <cell r="EZ37">
            <v>0</v>
          </cell>
          <cell r="FA37">
            <v>-1582.1435400000003</v>
          </cell>
          <cell r="FB37">
            <v>3.4447699999999983</v>
          </cell>
          <cell r="FC37">
            <v>-27.655419999999999</v>
          </cell>
          <cell r="FD37">
            <v>-127.08574000000004</v>
          </cell>
          <cell r="FE37">
            <v>0</v>
          </cell>
          <cell r="FF37">
            <v>1405.4948000000006</v>
          </cell>
          <cell r="FG37">
            <v>743.19788999999969</v>
          </cell>
          <cell r="FH37">
            <v>366.60654999999997</v>
          </cell>
          <cell r="FI37">
            <v>-27.53473</v>
          </cell>
          <cell r="FJ37">
            <v>-640.67430999999988</v>
          </cell>
          <cell r="FK37">
            <v>326.77512000000002</v>
          </cell>
          <cell r="FL37">
            <v>-323.59826999999973</v>
          </cell>
          <cell r="FM37">
            <v>-281.04150000000004</v>
          </cell>
          <cell r="FN37">
            <v>-49.381700000000002</v>
          </cell>
          <cell r="FO37">
            <v>-281.27491000000009</v>
          </cell>
          <cell r="FP37">
            <v>-134.32894000000002</v>
          </cell>
          <cell r="FR37">
            <v>-390.62814000000117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9.2620000000000008E-2</v>
          </cell>
          <cell r="FZ37">
            <v>0</v>
          </cell>
          <cell r="GA37">
            <v>-2.7400000000000002E-3</v>
          </cell>
          <cell r="GB37">
            <v>0</v>
          </cell>
          <cell r="GC37">
            <v>1.8182499999999999</v>
          </cell>
          <cell r="GD37">
            <v>-167.43899999999985</v>
          </cell>
          <cell r="GE37">
            <v>51.710229999999996</v>
          </cell>
          <cell r="GF37">
            <v>-16.623090000000005</v>
          </cell>
          <cell r="GG37">
            <v>-2.6322999999999999</v>
          </cell>
          <cell r="GH37">
            <v>0</v>
          </cell>
          <cell r="GI37">
            <v>866.61553000000561</v>
          </cell>
        </row>
        <row r="38">
          <cell r="C38">
            <v>21369.239630000007</v>
          </cell>
          <cell r="N38">
            <v>11088.059270000003</v>
          </cell>
          <cell r="O38">
            <v>-113.54455</v>
          </cell>
          <cell r="P38">
            <v>0</v>
          </cell>
          <cell r="Q38">
            <v>0</v>
          </cell>
          <cell r="R38">
            <v>0</v>
          </cell>
          <cell r="S38">
            <v>-307.56798000000003</v>
          </cell>
          <cell r="T38">
            <v>-20.829450000000001</v>
          </cell>
          <cell r="U38">
            <v>0</v>
          </cell>
          <cell r="V38">
            <v>-5422.6509900000001</v>
          </cell>
          <cell r="W38">
            <v>0</v>
          </cell>
          <cell r="X38">
            <v>0</v>
          </cell>
          <cell r="Y38">
            <v>-92.762650000000008</v>
          </cell>
          <cell r="Z38">
            <v>235.75431</v>
          </cell>
          <cell r="AA38">
            <v>5.9318800000000005</v>
          </cell>
          <cell r="AB38">
            <v>0</v>
          </cell>
          <cell r="AC38">
            <v>-3533.2416599999997</v>
          </cell>
          <cell r="AD38">
            <v>207.13613000000001</v>
          </cell>
          <cell r="AE38">
            <v>-74.338589999999996</v>
          </cell>
          <cell r="AF38">
            <v>-494.6641699999999</v>
          </cell>
          <cell r="AG38">
            <v>0</v>
          </cell>
          <cell r="AH38">
            <v>2389.5419199999992</v>
          </cell>
          <cell r="AI38">
            <v>89.247789999999995</v>
          </cell>
          <cell r="AJ38">
            <v>169.01521</v>
          </cell>
          <cell r="AK38">
            <v>13.50727</v>
          </cell>
          <cell r="AL38">
            <v>-2923.0994600000004</v>
          </cell>
          <cell r="AM38">
            <v>1979.9445699999997</v>
          </cell>
          <cell r="AN38">
            <v>-744.41250000000059</v>
          </cell>
          <cell r="AO38">
            <v>-747.1697099999999</v>
          </cell>
          <cell r="AP38">
            <v>-71.568259999999995</v>
          </cell>
          <cell r="AQ38">
            <v>-814.44259999999997</v>
          </cell>
          <cell r="AR38">
            <v>-343.68525999999997</v>
          </cell>
          <cell r="AT38">
            <v>-1391.0147800000041</v>
          </cell>
          <cell r="AU38">
            <v>0</v>
          </cell>
          <cell r="AV38">
            <v>0</v>
          </cell>
          <cell r="AW38">
            <v>0</v>
          </cell>
          <cell r="AX38">
            <v>13.5</v>
          </cell>
          <cell r="AY38">
            <v>0</v>
          </cell>
          <cell r="AZ38">
            <v>0</v>
          </cell>
          <cell r="BA38">
            <v>0.28973000000000004</v>
          </cell>
          <cell r="BB38">
            <v>-0.82153999999999994</v>
          </cell>
          <cell r="BC38">
            <v>-2.2760000000000002E-2</v>
          </cell>
          <cell r="BD38">
            <v>0</v>
          </cell>
          <cell r="BE38">
            <v>19.334809999999997</v>
          </cell>
          <cell r="BF38">
            <v>258.70300000000105</v>
          </cell>
          <cell r="BG38">
            <v>-5.0444999999999984</v>
          </cell>
          <cell r="BH38">
            <v>-0.67980000000000862</v>
          </cell>
          <cell r="BI38">
            <v>-0.91881999999999986</v>
          </cell>
          <cell r="BJ38">
            <v>0</v>
          </cell>
          <cell r="BK38">
            <v>-632.51414000000057</v>
          </cell>
          <cell r="EA38">
            <v>3446.4767600000014</v>
          </cell>
          <cell r="EL38">
            <v>3906.4796100000003</v>
          </cell>
          <cell r="EM38">
            <v>-94.226230000000001</v>
          </cell>
          <cell r="EN38">
            <v>0</v>
          </cell>
          <cell r="EO38">
            <v>0</v>
          </cell>
          <cell r="EP38">
            <v>5.2999999999999999E-2</v>
          </cell>
          <cell r="EQ38">
            <v>-114.99805000000003</v>
          </cell>
          <cell r="ER38">
            <v>-13.21377</v>
          </cell>
          <cell r="ES38">
            <v>0</v>
          </cell>
          <cell r="ET38">
            <v>-1872.4711500000003</v>
          </cell>
          <cell r="EU38">
            <v>0</v>
          </cell>
          <cell r="EV38">
            <v>0</v>
          </cell>
          <cell r="EW38">
            <v>-92.762650000000008</v>
          </cell>
          <cell r="EX38">
            <v>77.983339999999998</v>
          </cell>
          <cell r="EY38">
            <v>5.9318800000000005</v>
          </cell>
          <cell r="EZ38">
            <v>0</v>
          </cell>
          <cell r="FA38">
            <v>-1483.4909399999997</v>
          </cell>
          <cell r="FB38">
            <v>126.85075000000001</v>
          </cell>
          <cell r="FC38">
            <v>-26.104129999999998</v>
          </cell>
          <cell r="FD38">
            <v>-117.27602999999999</v>
          </cell>
          <cell r="FE38">
            <v>0</v>
          </cell>
          <cell r="FF38">
            <v>-401.42779000000064</v>
          </cell>
          <cell r="FG38">
            <v>89.247789999999995</v>
          </cell>
          <cell r="FH38">
            <v>148.25209000000001</v>
          </cell>
          <cell r="FI38">
            <v>13.50727</v>
          </cell>
          <cell r="FJ38">
            <v>-496.91121000000021</v>
          </cell>
          <cell r="FK38">
            <v>258.61040000000003</v>
          </cell>
          <cell r="FL38">
            <v>-342.87151000000017</v>
          </cell>
          <cell r="FM38">
            <v>-263.92833999999993</v>
          </cell>
          <cell r="FN38">
            <v>-28.770229999999998</v>
          </cell>
          <cell r="FO38">
            <v>-278.70402999999999</v>
          </cell>
          <cell r="FP38">
            <v>-120.88817999999998</v>
          </cell>
          <cell r="FR38">
            <v>-420.74922000000288</v>
          </cell>
          <cell r="FS38">
            <v>0</v>
          </cell>
          <cell r="FT38">
            <v>0</v>
          </cell>
          <cell r="FU38">
            <v>0</v>
          </cell>
          <cell r="FV38">
            <v>13.5</v>
          </cell>
          <cell r="FW38">
            <v>0</v>
          </cell>
          <cell r="FX38">
            <v>0</v>
          </cell>
          <cell r="FY38">
            <v>0.28973000000000004</v>
          </cell>
          <cell r="FZ38">
            <v>-0.82153999999999994</v>
          </cell>
          <cell r="GA38">
            <v>-2.2760000000000002E-2</v>
          </cell>
          <cell r="GB38">
            <v>0</v>
          </cell>
          <cell r="GC38">
            <v>2.1036199999999994</v>
          </cell>
          <cell r="GD38">
            <v>374.37200000000075</v>
          </cell>
          <cell r="GE38">
            <v>-5.0444999999999984</v>
          </cell>
          <cell r="GF38">
            <v>-6.1726900000000082</v>
          </cell>
          <cell r="GG38">
            <v>-0.91881999999999986</v>
          </cell>
          <cell r="GH38">
            <v>0</v>
          </cell>
          <cell r="GI38">
            <v>-1164.592290000003</v>
          </cell>
        </row>
        <row r="39">
          <cell r="C39">
            <v>23805.96328432329</v>
          </cell>
          <cell r="N39">
            <v>14421.655364791339</v>
          </cell>
          <cell r="O39">
            <v>-1895.3624272593852</v>
          </cell>
          <cell r="P39">
            <v>-120.24841444992975</v>
          </cell>
          <cell r="Q39">
            <v>-618.70125510921116</v>
          </cell>
          <cell r="R39">
            <v>0</v>
          </cell>
          <cell r="S39">
            <v>-430.97618516088971</v>
          </cell>
          <cell r="T39">
            <v>-85.638823800955805</v>
          </cell>
          <cell r="U39">
            <v>0</v>
          </cell>
          <cell r="V39">
            <v>-3058.4959156088744</v>
          </cell>
          <cell r="W39">
            <v>-220.25158555007025</v>
          </cell>
          <cell r="X39">
            <v>-1081.9490393950289</v>
          </cell>
          <cell r="Y39">
            <v>-112.63168437174204</v>
          </cell>
          <cell r="Z39">
            <v>189.95027395270392</v>
          </cell>
          <cell r="AA39">
            <v>0</v>
          </cell>
          <cell r="AB39">
            <v>0</v>
          </cell>
          <cell r="AC39">
            <v>-925.79114425423529</v>
          </cell>
          <cell r="AD39">
            <v>0</v>
          </cell>
          <cell r="AE39">
            <v>0</v>
          </cell>
          <cell r="AF39">
            <v>-260.14671579569955</v>
          </cell>
          <cell r="AG39">
            <v>0</v>
          </cell>
          <cell r="AH39">
            <v>1185.9378600499347</v>
          </cell>
          <cell r="AI39">
            <v>112.63168437174204</v>
          </cell>
          <cell r="AJ39">
            <v>0</v>
          </cell>
          <cell r="AK39">
            <v>0</v>
          </cell>
          <cell r="AL39">
            <v>-2307.3627014680692</v>
          </cell>
          <cell r="AM39">
            <v>0</v>
          </cell>
          <cell r="AN39">
            <v>0</v>
          </cell>
          <cell r="AO39">
            <v>-867.74165757445496</v>
          </cell>
          <cell r="AP39">
            <v>-60.86224880745425</v>
          </cell>
          <cell r="AQ39">
            <v>-1022.9785859714398</v>
          </cell>
          <cell r="AR39">
            <v>-489.55509100970352</v>
          </cell>
          <cell r="AT39">
            <v>-1307.3055351876233</v>
          </cell>
          <cell r="AU39">
            <v>114.89894428750105</v>
          </cell>
          <cell r="AV39">
            <v>50.059361962635954</v>
          </cell>
          <cell r="AW39">
            <v>63.660962296052617</v>
          </cell>
          <cell r="AX39">
            <v>-114.89894428750108</v>
          </cell>
          <cell r="AY39">
            <v>91.690638037364039</v>
          </cell>
          <cell r="AZ39">
            <v>118.61429823185475</v>
          </cell>
          <cell r="BA39">
            <v>4.7935815524509282</v>
          </cell>
          <cell r="BB39">
            <v>-9.3754556023729094</v>
          </cell>
          <cell r="BC39">
            <v>0</v>
          </cell>
          <cell r="BD39">
            <v>0</v>
          </cell>
          <cell r="BE39">
            <v>-983.07861874802302</v>
          </cell>
          <cell r="BF39">
            <v>983.07861874802302</v>
          </cell>
          <cell r="BG39">
            <v>-4.7935815524509282</v>
          </cell>
          <cell r="BH39">
            <v>0</v>
          </cell>
          <cell r="BI39">
            <v>0</v>
          </cell>
          <cell r="BJ39">
            <v>0</v>
          </cell>
          <cell r="BK39">
            <v>1358.8259773164887</v>
          </cell>
          <cell r="EA39">
            <v>4084.5519528161276</v>
          </cell>
          <cell r="EL39">
            <v>4807.2184549304475</v>
          </cell>
          <cell r="EM39">
            <v>-631.78747575312855</v>
          </cell>
          <cell r="EN39">
            <v>-40.082804816643247</v>
          </cell>
          <cell r="EO39">
            <v>-206.23375170307042</v>
          </cell>
          <cell r="EP39">
            <v>0</v>
          </cell>
          <cell r="EQ39">
            <v>-143.65872838696322</v>
          </cell>
          <cell r="ER39">
            <v>-28.546274600318597</v>
          </cell>
          <cell r="ES39">
            <v>0</v>
          </cell>
          <cell r="ET39">
            <v>-1019.4986385362915</v>
          </cell>
          <cell r="EU39">
            <v>-73.417195183356768</v>
          </cell>
          <cell r="EV39">
            <v>-360.64967979834307</v>
          </cell>
          <cell r="EW39">
            <v>-37.54389479058068</v>
          </cell>
          <cell r="EX39">
            <v>63.316757984234641</v>
          </cell>
          <cell r="EY39">
            <v>0</v>
          </cell>
          <cell r="EZ39">
            <v>0</v>
          </cell>
          <cell r="FA39">
            <v>-308.5970480847451</v>
          </cell>
          <cell r="FB39">
            <v>0</v>
          </cell>
          <cell r="FC39">
            <v>0</v>
          </cell>
          <cell r="FD39">
            <v>-86.715571931899831</v>
          </cell>
          <cell r="FE39">
            <v>0</v>
          </cell>
          <cell r="FF39">
            <v>395.31262001664493</v>
          </cell>
          <cell r="FG39">
            <v>37.54389479058068</v>
          </cell>
          <cell r="FH39">
            <v>0</v>
          </cell>
          <cell r="FI39">
            <v>0</v>
          </cell>
          <cell r="FJ39">
            <v>-769.12090048935647</v>
          </cell>
          <cell r="FK39">
            <v>0</v>
          </cell>
          <cell r="FL39">
            <v>0</v>
          </cell>
          <cell r="FM39">
            <v>-289.24721919148499</v>
          </cell>
          <cell r="FN39">
            <v>-20.287416269151414</v>
          </cell>
          <cell r="FO39">
            <v>-340.99286199047992</v>
          </cell>
          <cell r="FP39">
            <v>-163.18503033656788</v>
          </cell>
          <cell r="FR39">
            <v>-435.76851172920783</v>
          </cell>
          <cell r="FS39">
            <v>38.299648095833689</v>
          </cell>
          <cell r="FT39">
            <v>16.68645398754532</v>
          </cell>
          <cell r="FU39">
            <v>21.22032076535087</v>
          </cell>
          <cell r="FV39">
            <v>-38.299648095833689</v>
          </cell>
          <cell r="FW39">
            <v>30.56354601245468</v>
          </cell>
          <cell r="FX39">
            <v>39.538099410618258</v>
          </cell>
          <cell r="FY39">
            <v>1.5978605174836429</v>
          </cell>
          <cell r="FZ39">
            <v>-3.1251518674576362</v>
          </cell>
          <cell r="GA39">
            <v>0</v>
          </cell>
          <cell r="GB39">
            <v>0</v>
          </cell>
          <cell r="GC39">
            <v>-327.69287291600767</v>
          </cell>
          <cell r="GD39">
            <v>327.69287291600767</v>
          </cell>
          <cell r="GE39">
            <v>-1.5978605174836429</v>
          </cell>
          <cell r="GF39">
            <v>0</v>
          </cell>
          <cell r="GG39">
            <v>0</v>
          </cell>
          <cell r="GH39">
            <v>0</v>
          </cell>
          <cell r="GI39">
            <v>452.94199243882912</v>
          </cell>
        </row>
        <row r="41">
          <cell r="C41">
            <v>43196.668170000004</v>
          </cell>
          <cell r="N41">
            <v>16334.504120000005</v>
          </cell>
          <cell r="O41">
            <v>-114.96265</v>
          </cell>
          <cell r="P41">
            <v>0</v>
          </cell>
          <cell r="Q41">
            <v>-2.7149999999999999</v>
          </cell>
          <cell r="R41">
            <v>0</v>
          </cell>
          <cell r="S41">
            <v>-556.84375</v>
          </cell>
          <cell r="T41">
            <v>-97.098050000000001</v>
          </cell>
          <cell r="U41">
            <v>0</v>
          </cell>
          <cell r="V41">
            <v>-7141.7714508589406</v>
          </cell>
          <cell r="W41">
            <v>0</v>
          </cell>
          <cell r="X41">
            <v>-2308.0511391410596</v>
          </cell>
          <cell r="Y41">
            <v>-188.60444000000001</v>
          </cell>
          <cell r="Z41">
            <v>1165.1084499999999</v>
          </cell>
          <cell r="AA41">
            <v>21.048740000000002</v>
          </cell>
          <cell r="AB41">
            <v>0</v>
          </cell>
          <cell r="AC41">
            <v>-6834.6089800000009</v>
          </cell>
          <cell r="AD41">
            <v>1564.27154</v>
          </cell>
          <cell r="AE41">
            <v>-334.32675</v>
          </cell>
          <cell r="AF41">
            <v>-1960.0816599999998</v>
          </cell>
          <cell r="AG41">
            <v>0</v>
          </cell>
          <cell r="AH41">
            <v>6776.8704600000001</v>
          </cell>
          <cell r="AI41">
            <v>2991.2000800000005</v>
          </cell>
          <cell r="AJ41">
            <v>-146.56176000000022</v>
          </cell>
          <cell r="AK41">
            <v>-242.45987</v>
          </cell>
          <cell r="AL41">
            <v>-8295.6674300000032</v>
          </cell>
          <cell r="AM41">
            <v>6518.8424800000003</v>
          </cell>
          <cell r="AN41">
            <v>-1479.9725799999999</v>
          </cell>
          <cell r="AO41">
            <v>-966.25329999999997</v>
          </cell>
          <cell r="AP41">
            <v>-103.48738</v>
          </cell>
          <cell r="AQ41">
            <v>-789.51325999999995</v>
          </cell>
          <cell r="AR41">
            <v>-352.07310999999999</v>
          </cell>
          <cell r="AT41">
            <v>-700.68710999999985</v>
          </cell>
          <cell r="AU41">
            <v>158.95562000000001</v>
          </cell>
          <cell r="AV41">
            <v>0</v>
          </cell>
          <cell r="AW41">
            <v>0</v>
          </cell>
          <cell r="AX41">
            <v>179.58857874774048</v>
          </cell>
          <cell r="AY41">
            <v>0</v>
          </cell>
          <cell r="AZ41">
            <v>74.189411252259504</v>
          </cell>
          <cell r="BA41">
            <v>5.5766200000000001</v>
          </cell>
          <cell r="BB41">
            <v>-31.182780000000001</v>
          </cell>
          <cell r="BC41">
            <v>-0.63044</v>
          </cell>
          <cell r="BD41">
            <v>0</v>
          </cell>
          <cell r="BE41">
            <v>104.87123000000001</v>
          </cell>
          <cell r="BF41">
            <v>32.469510000001542</v>
          </cell>
          <cell r="BG41">
            <v>-85.42761999999999</v>
          </cell>
          <cell r="BH41">
            <v>-119.70766999999994</v>
          </cell>
          <cell r="BI41">
            <v>6.7601700000000005</v>
          </cell>
          <cell r="BJ41">
            <v>5.3290705182007515E-18</v>
          </cell>
          <cell r="BK41">
            <v>3081.5688300000033</v>
          </cell>
          <cell r="EA41">
            <v>4159.9047399999981</v>
          </cell>
          <cell r="EL41">
            <v>6083.0518300000003</v>
          </cell>
          <cell r="EM41">
            <v>-103.53389</v>
          </cell>
          <cell r="EN41">
            <v>0</v>
          </cell>
          <cell r="EO41">
            <v>0</v>
          </cell>
          <cell r="EP41">
            <v>0</v>
          </cell>
          <cell r="EQ41">
            <v>-203.66783999999996</v>
          </cell>
          <cell r="ER41">
            <v>-33.834589999999999</v>
          </cell>
          <cell r="ES41">
            <v>0</v>
          </cell>
          <cell r="ET41">
            <v>-2354.7902026687543</v>
          </cell>
          <cell r="EU41">
            <v>0</v>
          </cell>
          <cell r="EV41">
            <v>-947.1598573312458</v>
          </cell>
          <cell r="EW41">
            <v>-188.60444000000001</v>
          </cell>
          <cell r="EX41">
            <v>407.97671000000003</v>
          </cell>
          <cell r="EY41">
            <v>21.048740000000002</v>
          </cell>
          <cell r="EZ41">
            <v>0</v>
          </cell>
          <cell r="FA41">
            <v>-2300.7976900000003</v>
          </cell>
          <cell r="FB41">
            <v>150.21195000000012</v>
          </cell>
          <cell r="FC41">
            <v>-111.02868999999998</v>
          </cell>
          <cell r="FD41">
            <v>-503.19725999999991</v>
          </cell>
          <cell r="FE41">
            <v>0</v>
          </cell>
          <cell r="FF41">
            <v>1523.5256499999996</v>
          </cell>
          <cell r="FG41">
            <v>2991.2000800000005</v>
          </cell>
          <cell r="FH41">
            <v>395.0578900000001</v>
          </cell>
          <cell r="FI41">
            <v>-242.45987</v>
          </cell>
          <cell r="FJ41">
            <v>-715.587950000001</v>
          </cell>
          <cell r="FK41">
            <v>300.42881000000034</v>
          </cell>
          <cell r="FL41">
            <v>-733.50691999999981</v>
          </cell>
          <cell r="FM41">
            <v>-311.55873999999994</v>
          </cell>
          <cell r="FN41">
            <v>-58.013249999999999</v>
          </cell>
          <cell r="FO41">
            <v>-260.40074000000004</v>
          </cell>
          <cell r="FP41">
            <v>-127.53143</v>
          </cell>
          <cell r="FR41">
            <v>-284.95597999999995</v>
          </cell>
          <cell r="FS41">
            <v>99.218040000000002</v>
          </cell>
          <cell r="FT41">
            <v>0</v>
          </cell>
          <cell r="FU41">
            <v>0</v>
          </cell>
          <cell r="FV41">
            <v>-18.81071230306614</v>
          </cell>
          <cell r="FW41">
            <v>0</v>
          </cell>
          <cell r="FX41">
            <v>26.847722303066121</v>
          </cell>
          <cell r="FY41">
            <v>5.5766200000000001</v>
          </cell>
          <cell r="FZ41">
            <v>2.1734399999999994</v>
          </cell>
          <cell r="GA41">
            <v>-0.63044</v>
          </cell>
          <cell r="GB41">
            <v>0</v>
          </cell>
          <cell r="GC41">
            <v>67.440770000000015</v>
          </cell>
          <cell r="GD41">
            <v>-44.540429999999283</v>
          </cell>
          <cell r="GE41">
            <v>-85.42761999999999</v>
          </cell>
          <cell r="GF41">
            <v>-48.929489999999959</v>
          </cell>
          <cell r="GG41">
            <v>6.7601700000000005</v>
          </cell>
          <cell r="GH41">
            <v>0</v>
          </cell>
          <cell r="GI41">
            <v>2401.5503900000008</v>
          </cell>
        </row>
        <row r="42">
          <cell r="C42">
            <v>43184.557829999991</v>
          </cell>
          <cell r="N42">
            <v>16868.90273999999</v>
          </cell>
          <cell r="O42">
            <v>-67.759950000000003</v>
          </cell>
          <cell r="P42">
            <v>0</v>
          </cell>
          <cell r="Q42">
            <v>0</v>
          </cell>
          <cell r="R42">
            <v>0</v>
          </cell>
          <cell r="S42">
            <v>-477.17548000000005</v>
          </cell>
          <cell r="T42">
            <v>-42.865790000000004</v>
          </cell>
          <cell r="U42">
            <v>0</v>
          </cell>
          <cell r="V42">
            <v>-8102.7834925539801</v>
          </cell>
          <cell r="W42">
            <v>0</v>
          </cell>
          <cell r="X42">
            <v>-2046.2688174460211</v>
          </cell>
          <cell r="Y42">
            <v>-337.98897999999997</v>
          </cell>
          <cell r="Z42">
            <v>1137.19938</v>
          </cell>
          <cell r="AA42">
            <v>38.821420000000003</v>
          </cell>
          <cell r="AB42">
            <v>0</v>
          </cell>
          <cell r="AC42">
            <v>-27687.919310000001</v>
          </cell>
          <cell r="AD42">
            <v>701.63072000000011</v>
          </cell>
          <cell r="AE42">
            <v>-325.24194</v>
          </cell>
          <cell r="AF42">
            <v>-1886.90003</v>
          </cell>
          <cell r="AG42">
            <v>0</v>
          </cell>
          <cell r="AH42">
            <v>27736.105259999997</v>
          </cell>
          <cell r="AI42">
            <v>1280.97534</v>
          </cell>
          <cell r="AJ42">
            <v>-1770.8757599999999</v>
          </cell>
          <cell r="AK42">
            <v>-53.983289999999968</v>
          </cell>
          <cell r="AL42">
            <v>-8383.161250000001</v>
          </cell>
          <cell r="AM42">
            <v>6420.4303500000005</v>
          </cell>
          <cell r="AN42">
            <v>-1411.3279500000001</v>
          </cell>
          <cell r="AO42">
            <v>-775.02152000000001</v>
          </cell>
          <cell r="AP42">
            <v>-71.450860000000006</v>
          </cell>
          <cell r="AQ42">
            <v>-722.3071000000001</v>
          </cell>
          <cell r="AR42">
            <v>-408.00306999999998</v>
          </cell>
          <cell r="AT42">
            <v>-798.02544999999986</v>
          </cell>
          <cell r="AU42">
            <v>5.5733600000000001</v>
          </cell>
          <cell r="AV42">
            <v>0</v>
          </cell>
          <cell r="AW42">
            <v>0</v>
          </cell>
          <cell r="AX42">
            <v>312.24495921120831</v>
          </cell>
          <cell r="AY42">
            <v>0</v>
          </cell>
          <cell r="AZ42">
            <v>93.940890788791663</v>
          </cell>
          <cell r="BA42">
            <v>12.543530000000001</v>
          </cell>
          <cell r="BB42">
            <v>-45.186239999999998</v>
          </cell>
          <cell r="BC42">
            <v>-1.39446</v>
          </cell>
          <cell r="BD42">
            <v>0</v>
          </cell>
          <cell r="BE42">
            <v>19304.778269999995</v>
          </cell>
          <cell r="BF42">
            <v>-19603.190859999999</v>
          </cell>
          <cell r="BG42">
            <v>-737.85699</v>
          </cell>
          <cell r="BH42">
            <v>518.8225799999999</v>
          </cell>
          <cell r="BI42">
            <v>16.156089999999999</v>
          </cell>
          <cell r="BJ42">
            <v>0</v>
          </cell>
          <cell r="BK42">
            <v>-1308.5637000000183</v>
          </cell>
          <cell r="EA42">
            <v>4206.371389999993</v>
          </cell>
          <cell r="EL42">
            <v>5820.2241000000031</v>
          </cell>
          <cell r="EM42">
            <v>-24.170810000000003</v>
          </cell>
          <cell r="EN42">
            <v>0</v>
          </cell>
          <cell r="EO42">
            <v>0</v>
          </cell>
          <cell r="EP42">
            <v>0</v>
          </cell>
          <cell r="EQ42">
            <v>-167.66680000000002</v>
          </cell>
          <cell r="ER42">
            <v>-9.8182600000000022</v>
          </cell>
          <cell r="ES42">
            <v>0</v>
          </cell>
          <cell r="ET42">
            <v>-2046.0408120000529</v>
          </cell>
          <cell r="EU42">
            <v>0</v>
          </cell>
          <cell r="EV42">
            <v>-821.6321379999481</v>
          </cell>
          <cell r="EW42">
            <v>-337.98897999999997</v>
          </cell>
          <cell r="EX42">
            <v>307.61607000000004</v>
          </cell>
          <cell r="EY42">
            <v>38.821420000000003</v>
          </cell>
          <cell r="EZ42">
            <v>0</v>
          </cell>
          <cell r="FA42">
            <v>-1893.4613200000022</v>
          </cell>
          <cell r="FB42">
            <v>164.63871000000006</v>
          </cell>
          <cell r="FC42">
            <v>-110.35971999999998</v>
          </cell>
          <cell r="FD42">
            <v>-582.6237299999998</v>
          </cell>
          <cell r="FE42">
            <v>0</v>
          </cell>
          <cell r="FF42">
            <v>509.87310999999681</v>
          </cell>
          <cell r="FG42">
            <v>1280.97534</v>
          </cell>
          <cell r="FH42">
            <v>-615.51608999999985</v>
          </cell>
          <cell r="FI42">
            <v>-53.983289999999968</v>
          </cell>
          <cell r="FJ42">
            <v>-785.79171000000042</v>
          </cell>
          <cell r="FK42">
            <v>416.88268000000062</v>
          </cell>
          <cell r="FL42">
            <v>-734.38508000000013</v>
          </cell>
          <cell r="FM42">
            <v>-269.64017999999999</v>
          </cell>
          <cell r="FN42">
            <v>-31.167140000000003</v>
          </cell>
          <cell r="FO42">
            <v>-244.51381000000003</v>
          </cell>
          <cell r="FP42">
            <v>-147.50691</v>
          </cell>
          <cell r="FR42">
            <v>-292.09784999999994</v>
          </cell>
          <cell r="FS42">
            <v>3.5483600000000002</v>
          </cell>
          <cell r="FT42">
            <v>0</v>
          </cell>
          <cell r="FU42">
            <v>0</v>
          </cell>
          <cell r="FV42">
            <v>17.492629211208282</v>
          </cell>
          <cell r="FW42">
            <v>0</v>
          </cell>
          <cell r="FX42">
            <v>93.940890788791663</v>
          </cell>
          <cell r="FY42">
            <v>12.543530000000001</v>
          </cell>
          <cell r="FZ42">
            <v>-11.45046</v>
          </cell>
          <cell r="GA42">
            <v>-1.39446</v>
          </cell>
          <cell r="GB42">
            <v>0</v>
          </cell>
          <cell r="GC42">
            <v>269.20672999999806</v>
          </cell>
          <cell r="GD42">
            <v>-265.83517000000211</v>
          </cell>
          <cell r="GE42">
            <v>-737.85699</v>
          </cell>
          <cell r="GF42">
            <v>52.728160000000003</v>
          </cell>
          <cell r="GG42">
            <v>16.156089999999999</v>
          </cell>
          <cell r="GH42">
            <v>0</v>
          </cell>
          <cell r="GI42">
            <v>-1180.2538900000072</v>
          </cell>
        </row>
        <row r="43">
          <cell r="C43">
            <v>45109.579333571135</v>
          </cell>
          <cell r="N43">
            <v>17695.976721155086</v>
          </cell>
          <cell r="O43">
            <v>-1284.320715339554</v>
          </cell>
          <cell r="P43">
            <v>0</v>
          </cell>
          <cell r="Q43">
            <v>-286.38781587874752</v>
          </cell>
          <cell r="R43">
            <v>0</v>
          </cell>
          <cell r="S43">
            <v>-866.46486139952026</v>
          </cell>
          <cell r="T43">
            <v>-153.68634566971207</v>
          </cell>
          <cell r="U43">
            <v>0</v>
          </cell>
          <cell r="V43">
            <v>-6306.8942160725364</v>
          </cell>
          <cell r="W43">
            <v>0</v>
          </cell>
          <cell r="X43">
            <v>-1843.9139811444352</v>
          </cell>
          <cell r="Y43">
            <v>-193.43090963581523</v>
          </cell>
          <cell r="Z43">
            <v>950.11260835245525</v>
          </cell>
          <cell r="AA43">
            <v>0</v>
          </cell>
          <cell r="AB43">
            <v>0</v>
          </cell>
          <cell r="AC43">
            <v>-3029.3055285053324</v>
          </cell>
          <cell r="AD43">
            <v>0</v>
          </cell>
          <cell r="AE43">
            <v>0</v>
          </cell>
          <cell r="AF43">
            <v>-2314.7813030154484</v>
          </cell>
          <cell r="AG43">
            <v>0</v>
          </cell>
          <cell r="AH43">
            <v>5656.5868315207808</v>
          </cell>
          <cell r="AI43">
            <v>193.43090963581523</v>
          </cell>
          <cell r="AJ43">
            <v>0</v>
          </cell>
          <cell r="AK43">
            <v>0</v>
          </cell>
          <cell r="AL43">
            <v>-3589.8922152723512</v>
          </cell>
          <cell r="AM43">
            <v>0</v>
          </cell>
          <cell r="AN43">
            <v>0</v>
          </cell>
          <cell r="AO43">
            <v>-1017.7914490631783</v>
          </cell>
          <cell r="AP43">
            <v>-72.847704569553798</v>
          </cell>
          <cell r="AQ43">
            <v>-849.78297876740749</v>
          </cell>
          <cell r="AR43">
            <v>-529.65260066181577</v>
          </cell>
          <cell r="AT43">
            <v>-847.26231300227437</v>
          </cell>
          <cell r="AU43">
            <v>-8.3421831132769668</v>
          </cell>
          <cell r="AV43">
            <v>0</v>
          </cell>
          <cell r="AW43">
            <v>26.251451004263537</v>
          </cell>
          <cell r="AX43">
            <v>280.22439497121559</v>
          </cell>
          <cell r="AY43">
            <v>0</v>
          </cell>
          <cell r="AZ43">
            <v>157.81139856953365</v>
          </cell>
          <cell r="BA43">
            <v>8.7876445447333928</v>
          </cell>
          <cell r="BB43">
            <v>-44.844861889894823</v>
          </cell>
          <cell r="BC43">
            <v>0</v>
          </cell>
          <cell r="BD43">
            <v>0</v>
          </cell>
          <cell r="BE43">
            <v>402.92155616654429</v>
          </cell>
          <cell r="BF43">
            <v>-564.55584241654424</v>
          </cell>
          <cell r="BG43">
            <v>-8.7876445447333928</v>
          </cell>
          <cell r="BH43">
            <v>0</v>
          </cell>
          <cell r="BI43">
            <v>0</v>
          </cell>
          <cell r="BJ43">
            <v>0</v>
          </cell>
          <cell r="BK43">
            <v>1559.1580459582949</v>
          </cell>
          <cell r="EA43">
            <v>3160.5332724147593</v>
          </cell>
          <cell r="EL43">
            <v>5898.6589070516929</v>
          </cell>
          <cell r="EM43">
            <v>-428.10690511318467</v>
          </cell>
          <cell r="EN43">
            <v>0</v>
          </cell>
          <cell r="EO43">
            <v>-95.462605292915839</v>
          </cell>
          <cell r="EP43">
            <v>0</v>
          </cell>
          <cell r="EQ43">
            <v>-288.82162046650672</v>
          </cell>
          <cell r="ER43">
            <v>-51.228781889904013</v>
          </cell>
          <cell r="ES43">
            <v>0</v>
          </cell>
          <cell r="ET43">
            <v>-2102.2980720241794</v>
          </cell>
          <cell r="EU43">
            <v>0</v>
          </cell>
          <cell r="EV43">
            <v>-614.63799371481173</v>
          </cell>
          <cell r="EW43">
            <v>-64.476969878605075</v>
          </cell>
          <cell r="EX43">
            <v>316.70420278415179</v>
          </cell>
          <cell r="EY43">
            <v>0</v>
          </cell>
          <cell r="EZ43">
            <v>0</v>
          </cell>
          <cell r="FA43">
            <v>-1009.7685095017778</v>
          </cell>
          <cell r="FB43">
            <v>0</v>
          </cell>
          <cell r="FC43">
            <v>0</v>
          </cell>
          <cell r="FD43">
            <v>-771.59376767181607</v>
          </cell>
          <cell r="FE43">
            <v>0</v>
          </cell>
          <cell r="FF43">
            <v>1885.5289438402606</v>
          </cell>
          <cell r="FG43">
            <v>64.476969878605075</v>
          </cell>
          <cell r="FH43">
            <v>0</v>
          </cell>
          <cell r="FI43">
            <v>0</v>
          </cell>
          <cell r="FJ43">
            <v>-1196.6307384241172</v>
          </cell>
          <cell r="FK43">
            <v>0</v>
          </cell>
          <cell r="FL43">
            <v>0</v>
          </cell>
          <cell r="FM43">
            <v>-339.26381635439282</v>
          </cell>
          <cell r="FN43">
            <v>-24.282568189851268</v>
          </cell>
          <cell r="FO43">
            <v>-283.26099292246909</v>
          </cell>
          <cell r="FP43">
            <v>-176.55086688727192</v>
          </cell>
          <cell r="FR43">
            <v>-282.42077100075812</v>
          </cell>
          <cell r="FS43">
            <v>-2.7807277044256544</v>
          </cell>
          <cell r="FT43">
            <v>0</v>
          </cell>
          <cell r="FU43">
            <v>8.7504836680878455</v>
          </cell>
          <cell r="FV43">
            <v>93.408131657071863</v>
          </cell>
          <cell r="FW43">
            <v>0</v>
          </cell>
          <cell r="FX43">
            <v>52.603799523177884</v>
          </cell>
          <cell r="FY43">
            <v>2.929214848244464</v>
          </cell>
          <cell r="FZ43">
            <v>-14.948287296631605</v>
          </cell>
          <cell r="GA43">
            <v>0</v>
          </cell>
          <cell r="GB43">
            <v>0</v>
          </cell>
          <cell r="GC43">
            <v>134.3071853888481</v>
          </cell>
          <cell r="GD43">
            <v>-188.18528080551476</v>
          </cell>
          <cell r="GE43">
            <v>-2.929214848244464</v>
          </cell>
          <cell r="GF43">
            <v>0</v>
          </cell>
          <cell r="GG43">
            <v>0</v>
          </cell>
          <cell r="GH43">
            <v>0</v>
          </cell>
          <cell r="GI43">
            <v>519.71934865276148</v>
          </cell>
        </row>
        <row r="45">
          <cell r="C45">
            <v>20774.809789999999</v>
          </cell>
          <cell r="N45">
            <v>8088.3617800000011</v>
          </cell>
          <cell r="O45">
            <v>-28.143940000000001</v>
          </cell>
          <cell r="P45">
            <v>0</v>
          </cell>
          <cell r="Q45">
            <v>0</v>
          </cell>
          <cell r="R45">
            <v>0</v>
          </cell>
          <cell r="S45">
            <v>-198.70038</v>
          </cell>
          <cell r="T45">
            <v>-15.49306</v>
          </cell>
          <cell r="U45">
            <v>0</v>
          </cell>
          <cell r="V45">
            <v>-3755.0858459142037</v>
          </cell>
          <cell r="W45">
            <v>0</v>
          </cell>
          <cell r="X45">
            <v>-710.98512408579677</v>
          </cell>
          <cell r="Y45">
            <v>-69.149860000000004</v>
          </cell>
          <cell r="Z45">
            <v>550.41531000000009</v>
          </cell>
          <cell r="AA45">
            <v>7.6428500000000001</v>
          </cell>
          <cell r="AB45">
            <v>0</v>
          </cell>
          <cell r="AC45">
            <v>-1376.0314600000002</v>
          </cell>
          <cell r="AD45">
            <v>265.10590000000002</v>
          </cell>
          <cell r="AE45">
            <v>-135.57830999999999</v>
          </cell>
          <cell r="AF45">
            <v>-614.03076999999996</v>
          </cell>
          <cell r="AG45">
            <v>0</v>
          </cell>
          <cell r="AH45">
            <v>1338.8192999999997</v>
          </cell>
          <cell r="AI45">
            <v>878.70616000000007</v>
          </cell>
          <cell r="AJ45">
            <v>110.66736999999986</v>
          </cell>
          <cell r="AK45">
            <v>-70.78877</v>
          </cell>
          <cell r="AL45">
            <v>-3616.9439100000009</v>
          </cell>
          <cell r="AM45">
            <v>2542.2468599999993</v>
          </cell>
          <cell r="AN45">
            <v>-337.89204999999993</v>
          </cell>
          <cell r="AO45">
            <v>-279.33894999999995</v>
          </cell>
          <cell r="AP45">
            <v>-34.421240000000004</v>
          </cell>
          <cell r="AQ45">
            <v>-281.46496999999999</v>
          </cell>
          <cell r="AR45">
            <v>-160.51953</v>
          </cell>
          <cell r="AT45">
            <v>-471.66513000000009</v>
          </cell>
          <cell r="AU45">
            <v>0</v>
          </cell>
          <cell r="AV45">
            <v>0</v>
          </cell>
          <cell r="AW45">
            <v>0</v>
          </cell>
          <cell r="AX45">
            <v>-40.356929628507018</v>
          </cell>
          <cell r="AY45">
            <v>0</v>
          </cell>
          <cell r="AZ45">
            <v>73.77092962850702</v>
          </cell>
          <cell r="BA45">
            <v>0</v>
          </cell>
          <cell r="BB45">
            <v>-4.0480100000000006</v>
          </cell>
          <cell r="BC45">
            <v>0</v>
          </cell>
          <cell r="BD45">
            <v>0</v>
          </cell>
          <cell r="BE45">
            <v>107.17620999999997</v>
          </cell>
          <cell r="BF45">
            <v>-1607.07</v>
          </cell>
          <cell r="BG45">
            <v>-60.934559999999998</v>
          </cell>
          <cell r="BH45">
            <v>199.14937</v>
          </cell>
          <cell r="BI45">
            <v>7.0925400000000005</v>
          </cell>
          <cell r="BJ45">
            <v>0</v>
          </cell>
          <cell r="BK45">
            <v>300.51177999999845</v>
          </cell>
          <cell r="EA45">
            <v>1201.4008800000011</v>
          </cell>
          <cell r="EL45">
            <v>2888.7303499999998</v>
          </cell>
          <cell r="EM45">
            <v>-25.789940000000001</v>
          </cell>
          <cell r="EN45">
            <v>0</v>
          </cell>
          <cell r="EO45">
            <v>0</v>
          </cell>
          <cell r="EP45">
            <v>0</v>
          </cell>
          <cell r="EQ45">
            <v>-73.548459999999992</v>
          </cell>
          <cell r="ER45">
            <v>-15.49306</v>
          </cell>
          <cell r="ES45">
            <v>0</v>
          </cell>
          <cell r="ET45">
            <v>-1257.0018310420173</v>
          </cell>
          <cell r="EU45">
            <v>0</v>
          </cell>
          <cell r="EV45">
            <v>-317.27998982966761</v>
          </cell>
          <cell r="EW45">
            <v>-69.149860000000004</v>
          </cell>
          <cell r="EX45">
            <v>208.86567000000002</v>
          </cell>
          <cell r="EY45">
            <v>7.6428500000000001</v>
          </cell>
          <cell r="EZ45">
            <v>0</v>
          </cell>
          <cell r="FA45">
            <v>-731.33838000000014</v>
          </cell>
          <cell r="FB45">
            <v>42.301130000000001</v>
          </cell>
          <cell r="FC45">
            <v>-44.543430000000001</v>
          </cell>
          <cell r="FD45">
            <v>-174.93790000000001</v>
          </cell>
          <cell r="FE45">
            <v>0</v>
          </cell>
          <cell r="FF45">
            <v>-724.89078000000018</v>
          </cell>
          <cell r="FG45">
            <v>878.70616000000007</v>
          </cell>
          <cell r="FH45">
            <v>214.36103999999995</v>
          </cell>
          <cell r="FI45">
            <v>-70.78877</v>
          </cell>
          <cell r="FJ45">
            <v>-193.35794999999962</v>
          </cell>
          <cell r="FK45">
            <v>107.12507000000005</v>
          </cell>
          <cell r="FL45">
            <v>-420.54220000000009</v>
          </cell>
          <cell r="FM45">
            <v>-84.442249999999945</v>
          </cell>
          <cell r="FN45">
            <v>-21.638490000000004</v>
          </cell>
          <cell r="FO45">
            <v>-83.239069999999998</v>
          </cell>
          <cell r="FP45">
            <v>-57.029770000000013</v>
          </cell>
          <cell r="FR45">
            <v>-175.63685999999996</v>
          </cell>
          <cell r="FS45">
            <v>0</v>
          </cell>
          <cell r="FT45">
            <v>0</v>
          </cell>
          <cell r="FU45">
            <v>0</v>
          </cell>
          <cell r="FV45">
            <v>-5.4496319707056458</v>
          </cell>
          <cell r="FW45">
            <v>0</v>
          </cell>
          <cell r="FX45">
            <v>24.23763197070565</v>
          </cell>
          <cell r="FY45">
            <v>0</v>
          </cell>
          <cell r="FZ45">
            <v>-1.9309600000000002</v>
          </cell>
          <cell r="GA45">
            <v>0</v>
          </cell>
          <cell r="GB45">
            <v>0</v>
          </cell>
          <cell r="GC45">
            <v>43.910239999999988</v>
          </cell>
          <cell r="GD45">
            <v>-44.258000000000038</v>
          </cell>
          <cell r="GE45">
            <v>-60.934559999999998</v>
          </cell>
          <cell r="GF45">
            <v>-5.973639999999989</v>
          </cell>
          <cell r="GG45">
            <v>7.0925400000000005</v>
          </cell>
          <cell r="GH45">
            <v>0</v>
          </cell>
          <cell r="GI45">
            <v>-236.22310087168492</v>
          </cell>
        </row>
        <row r="46">
          <cell r="C46">
            <v>19324.455620000001</v>
          </cell>
          <cell r="N46">
            <v>8224.4270600000018</v>
          </cell>
          <cell r="O46">
            <v>-24.81373</v>
          </cell>
          <cell r="P46">
            <v>0</v>
          </cell>
          <cell r="Q46">
            <v>0</v>
          </cell>
          <cell r="R46">
            <v>0</v>
          </cell>
          <cell r="S46">
            <v>-244.51733000000002</v>
          </cell>
          <cell r="T46">
            <v>-7.0851900000000008</v>
          </cell>
          <cell r="U46">
            <v>0</v>
          </cell>
          <cell r="V46">
            <v>-4238.2860600000004</v>
          </cell>
          <cell r="W46">
            <v>0</v>
          </cell>
          <cell r="X46">
            <v>0</v>
          </cell>
          <cell r="Y46">
            <v>-118.49775000000001</v>
          </cell>
          <cell r="Z46">
            <v>474.04453999999998</v>
          </cell>
          <cell r="AA46">
            <v>13.65751</v>
          </cell>
          <cell r="AB46">
            <v>0</v>
          </cell>
          <cell r="AC46">
            <v>-1948.1743999999999</v>
          </cell>
          <cell r="AD46">
            <v>430.26774</v>
          </cell>
          <cell r="AE46">
            <v>-196.90107</v>
          </cell>
          <cell r="AF46">
            <v>-560.69900000000007</v>
          </cell>
          <cell r="AG46">
            <v>0</v>
          </cell>
          <cell r="AH46">
            <v>4421.4918900000002</v>
          </cell>
          <cell r="AI46">
            <v>453.20325999999994</v>
          </cell>
          <cell r="AJ46">
            <v>-485.77274999999986</v>
          </cell>
          <cell r="AK46">
            <v>-33.324849999999998</v>
          </cell>
          <cell r="AL46">
            <v>-3282.0908100000001</v>
          </cell>
          <cell r="AM46">
            <v>2359.1166199999998</v>
          </cell>
          <cell r="AN46">
            <v>-480.9068700000002</v>
          </cell>
          <cell r="AO46">
            <v>-432.55445999999995</v>
          </cell>
          <cell r="AP46">
            <v>-25.112020000000001</v>
          </cell>
          <cell r="AQ46">
            <v>-426.06054000000006</v>
          </cell>
          <cell r="AR46">
            <v>-162.54191000000003</v>
          </cell>
          <cell r="AT46">
            <v>-436.19543999999996</v>
          </cell>
          <cell r="AU46">
            <v>0</v>
          </cell>
          <cell r="AV46">
            <v>0</v>
          </cell>
          <cell r="AW46">
            <v>0</v>
          </cell>
          <cell r="AX46">
            <v>11.638999999999999</v>
          </cell>
          <cell r="AY46">
            <v>0</v>
          </cell>
          <cell r="AZ46">
            <v>0</v>
          </cell>
          <cell r="BA46">
            <v>0.34734000000000004</v>
          </cell>
          <cell r="BB46">
            <v>-1.26457</v>
          </cell>
          <cell r="BC46">
            <v>-3.7929999999999998E-2</v>
          </cell>
          <cell r="BD46">
            <v>0</v>
          </cell>
          <cell r="BE46">
            <v>93.130630000000011</v>
          </cell>
          <cell r="BF46">
            <v>-142.40168</v>
          </cell>
          <cell r="BG46">
            <v>-6.8737400000000006</v>
          </cell>
          <cell r="BH46">
            <v>17.34075</v>
          </cell>
          <cell r="BI46">
            <v>0.74377999999999989</v>
          </cell>
          <cell r="BJ46">
            <v>0</v>
          </cell>
          <cell r="BK46">
            <v>3245.2980200000034</v>
          </cell>
          <cell r="EA46">
            <v>1142.006730000001</v>
          </cell>
          <cell r="EL46">
            <v>2770.79144</v>
          </cell>
          <cell r="EM46">
            <v>-16.252980000000001</v>
          </cell>
          <cell r="EN46">
            <v>0</v>
          </cell>
          <cell r="EO46">
            <v>0</v>
          </cell>
          <cell r="EP46">
            <v>0</v>
          </cell>
          <cell r="EQ46">
            <v>-84.347250000000003</v>
          </cell>
          <cell r="ER46">
            <v>0</v>
          </cell>
          <cell r="ES46">
            <v>0</v>
          </cell>
          <cell r="ET46">
            <v>-1473.8263000000002</v>
          </cell>
          <cell r="EU46">
            <v>0</v>
          </cell>
          <cell r="EV46">
            <v>0</v>
          </cell>
          <cell r="EW46">
            <v>-118.49775000000001</v>
          </cell>
          <cell r="EX46">
            <v>159.33533999999997</v>
          </cell>
          <cell r="EY46">
            <v>13.65751</v>
          </cell>
          <cell r="EZ46">
            <v>0</v>
          </cell>
          <cell r="FA46">
            <v>-351.47032000000013</v>
          </cell>
          <cell r="FB46">
            <v>213.71188999999998</v>
          </cell>
          <cell r="FC46">
            <v>-68.42831000000001</v>
          </cell>
          <cell r="FD46">
            <v>-155.32970000000006</v>
          </cell>
          <cell r="FE46">
            <v>0</v>
          </cell>
          <cell r="FF46">
            <v>663.71616000000085</v>
          </cell>
          <cell r="FG46">
            <v>453.20325999999994</v>
          </cell>
          <cell r="FH46">
            <v>-212.40373999999997</v>
          </cell>
          <cell r="FI46">
            <v>-33.324849999999998</v>
          </cell>
          <cell r="FJ46">
            <v>-228.05985999999984</v>
          </cell>
          <cell r="FK46">
            <v>127.45067999999992</v>
          </cell>
          <cell r="FL46">
            <v>-368.36296000000004</v>
          </cell>
          <cell r="FM46">
            <v>-148.35813999999999</v>
          </cell>
          <cell r="FN46">
            <v>-7.7224299999999992</v>
          </cell>
          <cell r="FO46">
            <v>-146.59997000000004</v>
          </cell>
          <cell r="FP46">
            <v>-50.400280000000009</v>
          </cell>
          <cell r="FR46">
            <v>-139.24675000000002</v>
          </cell>
          <cell r="FS46">
            <v>0</v>
          </cell>
          <cell r="FT46">
            <v>0</v>
          </cell>
          <cell r="FU46">
            <v>0</v>
          </cell>
          <cell r="FV46">
            <v>7.4129999999999994</v>
          </cell>
          <cell r="FW46">
            <v>0</v>
          </cell>
          <cell r="FX46">
            <v>0</v>
          </cell>
          <cell r="FY46">
            <v>0.34734000000000004</v>
          </cell>
          <cell r="FZ46">
            <v>-0.77252999999999994</v>
          </cell>
          <cell r="GA46">
            <v>-3.7929999999999998E-2</v>
          </cell>
          <cell r="GB46">
            <v>0</v>
          </cell>
          <cell r="GC46">
            <v>21.878399999999999</v>
          </cell>
          <cell r="GD46">
            <v>-15.396000000000015</v>
          </cell>
          <cell r="GE46">
            <v>-6.8737400000000006</v>
          </cell>
          <cell r="GF46">
            <v>10.51774</v>
          </cell>
          <cell r="GG46">
            <v>0.74377999999999989</v>
          </cell>
          <cell r="GH46">
            <v>0</v>
          </cell>
          <cell r="GI46">
            <v>817.05475000000069</v>
          </cell>
        </row>
        <row r="47">
          <cell r="C47">
            <v>20573.95948613861</v>
          </cell>
          <cell r="N47">
            <v>9180.7672939359072</v>
          </cell>
          <cell r="O47">
            <v>-629.02518561738907</v>
          </cell>
          <cell r="P47">
            <v>0</v>
          </cell>
          <cell r="Q47">
            <v>-150.01815136046974</v>
          </cell>
          <cell r="R47">
            <v>0</v>
          </cell>
          <cell r="S47">
            <v>-350.08878318452724</v>
          </cell>
          <cell r="T47">
            <v>-10.544020156617039</v>
          </cell>
          <cell r="U47">
            <v>0</v>
          </cell>
          <cell r="V47">
            <v>-2913.6504784838189</v>
          </cell>
          <cell r="W47">
            <v>0</v>
          </cell>
          <cell r="X47">
            <v>-962.69963809960927</v>
          </cell>
          <cell r="Y47">
            <v>-92.27127386104695</v>
          </cell>
          <cell r="Z47">
            <v>453.12997920470349</v>
          </cell>
          <cell r="AA47">
            <v>0</v>
          </cell>
          <cell r="AB47">
            <v>0</v>
          </cell>
          <cell r="AC47">
            <v>-2773.3428046383628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2773.3428046383628</v>
          </cell>
          <cell r="AI47">
            <v>92.27127386104695</v>
          </cell>
          <cell r="AJ47">
            <v>0</v>
          </cell>
          <cell r="AK47">
            <v>0</v>
          </cell>
          <cell r="AL47">
            <v>-1308.9388950903754</v>
          </cell>
          <cell r="AM47">
            <v>0</v>
          </cell>
          <cell r="AN47">
            <v>0</v>
          </cell>
          <cell r="AO47">
            <v>-352.38730093401921</v>
          </cell>
          <cell r="AP47">
            <v>-27.844877077944275</v>
          </cell>
          <cell r="AQ47">
            <v>-357.46107485849348</v>
          </cell>
          <cell r="AR47">
            <v>-255.26511328653601</v>
          </cell>
          <cell r="AT47">
            <v>-472.78509658281064</v>
          </cell>
          <cell r="AU47">
            <v>0</v>
          </cell>
          <cell r="AV47">
            <v>0</v>
          </cell>
          <cell r="AW47">
            <v>0</v>
          </cell>
          <cell r="AX47">
            <v>82.746922444246692</v>
          </cell>
          <cell r="AY47">
            <v>0</v>
          </cell>
          <cell r="AZ47">
            <v>0</v>
          </cell>
          <cell r="BA47">
            <v>1.5074474555356994</v>
          </cell>
          <cell r="BB47">
            <v>-7.588045543677814</v>
          </cell>
          <cell r="BC47">
            <v>0</v>
          </cell>
          <cell r="BD47">
            <v>0</v>
          </cell>
          <cell r="BE47">
            <v>50.666567715288281</v>
          </cell>
          <cell r="BF47">
            <v>-50.666567715288281</v>
          </cell>
          <cell r="BG47">
            <v>-1.5074474555356994</v>
          </cell>
          <cell r="BH47">
            <v>0</v>
          </cell>
          <cell r="BI47">
            <v>0</v>
          </cell>
          <cell r="BJ47">
            <v>0</v>
          </cell>
          <cell r="BK47">
            <v>1918.3475353085685</v>
          </cell>
          <cell r="EA47">
            <v>1578.5220332977624</v>
          </cell>
          <cell r="EL47">
            <v>3060.2557646453024</v>
          </cell>
          <cell r="EM47">
            <v>-183.60336438810134</v>
          </cell>
          <cell r="EN47">
            <v>0</v>
          </cell>
          <cell r="EO47">
            <v>-50.006050453489934</v>
          </cell>
          <cell r="EP47">
            <v>0</v>
          </cell>
          <cell r="EQ47">
            <v>-116.69626106150906</v>
          </cell>
          <cell r="ER47">
            <v>-3.5146733855390133</v>
          </cell>
          <cell r="ES47">
            <v>0</v>
          </cell>
          <cell r="ET47">
            <v>-329.41706742820043</v>
          </cell>
          <cell r="EU47">
            <v>0</v>
          </cell>
          <cell r="EV47">
            <v>-320.89987936653642</v>
          </cell>
          <cell r="EW47">
            <v>-30.757091287015648</v>
          </cell>
          <cell r="EX47">
            <v>151.04332640156781</v>
          </cell>
          <cell r="EY47">
            <v>0</v>
          </cell>
          <cell r="EZ47">
            <v>0</v>
          </cell>
          <cell r="FA47">
            <v>-924.44760154612095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924.44760154612095</v>
          </cell>
          <cell r="FG47">
            <v>30.757091287015648</v>
          </cell>
          <cell r="FH47">
            <v>0</v>
          </cell>
          <cell r="FI47">
            <v>0</v>
          </cell>
          <cell r="FJ47">
            <v>-436.31296503012516</v>
          </cell>
          <cell r="FK47">
            <v>0</v>
          </cell>
          <cell r="FL47">
            <v>0</v>
          </cell>
          <cell r="FM47">
            <v>-117.46243364467304</v>
          </cell>
          <cell r="FN47">
            <v>-9.2816256926480918</v>
          </cell>
          <cell r="FO47">
            <v>-119.15369161949781</v>
          </cell>
          <cell r="FP47">
            <v>-85.088371095512002</v>
          </cell>
          <cell r="FR47">
            <v>-157.59503219427017</v>
          </cell>
          <cell r="FS47">
            <v>0</v>
          </cell>
          <cell r="FT47">
            <v>0</v>
          </cell>
          <cell r="FU47">
            <v>0</v>
          </cell>
          <cell r="FV47">
            <v>27.582307481415562</v>
          </cell>
          <cell r="FW47">
            <v>0</v>
          </cell>
          <cell r="FX47">
            <v>0</v>
          </cell>
          <cell r="FY47">
            <v>0.50248248517856653</v>
          </cell>
          <cell r="FZ47">
            <v>-2.5293485145592713</v>
          </cell>
          <cell r="GA47">
            <v>0</v>
          </cell>
          <cell r="GB47">
            <v>0</v>
          </cell>
          <cell r="GC47">
            <v>16.888855905096094</v>
          </cell>
          <cell r="GD47">
            <v>-16.888855905096094</v>
          </cell>
          <cell r="GE47">
            <v>-0.50248248517856653</v>
          </cell>
          <cell r="GF47">
            <v>0</v>
          </cell>
          <cell r="GG47">
            <v>0</v>
          </cell>
          <cell r="GH47">
            <v>0</v>
          </cell>
          <cell r="GI47">
            <v>1307.320634653624</v>
          </cell>
        </row>
        <row r="49">
          <cell r="C49">
            <v>21921.365100000003</v>
          </cell>
          <cell r="N49">
            <v>13685.977860000001</v>
          </cell>
          <cell r="O49">
            <v>-536.9285900000001</v>
          </cell>
          <cell r="P49">
            <v>0</v>
          </cell>
          <cell r="Q49">
            <v>0</v>
          </cell>
          <cell r="R49">
            <v>11.118450000000001</v>
          </cell>
          <cell r="S49">
            <v>-238.83368999999999</v>
          </cell>
          <cell r="T49">
            <v>-28.157449999999997</v>
          </cell>
          <cell r="U49">
            <v>0</v>
          </cell>
          <cell r="V49">
            <v>-6494.9703099999997</v>
          </cell>
          <cell r="W49">
            <v>0</v>
          </cell>
          <cell r="X49">
            <v>-650</v>
          </cell>
          <cell r="Y49">
            <v>-55.797109999999996</v>
          </cell>
          <cell r="Z49">
            <v>319.16674999999998</v>
          </cell>
          <cell r="AA49">
            <v>2.7640899999999999</v>
          </cell>
          <cell r="AB49">
            <v>0</v>
          </cell>
          <cell r="AC49">
            <v>-5836.0247099999997</v>
          </cell>
          <cell r="AD49">
            <v>164.33969999999999</v>
          </cell>
          <cell r="AE49">
            <v>-65.023719999999997</v>
          </cell>
          <cell r="AF49">
            <v>-743.11091999999985</v>
          </cell>
          <cell r="AG49">
            <v>0</v>
          </cell>
          <cell r="AH49">
            <v>7633.6184599999997</v>
          </cell>
          <cell r="AI49">
            <v>900.02183000000002</v>
          </cell>
          <cell r="AJ49">
            <v>-552.30171000000007</v>
          </cell>
          <cell r="AK49">
            <v>-35.872659999999996</v>
          </cell>
          <cell r="AL49">
            <v>-3109.1642499999998</v>
          </cell>
          <cell r="AM49">
            <v>2021.6327099999999</v>
          </cell>
          <cell r="AN49">
            <v>-924.76674999999989</v>
          </cell>
          <cell r="AO49">
            <v>-692.13733999999999</v>
          </cell>
          <cell r="AP49">
            <v>-70.028530000000003</v>
          </cell>
          <cell r="AQ49">
            <v>-503.40028999999998</v>
          </cell>
          <cell r="AR49">
            <v>-259.32107999999999</v>
          </cell>
          <cell r="AT49">
            <v>-1023.4239100000004</v>
          </cell>
          <cell r="AU49">
            <v>0</v>
          </cell>
          <cell r="AV49">
            <v>0</v>
          </cell>
          <cell r="AW49">
            <v>0</v>
          </cell>
          <cell r="AX49">
            <v>26.768999999999998</v>
          </cell>
          <cell r="AY49">
            <v>0</v>
          </cell>
          <cell r="AZ49">
            <v>0</v>
          </cell>
          <cell r="BA49">
            <v>9.7310000000000008E-2</v>
          </cell>
          <cell r="BB49">
            <v>-0.90457999999999972</v>
          </cell>
          <cell r="BC49">
            <v>-2.6900000000000001E-3</v>
          </cell>
          <cell r="BD49">
            <v>0</v>
          </cell>
          <cell r="BE49">
            <v>130.19490999999999</v>
          </cell>
          <cell r="BF49">
            <v>1081.7357799999997</v>
          </cell>
          <cell r="BG49">
            <v>-14.132460000000002</v>
          </cell>
          <cell r="BH49">
            <v>-69.956369999999993</v>
          </cell>
          <cell r="BI49">
            <v>0.25964000000000009</v>
          </cell>
          <cell r="BJ49">
            <v>2.1316282072803006E-17</v>
          </cell>
          <cell r="BK49">
            <v>4073.4373700000019</v>
          </cell>
          <cell r="EA49">
            <v>3935.6805900000036</v>
          </cell>
          <cell r="EL49">
            <v>5172.1480100000026</v>
          </cell>
          <cell r="EM49">
            <v>-268.39793000000009</v>
          </cell>
          <cell r="EN49">
            <v>0</v>
          </cell>
          <cell r="EO49">
            <v>0</v>
          </cell>
          <cell r="EP49">
            <v>11.118450000000001</v>
          </cell>
          <cell r="EQ49">
            <v>-90.50775999999999</v>
          </cell>
          <cell r="ER49">
            <v>-21.105379999999997</v>
          </cell>
          <cell r="ES49">
            <v>0</v>
          </cell>
          <cell r="ET49">
            <v>-2560.3951899999993</v>
          </cell>
          <cell r="EU49">
            <v>0</v>
          </cell>
          <cell r="EV49">
            <v>-150</v>
          </cell>
          <cell r="EW49">
            <v>-55.797109999999996</v>
          </cell>
          <cell r="EX49">
            <v>122.64723999999998</v>
          </cell>
          <cell r="EY49">
            <v>2.7640899999999999</v>
          </cell>
          <cell r="EZ49">
            <v>0</v>
          </cell>
          <cell r="FA49">
            <v>-1363.53917</v>
          </cell>
          <cell r="FB49">
            <v>43.961429999999993</v>
          </cell>
          <cell r="FC49">
            <v>-20.53895</v>
          </cell>
          <cell r="FD49">
            <v>-217.92048999999997</v>
          </cell>
          <cell r="FE49">
            <v>0</v>
          </cell>
          <cell r="FF49">
            <v>-1295.7183199999999</v>
          </cell>
          <cell r="FG49">
            <v>900.02183000000002</v>
          </cell>
          <cell r="FH49">
            <v>36.672259999999937</v>
          </cell>
          <cell r="FI49">
            <v>-35.872659999999996</v>
          </cell>
          <cell r="FJ49">
            <v>-539.37653999999975</v>
          </cell>
          <cell r="FK49">
            <v>215.53593999999998</v>
          </cell>
          <cell r="FL49">
            <v>-428.98558000000003</v>
          </cell>
          <cell r="FM49">
            <v>-225.16579000000002</v>
          </cell>
          <cell r="FN49">
            <v>-42.026270000000004</v>
          </cell>
          <cell r="FO49">
            <v>-166.40556999999995</v>
          </cell>
          <cell r="FP49">
            <v>-94.220370000000003</v>
          </cell>
          <cell r="FR49">
            <v>-344.94549000000052</v>
          </cell>
          <cell r="FS49">
            <v>0</v>
          </cell>
          <cell r="FT49">
            <v>0</v>
          </cell>
          <cell r="FU49">
            <v>0</v>
          </cell>
          <cell r="FV49">
            <v>3.3939999999999984</v>
          </cell>
          <cell r="FW49">
            <v>0</v>
          </cell>
          <cell r="FX49">
            <v>0</v>
          </cell>
          <cell r="FY49">
            <v>9.7310000000000008E-2</v>
          </cell>
          <cell r="FZ49">
            <v>0.30085000000000006</v>
          </cell>
          <cell r="GA49">
            <v>-2.6900000000000001E-3</v>
          </cell>
          <cell r="GB49">
            <v>0</v>
          </cell>
          <cell r="GC49">
            <v>36.997839999999982</v>
          </cell>
          <cell r="GD49">
            <v>1006.0100799999998</v>
          </cell>
          <cell r="GE49">
            <v>-14.132460000000002</v>
          </cell>
          <cell r="GF49">
            <v>-56.219069999999988</v>
          </cell>
          <cell r="GG49">
            <v>0.25964000000000009</v>
          </cell>
          <cell r="GH49">
            <v>0</v>
          </cell>
          <cell r="GI49">
            <v>-439.34381999999778</v>
          </cell>
        </row>
        <row r="50">
          <cell r="C50">
            <v>22424.075719999997</v>
          </cell>
          <cell r="N50">
            <v>13907.735919999999</v>
          </cell>
          <cell r="O50">
            <v>-232.96758999999997</v>
          </cell>
          <cell r="P50">
            <v>0</v>
          </cell>
          <cell r="Q50">
            <v>0</v>
          </cell>
          <cell r="R50">
            <v>2.75</v>
          </cell>
          <cell r="S50">
            <v>-233.50646</v>
          </cell>
          <cell r="T50">
            <v>-28.677989999999994</v>
          </cell>
          <cell r="U50">
            <v>0</v>
          </cell>
          <cell r="V50">
            <v>-6856.2714500000002</v>
          </cell>
          <cell r="W50">
            <v>0</v>
          </cell>
          <cell r="X50">
            <v>-973</v>
          </cell>
          <cell r="Y50">
            <v>-128.45929000000001</v>
          </cell>
          <cell r="Z50">
            <v>346.03017999999997</v>
          </cell>
          <cell r="AA50">
            <v>6.2308699999999995</v>
          </cell>
          <cell r="AB50">
            <v>0</v>
          </cell>
          <cell r="AC50">
            <v>-5973.4156999999996</v>
          </cell>
          <cell r="AD50">
            <v>314.75518</v>
          </cell>
          <cell r="AE50">
            <v>-61.817020000000007</v>
          </cell>
          <cell r="AF50">
            <v>-690.15941999999995</v>
          </cell>
          <cell r="AG50">
            <v>0</v>
          </cell>
          <cell r="AH50">
            <v>5947.8226100000002</v>
          </cell>
          <cell r="AI50">
            <v>199.19892999999999</v>
          </cell>
          <cell r="AJ50">
            <v>-89.624449999999953</v>
          </cell>
          <cell r="AK50">
            <v>-1.92781</v>
          </cell>
          <cell r="AL50">
            <v>-3217.9308499999997</v>
          </cell>
          <cell r="AM50">
            <v>2170.7502600000012</v>
          </cell>
          <cell r="AN50">
            <v>-963.84429000000023</v>
          </cell>
          <cell r="AO50">
            <v>-643.29902000000004</v>
          </cell>
          <cell r="AP50">
            <v>-43.55932</v>
          </cell>
          <cell r="AQ50">
            <v>-445.85977000000003</v>
          </cell>
          <cell r="AR50">
            <v>-305.11822000000001</v>
          </cell>
          <cell r="AT50">
            <v>-1315.4514599999998</v>
          </cell>
          <cell r="AU50">
            <v>0</v>
          </cell>
          <cell r="AV50">
            <v>0</v>
          </cell>
          <cell r="AW50">
            <v>0</v>
          </cell>
          <cell r="AX50">
            <v>28.51</v>
          </cell>
          <cell r="AY50">
            <v>0</v>
          </cell>
          <cell r="AZ50">
            <v>0</v>
          </cell>
          <cell r="BA50">
            <v>0.42985000000000007</v>
          </cell>
          <cell r="BB50">
            <v>-0.92379</v>
          </cell>
          <cell r="BC50">
            <v>-1.1509999999999999E-2</v>
          </cell>
          <cell r="BD50">
            <v>0</v>
          </cell>
          <cell r="BE50">
            <v>127.86932000000002</v>
          </cell>
          <cell r="BF50">
            <v>11.64699999999992</v>
          </cell>
          <cell r="BG50">
            <v>-5.9791000000000007</v>
          </cell>
          <cell r="BH50">
            <v>-28.053130000000007</v>
          </cell>
          <cell r="BI50">
            <v>-0.45668999999999998</v>
          </cell>
          <cell r="BJ50">
            <v>0</v>
          </cell>
          <cell r="BK50">
            <v>823.41579000000002</v>
          </cell>
          <cell r="EA50">
            <v>2977.1752299999971</v>
          </cell>
          <cell r="EL50">
            <v>4352.9354000000021</v>
          </cell>
          <cell r="EM50">
            <v>-36.568419999999946</v>
          </cell>
          <cell r="EN50">
            <v>0</v>
          </cell>
          <cell r="EO50">
            <v>0</v>
          </cell>
          <cell r="EP50">
            <v>1.6786799999999999</v>
          </cell>
          <cell r="EQ50">
            <v>-79.832480000000004</v>
          </cell>
          <cell r="ER50">
            <v>2.4091800000000028</v>
          </cell>
          <cell r="ES50">
            <v>0</v>
          </cell>
          <cell r="ET50">
            <v>-2474.8062600000003</v>
          </cell>
          <cell r="EU50">
            <v>0</v>
          </cell>
          <cell r="EV50">
            <v>-460</v>
          </cell>
          <cell r="EW50">
            <v>-128.45929000000001</v>
          </cell>
          <cell r="EX50">
            <v>128.81287</v>
          </cell>
          <cell r="EY50">
            <v>6.2308699999999995</v>
          </cell>
          <cell r="EZ50">
            <v>0</v>
          </cell>
          <cell r="FA50">
            <v>-1897.6901799999991</v>
          </cell>
          <cell r="FB50">
            <v>101.23226999999997</v>
          </cell>
          <cell r="FC50">
            <v>-20.655260000000006</v>
          </cell>
          <cell r="FD50">
            <v>-246.36794999999995</v>
          </cell>
          <cell r="FE50">
            <v>0</v>
          </cell>
          <cell r="FF50">
            <v>1044.7222899999997</v>
          </cell>
          <cell r="FG50">
            <v>199.19892999999999</v>
          </cell>
          <cell r="FH50">
            <v>17.14555</v>
          </cell>
          <cell r="FI50">
            <v>-1.92781</v>
          </cell>
          <cell r="FJ50">
            <v>-367.36290000000008</v>
          </cell>
          <cell r="FK50">
            <v>168.19256000000041</v>
          </cell>
          <cell r="FL50">
            <v>-372.4062100000001</v>
          </cell>
          <cell r="FM50">
            <v>-219.09041999999999</v>
          </cell>
          <cell r="FN50">
            <v>-18.66657</v>
          </cell>
          <cell r="FO50">
            <v>-146.85519000000005</v>
          </cell>
          <cell r="FP50">
            <v>-106.57760000000002</v>
          </cell>
          <cell r="FR50">
            <v>-554.09991999999988</v>
          </cell>
          <cell r="FS50">
            <v>0</v>
          </cell>
          <cell r="FT50">
            <v>0</v>
          </cell>
          <cell r="FU50">
            <v>0</v>
          </cell>
          <cell r="FV50">
            <v>4.2600000000000016</v>
          </cell>
          <cell r="FW50">
            <v>0</v>
          </cell>
          <cell r="FX50">
            <v>0</v>
          </cell>
          <cell r="FY50">
            <v>0.42985000000000007</v>
          </cell>
          <cell r="FZ50">
            <v>-0.15805999999999998</v>
          </cell>
          <cell r="GA50">
            <v>-1.1509999999999999E-2</v>
          </cell>
          <cell r="GB50">
            <v>0</v>
          </cell>
          <cell r="GC50">
            <v>22.582060000000013</v>
          </cell>
          <cell r="GD50">
            <v>0.90699999999991832</v>
          </cell>
          <cell r="GE50">
            <v>-5.9791000000000007</v>
          </cell>
          <cell r="GF50">
            <v>-9.3353600000000014</v>
          </cell>
          <cell r="GG50">
            <v>-0.45668999999999998</v>
          </cell>
          <cell r="GH50">
            <v>0</v>
          </cell>
          <cell r="GI50">
            <v>-1096.5696699999976</v>
          </cell>
        </row>
        <row r="51">
          <cell r="C51">
            <v>20131.249767002824</v>
          </cell>
          <cell r="N51">
            <v>14045.686262675114</v>
          </cell>
          <cell r="O51">
            <v>-2143.8144316464668</v>
          </cell>
          <cell r="P51">
            <v>0</v>
          </cell>
          <cell r="Q51">
            <v>-278.67147148720056</v>
          </cell>
          <cell r="R51">
            <v>0</v>
          </cell>
          <cell r="S51">
            <v>-284.82496615953755</v>
          </cell>
          <cell r="T51">
            <v>-147.71594605241864</v>
          </cell>
          <cell r="U51">
            <v>0</v>
          </cell>
          <cell r="V51">
            <v>-4568.7924467303137</v>
          </cell>
          <cell r="W51">
            <v>0</v>
          </cell>
          <cell r="X51">
            <v>-541.07342889325082</v>
          </cell>
          <cell r="Y51">
            <v>-123.93113358612517</v>
          </cell>
          <cell r="Z51">
            <v>208.38416716362127</v>
          </cell>
          <cell r="AA51">
            <v>0</v>
          </cell>
          <cell r="AB51">
            <v>0</v>
          </cell>
          <cell r="AC51">
            <v>-3571.391632610525</v>
          </cell>
          <cell r="AD51">
            <v>0</v>
          </cell>
          <cell r="AE51">
            <v>0</v>
          </cell>
          <cell r="AF51">
            <v>-331.69965053491666</v>
          </cell>
          <cell r="AG51">
            <v>0</v>
          </cell>
          <cell r="AH51">
            <v>4153.0912831454425</v>
          </cell>
          <cell r="AI51">
            <v>123.93113358612517</v>
          </cell>
          <cell r="AJ51">
            <v>0</v>
          </cell>
          <cell r="AK51">
            <v>0</v>
          </cell>
          <cell r="AL51">
            <v>-2020.6341289162276</v>
          </cell>
          <cell r="AM51">
            <v>0</v>
          </cell>
          <cell r="AN51">
            <v>0</v>
          </cell>
          <cell r="AO51">
            <v>-660.72452998535709</v>
          </cell>
          <cell r="AP51">
            <v>-39.368192540240429</v>
          </cell>
          <cell r="AQ51">
            <v>-558.34173576826697</v>
          </cell>
          <cell r="AR51">
            <v>-378.85264556996299</v>
          </cell>
          <cell r="AT51">
            <v>-1045.1909700947756</v>
          </cell>
          <cell r="AU51">
            <v>53.848959632673974</v>
          </cell>
          <cell r="AV51">
            <v>0</v>
          </cell>
          <cell r="AW51">
            <v>27.32068240135937</v>
          </cell>
          <cell r="AX51">
            <v>210.8443064227495</v>
          </cell>
          <cell r="AY51">
            <v>0</v>
          </cell>
          <cell r="AZ51">
            <v>53.046317327412453</v>
          </cell>
          <cell r="BA51">
            <v>5.2698842095922807</v>
          </cell>
          <cell r="BB51">
            <v>-7.6902303683739301</v>
          </cell>
          <cell r="BC51">
            <v>0</v>
          </cell>
          <cell r="BD51">
            <v>0</v>
          </cell>
          <cell r="BE51">
            <v>609.12983847825876</v>
          </cell>
          <cell r="BF51">
            <v>-609.12983847825876</v>
          </cell>
          <cell r="BG51">
            <v>-5.2698842095922807</v>
          </cell>
          <cell r="BH51">
            <v>0</v>
          </cell>
          <cell r="BI51">
            <v>0</v>
          </cell>
          <cell r="BJ51">
            <v>0</v>
          </cell>
          <cell r="BK51">
            <v>2173.4355714105391</v>
          </cell>
          <cell r="EA51">
            <v>4329.5550397380503</v>
          </cell>
          <cell r="EL51">
            <v>4681.8954208917057</v>
          </cell>
          <cell r="EM51">
            <v>-714.60481054882234</v>
          </cell>
          <cell r="EN51">
            <v>0</v>
          </cell>
          <cell r="EO51">
            <v>-92.89049049573353</v>
          </cell>
          <cell r="EP51">
            <v>0</v>
          </cell>
          <cell r="EQ51">
            <v>-94.941655386512508</v>
          </cell>
          <cell r="ER51">
            <v>-49.238648684139534</v>
          </cell>
          <cell r="ES51">
            <v>0</v>
          </cell>
          <cell r="ET51">
            <v>-1522.9308155767717</v>
          </cell>
          <cell r="EU51">
            <v>0</v>
          </cell>
          <cell r="EV51">
            <v>-180.35780963108363</v>
          </cell>
          <cell r="EW51">
            <v>-41.310377862041733</v>
          </cell>
          <cell r="EX51">
            <v>69.461389054540433</v>
          </cell>
          <cell r="EY51">
            <v>0</v>
          </cell>
          <cell r="EZ51">
            <v>0</v>
          </cell>
          <cell r="FA51">
            <v>-1190.4638775368417</v>
          </cell>
          <cell r="FB51">
            <v>0</v>
          </cell>
          <cell r="FC51">
            <v>0</v>
          </cell>
          <cell r="FD51">
            <v>-110.56655017830553</v>
          </cell>
          <cell r="FE51">
            <v>0</v>
          </cell>
          <cell r="FF51">
            <v>1384.3637610484811</v>
          </cell>
          <cell r="FG51">
            <v>41.310377862041733</v>
          </cell>
          <cell r="FH51">
            <v>0</v>
          </cell>
          <cell r="FI51">
            <v>0</v>
          </cell>
          <cell r="FJ51">
            <v>-673.54470963874246</v>
          </cell>
          <cell r="FK51">
            <v>0</v>
          </cell>
          <cell r="FL51">
            <v>0</v>
          </cell>
          <cell r="FM51">
            <v>-220.24150999511909</v>
          </cell>
          <cell r="FN51">
            <v>-13.122730846746812</v>
          </cell>
          <cell r="FO51">
            <v>-186.11391192275562</v>
          </cell>
          <cell r="FP51">
            <v>-126.28421518998763</v>
          </cell>
          <cell r="FR51">
            <v>-348.39699003159194</v>
          </cell>
          <cell r="FS51">
            <v>17.949653210891327</v>
          </cell>
          <cell r="FT51">
            <v>0</v>
          </cell>
          <cell r="FU51">
            <v>9.106894133786458</v>
          </cell>
          <cell r="FV51">
            <v>70.281435474249832</v>
          </cell>
          <cell r="FW51">
            <v>0</v>
          </cell>
          <cell r="FX51">
            <v>17.682105775804153</v>
          </cell>
          <cell r="FY51">
            <v>1.7566280698640933</v>
          </cell>
          <cell r="FZ51">
            <v>-2.5634101227913098</v>
          </cell>
          <cell r="GA51">
            <v>0</v>
          </cell>
          <cell r="GB51">
            <v>0</v>
          </cell>
          <cell r="GC51">
            <v>203.04327949275296</v>
          </cell>
          <cell r="GD51">
            <v>-203.04327949275296</v>
          </cell>
          <cell r="GE51">
            <v>-1.7566280698640933</v>
          </cell>
          <cell r="GF51">
            <v>0</v>
          </cell>
          <cell r="GG51">
            <v>0</v>
          </cell>
          <cell r="GH51">
            <v>0</v>
          </cell>
          <cell r="GI51">
            <v>724.47852380351321</v>
          </cell>
        </row>
        <row r="53">
          <cell r="C53">
            <v>5866.2681300000077</v>
          </cell>
          <cell r="N53">
            <v>4042.5233700000076</v>
          </cell>
          <cell r="O53">
            <v>-23.156700000000001</v>
          </cell>
          <cell r="P53">
            <v>0</v>
          </cell>
          <cell r="Q53">
            <v>0</v>
          </cell>
          <cell r="R53">
            <v>0</v>
          </cell>
          <cell r="S53">
            <v>-14.7554</v>
          </cell>
          <cell r="T53">
            <v>0</v>
          </cell>
          <cell r="U53">
            <v>0</v>
          </cell>
          <cell r="V53">
            <v>-566.32120999999995</v>
          </cell>
          <cell r="W53">
            <v>0</v>
          </cell>
          <cell r="X53">
            <v>0</v>
          </cell>
          <cell r="Y53">
            <v>-9.7670899999999996</v>
          </cell>
          <cell r="Z53">
            <v>32.446470000000005</v>
          </cell>
          <cell r="AA53">
            <v>0.47288999999999992</v>
          </cell>
          <cell r="AB53">
            <v>0</v>
          </cell>
          <cell r="AC53">
            <v>-306.14693999999997</v>
          </cell>
          <cell r="AD53">
            <v>23.927160000000001</v>
          </cell>
          <cell r="AE53">
            <v>-4.6307200000000002</v>
          </cell>
          <cell r="AF53">
            <v>-12.949340000000001</v>
          </cell>
          <cell r="AG53">
            <v>0</v>
          </cell>
          <cell r="AH53">
            <v>394.49950000000035</v>
          </cell>
          <cell r="AI53">
            <v>1693.6563899999999</v>
          </cell>
          <cell r="AJ53">
            <v>44.296270000000007</v>
          </cell>
          <cell r="AK53">
            <v>-131.39561999999998</v>
          </cell>
          <cell r="AL53">
            <v>-809.04101999999932</v>
          </cell>
          <cell r="AM53">
            <v>201.55281000000005</v>
          </cell>
          <cell r="AN53">
            <v>60.337299999999999</v>
          </cell>
          <cell r="AO53">
            <v>-56.03117000000001</v>
          </cell>
          <cell r="AP53">
            <v>-16.705030000000001</v>
          </cell>
          <cell r="AQ53">
            <v>-94.338850000000008</v>
          </cell>
          <cell r="AR53">
            <v>-67.401139999999998</v>
          </cell>
          <cell r="AT53">
            <v>-158.04403000000002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6.0344699999999998</v>
          </cell>
          <cell r="BF53">
            <v>-7.9790000000000001</v>
          </cell>
          <cell r="BG53">
            <v>-2.2136400000000003</v>
          </cell>
          <cell r="BH53">
            <v>0.17822999999999997</v>
          </cell>
          <cell r="BI53">
            <v>0.14698999999999998</v>
          </cell>
          <cell r="BJ53">
            <v>0</v>
          </cell>
          <cell r="BK53">
            <v>4219.1949500000073</v>
          </cell>
          <cell r="EA53">
            <v>302.28588000000036</v>
          </cell>
          <cell r="EL53">
            <v>1204.5462900000007</v>
          </cell>
          <cell r="EM53">
            <v>-10.562609999999999</v>
          </cell>
          <cell r="EN53">
            <v>0</v>
          </cell>
          <cell r="EO53">
            <v>0</v>
          </cell>
          <cell r="EP53">
            <v>0</v>
          </cell>
          <cell r="EQ53">
            <v>-7.8004199999999999</v>
          </cell>
          <cell r="ER53">
            <v>0</v>
          </cell>
          <cell r="ES53">
            <v>0</v>
          </cell>
          <cell r="ET53">
            <v>-186.16324999999995</v>
          </cell>
          <cell r="EU53">
            <v>0</v>
          </cell>
          <cell r="EV53">
            <v>0</v>
          </cell>
          <cell r="EW53">
            <v>-9.7670899999999996</v>
          </cell>
          <cell r="EX53">
            <v>10.975400000000004</v>
          </cell>
          <cell r="EY53">
            <v>0.47288999999999992</v>
          </cell>
          <cell r="EZ53">
            <v>0</v>
          </cell>
          <cell r="FA53">
            <v>-88.439469999999972</v>
          </cell>
          <cell r="FB53">
            <v>3.5442400000000021</v>
          </cell>
          <cell r="FC53">
            <v>-1.7236400000000005</v>
          </cell>
          <cell r="FD53">
            <v>-1.2023299999999999</v>
          </cell>
          <cell r="FE53">
            <v>0</v>
          </cell>
          <cell r="FF53">
            <v>24.559290000000715</v>
          </cell>
          <cell r="FG53">
            <v>1693.6563899999999</v>
          </cell>
          <cell r="FH53">
            <v>49.073080000000012</v>
          </cell>
          <cell r="FI53">
            <v>-131.39561999999998</v>
          </cell>
          <cell r="FJ53">
            <v>-36.82906000000014</v>
          </cell>
          <cell r="FK53">
            <v>2.5777099999999962</v>
          </cell>
          <cell r="FL53">
            <v>-113.33944999999997</v>
          </cell>
          <cell r="FM53">
            <v>-19.276130000000002</v>
          </cell>
          <cell r="FN53">
            <v>-9.7250700000000005</v>
          </cell>
          <cell r="FO53">
            <v>-29.786739999999995</v>
          </cell>
          <cell r="FP53">
            <v>-23.456949999999999</v>
          </cell>
          <cell r="FR53">
            <v>-29.722270000000009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7.9792399999999999</v>
          </cell>
          <cell r="GD53">
            <v>-7.9790000000000001</v>
          </cell>
          <cell r="GE53">
            <v>-2.2136400000000003</v>
          </cell>
          <cell r="GF53">
            <v>0.26536999999999999</v>
          </cell>
          <cell r="GG53">
            <v>0.14698999999999998</v>
          </cell>
          <cell r="GH53">
            <v>0</v>
          </cell>
          <cell r="GI53">
            <v>2288.4141500000019</v>
          </cell>
        </row>
        <row r="54">
          <cell r="C54">
            <v>3756.8863499999984</v>
          </cell>
          <cell r="N54">
            <v>1734.5666299999993</v>
          </cell>
          <cell r="O54">
            <v>-31.220929999999996</v>
          </cell>
          <cell r="P54">
            <v>0</v>
          </cell>
          <cell r="Q54">
            <v>0</v>
          </cell>
          <cell r="R54">
            <v>0</v>
          </cell>
          <cell r="S54">
            <v>-3.2905099999999998</v>
          </cell>
          <cell r="T54">
            <v>-7.8900000000000012E-2</v>
          </cell>
          <cell r="U54">
            <v>0</v>
          </cell>
          <cell r="V54">
            <v>-444.55279000000002</v>
          </cell>
          <cell r="W54">
            <v>0</v>
          </cell>
          <cell r="X54">
            <v>0</v>
          </cell>
          <cell r="Y54">
            <v>-102.47001</v>
          </cell>
          <cell r="Z54">
            <v>24.945260000000001</v>
          </cell>
          <cell r="AA54">
            <v>10.703150000000001</v>
          </cell>
          <cell r="AB54">
            <v>0</v>
          </cell>
          <cell r="AC54">
            <v>-288.74227000000002</v>
          </cell>
          <cell r="AD54">
            <v>38.757170000000002</v>
          </cell>
          <cell r="AE54">
            <v>-1.2947</v>
          </cell>
          <cell r="AF54">
            <v>-6.9771199999999993</v>
          </cell>
          <cell r="AG54">
            <v>0</v>
          </cell>
          <cell r="AH54">
            <v>658.14039999999841</v>
          </cell>
          <cell r="AI54">
            <v>586.03686999999991</v>
          </cell>
          <cell r="AJ54">
            <v>-29.181150000000002</v>
          </cell>
          <cell r="AK54">
            <v>-62.826539999999994</v>
          </cell>
          <cell r="AL54">
            <v>-540.21002999999996</v>
          </cell>
          <cell r="AM54">
            <v>214.35716000000002</v>
          </cell>
          <cell r="AN54">
            <v>118.32108999999997</v>
          </cell>
          <cell r="AO54">
            <v>-25.842370000000003</v>
          </cell>
          <cell r="AP54">
            <v>-6.3073699999999997</v>
          </cell>
          <cell r="AQ54">
            <v>-55.94491</v>
          </cell>
          <cell r="AR54">
            <v>-37.760949999999994</v>
          </cell>
          <cell r="AT54">
            <v>-106.26518000000003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1.2879400000000001</v>
          </cell>
          <cell r="BF54">
            <v>8.2513099999999984</v>
          </cell>
          <cell r="BG54">
            <v>-0.15555999999999992</v>
          </cell>
          <cell r="BH54">
            <v>-0.47970999999999997</v>
          </cell>
          <cell r="BI54">
            <v>-3.4229999999999997E-2</v>
          </cell>
          <cell r="BJ54">
            <v>0</v>
          </cell>
          <cell r="BK54">
            <v>1651.7317499999976</v>
          </cell>
          <cell r="EA54">
            <v>222.75426999999991</v>
          </cell>
          <cell r="EL54">
            <v>632.68595000000028</v>
          </cell>
          <cell r="EM54">
            <v>-15.750570000000002</v>
          </cell>
          <cell r="EN54">
            <v>0</v>
          </cell>
          <cell r="EO54">
            <v>0</v>
          </cell>
          <cell r="EP54">
            <v>0</v>
          </cell>
          <cell r="EQ54">
            <v>-1.0787299999999997</v>
          </cell>
          <cell r="ER54">
            <v>0</v>
          </cell>
          <cell r="ES54">
            <v>0</v>
          </cell>
          <cell r="ET54">
            <v>-132.43730999999997</v>
          </cell>
          <cell r="EU54">
            <v>0</v>
          </cell>
          <cell r="EV54">
            <v>0</v>
          </cell>
          <cell r="EW54">
            <v>-102.47001</v>
          </cell>
          <cell r="EX54">
            <v>7.2374600000000022</v>
          </cell>
          <cell r="EY54">
            <v>10.703150000000001</v>
          </cell>
          <cell r="EZ54">
            <v>0</v>
          </cell>
          <cell r="FA54">
            <v>-57.825429999999983</v>
          </cell>
          <cell r="FB54">
            <v>20.356310000000001</v>
          </cell>
          <cell r="FC54">
            <v>-0.42080999999999991</v>
          </cell>
          <cell r="FD54">
            <v>-3.3052899999999994</v>
          </cell>
          <cell r="FE54">
            <v>0</v>
          </cell>
          <cell r="FF54">
            <v>44.474459999998885</v>
          </cell>
          <cell r="FG54">
            <v>586.03686999999991</v>
          </cell>
          <cell r="FH54">
            <v>2.3885000000000005</v>
          </cell>
          <cell r="FI54">
            <v>-62.826539999999994</v>
          </cell>
          <cell r="FJ54">
            <v>-30.675559999999848</v>
          </cell>
          <cell r="FK54">
            <v>2.5676799999999957</v>
          </cell>
          <cell r="FL54">
            <v>-61.715910000000008</v>
          </cell>
          <cell r="FM54">
            <v>-10.806190000000001</v>
          </cell>
          <cell r="FN54">
            <v>-1.8110999999999997</v>
          </cell>
          <cell r="FO54">
            <v>-19.446080000000002</v>
          </cell>
          <cell r="FP54">
            <v>-9.993549999999999</v>
          </cell>
          <cell r="FR54">
            <v>3.5723600000000033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1.2879400000000001</v>
          </cell>
          <cell r="GD54">
            <v>8.2513099999999984</v>
          </cell>
          <cell r="GE54">
            <v>-0.15555999999999992</v>
          </cell>
          <cell r="GF54">
            <v>-0.48511999999999994</v>
          </cell>
          <cell r="GG54">
            <v>-3.4229999999999997E-2</v>
          </cell>
          <cell r="GH54">
            <v>0</v>
          </cell>
          <cell r="GI54">
            <v>808.32399999999905</v>
          </cell>
        </row>
        <row r="55">
          <cell r="C55">
            <v>5017.9404784264107</v>
          </cell>
          <cell r="N55">
            <v>3201.6311764955326</v>
          </cell>
          <cell r="O55">
            <v>-228.17554168028803</v>
          </cell>
          <cell r="P55">
            <v>0</v>
          </cell>
          <cell r="Q55">
            <v>0</v>
          </cell>
          <cell r="R55">
            <v>0</v>
          </cell>
          <cell r="S55">
            <v>-19.80153984670277</v>
          </cell>
          <cell r="T55">
            <v>0</v>
          </cell>
          <cell r="U55">
            <v>0</v>
          </cell>
          <cell r="V55">
            <v>-303.84440084390201</v>
          </cell>
          <cell r="W55">
            <v>0</v>
          </cell>
          <cell r="X55">
            <v>0</v>
          </cell>
          <cell r="Y55">
            <v>-9.8221965802405578</v>
          </cell>
          <cell r="Z55">
            <v>18.228211195131024</v>
          </cell>
          <cell r="AA55">
            <v>0</v>
          </cell>
          <cell r="AB55">
            <v>0</v>
          </cell>
          <cell r="AC55">
            <v>-412.86491962686227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412.86491962686227</v>
          </cell>
          <cell r="AI55">
            <v>9.8221965802405578</v>
          </cell>
          <cell r="AJ55">
            <v>0</v>
          </cell>
          <cell r="AK55">
            <v>0</v>
          </cell>
          <cell r="AL55">
            <v>-414.35125065621804</v>
          </cell>
          <cell r="AM55">
            <v>0</v>
          </cell>
          <cell r="AN55">
            <v>0</v>
          </cell>
          <cell r="AO55">
            <v>-56.519104269116212</v>
          </cell>
          <cell r="AP55">
            <v>-8.2194539578956274</v>
          </cell>
          <cell r="AQ55">
            <v>-97.628039221204546</v>
          </cell>
          <cell r="AR55">
            <v>-91.304736668271829</v>
          </cell>
          <cell r="AT55">
            <v>-149.09119781439722</v>
          </cell>
          <cell r="AU55">
            <v>2.8349549733767487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5.0027900562436223E-2</v>
          </cell>
          <cell r="BB55">
            <v>-9.0691999909404783E-2</v>
          </cell>
          <cell r="BC55">
            <v>0</v>
          </cell>
          <cell r="BD55">
            <v>0</v>
          </cell>
          <cell r="BE55">
            <v>27.379512290992729</v>
          </cell>
          <cell r="BF55">
            <v>-27.379512290992729</v>
          </cell>
          <cell r="BG55">
            <v>-5.0027900562436223E-2</v>
          </cell>
          <cell r="BH55">
            <v>0</v>
          </cell>
          <cell r="BI55">
            <v>0</v>
          </cell>
          <cell r="BJ55">
            <v>0</v>
          </cell>
          <cell r="BK55">
            <v>1853.6683857061353</v>
          </cell>
          <cell r="EA55">
            <v>638.69133854646225</v>
          </cell>
          <cell r="EL55">
            <v>1067.2103921651774</v>
          </cell>
          <cell r="EM55">
            <v>-76.058513893429335</v>
          </cell>
          <cell r="EN55">
            <v>0</v>
          </cell>
          <cell r="EO55">
            <v>0</v>
          </cell>
          <cell r="EP55">
            <v>0</v>
          </cell>
          <cell r="EQ55">
            <v>-6.6005132822342567</v>
          </cell>
          <cell r="ER55">
            <v>0</v>
          </cell>
          <cell r="ES55">
            <v>0</v>
          </cell>
          <cell r="ET55">
            <v>-101.28146694796735</v>
          </cell>
          <cell r="EU55">
            <v>0</v>
          </cell>
          <cell r="EV55">
            <v>0</v>
          </cell>
          <cell r="EW55">
            <v>-3.2740655267468535</v>
          </cell>
          <cell r="EX55">
            <v>6.0760703983770092</v>
          </cell>
          <cell r="EY55">
            <v>0</v>
          </cell>
          <cell r="EZ55">
            <v>0</v>
          </cell>
          <cell r="FA55">
            <v>-137.62163987562076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137.62163987562076</v>
          </cell>
          <cell r="FG55">
            <v>3.2740655267468535</v>
          </cell>
          <cell r="FH55">
            <v>0</v>
          </cell>
          <cell r="FI55">
            <v>0</v>
          </cell>
          <cell r="FJ55">
            <v>-138.11708355207264</v>
          </cell>
          <cell r="FK55">
            <v>0</v>
          </cell>
          <cell r="FL55">
            <v>0</v>
          </cell>
          <cell r="FM55">
            <v>-18.83970142303874</v>
          </cell>
          <cell r="FN55">
            <v>-2.7398179859652094</v>
          </cell>
          <cell r="FO55">
            <v>-32.54267974040151</v>
          </cell>
          <cell r="FP55">
            <v>-30.434912222757276</v>
          </cell>
          <cell r="FR55">
            <v>-49.697065938132411</v>
          </cell>
          <cell r="FS55">
            <v>0.94498499112558298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1.6675966854145408E-2</v>
          </cell>
          <cell r="FZ55">
            <v>-3.0230666636468263E-2</v>
          </cell>
          <cell r="GA55">
            <v>0</v>
          </cell>
          <cell r="GB55">
            <v>0</v>
          </cell>
          <cell r="GC55">
            <v>9.126504096997575</v>
          </cell>
          <cell r="GD55">
            <v>-9.126504096997575</v>
          </cell>
          <cell r="GE55">
            <v>-1.6675966854145408E-2</v>
          </cell>
          <cell r="GF55">
            <v>0</v>
          </cell>
          <cell r="GG55">
            <v>0</v>
          </cell>
          <cell r="GH55">
            <v>0</v>
          </cell>
          <cell r="GI55">
            <v>617.8894619020449</v>
          </cell>
        </row>
        <row r="57">
          <cell r="C57">
            <v>265.26893000000013</v>
          </cell>
          <cell r="N57">
            <v>209.7632900000001</v>
          </cell>
          <cell r="O57">
            <v>-0.23596</v>
          </cell>
          <cell r="P57">
            <v>0</v>
          </cell>
          <cell r="Q57">
            <v>0</v>
          </cell>
          <cell r="R57">
            <v>0</v>
          </cell>
          <cell r="S57">
            <v>-87.882019999999983</v>
          </cell>
          <cell r="T57">
            <v>0</v>
          </cell>
          <cell r="U57">
            <v>0</v>
          </cell>
          <cell r="V57">
            <v>-143.7269</v>
          </cell>
          <cell r="W57">
            <v>0</v>
          </cell>
          <cell r="X57">
            <v>0</v>
          </cell>
          <cell r="Y57">
            <v>-0.67337999999999998</v>
          </cell>
          <cell r="Z57">
            <v>10.942299999999999</v>
          </cell>
          <cell r="AA57">
            <v>2.3769999999999999E-2</v>
          </cell>
          <cell r="AB57">
            <v>0</v>
          </cell>
          <cell r="AC57">
            <v>-152.16651000000002</v>
          </cell>
          <cell r="AD57">
            <v>33.775219999999997</v>
          </cell>
          <cell r="AE57">
            <v>-21.94519</v>
          </cell>
          <cell r="AF57">
            <v>5.6843418860808018E-15</v>
          </cell>
          <cell r="AG57">
            <v>0</v>
          </cell>
          <cell r="AH57">
            <v>252.20071000000002</v>
          </cell>
          <cell r="AI57">
            <v>73.016850000000034</v>
          </cell>
          <cell r="AJ57">
            <v>-35.82593</v>
          </cell>
          <cell r="AK57">
            <v>-3.3384399999999999</v>
          </cell>
          <cell r="AL57">
            <v>-29.203680000000006</v>
          </cell>
          <cell r="AM57">
            <v>15.35618</v>
          </cell>
          <cell r="AN57">
            <v>-8.0676500000000022</v>
          </cell>
          <cell r="AO57">
            <v>-2.7259899999999995</v>
          </cell>
          <cell r="AP57">
            <v>-3.1200099999999997</v>
          </cell>
          <cell r="AQ57">
            <v>-6.3760900000000005</v>
          </cell>
          <cell r="AR57">
            <v>-12.097619999999999</v>
          </cell>
          <cell r="AT57">
            <v>-13.13068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74.562270000000098</v>
          </cell>
          <cell r="EA57">
            <v>38.278820000000024</v>
          </cell>
          <cell r="EL57">
            <v>61.191149999999993</v>
          </cell>
          <cell r="EM57">
            <v>-0.15246999999999999</v>
          </cell>
          <cell r="EN57">
            <v>0</v>
          </cell>
          <cell r="EO57">
            <v>0</v>
          </cell>
          <cell r="EP57">
            <v>0</v>
          </cell>
          <cell r="EQ57">
            <v>-29.889589999999991</v>
          </cell>
          <cell r="ER57">
            <v>0</v>
          </cell>
          <cell r="ES57">
            <v>0</v>
          </cell>
          <cell r="ET57">
            <v>-45.808319999999995</v>
          </cell>
          <cell r="EU57">
            <v>0</v>
          </cell>
          <cell r="EV57">
            <v>0</v>
          </cell>
          <cell r="EW57">
            <v>-0.67337999999999998</v>
          </cell>
          <cell r="EX57">
            <v>2.5196799999999993</v>
          </cell>
          <cell r="EY57">
            <v>2.3769999999999999E-2</v>
          </cell>
          <cell r="EZ57">
            <v>0</v>
          </cell>
          <cell r="FA57">
            <v>-21.881840000000011</v>
          </cell>
          <cell r="FB57">
            <v>2.3576099999999975</v>
          </cell>
          <cell r="FC57">
            <v>-7.4149499999999993</v>
          </cell>
          <cell r="FD57">
            <v>-3.8653524825349453E-15</v>
          </cell>
          <cell r="FE57">
            <v>0</v>
          </cell>
          <cell r="FF57">
            <v>97.92761999999999</v>
          </cell>
          <cell r="FG57">
            <v>73.016850000000034</v>
          </cell>
          <cell r="FH57">
            <v>-31.611300000000004</v>
          </cell>
          <cell r="FI57">
            <v>-3.3384399999999999</v>
          </cell>
          <cell r="FJ57">
            <v>-4.2660699999999991</v>
          </cell>
          <cell r="FK57">
            <v>-0.34252999999999822</v>
          </cell>
          <cell r="FL57">
            <v>-2.7275200000000002</v>
          </cell>
          <cell r="FM57">
            <v>-0.90858999999999956</v>
          </cell>
          <cell r="FN57">
            <v>-1.4238999999999997</v>
          </cell>
          <cell r="FO57">
            <v>-2.0349700000000004</v>
          </cell>
          <cell r="FP57">
            <v>-4.1699699999999993</v>
          </cell>
          <cell r="FR57">
            <v>-1.2669999999999995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79.125840000000011</v>
          </cell>
        </row>
        <row r="58">
          <cell r="C58">
            <v>289.77442000000008</v>
          </cell>
          <cell r="N58">
            <v>217.70490000000012</v>
          </cell>
          <cell r="O58">
            <v>-1.0296700000000001</v>
          </cell>
          <cell r="P58">
            <v>0</v>
          </cell>
          <cell r="Q58">
            <v>0</v>
          </cell>
          <cell r="R58">
            <v>0.39799999999999969</v>
          </cell>
          <cell r="S58">
            <v>-76.466329999999999</v>
          </cell>
          <cell r="T58">
            <v>0</v>
          </cell>
          <cell r="U58">
            <v>0</v>
          </cell>
          <cell r="V58">
            <v>-221.24128000000002</v>
          </cell>
          <cell r="W58">
            <v>0</v>
          </cell>
          <cell r="X58">
            <v>0</v>
          </cell>
          <cell r="Y58">
            <v>-7.2292800000000002</v>
          </cell>
          <cell r="Z58">
            <v>17.892969999999998</v>
          </cell>
          <cell r="AA58">
            <v>0.44592999999999999</v>
          </cell>
          <cell r="AB58">
            <v>0</v>
          </cell>
          <cell r="AC58">
            <v>-141.76606000000001</v>
          </cell>
          <cell r="AD58">
            <v>5.9319699999999997</v>
          </cell>
          <cell r="AE58">
            <v>-19.14263</v>
          </cell>
          <cell r="AF58">
            <v>0</v>
          </cell>
          <cell r="AG58">
            <v>0</v>
          </cell>
          <cell r="AH58">
            <v>253.26190000000011</v>
          </cell>
          <cell r="AI58">
            <v>4.5513300000000001</v>
          </cell>
          <cell r="AJ58">
            <v>0.82360999999999507</v>
          </cell>
          <cell r="AK58">
            <v>0.56283999999999978</v>
          </cell>
          <cell r="AL58">
            <v>-34.784340000000036</v>
          </cell>
          <cell r="AM58">
            <v>18.422609999999995</v>
          </cell>
          <cell r="AN58">
            <v>-8.3432199999999987</v>
          </cell>
          <cell r="AO58">
            <v>-2.22343</v>
          </cell>
          <cell r="AP58">
            <v>-0.64405000000000001</v>
          </cell>
          <cell r="AQ58">
            <v>-5.5745800000000001</v>
          </cell>
          <cell r="AR58">
            <v>-3.5580600000000002</v>
          </cell>
          <cell r="AT58">
            <v>-12.62988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-14.63674999999985</v>
          </cell>
          <cell r="EA58">
            <v>60.71832999999998</v>
          </cell>
          <cell r="EL58">
            <v>79.64767999999998</v>
          </cell>
          <cell r="EM58">
            <v>-1.0296700000000001</v>
          </cell>
          <cell r="EN58">
            <v>0</v>
          </cell>
          <cell r="EO58">
            <v>0</v>
          </cell>
          <cell r="EP58">
            <v>3.9369999999999998</v>
          </cell>
          <cell r="EQ58">
            <v>-28.464449999999999</v>
          </cell>
          <cell r="ER58">
            <v>0.17544999999999999</v>
          </cell>
          <cell r="ES58">
            <v>0</v>
          </cell>
          <cell r="ET58">
            <v>-81.130680000000012</v>
          </cell>
          <cell r="EU58">
            <v>0</v>
          </cell>
          <cell r="EV58">
            <v>0</v>
          </cell>
          <cell r="EW58">
            <v>-7.2292800000000002</v>
          </cell>
          <cell r="EX58">
            <v>7.3658799999999989</v>
          </cell>
          <cell r="EY58">
            <v>0.44592999999999999</v>
          </cell>
          <cell r="EZ58">
            <v>0</v>
          </cell>
          <cell r="FA58">
            <v>-133.58251000000001</v>
          </cell>
          <cell r="FB58">
            <v>-2.5562799999999992</v>
          </cell>
          <cell r="FC58">
            <v>-7.1242799999999988</v>
          </cell>
          <cell r="FD58">
            <v>102.55179000000001</v>
          </cell>
          <cell r="FE58">
            <v>0</v>
          </cell>
          <cell r="FF58">
            <v>-166.00864999999996</v>
          </cell>
          <cell r="FG58">
            <v>4.5513300000000001</v>
          </cell>
          <cell r="FH58">
            <v>34.499250000000004</v>
          </cell>
          <cell r="FI58">
            <v>0.56283999999999978</v>
          </cell>
          <cell r="FJ58">
            <v>-6.8591999999999871</v>
          </cell>
          <cell r="FK58">
            <v>5.1950000000001495E-2</v>
          </cell>
          <cell r="FL58">
            <v>-2.7707999999999995</v>
          </cell>
          <cell r="FM58">
            <v>-0.96560000000000001</v>
          </cell>
          <cell r="FN58">
            <v>-0.18584999999999996</v>
          </cell>
          <cell r="FO58">
            <v>-1.9737299999999998</v>
          </cell>
          <cell r="FP58">
            <v>-0.9071100000000003</v>
          </cell>
          <cell r="FR58">
            <v>-1.0169999999999995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-208.01598999999993</v>
          </cell>
        </row>
        <row r="59">
          <cell r="C59">
            <v>265.09026194465599</v>
          </cell>
          <cell r="N59">
            <v>205.98979860767912</v>
          </cell>
          <cell r="O59">
            <v>7.7967958648522755</v>
          </cell>
          <cell r="P59">
            <v>0</v>
          </cell>
          <cell r="Q59">
            <v>0</v>
          </cell>
          <cell r="R59">
            <v>0</v>
          </cell>
          <cell r="S59">
            <v>-84.220386679144369</v>
          </cell>
          <cell r="T59">
            <v>-22.517668182869087</v>
          </cell>
          <cell r="U59">
            <v>0</v>
          </cell>
          <cell r="V59">
            <v>-138.95668495821641</v>
          </cell>
          <cell r="W59">
            <v>0</v>
          </cell>
          <cell r="X59">
            <v>0</v>
          </cell>
          <cell r="Y59">
            <v>-2.9631056846129606</v>
          </cell>
          <cell r="Z59">
            <v>10.557855122494853</v>
          </cell>
          <cell r="AA59">
            <v>0</v>
          </cell>
          <cell r="AB59">
            <v>0</v>
          </cell>
          <cell r="AC59">
            <v>-22.583759035115612</v>
          </cell>
          <cell r="AD59">
            <v>0</v>
          </cell>
          <cell r="AE59">
            <v>0</v>
          </cell>
          <cell r="AF59">
            <v>-63.411622512087682</v>
          </cell>
          <cell r="AG59">
            <v>0</v>
          </cell>
          <cell r="AH59">
            <v>85.995381547203294</v>
          </cell>
          <cell r="AI59">
            <v>2.9631056846129606</v>
          </cell>
          <cell r="AJ59">
            <v>0</v>
          </cell>
          <cell r="AK59">
            <v>0</v>
          </cell>
          <cell r="AL59">
            <v>-25.485305468339678</v>
          </cell>
          <cell r="AM59">
            <v>0</v>
          </cell>
          <cell r="AN59">
            <v>0</v>
          </cell>
          <cell r="AO59">
            <v>-2.8124243791406598</v>
          </cell>
          <cell r="AP59">
            <v>-2.5333188119251657</v>
          </cell>
          <cell r="AQ59">
            <v>-6.4754663596642317</v>
          </cell>
          <cell r="AR59">
            <v>-14.188281004284672</v>
          </cell>
          <cell r="AT59">
            <v>-14.001973123325723</v>
          </cell>
          <cell r="AU59">
            <v>2.9151096608096196</v>
          </cell>
          <cell r="AV59">
            <v>0</v>
          </cell>
          <cell r="AW59">
            <v>0</v>
          </cell>
          <cell r="AX59">
            <v>2.0848903391903804</v>
          </cell>
          <cell r="AY59">
            <v>0</v>
          </cell>
          <cell r="AZ59">
            <v>0</v>
          </cell>
          <cell r="BA59">
            <v>4.9870253428535558E-2</v>
          </cell>
          <cell r="BB59">
            <v>-9.7423938278375311E-2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-4.9870253428535558E-2</v>
          </cell>
          <cell r="BH59">
            <v>0</v>
          </cell>
          <cell r="BI59">
            <v>0</v>
          </cell>
          <cell r="BJ59">
            <v>0</v>
          </cell>
          <cell r="BK59">
            <v>-81.944483310162127</v>
          </cell>
          <cell r="EA59">
            <v>57.864399962511271</v>
          </cell>
          <cell r="EL59">
            <v>68.663266202559697</v>
          </cell>
          <cell r="EM59">
            <v>2.5989319549507579</v>
          </cell>
          <cell r="EN59">
            <v>0</v>
          </cell>
          <cell r="EO59">
            <v>0</v>
          </cell>
          <cell r="EP59">
            <v>0</v>
          </cell>
          <cell r="EQ59">
            <v>-28.073462226381452</v>
          </cell>
          <cell r="ER59">
            <v>-7.5058893942896958</v>
          </cell>
          <cell r="ES59">
            <v>0</v>
          </cell>
          <cell r="ET59">
            <v>-46.318894986072138</v>
          </cell>
          <cell r="EU59">
            <v>0</v>
          </cell>
          <cell r="EV59">
            <v>0</v>
          </cell>
          <cell r="EW59">
            <v>-0.98770189487098681</v>
          </cell>
          <cell r="EX59">
            <v>3.5192850408316172</v>
          </cell>
          <cell r="EY59">
            <v>0</v>
          </cell>
          <cell r="EZ59">
            <v>0</v>
          </cell>
          <cell r="FA59">
            <v>-7.5279196783718731</v>
          </cell>
          <cell r="FB59">
            <v>0</v>
          </cell>
          <cell r="FC59">
            <v>0</v>
          </cell>
          <cell r="FD59">
            <v>-21.137207504029227</v>
          </cell>
          <cell r="FE59">
            <v>0</v>
          </cell>
          <cell r="FF59">
            <v>28.6651271824011</v>
          </cell>
          <cell r="FG59">
            <v>0.98770189487098681</v>
          </cell>
          <cell r="FH59">
            <v>0</v>
          </cell>
          <cell r="FI59">
            <v>0</v>
          </cell>
          <cell r="FJ59">
            <v>-8.495101822779894</v>
          </cell>
          <cell r="FK59">
            <v>0</v>
          </cell>
          <cell r="FL59">
            <v>0</v>
          </cell>
          <cell r="FM59">
            <v>-0.93747479304688675</v>
          </cell>
          <cell r="FN59">
            <v>-0.84443960397505524</v>
          </cell>
          <cell r="FO59">
            <v>-2.1584887865547433</v>
          </cell>
          <cell r="FP59">
            <v>-4.729427001428224</v>
          </cell>
          <cell r="FR59">
            <v>-4.6673243744419075</v>
          </cell>
          <cell r="FS59">
            <v>0.97170322026987321</v>
          </cell>
          <cell r="FT59">
            <v>0</v>
          </cell>
          <cell r="FU59">
            <v>0</v>
          </cell>
          <cell r="FV59">
            <v>0.69496344639679353</v>
          </cell>
          <cell r="FW59">
            <v>0</v>
          </cell>
          <cell r="FX59">
            <v>0</v>
          </cell>
          <cell r="FY59">
            <v>1.6623417809511855E-2</v>
          </cell>
          <cell r="FZ59">
            <v>-3.247464609279177E-2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-1.6623417809511855E-2</v>
          </cell>
          <cell r="GF59">
            <v>0</v>
          </cell>
          <cell r="GG59">
            <v>0</v>
          </cell>
          <cell r="GH59">
            <v>0</v>
          </cell>
          <cell r="GI59">
            <v>-27.314827770054041</v>
          </cell>
        </row>
        <row r="60"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/>
          <cell r="GE60"/>
          <cell r="GF60"/>
          <cell r="GG60"/>
          <cell r="GH60"/>
        </row>
        <row r="61"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-11.62088</v>
          </cell>
          <cell r="T61">
            <v>0</v>
          </cell>
          <cell r="U61">
            <v>0</v>
          </cell>
          <cell r="V61">
            <v>-27.18206</v>
          </cell>
          <cell r="W61">
            <v>0</v>
          </cell>
          <cell r="X61">
            <v>0</v>
          </cell>
          <cell r="Y61">
            <v>-0.34060000000000001</v>
          </cell>
          <cell r="Z61">
            <v>0.73090000000000011</v>
          </cell>
          <cell r="AA61">
            <v>1.3140000000000001E-2</v>
          </cell>
          <cell r="AB61">
            <v>0</v>
          </cell>
          <cell r="AC61">
            <v>8.1000000000000003E-2</v>
          </cell>
          <cell r="AD61">
            <v>0</v>
          </cell>
          <cell r="AE61">
            <v>-4.5193699999999994</v>
          </cell>
          <cell r="AF61">
            <v>-8.910070000000001</v>
          </cell>
          <cell r="AG61">
            <v>0</v>
          </cell>
          <cell r="AH61">
            <v>7.2264999999999953</v>
          </cell>
          <cell r="AI61">
            <v>4.2914800000000008</v>
          </cell>
          <cell r="AJ61">
            <v>-5.6229999999999877E-2</v>
          </cell>
          <cell r="AK61">
            <v>-0.40462999999999999</v>
          </cell>
          <cell r="AL61">
            <v>-346.82416000000001</v>
          </cell>
          <cell r="AM61">
            <v>296.98684999999995</v>
          </cell>
          <cell r="AN61">
            <v>-108.51077000000002</v>
          </cell>
          <cell r="AO61">
            <v>-2.3330700000000002</v>
          </cell>
          <cell r="AP61">
            <v>-7.2405200000000001</v>
          </cell>
          <cell r="AQ61">
            <v>-43.547509999999981</v>
          </cell>
          <cell r="AR61">
            <v>-35.274900000000002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-5.5149299999999997</v>
          </cell>
          <cell r="ER61">
            <v>0</v>
          </cell>
          <cell r="ES61">
            <v>0</v>
          </cell>
          <cell r="ET61">
            <v>-8.2000799999999998</v>
          </cell>
          <cell r="EU61">
            <v>0</v>
          </cell>
          <cell r="EV61">
            <v>0</v>
          </cell>
          <cell r="EW61">
            <v>-0.34060000000000001</v>
          </cell>
          <cell r="EX61">
            <v>0.22049000000000007</v>
          </cell>
          <cell r="EY61">
            <v>1.3140000000000001E-2</v>
          </cell>
          <cell r="EZ61">
            <v>0</v>
          </cell>
          <cell r="FA61">
            <v>8.1000000000000003E-2</v>
          </cell>
          <cell r="FB61">
            <v>0</v>
          </cell>
          <cell r="FC61">
            <v>-1.3225499999999997</v>
          </cell>
          <cell r="FD61">
            <v>0</v>
          </cell>
          <cell r="FE61">
            <v>0</v>
          </cell>
          <cell r="FF61">
            <v>10.48282</v>
          </cell>
          <cell r="FG61">
            <v>4.2914800000000008</v>
          </cell>
          <cell r="FH61">
            <v>0.12192999999999997</v>
          </cell>
          <cell r="FI61">
            <v>-0.40462999999999999</v>
          </cell>
          <cell r="FJ61">
            <v>-38.526650000000018</v>
          </cell>
          <cell r="FK61">
            <v>31.939540000000022</v>
          </cell>
          <cell r="FL61">
            <v>-49.301290000000023</v>
          </cell>
          <cell r="FM61">
            <v>-0.73380000000000001</v>
          </cell>
          <cell r="FN61">
            <v>-6.0264000000000006</v>
          </cell>
          <cell r="FO61">
            <v>-35.988229999999987</v>
          </cell>
          <cell r="FP61">
            <v>-23.569929999999999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-7.6296900000000001</v>
          </cell>
          <cell r="T62">
            <v>-1.2600000000000002E-2</v>
          </cell>
          <cell r="U62">
            <v>0</v>
          </cell>
          <cell r="V62">
            <v>-56.377510000000001</v>
          </cell>
          <cell r="W62">
            <v>0</v>
          </cell>
          <cell r="X62">
            <v>0</v>
          </cell>
          <cell r="Y62">
            <v>-1.29806</v>
          </cell>
          <cell r="Z62">
            <v>1.9414</v>
          </cell>
          <cell r="AA62">
            <v>7.986E-2</v>
          </cell>
          <cell r="AB62">
            <v>0</v>
          </cell>
          <cell r="AC62">
            <v>0</v>
          </cell>
          <cell r="AD62">
            <v>0</v>
          </cell>
          <cell r="AE62">
            <v>-4.1215799999999998</v>
          </cell>
          <cell r="AF62">
            <v>-3.5210100000000004</v>
          </cell>
          <cell r="AG62">
            <v>0</v>
          </cell>
          <cell r="AH62">
            <v>132.56256000000002</v>
          </cell>
          <cell r="AI62">
            <v>-0.68339999999999901</v>
          </cell>
          <cell r="AJ62">
            <v>2.7468300000000005</v>
          </cell>
          <cell r="AK62">
            <v>0.3095</v>
          </cell>
          <cell r="AL62">
            <v>-294.64965000000001</v>
          </cell>
          <cell r="AM62">
            <v>258.35585000000003</v>
          </cell>
          <cell r="AN62">
            <v>-99.815240000000017</v>
          </cell>
          <cell r="AO62">
            <v>-2.5461300000000002</v>
          </cell>
          <cell r="AP62">
            <v>-0.66283999999999998</v>
          </cell>
          <cell r="AQ62">
            <v>-108.96623000000005</v>
          </cell>
          <cell r="AR62">
            <v>34.057799999999993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-2.4633599999999998</v>
          </cell>
          <cell r="ER62">
            <v>0</v>
          </cell>
          <cell r="ES62">
            <v>0</v>
          </cell>
          <cell r="ET62">
            <v>-14.436149999999998</v>
          </cell>
          <cell r="EU62">
            <v>0</v>
          </cell>
          <cell r="EV62">
            <v>0</v>
          </cell>
          <cell r="EW62">
            <v>-1.29806</v>
          </cell>
          <cell r="EX62">
            <v>0.49712000000000001</v>
          </cell>
          <cell r="EY62">
            <v>7.986E-2</v>
          </cell>
          <cell r="EZ62">
            <v>0</v>
          </cell>
          <cell r="FA62">
            <v>0</v>
          </cell>
          <cell r="FB62">
            <v>0</v>
          </cell>
          <cell r="FC62">
            <v>-1.3124899999999999</v>
          </cell>
          <cell r="FD62">
            <v>0</v>
          </cell>
          <cell r="FE62">
            <v>0</v>
          </cell>
          <cell r="FF62">
            <v>91.183800000000005</v>
          </cell>
          <cell r="FG62">
            <v>-0.68339999999999901</v>
          </cell>
          <cell r="FH62">
            <v>-4.4026700000000005</v>
          </cell>
          <cell r="FI62">
            <v>0.3095</v>
          </cell>
          <cell r="FJ62">
            <v>-39.145770000000027</v>
          </cell>
          <cell r="FK62">
            <v>32.944900000000018</v>
          </cell>
          <cell r="FL62">
            <v>-43.420180000000009</v>
          </cell>
          <cell r="FM62">
            <v>-0.83760999999999997</v>
          </cell>
          <cell r="FN62">
            <v>-0.28732999999999997</v>
          </cell>
          <cell r="FO62">
            <v>46.96001000000004</v>
          </cell>
          <cell r="FP62">
            <v>11.219480000000001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</row>
        <row r="63">
          <cell r="O63">
            <v>-36.101910698838239</v>
          </cell>
          <cell r="P63">
            <v>0</v>
          </cell>
          <cell r="Q63">
            <v>0</v>
          </cell>
          <cell r="R63">
            <v>0</v>
          </cell>
          <cell r="S63">
            <v>-16.456912552517402</v>
          </cell>
          <cell r="T63">
            <v>0</v>
          </cell>
          <cell r="U63">
            <v>0</v>
          </cell>
          <cell r="V63">
            <v>-25.820134952116071</v>
          </cell>
          <cell r="W63">
            <v>0</v>
          </cell>
          <cell r="X63">
            <v>0</v>
          </cell>
          <cell r="Y63">
            <v>-0.64163730048640411</v>
          </cell>
          <cell r="Z63">
            <v>1.2065379118046111</v>
          </cell>
          <cell r="AA63">
            <v>0</v>
          </cell>
          <cell r="AB63">
            <v>0</v>
          </cell>
          <cell r="AC63">
            <v>-5.28364063288604E-2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5.28364063288604E-2</v>
          </cell>
          <cell r="AI63">
            <v>0.64163730048640411</v>
          </cell>
          <cell r="AJ63">
            <v>0</v>
          </cell>
          <cell r="AK63">
            <v>0</v>
          </cell>
          <cell r="AL63">
            <v>-161.75857910295062</v>
          </cell>
          <cell r="AM63">
            <v>0</v>
          </cell>
          <cell r="AN63">
            <v>0</v>
          </cell>
          <cell r="AO63">
            <v>-3.0143865838568749</v>
          </cell>
          <cell r="AP63">
            <v>-1.7389701789690628</v>
          </cell>
          <cell r="AQ63">
            <v>-72.398192770267499</v>
          </cell>
          <cell r="AR63">
            <v>-27.026108458484501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EM63">
            <v>-12.033970232946078</v>
          </cell>
          <cell r="EN63">
            <v>0</v>
          </cell>
          <cell r="EO63">
            <v>0</v>
          </cell>
          <cell r="EP63">
            <v>0</v>
          </cell>
          <cell r="EQ63">
            <v>-5.4856375175058005</v>
          </cell>
          <cell r="ER63">
            <v>0</v>
          </cell>
          <cell r="ES63">
            <v>0</v>
          </cell>
          <cell r="ET63">
            <v>-8.6067116507053569</v>
          </cell>
          <cell r="EU63">
            <v>0</v>
          </cell>
          <cell r="EV63">
            <v>0</v>
          </cell>
          <cell r="EW63">
            <v>-0.21387910016213468</v>
          </cell>
          <cell r="EX63">
            <v>0.40217930393487034</v>
          </cell>
          <cell r="EY63">
            <v>0</v>
          </cell>
          <cell r="EZ63">
            <v>0</v>
          </cell>
          <cell r="FA63">
            <v>-1.7612135442953467E-2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1.7612135442953467E-2</v>
          </cell>
          <cell r="FG63">
            <v>0.21387910016213468</v>
          </cell>
          <cell r="FH63">
            <v>0</v>
          </cell>
          <cell r="FI63">
            <v>0</v>
          </cell>
          <cell r="FJ63">
            <v>-53.919526367650207</v>
          </cell>
          <cell r="FK63">
            <v>0</v>
          </cell>
          <cell r="FL63">
            <v>0</v>
          </cell>
          <cell r="FM63">
            <v>-1.0047955279522918</v>
          </cell>
          <cell r="FN63">
            <v>-0.57965672632302101</v>
          </cell>
          <cell r="FO63">
            <v>-24.1327309234225</v>
          </cell>
          <cell r="FP63">
            <v>-9.0087028194948324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</row>
        <row r="65">
          <cell r="C65">
            <v>224121.17350999999</v>
          </cell>
          <cell r="N65">
            <v>100480.68177000001</v>
          </cell>
          <cell r="O65">
            <v>-1436.1601000000001</v>
          </cell>
          <cell r="P65">
            <v>-10.840070000000001</v>
          </cell>
          <cell r="Q65">
            <v>-34.525999999999996</v>
          </cell>
          <cell r="R65">
            <v>45.647190000000002</v>
          </cell>
          <cell r="S65">
            <v>-2137.5068499999998</v>
          </cell>
          <cell r="T65">
            <v>-1007.2670700000002</v>
          </cell>
          <cell r="U65">
            <v>0</v>
          </cell>
          <cell r="V65">
            <v>-31471.484360892351</v>
          </cell>
          <cell r="W65">
            <v>-653.14125000000001</v>
          </cell>
          <cell r="X65">
            <v>-17376.165209107654</v>
          </cell>
          <cell r="Y65">
            <v>-562.85763999999995</v>
          </cell>
          <cell r="Z65">
            <v>2845.3636799999999</v>
          </cell>
          <cell r="AA65">
            <v>39.548480000000005</v>
          </cell>
          <cell r="AB65">
            <v>0</v>
          </cell>
          <cell r="AC65">
            <v>-41864.32321000001</v>
          </cell>
          <cell r="AD65">
            <v>3073.4997100000005</v>
          </cell>
          <cell r="AE65">
            <v>-847.92204000000004</v>
          </cell>
          <cell r="AF65">
            <v>-4958.8484399999998</v>
          </cell>
          <cell r="AG65">
            <v>0</v>
          </cell>
          <cell r="AH65">
            <v>44783.932409999994</v>
          </cell>
          <cell r="AI65">
            <v>8444.3886899999998</v>
          </cell>
          <cell r="AJ65">
            <v>42.048809999999506</v>
          </cell>
          <cell r="AK65">
            <v>-527.60672</v>
          </cell>
          <cell r="AL65">
            <v>-36058.43189</v>
          </cell>
          <cell r="AM65">
            <v>26743.721249999999</v>
          </cell>
          <cell r="AN65">
            <v>-7276.7323499999984</v>
          </cell>
          <cell r="AO65">
            <v>-4894.0313699999997</v>
          </cell>
          <cell r="AP65">
            <v>-575.40057999999988</v>
          </cell>
          <cell r="AQ65">
            <v>-4565.3620299999993</v>
          </cell>
          <cell r="AR65">
            <v>-2279.0882099999999</v>
          </cell>
          <cell r="AT65">
            <v>-7998.924340000005</v>
          </cell>
          <cell r="AU65">
            <v>158.95562000000001</v>
          </cell>
          <cell r="AV65">
            <v>0</v>
          </cell>
          <cell r="AW65">
            <v>0</v>
          </cell>
          <cell r="AX65">
            <v>678.7680221288731</v>
          </cell>
          <cell r="AY65">
            <v>0</v>
          </cell>
          <cell r="AZ65">
            <v>1051.6313078711271</v>
          </cell>
          <cell r="BA65">
            <v>17.454990000000002</v>
          </cell>
          <cell r="BB65">
            <v>-67.712699999999998</v>
          </cell>
          <cell r="BC65">
            <v>-0.8623599999999999</v>
          </cell>
          <cell r="BD65">
            <v>0</v>
          </cell>
          <cell r="BE65">
            <v>4016.6101800000006</v>
          </cell>
          <cell r="BF65">
            <v>-6258.3456799999976</v>
          </cell>
          <cell r="BG65">
            <v>-18.037750000000006</v>
          </cell>
          <cell r="BH65">
            <v>-123.6736999999999</v>
          </cell>
          <cell r="BI65">
            <v>4.6879100000000014</v>
          </cell>
          <cell r="BJ65">
            <v>2.6645352591003756E-17</v>
          </cell>
          <cell r="BK65">
            <v>19421.688099999999</v>
          </cell>
        </row>
        <row r="66">
          <cell r="C66">
            <v>222675.46643999996</v>
          </cell>
          <cell r="N66">
            <v>97754.598169999983</v>
          </cell>
          <cell r="O66">
            <v>-955.09228999999982</v>
          </cell>
          <cell r="P66">
            <v>0</v>
          </cell>
          <cell r="Q66">
            <v>-274.56200000000001</v>
          </cell>
          <cell r="R66">
            <v>7.7064599999999963</v>
          </cell>
          <cell r="S66">
            <v>-1869.96154</v>
          </cell>
          <cell r="T66">
            <v>-615.55848000000003</v>
          </cell>
          <cell r="U66">
            <v>0</v>
          </cell>
          <cell r="V66">
            <v>-36721.443195111533</v>
          </cell>
          <cell r="W66">
            <v>0</v>
          </cell>
          <cell r="X66">
            <v>-14749.079604888462</v>
          </cell>
          <cell r="Y66">
            <v>-1017.4229799999999</v>
          </cell>
          <cell r="Z66">
            <v>2817.9060300000001</v>
          </cell>
          <cell r="AA66">
            <v>82.119290000000007</v>
          </cell>
          <cell r="AB66">
            <v>0</v>
          </cell>
          <cell r="AC66">
            <v>-58890.653370000007</v>
          </cell>
          <cell r="AD66">
            <v>2592.03566</v>
          </cell>
          <cell r="AE66">
            <v>-815.63007000000005</v>
          </cell>
          <cell r="AF66">
            <v>-4931.1284500000002</v>
          </cell>
          <cell r="AG66">
            <v>0</v>
          </cell>
          <cell r="AH66">
            <v>62011.844399999994</v>
          </cell>
          <cell r="AI66">
            <v>3058.5929599999995</v>
          </cell>
          <cell r="AJ66">
            <v>-1805.7634799999996</v>
          </cell>
          <cell r="AK66">
            <v>-136.35665999999995</v>
          </cell>
          <cell r="AL66">
            <v>-35603.867570000002</v>
          </cell>
          <cell r="AM66">
            <v>26982.247310000006</v>
          </cell>
          <cell r="AN66">
            <v>-7441.72498</v>
          </cell>
          <cell r="AO66">
            <v>-4262.4101000000001</v>
          </cell>
          <cell r="AP66">
            <v>-372.90847000000008</v>
          </cell>
          <cell r="AQ66">
            <v>-4230.6003499999997</v>
          </cell>
          <cell r="AR66">
            <v>-2379.7611899999993</v>
          </cell>
          <cell r="AT66">
            <v>-8565.9030800000055</v>
          </cell>
          <cell r="AU66">
            <v>5.5733600000000001</v>
          </cell>
          <cell r="AV66">
            <v>0</v>
          </cell>
          <cell r="AW66">
            <v>0</v>
          </cell>
          <cell r="AX66">
            <v>978.74289028558132</v>
          </cell>
          <cell r="AY66">
            <v>0</v>
          </cell>
          <cell r="AZ66">
            <v>896.65759971441867</v>
          </cell>
          <cell r="BA66">
            <v>27.075679999999998</v>
          </cell>
          <cell r="BB66">
            <v>-81.824979999999996</v>
          </cell>
          <cell r="BC66">
            <v>-1.77504</v>
          </cell>
          <cell r="BD66">
            <v>0</v>
          </cell>
          <cell r="BE66">
            <v>20399.699689999994</v>
          </cell>
          <cell r="BF66">
            <v>-23297.501679999998</v>
          </cell>
          <cell r="BG66">
            <v>-845.89594</v>
          </cell>
          <cell r="BH66">
            <v>457.9626199999999</v>
          </cell>
          <cell r="BI66">
            <v>16.159300000000002</v>
          </cell>
          <cell r="BJ66">
            <v>-9.5923269327613524E-17</v>
          </cell>
          <cell r="BK66">
            <v>8222.0959199999743</v>
          </cell>
          <cell r="EM66">
            <v>-553.62432999999999</v>
          </cell>
          <cell r="EN66">
            <v>0</v>
          </cell>
          <cell r="EO66">
            <v>-48.322000000000003</v>
          </cell>
          <cell r="EP66">
            <v>44.086139999999993</v>
          </cell>
          <cell r="EQ66">
            <v>-660.10383999999999</v>
          </cell>
          <cell r="ER66">
            <v>-90.455010000000044</v>
          </cell>
          <cell r="ES66">
            <v>0</v>
          </cell>
          <cell r="ET66">
            <v>-10936.679971142546</v>
          </cell>
          <cell r="EU66">
            <v>0</v>
          </cell>
          <cell r="EV66">
            <v>-7032.2558188574512</v>
          </cell>
          <cell r="EW66">
            <v>-1017.4229799999999</v>
          </cell>
          <cell r="EX66">
            <v>909.40232999999989</v>
          </cell>
          <cell r="EY66">
            <v>82.119290000000007</v>
          </cell>
          <cell r="EZ66">
            <v>0</v>
          </cell>
          <cell r="FA66">
            <v>-12219.235690000005</v>
          </cell>
          <cell r="FB66">
            <v>859.30135000000007</v>
          </cell>
          <cell r="FC66">
            <v>-278.60700000000003</v>
          </cell>
          <cell r="FD66">
            <v>-1356.7562099999998</v>
          </cell>
          <cell r="FE66">
            <v>0</v>
          </cell>
          <cell r="FF66">
            <v>14148.579909999995</v>
          </cell>
          <cell r="FG66">
            <v>3058.5929599999995</v>
          </cell>
          <cell r="FH66">
            <v>-557.57466999999997</v>
          </cell>
          <cell r="FI66">
            <v>-136.35665999999995</v>
          </cell>
          <cell r="FJ66">
            <v>-4708.1557999999986</v>
          </cell>
          <cell r="FK66">
            <v>2925.7287400000023</v>
          </cell>
          <cell r="FL66">
            <v>-3758.76008</v>
          </cell>
          <cell r="FM66">
            <v>-1479.3372400000003</v>
          </cell>
          <cell r="FN66">
            <v>-154.68420999999998</v>
          </cell>
          <cell r="FO66">
            <v>-1345.5275099999997</v>
          </cell>
          <cell r="FP66">
            <v>-827.39129000000003</v>
          </cell>
          <cell r="FR66">
            <v>-2891.2898000000023</v>
          </cell>
          <cell r="FS66">
            <v>3.5483600000000002</v>
          </cell>
          <cell r="FT66">
            <v>0</v>
          </cell>
          <cell r="FU66">
            <v>0</v>
          </cell>
          <cell r="FV66">
            <v>-376.48869971441866</v>
          </cell>
          <cell r="FW66">
            <v>0</v>
          </cell>
          <cell r="FX66">
            <v>896.65759971441867</v>
          </cell>
          <cell r="FY66">
            <v>27.075679999999998</v>
          </cell>
          <cell r="FZ66">
            <v>-22.314679999999999</v>
          </cell>
          <cell r="GA66">
            <v>-1.77504</v>
          </cell>
          <cell r="GB66">
            <v>0</v>
          </cell>
          <cell r="GC66">
            <v>749.31456999999807</v>
          </cell>
          <cell r="GD66">
            <v>-814.68400000000122</v>
          </cell>
          <cell r="GE66">
            <v>-845.89594</v>
          </cell>
          <cell r="GF66">
            <v>9.0299099999999992</v>
          </cell>
          <cell r="GG66">
            <v>16.159300000000002</v>
          </cell>
          <cell r="GH66">
            <v>0</v>
          </cell>
        </row>
        <row r="67">
          <cell r="C67">
            <v>229055.5662839085</v>
          </cell>
          <cell r="N67">
            <v>118600.38488076598</v>
          </cell>
          <cell r="O67">
            <v>-14573.871601683972</v>
          </cell>
          <cell r="P67">
            <v>-3382.5211017130473</v>
          </cell>
          <cell r="Q67">
            <v>-8478.0320451106381</v>
          </cell>
          <cell r="R67">
            <v>0</v>
          </cell>
          <cell r="S67">
            <v>-2969.9484644502036</v>
          </cell>
          <cell r="T67">
            <v>-1123.6006117566355</v>
          </cell>
          <cell r="U67">
            <v>0</v>
          </cell>
          <cell r="V67">
            <v>-24775.010301009457</v>
          </cell>
          <cell r="W67">
            <v>-3873.5561525156213</v>
          </cell>
          <cell r="X67">
            <v>-12525.961811516221</v>
          </cell>
          <cell r="Y67">
            <v>-1052.0431952728245</v>
          </cell>
          <cell r="Z67">
            <v>2210.9294850634387</v>
          </cell>
          <cell r="AA67">
            <v>0</v>
          </cell>
          <cell r="AB67">
            <v>0</v>
          </cell>
          <cell r="AC67">
            <v>-28162.807216766942</v>
          </cell>
          <cell r="AD67">
            <v>0</v>
          </cell>
          <cell r="AE67">
            <v>0</v>
          </cell>
          <cell r="AF67">
            <v>-4055.8667194994532</v>
          </cell>
          <cell r="AG67">
            <v>0</v>
          </cell>
          <cell r="AH67">
            <v>33372.423936266394</v>
          </cell>
          <cell r="AI67">
            <v>1052.0431952728245</v>
          </cell>
          <cell r="AJ67">
            <v>0</v>
          </cell>
          <cell r="AK67">
            <v>0</v>
          </cell>
          <cell r="AL67">
            <v>-19125.141351705865</v>
          </cell>
          <cell r="AM67">
            <v>0</v>
          </cell>
          <cell r="AN67">
            <v>0</v>
          </cell>
          <cell r="AO67">
            <v>-5181.8398682730021</v>
          </cell>
          <cell r="AP67">
            <v>-433.12641191047453</v>
          </cell>
          <cell r="AQ67">
            <v>-5015.5074794800385</v>
          </cell>
          <cell r="AR67">
            <v>-3458.0625887334018</v>
          </cell>
          <cell r="AT67">
            <v>-9548.8180766374444</v>
          </cell>
          <cell r="AU67">
            <v>976.34433995323923</v>
          </cell>
          <cell r="AV67">
            <v>1408.1420445457395</v>
          </cell>
          <cell r="AW67">
            <v>797.8489738867105</v>
          </cell>
          <cell r="AX67">
            <v>531.66160288483115</v>
          </cell>
          <cell r="AY67">
            <v>1612.5597198798512</v>
          </cell>
          <cell r="AZ67">
            <v>1092.5126930315043</v>
          </cell>
          <cell r="BA67">
            <v>83.836829074390479</v>
          </cell>
          <cell r="BB67">
            <v>-117.40732663730203</v>
          </cell>
          <cell r="BC67">
            <v>0</v>
          </cell>
          <cell r="BD67">
            <v>0</v>
          </cell>
          <cell r="BE67">
            <v>3357.6710959397019</v>
          </cell>
          <cell r="BF67">
            <v>-3519.3053821897024</v>
          </cell>
          <cell r="BG67">
            <v>-83.836829074390479</v>
          </cell>
          <cell r="BH67">
            <v>0</v>
          </cell>
          <cell r="BI67">
            <v>0</v>
          </cell>
          <cell r="BJ67">
            <v>0</v>
          </cell>
          <cell r="BK67">
            <v>13640.094260628011</v>
          </cell>
          <cell r="EM67">
            <v>-4831.8855030769628</v>
          </cell>
          <cell r="EN67">
            <v>-1127.5070339043491</v>
          </cell>
          <cell r="EO67">
            <v>-2826.0106817035462</v>
          </cell>
          <cell r="EP67">
            <v>0</v>
          </cell>
          <cell r="EQ67">
            <v>-989.98282148340138</v>
          </cell>
          <cell r="ER67">
            <v>-374.53353725221172</v>
          </cell>
          <cell r="ES67">
            <v>0</v>
          </cell>
          <cell r="ET67">
            <v>-7616.537008270082</v>
          </cell>
          <cell r="EU67">
            <v>-1291.1853841718739</v>
          </cell>
          <cell r="EV67">
            <v>-4175.3206038387407</v>
          </cell>
          <cell r="EW67">
            <v>-350.68106509094156</v>
          </cell>
          <cell r="EX67">
            <v>736.97649502114643</v>
          </cell>
          <cell r="EY67">
            <v>0</v>
          </cell>
          <cell r="EZ67">
            <v>0</v>
          </cell>
          <cell r="FA67">
            <v>-9387.6024055889848</v>
          </cell>
          <cell r="FB67">
            <v>0</v>
          </cell>
          <cell r="FC67">
            <v>0</v>
          </cell>
          <cell r="FD67">
            <v>-1351.9555731664843</v>
          </cell>
          <cell r="FE67">
            <v>0</v>
          </cell>
          <cell r="FF67">
            <v>11124.141312088799</v>
          </cell>
          <cell r="FG67">
            <v>350.68106509094156</v>
          </cell>
          <cell r="FH67">
            <v>0</v>
          </cell>
          <cell r="FI67">
            <v>0</v>
          </cell>
          <cell r="FJ67">
            <v>-6375.0471172352873</v>
          </cell>
          <cell r="FK67">
            <v>0</v>
          </cell>
          <cell r="FL67">
            <v>0</v>
          </cell>
          <cell r="FM67">
            <v>-1727.279956091</v>
          </cell>
          <cell r="FN67">
            <v>-144.37547063682484</v>
          </cell>
          <cell r="FO67">
            <v>-1671.8358264933458</v>
          </cell>
          <cell r="FP67">
            <v>-1152.6875295778007</v>
          </cell>
          <cell r="FR67">
            <v>-3182.9393588791463</v>
          </cell>
          <cell r="FS67">
            <v>325.44811331774633</v>
          </cell>
          <cell r="FT67">
            <v>469.38068151524647</v>
          </cell>
          <cell r="FU67">
            <v>265.94965796223687</v>
          </cell>
          <cell r="FV67">
            <v>177.22053429494377</v>
          </cell>
          <cell r="FW67">
            <v>537.51990662661706</v>
          </cell>
          <cell r="FX67">
            <v>364.17089767716806</v>
          </cell>
          <cell r="FY67">
            <v>27.945609691463492</v>
          </cell>
          <cell r="FZ67">
            <v>-39.135775545767345</v>
          </cell>
          <cell r="GA67">
            <v>0</v>
          </cell>
          <cell r="GB67">
            <v>0</v>
          </cell>
          <cell r="GC67">
            <v>1119.2236986465675</v>
          </cell>
          <cell r="GD67">
            <v>-1173.1017940632344</v>
          </cell>
          <cell r="GE67">
            <v>-27.945609691463492</v>
          </cell>
          <cell r="GF67">
            <v>0</v>
          </cell>
          <cell r="GG67">
            <v>0</v>
          </cell>
          <cell r="GH67">
            <v>0</v>
          </cell>
        </row>
        <row r="69">
          <cell r="C69">
            <v>35415.75962000015</v>
          </cell>
          <cell r="N69">
            <v>26314.280150000137</v>
          </cell>
          <cell r="O69">
            <v>-1952.8294999999994</v>
          </cell>
          <cell r="P69">
            <v>0</v>
          </cell>
          <cell r="Q69">
            <v>0</v>
          </cell>
          <cell r="R69">
            <v>13.834570000000001</v>
          </cell>
          <cell r="S69">
            <v>-1209.4678700000002</v>
          </cell>
          <cell r="T69">
            <v>-24.5776</v>
          </cell>
          <cell r="U69">
            <v>0</v>
          </cell>
          <cell r="V69">
            <v>-15232.242539999999</v>
          </cell>
          <cell r="W69">
            <v>0</v>
          </cell>
          <cell r="X69">
            <v>-4143.2266799999998</v>
          </cell>
          <cell r="Y69">
            <v>-183.27110999999999</v>
          </cell>
          <cell r="Z69">
            <v>1918.3047000000001</v>
          </cell>
          <cell r="AA69">
            <v>25.256489999999999</v>
          </cell>
          <cell r="AB69">
            <v>0</v>
          </cell>
          <cell r="AC69">
            <v>-27076.021250000005</v>
          </cell>
          <cell r="AD69">
            <v>1741.7109100000002</v>
          </cell>
          <cell r="AE69">
            <v>-981.8281199999999</v>
          </cell>
          <cell r="AF69">
            <v>-779.79061999999851</v>
          </cell>
          <cell r="AG69">
            <v>0</v>
          </cell>
          <cell r="AH69">
            <v>23528.697969999939</v>
          </cell>
          <cell r="AI69">
            <v>5425.9200400000027</v>
          </cell>
          <cell r="AJ69">
            <v>1627.1021899999714</v>
          </cell>
          <cell r="AK69">
            <v>-2561.9403000000016</v>
          </cell>
          <cell r="AL69">
            <v>-2551.716990000004</v>
          </cell>
          <cell r="AM69">
            <v>0</v>
          </cell>
          <cell r="AN69">
            <v>519.38657000000012</v>
          </cell>
          <cell r="AO69">
            <v>-878.33573000000001</v>
          </cell>
          <cell r="AP69">
            <v>-162.68412000000001</v>
          </cell>
          <cell r="AQ69">
            <v>-1374.7626600000001</v>
          </cell>
          <cell r="AR69">
            <v>-850.51345000000003</v>
          </cell>
          <cell r="AT69">
            <v>-1080.9202400000001</v>
          </cell>
          <cell r="AU69">
            <v>81.987109999999987</v>
          </cell>
          <cell r="AV69">
            <v>0</v>
          </cell>
          <cell r="AW69">
            <v>0</v>
          </cell>
          <cell r="AX69">
            <v>216.49054999999998</v>
          </cell>
          <cell r="AY69">
            <v>0</v>
          </cell>
          <cell r="AZ69">
            <v>0</v>
          </cell>
          <cell r="BA69">
            <v>1.1962899999999999</v>
          </cell>
          <cell r="BB69">
            <v>-32.41001</v>
          </cell>
          <cell r="BC69">
            <v>-0.30675000000000002</v>
          </cell>
          <cell r="BD69">
            <v>0</v>
          </cell>
          <cell r="BE69">
            <v>577.43285999999966</v>
          </cell>
          <cell r="BF69">
            <v>826.28411000003166</v>
          </cell>
          <cell r="BG69">
            <v>-743.11024999999938</v>
          </cell>
          <cell r="BH69">
            <v>-403.91059000000007</v>
          </cell>
          <cell r="BI69">
            <v>74.417379999999994</v>
          </cell>
          <cell r="BJ69">
            <v>0</v>
          </cell>
          <cell r="BK69">
            <v>668.43551000007358</v>
          </cell>
          <cell r="EA69">
            <v>519.9036000000051</v>
          </cell>
          <cell r="EL69">
            <v>9196.3364299999957</v>
          </cell>
          <cell r="EM69">
            <v>-1315.3748699999996</v>
          </cell>
          <cell r="EN69">
            <v>0</v>
          </cell>
          <cell r="EO69">
            <v>0</v>
          </cell>
          <cell r="EP69">
            <v>13.623860000000001</v>
          </cell>
          <cell r="EQ69">
            <v>-457.03064000000006</v>
          </cell>
          <cell r="ER69">
            <v>-20.963260000000002</v>
          </cell>
          <cell r="ES69">
            <v>0</v>
          </cell>
          <cell r="ET69">
            <v>-4849.2339699999993</v>
          </cell>
          <cell r="EU69">
            <v>0</v>
          </cell>
          <cell r="EV69">
            <v>-1643.2266799999998</v>
          </cell>
          <cell r="EW69">
            <v>-183.27110999999999</v>
          </cell>
          <cell r="EX69">
            <v>1265.3188300000002</v>
          </cell>
          <cell r="EY69">
            <v>25.256489999999999</v>
          </cell>
          <cell r="EZ69">
            <v>0</v>
          </cell>
          <cell r="FA69">
            <v>-9911.1535300000032</v>
          </cell>
          <cell r="FB69">
            <v>535.67560999999978</v>
          </cell>
          <cell r="FC69">
            <v>-354.25729000000001</v>
          </cell>
          <cell r="FD69">
            <v>-213.10728999999958</v>
          </cell>
          <cell r="FE69">
            <v>0</v>
          </cell>
          <cell r="FF69">
            <v>3558.6228100000553</v>
          </cell>
          <cell r="FG69">
            <v>5425.9200400000027</v>
          </cell>
          <cell r="FH69">
            <v>3389.1493799999457</v>
          </cell>
          <cell r="FI69">
            <v>-2561.9403000000016</v>
          </cell>
          <cell r="FJ69">
            <v>-205.48298999999997</v>
          </cell>
          <cell r="FK69">
            <v>0</v>
          </cell>
          <cell r="FL69">
            <v>-519.92885000000001</v>
          </cell>
          <cell r="FM69">
            <v>-259.24423000000002</v>
          </cell>
          <cell r="FN69">
            <v>-74.608170000000001</v>
          </cell>
          <cell r="FO69">
            <v>-482.28545000000008</v>
          </cell>
          <cell r="FP69">
            <v>-325.89600000000007</v>
          </cell>
          <cell r="FR69">
            <v>-132.57738000000006</v>
          </cell>
          <cell r="FS69">
            <v>59.838509999999985</v>
          </cell>
          <cell r="FT69">
            <v>0</v>
          </cell>
          <cell r="FU69">
            <v>0</v>
          </cell>
          <cell r="FV69">
            <v>91.102759999999975</v>
          </cell>
          <cell r="FW69">
            <v>0</v>
          </cell>
          <cell r="FX69">
            <v>0</v>
          </cell>
          <cell r="FY69">
            <v>1.1962899999999999</v>
          </cell>
          <cell r="FZ69">
            <v>-25.746280000000002</v>
          </cell>
          <cell r="GA69">
            <v>-0.30675000000000002</v>
          </cell>
          <cell r="GB69">
            <v>0</v>
          </cell>
          <cell r="GC69">
            <v>152.80498999999963</v>
          </cell>
          <cell r="GD69">
            <v>1578.8395600000024</v>
          </cell>
          <cell r="GE69">
            <v>-743.11024999999938</v>
          </cell>
          <cell r="GF69">
            <v>-303.76034000000004</v>
          </cell>
          <cell r="GG69">
            <v>74.417379999999994</v>
          </cell>
          <cell r="GH69">
            <v>0</v>
          </cell>
          <cell r="GI69">
            <v>785.59730999999999</v>
          </cell>
        </row>
        <row r="70">
          <cell r="C70">
            <v>24364.716519999984</v>
          </cell>
          <cell r="N70">
            <v>21382.482499999987</v>
          </cell>
          <cell r="O70">
            <v>-1602.8159700000003</v>
          </cell>
          <cell r="P70">
            <v>0</v>
          </cell>
          <cell r="Q70">
            <v>0</v>
          </cell>
          <cell r="R70">
            <v>25.946729999999999</v>
          </cell>
          <cell r="S70">
            <v>-946.71150999999998</v>
          </cell>
          <cell r="T70">
            <v>-21.794540000000001</v>
          </cell>
          <cell r="U70">
            <v>0</v>
          </cell>
          <cell r="V70">
            <v>-15807.800190000002</v>
          </cell>
          <cell r="W70">
            <v>0</v>
          </cell>
          <cell r="X70">
            <v>-600</v>
          </cell>
          <cell r="Y70">
            <v>-362.65449999999998</v>
          </cell>
          <cell r="Z70">
            <v>1316.62392</v>
          </cell>
          <cell r="AA70">
            <v>59.452419999999996</v>
          </cell>
          <cell r="AB70">
            <v>0</v>
          </cell>
          <cell r="AC70">
            <v>-19832.830750000005</v>
          </cell>
          <cell r="AD70">
            <v>1785.2710900000002</v>
          </cell>
          <cell r="AE70">
            <v>-773.58987999999999</v>
          </cell>
          <cell r="AF70">
            <v>-686.99185999999986</v>
          </cell>
          <cell r="AG70">
            <v>0</v>
          </cell>
          <cell r="AH70">
            <v>20934.738019999997</v>
          </cell>
          <cell r="AI70">
            <v>1198.8643199999995</v>
          </cell>
          <cell r="AJ70">
            <v>1620.2840800000001</v>
          </cell>
          <cell r="AK70">
            <v>-107.79147000000002</v>
          </cell>
          <cell r="AL70">
            <v>-1671.6343699999993</v>
          </cell>
          <cell r="AM70">
            <v>0</v>
          </cell>
          <cell r="AN70">
            <v>181.91628000000009</v>
          </cell>
          <cell r="AO70">
            <v>-560.42343000000005</v>
          </cell>
          <cell r="AP70">
            <v>-115.46349000000001</v>
          </cell>
          <cell r="AQ70">
            <v>-1080.01109</v>
          </cell>
          <cell r="AR70">
            <v>-605.11825999999996</v>
          </cell>
          <cell r="AT70">
            <v>-979.65882999999985</v>
          </cell>
          <cell r="AU70">
            <v>49.870710000000003</v>
          </cell>
          <cell r="AV70">
            <v>0</v>
          </cell>
          <cell r="AW70">
            <v>0</v>
          </cell>
          <cell r="AX70">
            <v>162.32989000000001</v>
          </cell>
          <cell r="AY70">
            <v>0</v>
          </cell>
          <cell r="AZ70">
            <v>0</v>
          </cell>
          <cell r="BA70">
            <v>1.1528900000000002</v>
          </cell>
          <cell r="BB70">
            <v>-21.09581</v>
          </cell>
          <cell r="BC70">
            <v>-1.9539999999999998E-2</v>
          </cell>
          <cell r="BD70">
            <v>0</v>
          </cell>
          <cell r="BE70">
            <v>351.12682000000024</v>
          </cell>
          <cell r="BF70">
            <v>-631.45827000002294</v>
          </cell>
          <cell r="BG70">
            <v>-190.09563999999995</v>
          </cell>
          <cell r="BH70">
            <v>15.121430000000018</v>
          </cell>
          <cell r="BI70">
            <v>0.19900000000000007</v>
          </cell>
          <cell r="BJ70">
            <v>0</v>
          </cell>
          <cell r="BK70">
            <v>2487.420699999956</v>
          </cell>
          <cell r="EA70">
            <v>373.40332000000126</v>
          </cell>
          <cell r="EL70">
            <v>6986.3752200000017</v>
          </cell>
          <cell r="EM70">
            <v>-991.83745000000033</v>
          </cell>
          <cell r="EN70">
            <v>0</v>
          </cell>
          <cell r="EO70">
            <v>0</v>
          </cell>
          <cell r="EP70">
            <v>11.492989999999999</v>
          </cell>
          <cell r="EQ70">
            <v>-342.36288999999999</v>
          </cell>
          <cell r="ER70">
            <v>-14.499549999999999</v>
          </cell>
          <cell r="ES70">
            <v>0</v>
          </cell>
          <cell r="ET70">
            <v>-3630.8427700000011</v>
          </cell>
          <cell r="EU70">
            <v>0</v>
          </cell>
          <cell r="EV70">
            <v>100</v>
          </cell>
          <cell r="EW70">
            <v>-362.65449999999998</v>
          </cell>
          <cell r="EX70">
            <v>702.48408000000006</v>
          </cell>
          <cell r="EY70">
            <v>59.452419999999996</v>
          </cell>
          <cell r="EZ70">
            <v>0</v>
          </cell>
          <cell r="FA70">
            <v>-7079.8327099999951</v>
          </cell>
          <cell r="FB70">
            <v>394.09132</v>
          </cell>
          <cell r="FC70">
            <v>-266.57126000000005</v>
          </cell>
          <cell r="FD70">
            <v>-189.04105999999996</v>
          </cell>
          <cell r="FE70">
            <v>0</v>
          </cell>
          <cell r="FF70">
            <v>8498.0690899999972</v>
          </cell>
          <cell r="FG70">
            <v>1198.8643199999995</v>
          </cell>
          <cell r="FH70">
            <v>-207.31937000000016</v>
          </cell>
          <cell r="FI70">
            <v>-107.79147000000002</v>
          </cell>
          <cell r="FJ70">
            <v>-155.90493000000015</v>
          </cell>
          <cell r="FK70">
            <v>0</v>
          </cell>
          <cell r="FL70">
            <v>-403.39128999999997</v>
          </cell>
          <cell r="FM70">
            <v>-212.28579000000002</v>
          </cell>
          <cell r="FN70">
            <v>-38.944850000000002</v>
          </cell>
          <cell r="FO70">
            <v>-364.76099999999997</v>
          </cell>
          <cell r="FP70">
            <v>-194.91703000000001</v>
          </cell>
          <cell r="FR70">
            <v>-93.795279999999934</v>
          </cell>
          <cell r="FS70">
            <v>32.895870000000002</v>
          </cell>
          <cell r="FT70">
            <v>0</v>
          </cell>
          <cell r="FU70">
            <v>0</v>
          </cell>
          <cell r="FV70">
            <v>48.576250000000002</v>
          </cell>
          <cell r="FW70">
            <v>0</v>
          </cell>
          <cell r="FX70">
            <v>0</v>
          </cell>
          <cell r="FY70">
            <v>1.1528900000000002</v>
          </cell>
          <cell r="FZ70">
            <v>-14.803129999999999</v>
          </cell>
          <cell r="GA70">
            <v>-1.9539999999999998E-2</v>
          </cell>
          <cell r="GB70">
            <v>0</v>
          </cell>
          <cell r="GC70">
            <v>98.453350000000199</v>
          </cell>
          <cell r="GD70">
            <v>-759.87956000000679</v>
          </cell>
          <cell r="GE70">
            <v>-190.09563999999995</v>
          </cell>
          <cell r="GF70">
            <v>118.37724000000004</v>
          </cell>
          <cell r="GG70">
            <v>0.19900000000000007</v>
          </cell>
          <cell r="GH70">
            <v>0</v>
          </cell>
          <cell r="GI70">
            <v>2628.9329699999962</v>
          </cell>
        </row>
        <row r="71">
          <cell r="C71">
            <v>27974.91626383326</v>
          </cell>
          <cell r="N71">
            <v>26959.171549999992</v>
          </cell>
          <cell r="O71">
            <v>-7510.7204803523437</v>
          </cell>
          <cell r="P71">
            <v>0</v>
          </cell>
          <cell r="Q71">
            <v>-1047.687722619685</v>
          </cell>
          <cell r="R71">
            <v>0</v>
          </cell>
          <cell r="S71">
            <v>-2112.3821642121875</v>
          </cell>
          <cell r="T71">
            <v>-128.80258189217</v>
          </cell>
          <cell r="U71">
            <v>0</v>
          </cell>
          <cell r="V71">
            <v>-9807.2890259563137</v>
          </cell>
          <cell r="W71">
            <v>0</v>
          </cell>
          <cell r="X71">
            <v>-3952.3122773803152</v>
          </cell>
          <cell r="Y71">
            <v>-368.70409351474137</v>
          </cell>
          <cell r="Z71">
            <v>3581.911985294536</v>
          </cell>
          <cell r="AA71">
            <v>0</v>
          </cell>
          <cell r="AB71">
            <v>0</v>
          </cell>
          <cell r="AC71">
            <v>-23044.769297499999</v>
          </cell>
          <cell r="AD71">
            <v>0</v>
          </cell>
          <cell r="AE71">
            <v>0</v>
          </cell>
          <cell r="AF71">
            <v>-624.43567562268197</v>
          </cell>
          <cell r="AG71">
            <v>0</v>
          </cell>
          <cell r="AH71">
            <v>23890.006115815875</v>
          </cell>
          <cell r="AI71">
            <v>368.70409351474137</v>
          </cell>
          <cell r="AJ71">
            <v>0</v>
          </cell>
          <cell r="AK71">
            <v>0</v>
          </cell>
          <cell r="AL71">
            <v>-1939.93614779066</v>
          </cell>
          <cell r="AM71">
            <v>0</v>
          </cell>
          <cell r="AN71">
            <v>0</v>
          </cell>
          <cell r="AO71">
            <v>-905.862384189605</v>
          </cell>
          <cell r="AP71">
            <v>-109.95672275166075</v>
          </cell>
          <cell r="AQ71">
            <v>-1645.3047755602747</v>
          </cell>
          <cell r="AR71">
            <v>-814.37639854124518</v>
          </cell>
          <cell r="AT71">
            <v>-1196.340690078659</v>
          </cell>
          <cell r="AU71">
            <v>258.0201892697491</v>
          </cell>
          <cell r="AV71">
            <v>0</v>
          </cell>
          <cell r="AW71">
            <v>15.460286204844127</v>
          </cell>
          <cell r="AX71">
            <v>179.40924816806603</v>
          </cell>
          <cell r="AY71">
            <v>0</v>
          </cell>
          <cell r="AZ71">
            <v>58.322606688977999</v>
          </cell>
          <cell r="BA71">
            <v>8.0800274033346202</v>
          </cell>
          <cell r="BB71">
            <v>-81.549728907722169</v>
          </cell>
          <cell r="BC71">
            <v>0</v>
          </cell>
          <cell r="BD71">
            <v>0</v>
          </cell>
          <cell r="BE71">
            <v>199.6975825807711</v>
          </cell>
          <cell r="BF71">
            <v>37.73185485704402</v>
          </cell>
          <cell r="BG71">
            <v>-8.0800274033346202</v>
          </cell>
          <cell r="BH71">
            <v>0</v>
          </cell>
          <cell r="BI71">
            <v>0</v>
          </cell>
          <cell r="BJ71">
            <v>0</v>
          </cell>
          <cell r="BK71">
            <v>258.00534552433737</v>
          </cell>
          <cell r="EA71">
            <v>949.39279370107397</v>
          </cell>
          <cell r="EL71">
            <v>8986.3905166666627</v>
          </cell>
          <cell r="EM71">
            <v>-2503.5734934507809</v>
          </cell>
          <cell r="EN71">
            <v>0</v>
          </cell>
          <cell r="EO71">
            <v>-349.22924087322838</v>
          </cell>
          <cell r="EP71">
            <v>0</v>
          </cell>
          <cell r="EQ71">
            <v>-704.12738807072924</v>
          </cell>
          <cell r="ER71">
            <v>-42.934193964056661</v>
          </cell>
          <cell r="ES71">
            <v>0</v>
          </cell>
          <cell r="ET71">
            <v>-3269.0963419854379</v>
          </cell>
          <cell r="EU71">
            <v>0</v>
          </cell>
          <cell r="EV71">
            <v>-1317.4374257934383</v>
          </cell>
          <cell r="EW71">
            <v>-122.9013645049138</v>
          </cell>
          <cell r="EX71">
            <v>1193.9706617648453</v>
          </cell>
          <cell r="EY71">
            <v>0</v>
          </cell>
          <cell r="EZ71">
            <v>0</v>
          </cell>
          <cell r="FA71">
            <v>-7681.5897658333324</v>
          </cell>
          <cell r="FB71">
            <v>0</v>
          </cell>
          <cell r="FC71">
            <v>0</v>
          </cell>
          <cell r="FD71">
            <v>-208.14522520756066</v>
          </cell>
          <cell r="FE71">
            <v>0</v>
          </cell>
          <cell r="FF71">
            <v>7963.335371938625</v>
          </cell>
          <cell r="FG71">
            <v>122.9013645049138</v>
          </cell>
          <cell r="FH71">
            <v>0</v>
          </cell>
          <cell r="FI71">
            <v>0</v>
          </cell>
          <cell r="FJ71">
            <v>-646.64538259688675</v>
          </cell>
          <cell r="FK71">
            <v>0</v>
          </cell>
          <cell r="FL71">
            <v>0</v>
          </cell>
          <cell r="FM71">
            <v>-301.95412806320167</v>
          </cell>
          <cell r="FN71">
            <v>-36.652240917220254</v>
          </cell>
          <cell r="FO71">
            <v>-548.43492518675816</v>
          </cell>
          <cell r="FP71">
            <v>-271.45879951374843</v>
          </cell>
          <cell r="FR71">
            <v>-398.78023002621967</v>
          </cell>
          <cell r="FS71">
            <v>86.006729756583013</v>
          </cell>
          <cell r="FT71">
            <v>0</v>
          </cell>
          <cell r="FU71">
            <v>5.1534287349480419</v>
          </cell>
          <cell r="FV71">
            <v>59.803082722688657</v>
          </cell>
          <cell r="FW71">
            <v>0</v>
          </cell>
          <cell r="FX71">
            <v>19.440868896326002</v>
          </cell>
          <cell r="FY71">
            <v>2.6933424677782067</v>
          </cell>
          <cell r="FZ71">
            <v>-27.183242969240723</v>
          </cell>
          <cell r="GA71">
            <v>0</v>
          </cell>
          <cell r="GB71">
            <v>0</v>
          </cell>
          <cell r="GC71">
            <v>66.565860860257033</v>
          </cell>
          <cell r="GD71">
            <v>12.577284952348005</v>
          </cell>
          <cell r="GE71">
            <v>-2.6933424677782067</v>
          </cell>
          <cell r="GF71">
            <v>0</v>
          </cell>
          <cell r="GG71">
            <v>0</v>
          </cell>
          <cell r="GH71">
            <v>0</v>
          </cell>
          <cell r="GI71">
            <v>86.00178184144329</v>
          </cell>
        </row>
        <row r="73">
          <cell r="C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EA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</row>
        <row r="74">
          <cell r="C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EA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</row>
        <row r="75">
          <cell r="C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EA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</row>
        <row r="81">
          <cell r="C81">
            <v>35415.75962000015</v>
          </cell>
          <cell r="N81">
            <v>26314.280150000137</v>
          </cell>
          <cell r="O81">
            <v>-1952.8294999999994</v>
          </cell>
          <cell r="P81">
            <v>0</v>
          </cell>
          <cell r="Q81">
            <v>0</v>
          </cell>
          <cell r="R81">
            <v>13.834570000000001</v>
          </cell>
          <cell r="S81">
            <v>-1209.4678700000002</v>
          </cell>
          <cell r="T81">
            <v>-24.5776</v>
          </cell>
          <cell r="U81">
            <v>0</v>
          </cell>
          <cell r="V81">
            <v>-15232.242539999999</v>
          </cell>
          <cell r="W81">
            <v>0</v>
          </cell>
          <cell r="X81">
            <v>-4143.2266799999998</v>
          </cell>
          <cell r="Y81">
            <v>-183.27110999999999</v>
          </cell>
          <cell r="Z81">
            <v>1918.3047000000001</v>
          </cell>
          <cell r="AA81">
            <v>25.256489999999999</v>
          </cell>
          <cell r="AB81">
            <v>0</v>
          </cell>
          <cell r="AC81">
            <v>-27076.021250000005</v>
          </cell>
          <cell r="AD81">
            <v>1741.7109100000002</v>
          </cell>
          <cell r="AE81">
            <v>-981.8281199999999</v>
          </cell>
          <cell r="AF81">
            <v>-779.79061999999851</v>
          </cell>
          <cell r="AG81">
            <v>0</v>
          </cell>
          <cell r="AH81">
            <v>23528.697969999939</v>
          </cell>
          <cell r="AI81">
            <v>5425.9200400000027</v>
          </cell>
          <cell r="AJ81">
            <v>1627.1021899999714</v>
          </cell>
          <cell r="AK81">
            <v>-2561.9403000000016</v>
          </cell>
          <cell r="AL81">
            <v>-2551.716990000004</v>
          </cell>
          <cell r="AM81">
            <v>0</v>
          </cell>
          <cell r="AN81">
            <v>519.38657000000012</v>
          </cell>
          <cell r="AO81">
            <v>-878.33573000000001</v>
          </cell>
          <cell r="AP81">
            <v>-162.68412000000001</v>
          </cell>
          <cell r="AQ81">
            <v>-1374.7626600000001</v>
          </cell>
          <cell r="AR81">
            <v>-850.51345000000003</v>
          </cell>
          <cell r="AT81">
            <v>-1080.9202400000001</v>
          </cell>
          <cell r="AU81">
            <v>81.987109999999987</v>
          </cell>
          <cell r="AV81">
            <v>0</v>
          </cell>
          <cell r="AW81">
            <v>0</v>
          </cell>
          <cell r="AX81">
            <v>216.49054999999998</v>
          </cell>
          <cell r="AY81">
            <v>0</v>
          </cell>
          <cell r="AZ81">
            <v>0</v>
          </cell>
          <cell r="BA81">
            <v>1.1962899999999999</v>
          </cell>
          <cell r="BB81">
            <v>-32.41001</v>
          </cell>
          <cell r="BC81">
            <v>-0.30675000000000002</v>
          </cell>
          <cell r="BD81">
            <v>0</v>
          </cell>
          <cell r="BE81">
            <v>577.43285999999966</v>
          </cell>
          <cell r="BF81">
            <v>826.28411000003166</v>
          </cell>
          <cell r="BG81">
            <v>-743.11024999999938</v>
          </cell>
          <cell r="BH81">
            <v>-403.91059000000007</v>
          </cell>
          <cell r="BI81">
            <v>74.417379999999994</v>
          </cell>
          <cell r="BJ81">
            <v>0</v>
          </cell>
          <cell r="BK81">
            <v>668.43551000007358</v>
          </cell>
          <cell r="EA81">
            <v>519.9036000000051</v>
          </cell>
          <cell r="EL81">
            <v>9196.3364299999957</v>
          </cell>
          <cell r="EM81">
            <v>-1315.3748699999996</v>
          </cell>
          <cell r="EN81">
            <v>0</v>
          </cell>
          <cell r="EO81">
            <v>0</v>
          </cell>
          <cell r="EP81">
            <v>13.623860000000001</v>
          </cell>
          <cell r="EQ81">
            <v>-457.03064000000006</v>
          </cell>
          <cell r="ER81">
            <v>-20.963260000000002</v>
          </cell>
          <cell r="ES81">
            <v>0</v>
          </cell>
          <cell r="ET81">
            <v>-4849.2339699999993</v>
          </cell>
          <cell r="EU81">
            <v>0</v>
          </cell>
          <cell r="EV81">
            <v>-1643.2266799999998</v>
          </cell>
          <cell r="EW81">
            <v>-183.27110999999999</v>
          </cell>
          <cell r="EX81">
            <v>1265.3188300000002</v>
          </cell>
          <cell r="EY81">
            <v>25.256489999999999</v>
          </cell>
          <cell r="EZ81">
            <v>0</v>
          </cell>
          <cell r="FA81">
            <v>-9911.1535300000032</v>
          </cell>
          <cell r="FB81">
            <v>535.67560999999978</v>
          </cell>
          <cell r="FC81">
            <v>-354.25729000000001</v>
          </cell>
          <cell r="FD81">
            <v>-213.10728999999958</v>
          </cell>
          <cell r="FE81">
            <v>0</v>
          </cell>
          <cell r="FF81">
            <v>3558.6228100000553</v>
          </cell>
          <cell r="FG81">
            <v>5425.9200400000027</v>
          </cell>
          <cell r="FH81">
            <v>3389.1493799999457</v>
          </cell>
          <cell r="FI81">
            <v>-2561.9403000000016</v>
          </cell>
          <cell r="FJ81">
            <v>-205.48298999999997</v>
          </cell>
          <cell r="FK81">
            <v>0</v>
          </cell>
          <cell r="FL81">
            <v>-519.92885000000001</v>
          </cell>
          <cell r="FM81">
            <v>-259.24423000000002</v>
          </cell>
          <cell r="FN81">
            <v>-74.608170000000001</v>
          </cell>
          <cell r="FO81">
            <v>-482.28545000000008</v>
          </cell>
          <cell r="FP81">
            <v>-325.89600000000007</v>
          </cell>
          <cell r="FR81">
            <v>-132.57738000000006</v>
          </cell>
          <cell r="FS81">
            <v>59.838509999999985</v>
          </cell>
          <cell r="FT81">
            <v>0</v>
          </cell>
          <cell r="FU81">
            <v>0</v>
          </cell>
          <cell r="FV81">
            <v>91.102759999999975</v>
          </cell>
          <cell r="FW81">
            <v>0</v>
          </cell>
          <cell r="FX81">
            <v>0</v>
          </cell>
          <cell r="FY81">
            <v>1.1962899999999999</v>
          </cell>
          <cell r="FZ81">
            <v>-25.746280000000002</v>
          </cell>
          <cell r="GA81">
            <v>-0.30675000000000002</v>
          </cell>
          <cell r="GB81">
            <v>0</v>
          </cell>
          <cell r="GC81">
            <v>152.80498999999963</v>
          </cell>
          <cell r="GD81">
            <v>1578.8395600000024</v>
          </cell>
          <cell r="GE81">
            <v>-743.11024999999938</v>
          </cell>
          <cell r="GF81">
            <v>-303.76034000000004</v>
          </cell>
          <cell r="GG81">
            <v>74.417379999999994</v>
          </cell>
          <cell r="GH81">
            <v>0</v>
          </cell>
          <cell r="GI81">
            <v>785.59730999999999</v>
          </cell>
        </row>
        <row r="82">
          <cell r="C82">
            <v>24364.716519999984</v>
          </cell>
          <cell r="N82">
            <v>21382.482499999987</v>
          </cell>
          <cell r="O82">
            <v>-1602.8159700000003</v>
          </cell>
          <cell r="P82">
            <v>0</v>
          </cell>
          <cell r="Q82">
            <v>0</v>
          </cell>
          <cell r="R82">
            <v>25.946729999999999</v>
          </cell>
          <cell r="S82">
            <v>-946.71150999999998</v>
          </cell>
          <cell r="T82">
            <v>-21.794540000000001</v>
          </cell>
          <cell r="U82">
            <v>0</v>
          </cell>
          <cell r="V82">
            <v>-15807.800190000002</v>
          </cell>
          <cell r="W82">
            <v>0</v>
          </cell>
          <cell r="X82">
            <v>-600</v>
          </cell>
          <cell r="Y82">
            <v>-362.65449999999998</v>
          </cell>
          <cell r="Z82">
            <v>1316.62392</v>
          </cell>
          <cell r="AA82">
            <v>59.452419999999996</v>
          </cell>
          <cell r="AB82">
            <v>0</v>
          </cell>
          <cell r="AC82">
            <v>-19832.830750000005</v>
          </cell>
          <cell r="AD82">
            <v>1785.2710900000002</v>
          </cell>
          <cell r="AE82">
            <v>-773.58987999999999</v>
          </cell>
          <cell r="AF82">
            <v>-686.99185999999986</v>
          </cell>
          <cell r="AG82">
            <v>0</v>
          </cell>
          <cell r="AH82">
            <v>20934.738019999997</v>
          </cell>
          <cell r="AI82">
            <v>1198.8643199999995</v>
          </cell>
          <cell r="AJ82">
            <v>1620.2840800000001</v>
          </cell>
          <cell r="AK82">
            <v>-107.79147000000002</v>
          </cell>
          <cell r="AL82">
            <v>-1671.6343699999993</v>
          </cell>
          <cell r="AM82">
            <v>0</v>
          </cell>
          <cell r="AN82">
            <v>181.91628000000009</v>
          </cell>
          <cell r="AO82">
            <v>-560.42343000000005</v>
          </cell>
          <cell r="AP82">
            <v>-115.46349000000001</v>
          </cell>
          <cell r="AQ82">
            <v>-1080.01109</v>
          </cell>
          <cell r="AR82">
            <v>-605.11825999999996</v>
          </cell>
          <cell r="AT82">
            <v>-979.65882999999985</v>
          </cell>
          <cell r="AU82">
            <v>49.870710000000003</v>
          </cell>
          <cell r="AV82">
            <v>0</v>
          </cell>
          <cell r="AW82">
            <v>0</v>
          </cell>
          <cell r="AX82">
            <v>162.32989000000001</v>
          </cell>
          <cell r="AY82">
            <v>0</v>
          </cell>
          <cell r="AZ82">
            <v>0</v>
          </cell>
          <cell r="BA82">
            <v>1.1528900000000002</v>
          </cell>
          <cell r="BB82">
            <v>-21.09581</v>
          </cell>
          <cell r="BC82">
            <v>-1.9539999999999998E-2</v>
          </cell>
          <cell r="BD82">
            <v>0</v>
          </cell>
          <cell r="BE82">
            <v>351.12682000000024</v>
          </cell>
          <cell r="BF82">
            <v>-631.45827000002294</v>
          </cell>
          <cell r="BG82">
            <v>-190.09563999999995</v>
          </cell>
          <cell r="BH82">
            <v>15.121430000000018</v>
          </cell>
          <cell r="BI82">
            <v>0.19900000000000007</v>
          </cell>
          <cell r="BJ82">
            <v>0</v>
          </cell>
          <cell r="BK82">
            <v>2487.420699999956</v>
          </cell>
          <cell r="EA82">
            <v>373.40332000000126</v>
          </cell>
          <cell r="EL82">
            <v>6986.3752200000017</v>
          </cell>
          <cell r="EM82">
            <v>-991.83745000000033</v>
          </cell>
          <cell r="EN82">
            <v>0</v>
          </cell>
          <cell r="EO82">
            <v>0</v>
          </cell>
          <cell r="EP82">
            <v>11.492989999999999</v>
          </cell>
          <cell r="EQ82">
            <v>-342.36288999999999</v>
          </cell>
          <cell r="ER82">
            <v>-14.499549999999999</v>
          </cell>
          <cell r="ES82">
            <v>0</v>
          </cell>
          <cell r="ET82">
            <v>-3630.8427700000011</v>
          </cell>
          <cell r="EU82">
            <v>0</v>
          </cell>
          <cell r="EV82">
            <v>100</v>
          </cell>
          <cell r="EW82">
            <v>-362.65449999999998</v>
          </cell>
          <cell r="EX82">
            <v>702.48408000000006</v>
          </cell>
          <cell r="EY82">
            <v>59.452419999999996</v>
          </cell>
          <cell r="EZ82">
            <v>0</v>
          </cell>
          <cell r="FA82">
            <v>-7079.8327099999951</v>
          </cell>
          <cell r="FB82">
            <v>394.09132</v>
          </cell>
          <cell r="FC82">
            <v>-266.57126000000005</v>
          </cell>
          <cell r="FD82">
            <v>-189.04105999999996</v>
          </cell>
          <cell r="FE82">
            <v>0</v>
          </cell>
          <cell r="FF82">
            <v>8498.0690899999972</v>
          </cell>
          <cell r="FG82">
            <v>1198.8643199999995</v>
          </cell>
          <cell r="FH82">
            <v>-207.31937000000016</v>
          </cell>
          <cell r="FI82">
            <v>-107.79147000000002</v>
          </cell>
          <cell r="FJ82">
            <v>-155.90493000000015</v>
          </cell>
          <cell r="FK82">
            <v>0</v>
          </cell>
          <cell r="FL82">
            <v>-403.39128999999997</v>
          </cell>
          <cell r="FM82">
            <v>-212.28579000000002</v>
          </cell>
          <cell r="FN82">
            <v>-38.944850000000002</v>
          </cell>
          <cell r="FO82">
            <v>-364.76099999999997</v>
          </cell>
          <cell r="FP82">
            <v>-194.91703000000001</v>
          </cell>
          <cell r="FR82">
            <v>-93.795279999999934</v>
          </cell>
          <cell r="FS82">
            <v>32.895870000000002</v>
          </cell>
          <cell r="FT82">
            <v>0</v>
          </cell>
          <cell r="FU82">
            <v>0</v>
          </cell>
          <cell r="FV82">
            <v>48.576250000000002</v>
          </cell>
          <cell r="FW82">
            <v>0</v>
          </cell>
          <cell r="FX82">
            <v>0</v>
          </cell>
          <cell r="FY82">
            <v>1.1528900000000002</v>
          </cell>
          <cell r="FZ82">
            <v>-14.803129999999999</v>
          </cell>
          <cell r="GA82">
            <v>-1.9539999999999998E-2</v>
          </cell>
          <cell r="GB82">
            <v>0</v>
          </cell>
          <cell r="GC82">
            <v>98.453350000000199</v>
          </cell>
          <cell r="GD82">
            <v>-759.87956000000679</v>
          </cell>
          <cell r="GE82">
            <v>-190.09563999999995</v>
          </cell>
          <cell r="GF82">
            <v>118.37724000000004</v>
          </cell>
          <cell r="GG82">
            <v>0.19900000000000007</v>
          </cell>
          <cell r="GH82">
            <v>0</v>
          </cell>
          <cell r="GI82">
            <v>2628.9329699999962</v>
          </cell>
        </row>
        <row r="83">
          <cell r="C83">
            <v>27974.91626383326</v>
          </cell>
          <cell r="N83">
            <v>26959.171549999992</v>
          </cell>
          <cell r="O83">
            <v>-7510.7204803523437</v>
          </cell>
          <cell r="P83">
            <v>0</v>
          </cell>
          <cell r="Q83">
            <v>-1047.687722619685</v>
          </cell>
          <cell r="R83">
            <v>0</v>
          </cell>
          <cell r="S83">
            <v>-2112.3821642121875</v>
          </cell>
          <cell r="T83">
            <v>-128.80258189217</v>
          </cell>
          <cell r="U83">
            <v>0</v>
          </cell>
          <cell r="V83">
            <v>-9807.2890259563137</v>
          </cell>
          <cell r="W83">
            <v>0</v>
          </cell>
          <cell r="X83">
            <v>-3952.3122773803152</v>
          </cell>
          <cell r="Y83">
            <v>-368.70409351474137</v>
          </cell>
          <cell r="Z83">
            <v>3581.911985294536</v>
          </cell>
          <cell r="AA83">
            <v>0</v>
          </cell>
          <cell r="AB83">
            <v>0</v>
          </cell>
          <cell r="AC83">
            <v>-23044.769297499999</v>
          </cell>
          <cell r="AD83">
            <v>0</v>
          </cell>
          <cell r="AE83">
            <v>0</v>
          </cell>
          <cell r="AF83">
            <v>-624.43567562268197</v>
          </cell>
          <cell r="AG83">
            <v>0</v>
          </cell>
          <cell r="AH83">
            <v>23890.006115815875</v>
          </cell>
          <cell r="AI83">
            <v>368.70409351474137</v>
          </cell>
          <cell r="AJ83">
            <v>0</v>
          </cell>
          <cell r="AK83">
            <v>0</v>
          </cell>
          <cell r="AL83">
            <v>-1939.93614779066</v>
          </cell>
          <cell r="AM83">
            <v>0</v>
          </cell>
          <cell r="AN83">
            <v>0</v>
          </cell>
          <cell r="AO83">
            <v>-905.862384189605</v>
          </cell>
          <cell r="AP83">
            <v>-109.95672275166075</v>
          </cell>
          <cell r="AQ83">
            <v>-1645.3047755602747</v>
          </cell>
          <cell r="AR83">
            <v>-814.37639854124518</v>
          </cell>
          <cell r="AT83">
            <v>-1196.340690078659</v>
          </cell>
          <cell r="AU83">
            <v>258.0201892697491</v>
          </cell>
          <cell r="AV83">
            <v>0</v>
          </cell>
          <cell r="AW83">
            <v>15.460286204844127</v>
          </cell>
          <cell r="AX83">
            <v>179.40924816806603</v>
          </cell>
          <cell r="AY83">
            <v>0</v>
          </cell>
          <cell r="AZ83">
            <v>58.322606688977999</v>
          </cell>
          <cell r="BA83">
            <v>8.0800274033346202</v>
          </cell>
          <cell r="BB83">
            <v>-81.549728907722169</v>
          </cell>
          <cell r="BC83">
            <v>0</v>
          </cell>
          <cell r="BD83">
            <v>0</v>
          </cell>
          <cell r="BE83">
            <v>199.6975825807711</v>
          </cell>
          <cell r="BF83">
            <v>37.73185485704402</v>
          </cell>
          <cell r="BG83">
            <v>-8.0800274033346202</v>
          </cell>
          <cell r="BH83">
            <v>0</v>
          </cell>
          <cell r="BI83">
            <v>0</v>
          </cell>
          <cell r="BJ83">
            <v>0</v>
          </cell>
          <cell r="BK83">
            <v>258.00534552433737</v>
          </cell>
          <cell r="EA83">
            <v>949.39279370107397</v>
          </cell>
          <cell r="EL83">
            <v>8986.3905166666627</v>
          </cell>
          <cell r="EM83">
            <v>-2503.5734934507809</v>
          </cell>
          <cell r="EN83">
            <v>0</v>
          </cell>
          <cell r="EO83">
            <v>-349.22924087322838</v>
          </cell>
          <cell r="EP83">
            <v>0</v>
          </cell>
          <cell r="EQ83">
            <v>-704.12738807072924</v>
          </cell>
          <cell r="ER83">
            <v>-42.934193964056661</v>
          </cell>
          <cell r="ES83">
            <v>0</v>
          </cell>
          <cell r="ET83">
            <v>-3269.0963419854379</v>
          </cell>
          <cell r="EU83">
            <v>0</v>
          </cell>
          <cell r="EV83">
            <v>-1317.4374257934383</v>
          </cell>
          <cell r="EW83">
            <v>-122.9013645049138</v>
          </cell>
          <cell r="EX83">
            <v>1193.9706617648453</v>
          </cell>
          <cell r="EY83">
            <v>0</v>
          </cell>
          <cell r="EZ83">
            <v>0</v>
          </cell>
          <cell r="FA83">
            <v>-7681.5897658333324</v>
          </cell>
          <cell r="FB83">
            <v>0</v>
          </cell>
          <cell r="FC83">
            <v>0</v>
          </cell>
          <cell r="FD83">
            <v>-208.14522520756066</v>
          </cell>
          <cell r="FE83">
            <v>0</v>
          </cell>
          <cell r="FF83">
            <v>7963.335371938625</v>
          </cell>
          <cell r="FG83">
            <v>122.9013645049138</v>
          </cell>
          <cell r="FH83">
            <v>0</v>
          </cell>
          <cell r="FI83">
            <v>0</v>
          </cell>
          <cell r="FJ83">
            <v>-646.64538259688675</v>
          </cell>
          <cell r="FK83">
            <v>0</v>
          </cell>
          <cell r="FL83">
            <v>0</v>
          </cell>
          <cell r="FM83">
            <v>-301.95412806320167</v>
          </cell>
          <cell r="FN83">
            <v>-36.652240917220254</v>
          </cell>
          <cell r="FO83">
            <v>-548.43492518675816</v>
          </cell>
          <cell r="FP83">
            <v>-271.45879951374843</v>
          </cell>
          <cell r="FR83">
            <v>-398.78023002621967</v>
          </cell>
          <cell r="FS83">
            <v>86.006729756583013</v>
          </cell>
          <cell r="FT83">
            <v>0</v>
          </cell>
          <cell r="FU83">
            <v>5.1534287349480419</v>
          </cell>
          <cell r="FV83">
            <v>59.803082722688657</v>
          </cell>
          <cell r="FW83">
            <v>0</v>
          </cell>
          <cell r="FX83">
            <v>19.440868896326002</v>
          </cell>
          <cell r="FY83">
            <v>2.6933424677782067</v>
          </cell>
          <cell r="FZ83">
            <v>-27.183242969240723</v>
          </cell>
          <cell r="GA83">
            <v>0</v>
          </cell>
          <cell r="GB83">
            <v>0</v>
          </cell>
          <cell r="GC83">
            <v>66.565860860257033</v>
          </cell>
          <cell r="GD83">
            <v>12.577284952348005</v>
          </cell>
          <cell r="GE83">
            <v>-2.6933424677782067</v>
          </cell>
          <cell r="GF83">
            <v>0</v>
          </cell>
          <cell r="GG83">
            <v>0</v>
          </cell>
          <cell r="GH83">
            <v>0</v>
          </cell>
          <cell r="GI83">
            <v>86.00178184144329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9E4B-DB79-497F-B17B-C00BA7252246}">
  <sheetPr codeName="Sheet1"/>
  <dimension ref="A1:BW330"/>
  <sheetViews>
    <sheetView topLeftCell="A68" zoomScale="70" zoomScaleNormal="70" zoomScaleSheetLayoutView="55" workbookViewId="0">
      <selection activeCell="Z133" sqref="Z133"/>
    </sheetView>
  </sheetViews>
  <sheetFormatPr defaultColWidth="9.26953125" defaultRowHeight="16.5" outlineLevelRow="1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0.54296875" style="3" customWidth="1" collapsed="1"/>
    <col min="11" max="12" width="10.54296875" style="3" customWidth="1"/>
    <col min="13" max="13" width="0.54296875" style="3" customWidth="1"/>
    <col min="14" max="16" width="10.54296875" style="3" customWidth="1"/>
    <col min="17" max="17" width="0.54296875" style="3" customWidth="1"/>
    <col min="18" max="20" width="10.54296875" style="3" customWidth="1"/>
    <col min="21" max="21" width="0.54296875" style="3" customWidth="1"/>
    <col min="22" max="24" width="10.54296875" style="3" customWidth="1"/>
    <col min="25" max="25" width="0.54296875" style="3" customWidth="1"/>
    <col min="26" max="28" width="10.54296875" style="3" customWidth="1"/>
    <col min="29" max="29" width="0.54296875" style="3" customWidth="1"/>
    <col min="30" max="32" width="10.54296875" style="3" customWidth="1"/>
    <col min="33" max="33" width="0.54296875" style="3" customWidth="1"/>
    <col min="34" max="36" width="12.54296875" style="3" customWidth="1"/>
    <col min="37" max="37" width="10.7265625" style="3" customWidth="1"/>
    <col min="38" max="38" width="20.54296875" style="3" customWidth="1"/>
    <col min="39" max="39" width="0.54296875" style="3" customWidth="1"/>
    <col min="40" max="40" width="44" style="3" bestFit="1" customWidth="1"/>
    <col min="41" max="41" width="0.54296875" style="3" customWidth="1"/>
    <col min="42" max="44" width="10.54296875" style="3" hidden="1" customWidth="1" outlineLevel="1"/>
    <col min="45" max="45" width="0.54296875" style="3" hidden="1" customWidth="1" outlineLevel="1"/>
    <col min="46" max="46" width="10.54296875" style="3" customWidth="1" collapsed="1"/>
    <col min="47" max="48" width="10.54296875" style="3" customWidth="1"/>
    <col min="49" max="49" width="0.54296875" style="3" customWidth="1"/>
    <col min="50" max="52" width="10.54296875" style="3" customWidth="1"/>
    <col min="53" max="53" width="0.54296875" style="3" customWidth="1"/>
    <col min="54" max="56" width="10.54296875" style="3" customWidth="1"/>
    <col min="57" max="57" width="0.54296875" style="3" customWidth="1"/>
    <col min="58" max="60" width="10.54296875" style="3" hidden="1" customWidth="1"/>
    <col min="61" max="61" width="0.54296875" style="3" hidden="1" customWidth="1"/>
    <col min="62" max="64" width="10.54296875" style="3" customWidth="1"/>
    <col min="65" max="65" width="0.54296875" style="3" customWidth="1"/>
    <col min="66" max="68" width="12.54296875" style="3" customWidth="1"/>
    <col min="69" max="69" width="0.54296875" style="3" customWidth="1"/>
    <col min="70" max="72" width="12.54296875" style="3" customWidth="1"/>
    <col min="73" max="16384" width="9.26953125" style="1"/>
  </cols>
  <sheetData>
    <row r="1" spans="2:75" ht="20" x14ac:dyDescent="0.25">
      <c r="B1" s="2" t="s">
        <v>0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2"/>
      <c r="AM1" s="2"/>
      <c r="AN1" s="2"/>
      <c r="AO1" s="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2:75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/>
      <c r="V2" s="4"/>
      <c r="W2" s="2"/>
      <c r="X2" s="4"/>
      <c r="Y2" s="4"/>
      <c r="Z2" s="4"/>
      <c r="AA2" s="2"/>
      <c r="AB2" s="4"/>
      <c r="AC2" s="4"/>
      <c r="AD2" s="4"/>
      <c r="AE2" s="2"/>
      <c r="AF2" s="4"/>
      <c r="AG2" s="4"/>
      <c r="AH2" s="4"/>
      <c r="AI2" s="2"/>
      <c r="AJ2" s="4"/>
      <c r="AK2" s="4"/>
      <c r="AL2" s="2"/>
      <c r="AM2" s="2"/>
      <c r="AN2" s="2"/>
      <c r="AO2" s="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4"/>
      <c r="BF2" s="4"/>
      <c r="BG2" s="2"/>
      <c r="BH2" s="4"/>
      <c r="BI2" s="4"/>
      <c r="BJ2" s="4"/>
      <c r="BK2" s="2"/>
      <c r="BL2" s="4"/>
      <c r="BM2" s="4"/>
      <c r="BN2" s="4"/>
      <c r="BO2" s="2"/>
      <c r="BP2" s="4"/>
      <c r="BQ2" s="4"/>
      <c r="BR2" s="4"/>
      <c r="BS2" s="2"/>
      <c r="BT2" s="4"/>
    </row>
    <row r="3" spans="2:75" s="10" customFormat="1" ht="40.15" customHeight="1" thickBot="1" x14ac:dyDescent="0.3">
      <c r="B3" s="206" t="s">
        <v>1</v>
      </c>
      <c r="C3" s="206"/>
      <c r="D3" s="206"/>
      <c r="F3" s="207" t="s">
        <v>2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L3" s="206" t="str">
        <f>B3</f>
        <v>May 2024 -YTD</v>
      </c>
      <c r="AM3" s="206"/>
      <c r="AN3" s="206"/>
      <c r="AP3" s="207" t="s">
        <v>3</v>
      </c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44"/>
      <c r="BR3" s="208" t="s">
        <v>4</v>
      </c>
      <c r="BS3" s="209"/>
      <c r="BT3" s="209"/>
    </row>
    <row r="4" spans="2:75" s="11" customFormat="1" ht="26.5" x14ac:dyDescent="0.25">
      <c r="E4" s="12"/>
      <c r="F4" s="205" t="s">
        <v>5</v>
      </c>
      <c r="G4" s="205"/>
      <c r="H4" s="205"/>
      <c r="I4" s="12"/>
      <c r="J4" s="30" t="s">
        <v>6</v>
      </c>
      <c r="K4" s="30"/>
      <c r="L4" s="30"/>
      <c r="M4" s="12"/>
      <c r="N4" s="30" t="s">
        <v>7</v>
      </c>
      <c r="O4" s="30"/>
      <c r="P4" s="30"/>
      <c r="Q4" s="12"/>
      <c r="R4" s="30" t="s">
        <v>8</v>
      </c>
      <c r="S4" s="30"/>
      <c r="T4" s="30"/>
      <c r="U4" s="12"/>
      <c r="V4" s="205" t="s">
        <v>9</v>
      </c>
      <c r="W4" s="205"/>
      <c r="X4" s="205"/>
      <c r="Y4" s="12"/>
      <c r="Z4" s="205" t="s">
        <v>10</v>
      </c>
      <c r="AA4" s="205"/>
      <c r="AB4" s="205"/>
      <c r="AC4" s="12"/>
      <c r="AD4" s="205" t="s">
        <v>11</v>
      </c>
      <c r="AE4" s="205"/>
      <c r="AF4" s="205"/>
      <c r="AG4" s="12"/>
      <c r="AH4" s="205" t="s">
        <v>12</v>
      </c>
      <c r="AI4" s="205"/>
      <c r="AJ4" s="205"/>
      <c r="AK4" s="12"/>
      <c r="AO4" s="12"/>
      <c r="AP4" s="205" t="s">
        <v>5</v>
      </c>
      <c r="AQ4" s="205"/>
      <c r="AR4" s="205"/>
      <c r="AS4" s="12"/>
      <c r="AT4" s="30" t="s">
        <v>13</v>
      </c>
      <c r="AU4" s="30"/>
      <c r="AV4" s="30"/>
      <c r="AW4" s="12"/>
      <c r="AX4" s="30" t="s">
        <v>7</v>
      </c>
      <c r="AY4" s="30"/>
      <c r="AZ4" s="30"/>
      <c r="BA4" s="12"/>
      <c r="BB4" s="30" t="s">
        <v>8</v>
      </c>
      <c r="BC4" s="30"/>
      <c r="BD4" s="30"/>
      <c r="BE4" s="12"/>
      <c r="BF4" s="205" t="s">
        <v>14</v>
      </c>
      <c r="BG4" s="205"/>
      <c r="BH4" s="205"/>
      <c r="BI4" s="12"/>
      <c r="BJ4" s="205" t="s">
        <v>11</v>
      </c>
      <c r="BK4" s="205"/>
      <c r="BL4" s="205"/>
      <c r="BM4" s="12"/>
      <c r="BN4" s="205" t="s">
        <v>12</v>
      </c>
      <c r="BO4" s="205"/>
      <c r="BP4" s="205"/>
      <c r="BQ4" s="45"/>
      <c r="BR4" s="205" t="s">
        <v>12</v>
      </c>
      <c r="BS4" s="205"/>
      <c r="BT4" s="205"/>
    </row>
    <row r="6" spans="2:75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N6" s="5" t="s">
        <v>15</v>
      </c>
      <c r="O6" s="5" t="s">
        <v>16</v>
      </c>
      <c r="P6" s="5" t="s">
        <v>17</v>
      </c>
      <c r="R6" s="5" t="s">
        <v>15</v>
      </c>
      <c r="S6" s="5" t="s">
        <v>16</v>
      </c>
      <c r="T6" s="5" t="s">
        <v>17</v>
      </c>
      <c r="V6" s="5" t="s">
        <v>15</v>
      </c>
      <c r="W6" s="5" t="s">
        <v>16</v>
      </c>
      <c r="X6" s="5" t="s">
        <v>17</v>
      </c>
      <c r="Z6" s="5" t="s">
        <v>15</v>
      </c>
      <c r="AA6" s="5" t="s">
        <v>16</v>
      </c>
      <c r="AB6" s="5" t="s">
        <v>17</v>
      </c>
      <c r="AD6" s="5" t="s">
        <v>15</v>
      </c>
      <c r="AE6" s="5" t="s">
        <v>16</v>
      </c>
      <c r="AF6" s="5" t="s">
        <v>17</v>
      </c>
      <c r="AH6" s="5" t="s">
        <v>15</v>
      </c>
      <c r="AI6" s="5" t="s">
        <v>16</v>
      </c>
      <c r="AJ6" s="5" t="s">
        <v>17</v>
      </c>
      <c r="AP6" s="5" t="s">
        <v>15</v>
      </c>
      <c r="AQ6" s="5" t="s">
        <v>16</v>
      </c>
      <c r="AR6" s="5" t="s">
        <v>17</v>
      </c>
      <c r="AT6" s="5" t="s">
        <v>15</v>
      </c>
      <c r="AU6" s="5" t="s">
        <v>16</v>
      </c>
      <c r="AV6" s="5" t="s">
        <v>17</v>
      </c>
      <c r="AX6" s="5" t="s">
        <v>15</v>
      </c>
      <c r="AY6" s="5" t="s">
        <v>16</v>
      </c>
      <c r="AZ6" s="5" t="s">
        <v>17</v>
      </c>
      <c r="BB6" s="5" t="s">
        <v>15</v>
      </c>
      <c r="BC6" s="5" t="s">
        <v>16</v>
      </c>
      <c r="BD6" s="5" t="s">
        <v>17</v>
      </c>
      <c r="BF6" s="5" t="s">
        <v>15</v>
      </c>
      <c r="BG6" s="5" t="s">
        <v>16</v>
      </c>
      <c r="BH6" s="5" t="s">
        <v>17</v>
      </c>
      <c r="BJ6" s="5" t="s">
        <v>15</v>
      </c>
      <c r="BK6" s="5" t="s">
        <v>16</v>
      </c>
      <c r="BL6" s="5" t="s">
        <v>17</v>
      </c>
      <c r="BN6" s="5" t="s">
        <v>15</v>
      </c>
      <c r="BO6" s="5" t="s">
        <v>16</v>
      </c>
      <c r="BP6" s="5" t="s">
        <v>17</v>
      </c>
      <c r="BR6" s="5" t="s">
        <v>15</v>
      </c>
      <c r="BS6" s="5" t="s">
        <v>16</v>
      </c>
      <c r="BT6" s="5" t="s">
        <v>17</v>
      </c>
    </row>
    <row r="7" spans="2:75" ht="16.5" customHeight="1" x14ac:dyDescent="0.25"/>
    <row r="9" spans="2:75" ht="16.5" customHeight="1" x14ac:dyDescent="0.25">
      <c r="B9" s="202" t="s">
        <v>18</v>
      </c>
      <c r="C9" s="9"/>
      <c r="D9" s="37" t="s">
        <v>19</v>
      </c>
      <c r="J9" s="19">
        <f>+[1]Retail!$C$29/1000</f>
        <v>1.5563907699999999</v>
      </c>
      <c r="K9" s="19">
        <f>+[1]Retail!$C$30/1000</f>
        <v>1.9777291000000026</v>
      </c>
      <c r="L9" s="19">
        <f>+[1]Retail!$C$31/1000</f>
        <v>0</v>
      </c>
      <c r="M9" s="6"/>
      <c r="N9" s="19">
        <f>+[1]SME!$C$29/1000</f>
        <v>24.717281209999999</v>
      </c>
      <c r="O9" s="19">
        <f>+[1]SME!$C$30/1000</f>
        <v>26.269872209999999</v>
      </c>
      <c r="P9" s="19">
        <f>+[1]SME!$C$31/1000</f>
        <v>26.098680000000002</v>
      </c>
      <c r="Q9" s="6"/>
      <c r="R9" s="19">
        <f>+[1]MidCorp!$C$29/1000</f>
        <v>88.71968025000001</v>
      </c>
      <c r="S9" s="19">
        <f>+[1]MidCorp!$C$30/1000</f>
        <v>83.060786179999994</v>
      </c>
      <c r="T9" s="19">
        <f>+[1]MidCorp!$C$31/1000</f>
        <v>86.51</v>
      </c>
      <c r="U9" s="6"/>
      <c r="V9" s="19">
        <f>+[1]MGA!$C$29/1000</f>
        <v>34.64386021</v>
      </c>
      <c r="W9" s="19">
        <f>+[1]MGA!$C$30/1000</f>
        <v>30.20316798</v>
      </c>
      <c r="X9" s="19">
        <f>+[1]MGA!$C$31/1000</f>
        <v>33.014020000000002</v>
      </c>
      <c r="Y9" s="6"/>
      <c r="Z9" s="19">
        <f>+[1]Bancassurance!$C$29/1000</f>
        <v>4.7752789999999989E-2</v>
      </c>
      <c r="AA9" s="19">
        <f>+[1]Bancassurance!$C$30/1000</f>
        <v>0</v>
      </c>
      <c r="AB9" s="19">
        <f>+[1]Bancassurance!$C$31/1000</f>
        <v>0</v>
      </c>
      <c r="AC9" s="6"/>
      <c r="AD9" s="19">
        <f>+[1]Specials!$C$29/1000</f>
        <v>0.22730861000000002</v>
      </c>
      <c r="AE9" s="19">
        <f>+[1]Specials!$C$30/1000</f>
        <v>0.1526518</v>
      </c>
      <c r="AF9" s="19">
        <f>+[1]Specials!$C$31/1000</f>
        <v>0</v>
      </c>
      <c r="AG9" s="6"/>
      <c r="AH9" s="27">
        <f>+'[1]Total P&amp;C'!$C$29/1000</f>
        <v>149.91227383999998</v>
      </c>
      <c r="AI9" s="27">
        <f>+'[1]Total P&amp;C'!$C$30/1000</f>
        <v>141.66420727000002</v>
      </c>
      <c r="AJ9" s="27">
        <f>+'[1]Total P&amp;C'!$C$31/1000</f>
        <v>145.62270000000001</v>
      </c>
      <c r="AL9" s="202" t="s">
        <v>18</v>
      </c>
      <c r="AM9" s="9"/>
      <c r="AN9" s="37" t="s">
        <v>19</v>
      </c>
      <c r="AT9" s="19">
        <f>+[2]Retail!$C$29/1000</f>
        <v>13.38593794</v>
      </c>
      <c r="AU9" s="19">
        <f>+[2]Retail!$C$30/1000</f>
        <v>13.55688477</v>
      </c>
      <c r="AV9" s="19">
        <f>+[2]Retail!$C$31/1000</f>
        <v>15.051035149590804</v>
      </c>
      <c r="AW9" s="6"/>
      <c r="AX9" s="19">
        <f>+[2]SME!$C$29/1000</f>
        <v>4.8422734699999985</v>
      </c>
      <c r="AY9" s="19">
        <f>+[2]SME!$C$30/1000</f>
        <v>5.0260385200000002</v>
      </c>
      <c r="AZ9" s="19">
        <f>+[2]SME!$C$31/1000</f>
        <v>5.1908403131146752</v>
      </c>
      <c r="BA9" s="6"/>
      <c r="BB9" s="19">
        <f>+[2]MidCorp!$C$29/1000</f>
        <v>12.202892899999998</v>
      </c>
      <c r="BC9" s="19">
        <f>+[2]MidCorp!$C$30/1000</f>
        <v>14.601781960000006</v>
      </c>
      <c r="BD9" s="19">
        <f>+[2]MidCorp!$C$31/1000</f>
        <v>12.68340122889137</v>
      </c>
      <c r="BJ9" s="19">
        <f>+[2]Specials!$C$29/1000</f>
        <v>0</v>
      </c>
      <c r="BK9" s="19">
        <f>+[2]Specials!$C$30/1000</f>
        <v>0</v>
      </c>
      <c r="BL9" s="19">
        <f>+[2]Specials!$C$31/1000</f>
        <v>0</v>
      </c>
      <c r="BM9" s="6"/>
      <c r="BN9" s="27">
        <f>+'[2]Total P&amp;C'!$C$29/1000</f>
        <v>30.431104309999998</v>
      </c>
      <c r="BO9" s="27">
        <f>+'[2]Total P&amp;C'!$C$30/1000</f>
        <v>33.184705250000015</v>
      </c>
      <c r="BP9" s="27">
        <f>+'[2]Total P&amp;C'!$C$31/1000</f>
        <v>32.925276691596856</v>
      </c>
      <c r="BR9" s="27">
        <f>+'[3]Total P&amp;C'!$C$29/1000</f>
        <v>180.34337815000001</v>
      </c>
      <c r="BS9" s="27">
        <f>+'[3]Total P&amp;C'!$C$30/1000</f>
        <v>174.84891252</v>
      </c>
      <c r="BT9" s="27">
        <f>+'[3]Total P&amp;C'!$C$31/1000</f>
        <v>178.54797669159686</v>
      </c>
      <c r="BV9" s="46"/>
      <c r="BW9" s="46"/>
    </row>
    <row r="10" spans="2:75" ht="16.5" customHeight="1" x14ac:dyDescent="0.25">
      <c r="B10" s="202"/>
      <c r="C10" s="9"/>
      <c r="D10" s="37" t="s">
        <v>20</v>
      </c>
      <c r="J10" s="19">
        <f>+[1]Retail!$N$29/1000</f>
        <v>1.5321743000000023</v>
      </c>
      <c r="K10" s="19">
        <f>+[1]Retail!$N$30/1000</f>
        <v>1.9449420899999996</v>
      </c>
      <c r="L10" s="19">
        <f>+[1]Retail!$N$31/1000</f>
        <v>0</v>
      </c>
      <c r="M10" s="6"/>
      <c r="N10" s="19">
        <f>+[1]SME!$N$29/1000</f>
        <v>15.290361089999999</v>
      </c>
      <c r="O10" s="19">
        <f>+[1]SME!$N$30/1000</f>
        <v>16.305077649999994</v>
      </c>
      <c r="P10" s="19">
        <f>+[1]SME!$N$31/1000</f>
        <v>16.131750683738819</v>
      </c>
      <c r="Q10" s="6"/>
      <c r="R10" s="19">
        <f>+[1]MidCorp!$N$29/1000</f>
        <v>72.11585144</v>
      </c>
      <c r="S10" s="19">
        <f>+[1]MidCorp!$N$30/1000</f>
        <v>65.510597939999997</v>
      </c>
      <c r="T10" s="19">
        <f>+[1]MidCorp!$N$31/1000</f>
        <v>67.806250000000077</v>
      </c>
      <c r="U10" s="6"/>
      <c r="V10" s="19">
        <f>+[1]MGA!$N$29/1000</f>
        <v>28.361353040000012</v>
      </c>
      <c r="W10" s="19">
        <f>+[1]MGA!$N$30/1000</f>
        <v>24.950295249999996</v>
      </c>
      <c r="X10" s="19">
        <f>+[1]MGA!$N$31/1000</f>
        <v>30.189168233821306</v>
      </c>
      <c r="Y10" s="6"/>
      <c r="Z10" s="19">
        <f>+[1]Bancassurance!$N$29/1000</f>
        <v>4.3950409999999995E-2</v>
      </c>
      <c r="AA10" s="19">
        <f>+[1]Bancassurance!$N$30/1000</f>
        <v>0</v>
      </c>
      <c r="AB10" s="19">
        <f>+[1]Bancassurance!$N$31/1000</f>
        <v>0</v>
      </c>
      <c r="AC10" s="6"/>
      <c r="AD10" s="19">
        <f>+[1]Specials!$N$29/1000</f>
        <v>7.6972399999999996E-2</v>
      </c>
      <c r="AE10" s="19">
        <f>+[1]Specials!$N$30/1000</f>
        <v>1.8785159999999999E-2</v>
      </c>
      <c r="AF10" s="19">
        <f>+[1]Specials!$N$31/1000</f>
        <v>0</v>
      </c>
      <c r="AG10" s="6"/>
      <c r="AH10" s="27">
        <f>+'[1]Total P&amp;C'!$N$29/1000</f>
        <v>117.42066268000001</v>
      </c>
      <c r="AI10" s="27">
        <f>+'[1]Total P&amp;C'!$N$30/1000</f>
        <v>108.72969808999999</v>
      </c>
      <c r="AJ10" s="27">
        <f>+'[1]Total P&amp;C'!$N$31/1000</f>
        <v>114.1271689175602</v>
      </c>
      <c r="AL10" s="202"/>
      <c r="AM10" s="9"/>
      <c r="AN10" s="37" t="s">
        <v>20</v>
      </c>
      <c r="AT10" s="19">
        <f>+[2]Retail!$N$29/1000</f>
        <v>12.935799200000003</v>
      </c>
      <c r="AU10" s="19">
        <f>+[2]Retail!$N$30/1000</f>
        <v>12.847085620000001</v>
      </c>
      <c r="AV10" s="19">
        <f>+[2]Retail!$N$31/1000</f>
        <v>13.88639682652431</v>
      </c>
      <c r="AW10" s="6"/>
      <c r="AX10" s="19">
        <f>+[2]SME!$N$29/1000</f>
        <v>4.0515993899999998</v>
      </c>
      <c r="AY10" s="19">
        <f>+[2]SME!$N$30/1000</f>
        <v>4.1866976500000002</v>
      </c>
      <c r="AZ10" s="19">
        <f>+[2]SME!$N$31/1000</f>
        <v>4.3052088255350682</v>
      </c>
      <c r="BA10" s="6"/>
      <c r="BB10" s="19">
        <f>+[2]MidCorp!$N$29/1000</f>
        <v>8.0085513600000002</v>
      </c>
      <c r="BC10" s="19">
        <f>+[2]MidCorp!$N$30/1000</f>
        <v>9.1735504300000024</v>
      </c>
      <c r="BD10" s="19">
        <f>+[2]MidCorp!$N$31/1000</f>
        <v>7.9935288238676305</v>
      </c>
      <c r="BJ10" s="19">
        <f>+[2]Specials!$N$29/1000</f>
        <v>0</v>
      </c>
      <c r="BK10" s="19">
        <f>+[2]Specials!$N$30/1000</f>
        <v>0</v>
      </c>
      <c r="BL10" s="19">
        <f>+[2]Specials!$N$31/1000</f>
        <v>0</v>
      </c>
      <c r="BM10" s="6"/>
      <c r="BN10" s="27">
        <f>+'[2]Total P&amp;C'!$N$29/1000</f>
        <v>24.995949950000004</v>
      </c>
      <c r="BO10" s="27">
        <f>+'[2]Total P&amp;C'!$N$30/1000</f>
        <v>26.207333700000003</v>
      </c>
      <c r="BP10" s="27">
        <f>+'[2]Total P&amp;C'!$N$31/1000</f>
        <v>26.185134475927011</v>
      </c>
      <c r="BR10" s="27">
        <f>+'[3]Total P&amp;C'!$N$29/1000</f>
        <v>142.41661263000003</v>
      </c>
      <c r="BS10" s="27">
        <f>+'[3]Total P&amp;C'!$N$30/1000</f>
        <v>134.93703178999999</v>
      </c>
      <c r="BT10" s="27">
        <f>+'[3]Total P&amp;C'!$N$31/1000</f>
        <v>140.31230339348721</v>
      </c>
    </row>
    <row r="11" spans="2:75" ht="16.5" customHeight="1" x14ac:dyDescent="0.25">
      <c r="B11" s="202"/>
      <c r="C11" s="9"/>
      <c r="D11" s="37" t="s">
        <v>21</v>
      </c>
      <c r="J11" s="20">
        <f>+J12+J17+J18+J19+J20</f>
        <v>0.99473411739121065</v>
      </c>
      <c r="K11" s="20">
        <f>+K12+K17+K18+K19+K20</f>
        <v>0.70973229850766473</v>
      </c>
      <c r="L11" s="20" t="e">
        <f>+L12+L17+L18+L19+L20</f>
        <v>#DIV/0!</v>
      </c>
      <c r="M11" s="6"/>
      <c r="N11" s="20">
        <f>+N12+N17+N18+N19+N20</f>
        <v>0.90659368463612888</v>
      </c>
      <c r="O11" s="20">
        <f>+O12+O17+O18+O19+O20</f>
        <v>1.0028136799458913</v>
      </c>
      <c r="P11" s="20">
        <f>+P12+P17+P18+P19+P20</f>
        <v>0.91904972555876985</v>
      </c>
      <c r="Q11" s="6"/>
      <c r="R11" s="20">
        <f>+R12+R17+R18+R19+R20</f>
        <v>0.98964589427857996</v>
      </c>
      <c r="S11" s="20">
        <f>+S12+S17+S18+S19+S20</f>
        <v>0.92857686577238407</v>
      </c>
      <c r="T11" s="20">
        <f>+T12+T17+T18+T19+T20</f>
        <v>0.96500340665313478</v>
      </c>
      <c r="U11" s="6"/>
      <c r="V11" s="20">
        <f>+V12+V17+V18+V19+V20</f>
        <v>0.98281530083164115</v>
      </c>
      <c r="W11" s="20">
        <f>+W12+W17+W18+W19+W20</f>
        <v>0.92239116689410749</v>
      </c>
      <c r="X11" s="20">
        <f>+X12+X17+X18+X19+X20</f>
        <v>0.96018477914324729</v>
      </c>
      <c r="Y11" s="6"/>
      <c r="Z11" s="20">
        <f>+Z12+Z17+Z18+Z19+Z20</f>
        <v>0.15005275263643733</v>
      </c>
      <c r="AA11" s="20" t="e">
        <f>+AA12+AA17+AA18+AA19+AA20</f>
        <v>#DIV/0!</v>
      </c>
      <c r="AB11" s="20" t="e">
        <f>+AB12+AB17+AB18+AB19+AB20</f>
        <v>#DIV/0!</v>
      </c>
      <c r="AC11" s="6"/>
      <c r="AD11" s="20">
        <f>+AD12+AD17+AD18+AD19+AD20</f>
        <v>-7.2095916198533505</v>
      </c>
      <c r="AE11" s="20">
        <f>+AE12+AE17+AE18+AE19+AE20</f>
        <v>-30.09516607790405</v>
      </c>
      <c r="AF11" s="20" t="e">
        <f>+AF12+AF17+AF18+AF19+AF20</f>
        <v>#DIV/0!</v>
      </c>
      <c r="AG11" s="6"/>
      <c r="AH11" s="28">
        <f>+AH12+AH17+AH18+AH19+AH20</f>
        <v>0.97155842563160033</v>
      </c>
      <c r="AI11" s="28">
        <f>+AI12+AI17+AI18+AI19+AI20</f>
        <v>0.929244399137097</v>
      </c>
      <c r="AJ11" s="28">
        <f>+AJ12+AJ17+AJ18+AJ19+AJ20</f>
        <v>0.95579616904882003</v>
      </c>
      <c r="AL11" s="202"/>
      <c r="AM11" s="9"/>
      <c r="AN11" s="37" t="s">
        <v>21</v>
      </c>
      <c r="AT11" s="20">
        <f>+AT12+AT17+AT18+AT19+AT20</f>
        <v>0.89813124727539151</v>
      </c>
      <c r="AU11" s="20">
        <f>+AU12+AU17+AU18+AU19+AU20</f>
        <v>0.74489036214580628</v>
      </c>
      <c r="AV11" s="20">
        <f>+AV12+AV17+AV18+AV19+AV20</f>
        <v>0.97887741485310309</v>
      </c>
      <c r="AW11" s="6"/>
      <c r="AX11" s="20">
        <f>+AX12+AX17+AX18+AX19+AX20</f>
        <v>1.1016911472089057</v>
      </c>
      <c r="AY11" s="20">
        <f>+AY12+AY17+AY18+AY19+AY20</f>
        <v>0.91191067260374148</v>
      </c>
      <c r="AZ11" s="20">
        <f>+AZ12+AZ17+AZ18+AZ19+AZ20</f>
        <v>1.1263427343106751</v>
      </c>
      <c r="BA11" s="6"/>
      <c r="BB11" s="20">
        <f>+BB12+BB17+BB18+BB19+BB20</f>
        <v>1.1423508620665195</v>
      </c>
      <c r="BC11" s="20">
        <f>+BC12+BC17+BC18+BC19+BC20</f>
        <v>1.5009575610955679</v>
      </c>
      <c r="BD11" s="20">
        <f>+BD12+BD17+BD18+BD19+BD20</f>
        <v>1.1733335703478411</v>
      </c>
      <c r="BJ11" s="20" t="e">
        <f>+BJ12+BJ17+BJ18+BJ19+BJ20</f>
        <v>#DIV/0!</v>
      </c>
      <c r="BK11" s="20" t="e">
        <f>+BK12+BK17+BK18+BK19+BK20</f>
        <v>#DIV/0!</v>
      </c>
      <c r="BL11" s="20" t="e">
        <f>+BL12+BL17+BL18+BL19+BL20</f>
        <v>#DIV/0!</v>
      </c>
      <c r="BM11" s="6"/>
      <c r="BN11" s="28">
        <f>+BN12+BN17+BN18+BN19+BN20</f>
        <v>1.009372808413709</v>
      </c>
      <c r="BO11" s="28">
        <f>+BO12+BO17+BO18+BO19+BO20</f>
        <v>1.0362242386374465</v>
      </c>
      <c r="BP11" s="28">
        <f>+BP12+BP17+BP18+BP19+BP20</f>
        <v>1.0624843896703386</v>
      </c>
      <c r="BR11" s="28">
        <f>+BR12+BR17+BR18+BR19+BR20</f>
        <v>0.97819533688764415</v>
      </c>
      <c r="BS11" s="28">
        <f>+BS12+BS17+BS18+BS19+BS20</f>
        <v>0.95002191525529178</v>
      </c>
      <c r="BT11" s="28">
        <f>+BT12+BT17+BT18+BT19+BT20</f>
        <v>0.97570636463685356</v>
      </c>
    </row>
    <row r="12" spans="2:75" ht="16.5" customHeight="1" x14ac:dyDescent="0.25">
      <c r="B12" s="202"/>
      <c r="C12" s="9"/>
      <c r="D12" s="37" t="s">
        <v>22</v>
      </c>
      <c r="J12" s="20">
        <f>+J13+J14+J15+J16</f>
        <v>0.14029227614638862</v>
      </c>
      <c r="K12" s="20">
        <f>+K13+K14+K15+K16</f>
        <v>1.6124657264217057</v>
      </c>
      <c r="L12" s="20" t="e">
        <f>+L13+L14+L15+L16</f>
        <v>#DIV/0!</v>
      </c>
      <c r="M12" s="6"/>
      <c r="N12" s="20">
        <f>+N13+N14+N15+N16</f>
        <v>0.71160839210763194</v>
      </c>
      <c r="O12" s="20">
        <f>+O13+O14+O15+O16</f>
        <v>0.57099348128526106</v>
      </c>
      <c r="P12" s="20">
        <f>+P13+P14+P15+P16</f>
        <v>0.66376763129606819</v>
      </c>
      <c r="Q12" s="6"/>
      <c r="R12" s="20">
        <f>+R13+R14+R15+R16</f>
        <v>0.76560472916188615</v>
      </c>
      <c r="S12" s="20">
        <f>+S13+S14+S15+S16</f>
        <v>0.74944335243232862</v>
      </c>
      <c r="T12" s="20">
        <f>+T13+T14+T15+T16</f>
        <v>0.77241343511214811</v>
      </c>
      <c r="U12" s="6"/>
      <c r="V12" s="20">
        <f>+V13+V14+V15+V16</f>
        <v>0.72387673081199333</v>
      </c>
      <c r="W12" s="20">
        <f>+W13+W14+W15+W16</f>
        <v>0.71402640135090201</v>
      </c>
      <c r="X12" s="20">
        <f>+X13+X14+X15+X16</f>
        <v>0.69021299947474168</v>
      </c>
      <c r="Y12" s="6"/>
      <c r="Z12" s="20">
        <f>+Z13+Z14+Z15+Z16</f>
        <v>0</v>
      </c>
      <c r="AA12" s="20" t="e">
        <f>+AA13+AA14+AA15+AA16</f>
        <v>#DIV/0!</v>
      </c>
      <c r="AB12" s="20" t="e">
        <f>+AB13+AB14+AB15+AB16</f>
        <v>#DIV/0!</v>
      </c>
      <c r="AC12" s="6"/>
      <c r="AD12" s="20">
        <f>+AD13+AD14+AD15+AD16</f>
        <v>-5.5344513098201435</v>
      </c>
      <c r="AE12" s="20">
        <f>+AE13+AE14+AE15+AE16</f>
        <v>-22.50249665161223</v>
      </c>
      <c r="AF12" s="20" t="e">
        <f>+AF13+AF14+AF15+AF16</f>
        <v>#DIV/0!</v>
      </c>
      <c r="AG12" s="6"/>
      <c r="AH12" s="28">
        <f>+AH13+AH14+AH15+AH16</f>
        <v>0.73591870415085292</v>
      </c>
      <c r="AI12" s="28">
        <f>+AI13+AI14+AI15+AI16</f>
        <v>0.72597630239589317</v>
      </c>
      <c r="AJ12" s="28">
        <f>+AJ13+AJ14+AJ15+AJ16</f>
        <v>0.73622729059748004</v>
      </c>
      <c r="AL12" s="202"/>
      <c r="AM12" s="9"/>
      <c r="AN12" s="37" t="s">
        <v>22</v>
      </c>
      <c r="AT12" s="20">
        <f>+AT13+AT14+AT15+AT16</f>
        <v>0.72769340297119012</v>
      </c>
      <c r="AU12" s="20">
        <f>+AU13+AU14+AU15+AU16</f>
        <v>0.81545181606721462</v>
      </c>
      <c r="AV12" s="20">
        <f>+AV13+AV14+AV15+AV16</f>
        <v>0.65439231784781682</v>
      </c>
      <c r="AW12" s="6"/>
      <c r="AX12" s="20">
        <f>+AX13+AX14+AX15+AX16</f>
        <v>0.86225948661720975</v>
      </c>
      <c r="AY12" s="20">
        <f>+AY13+AY14+AY15+AY16</f>
        <v>0.61403741681704671</v>
      </c>
      <c r="AZ12" s="20">
        <f>+AZ13+AZ14+AZ15+AZ16</f>
        <v>0.72124149774317559</v>
      </c>
      <c r="BA12" s="6"/>
      <c r="BB12" s="20">
        <f>+BB13+BB14+BB15+BB16</f>
        <v>1.0676186660554798</v>
      </c>
      <c r="BC12" s="20">
        <f>+BC13+BC14+BC15+BC16</f>
        <v>0.94336597983906223</v>
      </c>
      <c r="BD12" s="20">
        <f>+BD13+BD14+BD15+BD16</f>
        <v>0.87513256640723014</v>
      </c>
      <c r="BJ12" s="20" t="e">
        <f>+BJ13+BJ14+BJ15+BJ16</f>
        <v>#DIV/0!</v>
      </c>
      <c r="BK12" s="20" t="e">
        <f>+BK13+BK14+BK15+BK16</f>
        <v>#DIV/0!</v>
      </c>
      <c r="BL12" s="20" t="e">
        <f>+BL13+BL14+BL15+BL16</f>
        <v>#DIV/0!</v>
      </c>
      <c r="BM12" s="6"/>
      <c r="BN12" s="28">
        <f>+BN13+BN14+BN15+BN16</f>
        <v>0.8584152517876199</v>
      </c>
      <c r="BO12" s="28">
        <f>+BO13+BO14+BO15+BO16</f>
        <v>0.82805003929110121</v>
      </c>
      <c r="BP12" s="28">
        <f>+BP13+BP14+BP15+BP16</f>
        <v>0.73276858972067671</v>
      </c>
      <c r="BR12" s="28">
        <f>+BR13+BR14+BR15+BR16</f>
        <v>0.75741842610907184</v>
      </c>
      <c r="BS12" s="28">
        <f>+BS13+BS14+BS15+BS16</f>
        <v>0.74580096023320142</v>
      </c>
      <c r="BT12" s="28">
        <f>+BT13+BT14+BT15+BT16</f>
        <v>0.73558182654778004</v>
      </c>
    </row>
    <row r="13" spans="2:75" ht="16.5" customHeight="1" x14ac:dyDescent="0.25">
      <c r="B13" s="202"/>
      <c r="C13" s="9"/>
      <c r="D13" s="38" t="s">
        <v>23</v>
      </c>
      <c r="J13" s="20">
        <f>-SUM([1]Retail!$O$29,[1]Retail!$R$29:$V$29,[1]Retail!$Y$29,[1]Retail!$AB$29,[1]Retail!$AU$29,[1]Retail!$AX$29,[1]Retail!$BA$29,[1]Retail!$BD$29)/1000/J10</f>
        <v>6.1285318517612423E-2</v>
      </c>
      <c r="K13" s="42">
        <f>-SUM([1]Retail!$O$30,[1]Retail!$R$30:$V$30,[1]Retail!$Y$30,[1]Retail!$AB$30,[1]Retail!$AU$30,[1]Retail!$AX$30,[1]Retail!$BA$30,[1]Retail!$BD$30)/1000/K10</f>
        <v>0.86744514534133788</v>
      </c>
      <c r="L13" s="42" t="e">
        <f>-SUM([1]Retail!$O$31,[1]Retail!$R$31:$V$31,[1]Retail!$Y$31,[1]Retail!$AB$31,[1]Retail!$AU$31,[1]Retail!$AX$31,[1]Retail!$BA$31,[1]Retail!$BD$31)/1000/L10</f>
        <v>#DIV/0!</v>
      </c>
      <c r="M13" s="6"/>
      <c r="N13" s="20">
        <f>-SUM([1]SME!$O$29,[1]SME!$R$29:$V$29,[1]SME!$Y$29,[1]SME!$AB$29,[1]SME!$AU$29,[1]SME!$AX$29,[1]SME!$BA$29,[1]SME!$BD$29)/1000/N10</f>
        <v>0.60795808264468731</v>
      </c>
      <c r="O13" s="20">
        <f>-SUM([1]SME!$O$30,[1]SME!$R$30:$V$30,[1]SME!$Y$30,[1]SME!$AB$30,[1]SME!$AU$30,[1]SME!$AX$30,[1]SME!$BA$30,[1]SME!$BD$30)/1000/O10</f>
        <v>0.52107185063854888</v>
      </c>
      <c r="P13" s="20">
        <f>-SUM([1]SME!$O$31,[1]SME!$R$31:$V$31,[1]SME!$Y$31,[1]SME!$AB$31,[1]SME!$AU$31,[1]SME!$AX$31,[1]SME!$BA$31,[1]SME!$BD$31)/1000/P10</f>
        <v>0.55247915274024351</v>
      </c>
      <c r="Q13" s="6"/>
      <c r="R13" s="20">
        <f>-SUM([1]MidCorp!$O$29,[1]MidCorp!$R$29:$V$29,[1]MidCorp!$Y$29,[1]MidCorp!$AB$29,[1]MidCorp!$AU$29,[1]MidCorp!$AX$29,[1]MidCorp!$BA$29,[1]MidCorp!$BD$29)/1000/R10</f>
        <v>0.64185157000257242</v>
      </c>
      <c r="S13" s="20">
        <f>-SUM([1]MidCorp!$O$30,[1]MidCorp!$R$30:$V$30,[1]MidCorp!$Y$30,[1]MidCorp!$AB$30,[1]MidCorp!$AU$30,[1]MidCorp!$AX$30,[1]MidCorp!$BA$30,[1]MidCorp!$BD$30)/1000/S10</f>
        <v>0.58438227545387544</v>
      </c>
      <c r="T13" s="20">
        <f>-SUM([1]MidCorp!$O$31,[1]MidCorp!$R$31:$V$31,[1]MidCorp!$Y$31,[1]MidCorp!$AB$31,[1]MidCorp!$AU$31,[1]MidCorp!$AX$31,[1]MidCorp!$BA$31,[1]MidCorp!$BD$31)/1000/T10</f>
        <v>0.58771727654174932</v>
      </c>
      <c r="U13" s="6"/>
      <c r="V13" s="20">
        <f>-SUM([1]MGA!$O$29,[1]MGA!$R$29:$V$29,[1]MGA!$Y$29,[1]MGA!$AB$29,[1]MGA!$AU$29,[1]MGA!$AX$29,[1]MGA!$BA$29,[1]MGA!$BD$29)/1000/V10</f>
        <v>0.64391621520121911</v>
      </c>
      <c r="W13" s="20">
        <f>-SUM([1]MGA!$O$30,[1]MGA!$R$30:$V$30,[1]MGA!$Y$30,[1]MGA!$AB$30,[1]MGA!$AU$30,[1]MGA!$AX$30,[1]MGA!$BA$30,[1]MGA!$BD$30)/1000/W10</f>
        <v>0.61171307195112057</v>
      </c>
      <c r="X13" s="20">
        <f>-SUM([1]MGA!$O$31,[1]MGA!$R$31:$V$31,[1]MGA!$Y$31,[1]MGA!$AB$31,[1]MGA!$AU$31,[1]MGA!$AX$31,[1]MGA!$BA$31,[1]MGA!$BD$31)/1000/X10</f>
        <v>0.58252739915923113</v>
      </c>
      <c r="Y13" s="6"/>
      <c r="Z13" s="20">
        <f>-SUM([1]Bancassurance!$O$29,[1]Bancassurance!$R$29:$V$29,[1]Bancassurance!$Y$29,[1]Bancassurance!$AB$29,[1]Bancassurance!$AU$29,[1]Bancassurance!$AX$29,[1]Bancassurance!$BA$29,[1]Bancassurance!$BD$29)/1000/Z10</f>
        <v>0</v>
      </c>
      <c r="AA13" s="20" t="e">
        <f>-SUM([1]Bancassurance!$O$30,[1]Bancassurance!$R$30:$V$30,[1]Bancassurance!$Y$30,[1]Bancassurance!$AB$30,[1]Bancassurance!$AU$30,[1]Bancassurance!$AX$30,[1]Bancassurance!$BA$30,[1]Bancassurance!$BD$30)/1000/AA10</f>
        <v>#DIV/0!</v>
      </c>
      <c r="AB13" s="20" t="e">
        <f>-SUM([1]Bancassurance!$O$31,[1]Bancassurance!$R$31:$V$31,[1]Bancassurance!$Y$31,[1]Bancassurance!$AB$31,[1]Bancassurance!$AU$31,[1]Bancassurance!$AX$31,[1]Bancassurance!$BA$31,[1]Bancassurance!$BD$31)/1000/AB10</f>
        <v>#DIV/0!</v>
      </c>
      <c r="AC13" s="6"/>
      <c r="AD13" s="20">
        <f>-SUM([1]Specials!$O$29,[1]Specials!$R$29:$V$29,[1]Specials!$Y$29,[1]Specials!$AB$29,[1]Specials!$AU$29,[1]Specials!$AX$29,[1]Specials!$BA$29,[1]Specials!$BD$29)/1000/AD10</f>
        <v>0</v>
      </c>
      <c r="AE13" s="20">
        <f>-SUM([1]Specials!$O$30,[1]Specials!$R$30:$V$30,[1]Specials!$Y$30,[1]Specials!$AB$30,[1]Specials!$AU$30,[1]Specials!$AX$30,[1]Specials!$BA$30,[1]Specials!$BD$30)/1000/AE10</f>
        <v>1.5278017328572129E-2</v>
      </c>
      <c r="AF13" s="20" t="e">
        <f>-SUM([1]Specials!$O$31,[1]Specials!$R$31:$V$31,[1]Specials!$Y$31,[1]Specials!$AB$31,[1]Specials!$AU$31,[1]Specials!$AX$31,[1]Specials!$BA$31,[1]Specials!$BD$31)/1000/AF10</f>
        <v>#DIV/0!</v>
      </c>
      <c r="AG13" s="6"/>
      <c r="AH13" s="28">
        <f>-SUM('[1]Total P&amp;C'!$O$29,'[1]Total P&amp;C'!$R$29:$V$29,'[1]Total P&amp;C'!$Y$29,'[1]Total P&amp;C'!$AB$29,'[1]Total P&amp;C'!$AU$29,'[1]Total P&amp;C'!$AX$29,'[1]Total P&amp;C'!$BA$29,'[1]Total P&amp;C'!$BD$29)/1000/AH10</f>
        <v>0.62970012508841</v>
      </c>
      <c r="AI13" s="28">
        <f>-SUM('[1]Total P&amp;C'!$O$30,'[1]Total P&amp;C'!$R$30:$V$30,'[1]Total P&amp;C'!$Y$30,'[1]Total P&amp;C'!$AB$30,'[1]Total P&amp;C'!$AU$30,'[1]Total P&amp;C'!$AX$30,'[1]Total P&amp;C'!$BA$30,'[1]Total P&amp;C'!$BD$30)/1000/AI10</f>
        <v>0.58612494767589762</v>
      </c>
      <c r="AJ13" s="28">
        <f>-SUM('[1]Total P&amp;C'!$O$31,'[1]Total P&amp;C'!$R$31:$V$31,'[1]Total P&amp;C'!$Y$31,'[1]Total P&amp;C'!$AB$31,'[1]Total P&amp;C'!$AU$31,'[1]Total P&amp;C'!$AX$31,'[1]Total P&amp;C'!$BA$31,'[1]Total P&amp;C'!$BD$31)/1000/AJ10</f>
        <v>0.58227822866047696</v>
      </c>
      <c r="AL13" s="202"/>
      <c r="AM13" s="9"/>
      <c r="AN13" s="38" t="s">
        <v>23</v>
      </c>
      <c r="AT13" s="20">
        <f>-SUM([2]Retail!$O$29,[2]Retail!$R$29:$V$29,[2]Retail!$Y$29,[2]Retail!$AB$29,[2]Retail!$AU$29,[2]Retail!$AX$29,[2]Retail!$BA$29,[2]Retail!$BD$29)/1000/AT10</f>
        <v>0.65711188384151675</v>
      </c>
      <c r="AU13" s="42">
        <f>-SUM([2]Retail!$O$30,[2]Retail!$R$30:$V$30,[2]Retail!$Y$30,[2]Retail!$AB$30,[2]Retail!$AU$30,[2]Retail!$AX$30,[2]Retail!$BA$30,[2]Retail!$BD$30)/1000/AU10</f>
        <v>0.69138911288737859</v>
      </c>
      <c r="AV13" s="42">
        <f>-SUM([2]Retail!$O$31,[2]Retail!$R$31:$V$31,[2]Retail!$Y$31,[2]Retail!$AB$31,[2]Retail!$AU$31,[2]Retail!$AX$31,[2]Retail!$BA$31,[2]Retail!$BD$31)/1000/AV10</f>
        <v>0.56942388838642255</v>
      </c>
      <c r="AW13" s="6"/>
      <c r="AX13" s="20">
        <f>-SUM([2]SME!$O$29,[2]SME!$R$29:$V$29,[2]SME!$Y$29,[2]SME!$AB$29,[2]SME!$AU$29,[2]SME!$AX$29,[2]SME!$BA$29,[2]SME!$BD$29)/1000/AX10</f>
        <v>0.77891660054501144</v>
      </c>
      <c r="AY13" s="20">
        <f>-SUM([2]SME!$O$30,[2]SME!$R$30:$V$30,[2]SME!$Y$30,[2]SME!$AB$30,[2]SME!$AU$30,[2]SME!$AX$30,[2]SME!$BA$30,[2]SME!$BD$30)/1000/AY10</f>
        <v>0.55232457734319551</v>
      </c>
      <c r="AZ13" s="20">
        <f>-SUM([2]SME!$O$31,[2]SME!$R$31:$V$31,[2]SME!$Y$31,[2]SME!$AB$31,[2]SME!$AU$31,[2]SME!$AX$31,[2]SME!$BA$31,[2]SME!$BD$31)/1000/AZ10</f>
        <v>0.6332555784414452</v>
      </c>
      <c r="BA13" s="6"/>
      <c r="BB13" s="20">
        <f>-SUM([2]MidCorp!$O$29,[2]MidCorp!$R$29:$V$29,[2]MidCorp!$Y$29,[2]MidCorp!$AB$29,[2]MidCorp!$AU$29,[2]MidCorp!$AX$29,[2]MidCorp!$BA$29,[2]MidCorp!$BD$29)/1000/BB10</f>
        <v>0.91936446876212852</v>
      </c>
      <c r="BC13" s="20">
        <f>-SUM([2]MidCorp!$O$30,[2]MidCorp!$R$30:$V$30,[2]MidCorp!$Y$30,[2]MidCorp!$AB$30,[2]MidCorp!$AU$30,[2]MidCorp!$AX$30,[2]MidCorp!$BA$30,[2]MidCorp!$BD$30)/1000/BC10</f>
        <v>0.84277604172935261</v>
      </c>
      <c r="BD13" s="20">
        <f>-SUM([2]MidCorp!$O$31,[2]MidCorp!$R$31:$V$31,[2]MidCorp!$Y$31,[2]MidCorp!$AB$31,[2]MidCorp!$AU$31,[2]MidCorp!$AX$31,[2]MidCorp!$BA$31,[2]MidCorp!$BD$31)/1000/BD10</f>
        <v>0.6690906924540776</v>
      </c>
      <c r="BJ13" s="20" t="e">
        <f>-SUM([2]Specials!$O$29,[2]Specials!$R$29:$V$29,[2]Specials!$Y$29,[2]Specials!$AB$29,[2]Specials!$AU$29,[2]Specials!$AX$29,[2]Specials!$BA$29,[2]Specials!$BD$29)/1000/BJ10</f>
        <v>#DIV/0!</v>
      </c>
      <c r="BK13" s="20" t="e">
        <f>-SUM([2]Specials!$O$30,[2]Specials!$R$30:$V$30,[2]Specials!$Y$30,[2]Specials!$AB$30,[2]Specials!$AU$30,[2]Specials!$AX$30,[2]Specials!$BA$30,[2]Specials!$BD$30)/1000/BK10</f>
        <v>#DIV/0!</v>
      </c>
      <c r="BL13" s="20" t="e">
        <f>-SUM([2]Specials!$O$31,[2]Specials!$R$31:$V$31,[2]Specials!$Y$31,[2]Specials!$AB$31,[2]Specials!$AU$31,[2]Specials!$AX$31,[2]Specials!$BA$31,[2]Specials!$BD$31)/1000/BL10</f>
        <v>#DIV/0!</v>
      </c>
      <c r="BM13" s="6"/>
      <c r="BN13" s="28">
        <f>-SUM('[2]Total P&amp;C'!$O$29,'[2]Total P&amp;C'!$R$29:$V$29,'[2]Total P&amp;C'!$Y$29,'[2]Total P&amp;C'!$AB$29,'[2]Total P&amp;C'!$AU$29,'[2]Total P&amp;C'!$AX$29,'[2]Total P&amp;C'!$BA$29,'[2]Total P&amp;C'!$BD$29)/1000/BN10</f>
        <v>0.76087938284486956</v>
      </c>
      <c r="BO13" s="28">
        <f>-SUM('[2]Total P&amp;C'!$O$30,'[2]Total P&amp;C'!$R$30:$V$30,'[2]Total P&amp;C'!$Y$30,'[2]Total P&amp;C'!$AB$30,'[2]Total P&amp;C'!$AU$30,'[2]Total P&amp;C'!$AX$30,'[2]Total P&amp;C'!$BA$30,'[2]Total P&amp;C'!$BD$30)/1000/BO10</f>
        <v>0.72216425664088069</v>
      </c>
      <c r="BP13" s="28">
        <f>-SUM('[2]Total P&amp;C'!$O$31,'[2]Total P&amp;C'!$R$31:$V$31,'[2]Total P&amp;C'!$Y$31,'[2]Total P&amp;C'!$AB$31,'[2]Total P&amp;C'!$AU$31,'[2]Total P&amp;C'!$AX$31,'[2]Total P&amp;C'!$BA$31,'[2]Total P&amp;C'!$BD$31)/1000/BP10</f>
        <v>0.61034398476615803</v>
      </c>
      <c r="BR13" s="28">
        <f>-SUM('[3]Total P&amp;C'!$O$29,'[3]Total P&amp;C'!$R$29:$V$29,'[3]Total P&amp;C'!$Y$29,'[3]Total P&amp;C'!$AB$29,'[3]Total P&amp;C'!$AU$29,'[3]Total P&amp;C'!$AX$29,'[3]Total P&amp;C'!$BA$29,'[3]Total P&amp;C'!$BD$29)/1000/BR10</f>
        <v>0.65272377451249319</v>
      </c>
      <c r="BS13" s="28">
        <f>-SUM('[3]Total P&amp;C'!$O$30,'[3]Total P&amp;C'!$R$30:$V$30,'[3]Total P&amp;C'!$Y$30,'[3]Total P&amp;C'!$AB$30,'[3]Total P&amp;C'!$AU$30,'[3]Total P&amp;C'!$AX$30,'[3]Total P&amp;C'!$BA$30,'[3]Total P&amp;C'!$BD$30)/1000/BS10</f>
        <v>0.61254636453284483</v>
      </c>
      <c r="BT13" s="28">
        <f>-SUM('[3]Total P&amp;C'!$O$31,'[3]Total P&amp;C'!$R$31:$V$31,'[3]Total P&amp;C'!$Y$31,'[3]Total P&amp;C'!$AB$31,'[3]Total P&amp;C'!$AU$31,'[3]Total P&amp;C'!$AX$31,'[3]Total P&amp;C'!$BA$31,'[3]Total P&amp;C'!$BD$31)/1000/BT10</f>
        <v>0.58751587054947729</v>
      </c>
    </row>
    <row r="14" spans="2:75" ht="16.5" customHeight="1" x14ac:dyDescent="0.25">
      <c r="B14" s="202"/>
      <c r="C14" s="9"/>
      <c r="D14" s="38" t="s">
        <v>24</v>
      </c>
      <c r="J14" s="20">
        <f>-([1]Retail!$P$29+[1]Retail!$W$29+[1]Retail!$AV$29+[1]Retail!$AY$29)/1000/J10</f>
        <v>0</v>
      </c>
      <c r="K14" s="42">
        <f>-([1]Retail!$P$30+[1]Retail!$W$30+[1]Retail!$AV$30+[1]Retail!$AY$30)/1000/K10</f>
        <v>0</v>
      </c>
      <c r="L14" s="42" t="e">
        <f>-([1]Retail!$P$31+[1]Retail!$W$31+[1]Retail!$AV$31+[1]Retail!$AY$31)/1000/L10</f>
        <v>#DIV/0!</v>
      </c>
      <c r="M14" s="7"/>
      <c r="N14" s="20">
        <f>-([1]SME!$P$29+[1]SME!$W$29+[1]SME!$AV$29+[1]SME!$AY$29)/1000/N10</f>
        <v>0</v>
      </c>
      <c r="O14" s="20">
        <f>-([1]SME!$P$30+[1]SME!$W$30+[1]SME!$AV$30+[1]SME!$AY$30)/1000/O10</f>
        <v>0</v>
      </c>
      <c r="P14" s="20">
        <f>-([1]SME!$P$31+[1]SME!$W$31+[1]SME!$AV$31+[1]SME!$AY$31)/1000/P10</f>
        <v>1.1985146523785569E-2</v>
      </c>
      <c r="Q14" s="7"/>
      <c r="R14" s="20">
        <f>-([1]MidCorp!$P$29+[1]MidCorp!$W$29+[1]MidCorp!$AV$29+[1]MidCorp!$AY$29)/1000/R10</f>
        <v>0</v>
      </c>
      <c r="S14" s="20">
        <f>-([1]MidCorp!$P$30+[1]MidCorp!$W$30+[1]MidCorp!$AV$30+[1]MidCorp!$AY$30)/1000/S10</f>
        <v>0</v>
      </c>
      <c r="T14" s="20">
        <f>-([1]MidCorp!$P$31+[1]MidCorp!$W$31+[1]MidCorp!$AV$31+[1]MidCorp!$AY$31)/1000/T10</f>
        <v>9.5937087699476762E-3</v>
      </c>
      <c r="U14" s="7"/>
      <c r="V14" s="20">
        <f>-([1]MGA!$P$29+[1]MGA!$W$29+[1]MGA!$AV$29+[1]MGA!$AY$29)/1000/V10</f>
        <v>8.9911084157499654E-5</v>
      </c>
      <c r="W14" s="20">
        <f>-([1]MGA!$P$30+[1]MGA!$W$30+[1]MGA!$AV$30+[1]MGA!$AY$30)/1000/W10</f>
        <v>0</v>
      </c>
      <c r="X14" s="20">
        <f>-([1]MGA!$P$31+[1]MGA!$W$31+[1]MGA!$AV$31+[1]MGA!$AY$31)/1000/X10</f>
        <v>1.3029691670704144E-2</v>
      </c>
      <c r="Y14" s="7"/>
      <c r="Z14" s="20">
        <f>-([1]Bancassurance!$P$29+[1]Bancassurance!$W$29+[1]Bancassurance!$AV$29+[1]Bancassurance!$AY$29)/1000/Z10</f>
        <v>0</v>
      </c>
      <c r="AA14" s="20" t="e">
        <f>-([1]Bancassurance!$P$30+[1]Bancassurance!$W$30+[1]Bancassurance!$AV$30+[1]Bancassurance!$AY$30)/1000/AA10</f>
        <v>#DIV/0!</v>
      </c>
      <c r="AB14" s="20" t="e">
        <f>-([1]Bancassurance!$P$31+[1]Bancassurance!$W$31+[1]Bancassurance!$AV$31+[1]Bancassurance!$AY$31)/1000/AB10</f>
        <v>#DIV/0!</v>
      </c>
      <c r="AC14" s="7"/>
      <c r="AD14" s="20">
        <f>-([1]Specials!$P$29+[1]Specials!$W$29+[1]Specials!$AV$29+[1]Specials!$AY$29)/1000/AD10</f>
        <v>0</v>
      </c>
      <c r="AE14" s="20">
        <f>-([1]Specials!$P$30+[1]Specials!$W$30+[1]Specials!$AV$30+[1]Specials!$AY$30)/1000/AE10</f>
        <v>0</v>
      </c>
      <c r="AF14" s="20" t="e">
        <f>-([1]Specials!$P$31+[1]Specials!$W$31+[1]Specials!$AV$31+[1]Specials!$AY$31)/1000/AF10</f>
        <v>#DIV/0!</v>
      </c>
      <c r="AG14" s="7"/>
      <c r="AH14" s="28">
        <f>-('[1]Total P&amp;C'!$P$29+'[1]Total P&amp;C'!$W$29+'[1]Total P&amp;C'!$AV$29+'[1]Total P&amp;C'!$AY$29)/1000/AH10</f>
        <v>2.1716791080879629E-5</v>
      </c>
      <c r="AI14" s="28">
        <f>-('[1]Total P&amp;C'!$P$30+'[1]Total P&amp;C'!$W$30+'[1]Total P&amp;C'!$AV$30+'[1]Total P&amp;C'!$AY$30)/1000/AI10</f>
        <v>0</v>
      </c>
      <c r="AJ14" s="28">
        <f>-('[1]Total P&amp;C'!$P$31+'[1]Total P&amp;C'!$W$31+'[1]Total P&amp;C'!$AV$31+'[1]Total P&amp;C'!$AY$31)/1000/AJ10</f>
        <v>1.0840629593532283E-2</v>
      </c>
      <c r="AL14" s="202"/>
      <c r="AM14" s="9"/>
      <c r="AN14" s="38" t="s">
        <v>24</v>
      </c>
      <c r="AT14" s="20">
        <f>-([2]Retail!$P$29+[2]Retail!$W$29+[2]Retail!$AV$29+[2]Retail!$AY$29)/1000/AT10</f>
        <v>6.4228578934651353E-4</v>
      </c>
      <c r="AU14" s="42">
        <f>-([2]Retail!$P$30+[2]Retail!$W$30+[2]Retail!$AV$30+[2]Retail!$AY$30)/1000/AU10</f>
        <v>0</v>
      </c>
      <c r="AV14" s="42">
        <f>-([2]Retail!$P$31+[2]Retail!$W$31+[2]Retail!$AV$31+[2]Retail!$AY$31)/1000/AV10</f>
        <v>8.913856654558518E-3</v>
      </c>
      <c r="AW14" s="7"/>
      <c r="AX14" s="20">
        <f>-([2]SME!$P$29+[2]SME!$W$29+[2]SME!$AV$29+[2]SME!$AY$29)/1000/AX10</f>
        <v>2.9749041896267045E-3</v>
      </c>
      <c r="AY14" s="20">
        <f>-([2]SME!$P$30+[2]SME!$W$30+[2]SME!$AV$30+[2]SME!$AY$30)/1000/AY10</f>
        <v>0</v>
      </c>
      <c r="AZ14" s="20">
        <f>-([2]SME!$P$31+[2]SME!$W$31+[2]SME!$AV$31+[2]SME!$AY$31)/1000/AZ10</f>
        <v>1.2201748253035879E-2</v>
      </c>
      <c r="BA14" s="7"/>
      <c r="BB14" s="20">
        <f>-([2]MidCorp!$P$29+[2]MidCorp!$W$29+[2]MidCorp!$AV$29+[2]MidCorp!$AY$29)/1000/BB10</f>
        <v>4.4565363191976837E-4</v>
      </c>
      <c r="BC14" s="20">
        <f>-([2]MidCorp!$P$30+[2]MidCorp!$W$30+[2]MidCorp!$AV$30+[2]MidCorp!$AY$30)/1000/BC10</f>
        <v>0</v>
      </c>
      <c r="BD14" s="20">
        <f>-([2]MidCorp!$P$31+[2]MidCorp!$W$31+[2]MidCorp!$AV$31+[2]MidCorp!$AY$31)/1000/BD10</f>
        <v>1.0818402245845245E-2</v>
      </c>
      <c r="BJ14" s="20" t="e">
        <f>-([2]Specials!$P$29+[2]Specials!$W$29+[2]Specials!$AV$29+[2]Specials!$AY$29)/1000/BJ10</f>
        <v>#DIV/0!</v>
      </c>
      <c r="BK14" s="20" t="e">
        <f>-([2]Specials!$P$30+[2]Specials!$W$30+[2]Specials!$AV$30+[2]Specials!$AY$30)/1000/BK10</f>
        <v>#DIV/0!</v>
      </c>
      <c r="BL14" s="20" t="e">
        <f>-([2]Specials!$P$31+[2]Specials!$W$31+[2]Specials!$AV$31+[2]Specials!$AY$31)/1000/BL10</f>
        <v>#DIV/0!</v>
      </c>
      <c r="BM14" s="7"/>
      <c r="BN14" s="28">
        <f>-('[2]Total P&amp;C'!$P$29+'[2]Total P&amp;C'!$W$29+'[2]Total P&amp;C'!$AV$29+'[2]Total P&amp;C'!$AY$29)/1000/BN10</f>
        <v>9.5738069758777051E-4</v>
      </c>
      <c r="BO14" s="28">
        <f>-('[2]Total P&amp;C'!$P$30+'[2]Total P&amp;C'!$W$30+'[2]Total P&amp;C'!$AV$30+'[2]Total P&amp;C'!$AY$30)/1000/BO10</f>
        <v>0</v>
      </c>
      <c r="BP14" s="28">
        <f>-('[2]Total P&amp;C'!$P$31+'[2]Total P&amp;C'!$W$31+'[2]Total P&amp;C'!$AV$31+'[2]Total P&amp;C'!$AY$31)/1000/BP10</f>
        <v>1.0035832943605154E-2</v>
      </c>
      <c r="BR14" s="28">
        <f>-('[3]Total P&amp;C'!$P$29+'[3]Total P&amp;C'!$W$29+'[3]Total P&amp;C'!$AV$29+'[3]Total P&amp;C'!$AY$29)/1000/BR10</f>
        <v>1.859378587299854E-4</v>
      </c>
      <c r="BS14" s="28">
        <f>-('[3]Total P&amp;C'!$P$30+'[3]Total P&amp;C'!$W$30+'[3]Total P&amp;C'!$AV$30+'[3]Total P&amp;C'!$AY$30)/1000/BS10</f>
        <v>0</v>
      </c>
      <c r="BT14" s="28">
        <f>-('[3]Total P&amp;C'!$P$31+'[3]Total P&amp;C'!$W$31+'[3]Total P&amp;C'!$AV$31+'[3]Total P&amp;C'!$AY$31)/1000/BT10</f>
        <v>1.0690438142074038E-2</v>
      </c>
    </row>
    <row r="15" spans="2:75" ht="16.5" customHeight="1" x14ac:dyDescent="0.25">
      <c r="B15" s="202"/>
      <c r="C15" s="9"/>
      <c r="D15" s="38" t="s">
        <v>25</v>
      </c>
      <c r="J15" s="20">
        <f>-([1]Retail!$Q$29+[1]Retail!$X$29+[1]Retail!$AW$29+[1]Retail!$AZ$29)/1000/J10</f>
        <v>0</v>
      </c>
      <c r="K15" s="42">
        <f>-([1]Retail!$Q$30+[1]Retail!$X$30+[1]Retail!$AW$30+[1]Retail!$AZ$30)/1000/K10</f>
        <v>0.65445300022247199</v>
      </c>
      <c r="L15" s="42" t="e">
        <f>-([1]Retail!$Q$31+[1]Retail!$X$31+[1]Retail!$AW$31+[1]Retail!$AZ$31)/1000/L10</f>
        <v>#DIV/0!</v>
      </c>
      <c r="M15" s="7"/>
      <c r="N15" s="20">
        <f>-([1]SME!$Q$29+[1]SME!$X$29-[1]SME!$AW$29+[1]SME!$AZ$29)/1000/N10</f>
        <v>7.9414013941947234E-2</v>
      </c>
      <c r="O15" s="20">
        <f>-([1]SME!$Q$30+[1]SME!$X$30+[1]SME!$AW$30+[1]SME!$AZ$30)/1000/O10</f>
        <v>2.5017484299393218E-2</v>
      </c>
      <c r="P15" s="20">
        <f>-([1]SME!$Q$31+[1]SME!$X$31+[1]SME!$AW$31+[1]SME!$AZ$31)/1000/P10</f>
        <v>7.7011229777201193E-2</v>
      </c>
      <c r="Q15" s="7"/>
      <c r="R15" s="20">
        <f>-([1]MidCorp!$Q$29+[1]MidCorp!$X$29+[1]MidCorp!$AW$29+[1]MidCorp!$AZ$29)/1000/R10</f>
        <v>9.8017172230778896E-2</v>
      </c>
      <c r="S15" s="20">
        <f>-([1]MidCorp!$Q$30+[1]MidCorp!$X$30+[1]MidCorp!$AW$30+[1]MidCorp!$AZ$30)/1000/S10</f>
        <v>8.9559399913467438E-2</v>
      </c>
      <c r="T15" s="20">
        <f>-([1]MidCorp!$Q$31+[1]MidCorp!$X$31+[1]MidCorp!$AW$31+[1]MidCorp!$AZ$31)/1000/T10</f>
        <v>8.3244052191466883E-2</v>
      </c>
      <c r="U15" s="7"/>
      <c r="V15" s="20">
        <f>-([1]MGA!$Q$29+[1]MGA!$X$29+[1]MGA!$AW$29+[1]MGA!$AZ$29)/1000/V10</f>
        <v>6.3195475898832593E-2</v>
      </c>
      <c r="W15" s="20">
        <f>-([1]MGA!$Q$30+[1]MGA!$X$30+[1]MGA!$AW$30+[1]MGA!$AZ$30)/1000/W10</f>
        <v>8.1869221829551322E-2</v>
      </c>
      <c r="X15" s="20">
        <f>-([1]MGA!$Q$31+[1]MGA!$X$31+[1]MGA!$AW$31+[1]MGA!$AZ$31)/1000/X10</f>
        <v>6.88960575696939E-2</v>
      </c>
      <c r="Y15" s="7"/>
      <c r="Z15" s="20">
        <f>-([1]Bancassurance!$Q$29+[1]Bancassurance!$X$29+[1]Bancassurance!$AW$29+[1]Bancassurance!$AZ$29)/1000/Z10</f>
        <v>0</v>
      </c>
      <c r="AA15" s="20" t="e">
        <f>-([1]Bancassurance!$Q$30+[1]Bancassurance!$X$30+[1]Bancassurance!$AW$30+[1]Bancassurance!$AZ$30)/1000/AA10</f>
        <v>#DIV/0!</v>
      </c>
      <c r="AB15" s="20" t="e">
        <f>-([1]Bancassurance!$Q$31+[1]Bancassurance!$X$31+[1]Bancassurance!$AW$31+[1]Bancassurance!$AZ$31)/1000/AB10</f>
        <v>#DIV/0!</v>
      </c>
      <c r="AC15" s="7"/>
      <c r="AD15" s="20">
        <f>-([1]Specials!$Q$29+[1]Specials!$X$29+[1]Specials!$AW$29+[1]Specials!$AZ$29)/1000/AD10</f>
        <v>0</v>
      </c>
      <c r="AE15" s="20">
        <f>-([1]Specials!$Q$30+[1]Specials!$X$30+[1]Specials!$AW$30+[1]Specials!$AZ$30)/1000/AE10</f>
        <v>0</v>
      </c>
      <c r="AF15" s="20" t="e">
        <f>-([1]Specials!$Q$31+[1]Specials!$X$31+[1]Specials!$AW$31+[1]Specials!$AZ$31)/1000/AF10</f>
        <v>#DIV/0!</v>
      </c>
      <c r="AG15" s="7"/>
      <c r="AH15" s="28">
        <f>-('[1]Total P&amp;C'!$Q$29+'[1]Total P&amp;C'!$X$29+'[1]Total P&amp;C'!$AW$29+'[1]Total P&amp;C'!$AZ$29)/1000/AH10</f>
        <v>8.5804063377646886E-2</v>
      </c>
      <c r="AI15" s="28">
        <f>-('[1]Total P&amp;C'!$Q$30+'[1]Total P&amp;C'!$X$30+'[1]Total P&amp;C'!$AW$30+'[1]Total P&amp;C'!$AZ$30)/1000/AI10</f>
        <v>8.8205306136729431E-2</v>
      </c>
      <c r="AJ15" s="28">
        <f>-('[1]Total P&amp;C'!$Q$31+'[1]Total P&amp;C'!$X$31+'[1]Total P&amp;C'!$AW$31+'[1]Total P&amp;C'!$AZ$31)/1000/AJ10</f>
        <v>7.8567686644511622E-2</v>
      </c>
      <c r="AL15" s="202"/>
      <c r="AM15" s="9"/>
      <c r="AN15" s="38" t="s">
        <v>25</v>
      </c>
      <c r="AT15" s="20">
        <f>-([2]Retail!$Q$29+[2]Retail!$X$29+[2]Retail!$AW$29+[2]Retail!$AZ$29)/1000/AT10</f>
        <v>5.0869013852071356E-2</v>
      </c>
      <c r="AU15" s="42">
        <f>-([2]Retail!$Q$30+[2]Retail!$X$30+[2]Retail!$AW$30+[2]Retail!$AZ$30)/1000/AU10</f>
        <v>6.6791023690554327E-2</v>
      </c>
      <c r="AV15" s="42">
        <f>-([2]Retail!$Q$31+[2]Retail!$X$31+[2]Retail!$AW$31+[2]Retail!$AZ$31)/1000/AV10</f>
        <v>4.5930479503129944E-2</v>
      </c>
      <c r="AW15" s="7"/>
      <c r="AX15" s="20">
        <f>-([2]SME!$Q$29+[2]SME!$X$29-[2]SME!$AW$29+[2]SME!$AZ$29)/1000/AX10</f>
        <v>6.5168147429047349E-2</v>
      </c>
      <c r="AY15" s="20">
        <f>-([2]SME!$Q$30+[2]SME!$X$30+[2]SME!$AW$30+[2]SME!$AZ$30)/1000/AY10</f>
        <v>4.1247306215198037E-2</v>
      </c>
      <c r="AZ15" s="20">
        <f>-([2]SME!$Q$31+[2]SME!$X$31+[2]SME!$AW$31+[2]SME!$AZ$31)/1000/AZ10</f>
        <v>5.9445082588271671E-2</v>
      </c>
      <c r="BA15" s="7"/>
      <c r="BB15" s="20">
        <f>-([2]MidCorp!$Q$29+[2]MidCorp!$X$29+[2]MidCorp!$AW$29+[2]MidCorp!$AZ$29)/1000/BB10</f>
        <v>6.8561242686389884E-2</v>
      </c>
      <c r="BC15" s="20">
        <f>-([2]MidCorp!$Q$30+[2]MidCorp!$X$30+[2]MidCorp!$AW$30+[2]MidCorp!$AZ$30)/1000/BC10</f>
        <v>3.5598212763081734E-2</v>
      </c>
      <c r="BD15" s="20">
        <f>-([2]MidCorp!$Q$31+[2]MidCorp!$X$31+[2]MidCorp!$AW$31+[2]MidCorp!$AZ$31)/1000/BD10</f>
        <v>7.6820009266159672E-2</v>
      </c>
      <c r="BJ15" s="20" t="e">
        <f>-([2]Specials!$Q$29+[2]Specials!$X$29+[2]Specials!$AW$29+[2]Specials!$AZ$29)/1000/BJ10</f>
        <v>#DIV/0!</v>
      </c>
      <c r="BK15" s="20" t="e">
        <f>-([2]Specials!$Q$30+[2]Specials!$X$30+[2]Specials!$AW$30+[2]Specials!$AZ$30)/1000/BK10</f>
        <v>#DIV/0!</v>
      </c>
      <c r="BL15" s="20" t="e">
        <f>-([2]Specials!$Q$31+[2]Specials!$X$31+[2]Specials!$AW$31+[2]Specials!$AZ$31)/1000/BL10</f>
        <v>#DIV/0!</v>
      </c>
      <c r="BM15" s="7"/>
      <c r="BN15" s="28">
        <f>-('[2]Total P&amp;C'!$Q$29+'[2]Total P&amp;C'!$X$29+'[2]Total P&amp;C'!$AW$29+'[2]Total P&amp;C'!$AZ$29)/1000/BN10</f>
        <v>5.8855247004635229E-2</v>
      </c>
      <c r="BO15" s="28">
        <f>-('[2]Total P&amp;C'!$Q$30+'[2]Total P&amp;C'!$X$30+'[2]Total P&amp;C'!$AW$30+'[2]Total P&amp;C'!$AZ$30)/1000/BO10</f>
        <v>5.1791686080602695E-2</v>
      </c>
      <c r="BP15" s="28">
        <f>-('[2]Total P&amp;C'!$Q$31+'[2]Total P&amp;C'!$X$31+'[2]Total P&amp;C'!$AW$31+'[2]Total P&amp;C'!$AZ$31)/1000/BP10</f>
        <v>5.7582110900048694E-2</v>
      </c>
      <c r="BR15" s="28">
        <f>-('[3]Total P&amp;C'!$Q$29+'[3]Total P&amp;C'!$X$29+'[3]Total P&amp;C'!$AW$29+'[3]Total P&amp;C'!$AZ$29)/1000/BR10</f>
        <v>8.1074198983093468E-2</v>
      </c>
      <c r="BS15" s="28">
        <f>-('[3]Total P&amp;C'!$Q$30+'[3]Total P&amp;C'!$X$30+'[3]Total P&amp;C'!$AW$30+'[3]Total P&amp;C'!$AZ$30)/1000/BS10</f>
        <v>8.1133089715657608E-2</v>
      </c>
      <c r="BT15" s="28">
        <f>-('[3]Total P&amp;C'!$Q$31+'[3]Total P&amp;C'!$X$31+'[3]Total P&amp;C'!$AW$31+'[3]Total P&amp;C'!$AZ$31)/1000/BT10</f>
        <v>7.4651350659473398E-2</v>
      </c>
    </row>
    <row r="16" spans="2:75" ht="16.5" customHeight="1" x14ac:dyDescent="0.25">
      <c r="B16" s="202"/>
      <c r="C16" s="9"/>
      <c r="D16" s="38" t="s">
        <v>26</v>
      </c>
      <c r="J16" s="20">
        <f>-[1]Retail!$AT$29/1000/J10</f>
        <v>7.9006957628776187E-2</v>
      </c>
      <c r="K16" s="42">
        <f>-[1]Retail!$AT$30/1000/K10</f>
        <v>9.056758085789593E-2</v>
      </c>
      <c r="L16" s="42" t="e">
        <f>-[1]Retail!$AT$31/1000/L10</f>
        <v>#DIV/0!</v>
      </c>
      <c r="M16" s="7"/>
      <c r="N16" s="20">
        <f>-[1]SME!$AT$29/1000/N10</f>
        <v>2.423629552099741E-2</v>
      </c>
      <c r="O16" s="20">
        <f>-[1]SME!$AT$30/1000/O10</f>
        <v>2.4904146347319002E-2</v>
      </c>
      <c r="P16" s="20">
        <f>-[1]SME!$AT$31/1000/P10</f>
        <v>2.2292102254837954E-2</v>
      </c>
      <c r="Q16" s="7"/>
      <c r="R16" s="20">
        <f>-[1]MidCorp!$AT$29/1000/R10</f>
        <v>2.5735986928534824E-2</v>
      </c>
      <c r="S16" s="20">
        <f>-[1]MidCorp!$AT$30/1000/S10</f>
        <v>7.5501677064985798E-2</v>
      </c>
      <c r="T16" s="20">
        <f>-[1]MidCorp!$AT$31/1000/T10</f>
        <v>9.1858397608984191E-2</v>
      </c>
      <c r="U16" s="7"/>
      <c r="V16" s="20">
        <f>-[1]MGA!$AT$29/1000/V10</f>
        <v>1.6675128627784235E-2</v>
      </c>
      <c r="W16" s="20">
        <f>-[1]MGA!$AT$30/1000/W10</f>
        <v>2.0444107570230064E-2</v>
      </c>
      <c r="X16" s="20">
        <f>-[1]MGA!$AT$31/1000/X10</f>
        <v>2.5759851075112639E-2</v>
      </c>
      <c r="Y16" s="7"/>
      <c r="Z16" s="20">
        <f>-[1]Bancassurance!$AT$29/1000/Z10</f>
        <v>0</v>
      </c>
      <c r="AA16" s="20" t="e">
        <f>-[1]Bancassurance!$AT$30/1000/AA10</f>
        <v>#DIV/0!</v>
      </c>
      <c r="AB16" s="20" t="e">
        <f>-[1]Bancassurance!$AT$31/1000/AB10</f>
        <v>#DIV/0!</v>
      </c>
      <c r="AC16" s="7"/>
      <c r="AD16" s="20">
        <f>-[1]Specials!$AT$29/1000/AD10</f>
        <v>-5.5344513098201435</v>
      </c>
      <c r="AE16" s="20">
        <f>-[1]Specials!$AT$30/1000/AE10</f>
        <v>-22.517774668940802</v>
      </c>
      <c r="AF16" s="20" t="e">
        <f>-[1]Specials!$AT$31/1000/AF10</f>
        <v>#DIV/0!</v>
      </c>
      <c r="AG16" s="7"/>
      <c r="AH16" s="28">
        <f>-'[1]Total P&amp;C'!$AT$29/1000/AH10</f>
        <v>2.0392798893715113E-2</v>
      </c>
      <c r="AI16" s="28">
        <f>-'[1]Total P&amp;C'!$AT$30/1000/AI10</f>
        <v>5.1646048583266178E-2</v>
      </c>
      <c r="AJ16" s="28">
        <f>-'[1]Total P&amp;C'!$AT$31/1000/AJ10</f>
        <v>6.4540745698959137E-2</v>
      </c>
      <c r="AL16" s="202"/>
      <c r="AM16" s="9"/>
      <c r="AN16" s="38" t="s">
        <v>26</v>
      </c>
      <c r="AT16" s="20">
        <f>-[2]Retail!$AT$29/1000/AT10</f>
        <v>1.9070219488255512E-2</v>
      </c>
      <c r="AU16" s="42">
        <f>-[2]Retail!$AT$30/1000/AU10</f>
        <v>5.727167948928167E-2</v>
      </c>
      <c r="AV16" s="42">
        <f>-[2]Retail!$AT$31/1000/AV10</f>
        <v>3.0124093303705839E-2</v>
      </c>
      <c r="AW16" s="7"/>
      <c r="AX16" s="20">
        <f>-[2]SME!$AT$29/1000/AX10</f>
        <v>1.5199834453524292E-2</v>
      </c>
      <c r="AY16" s="20">
        <f>-[2]SME!$AT$30/1000/AY10</f>
        <v>2.0465533258653152E-2</v>
      </c>
      <c r="AZ16" s="20">
        <f>-[2]SME!$AT$31/1000/AZ10</f>
        <v>1.6339088460422823E-2</v>
      </c>
      <c r="BA16" s="7"/>
      <c r="BB16" s="20">
        <f>-[2]MidCorp!$AT$29/1000/BB10</f>
        <v>7.9247300975041735E-2</v>
      </c>
      <c r="BC16" s="20">
        <f>-[2]MidCorp!$AT$30/1000/BC10</f>
        <v>6.4991725346627865E-2</v>
      </c>
      <c r="BD16" s="20">
        <f>-[2]MidCorp!$AT$31/1000/BD10</f>
        <v>0.11840346244114748</v>
      </c>
      <c r="BJ16" s="20" t="e">
        <f>-[2]Specials!$AT$29/1000/BJ10</f>
        <v>#DIV/0!</v>
      </c>
      <c r="BK16" s="20" t="e">
        <f>-[2]Specials!$AT$30/1000/BK10</f>
        <v>#DIV/0!</v>
      </c>
      <c r="BL16" s="20" t="e">
        <f>-[2]Specials!$AT$31/1000/BL10</f>
        <v>#DIV/0!</v>
      </c>
      <c r="BM16" s="7"/>
      <c r="BN16" s="28">
        <f>-'[2]Total P&amp;C'!$AT$29/1000/BN10</f>
        <v>3.7723241240527436E-2</v>
      </c>
      <c r="BO16" s="28">
        <f>-'[2]Total P&amp;C'!$AT$30/1000/BO10</f>
        <v>5.4094096569617826E-2</v>
      </c>
      <c r="BP16" s="28">
        <f>-'[2]Total P&amp;C'!$AT$31/1000/BP10</f>
        <v>5.4806661110864803E-2</v>
      </c>
      <c r="BR16" s="28">
        <f>-'[3]Total P&amp;C'!$AT$29/1000/BR10</f>
        <v>2.3434514754755255E-2</v>
      </c>
      <c r="BS16" s="28">
        <f>-'[3]Total P&amp;C'!$AT$30/1000/BS10</f>
        <v>5.2121505984698988E-2</v>
      </c>
      <c r="BT16" s="28">
        <f>-'[3]Total P&amp;C'!$AT$31/1000/BT10</f>
        <v>6.2724167196755387E-2</v>
      </c>
    </row>
    <row r="17" spans="2:72" ht="16.5" customHeight="1" x14ac:dyDescent="0.25">
      <c r="B17" s="202"/>
      <c r="C17" s="9"/>
      <c r="D17" s="37" t="s">
        <v>27</v>
      </c>
      <c r="J17" s="20">
        <f>-([1]Retail!$Z$29+[1]Retail!$AA$29+[1]Retail!$BB$29+[1]Retail!$BC$29)/1000/J10</f>
        <v>-9.963983862671482E-3</v>
      </c>
      <c r="K17" s="20">
        <f>-([1]Retail!$Z$30+[1]Retail!$AA$30+[1]Retail!$BB$30+[1]Retail!$BC$30)/1000/K10</f>
        <v>-8.2072746957725637E-2</v>
      </c>
      <c r="L17" s="20" t="e">
        <f>-([1]Retail!$Z$31+[1]Retail!$AA$31+[1]Retail!$BB$31+[1]Retail!$BC$31)/1000/L10</f>
        <v>#DIV/0!</v>
      </c>
      <c r="M17" s="7"/>
      <c r="N17" s="20">
        <f>-([1]SME!$Z$29+[1]SME!$AA$29+[1]SME!$BB$29+[1]SME!$BC$29)/1000/N10</f>
        <v>-3.7544492678818736E-2</v>
      </c>
      <c r="O17" s="20">
        <f>-([1]SME!$Z$30+[1]SME!$AA$30+[1]SME!$BB$30+[1]SME!$BC$30)/1000/O10</f>
        <v>-2.1322549788654339E-2</v>
      </c>
      <c r="P17" s="20">
        <f>-([1]SME!$Z$31+[1]SME!$AA$31+[1]SME!$BB$31+[1]SME!$BC$31)/1000/P10</f>
        <v>-2.2956172183581616E-2</v>
      </c>
      <c r="Q17" s="7"/>
      <c r="R17" s="20">
        <f>-([1]MidCorp!$Z$29+[1]MidCorp!$AA$29+[1]MidCorp!$BB$29+[1]MidCorp!$BC$29)/1000/R10</f>
        <v>-4.8980362700686161E-2</v>
      </c>
      <c r="S17" s="20">
        <f>-([1]MidCorp!$Z$30+[1]MidCorp!$AA$30+[1]MidCorp!$BB$30+[1]MidCorp!$BC$30)/1000/S10</f>
        <v>-3.6829430136018068E-2</v>
      </c>
      <c r="T17" s="20">
        <f>-([1]MidCorp!$Z$31+[1]MidCorp!$AA$31+[1]MidCorp!$BB$31+[1]MidCorp!$BC$31)/1000/T10</f>
        <v>-2.4368918147401244E-2</v>
      </c>
      <c r="U17" s="7"/>
      <c r="V17" s="20">
        <f>-([1]MGA!$Z$29+[1]MGA!$AA$29+[1]MGA!$BB$29+[1]MGA!$BC$29)/1000/V10</f>
        <v>-3.0589031093701292E-2</v>
      </c>
      <c r="W17" s="20">
        <f>-([1]MGA!$Z$30+[1]MGA!$AA$30+[1]MGA!$BB$30+[1]MGA!$BC$30)/1000/W10</f>
        <v>-3.3686976109030216E-2</v>
      </c>
      <c r="X17" s="20">
        <f>-([1]MGA!$Z$31+[1]MGA!$AA$31+[1]MGA!$BB$31+[1]MGA!$BC$31)/1000/X10</f>
        <v>-2.796870135936461E-2</v>
      </c>
      <c r="Y17" s="7"/>
      <c r="Z17" s="20">
        <f>-([1]Bancassurance!$Z$29+[1]Bancassurance!$AA$29+[1]Bancassurance!$BB$29+[1]Bancassurance!$BC$29)/1000/Z10</f>
        <v>0</v>
      </c>
      <c r="AA17" s="20" t="e">
        <f>-([1]Bancassurance!$Z$30+[1]Bancassurance!$AA$30+[1]Bancassurance!$BB$30+[1]Bancassurance!$BC$30)/1000/AA10</f>
        <v>#DIV/0!</v>
      </c>
      <c r="AB17" s="20" t="e">
        <f>-([1]Bancassurance!$Z$31+[1]Bancassurance!$AA$31+[1]Bancassurance!$BB$31+[1]Bancassurance!$BC$31)/1000/AB10</f>
        <v>#DIV/0!</v>
      </c>
      <c r="AC17" s="7"/>
      <c r="AD17" s="20">
        <f>-([1]Specials!$Z$29+[1]Specials!$AA$29+[1]Specials!$BB$29+[1]Specials!$BC$29)/1000/AD10</f>
        <v>0</v>
      </c>
      <c r="AE17" s="20">
        <f>-([1]Specials!$Z$30+[1]Specials!$AA$30+[1]Specials!$BB$30+[1]Specials!$BC$30)/1000/AE10</f>
        <v>0</v>
      </c>
      <c r="AF17" s="20" t="e">
        <f>-([1]Specials!$Z$31+[1]Specials!$AA$31+[1]Specials!$BB$31+[1]Specials!$BC$31)/1000/AF10</f>
        <v>#DIV/0!</v>
      </c>
      <c r="AG17" s="7"/>
      <c r="AH17" s="28">
        <f>-('[1]Total P&amp;C'!$Z$29+'[1]Total P&amp;C'!$AA$29+'[1]Total P&amp;C'!$BB$29+'[1]Total P&amp;C'!$BC$29)/1000/AH10</f>
        <v>-4.248947473236999E-2</v>
      </c>
      <c r="AI17" s="28">
        <f>-('[1]Total P&amp;C'!$Z$30+'[1]Total P&amp;C'!$AA$30+'[1]Total P&amp;C'!$BB$30+'[1]Total P&amp;C'!$BC$30)/1000/AI10</f>
        <v>-3.4585864083677233E-2</v>
      </c>
      <c r="AJ17" s="28">
        <f>-('[1]Total P&amp;C'!$Z$31+'[1]Total P&amp;C'!$AA$31+'[1]Total P&amp;C'!$BB$31+'[1]Total P&amp;C'!$BC$31)/1000/AJ10</f>
        <v>-2.5121450573623874E-2</v>
      </c>
      <c r="AL17" s="202"/>
      <c r="AM17" s="9"/>
      <c r="AN17" s="37" t="s">
        <v>27</v>
      </c>
      <c r="AT17" s="20">
        <f>-([2]Retail!$Z$29+[2]Retail!$AA$29+[2]Retail!$BB$29+[2]Retail!$BC$29)/1000/AT10</f>
        <v>-4.3734095686952218E-2</v>
      </c>
      <c r="AU17" s="20">
        <f>-([2]Retail!$Z$30+[2]Retail!$AA$30+[2]Retail!$BB$30+[2]Retail!$BC$30)/1000/AU10</f>
        <v>-3.1585955134313171E-2</v>
      </c>
      <c r="AV17" s="20">
        <f>-([2]Retail!$Z$31+[2]Retail!$AA$31+[2]Retail!$BB$31+[2]Retail!$BC$31)/1000/AV10</f>
        <v>-1.755104868267603E-2</v>
      </c>
      <c r="AW17" s="7"/>
      <c r="AX17" s="20">
        <f>-([2]SME!$Z$29+[2]SME!$AA$29+[2]SME!$BB$29+[2]SME!$BC$29)/1000/AX10</f>
        <v>-3.4793711428611901E-2</v>
      </c>
      <c r="AY17" s="20">
        <f>-([2]SME!$Z$30+[2]SME!$AA$30+[2]SME!$BB$30+[2]SME!$BC$30)/1000/AY10</f>
        <v>-2.3938377780874622E-2</v>
      </c>
      <c r="AZ17" s="20">
        <f>-([2]SME!$Z$31+[2]SME!$AA$31+[2]SME!$BB$31+[2]SME!$BC$31)/1000/AZ10</f>
        <v>-1.9477821052744621E-2</v>
      </c>
      <c r="BA17" s="7"/>
      <c r="BB17" s="20">
        <f>-([2]MidCorp!$Z$29+[2]MidCorp!$AA$29+[2]MidCorp!$BB$29+[2]MidCorp!$BC$29)/1000/BB10</f>
        <v>-5.4958186595184678E-2</v>
      </c>
      <c r="BC17" s="20">
        <f>-([2]MidCorp!$Z$30+[2]MidCorp!$AA$30+[2]MidCorp!$BB$30+[2]MidCorp!$BC$30)/1000/BC10</f>
        <v>-3.6296282725073528E-2</v>
      </c>
      <c r="BD17" s="20">
        <f>-([2]MidCorp!$Z$31+[2]MidCorp!$AA$31+[2]MidCorp!$BB$31+[2]MidCorp!$BC$31)/1000/BD10</f>
        <v>-2.4573048330475678E-2</v>
      </c>
      <c r="BJ17" s="20" t="e">
        <f>-([2]Specials!$Z$29+[2]Specials!$AA$29+[2]Specials!$BB$29+[2]Specials!$BC$29)/1000/BJ10</f>
        <v>#DIV/0!</v>
      </c>
      <c r="BK17" s="20" t="e">
        <f>-([2]Specials!$Z$30+[2]Specials!$AA$30+[2]Specials!$BB$30+[2]Specials!$BC$30)/1000/BK10</f>
        <v>#DIV/0!</v>
      </c>
      <c r="BL17" s="20" t="e">
        <f>-([2]Specials!$Z$31+[2]Specials!$AA$31+[2]Specials!$BB$31+[2]Specials!$BC$31)/1000/BL10</f>
        <v>#DIV/0!</v>
      </c>
      <c r="BM17" s="7"/>
      <c r="BN17" s="28">
        <f>-('[2]Total P&amp;C'!$Z$29+'[2]Total P&amp;C'!$AA$29+'[2]Total P&amp;C'!$BB$29+'[2]Total P&amp;C'!$BC$29)/1000/BN10</f>
        <v>-4.5881077626337634E-2</v>
      </c>
      <c r="BO17" s="28">
        <f>-('[2]Total P&amp;C'!$Z$30+'[2]Total P&amp;C'!$AA$30+'[2]Total P&amp;C'!$BB$30+'[2]Total P&amp;C'!$BC$30)/1000/BO10</f>
        <v>-3.2013023896437051E-2</v>
      </c>
      <c r="BP17" s="28">
        <f>-('[2]Total P&amp;C'!$Z$31+'[2]Total P&amp;C'!$AA$31+'[2]Total P&amp;C'!$BB$31+'[2]Total P&amp;C'!$BC$31)/1000/BP10</f>
        <v>-2.001144139356778E-2</v>
      </c>
      <c r="BR17" s="28">
        <f>-('[3]Total P&amp;C'!$Z$29+'[3]Total P&amp;C'!$AA$29+'[3]Total P&amp;C'!$BB$29+'[3]Total P&amp;C'!$BC$29)/1000/BR10</f>
        <v>-4.3084744726665798E-2</v>
      </c>
      <c r="BS17" s="28">
        <f>-('[3]Total P&amp;C'!$Z$30+'[3]Total P&amp;C'!$AA$30+'[3]Total P&amp;C'!$BB$30+'[3]Total P&amp;C'!$BC$30)/1000/BS10</f>
        <v>-3.4086169667331169E-2</v>
      </c>
      <c r="BT17" s="28">
        <f>-('[3]Total P&amp;C'!$Z$31+'[3]Total P&amp;C'!$AA$31+'[3]Total P&amp;C'!$BB$31+'[3]Total P&amp;C'!$BC$31)/1000/BT10</f>
        <v>-2.416781875148958E-2</v>
      </c>
    </row>
    <row r="18" spans="2:72" ht="16.5" customHeight="1" x14ac:dyDescent="0.25">
      <c r="B18" s="202"/>
      <c r="C18" s="9"/>
      <c r="D18" s="37" t="s">
        <v>28</v>
      </c>
      <c r="J18" s="20">
        <f>-SUM([1]Retail!$AC$29:$AI$29,[1]Retail!$BE$29:$BG$29)/1000/J10</f>
        <v>0.18391495014633633</v>
      </c>
      <c r="K18" s="20">
        <f>-SUM([1]Retail!$AC$30:$AI$30,[1]Retail!$BE$30:$BG$30)/1000/K10</f>
        <v>-1.4278632840939753</v>
      </c>
      <c r="L18" s="20" t="e">
        <f>-SUM([1]Retail!$AC$31:$AI$31,[1]Retail!$BE$31:$BG$31)/1000/L10</f>
        <v>#DIV/0!</v>
      </c>
      <c r="M18" s="7"/>
      <c r="N18" s="20">
        <f>-SUM([1]SME!$AC$29:$AI$29,[1]SME!$BE$29:$BG$29)/1000/N10</f>
        <v>-3.3712429481938554E-2</v>
      </c>
      <c r="O18" s="20">
        <f>-SUM([1]SME!$AC$30:$AI$30,[1]SME!$BE$30:$BG$30)/1000/O10</f>
        <v>0.18815305917908343</v>
      </c>
      <c r="P18" s="20">
        <f>-SUM([1]SME!$AC$31:$AI$31,[1]SME!$BE$31:$BG$31)/1000/P10</f>
        <v>-7.229208286196484E-3</v>
      </c>
      <c r="Q18" s="7"/>
      <c r="R18" s="20">
        <f>-SUM([1]MidCorp!$AC$29:$AI$29,[1]MidCorp!$BE$29:$BG$29)/1000/R10</f>
        <v>8.5719764608800111E-2</v>
      </c>
      <c r="S18" s="20">
        <f>-SUM([1]MidCorp!$AC$30:$AI$30,[1]MidCorp!$BE$30:$BG$30)/1000/S10</f>
        <v>2.3897792864503884E-3</v>
      </c>
      <c r="T18" s="20">
        <f>-SUM([1]MidCorp!$AC$31:$AI$31,[1]MidCorp!$BE$31:$BG$31)/1000/T10</f>
        <v>-5.1062172920388945E-3</v>
      </c>
      <c r="U18" s="7"/>
      <c r="V18" s="20">
        <f>-SUM([1]MGA!$AC$29:$AI$29,[1]MGA!$BE$29:$BG$29)/1000/V10</f>
        <v>-0.15943283712955067</v>
      </c>
      <c r="W18" s="20">
        <f>-SUM([1]MGA!$AC$30:$AI$30,[1]MGA!$BE$30:$BG$30)/1000/W10</f>
        <v>7.3111523600106173E-3</v>
      </c>
      <c r="X18" s="20">
        <f>-SUM([1]MGA!$AC$31:$AI$31,[1]MGA!$BE$31:$BG$31)/1000/X10</f>
        <v>-2.3379001730024745E-2</v>
      </c>
      <c r="Y18" s="7"/>
      <c r="Z18" s="20">
        <f>-SUM([1]Bancassurance!$AC$29:$AI$29,[1]Bancassurance!$BE$29:$BG$29)/1000/Z10</f>
        <v>0</v>
      </c>
      <c r="AA18" s="20" t="e">
        <f>-SUM([1]Bancassurance!$AC$30:$AI$30,[1]Bancassurance!$BE$30:$BG$30)/1000/AA10</f>
        <v>#DIV/0!</v>
      </c>
      <c r="AB18" s="20" t="e">
        <f>-SUM([1]Bancassurance!$AC$31:$AI$31,[1]Bancassurance!$BE$31:$BG$31)/1000/AB10</f>
        <v>#DIV/0!</v>
      </c>
      <c r="AC18" s="7"/>
      <c r="AD18" s="20">
        <f>-SUM([1]Specials!$AC$29:$AI$29,[1]Specials!$BE$29:$BG$29)/1000/AD10</f>
        <v>-2.1424294942083137</v>
      </c>
      <c r="AE18" s="20">
        <f>-SUM([1]Specials!$AC$30:$AI$30,[1]Specials!$BE$30:$BG$30)/1000/AE10</f>
        <v>-5.6895911453509056</v>
      </c>
      <c r="AF18" s="20" t="e">
        <f>-SUM([1]Specials!$AC$31:$AI$31,[1]Specials!$BE$31:$BG$31)/1000/AF10</f>
        <v>#DIV/0!</v>
      </c>
      <c r="AG18" s="7"/>
      <c r="AH18" s="28">
        <f>-SUM('[1]Total P&amp;C'!$AC$29:$AI$29,'[1]Total P&amp;C'!$BE$29:$BG$29)/1000/AH10</f>
        <v>1.0742823291993232E-2</v>
      </c>
      <c r="AI18" s="28">
        <f>-SUM('[1]Total P&amp;C'!$AC$30:$AI$30,'[1]Total P&amp;C'!$BE$30:$BG$30)/1000/AI10</f>
        <v>4.8085320679106544E-3</v>
      </c>
      <c r="AJ18" s="28">
        <f>-SUM('[1]Total P&amp;C'!$AC$31:$AI$31,'[1]Total P&amp;C'!$BE$31:$BG$31)/1000/AJ10</f>
        <v>-1.4620934385430308E-2</v>
      </c>
      <c r="AL18" s="202"/>
      <c r="AM18" s="9"/>
      <c r="AN18" s="37" t="s">
        <v>28</v>
      </c>
      <c r="AT18" s="20">
        <f>-SUM([2]Retail!$AC$29:$AI$29,[2]Retail!$BE$29:$BG$29)/1000/AT10</f>
        <v>0.47776291549114414</v>
      </c>
      <c r="AU18" s="20">
        <f>-SUM([2]Retail!$AC$30:$AI$30,[2]Retail!$BE$30:$BG$30)/1000/AU10</f>
        <v>-0.33584829023658486</v>
      </c>
      <c r="AV18" s="20">
        <f>-SUM([2]Retail!$AC$31:$AI$31,[2]Retail!$BE$31:$BG$31)/1000/AV10</f>
        <v>5.3656085920582098E-3</v>
      </c>
      <c r="AW18" s="7"/>
      <c r="AX18" s="20">
        <f>-SUM([2]SME!$AC$29:$AI$29,[2]SME!$BE$29:$BG$29)/1000/AX10</f>
        <v>0.46355565277148542</v>
      </c>
      <c r="AY18" s="20">
        <f>-SUM([2]SME!$AC$30:$AI$30,[2]SME!$BE$30:$BG$30)/1000/AY10</f>
        <v>1.1924534364214982E-2</v>
      </c>
      <c r="AZ18" s="20">
        <f>-SUM([2]SME!$AC$31:$AI$31,[2]SME!$BE$31:$BG$31)/1000/AZ10</f>
        <v>3.4684462216184861E-2</v>
      </c>
      <c r="BA18" s="7"/>
      <c r="BB18" s="20">
        <f>-SUM([2]MidCorp!$AC$29:$AI$29,[2]MidCorp!$BE$29:$BG$29)/1000/BB10</f>
        <v>0.13410523098649341</v>
      </c>
      <c r="BC18" s="20">
        <f>-SUM([2]MidCorp!$AC$30:$AI$30,[2]MidCorp!$BE$30:$BG$30)/1000/BC10</f>
        <v>0.33922915710182655</v>
      </c>
      <c r="BD18" s="20">
        <f>-SUM([2]MidCorp!$AC$31:$AI$31,[2]MidCorp!$BE$31:$BG$31)/1000/BD10</f>
        <v>1.580110340712421E-2</v>
      </c>
      <c r="BJ18" s="20" t="e">
        <f>-SUM([2]Specials!$AC$29:$AI$29,[2]Specials!$BE$29:$BG$29)/1000/BJ10</f>
        <v>#DIV/0!</v>
      </c>
      <c r="BK18" s="20" t="e">
        <f>-SUM([2]Specials!$AC$30:$AI$30,[2]Specials!$BE$30:$BG$30)/1000/BK10</f>
        <v>#DIV/0!</v>
      </c>
      <c r="BL18" s="20" t="e">
        <f>-SUM([2]Specials!$AC$31:$AI$31,[2]Specials!$BE$31:$BG$31)/1000/BL10</f>
        <v>#DIV/0!</v>
      </c>
      <c r="BM18" s="7"/>
      <c r="BN18" s="28">
        <f>-SUM('[2]Total P&amp;C'!$AC$29:$AI$29,'[2]Total P&amp;C'!$BE$29:$BG$29)/1000/BN10</f>
        <v>0.36535421091287679</v>
      </c>
      <c r="BO18" s="28">
        <f>-SUM('[2]Total P&amp;C'!$AC$30:$AI$30,'[2]Total P&amp;C'!$BE$30:$BG$30)/1000/BO10</f>
        <v>-4.3988127643828465E-2</v>
      </c>
      <c r="BP18" s="28">
        <f>-SUM('[2]Total P&amp;C'!$AC$31:$AI$31,'[2]Total P&amp;C'!$BE$31:$BG$31)/1000/BP10</f>
        <v>1.3371686092459934E-2</v>
      </c>
      <c r="BR18" s="28">
        <f>-SUM('[3]Total P&amp;C'!$AC$29:$AI$29,'[3]Total P&amp;C'!$BE$29:$BG$29)/1000/BR10</f>
        <v>7.2981689481712464E-2</v>
      </c>
      <c r="BS18" s="28">
        <f>-SUM('[3]Total P&amp;C'!$AC$30:$AI$30,'[3]Total P&amp;C'!$BE$30:$BG$30)/1000/BS10</f>
        <v>-4.6687057781178015E-3</v>
      </c>
      <c r="BT18" s="28">
        <f>-SUM('[3]Total P&amp;C'!$AC$31:$AI$31,'[3]Total P&amp;C'!$BE$31:$BG$31)/1000/BT10</f>
        <v>-9.3969410946098397E-3</v>
      </c>
    </row>
    <row r="19" spans="2:72" ht="16.5" customHeight="1" x14ac:dyDescent="0.25">
      <c r="B19" s="202"/>
      <c r="C19" s="9"/>
      <c r="D19" s="37" t="s">
        <v>29</v>
      </c>
      <c r="J19" s="20">
        <f>-SUM([1]Retail!$AJ$29:$AK$29,[1]Retail!$BH$29:$BI$29)/1000/J10</f>
        <v>0.33452728583164398</v>
      </c>
      <c r="K19" s="20">
        <f>-SUM([1]Retail!$AJ$30:$AK$30,[1]Retail!$BH$30:$BI$30)/1000/K10</f>
        <v>6.1155615178239087E-2</v>
      </c>
      <c r="L19" s="20" t="e">
        <f>-SUM([1]Retail!$AJ$31:$AK$31,[1]Retail!$BH$31:$BI$31)/1000/L10</f>
        <v>#DIV/0!</v>
      </c>
      <c r="M19" s="7"/>
      <c r="N19" s="20">
        <f>-SUM([1]SME!$AJ$29:$AK$29,[1]SME!$BH$29:$BI$29)/1000/N10</f>
        <v>-1.3082522304252523E-2</v>
      </c>
      <c r="O19" s="20">
        <f>-SUM([1]SME!$AJ$30:$AK$30,[1]SME!$BH$30:$BI$30)/1000/O10</f>
        <v>-1.8102190393432444E-2</v>
      </c>
      <c r="P19" s="20">
        <f>-SUM([1]SME!$AJ$31:$AK$31,[1]SME!$BH$31:$BI$31)/1000/P10</f>
        <v>0</v>
      </c>
      <c r="Q19" s="7"/>
      <c r="R19" s="20">
        <f>-SUM([1]MidCorp!$AJ$29:$AK$29,[1]MidCorp!$BH$29:$BI$29)/1000/R10</f>
        <v>-7.4097296132540763E-3</v>
      </c>
      <c r="S19" s="20">
        <f>-SUM([1]MidCorp!$AJ$30:$AK$30,[1]MidCorp!$BH$30:$BI$30)/1000/S10</f>
        <v>1.8929945367554067E-2</v>
      </c>
      <c r="T19" s="20">
        <f>-SUM([1]MidCorp!$AJ$31:$AK$31,[1]MidCorp!$BH$31:$BI$31)/1000/T10</f>
        <v>0</v>
      </c>
      <c r="U19" s="7"/>
      <c r="V19" s="20">
        <f>-SUM([1]MGA!$AJ$29:$AK$29,[1]MGA!$BH$29:$BI$29)/1000/V10</f>
        <v>0.12006639088048242</v>
      </c>
      <c r="W19" s="20">
        <f>-SUM([1]MGA!$AJ$30:$AK$30,[1]MGA!$BH$30:$BI$30)/1000/W10</f>
        <v>-8.4584213888210399E-2</v>
      </c>
      <c r="X19" s="20">
        <f>-SUM([1]MGA!$AJ$31:$AK$31,[1]MGA!$BH$31:$BI$31)/1000/X10</f>
        <v>0</v>
      </c>
      <c r="Y19" s="7"/>
      <c r="Z19" s="20">
        <f>-SUM([1]Bancassurance!$AJ$29:$AK$29,[1]Bancassurance!$BH$29:$BI$29)/1000/Z10</f>
        <v>0</v>
      </c>
      <c r="AA19" s="20" t="e">
        <f>-SUM([1]Bancassurance!$AJ$30:$AK$30,[1]Bancassurance!$BH$30:$BI$30)/1000/AA10</f>
        <v>#DIV/0!</v>
      </c>
      <c r="AB19" s="20" t="e">
        <f>-SUM([1]Bancassurance!$AJ$31:$AK$31,[1]Bancassurance!$BH$31:$BI$31)/1000/AB10</f>
        <v>#DIV/0!</v>
      </c>
      <c r="AC19" s="7"/>
      <c r="AD19" s="20">
        <f>-SUM([1]Specials!$AJ$29:$AK$29,[1]Specials!$BH$29:$BI$29)/1000/AD10</f>
        <v>0.46728918417510673</v>
      </c>
      <c r="AE19" s="20">
        <f>-SUM([1]Specials!$AJ$30:$AK$30,[1]Specials!$BH$30:$BI$30)/1000/AE10</f>
        <v>-1.9030782809409132</v>
      </c>
      <c r="AF19" s="20" t="e">
        <f>-SUM([1]Specials!$AJ$31:$AK$31,[1]Specials!$BH$31:$BI$31)/1000/AF10</f>
        <v>#DIV/0!</v>
      </c>
      <c r="AG19" s="7"/>
      <c r="AH19" s="28">
        <f>-SUM('[1]Total P&amp;C'!$AJ$29:$AK$29,'[1]Total P&amp;C'!$BH$29:$BI$29)/1000/AH10</f>
        <v>2.7417426000852809E-2</v>
      </c>
      <c r="AI19" s="28">
        <f>-SUM('[1]Total P&amp;C'!$AJ$30:$AK$30,'[1]Total P&amp;C'!$BH$30:$BI$30)/1000/AI10</f>
        <v>-9.9536024564712364E-3</v>
      </c>
      <c r="AJ19" s="28">
        <f>-SUM('[1]Total P&amp;C'!$AJ$31:$AK$31,'[1]Total P&amp;C'!$BH$31:$BI$31)/1000/AJ10</f>
        <v>0</v>
      </c>
      <c r="AL19" s="202"/>
      <c r="AM19" s="9"/>
      <c r="AN19" s="37" t="s">
        <v>29</v>
      </c>
      <c r="AT19" s="20">
        <f>-SUM([2]Retail!$AJ$29:$AK$29,[2]Retail!$BH$29:$BI$29)/1000/AT10</f>
        <v>-0.60839863763500579</v>
      </c>
      <c r="AU19" s="20">
        <f>-SUM([2]Retail!$AJ$30:$AK$30,[2]Retail!$BH$30:$BI$30)/1000/AU10</f>
        <v>-3.5545513084235196E-2</v>
      </c>
      <c r="AV19" s="20">
        <f>-SUM([2]Retail!$AJ$31:$AK$31,[2]Retail!$BH$31:$BI$31)/1000/AV10</f>
        <v>0</v>
      </c>
      <c r="AW19" s="7"/>
      <c r="AX19" s="20">
        <f>-SUM([2]SME!$AJ$29:$AK$29,[2]SME!$BH$29:$BI$29)/1000/AX10</f>
        <v>-0.57658295777362145</v>
      </c>
      <c r="AY19" s="20">
        <f>-SUM([2]SME!$AJ$30:$AK$30,[2]SME!$BH$30:$BI$30)/1000/AY10</f>
        <v>-5.1957114696352634E-2</v>
      </c>
      <c r="AZ19" s="20">
        <f>-SUM([2]SME!$AJ$31:$AK$31,[2]SME!$BH$31:$BI$31)/1000/AZ10</f>
        <v>0</v>
      </c>
      <c r="BA19" s="7"/>
      <c r="BB19" s="20">
        <f>-SUM([2]MidCorp!$AJ$29:$AK$29,[2]MidCorp!$BH$29:$BI$29)/1000/BB10</f>
        <v>-0.29942834255607498</v>
      </c>
      <c r="BC19" s="20">
        <f>-SUM([2]MidCorp!$AJ$30:$AK$30,[2]MidCorp!$BH$30:$BI$30)/1000/BC10</f>
        <v>-7.8827691145095923E-3</v>
      </c>
      <c r="BD19" s="20">
        <f>-SUM([2]MidCorp!$AJ$31:$AK$31,[2]MidCorp!$BH$31:$BI$31)/1000/BD10</f>
        <v>0</v>
      </c>
      <c r="BJ19" s="20" t="e">
        <f>-SUM([2]Specials!$AJ$29:$AK$29,[2]Specials!$BH$29:$BI$29)/1000/BJ10</f>
        <v>#DIV/0!</v>
      </c>
      <c r="BK19" s="20" t="e">
        <f>-SUM([2]Specials!$AJ$30:$AK$30,[2]Specials!$BH$30:$BI$30)/1000/BK10</f>
        <v>#DIV/0!</v>
      </c>
      <c r="BL19" s="20" t="e">
        <f>-SUM([2]Specials!$AJ$31:$AK$31,[2]Specials!$BH$31:$BI$31)/1000/BL10</f>
        <v>#DIV/0!</v>
      </c>
      <c r="BM19" s="7"/>
      <c r="BN19" s="28">
        <f>-SUM('[2]Total P&amp;C'!$AJ$29:$AK$29,'[2]Total P&amp;C'!$BH$29:$BI$29)/1000/BN10</f>
        <v>-0.50424941061301809</v>
      </c>
      <c r="BO19" s="28">
        <f>-SUM('[2]Total P&amp;C'!$AJ$30:$AK$30,'[2]Total P&amp;C'!$BH$30:$BI$30)/1000/BO10</f>
        <v>-2.848431544182612E-2</v>
      </c>
      <c r="BP19" s="28">
        <f>-SUM('[2]Total P&amp;C'!$AJ$31:$AK$31,'[2]Total P&amp;C'!$BH$31:$BI$31)/1000/BP10</f>
        <v>0</v>
      </c>
      <c r="BR19" s="28">
        <f>-SUM('[3]Total P&amp;C'!$AJ$29:$AK$29,'[3]Total P&amp;C'!$BH$29:$BI$29)/1000/BR10</f>
        <v>-6.5896952094920788E-2</v>
      </c>
      <c r="BS19" s="28">
        <f>-SUM('[3]Total P&amp;C'!$AJ$30:$AK$30,'[3]Total P&amp;C'!$BH$30:$BI$30)/1000/BS10</f>
        <v>-1.3552618771443337E-2</v>
      </c>
      <c r="BT19" s="28">
        <f>-SUM('[3]Total P&amp;C'!$AJ$31:$AK$31,'[3]Total P&amp;C'!$BH$31:$BI$31)/1000/BT10</f>
        <v>0</v>
      </c>
    </row>
    <row r="20" spans="2:72" ht="16.5" customHeight="1" x14ac:dyDescent="0.25">
      <c r="B20" s="202"/>
      <c r="C20" s="9"/>
      <c r="D20" s="37" t="s">
        <v>30</v>
      </c>
      <c r="J20" s="20">
        <f>+J21+J22+J23</f>
        <v>0.34596358912951319</v>
      </c>
      <c r="K20" s="20">
        <f>+K21+K22+K23</f>
        <v>0.54604698795942086</v>
      </c>
      <c r="L20" s="20" t="e">
        <f>+L21+L22+L23</f>
        <v>#DIV/0!</v>
      </c>
      <c r="M20" s="7"/>
      <c r="N20" s="20">
        <f>+N21+N22+N23</f>
        <v>0.27932473699350674</v>
      </c>
      <c r="O20" s="20">
        <f>+O21+O22+O23</f>
        <v>0.28309187966363353</v>
      </c>
      <c r="P20" s="20">
        <f>+P21+P22+P23</f>
        <v>0.28546747473247969</v>
      </c>
      <c r="Q20" s="7"/>
      <c r="R20" s="20">
        <f>+R21+R22+R23</f>
        <v>0.19471149282183392</v>
      </c>
      <c r="S20" s="20">
        <f>+S21+S22+S23</f>
        <v>0.19464321882206898</v>
      </c>
      <c r="T20" s="20">
        <f>+T21+T22+T23</f>
        <v>0.22206510698042675</v>
      </c>
      <c r="U20" s="7"/>
      <c r="V20" s="20">
        <f>+V21+V22+V23</f>
        <v>0.3288940473624174</v>
      </c>
      <c r="W20" s="20">
        <f>+W21+W22+W23</f>
        <v>0.31932480318043555</v>
      </c>
      <c r="X20" s="20">
        <f>+X21+X22+X23</f>
        <v>0.3213194827578949</v>
      </c>
      <c r="Y20" s="7"/>
      <c r="Z20" s="20">
        <f>+Z21+Z22+Z23</f>
        <v>0.15005275263643733</v>
      </c>
      <c r="AA20" s="20" t="e">
        <f>+AA21+AA22+AA23</f>
        <v>#DIV/0!</v>
      </c>
      <c r="AB20" s="20" t="e">
        <f>+AB21+AB22+AB23</f>
        <v>#DIV/0!</v>
      </c>
      <c r="AC20" s="7"/>
      <c r="AD20" s="20">
        <f>+AD21+AD22+AD23</f>
        <v>0</v>
      </c>
      <c r="AE20" s="20">
        <f>+AE21+AE22+AE23</f>
        <v>0</v>
      </c>
      <c r="AF20" s="20" t="e">
        <f>+AF21+AF22+AF23</f>
        <v>#DIV/0!</v>
      </c>
      <c r="AG20" s="7"/>
      <c r="AH20" s="28">
        <f>+AH21+AH22+AH23</f>
        <v>0.23996894692027132</v>
      </c>
      <c r="AI20" s="28">
        <f>+AI21+AI22+AI23</f>
        <v>0.24299903121344171</v>
      </c>
      <c r="AJ20" s="28">
        <f>+AJ21+AJ22+AJ23</f>
        <v>0.25931126341039423</v>
      </c>
      <c r="AL20" s="202"/>
      <c r="AM20" s="9"/>
      <c r="AN20" s="37" t="s">
        <v>30</v>
      </c>
      <c r="AT20" s="20">
        <f>+AT21+AT22+AT23</f>
        <v>0.34480766213501524</v>
      </c>
      <c r="AU20" s="20">
        <f>+AU21+AU22+AU23</f>
        <v>0.3324183045337249</v>
      </c>
      <c r="AV20" s="20">
        <f>+AV21+AV22+AV23</f>
        <v>0.336670537095904</v>
      </c>
      <c r="AW20" s="7"/>
      <c r="AX20" s="20">
        <f>+AX21+AX22+AX23</f>
        <v>0.38725267702244381</v>
      </c>
      <c r="AY20" s="20">
        <f>+AY21+AY22+AY23</f>
        <v>0.361844213899707</v>
      </c>
      <c r="AZ20" s="20">
        <f>+AZ21+AZ22+AZ23</f>
        <v>0.3898945954040593</v>
      </c>
      <c r="BA20" s="7"/>
      <c r="BB20" s="20">
        <f>+BB21+BB22+BB23</f>
        <v>0.29501349417580586</v>
      </c>
      <c r="BC20" s="20">
        <f>+BC21+BC22+BC23</f>
        <v>0.2625414759942622</v>
      </c>
      <c r="BD20" s="20">
        <f>+BD21+BD22+BD23</f>
        <v>0.30697294886396237</v>
      </c>
      <c r="BJ20" s="20" t="e">
        <f>+BJ21+BJ22+BJ23</f>
        <v>#DIV/0!</v>
      </c>
      <c r="BK20" s="20" t="e">
        <f>+BK21+BK22+BK23</f>
        <v>#DIV/0!</v>
      </c>
      <c r="BL20" s="20" t="e">
        <f>+BL21+BL22+BL23</f>
        <v>#DIV/0!</v>
      </c>
      <c r="BM20" s="7"/>
      <c r="BN20" s="28">
        <f>+BN21+BN22+BN23</f>
        <v>0.33573383395256806</v>
      </c>
      <c r="BO20" s="28">
        <f>+BO21+BO22+BO23</f>
        <v>0.31265966632843678</v>
      </c>
      <c r="BP20" s="28">
        <f>+BP21+BP22+BP23</f>
        <v>0.33635555525076977</v>
      </c>
      <c r="BR20" s="28">
        <f>+BR21+BR22+BR23</f>
        <v>0.25677691811844633</v>
      </c>
      <c r="BS20" s="28">
        <f>+BS21+BS22+BS23</f>
        <v>0.25652844923898266</v>
      </c>
      <c r="BT20" s="28">
        <f>+BT21+BT22+BT23</f>
        <v>0.27368929793517299</v>
      </c>
    </row>
    <row r="21" spans="2:72" ht="16.5" customHeight="1" x14ac:dyDescent="0.25">
      <c r="B21" s="202"/>
      <c r="C21" s="9"/>
      <c r="D21" s="39" t="s">
        <v>31</v>
      </c>
      <c r="J21" s="20">
        <f>-SUM([1]Retail!$AL$29:$AN$29,[1]Retail!$BJ$29)/1000/J10</f>
        <v>0.18252444907867196</v>
      </c>
      <c r="K21" s="42">
        <f>-SUM([1]Retail!$AL$30:$AN$30,[1]Retail!$BJ$30)/1000/K10</f>
        <v>0.18659631660292808</v>
      </c>
      <c r="L21" s="42" t="e">
        <f>-SUM([1]Retail!$AL$31:$AN$31,[1]Retail!$BJ$31)/1000/L10</f>
        <v>#DIV/0!</v>
      </c>
      <c r="M21" s="8"/>
      <c r="N21" s="20">
        <f>-SUM([1]SME!$AL$29:$AN$29,[1]SME!$BJ$29)/1000/N10</f>
        <v>0.16297492814801792</v>
      </c>
      <c r="O21" s="20">
        <f>-SUM([1]SME!$AL$30:$AN$30,[1]SME!$BJ$30)/1000/O10</f>
        <v>0.16191155949508773</v>
      </c>
      <c r="P21" s="20">
        <f>-SUM([1]SME!$AL$31:$AN$31,[1]SME!$BJ$31)/1000/P10</f>
        <v>0.16158192160171428</v>
      </c>
      <c r="Q21" s="8"/>
      <c r="R21" s="20">
        <f>-SUM([1]MidCorp!$AL$29:$AN$29,[1]MidCorp!$BJ$29)/1000/R10</f>
        <v>0.10118581690838319</v>
      </c>
      <c r="S21" s="20">
        <f>-SUM([1]MidCorp!$AL$30:$AN$30,[1]MidCorp!$BJ$30)/1000/S10</f>
        <v>0.1037176197998232</v>
      </c>
      <c r="T21" s="20">
        <f>-SUM([1]MidCorp!$AL$31:$AN$31,[1]MidCorp!$BJ$31)/1000/T10</f>
        <v>0.1047713748085633</v>
      </c>
      <c r="U21" s="8"/>
      <c r="V21" s="20">
        <f>-SUM([1]MGA!$AL$29:$AN$29,[1]MGA!$BJ$29)/1000/V10</f>
        <v>0.26900051133808672</v>
      </c>
      <c r="W21" s="20">
        <f>-SUM([1]MGA!$AL$30:$AN$30,[1]MGA!$BJ$30)/1000/W10</f>
        <v>0.26088452921213451</v>
      </c>
      <c r="X21" s="20">
        <f>-SUM([1]MGA!$AL$31:$AN$31,[1]MGA!$BJ$31)/1000/X10</f>
        <v>0.2487788184379445</v>
      </c>
      <c r="Y21" s="8"/>
      <c r="Z21" s="20">
        <f>-SUM([1]Bancassurance!$AL$29:$AN$29,[1]Bancassurance!$BJ$29)/1000/Z10</f>
        <v>0.15005275263643733</v>
      </c>
      <c r="AA21" s="20" t="e">
        <f>-SUM([1]Bancassurance!$AL$30:$AN$30,[1]Bancassurance!$BJ$30)/1000/AA10</f>
        <v>#DIV/0!</v>
      </c>
      <c r="AB21" s="20" t="e">
        <f>-SUM([1]Bancassurance!$AL$31:$AN$31,[1]Bancassurance!$BJ$31)/1000/AB10</f>
        <v>#DIV/0!</v>
      </c>
      <c r="AC21" s="8"/>
      <c r="AD21" s="20">
        <f>-SUM([1]Specials!$AL$29:$AN$29,[1]Specials!$BJ$29)/1000/AD10</f>
        <v>0</v>
      </c>
      <c r="AE21" s="20">
        <f>-SUM([1]Specials!$AL$30:$AN$30,[1]Specials!$BJ$30)/1000/AE10</f>
        <v>0</v>
      </c>
      <c r="AF21" s="20" t="e">
        <f>-SUM([1]Specials!$AL$31:$AN$31,[1]Specials!$BJ$31)/1000/AF10</f>
        <v>#DIV/0!</v>
      </c>
      <c r="AG21" s="8"/>
      <c r="AH21" s="28">
        <f>-SUM('[1]Total P&amp;C'!$AL$29:$AN$29,'[1]Total P&amp;C'!$BJ$29)/1000/AH10</f>
        <v>0.15077856874517176</v>
      </c>
      <c r="AI21" s="28">
        <f>-SUM('[1]Total P&amp;C'!$AL$30:$AN$30,'[1]Total P&amp;C'!$BJ$30)/1000/AI10</f>
        <v>0.14997419459863051</v>
      </c>
      <c r="AJ21" s="28">
        <f>-SUM('[1]Total P&amp;C'!$AL$31:$AN$31,'[1]Total P&amp;C'!$BJ$31)/1000/AJ10</f>
        <v>0.15089464737941199</v>
      </c>
      <c r="AL21" s="202"/>
      <c r="AM21" s="9"/>
      <c r="AN21" s="39" t="s">
        <v>31</v>
      </c>
      <c r="AT21" s="20">
        <f>-SUM([2]Retail!$AL$29:$AN$29,[2]Retail!$BJ$29)/1000/AT10</f>
        <v>0.16486587701515965</v>
      </c>
      <c r="AU21" s="42">
        <f>-SUM([2]Retail!$AL$30:$AN$30,[2]Retail!$BJ$30)/1000/AU10</f>
        <v>0.1643169581366889</v>
      </c>
      <c r="AV21" s="42">
        <f>-SUM([2]Retail!$AL$31:$AN$31,[2]Retail!$BJ$31)/1000/AV10</f>
        <v>0.16622672422687915</v>
      </c>
      <c r="AW21" s="8"/>
      <c r="AX21" s="20">
        <f>-SUM([2]SME!$AL$29:$AN$29,[2]SME!$BJ$29)/1000/AX10</f>
        <v>0.19736586790235461</v>
      </c>
      <c r="AY21" s="20">
        <f>-SUM([2]SME!$AL$30:$AN$30,[2]SME!$BJ$30)/1000/AY10</f>
        <v>0.19240737386421983</v>
      </c>
      <c r="AZ21" s="20">
        <f>-SUM([2]SME!$AL$31:$AN$31,[2]SME!$BJ$31)/1000/AZ10</f>
        <v>0.20630263403819268</v>
      </c>
      <c r="BA21" s="8"/>
      <c r="BB21" s="20">
        <f>-SUM([2]MidCorp!$AL$29:$AN$29,[2]MidCorp!$BJ$29)/1000/BB10</f>
        <v>0.11308665066736888</v>
      </c>
      <c r="BC21" s="20">
        <f>-SUM([2]MidCorp!$AL$30:$AN$30,[2]MidCorp!$BJ$30)/1000/BC10</f>
        <v>0.12289580120616386</v>
      </c>
      <c r="BD21" s="20">
        <f>-SUM([2]MidCorp!$AL$31:$AN$31,[2]MidCorp!$BJ$31)/1000/BD10</f>
        <v>0.12047252309918569</v>
      </c>
      <c r="BJ21" s="20" t="e">
        <f>-SUM([2]Specials!$AL$29:$AN$29,[2]Specials!$BJ$29)/1000/BJ10</f>
        <v>#DIV/0!</v>
      </c>
      <c r="BK21" s="20" t="e">
        <f>-SUM([2]Specials!$AL$30:$AN$30,[2]Specials!$BJ$30)/1000/BK10</f>
        <v>#DIV/0!</v>
      </c>
      <c r="BL21" s="20" t="e">
        <f>-SUM([2]Specials!$AL$31:$AN$31,[2]Specials!$BJ$31)/1000/BL10</f>
        <v>#DIV/0!</v>
      </c>
      <c r="BM21" s="8"/>
      <c r="BN21" s="28">
        <f>-SUM('[2]Total P&amp;C'!$AL$29:$AN$29,'[2]Total P&amp;C'!$BJ$29)/1000/BN10</f>
        <v>0.15354405684429701</v>
      </c>
      <c r="BO21" s="28">
        <f>-SUM('[2]Total P&amp;C'!$AL$30:$AN$30,'[2]Total P&amp;C'!$BJ$30)/1000/BO10</f>
        <v>0.15430552402971073</v>
      </c>
      <c r="BP21" s="28">
        <f>-SUM('[2]Total P&amp;C'!$AL$31:$AN$31,'[2]Total P&amp;C'!$BJ$31)/1000/BP10</f>
        <v>0.15884840180146415</v>
      </c>
      <c r="BR21" s="28">
        <f>-SUM('[3]Total P&amp;C'!$AL$29:$AN$29,'[3]Total P&amp;C'!$BJ$29)/1000/BR10</f>
        <v>0.15126394752814173</v>
      </c>
      <c r="BS21" s="28">
        <f>-SUM('[3]Total P&amp;C'!$AL$30:$AN$30,'[3]Total P&amp;C'!$BJ$30)/1000/BS10</f>
        <v>0.15081542101556852</v>
      </c>
      <c r="BT21" s="28">
        <f>-SUM('[3]Total P&amp;C'!$AL$31:$AN$31,'[3]Total P&amp;C'!$BJ$31)/1000/BT10</f>
        <v>0.15237898000094885</v>
      </c>
    </row>
    <row r="22" spans="2:72" ht="16.5" customHeight="1" x14ac:dyDescent="0.25">
      <c r="B22" s="202"/>
      <c r="C22" s="9"/>
      <c r="D22" s="39" t="s">
        <v>32</v>
      </c>
      <c r="J22" s="20">
        <f>-SUM([1]Retail!$AO$29:$AP$29)/1000/J10</f>
        <v>5.3873570389478456E-3</v>
      </c>
      <c r="K22" s="42">
        <f>-SUM([1]Retail!$AO$30:$AP$30)/1000/K10</f>
        <v>5.6090317835632834E-2</v>
      </c>
      <c r="L22" s="42" t="e">
        <f>-SUM([1]Retail!$AO$31:$AP$31)/1000/L10</f>
        <v>#DIV/0!</v>
      </c>
      <c r="M22" s="8"/>
      <c r="N22" s="20">
        <f>-SUM([1]SME!$AO$29:$AP$29)/1000/N10</f>
        <v>5.1243220836192822E-2</v>
      </c>
      <c r="O22" s="20">
        <f>-SUM([1]SME!$AO$30:$AP$30)/1000/O10</f>
        <v>5.9864907788402977E-2</v>
      </c>
      <c r="P22" s="20">
        <f>-SUM([1]SME!$AO$31:$AP$31)/1000/P10</f>
        <v>4.9226247798408576E-2</v>
      </c>
      <c r="Q22" s="8"/>
      <c r="R22" s="20">
        <f>-SUM([1]MidCorp!$AO$29:$AP$29)/1000/R10</f>
        <v>1.7664928785592934E-2</v>
      </c>
      <c r="S22" s="20">
        <f>-SUM([1]MidCorp!$AO$30:$AP$30)/1000/S10</f>
        <v>1.5764921897765231E-2</v>
      </c>
      <c r="T22" s="20">
        <f>-SUM([1]MidCorp!$AO$31:$AP$31)/1000/T10</f>
        <v>1.9997912565059103E-2</v>
      </c>
      <c r="U22" s="8"/>
      <c r="V22" s="20">
        <f>-SUM([1]MGA!$AO$29:$AP$29)/1000/V10</f>
        <v>1.9072919731194876E-2</v>
      </c>
      <c r="W22" s="20">
        <f>-SUM([1]MGA!$AO$30:$AP$30)/1000/W10</f>
        <v>1.4468001936770669E-2</v>
      </c>
      <c r="X22" s="20">
        <f>-SUM([1]MGA!$AO$31:$AP$31)/1000/X10</f>
        <v>2.2731927091289825E-2</v>
      </c>
      <c r="Y22" s="8"/>
      <c r="Z22" s="20">
        <f>-SUM([1]Bancassurance!$AO$29:$AP$29)/1000/Z10</f>
        <v>0</v>
      </c>
      <c r="AA22" s="20" t="e">
        <f>-SUM([1]Bancassurance!$AO$30:$AP$30)/1000/AA10</f>
        <v>#DIV/0!</v>
      </c>
      <c r="AB22" s="20" t="e">
        <f>-SUM([1]Bancassurance!$AO$31:$AP$31)/1000/AB10</f>
        <v>#DIV/0!</v>
      </c>
      <c r="AC22" s="8"/>
      <c r="AD22" s="20">
        <f>-SUM([1]Specials!$AO$29:$AP$29)/1000/AD10</f>
        <v>0</v>
      </c>
      <c r="AE22" s="20">
        <f>-SUM([1]Specials!$AO$30:$AP$30)/1000/AE10</f>
        <v>0</v>
      </c>
      <c r="AF22" s="20" t="e">
        <f>-SUM([1]Specials!$AO$31:$AP$31)/1000/AF10</f>
        <v>#DIV/0!</v>
      </c>
      <c r="AG22" s="8"/>
      <c r="AH22" s="28">
        <f>-SUM('[1]Total P&amp;C'!$AO$29:$AP$29)/1000/AH10</f>
        <v>2.2199133018893976E-2</v>
      </c>
      <c r="AI22" s="28">
        <f>-SUM('[1]Total P&amp;C'!$AO$30:$AP$30)/1000/AI10</f>
        <v>2.3004983863098301E-2</v>
      </c>
      <c r="AJ22" s="28">
        <f>-SUM('[1]Total P&amp;C'!$AO$31:$AP$31)/1000/AJ10</f>
        <v>2.492070204231284E-2</v>
      </c>
      <c r="AL22" s="202"/>
      <c r="AM22" s="9"/>
      <c r="AN22" s="39" t="s">
        <v>32</v>
      </c>
      <c r="AT22" s="20">
        <f>-SUM([2]Retail!$AO$29:$AP$29)/1000/AT10</f>
        <v>9.9420011869077202E-2</v>
      </c>
      <c r="AU22" s="42">
        <f>-SUM([2]Retail!$AO$30:$AP$30)/1000/AU10</f>
        <v>9.372547327975228E-2</v>
      </c>
      <c r="AV22" s="42">
        <f>-SUM([2]Retail!$AO$31:$AP$31)/1000/AV10</f>
        <v>9.224822418342643E-2</v>
      </c>
      <c r="AW22" s="8"/>
      <c r="AX22" s="20">
        <f>-SUM([2]SME!$AO$29:$AP$29)/1000/AX10</f>
        <v>9.2953494101498529E-2</v>
      </c>
      <c r="AY22" s="20">
        <f>-SUM([2]SME!$AO$30:$AP$30)/1000/AY10</f>
        <v>8.374691685701259E-2</v>
      </c>
      <c r="AZ22" s="20">
        <f>-SUM([2]SME!$AO$31:$AP$31)/1000/AZ10</f>
        <v>7.8496456208018192E-2</v>
      </c>
      <c r="BA22" s="8"/>
      <c r="BB22" s="20">
        <f>-SUM([2]MidCorp!$AO$29:$AP$29)/1000/BB10</f>
        <v>7.712228744450482E-2</v>
      </c>
      <c r="BC22" s="20">
        <f>-SUM([2]MidCorp!$AO$30:$AP$30)/1000/BC10</f>
        <v>5.4461113372873224E-2</v>
      </c>
      <c r="BD22" s="20">
        <f>-SUM([2]MidCorp!$AO$31:$AP$31)/1000/BD10</f>
        <v>7.1038799083664617E-2</v>
      </c>
      <c r="BJ22" s="20" t="e">
        <f>-SUM([2]Specials!$AO$29:$AP$29)/1000/BJ10</f>
        <v>#DIV/0!</v>
      </c>
      <c r="BK22" s="20" t="e">
        <f>-SUM([2]Specials!$AO$30:$AP$30)/1000/BK10</f>
        <v>#DIV/0!</v>
      </c>
      <c r="BL22" s="20" t="e">
        <f>-SUM([2]Specials!$AO$31:$AP$31)/1000/BL10</f>
        <v>#DIV/0!</v>
      </c>
      <c r="BM22" s="8"/>
      <c r="BN22" s="28">
        <f>-SUM('[2]Total P&amp;C'!$AO$29:$AP$29)/1000/BN10</f>
        <v>9.1227796285453799E-2</v>
      </c>
      <c r="BO22" s="28">
        <f>-SUM('[2]Total P&amp;C'!$AO$30:$AP$30)/1000/BO10</f>
        <v>7.8387370249725183E-2</v>
      </c>
      <c r="BP22" s="28">
        <f>-SUM('[2]Total P&amp;C'!$AO$31:$AP$31)/1000/BP10</f>
        <v>8.3512642399901971E-2</v>
      </c>
      <c r="BR22" s="28">
        <f>-SUM('[3]Total P&amp;C'!$AO$29:$AP$29)/1000/BR10</f>
        <v>3.4314552563445545E-2</v>
      </c>
      <c r="BS22" s="28">
        <f>-SUM('[3]Total P&amp;C'!$AO$30:$AP$30)/1000/BS10</f>
        <v>3.376129487633811E-2</v>
      </c>
      <c r="BT22" s="28">
        <f>-SUM('[3]Total P&amp;C'!$AO$31:$AP$31)/1000/BT10</f>
        <v>3.5855151840107125E-2</v>
      </c>
    </row>
    <row r="23" spans="2:72" ht="16.5" customHeight="1" x14ac:dyDescent="0.25">
      <c r="B23" s="202"/>
      <c r="C23" s="9"/>
      <c r="D23" s="39" t="s">
        <v>33</v>
      </c>
      <c r="J23" s="20">
        <f>-SUM([1]Retail!$AQ$29:$AR$29)/1000/J10</f>
        <v>0.1580517830118934</v>
      </c>
      <c r="K23" s="42">
        <f>-SUM([1]Retail!$AQ$30:$AR$30)/1000/K10</f>
        <v>0.30336035352085994</v>
      </c>
      <c r="L23" s="42" t="e">
        <f>-SUM([1]Retail!$AQ$31:$AR$31)/1000/L10</f>
        <v>#DIV/0!</v>
      </c>
      <c r="M23" s="8"/>
      <c r="N23" s="20">
        <f>-SUM([1]SME!$AQ$29:$AR$29)/1000/N10</f>
        <v>6.5106588009296001E-2</v>
      </c>
      <c r="O23" s="20">
        <f>-SUM([1]SME!$AQ$30:$AR$30)/1000/O10</f>
        <v>6.1315412380142841E-2</v>
      </c>
      <c r="P23" s="20">
        <f>-SUM([1]SME!$AQ$31:$AR$31)/1000/P10</f>
        <v>7.4659305332356832E-2</v>
      </c>
      <c r="Q23" s="8"/>
      <c r="R23" s="20">
        <f>-SUM([1]MidCorp!$AQ$29:$AR$29)/1000/R10</f>
        <v>7.5860747127857786E-2</v>
      </c>
      <c r="S23" s="20">
        <f>-SUM([1]MidCorp!$AQ$30:$AR$30)/1000/S10</f>
        <v>7.5160677124480546E-2</v>
      </c>
      <c r="T23" s="20">
        <f>-SUM([1]MidCorp!$AQ$31:$AR$31)/1000/T10</f>
        <v>9.7295819606804362E-2</v>
      </c>
      <c r="U23" s="8"/>
      <c r="V23" s="20">
        <f>-SUM([1]MGA!$AQ$29:$AR$29)/1000/V10</f>
        <v>4.0820616293135763E-2</v>
      </c>
      <c r="W23" s="20">
        <f>-SUM([1]MGA!$AQ$30:$AR$30)/1000/W10</f>
        <v>4.3972272031530368E-2</v>
      </c>
      <c r="X23" s="20">
        <f>-SUM([1]MGA!$AQ$31:$AR$31)/1000/X10</f>
        <v>4.9808737228660575E-2</v>
      </c>
      <c r="Y23" s="8"/>
      <c r="Z23" s="20">
        <f>-SUM([1]Bancassurance!$AQ$29:$AR$29)/1000/Z10</f>
        <v>0</v>
      </c>
      <c r="AA23" s="20" t="e">
        <f>-SUM([1]Bancassurance!$AQ$30:$AR$30)/1000/AA10</f>
        <v>#DIV/0!</v>
      </c>
      <c r="AB23" s="20" t="e">
        <f>-SUM([1]Bancassurance!$AQ$31:$AR$31)/1000/AB10</f>
        <v>#DIV/0!</v>
      </c>
      <c r="AC23" s="8"/>
      <c r="AD23" s="20">
        <f>-SUM([1]Specials!$AQ$29:$AR$29)/1000/AD10</f>
        <v>0</v>
      </c>
      <c r="AE23" s="20">
        <f>-SUM([1]Specials!$AQ$30:$AR$30)/1000/AE10</f>
        <v>0</v>
      </c>
      <c r="AF23" s="20" t="e">
        <f>-SUM([1]Specials!$AQ$31:$AR$31)/1000/AF10</f>
        <v>#DIV/0!</v>
      </c>
      <c r="AG23" s="8"/>
      <c r="AH23" s="28">
        <f>-SUM('[1]Total P&amp;C'!$AQ$29:$AR$29)/1000/AH10</f>
        <v>6.6991245156205581E-2</v>
      </c>
      <c r="AI23" s="28">
        <f>-SUM('[1]Total P&amp;C'!$AQ$30:$AR$30)/1000/AI10</f>
        <v>7.0019852751712908E-2</v>
      </c>
      <c r="AJ23" s="28">
        <f>-SUM('[1]Total P&amp;C'!$AQ$31:$AR$31)/1000/AJ10</f>
        <v>8.3495913988669374E-2</v>
      </c>
      <c r="AL23" s="202"/>
      <c r="AM23" s="9"/>
      <c r="AN23" s="39" t="s">
        <v>33</v>
      </c>
      <c r="AT23" s="20">
        <f>-SUM([2]Retail!$AQ$29:$AR$29)/1000/AT10</f>
        <v>8.0521773250778333E-2</v>
      </c>
      <c r="AU23" s="42">
        <f>-SUM([2]Retail!$AQ$30:$AR$30)/1000/AU10</f>
        <v>7.4375873117283706E-2</v>
      </c>
      <c r="AV23" s="42">
        <f>-SUM([2]Retail!$AQ$31:$AR$31)/1000/AV10</f>
        <v>7.8195588685598394E-2</v>
      </c>
      <c r="AW23" s="8"/>
      <c r="AX23" s="20">
        <f>-SUM([2]SME!$AQ$29:$AR$29)/1000/AX10</f>
        <v>9.6933315018590732E-2</v>
      </c>
      <c r="AY23" s="20">
        <f>-SUM([2]SME!$AQ$30:$AR$30)/1000/AY10</f>
        <v>8.5689923178474556E-2</v>
      </c>
      <c r="AZ23" s="20">
        <f>-SUM([2]SME!$AQ$31:$AR$31)/1000/AZ10</f>
        <v>0.10509550515784842</v>
      </c>
      <c r="BA23" s="8"/>
      <c r="BB23" s="20">
        <f>-SUM([2]MidCorp!$AQ$29:$AR$29)/1000/BB10</f>
        <v>0.10480455606393214</v>
      </c>
      <c r="BC23" s="20">
        <f>-SUM([2]MidCorp!$AQ$30:$AR$30)/1000/BC10</f>
        <v>8.5184561415225124E-2</v>
      </c>
      <c r="BD23" s="20">
        <f>-SUM([2]MidCorp!$AQ$31:$AR$31)/1000/BD10</f>
        <v>0.11546162668111208</v>
      </c>
      <c r="BJ23" s="20" t="e">
        <f>-SUM([2]Specials!$AQ$29:$AR$29)/1000/BJ10</f>
        <v>#DIV/0!</v>
      </c>
      <c r="BK23" s="20" t="e">
        <f>-SUM([2]Specials!$AQ$30:$AR$30)/1000/BK10</f>
        <v>#DIV/0!</v>
      </c>
      <c r="BL23" s="20" t="e">
        <f>-SUM([2]Specials!$AQ$31:$AR$31)/1000/BL10</f>
        <v>#DIV/0!</v>
      </c>
      <c r="BM23" s="8"/>
      <c r="BN23" s="28">
        <f>-SUM('[2]Total P&amp;C'!$AQ$29:$AR$29)/1000/BN10</f>
        <v>9.0961980822817243E-2</v>
      </c>
      <c r="BO23" s="28">
        <f>-SUM('[2]Total P&amp;C'!$AQ$30:$AR$30)/1000/BO10</f>
        <v>7.9966772049000906E-2</v>
      </c>
      <c r="BP23" s="28">
        <f>-SUM('[2]Total P&amp;C'!$AQ$31:$AR$31)/1000/BP10</f>
        <v>9.3994511049403651E-2</v>
      </c>
      <c r="BR23" s="28">
        <f>-SUM('[3]Total P&amp;C'!$AQ$29:$AR$29)/1000/BR10</f>
        <v>7.119841802685907E-2</v>
      </c>
      <c r="BS23" s="28">
        <f>-SUM('[3]Total P&amp;C'!$AQ$30:$AR$30)/1000/BS10</f>
        <v>7.1951733347076011E-2</v>
      </c>
      <c r="BT23" s="28">
        <f>-SUM('[3]Total P&amp;C'!$AQ$31:$AR$31)/1000/BT10</f>
        <v>8.5455166094117033E-2</v>
      </c>
    </row>
    <row r="24" spans="2:72" ht="16.5" customHeight="1" x14ac:dyDescent="0.25">
      <c r="B24" s="202"/>
      <c r="C24" s="9"/>
      <c r="D24" s="37" t="s">
        <v>34</v>
      </c>
      <c r="J24" s="19">
        <f>+[1]Retail!$BK$29/1000</f>
        <v>8.068250000003864E-3</v>
      </c>
      <c r="K24" s="43">
        <f>+[1]Retail!$BK$30/1000</f>
        <v>0.56455386999999757</v>
      </c>
      <c r="L24" s="19">
        <f>+[1]Retail!$BK$31/1000</f>
        <v>0.16401227836527676</v>
      </c>
      <c r="M24" s="6"/>
      <c r="N24" s="19">
        <f>+[1]SME!$BK$29/1000</f>
        <v>1.4282162900000008</v>
      </c>
      <c r="O24" s="19">
        <f>+[1]SME!$BK$30/1000</f>
        <v>-4.5877270000004501E-2</v>
      </c>
      <c r="P24" s="19">
        <f>+[1]SME!$BK$31/1000</f>
        <v>1.3058696450661587</v>
      </c>
      <c r="Q24" s="6"/>
      <c r="R24" s="19">
        <f>+[1]MidCorp!$BK$29/1000</f>
        <v>0.74669515000000408</v>
      </c>
      <c r="S24" s="19">
        <f>+[1]MidCorp!$BK$30/1000</f>
        <v>4.6789722299999967</v>
      </c>
      <c r="T24" s="19">
        <f>+[1]MidCorp!$BK$31/1000</f>
        <v>2.3729877576258804</v>
      </c>
      <c r="U24" s="6"/>
      <c r="V24" s="19">
        <f>+[1]MGA!$BK$29/1000</f>
        <v>0.48738132000001677</v>
      </c>
      <c r="W24" s="43">
        <f>+[1]MGA!$BK$30/1000</f>
        <v>1.9363632999999978</v>
      </c>
      <c r="X24" s="19">
        <f>+[1]MGA!$BK$31/1000</f>
        <v>1.2019884007112591</v>
      </c>
      <c r="Y24" s="6"/>
      <c r="Z24" s="19">
        <f>+[1]Bancassurance!$BK$29/1000</f>
        <v>3.7355530000000005E-2</v>
      </c>
      <c r="AA24" s="19">
        <f>+[1]Bancassurance!$BK$30/1000</f>
        <v>-2.4904680000000002E-2</v>
      </c>
      <c r="AB24" s="19">
        <f>+[1]Bancassurance!$BK$31/1000</f>
        <v>0</v>
      </c>
      <c r="AC24" s="6"/>
      <c r="AD24" s="19">
        <f>+[1]Specials!$BK$29/1000</f>
        <v>0.63191196999999999</v>
      </c>
      <c r="AE24" s="19">
        <f>+[1]Specials!$BK$30/1000</f>
        <v>0.58412766999999999</v>
      </c>
      <c r="AF24" s="19">
        <f>+[1]Specials!$BK$31/1000</f>
        <v>0</v>
      </c>
      <c r="AG24" s="6"/>
      <c r="AH24" s="27">
        <f>+'[1]Total P&amp;C'!$BK$29/1000</f>
        <v>3.3396285100000123</v>
      </c>
      <c r="AI24" s="27">
        <f>+'[1]Total P&amp;C'!$BK$30/1000</f>
        <v>7.69323511999999</v>
      </c>
      <c r="AJ24" s="27">
        <f>+'[1]Total P&amp;C'!$BK$31/1000</f>
        <v>5.0448580817685702</v>
      </c>
      <c r="AL24" s="202"/>
      <c r="AM24" s="9"/>
      <c r="AN24" s="37" t="s">
        <v>34</v>
      </c>
      <c r="AT24" s="19">
        <f>+[2]Retail!$BK$29/1000</f>
        <v>1.3177537299999864</v>
      </c>
      <c r="AU24" s="19">
        <f>+[2]Retail!$BK$30/1000</f>
        <v>3.2774153600000169</v>
      </c>
      <c r="AV24" s="19">
        <f>+[2]Retail!$BK$31/1000</f>
        <v>0.29331659935186077</v>
      </c>
      <c r="AW24" s="6"/>
      <c r="AX24" s="19">
        <f>+[2]SME!$BK$29/1000</f>
        <v>-0.41201179000000315</v>
      </c>
      <c r="AY24" s="19">
        <f>+[2]SME!$BK$30/1000</f>
        <v>0.36880337999999652</v>
      </c>
      <c r="AZ24" s="19">
        <f>+[2]SME!$BK$31/1000</f>
        <v>-0.54393185479655004</v>
      </c>
      <c r="BA24" s="6"/>
      <c r="BB24" s="19">
        <f>+[2]MidCorp!$BK$29/1000</f>
        <v>-1.1400241899999983</v>
      </c>
      <c r="BC24" s="19">
        <f>+[2]MidCorp!$BK$30/1000</f>
        <v>-4.5955594499999997</v>
      </c>
      <c r="BD24" s="19">
        <f>+[2]MidCorp!$BK$31/1000</f>
        <v>-1.3855468907193538</v>
      </c>
      <c r="BJ24" s="19">
        <f>+[2]Specials!$BK$29/1000</f>
        <v>0</v>
      </c>
      <c r="BK24" s="19">
        <f>+[2]Specials!$BK$30/1000</f>
        <v>0</v>
      </c>
      <c r="BL24" s="19">
        <f>+[2]Specials!$BK$31/1000</f>
        <v>0</v>
      </c>
      <c r="BM24" s="6"/>
      <c r="BN24" s="27">
        <f>+'[2]Total P&amp;C'!$BK$29/1000</f>
        <v>-0.23428225000001277</v>
      </c>
      <c r="BO24" s="27">
        <f>+'[2]Total P&amp;C'!$BK$30/1000</f>
        <v>-0.94934070999998499</v>
      </c>
      <c r="BP24" s="27">
        <f>+'[2]Total P&amp;C'!$BK$31/1000</f>
        <v>-1.6361621461640412</v>
      </c>
      <c r="BR24" s="27">
        <f>+'[3]Total P&amp;C'!$BK$29/1000</f>
        <v>3.1053462599999984</v>
      </c>
      <c r="BS24" s="27">
        <f>+'[3]Total P&amp;C'!$BK$30/1000</f>
        <v>6.7438944100000429</v>
      </c>
      <c r="BT24" s="27">
        <f>+'[3]Total P&amp;C'!$BK$31/1000</f>
        <v>3.4086959356045234</v>
      </c>
    </row>
    <row r="25" spans="2:72" x14ac:dyDescent="0.25">
      <c r="B25"/>
      <c r="C25"/>
      <c r="D25"/>
      <c r="AL25"/>
      <c r="AM25"/>
      <c r="AN25"/>
      <c r="AT25" s="47"/>
      <c r="AU25" s="47"/>
      <c r="AV25" s="47"/>
      <c r="AW25"/>
      <c r="AX25"/>
      <c r="AY25"/>
      <c r="AZ25"/>
      <c r="BA25"/>
      <c r="BB25"/>
      <c r="BC25"/>
      <c r="BD25"/>
      <c r="BJ25"/>
      <c r="BK25"/>
      <c r="BL25"/>
      <c r="BM25"/>
      <c r="BN25"/>
      <c r="BO25"/>
      <c r="BP25"/>
      <c r="BR25"/>
      <c r="BS25"/>
      <c r="BT25"/>
    </row>
    <row r="26" spans="2:72" ht="16.5" hidden="1" customHeight="1" outlineLevel="1" x14ac:dyDescent="0.25">
      <c r="B26" s="202" t="s">
        <v>35</v>
      </c>
      <c r="C26" s="9"/>
      <c r="D26" s="37" t="s">
        <v>19</v>
      </c>
      <c r="J26" s="19">
        <f>+[1]Retail!$C$21/1000</f>
        <v>0.94467743999999876</v>
      </c>
      <c r="K26" s="19">
        <f>+[1]Retail!$C$22/1000</f>
        <v>1.2017279799999991</v>
      </c>
      <c r="L26" s="19">
        <f>+[1]Retail!$C$23/1000</f>
        <v>0</v>
      </c>
      <c r="M26" s="6"/>
      <c r="N26" s="19">
        <f>+[1]SME!$C$21/1000</f>
        <v>11.340722</v>
      </c>
      <c r="O26" s="19">
        <f>+[1]SME!$C$22/1000</f>
        <v>12.046396919999999</v>
      </c>
      <c r="P26" s="19">
        <f>+[1]SME!$C$23/1000</f>
        <v>12.277620000000001</v>
      </c>
      <c r="Q26" s="6"/>
      <c r="R26" s="19">
        <f>+[1]MidCorp!$C$21/1000</f>
        <v>54.983342980000003</v>
      </c>
      <c r="S26" s="19">
        <f>+[1]MidCorp!$C$22/1000</f>
        <v>49.403989899999992</v>
      </c>
      <c r="T26" s="19">
        <f>+[1]MidCorp!$C$23/1000</f>
        <v>49.386870000000002</v>
      </c>
      <c r="U26" s="6"/>
      <c r="V26" s="19">
        <f>+[1]MGA!$C$21/1000</f>
        <v>18.095316599999997</v>
      </c>
      <c r="W26" s="19">
        <f>+[1]MGA!$C$22/1000</f>
        <v>16.027854949999998</v>
      </c>
      <c r="X26" s="19">
        <f>+[1]MGA!$C$23/1000</f>
        <v>16.485080000000004</v>
      </c>
      <c r="Y26" s="6"/>
      <c r="Z26" s="19">
        <f>+[1]Bancassurance!$C$21/1000</f>
        <v>0</v>
      </c>
      <c r="AA26" s="19">
        <f>+[1]Bancassurance!$C$22/1000</f>
        <v>0</v>
      </c>
      <c r="AB26" s="19">
        <f>+[1]Bancassurance!$C$23/1000</f>
        <v>0</v>
      </c>
      <c r="AC26" s="6"/>
      <c r="AD26" s="19">
        <f>+[1]Specials!$C$21/1000</f>
        <v>0.19433375</v>
      </c>
      <c r="AE26" s="19">
        <f>+[1]Specials!$C$22/1000</f>
        <v>0.12200983999999999</v>
      </c>
      <c r="AF26" s="19">
        <f>+[1]Specials!$C$23/1000</f>
        <v>0</v>
      </c>
      <c r="AG26" s="6"/>
      <c r="AH26" s="27">
        <f>+'[1]Total P&amp;C'!$C$21/1000</f>
        <v>85.558392769999998</v>
      </c>
      <c r="AI26" s="27">
        <f>+'[1]Total P&amp;C'!$C$22/1000</f>
        <v>78.801979589999988</v>
      </c>
      <c r="AJ26" s="27">
        <f>+'[1]Total P&amp;C'!$C$23/1000</f>
        <v>78.149570000000011</v>
      </c>
      <c r="AL26" s="202" t="s">
        <v>35</v>
      </c>
      <c r="AM26" s="9"/>
      <c r="AN26" s="37" t="s">
        <v>19</v>
      </c>
      <c r="AT26" s="19">
        <f>+[2]Retail!$C$21/1000</f>
        <v>7.7727622200000024</v>
      </c>
      <c r="AU26" s="19">
        <f>+[2]Retail!$C$22/1000</f>
        <v>7.9758582299999992</v>
      </c>
      <c r="AV26" s="19">
        <f>+[2]Retail!$C$23/1000</f>
        <v>9.0071362122563272</v>
      </c>
      <c r="AW26" s="6"/>
      <c r="AX26" s="19">
        <f>+[2]SME!$C$21/1000</f>
        <v>2.2108949499999997</v>
      </c>
      <c r="AY26" s="19">
        <f>+[2]SME!$C$22/1000</f>
        <v>2.3550842099999989</v>
      </c>
      <c r="AZ26" s="19">
        <f>+[2]SME!$C$23/1000</f>
        <v>2.4117941315877123</v>
      </c>
      <c r="BA26" s="6"/>
      <c r="BB26" s="19">
        <f>+[2]MidCorp!$C$21/1000</f>
        <v>6.3104131100000025</v>
      </c>
      <c r="BC26" s="19">
        <f>+[2]MidCorp!$C$22/1000</f>
        <v>7.2624679900000029</v>
      </c>
      <c r="BD26" s="19">
        <f>+[2]MidCorp!$C$23/1000</f>
        <v>6.4797079119333265</v>
      </c>
      <c r="BJ26" s="19">
        <f>+[2]Specials!$C$21/1000</f>
        <v>0</v>
      </c>
      <c r="BK26" s="19">
        <f>+[2]Specials!$C$22/1000</f>
        <v>0</v>
      </c>
      <c r="BL26" s="19">
        <f>+[2]Specials!$C$23/1000</f>
        <v>0</v>
      </c>
      <c r="BM26" s="6"/>
      <c r="BN26" s="27">
        <f>+'[2]Total P&amp;C'!$C$21/1000</f>
        <v>16.294070280000003</v>
      </c>
      <c r="BO26" s="27">
        <f>+'[2]Total P&amp;C'!$C$22/1000</f>
        <v>17.593410430000002</v>
      </c>
      <c r="BP26" s="27">
        <f>+'[2]Total P&amp;C'!$C$23/1000</f>
        <v>17.898638255777367</v>
      </c>
      <c r="BR26" s="27">
        <f>+'[3]Total P&amp;C'!$C$21/1000</f>
        <v>101.85246305000001</v>
      </c>
      <c r="BS26" s="27">
        <f>+'[3]Total P&amp;C'!$C$22/1000</f>
        <v>96.395390019999994</v>
      </c>
      <c r="BT26" s="27">
        <f>+'[3]Total P&amp;C'!$C$23/1000</f>
        <v>96.048208255777382</v>
      </c>
    </row>
    <row r="27" spans="2:72" ht="16.5" hidden="1" customHeight="1" outlineLevel="1" x14ac:dyDescent="0.25">
      <c r="B27" s="202"/>
      <c r="C27" s="9"/>
      <c r="D27" s="37" t="s">
        <v>20</v>
      </c>
      <c r="J27" s="19">
        <f>+[1]Retail!$N$21/1000</f>
        <v>0.95931627000000186</v>
      </c>
      <c r="K27" s="19">
        <f>+[1]Retail!$N$22/1000</f>
        <v>1.1711001199999989</v>
      </c>
      <c r="L27" s="19">
        <f>+[1]Retail!$N$23/1000</f>
        <v>0</v>
      </c>
      <c r="M27" s="6"/>
      <c r="N27" s="19">
        <f>+[1]SME!$N$21/1000</f>
        <v>7.2882262400000011</v>
      </c>
      <c r="O27" s="19">
        <f>+[1]SME!$N$22/1000</f>
        <v>7.7367101399999978</v>
      </c>
      <c r="P27" s="19">
        <f>+[1]SME!$N$23/1000</f>
        <v>7.596552962986638</v>
      </c>
      <c r="Q27" s="6"/>
      <c r="R27" s="19">
        <f>+[1]MidCorp!$N$21/1000</f>
        <v>43.516099930000003</v>
      </c>
      <c r="S27" s="19">
        <f>+[1]MidCorp!$N$22/1000</f>
        <v>37.623424519999993</v>
      </c>
      <c r="T27" s="19">
        <f>+[1]MidCorp!$N$23/1000</f>
        <v>38.709298161241605</v>
      </c>
      <c r="U27" s="6"/>
      <c r="V27" s="19">
        <f>+[1]MGA!$N$21/1000</f>
        <v>15.471581460000005</v>
      </c>
      <c r="W27" s="19">
        <f>+[1]MGA!$N$22/1000</f>
        <v>13.69660854</v>
      </c>
      <c r="X27" s="19">
        <f>+[1]MGA!$N$23/1000</f>
        <v>15.074523391691372</v>
      </c>
      <c r="Y27" s="6"/>
      <c r="Z27" s="19">
        <f>+[1]Bancassurance!$N$21/1000</f>
        <v>0</v>
      </c>
      <c r="AA27" s="19">
        <f>+[1]Bancassurance!$N$22/1000</f>
        <v>0</v>
      </c>
      <c r="AB27" s="19">
        <f>+[1]Bancassurance!$N$23/1000</f>
        <v>0</v>
      </c>
      <c r="AC27" s="6"/>
      <c r="AD27" s="19">
        <f>+[1]Specials!$N$21/1000</f>
        <v>6.909593E-2</v>
      </c>
      <c r="AE27" s="19">
        <f>+[1]Specials!$N$22/1000</f>
        <v>1.4821349999999995E-2</v>
      </c>
      <c r="AF27" s="19">
        <f>+[1]Specials!$N$23/1000</f>
        <v>0</v>
      </c>
      <c r="AG27" s="6"/>
      <c r="AH27" s="27">
        <f>+'[1]Total P&amp;C'!$N$21/1000</f>
        <v>67.304319830000011</v>
      </c>
      <c r="AI27" s="27">
        <f>+'[1]Total P&amp;C'!$N$22/1000</f>
        <v>60.242664669999989</v>
      </c>
      <c r="AJ27" s="27">
        <f>+'[1]Total P&amp;C'!$N$23/1000</f>
        <v>61.380374515919613</v>
      </c>
      <c r="AL27" s="202"/>
      <c r="AM27" s="9"/>
      <c r="AN27" s="37" t="s">
        <v>20</v>
      </c>
      <c r="AT27" s="19">
        <f>+[2]Retail!$N$21/1000</f>
        <v>7.5916696600000071</v>
      </c>
      <c r="AU27" s="19">
        <f>+[2]Retail!$N$22/1000</f>
        <v>7.668938289999998</v>
      </c>
      <c r="AV27" s="19">
        <f>+[2]Retail!$N$23/1000</f>
        <v>8.4032178728811964</v>
      </c>
      <c r="AW27" s="6"/>
      <c r="AX27" s="19">
        <f>+[2]SME!$N$21/1000</f>
        <v>1.860846340000001</v>
      </c>
      <c r="AY27" s="19">
        <f>+[2]SME!$N$22/1000</f>
        <v>1.9818038599999976</v>
      </c>
      <c r="AZ27" s="19">
        <f>+[2]SME!$N$23/1000</f>
        <v>1.9861192378714618</v>
      </c>
      <c r="BA27" s="6"/>
      <c r="BB27" s="19">
        <f>+[2]MidCorp!$N$21/1000</f>
        <v>4.2822112100000025</v>
      </c>
      <c r="BC27" s="19">
        <f>+[2]MidCorp!$N$22/1000</f>
        <v>4.694180720000003</v>
      </c>
      <c r="BD27" s="19">
        <f>+[2]MidCorp!$N$23/1000</f>
        <v>4.1316620442196896</v>
      </c>
      <c r="BJ27" s="19">
        <f>+[2]Specials!$N$21/1000</f>
        <v>0</v>
      </c>
      <c r="BK27" s="19">
        <f>+[2]Specials!$N$22/1000</f>
        <v>0</v>
      </c>
      <c r="BL27" s="19">
        <f>+[2]Specials!$N$23/1000</f>
        <v>0</v>
      </c>
      <c r="BM27" s="6"/>
      <c r="BN27" s="27">
        <f>+'[2]Total P&amp;C'!$N$21/1000</f>
        <v>13.734727210000008</v>
      </c>
      <c r="BO27" s="27">
        <f>+'[2]Total P&amp;C'!$N$22/1000</f>
        <v>14.344922869999998</v>
      </c>
      <c r="BP27" s="27">
        <f>+'[2]Total P&amp;C'!$N$23/1000</f>
        <v>14.520999154972349</v>
      </c>
      <c r="BR27" s="27">
        <f>+'[3]Total P&amp;C'!$N$21/1000</f>
        <v>81.039047040000014</v>
      </c>
      <c r="BS27" s="27">
        <f>+'[3]Total P&amp;C'!$N$22/1000</f>
        <v>74.587587539999987</v>
      </c>
      <c r="BT27" s="27">
        <f>+'[3]Total P&amp;C'!$N$23/1000</f>
        <v>75.901373670891957</v>
      </c>
    </row>
    <row r="28" spans="2:72" ht="16.5" hidden="1" customHeight="1" outlineLevel="1" x14ac:dyDescent="0.25">
      <c r="B28" s="202"/>
      <c r="C28" s="9"/>
      <c r="D28" s="37" t="s">
        <v>21</v>
      </c>
      <c r="J28" s="20">
        <f>+J29+J34+J35+J36+J37</f>
        <v>1.0172878335525333</v>
      </c>
      <c r="K28" s="20">
        <f>+K29+K34+K35+K36+K37</f>
        <v>0.29341385431674416</v>
      </c>
      <c r="L28" s="20" t="e">
        <f>+L29+L34+L35+L36+L37</f>
        <v>#DIV/0!</v>
      </c>
      <c r="M28" s="6"/>
      <c r="N28" s="20">
        <f>+N29+N34+N35+N36+N37</f>
        <v>1.0101708341040734</v>
      </c>
      <c r="O28" s="20">
        <f>+O29+O34+O35+O36+O37</f>
        <v>1.26465816386395</v>
      </c>
      <c r="P28" s="20">
        <f>+P29+P34+P35+P36+P37</f>
        <v>1.0941282287875302</v>
      </c>
      <c r="Q28" s="6"/>
      <c r="R28" s="20">
        <f>+R29+R34+R35+R36+R37</f>
        <v>1.0047449663534218</v>
      </c>
      <c r="S28" s="20">
        <f>+S29+S34+S35+S36+S37</f>
        <v>0.97488671958881012</v>
      </c>
      <c r="T28" s="20">
        <f>+T29+T34+T35+T36+T37</f>
        <v>0.99605638284643827</v>
      </c>
      <c r="U28" s="6"/>
      <c r="V28" s="20">
        <f>+V29+V34+V35+V36+V37</f>
        <v>1.2195131673371926</v>
      </c>
      <c r="W28" s="20">
        <f>+W29+W34+W35+W36+W37</f>
        <v>0.91902832100653731</v>
      </c>
      <c r="X28" s="20">
        <f>+X29+X34+X35+X36+X37</f>
        <v>1.0358867674822603</v>
      </c>
      <c r="Y28" s="6"/>
      <c r="Z28" s="20" t="e">
        <f>+Z29+Z34+Z35+Z36+Z37</f>
        <v>#DIV/0!</v>
      </c>
      <c r="AA28" s="20" t="e">
        <f>+AA29+AA34+AA35+AA36+AA37</f>
        <v>#DIV/0!</v>
      </c>
      <c r="AB28" s="20" t="e">
        <f>+AB29+AB34+AB35+AB36+AB37</f>
        <v>#DIV/0!</v>
      </c>
      <c r="AC28" s="6"/>
      <c r="AD28" s="20">
        <f>+AD29+AD34+AD35+AD36+AD37</f>
        <v>-6.1644668506524196</v>
      </c>
      <c r="AE28" s="20">
        <f>+AE29+AE34+AE35+AE36+AE37</f>
        <v>-30.384715967168994</v>
      </c>
      <c r="AF28" s="20" t="e">
        <f>+AF29+AF34+AF35+AF36+AF37</f>
        <v>#DIV/0!</v>
      </c>
      <c r="AG28" s="6"/>
      <c r="AH28" s="28">
        <f>+AH29+AH34+AH35+AH36+AH37</f>
        <v>1.0475210897023928</v>
      </c>
      <c r="AI28" s="28">
        <f>+AI29+AI34+AI35+AI36+AI37</f>
        <v>0.97864476700944036</v>
      </c>
      <c r="AJ28" s="28">
        <f>+AJ29+AJ34+AJ35+AJ36+AJ37</f>
        <v>1.0128569342820963</v>
      </c>
      <c r="AL28" s="202"/>
      <c r="AM28" s="9"/>
      <c r="AN28" s="37" t="s">
        <v>21</v>
      </c>
      <c r="AT28" s="20">
        <f>+AT29+AT34+AT35+AT36+AT37</f>
        <v>0.791814388562319</v>
      </c>
      <c r="AU28" s="20">
        <f>+AU29+AU34+AU35+AU36+AU37</f>
        <v>0.51016482752268799</v>
      </c>
      <c r="AV28" s="20">
        <f>+AV29+AV34+AV35+AV36+AV37</f>
        <v>0.8919147329203212</v>
      </c>
      <c r="AW28" s="6"/>
      <c r="AX28" s="20">
        <f>+AX29+AX34+AX35+AX36+AX37</f>
        <v>0.97580865274453621</v>
      </c>
      <c r="AY28" s="20">
        <f>+AY29+AY34+AY35+AY36+AY37</f>
        <v>0.90635547051563659</v>
      </c>
      <c r="AZ28" s="20">
        <f>+AZ29+AZ34+AZ35+AZ36+AZ37</f>
        <v>1.2388799280332894</v>
      </c>
      <c r="BA28" s="6"/>
      <c r="BB28" s="20">
        <f>+BB29+BB34+BB35+BB36+BB37</f>
        <v>1.4196736363221076</v>
      </c>
      <c r="BC28" s="20">
        <f>+BC29+BC34+BC35+BC36+BC37</f>
        <v>1.944203711867317</v>
      </c>
      <c r="BD28" s="20">
        <f>+BD29+BD34+BD35+BD36+BD37</f>
        <v>1.3347551089429828</v>
      </c>
      <c r="BJ28" s="20" t="e">
        <f>+BJ29+BJ34+BJ35+BJ36+BJ37</f>
        <v>#DIV/0!</v>
      </c>
      <c r="BK28" s="20" t="e">
        <f>+BK29+BK34+BK35+BK36+BK37</f>
        <v>#DIV/0!</v>
      </c>
      <c r="BL28" s="20" t="e">
        <f>+BL29+BL34+BL35+BL36+BL37</f>
        <v>#DIV/0!</v>
      </c>
      <c r="BM28" s="6"/>
      <c r="BN28" s="28">
        <f>+BN29+BN34+BN35+BN36+BN37</f>
        <v>1.0124966719306256</v>
      </c>
      <c r="BO28" s="28">
        <f>+BO29+BO34+BO35+BO36+BO37</f>
        <v>1.0341697243297894</v>
      </c>
      <c r="BP28" s="28">
        <f>+BP29+BP34+BP35+BP36+BP37</f>
        <v>1.06537256424896</v>
      </c>
      <c r="BR28" s="28">
        <f>+BR29+BR34+BR35+BR36+BR37</f>
        <v>1.0415850521827656</v>
      </c>
      <c r="BS28" s="28">
        <f>+BS29+BS34+BS35+BS36+BS37</f>
        <v>0.98932350400027425</v>
      </c>
      <c r="BT28" s="28">
        <f>+BT29+BT34+BT35+BT36+BT37</f>
        <v>1.0229039121099053</v>
      </c>
    </row>
    <row r="29" spans="2:72" ht="16.5" hidden="1" customHeight="1" outlineLevel="1" x14ac:dyDescent="0.25">
      <c r="B29" s="202"/>
      <c r="C29" s="9"/>
      <c r="D29" s="37" t="s">
        <v>22</v>
      </c>
      <c r="J29" s="20">
        <f>+J30+J31+J32+J33</f>
        <v>0.16340121073939429</v>
      </c>
      <c r="K29" s="20">
        <f>+K30+K31+K32+K33</f>
        <v>2.172888676674376</v>
      </c>
      <c r="L29" s="20" t="e">
        <f>+L30+L31+L32+L33</f>
        <v>#DIV/0!</v>
      </c>
      <c r="M29" s="6"/>
      <c r="N29" s="20">
        <f>+N30+N31+N32+N33</f>
        <v>1.0509414592486632</v>
      </c>
      <c r="O29" s="20">
        <f>+O30+O31+O32+O33</f>
        <v>0.68421973089455845</v>
      </c>
      <c r="P29" s="20">
        <f>+P30+P31+P32+P33</f>
        <v>0.85941692644899115</v>
      </c>
      <c r="Q29" s="6"/>
      <c r="R29" s="20">
        <f>+R30+R31+R32+R33</f>
        <v>0.87293392011474769</v>
      </c>
      <c r="S29" s="20">
        <f>+S30+S31+S32+S33</f>
        <v>0.83180249908840598</v>
      </c>
      <c r="T29" s="20">
        <f>+T30+T31+T32+T33</f>
        <v>0.86144792754037647</v>
      </c>
      <c r="U29" s="6"/>
      <c r="V29" s="20">
        <f>+V30+V31+V32+V33</f>
        <v>0.80742451134016091</v>
      </c>
      <c r="W29" s="20">
        <f>+W30+W31+W32+W33</f>
        <v>0.77517821429975697</v>
      </c>
      <c r="X29" s="20">
        <f>+X30+X31+X32+X33</f>
        <v>0.7849023976105739</v>
      </c>
      <c r="Y29" s="6"/>
      <c r="Z29" s="20" t="e">
        <f>+Z30+Z31+Z32+Z33</f>
        <v>#DIV/0!</v>
      </c>
      <c r="AA29" s="20" t="e">
        <f>+AA30+AA31+AA32+AA33</f>
        <v>#DIV/0!</v>
      </c>
      <c r="AB29" s="20" t="e">
        <f>+AB30+AB31+AB32+AB33</f>
        <v>#DIV/0!</v>
      </c>
      <c r="AC29" s="6"/>
      <c r="AD29" s="20">
        <f>+AD30+AD31+AD32+AD33</f>
        <v>-4.2983718433198597</v>
      </c>
      <c r="AE29" s="20">
        <f>+AE30+AE31+AE32+AE33</f>
        <v>-20.761469096944616</v>
      </c>
      <c r="AF29" s="20" t="e">
        <f>+AF30+AF31+AF32+AF33</f>
        <v>#DIV/0!</v>
      </c>
      <c r="AG29" s="6"/>
      <c r="AH29" s="28">
        <f>+AH30+AH31+AH32+AH33</f>
        <v>0.86172873459673727</v>
      </c>
      <c r="AI29" s="28">
        <f>+AI30+AI31+AI32+AI33</f>
        <v>0.82073291878508137</v>
      </c>
      <c r="AJ29" s="28">
        <f>+AJ30+AJ31+AJ32+AJ33</f>
        <v>0.84334852441236585</v>
      </c>
      <c r="AL29" s="202"/>
      <c r="AM29" s="9"/>
      <c r="AN29" s="37" t="s">
        <v>22</v>
      </c>
      <c r="AT29" s="20">
        <f>+AT30+AT31+AT32+AT33</f>
        <v>0.70518649516686094</v>
      </c>
      <c r="AU29" s="20">
        <f>+AU30+AU31+AU32+AU33</f>
        <v>0.76676323340189523</v>
      </c>
      <c r="AV29" s="20">
        <f>+AV30+AV31+AV32+AV33</f>
        <v>0.58793956874811626</v>
      </c>
      <c r="AW29" s="6"/>
      <c r="AX29" s="20">
        <f>+AX30+AX31+AX32+AX33</f>
        <v>0.84503975755461858</v>
      </c>
      <c r="AY29" s="20">
        <f>+AY30+AY31+AY32+AY33</f>
        <v>0.48836124983629858</v>
      </c>
      <c r="AZ29" s="20">
        <f>+AZ30+AZ31+AZ32+AZ33</f>
        <v>0.79396337963978125</v>
      </c>
      <c r="BA29" s="6"/>
      <c r="BB29" s="20">
        <f>+BB30+BB31+BB32+BB33</f>
        <v>1.5365526096971747</v>
      </c>
      <c r="BC29" s="20">
        <f>+BC30+BC31+BC32+BC33</f>
        <v>1.2142868287354727</v>
      </c>
      <c r="BD29" s="20">
        <f>+BD30+BD31+BD32+BD33</f>
        <v>1.0760238133788342</v>
      </c>
      <c r="BJ29" s="20" t="e">
        <f>+BJ30+BJ31+BJ32+BJ33</f>
        <v>#DIV/0!</v>
      </c>
      <c r="BK29" s="20" t="e">
        <f>+BK30+BK31+BK32+BK33</f>
        <v>#DIV/0!</v>
      </c>
      <c r="BL29" s="20" t="e">
        <f>+BL30+BL31+BL32+BL33</f>
        <v>#DIV/0!</v>
      </c>
      <c r="BM29" s="6"/>
      <c r="BN29" s="28">
        <f>+BN30+BN31+BN32+BN33</f>
        <v>0.98333768581633085</v>
      </c>
      <c r="BO29" s="28">
        <f>+BO30+BO31+BO32+BO33</f>
        <v>0.87474697938198132</v>
      </c>
      <c r="BP29" s="28">
        <f>+BP30+BP31+BP32+BP33</f>
        <v>0.75499329392950332</v>
      </c>
      <c r="BR29" s="28">
        <f>+BR30+BR31+BR32+BR33</f>
        <v>0.8823393640686128</v>
      </c>
      <c r="BS29" s="28">
        <f>+BS30+BS31+BS32+BS33</f>
        <v>0.83112107529627732</v>
      </c>
      <c r="BT29" s="28">
        <f>+BT30+BT31+BT32+BT33</f>
        <v>0.82644492747956022</v>
      </c>
    </row>
    <row r="30" spans="2:72" ht="16.5" hidden="1" customHeight="1" outlineLevel="1" x14ac:dyDescent="0.25">
      <c r="B30" s="202"/>
      <c r="C30" s="9"/>
      <c r="D30" s="38" t="s">
        <v>23</v>
      </c>
      <c r="J30" s="20">
        <f>-SUM([1]Retail!$O$21,[1]Retail!$R$21:$V$21,[1]Retail!$Y$21,[1]Retail!$AB$21,[1]Retail!$AU$21,[1]Retail!$AX$21,[1]Retail!$BA$21,[1]Retail!$BD$21)/1000/J27</f>
        <v>9.1659469092502513E-2</v>
      </c>
      <c r="K30" s="42">
        <f>-SUM([1]Retail!$O$22,[1]Retail!$R$22:$V$22,[1]Retail!$Y$22,[1]Retail!$AB$22,[1]Retail!$AU$22,[1]Retail!$AX$22,[1]Retail!$BA$22,[1]Retail!$BD$22)/1000/K27</f>
        <v>0.99670085760091665</v>
      </c>
      <c r="L30" s="42" t="e">
        <f>-SUM([1]Retail!$O$23,[1]Retail!$R$23:$V$23,[1]Retail!$Y$23,[1]Retail!$AB$23,[1]Retail!$AU$23,[1]Retail!$AX$23,[1]Retail!$BA$23,[1]Retail!$BD$23)/1000/L27</f>
        <v>#DIV/0!</v>
      </c>
      <c r="M30" s="6"/>
      <c r="N30" s="20">
        <f>-SUM([1]SME!$O$21,[1]SME!$R$21:$V$21,[1]SME!$Y$21,[1]SME!$AB$21,[1]SME!$AU$21,[1]SME!$AX$21,[1]SME!$BA$21,[1]SME!$BD$21)/1000/N27</f>
        <v>0.8547750146709675</v>
      </c>
      <c r="O30" s="20">
        <f>-SUM([1]SME!$O$22,[1]SME!$R$22:$V$22,[1]SME!$Y$22,[1]SME!$AB$22,[1]SME!$AU$22,[1]SME!$AX$22,[1]SME!$BA$22,[1]SME!$BD$22)/1000/O27</f>
        <v>0.60171297252332356</v>
      </c>
      <c r="P30" s="20">
        <f>-SUM([1]SME!$O$23,[1]SME!$R$23:$V$23,[1]SME!$Y$23,[1]SME!$AB$23,[1]SME!$AU$23,[1]SME!$AX$23,[1]SME!$BA$23,[1]SME!$BD$23)/1000/P27</f>
        <v>0.66657348920036108</v>
      </c>
      <c r="Q30" s="6"/>
      <c r="R30" s="20">
        <f>-SUM([1]MidCorp!$O$21,[1]MidCorp!$R$21:$V$21,[1]MidCorp!$Y$21,[1]MidCorp!$AB$21,[1]MidCorp!$AU$21,[1]MidCorp!$AX$21,[1]MidCorp!$BA$21,[1]MidCorp!$BD$21)/1000/R27</f>
        <v>0.69528507052576416</v>
      </c>
      <c r="S30" s="20">
        <f>-SUM([1]MidCorp!$O$22,[1]MidCorp!$R$22:$V$22,[1]MidCorp!$Y$22,[1]MidCorp!$AB$22,[1]MidCorp!$AU$22,[1]MidCorp!$AX$22,[1]MidCorp!$BA$22,[1]MidCorp!$BD$22)/1000/S27</f>
        <v>0.58735374763065751</v>
      </c>
      <c r="T30" s="20">
        <f>-SUM([1]MidCorp!$O$23,[1]MidCorp!$R$23:$V$23,[1]MidCorp!$Y$23,[1]MidCorp!$AB$23,[1]MidCorp!$AU$23,[1]MidCorp!$AX$23,[1]MidCorp!$BA$23,[1]MidCorp!$BD$23)/1000/T27</f>
        <v>0.62102784224945551</v>
      </c>
      <c r="U30" s="6"/>
      <c r="V30" s="20">
        <f>-SUM([1]MGA!$O$21,[1]MGA!$R$21:$V$21,[1]MGA!$Y$21,[1]MGA!$AB$21,[1]MGA!$AU$21,[1]MGA!$AX$21,[1]MGA!$BA$21,[1]MGA!$BD$21)/1000/V27</f>
        <v>0.67312267038940388</v>
      </c>
      <c r="W30" s="20">
        <f>-SUM([1]MGA!$O$22,[1]MGA!$R$22:$V$22,[1]MGA!$Y$22,[1]MGA!$AB$22,[1]MGA!$AU$22,[1]MGA!$AX$22,[1]MGA!$BA$22,[1]MGA!$BD$22)/1000/W27</f>
        <v>0.60327149960766502</v>
      </c>
      <c r="X30" s="20">
        <f>-SUM([1]MGA!$O$23,[1]MGA!$R$23:$V$23,[1]MGA!$Y$23,[1]MGA!$AB$23,[1]MGA!$AU$23,[1]MGA!$AX$23,[1]MGA!$BA$23,[1]MGA!$BD$23)/1000/X27</f>
        <v>0.61443724761697449</v>
      </c>
      <c r="Y30" s="6"/>
      <c r="Z30" s="20" t="e">
        <f>-SUM([1]Bancassurance!$O$21,[1]Bancassurance!$R$21:$V$21,[1]Bancassurance!$Y$21,[1]Bancassurance!$AB$21,[1]Bancassurance!$AU$21,[1]Bancassurance!$AX$21,[1]Bancassurance!$BA$21,[1]Bancassurance!$BD$21)/1000/Z27</f>
        <v>#DIV/0!</v>
      </c>
      <c r="AA30" s="20" t="e">
        <f>-SUM([1]Bancassurance!$O$22,[1]Bancassurance!$R$22:$V$22,[1]Bancassurance!$Y$22,[1]Bancassurance!$AB$22,[1]Bancassurance!$AU$22,[1]Bancassurance!$AX$22,[1]Bancassurance!$BA$22,[1]Bancassurance!$BD$22)/1000/AA27</f>
        <v>#DIV/0!</v>
      </c>
      <c r="AB30" s="20" t="e">
        <f>-SUM([1]Bancassurance!$O$23,[1]Bancassurance!$R$23:$V$23,[1]Bancassurance!$Y$23,[1]Bancassurance!$AB$23,[1]Bancassurance!$AU$23,[1]Bancassurance!$AX$23,[1]Bancassurance!$BA$23,[1]Bancassurance!$BD$23)/1000/AB27</f>
        <v>#DIV/0!</v>
      </c>
      <c r="AC30" s="6"/>
      <c r="AD30" s="20">
        <f>-SUM([1]Specials!$O$21,[1]Specials!$R$21:$V$21,[1]Specials!$Y$21,[1]Specials!$AB$21,[1]Specials!$AU$21,[1]Specials!$AX$21,[1]Specials!$BA$21,[1]Specials!$BD$21)/1000/AD27</f>
        <v>0</v>
      </c>
      <c r="AE30" s="20">
        <f>-SUM([1]Specials!$O$22,[1]Specials!$R$22:$V$22,[1]Specials!$Y$22,[1]Specials!$AB$22,[1]Specials!$AU$22,[1]Specials!$AX$22,[1]Specials!$BA$22,[1]Specials!$BD$22)/1000/AE27</f>
        <v>1.9363958073994613E-2</v>
      </c>
      <c r="AF30" s="20" t="e">
        <f>-SUM([1]Specials!$O$23,[1]Specials!$R$23:$V$23,[1]Specials!$Y$23,[1]Specials!$AB$23,[1]Specials!$AU$23,[1]Specials!$AX$23,[1]Specials!$BA$23,[1]Specials!$BD$23)/1000/AF27</f>
        <v>#DIV/0!</v>
      </c>
      <c r="AG30" s="6"/>
      <c r="AH30" s="28">
        <f>-SUM('[1]Total P&amp;C'!$O$21,'[1]Total P&amp;C'!$R$21:$V$21,'[1]Total P&amp;C'!$Y$21,'[1]Total P&amp;C'!$AB$21,'[1]Total P&amp;C'!$AU$21,'[1]Total P&amp;C'!$AX$21,'[1]Total P&amp;C'!$BA$21,'[1]Total P&amp;C'!$BD$21)/1000/AH27</f>
        <v>0.69814376055273142</v>
      </c>
      <c r="AI30" s="28">
        <f>-SUM('[1]Total P&amp;C'!$O$22,'[1]Total P&amp;C'!$R$22:$V$22,'[1]Total P&amp;C'!$Y$22,'[1]Total P&amp;C'!$AB$22,'[1]Total P&amp;C'!$AU$22,'[1]Total P&amp;C'!$AX$22,'[1]Total P&amp;C'!$BA$22,'[1]Total P&amp;C'!$BD$22)/1000/AI27</f>
        <v>0.6006347081761213</v>
      </c>
      <c r="AJ30" s="28">
        <f>-SUM('[1]Total P&amp;C'!$O$23,'[1]Total P&amp;C'!$R$23:$V$23,'[1]Total P&amp;C'!$Y$23,'[1]Total P&amp;C'!$AB$23,'[1]Total P&amp;C'!$AU$23,'[1]Total P&amp;C'!$AX$23,'[1]Total P&amp;C'!$BA$23,'[1]Total P&amp;C'!$BD$23)/1000/AJ27</f>
        <v>0.62599698254962366</v>
      </c>
      <c r="AL30" s="202"/>
      <c r="AM30" s="9"/>
      <c r="AN30" s="38" t="s">
        <v>23</v>
      </c>
      <c r="AT30" s="20">
        <f>-SUM([2]Retail!$O$21,[2]Retail!$R$21:$V$21,[2]Retail!$Y$21,[2]Retail!$AB$21,[2]Retail!$AU$21,[2]Retail!$AX$21,[2]Retail!$BA$21,[2]Retail!$BD$21)/1000/AT27</f>
        <v>0.59282572383524679</v>
      </c>
      <c r="AU30" s="42">
        <f>-SUM([2]Retail!$O$22,[2]Retail!$R$22:$V$22,[2]Retail!$Y$22,[2]Retail!$AB$22,[2]Retail!$AU$22,[2]Retail!$AX$22,[2]Retail!$BA$22,[2]Retail!$BD$22)/1000/AU27</f>
        <v>0.56904470801263951</v>
      </c>
      <c r="AV30" s="42">
        <f>-SUM([2]Retail!$O$23,[2]Retail!$R$23:$V$23,[2]Retail!$Y$23,[2]Retail!$AB$23,[2]Retail!$AU$23,[2]Retail!$AX$23,[2]Retail!$BA$23,[2]Retail!$BD$23)/1000/AV27</f>
        <v>0.46919716162460062</v>
      </c>
      <c r="AW30" s="6"/>
      <c r="AX30" s="20">
        <f>-SUM([2]SME!$O$21,[2]SME!$R$21:$V$21,[2]SME!$Y$21,[2]SME!$AB$21,[2]SME!$AU$21,[2]SME!$AX$21,[2]SME!$BA$21,[2]SME!$BD$21)/1000/AX27</f>
        <v>0.68126147032056461</v>
      </c>
      <c r="AY30" s="20">
        <f>-SUM([2]SME!$O$22,[2]SME!$R$22:$V$22,[2]SME!$Y$22,[2]SME!$AB$22,[2]SME!$AU$22,[2]SME!$AX$22,[2]SME!$BA$22,[2]SME!$BD$22)/1000/AY27</f>
        <v>0.37376766942012146</v>
      </c>
      <c r="AZ30" s="20">
        <f>-SUM([2]SME!$O$23,[2]SME!$R$23:$V$23,[2]SME!$Y$23,[2]SME!$AB$23,[2]SME!$AU$23,[2]SME!$AX$23,[2]SME!$BA$23,[2]SME!$BD$23)/1000/AZ27</f>
        <v>0.64054310436421902</v>
      </c>
      <c r="BA30" s="6"/>
      <c r="BB30" s="20">
        <f>-SUM([2]MidCorp!$O$21,[2]MidCorp!$R$21:$V$21,[2]MidCorp!$Y$21,[2]MidCorp!$AB$21,[2]MidCorp!$AU$21,[2]MidCorp!$AX$21,[2]MidCorp!$BA$21,[2]MidCorp!$BD$21)/1000/BB27</f>
        <v>1.262654528579551</v>
      </c>
      <c r="BC30" s="20">
        <f>-SUM([2]MidCorp!$O$22,[2]MidCorp!$R$22:$V$22,[2]MidCorp!$Y$22,[2]MidCorp!$AB$22,[2]MidCorp!$AU$22,[2]MidCorp!$AX$22,[2]MidCorp!$BA$22,[2]MidCorp!$BD$22)/1000/BC27</f>
        <v>1.0211741379228361</v>
      </c>
      <c r="BD30" s="20">
        <f>-SUM([2]MidCorp!$O$23,[2]MidCorp!$R$23:$V$23,[2]MidCorp!$Y$23,[2]MidCorp!$AB$23,[2]MidCorp!$AU$23,[2]MidCorp!$AX$23,[2]MidCorp!$BA$23,[2]MidCorp!$BD$23)/1000/BD27</f>
        <v>0.74635820657865637</v>
      </c>
      <c r="BJ30" s="20" t="e">
        <f>-SUM([2]Specials!$O$21,[2]Specials!$R$21:$V$21,[2]Specials!$Y$21,[2]Specials!$AB$21,[2]Specials!$AU$21,[2]Specials!$AX$21,[2]Specials!$BA$21,[2]Specials!$BD$21)/1000/BJ27</f>
        <v>#DIV/0!</v>
      </c>
      <c r="BK30" s="20" t="e">
        <f>-SUM([2]Specials!$O$22,[2]Specials!$R$22:$V$22,[2]Specials!$Y$22,[2]Specials!$AB$22,[2]Specials!$AU$22,[2]Specials!$AX$22,[2]Specials!$BA$22,[2]Specials!$BD$22)/1000/BK27</f>
        <v>#DIV/0!</v>
      </c>
      <c r="BL30" s="20" t="e">
        <f>-SUM([2]Specials!$O$23,[2]Specials!$R$23:$V$23,[2]Specials!$Y$23,[2]Specials!$AB$23,[2]Specials!$AU$23,[2]Specials!$AX$23,[2]Specials!$BA$23,[2]Specials!$BD$23)/1000/BL27</f>
        <v>#DIV/0!</v>
      </c>
      <c r="BM30" s="6"/>
      <c r="BN30" s="28">
        <f>-SUM('[2]Total P&amp;C'!$O$21,'[2]Total P&amp;C'!$R$21:$V$21,'[2]Total P&amp;C'!$Y$21,'[2]Total P&amp;C'!$AB$21,'[2]Total P&amp;C'!$AU$21,'[2]Total P&amp;C'!$AX$21,'[2]Total P&amp;C'!$BA$21,'[2]Total P&amp;C'!$BD$21)/1000/BN27</f>
        <v>0.81364654577491546</v>
      </c>
      <c r="BO30" s="28">
        <f>-SUM('[2]Total P&amp;C'!$O$22,'[2]Total P&amp;C'!$R$22:$V$22,'[2]Total P&amp;C'!$Y$22,'[2]Total P&amp;C'!$AB$22,'[2]Total P&amp;C'!$AU$22,'[2]Total P&amp;C'!$AX$22,'[2]Total P&amp;C'!$BA$22,'[2]Total P&amp;C'!$BD$22)/1000/BO27</f>
        <v>0.69001966756479338</v>
      </c>
      <c r="BP30" s="28">
        <f>-SUM('[2]Total P&amp;C'!$O$23,'[2]Total P&amp;C'!$R$23:$V$23,'[2]Total P&amp;C'!$Y$23,'[2]Total P&amp;C'!$AB$23,'[2]Total P&amp;C'!$AU$23,'[2]Total P&amp;C'!$AX$23,'[2]Total P&amp;C'!$BA$23,'[2]Total P&amp;C'!$BD$23)/1000/BP27</f>
        <v>0.57149378921380223</v>
      </c>
      <c r="BR30" s="28">
        <f>-SUM('[3]Total P&amp;C'!$O$21,'[3]Total P&amp;C'!$R$21:$V$21,'[3]Total P&amp;C'!$Y$21,'[3]Total P&amp;C'!$AB$21,'[3]Total P&amp;C'!$AU$21,'[3]Total P&amp;C'!$AX$21,'[3]Total P&amp;C'!$BA$21,'[3]Total P&amp;C'!$BD$21)/1000/BR27</f>
        <v>0.71771949971756765</v>
      </c>
      <c r="BS30" s="28">
        <f>-SUM('[3]Total P&amp;C'!$O$22,'[3]Total P&amp;C'!$R$22:$V$22,'[3]Total P&amp;C'!$Y$22,'[3]Total P&amp;C'!$AB$22,'[3]Total P&amp;C'!$AU$22,'[3]Total P&amp;C'!$AX$22,'[3]Total P&amp;C'!$BA$22,'[3]Total P&amp;C'!$BD$22)/1000/BS27</f>
        <v>0.61782550882349396</v>
      </c>
      <c r="BT30" s="28">
        <f>-SUM('[3]Total P&amp;C'!$O$23,'[3]Total P&amp;C'!$R$23:$V$23,'[3]Total P&amp;C'!$Y$23,'[3]Total P&amp;C'!$AB$23,'[3]Total P&amp;C'!$AU$23,'[3]Total P&amp;C'!$AX$23,'[3]Total P&amp;C'!$BA$23,'[3]Total P&amp;C'!$BD$23)/1000/BT27</f>
        <v>0.61556975592518293</v>
      </c>
    </row>
    <row r="31" spans="2:72" ht="16.5" hidden="1" customHeight="1" outlineLevel="1" x14ac:dyDescent="0.25">
      <c r="B31" s="202"/>
      <c r="C31" s="9"/>
      <c r="D31" s="38" t="s">
        <v>24</v>
      </c>
      <c r="J31" s="20">
        <f>-([1]Retail!$P$21+[1]Retail!$W$21+[1]Retail!$AV$21+[1]Retail!$AY$21)/1000/J27</f>
        <v>0</v>
      </c>
      <c r="K31" s="42">
        <f>-([1]Retail!$P$22+[1]Retail!$W$22+[1]Retail!$AV$22+[1]Retail!$AY$22)/1000/K27</f>
        <v>0</v>
      </c>
      <c r="L31" s="42" t="e">
        <f>-([1]Retail!$P$23+[1]Retail!$W$23+[1]Retail!$AV$23+[1]Retail!$AY$23)/1000/L27</f>
        <v>#DIV/0!</v>
      </c>
      <c r="M31" s="7"/>
      <c r="N31" s="20">
        <f>-([1]SME!$P$21+[1]SME!$W$21+[1]SME!$AV$21+[1]SME!$AY$21)/1000/N27</f>
        <v>0</v>
      </c>
      <c r="O31" s="20">
        <f>-([1]SME!$P$22+[1]SME!$W$22+[1]SME!$AV$22+[1]SME!$AY$22)/1000/O27</f>
        <v>0</v>
      </c>
      <c r="P31" s="20">
        <f>-([1]SME!$P$23+[1]SME!$W$23+[1]SME!$AV$23+[1]SME!$AY$23)/1000/P27</f>
        <v>0</v>
      </c>
      <c r="Q31" s="7"/>
      <c r="R31" s="20">
        <f>-([1]MidCorp!$P$21+[1]MidCorp!$W$21+[1]MidCorp!$AV$21+[1]MidCorp!$AY$21)/1000/R27</f>
        <v>0</v>
      </c>
      <c r="S31" s="20">
        <f>-([1]MidCorp!$P$22+[1]MidCorp!$W$22+[1]MidCorp!$AV$22+[1]MidCorp!$AY$22)/1000/S27</f>
        <v>0</v>
      </c>
      <c r="T31" s="20">
        <f>-([1]MidCorp!$P$23+[1]MidCorp!$W$23+[1]MidCorp!$AV$23+[1]MidCorp!$AY$23)/1000/T27</f>
        <v>0</v>
      </c>
      <c r="U31" s="7"/>
      <c r="V31" s="20">
        <f>-([1]MGA!$P$21+[1]MGA!$W$21+[1]MGA!$AV$21+[1]MGA!$AY$21)/1000/V27</f>
        <v>0</v>
      </c>
      <c r="W31" s="20">
        <f>-([1]MGA!$P$22+[1]MGA!$W$22+[1]MGA!$AV$22+[1]MGA!$AY$22)/1000/W27</f>
        <v>0</v>
      </c>
      <c r="X31" s="20">
        <f>-([1]MGA!$P$23+[1]MGA!$W$23+[1]MGA!$AV$23+[1]MGA!$AY$23)/1000/X27</f>
        <v>0</v>
      </c>
      <c r="Y31" s="7"/>
      <c r="Z31" s="20" t="e">
        <f>-([1]Bancassurance!$P$21+[1]Bancassurance!$W$21+[1]Bancassurance!$AV$21+[1]Bancassurance!$AY$21)/1000/Z27</f>
        <v>#DIV/0!</v>
      </c>
      <c r="AA31" s="20" t="e">
        <f>-([1]Bancassurance!$P$22+[1]Bancassurance!$W$22+[1]Bancassurance!$AV$22+[1]Bancassurance!$AY$22)/1000/AA27</f>
        <v>#DIV/0!</v>
      </c>
      <c r="AB31" s="20" t="e">
        <f>-([1]Bancassurance!$P$23+[1]Bancassurance!$W$23+[1]Bancassurance!$AV$23+[1]Bancassurance!$AY$23)/1000/AB27</f>
        <v>#DIV/0!</v>
      </c>
      <c r="AC31" s="7"/>
      <c r="AD31" s="20">
        <f>-([1]Specials!$P$21+[1]Specials!$W$21+[1]Specials!$AV$21+[1]Specials!$AY$21)/1000/AD27</f>
        <v>0</v>
      </c>
      <c r="AE31" s="20">
        <f>-([1]Specials!$P$22+[1]Specials!$W$22+[1]Specials!$AV$22+[1]Specials!$AY$22)/1000/AE27</f>
        <v>0</v>
      </c>
      <c r="AF31" s="20" t="e">
        <f>-([1]Specials!$P$23+[1]Specials!$W$23+[1]Specials!$AV$23+[1]Specials!$AY$23)/1000/AF27</f>
        <v>#DIV/0!</v>
      </c>
      <c r="AG31" s="7"/>
      <c r="AH31" s="28">
        <f>-('[1]Total P&amp;C'!$P$21+'[1]Total P&amp;C'!$W$21+'[1]Total P&amp;C'!$AV$21+'[1]Total P&amp;C'!$AY$21)/1000/AH27</f>
        <v>0</v>
      </c>
      <c r="AI31" s="28">
        <f>-('[1]Total P&amp;C'!$P$22+'[1]Total P&amp;C'!$W$22+'[1]Total P&amp;C'!$AV$22+'[1]Total P&amp;C'!$AY$22)/1000/AI27</f>
        <v>0</v>
      </c>
      <c r="AJ31" s="28">
        <f>-('[1]Total P&amp;C'!$P$23+'[1]Total P&amp;C'!$W$23+'[1]Total P&amp;C'!$AV$23+'[1]Total P&amp;C'!$AY$23)/1000/AJ27</f>
        <v>0</v>
      </c>
      <c r="AL31" s="202"/>
      <c r="AM31" s="9"/>
      <c r="AN31" s="38" t="s">
        <v>24</v>
      </c>
      <c r="AT31" s="20">
        <f>-([2]Retail!$P$21+[2]Retail!$W$21+[2]Retail!$AV$21+[2]Retail!$AY$21)/1000/AT27</f>
        <v>0</v>
      </c>
      <c r="AU31" s="42">
        <f>-([2]Retail!$P$22+[2]Retail!$W$22+[2]Retail!$AV$22+[2]Retail!$AY$22)/1000/AU27</f>
        <v>0</v>
      </c>
      <c r="AV31" s="42">
        <f>-([2]Retail!$P$23+[2]Retail!$W$23+[2]Retail!$AV$23+[2]Retail!$AY$23)/1000/AV27</f>
        <v>0</v>
      </c>
      <c r="AW31" s="7"/>
      <c r="AX31" s="20">
        <f>-([2]SME!$P$21+[2]SME!$W$21+[2]SME!$AV$21+[2]SME!$AY$21)/1000/AX27</f>
        <v>0</v>
      </c>
      <c r="AY31" s="20">
        <f>-([2]SME!$P$22+[2]SME!$W$22+[2]SME!$AV$22+[2]SME!$AY$22)/1000/AY27</f>
        <v>0</v>
      </c>
      <c r="AZ31" s="20">
        <f>-([2]SME!$P$23+[2]SME!$W$23+[2]SME!$AV$23+[2]SME!$AY$23)/1000/AZ27</f>
        <v>0</v>
      </c>
      <c r="BA31" s="7"/>
      <c r="BB31" s="20">
        <f>-([2]MidCorp!$P$21+[2]MidCorp!$W$21+[2]MidCorp!$AV$21+[2]MidCorp!$AY$21)/1000/BB27</f>
        <v>0</v>
      </c>
      <c r="BC31" s="20">
        <f>-([2]MidCorp!$P$22+[2]MidCorp!$W$22+[2]MidCorp!$AV$22+[2]MidCorp!$AY$22)/1000/BC27</f>
        <v>0</v>
      </c>
      <c r="BD31" s="20">
        <f>-([2]MidCorp!$P$23+[2]MidCorp!$W$23+[2]MidCorp!$AV$23+[2]MidCorp!$AY$23)/1000/BD27</f>
        <v>0</v>
      </c>
      <c r="BJ31" s="20" t="e">
        <f>-([2]Specials!$P$21+[2]Specials!$W$21+[2]Specials!$AV$21+[2]Specials!$AY$21)/1000/BJ27</f>
        <v>#DIV/0!</v>
      </c>
      <c r="BK31" s="20" t="e">
        <f>-([2]Specials!$P$22+[2]Specials!$W$22+[2]Specials!$AV$22+[2]Specials!$AY$22)/1000/BK27</f>
        <v>#DIV/0!</v>
      </c>
      <c r="BL31" s="20" t="e">
        <f>-([2]Specials!$P$23+[2]Specials!$W$23+[2]Specials!$AV$23+[2]Specials!$AY$23)/1000/BL27</f>
        <v>#DIV/0!</v>
      </c>
      <c r="BM31" s="7"/>
      <c r="BN31" s="28">
        <f>-('[2]Total P&amp;C'!$P$21+'[2]Total P&amp;C'!$W$21+'[2]Total P&amp;C'!$AV$21+'[2]Total P&amp;C'!$AY$21)/1000/BN27</f>
        <v>0</v>
      </c>
      <c r="BO31" s="28">
        <f>-('[2]Total P&amp;C'!$P$22+'[2]Total P&amp;C'!$W$22+'[2]Total P&amp;C'!$AV$22+'[2]Total P&amp;C'!$AY$22)/1000/BO27</f>
        <v>0</v>
      </c>
      <c r="BP31" s="28">
        <f>-('[2]Total P&amp;C'!$P$23+'[2]Total P&amp;C'!$W$23+'[2]Total P&amp;C'!$AV$23+'[2]Total P&amp;C'!$AY$23)/1000/BP27</f>
        <v>0</v>
      </c>
      <c r="BR31" s="28">
        <f>-('[3]Total P&amp;C'!$P$21+'[3]Total P&amp;C'!$W$21+'[3]Total P&amp;C'!$AV$21+'[3]Total P&amp;C'!$AY$21)/1000/BR27</f>
        <v>0</v>
      </c>
      <c r="BS31" s="28">
        <f>-('[3]Total P&amp;C'!$P$22+'[3]Total P&amp;C'!$W$22+'[3]Total P&amp;C'!$AV$22+'[3]Total P&amp;C'!$AY$22)/1000/BS27</f>
        <v>0</v>
      </c>
      <c r="BT31" s="28">
        <f>-('[3]Total P&amp;C'!$P$23+'[3]Total P&amp;C'!$W$23+'[3]Total P&amp;C'!$AV$23+'[3]Total P&amp;C'!$AY$23)/1000/BT27</f>
        <v>0</v>
      </c>
    </row>
    <row r="32" spans="2:72" ht="16.5" hidden="1" customHeight="1" outlineLevel="1" x14ac:dyDescent="0.25">
      <c r="B32" s="202"/>
      <c r="C32" s="9"/>
      <c r="D32" s="38" t="s">
        <v>25</v>
      </c>
      <c r="J32" s="20">
        <f>-([1]Retail!$Q$21+[1]Retail!$X$21+[1]Retail!$AW$21+[1]Retail!$AZ$21)/1000/J27</f>
        <v>0</v>
      </c>
      <c r="K32" s="42">
        <f>-([1]Retail!$Q$22+[1]Retail!$X$22+[1]Retail!$AW$22+[1]Retail!$AZ$22)/1000/K27</f>
        <v>1.086903813193586</v>
      </c>
      <c r="L32" s="42" t="e">
        <f>-([1]Retail!$Q$23+[1]Retail!$X$23+[1]Retail!$AW$23+[1]Retail!$AZ$23)/1000/L27</f>
        <v>#DIV/0!</v>
      </c>
      <c r="M32" s="7"/>
      <c r="N32" s="20">
        <f>-([1]SME!$Q$21+[1]SME!$X$21+[1]SME!$AW$21+[1]SME!$AZ$21)/1000/N27</f>
        <v>0.16660692311037087</v>
      </c>
      <c r="O32" s="20">
        <f>-([1]SME!$Q$22+[1]SME!$X$22+[1]SME!$AW$22+[1]SME!$AZ$22)/1000/O27</f>
        <v>5.2724222147123412E-2</v>
      </c>
      <c r="P32" s="20">
        <f>-([1]SME!$Q$23+[1]SME!$X$23+[1]SME!$AW$23+[1]SME!$AZ$23)/1000/P27</f>
        <v>0.16353811586215855</v>
      </c>
      <c r="Q32" s="7"/>
      <c r="R32" s="20">
        <f>-([1]MidCorp!$Q$21+[1]MidCorp!$X$21+[1]MidCorp!$AW$21+[1]MidCorp!$AZ$21)/1000/R27</f>
        <v>0.16243624411503516</v>
      </c>
      <c r="S32" s="20">
        <f>-([1]MidCorp!$Q$22+[1]MidCorp!$X$22+[1]MidCorp!$AW$22+[1]MidCorp!$AZ$22)/1000/S27</f>
        <v>0.15594247239136849</v>
      </c>
      <c r="T32" s="20">
        <f>-([1]MidCorp!$Q$23+[1]MidCorp!$X$23+[1]MidCorp!$AW$23+[1]MidCorp!$AZ$23)/1000/T27</f>
        <v>0.14581682649982231</v>
      </c>
      <c r="U32" s="7"/>
      <c r="V32" s="20">
        <f>-([1]MGA!$Q$21+[1]MGA!$X$21+[1]MGA!$AW$21+[1]MGA!$AZ$21)/1000/V27</f>
        <v>0.11584524873112761</v>
      </c>
      <c r="W32" s="20">
        <f>-([1]MGA!$Q$22+[1]MGA!$X$22+[1]MGA!$AW$22+[1]MGA!$AZ$22)/1000/W27</f>
        <v>0.14913628074932558</v>
      </c>
      <c r="X32" s="20">
        <f>-([1]MGA!$Q$23+[1]MGA!$X$23+[1]MGA!$AW$23+[1]MGA!$AZ$23)/1000/X27</f>
        <v>0.13797548476822252</v>
      </c>
      <c r="Y32" s="7"/>
      <c r="Z32" s="20" t="e">
        <f>-([1]Bancassurance!$Q$21+[1]Bancassurance!$X$21+[1]Bancassurance!$AW$21+[1]Bancassurance!$AZ$21)/1000/Z27</f>
        <v>#DIV/0!</v>
      </c>
      <c r="AA32" s="20" t="e">
        <f>-([1]Bancassurance!$Q$22+[1]Bancassurance!$X$22+[1]Bancassurance!$AW$22+[1]Bancassurance!$AZ$22)/1000/AA27</f>
        <v>#DIV/0!</v>
      </c>
      <c r="AB32" s="20" t="e">
        <f>-([1]Bancassurance!$Q$23+[1]Bancassurance!$X$23+[1]Bancassurance!$AW$23+[1]Bancassurance!$AZ$23)/1000/AB27</f>
        <v>#DIV/0!</v>
      </c>
      <c r="AC32" s="7"/>
      <c r="AD32" s="20">
        <f>-([1]Specials!$Q$21+[1]Specials!$X$21+[1]Specials!$AW$21+[1]Specials!$AZ$21)/1000/AD27</f>
        <v>0</v>
      </c>
      <c r="AE32" s="20">
        <f>-([1]Specials!$Q$22+[1]Specials!$X$22+[1]Specials!$AW$22+[1]Specials!$AZ$22)/1000/AE27</f>
        <v>0</v>
      </c>
      <c r="AF32" s="20" t="e">
        <f>-([1]Specials!$Q$23+[1]Specials!$X$23+[1]Specials!$AW$23+[1]Specials!$AZ$23)/1000/AF27</f>
        <v>#DIV/0!</v>
      </c>
      <c r="AG32" s="7"/>
      <c r="AH32" s="28">
        <f>-('[1]Total P&amp;C'!$Q$21+'[1]Total P&amp;C'!$X$21+'[1]Total P&amp;C'!$AW$21+'[1]Total P&amp;C'!$AZ$21)/1000/AH27</f>
        <v>0.14969574030148869</v>
      </c>
      <c r="AI32" s="28">
        <f>-('[1]Total P&amp;C'!$Q$22+'[1]Total P&amp;C'!$X$22+'[1]Total P&amp;C'!$AW$22+'[1]Total P&amp;C'!$AZ$22)/1000/AI27</f>
        <v>0.15919840795087817</v>
      </c>
      <c r="AJ32" s="28">
        <f>-('[1]Total P&amp;C'!$Q$23+'[1]Total P&amp;C'!$X$23+'[1]Total P&amp;C'!$AW$23+'[1]Total P&amp;C'!$AZ$23)/1000/AJ27</f>
        <v>0.14608427719538453</v>
      </c>
      <c r="AL32" s="202"/>
      <c r="AM32" s="9"/>
      <c r="AN32" s="38" t="s">
        <v>25</v>
      </c>
      <c r="AT32" s="20">
        <f>-([2]Retail!$Q$21+[2]Retail!$X$21+[2]Retail!$AW$21+[2]Retail!$AZ$21)/1000/AT27</f>
        <v>8.6678079811551387E-2</v>
      </c>
      <c r="AU32" s="42">
        <f>-([2]Retail!$Q$22+[2]Retail!$X$22+[2]Retail!$AW$22+[2]Retail!$AZ$22)/1000/AU27</f>
        <v>0.11188902134196209</v>
      </c>
      <c r="AV32" s="42">
        <f>-([2]Retail!$Q$23+[2]Retail!$X$23+[2]Retail!$AW$23+[2]Retail!$AZ$23)/1000/AV27</f>
        <v>7.5900550772500575E-2</v>
      </c>
      <c r="AW32" s="7"/>
      <c r="AX32" s="20">
        <f>-([2]SME!$Q$21+[2]SME!$X$21+[2]SME!$AW$21+[2]SME!$AZ$21)/1000/AX27</f>
        <v>0.14188985984246186</v>
      </c>
      <c r="AY32" s="20">
        <f>-([2]SME!$Q$22+[2]SME!$X$22+[2]SME!$AW$22+[2]SME!$AZ$22)/1000/AY27</f>
        <v>8.7137785673704463E-2</v>
      </c>
      <c r="AZ32" s="20">
        <f>-([2]SME!$Q$23+[2]SME!$X$23+[2]SME!$AW$23+[2]SME!$AZ$23)/1000/AZ27</f>
        <v>0.1288560572365047</v>
      </c>
      <c r="BA32" s="7"/>
      <c r="BB32" s="20">
        <f>-([2]MidCorp!$Q$21+[2]MidCorp!$X$21+[2]MidCorp!$AW$21+[2]MidCorp!$AZ$21)/1000/BB27</f>
        <v>0.12822259492412505</v>
      </c>
      <c r="BC32" s="20">
        <f>-([2]MidCorp!$Q$22+[2]MidCorp!$X$22+[2]MidCorp!$AW$22+[2]MidCorp!$AZ$22)/1000/BC27</f>
        <v>6.9567411115778216E-2</v>
      </c>
      <c r="BD32" s="20">
        <f>-([2]MidCorp!$Q$23+[2]MidCorp!$X$23+[2]MidCorp!$AW$23+[2]MidCorp!$AZ$23)/1000/BD27</f>
        <v>0.1486237140760138</v>
      </c>
      <c r="BJ32" s="20" t="e">
        <f>-([2]Specials!$Q$21+[2]Specials!$X$21+[2]Specials!$AW$21+[2]Specials!$AZ$21)/1000/BJ27</f>
        <v>#DIV/0!</v>
      </c>
      <c r="BK32" s="20" t="e">
        <f>-([2]Specials!$Q$22+[2]Specials!$X$22+[2]Specials!$AW$22+[2]Specials!$AZ$22)/1000/BK27</f>
        <v>#DIV/0!</v>
      </c>
      <c r="BL32" s="20" t="e">
        <f>-([2]Specials!$Q$23+[2]Specials!$X$23+[2]Specials!$AW$23+[2]Specials!$AZ$23)/1000/BL27</f>
        <v>#DIV/0!</v>
      </c>
      <c r="BM32" s="7"/>
      <c r="BN32" s="28">
        <f>-('[2]Total P&amp;C'!$Q$21+'[2]Total P&amp;C'!$X$21+'[2]Total P&amp;C'!$AW$21+'[2]Total P&amp;C'!$AZ$21)/1000/BN27</f>
        <v>0.10711117781441172</v>
      </c>
      <c r="BO32" s="28">
        <f>-('[2]Total P&amp;C'!$Q$22+'[2]Total P&amp;C'!$X$22+'[2]Total P&amp;C'!$AW$22+'[2]Total P&amp;C'!$AZ$22)/1000/BO27</f>
        <v>9.4620376303215376E-2</v>
      </c>
      <c r="BP32" s="28">
        <f>-('[2]Total P&amp;C'!$Q$23+'[2]Total P&amp;C'!$X$23+'[2]Total P&amp;C'!$AW$23+'[2]Total P&amp;C'!$AZ$23)/1000/BP27</f>
        <v>0.10383550754558175</v>
      </c>
      <c r="BR32" s="28">
        <f>-('[3]Total P&amp;C'!$Q$21+'[3]Total P&amp;C'!$X$21+'[3]Total P&amp;C'!$AW$21+'[3]Total P&amp;C'!$AZ$21)/1000/BR27</f>
        <v>0.14247838804377386</v>
      </c>
      <c r="BS32" s="28">
        <f>-('[3]Total P&amp;C'!$Q$22+'[3]Total P&amp;C'!$X$22+'[3]Total P&amp;C'!$AW$22+'[3]Total P&amp;C'!$AZ$22)/1000/BS27</f>
        <v>0.14677855481398258</v>
      </c>
      <c r="BT32" s="28">
        <f>-('[3]Total P&amp;C'!$Q$23+'[3]Total P&amp;C'!$X$23+'[3]Total P&amp;C'!$AW$23+'[3]Total P&amp;C'!$AZ$23)/1000/BT27</f>
        <v>0.13800149398985895</v>
      </c>
    </row>
    <row r="33" spans="2:72" ht="16.5" hidden="1" customHeight="1" outlineLevel="1" x14ac:dyDescent="0.25">
      <c r="B33" s="202"/>
      <c r="C33" s="9"/>
      <c r="D33" s="38" t="s">
        <v>26</v>
      </c>
      <c r="J33" s="20">
        <f>-[1]Retail!$AT$21/1000/J27</f>
        <v>7.174174164689176E-2</v>
      </c>
      <c r="K33" s="42">
        <f>-[1]Retail!$AT$22/1000/K27</f>
        <v>8.9284005879873146E-2</v>
      </c>
      <c r="L33" s="42" t="e">
        <f>-[1]Retail!$AT$23/1000/L27</f>
        <v>#DIV/0!</v>
      </c>
      <c r="M33" s="7"/>
      <c r="N33" s="20">
        <f>-[1]SME!$AT$21/1000/N27</f>
        <v>2.9559521467324816E-2</v>
      </c>
      <c r="O33" s="20">
        <f>-[1]SME!$AT$22/1000/O27</f>
        <v>2.9782536224111412E-2</v>
      </c>
      <c r="P33" s="20">
        <f>-[1]SME!$AT$23/1000/P27</f>
        <v>2.9305321386471461E-2</v>
      </c>
      <c r="Q33" s="7"/>
      <c r="R33" s="20">
        <f>-[1]MidCorp!$AT$21/1000/R27</f>
        <v>1.5212605473948312E-2</v>
      </c>
      <c r="S33" s="20">
        <f>-[1]MidCorp!$AT$22/1000/S27</f>
        <v>8.8506279066379978E-2</v>
      </c>
      <c r="T33" s="20">
        <f>-[1]MidCorp!$AT$23/1000/T27</f>
        <v>9.4603258791098613E-2</v>
      </c>
      <c r="U33" s="7"/>
      <c r="V33" s="20">
        <f>-[1]MGA!$AT$21/1000/V27</f>
        <v>1.8456592219629486E-2</v>
      </c>
      <c r="W33" s="20">
        <f>-[1]MGA!$AT$22/1000/W27</f>
        <v>2.2770433942766396E-2</v>
      </c>
      <c r="X33" s="20">
        <f>-[1]MGA!$AT$23/1000/X27</f>
        <v>3.2489665225376836E-2</v>
      </c>
      <c r="Y33" s="7"/>
      <c r="Z33" s="20" t="e">
        <f>-[1]Bancassurance!$AT$21/1000/Z27</f>
        <v>#DIV/0!</v>
      </c>
      <c r="AA33" s="20" t="e">
        <f>-[1]Bancassurance!$AT$22/1000/AA27</f>
        <v>#DIV/0!</v>
      </c>
      <c r="AB33" s="20" t="e">
        <f>-[1]Bancassurance!$AT$23/1000/AB27</f>
        <v>#DIV/0!</v>
      </c>
      <c r="AC33" s="7"/>
      <c r="AD33" s="20">
        <f>-[1]Specials!$AT$21/1000/AD27</f>
        <v>-4.2983718433198597</v>
      </c>
      <c r="AE33" s="20">
        <f>-[1]Specials!$AT$22/1000/AE27</f>
        <v>-20.780833055018611</v>
      </c>
      <c r="AF33" s="20" t="e">
        <f>-[1]Specials!$AT$23/1000/AF27</f>
        <v>#DIV/0!</v>
      </c>
      <c r="AG33" s="7"/>
      <c r="AH33" s="28">
        <f>-'[1]Total P&amp;C'!$AT$21/1000/AH27</f>
        <v>1.3889233742517115E-2</v>
      </c>
      <c r="AI33" s="28">
        <f>-'[1]Total P&amp;C'!$AT$22/1000/AI27</f>
        <v>6.0899802658081918E-2</v>
      </c>
      <c r="AJ33" s="28">
        <f>-'[1]Total P&amp;C'!$AT$23/1000/AJ27</f>
        <v>7.1267264667357638E-2</v>
      </c>
      <c r="AL33" s="202"/>
      <c r="AM33" s="9"/>
      <c r="AN33" s="38" t="s">
        <v>26</v>
      </c>
      <c r="AT33" s="20">
        <f>-[2]Retail!$AT$21/1000/AT27</f>
        <v>2.5682691520062789E-2</v>
      </c>
      <c r="AU33" s="42">
        <f>-[2]Retail!$AT$22/1000/AU27</f>
        <v>8.5829504047293587E-2</v>
      </c>
      <c r="AV33" s="42">
        <f>-[2]Retail!$AT$23/1000/AV27</f>
        <v>4.2841856351015048E-2</v>
      </c>
      <c r="AW33" s="7"/>
      <c r="AX33" s="20">
        <f>-[2]SME!$AT$21/1000/AX27</f>
        <v>2.1888427391592139E-2</v>
      </c>
      <c r="AY33" s="20">
        <f>-[2]SME!$AT$22/1000/AY27</f>
        <v>2.7455794742472683E-2</v>
      </c>
      <c r="AZ33" s="20">
        <f>-[2]SME!$AT$23/1000/AZ27</f>
        <v>2.4564218039057516E-2</v>
      </c>
      <c r="BA33" s="7"/>
      <c r="BB33" s="20">
        <f>-[2]MidCorp!$AT$21/1000/BB27</f>
        <v>0.14567548619349849</v>
      </c>
      <c r="BC33" s="20">
        <f>-[2]MidCorp!$AT$22/1000/BC27</f>
        <v>0.12354527969685832</v>
      </c>
      <c r="BD33" s="20">
        <f>-[2]MidCorp!$AT$23/1000/BD27</f>
        <v>0.18104189272416413</v>
      </c>
      <c r="BJ33" s="20" t="e">
        <f>-[2]Specials!$AT$21/1000/BJ27</f>
        <v>#DIV/0!</v>
      </c>
      <c r="BK33" s="20" t="e">
        <f>-[2]Specials!$AT$22/1000/BK27</f>
        <v>#DIV/0!</v>
      </c>
      <c r="BL33" s="20" t="e">
        <f>-[2]Specials!$AT$23/1000/BL27</f>
        <v>#DIV/0!</v>
      </c>
      <c r="BM33" s="7"/>
      <c r="BN33" s="28">
        <f>-'[2]Total P&amp;C'!$AT$21/1000/BN27</f>
        <v>6.2579962227003669E-2</v>
      </c>
      <c r="BO33" s="28">
        <f>-'[2]Total P&amp;C'!$AT$22/1000/BO27</f>
        <v>9.010693551397253E-2</v>
      </c>
      <c r="BP33" s="28">
        <f>-'[2]Total P&amp;C'!$AT$23/1000/BP27</f>
        <v>7.9663997170119266E-2</v>
      </c>
      <c r="BR33" s="28">
        <f>-'[3]Total P&amp;C'!$AT$21/1000/BR27</f>
        <v>2.2141476307271236E-2</v>
      </c>
      <c r="BS33" s="28">
        <f>-'[3]Total P&amp;C'!$AT$22/1000/BS27</f>
        <v>6.6517011658800779E-2</v>
      </c>
      <c r="BT33" s="28">
        <f>-'[3]Total P&amp;C'!$AT$23/1000/BT27</f>
        <v>7.2873677564518291E-2</v>
      </c>
    </row>
    <row r="34" spans="2:72" ht="16.5" hidden="1" customHeight="1" outlineLevel="1" x14ac:dyDescent="0.25">
      <c r="B34" s="202"/>
      <c r="C34" s="9"/>
      <c r="D34" s="37" t="s">
        <v>27</v>
      </c>
      <c r="J34" s="20">
        <f>-([1]Retail!$Z$21+[1]Retail!$AA$21+[1]Retail!$BB$21+[1]Retail!$BC$21)/1000/J27</f>
        <v>-1.5472373881452017E-2</v>
      </c>
      <c r="K34" s="20">
        <f>-([1]Retail!$Z$22+[1]Retail!$AA$22+[1]Retail!$BB$22+[1]Retail!$BC$22)/1000/K27</f>
        <v>-0.13184524308647508</v>
      </c>
      <c r="L34" s="20" t="e">
        <f>-([1]Retail!$Z$23+[1]Retail!$AA$23+[1]Retail!$BB$23+[1]Retail!$BC$23)/1000/L27</f>
        <v>#DIV/0!</v>
      </c>
      <c r="M34" s="7"/>
      <c r="N34" s="20">
        <f>-([1]SME!$Z$21+[1]SME!$AA$21+[1]SME!$BB$21+[1]SME!$BC$21)/1000/N27</f>
        <v>-7.57968265266145E-2</v>
      </c>
      <c r="O34" s="20">
        <f>-([1]SME!$Z$22+[1]SME!$AA$22+[1]SME!$BB$22+[1]SME!$BC$22)/1000/O27</f>
        <v>-3.9575467409200378E-2</v>
      </c>
      <c r="P34" s="20">
        <f>-([1]SME!$Z$23+[1]SME!$AA$23+[1]SME!$BB$23+[1]SME!$BC$23)/1000/P27</f>
        <v>-4.7156561163960511E-2</v>
      </c>
      <c r="Q34" s="7"/>
      <c r="R34" s="20">
        <f>-([1]MidCorp!$Z$21+[1]MidCorp!$AA$21+[1]MidCorp!$BB$21+[1]MidCorp!$BC$21)/1000/R27</f>
        <v>-7.8560315044299056E-2</v>
      </c>
      <c r="S34" s="20">
        <f>-([1]MidCorp!$Z$22+[1]MidCorp!$AA$22+[1]MidCorp!$BB$22+[1]MidCorp!$BC$22)/1000/S27</f>
        <v>-6.0266970881256716E-2</v>
      </c>
      <c r="T34" s="20">
        <f>-([1]MidCorp!$Z$23+[1]MidCorp!$AA$23+[1]MidCorp!$BB$23+[1]MidCorp!$BC$23)/1000/T27</f>
        <v>-4.1528754842101875E-2</v>
      </c>
      <c r="U34" s="7"/>
      <c r="V34" s="20">
        <f>-([1]MGA!$Z$21+[1]MGA!$AA$21+[1]MGA!$BB$21+[1]MGA!$BC$21)/1000/V27</f>
        <v>-5.0478887502170049E-2</v>
      </c>
      <c r="W34" s="20">
        <f>-([1]MGA!$Z$22+[1]MGA!$AA$22+[1]MGA!$BB$22+[1]MGA!$BC$22)/1000/W27</f>
        <v>-5.465690486909397E-2</v>
      </c>
      <c r="X34" s="20">
        <f>-([1]MGA!$Z$23+[1]MGA!$AA$23+[1]MGA!$BB$23+[1]MGA!$BC$23)/1000/X27</f>
        <v>-5.33809219582181E-2</v>
      </c>
      <c r="Y34" s="7"/>
      <c r="Z34" s="20" t="e">
        <f>-([1]Bancassurance!$Z$21+[1]Bancassurance!$AA$21+[1]Bancassurance!$BB$21+[1]Bancassurance!$BC$21)/1000/Z27</f>
        <v>#DIV/0!</v>
      </c>
      <c r="AA34" s="20" t="e">
        <f>-([1]Bancassurance!$Z$22+[1]Bancassurance!$AA$22+[1]Bancassurance!$BB$22+[1]Bancassurance!$BC$22)/1000/AA27</f>
        <v>#DIV/0!</v>
      </c>
      <c r="AB34" s="20" t="e">
        <f>-([1]Bancassurance!$Z$23+[1]Bancassurance!$AA$23+[1]Bancassurance!$BB$23+[1]Bancassurance!$BC$23)/1000/AB27</f>
        <v>#DIV/0!</v>
      </c>
      <c r="AC34" s="7"/>
      <c r="AD34" s="20">
        <f>-([1]Specials!$Z$21+[1]Specials!$AA$21+[1]Specials!$BB$21+[1]Specials!$BC$21)/1000/AD27</f>
        <v>0</v>
      </c>
      <c r="AE34" s="20">
        <f>-([1]Specials!$Z$22+[1]Specials!$AA$22+[1]Specials!$BB$22+[1]Specials!$BC$22)/1000/AE27</f>
        <v>0</v>
      </c>
      <c r="AF34" s="20" t="e">
        <f>-([1]Specials!$Z$23+[1]Specials!$AA$23+[1]Specials!$BB$23+[1]Specials!$BC$23)/1000/AF27</f>
        <v>#DIV/0!</v>
      </c>
      <c r="AG34" s="7"/>
      <c r="AH34" s="28">
        <f>-('[1]Total P&amp;C'!$Z$21+'[1]Total P&amp;C'!$AA$21+'[1]Total P&amp;C'!$BB$21+'[1]Total P&amp;C'!$BC$21)/1000/AH27</f>
        <v>-7.0825974796869126E-2</v>
      </c>
      <c r="AI34" s="28">
        <f>-('[1]Total P&amp;C'!$Z$22+'[1]Total P&amp;C'!$AA$22+'[1]Total P&amp;C'!$BB$22+'[1]Total P&amp;C'!$BC$22)/1000/AI27</f>
        <v>-5.7710793157051764E-2</v>
      </c>
      <c r="AJ34" s="28">
        <f>-('[1]Total P&amp;C'!$Z$23+'[1]Total P&amp;C'!$AA$23+'[1]Total P&amp;C'!$BB$23+'[1]Total P&amp;C'!$BC$23)/1000/AJ27</f>
        <v>-4.5136059309853753E-2</v>
      </c>
      <c r="AL34" s="202"/>
      <c r="AM34" s="9"/>
      <c r="AN34" s="37" t="s">
        <v>27</v>
      </c>
      <c r="AT34" s="20">
        <f>-([2]Retail!$Z$21+[2]Retail!$AA$21+[2]Retail!$BB$21+[2]Retail!$BC$21)/1000/AT27</f>
        <v>-7.0867505317664142E-2</v>
      </c>
      <c r="AU34" s="20">
        <f>-([2]Retail!$Z$22+[2]Retail!$AA$22+[2]Retail!$BB$22+[2]Retail!$BC$22)/1000/AU27</f>
        <v>-4.7850724066786053E-2</v>
      </c>
      <c r="AV34" s="20">
        <f>-([2]Retail!$Z$23+[2]Retail!$AA$23+[2]Retail!$BB$23+[2]Retail!$BC$23)/1000/AV27</f>
        <v>-2.8314205145802632E-2</v>
      </c>
      <c r="AW34" s="7"/>
      <c r="AX34" s="20">
        <f>-([2]SME!$Z$21+[2]SME!$AA$21+[2]SME!$BB$21+[2]SME!$BC$21)/1000/AX27</f>
        <v>-6.7103396618981404E-2</v>
      </c>
      <c r="AY34" s="20">
        <f>-([2]SME!$Z$22+[2]SME!$AA$22+[2]SME!$BB$22+[2]SME!$BC$22)/1000/AY27</f>
        <v>-4.3646912666725816E-2</v>
      </c>
      <c r="AZ34" s="20">
        <f>-([2]SME!$Z$23+[2]SME!$AA$23+[2]SME!$BB$23+[2]SME!$BC$23)/1000/AZ27</f>
        <v>-4.1114826073644355E-2</v>
      </c>
      <c r="BA34" s="7"/>
      <c r="BB34" s="20">
        <f>-([2]MidCorp!$Z$21+[2]MidCorp!$AA$21+[2]MidCorp!$BB$21+[2]MidCorp!$BC$21)/1000/BB27</f>
        <v>-9.9006564414649639E-2</v>
      </c>
      <c r="BC34" s="20">
        <f>-([2]MidCorp!$Z$22+[2]MidCorp!$AA$22+[2]MidCorp!$BB$22+[2]MidCorp!$BC$22)/1000/BC27</f>
        <v>-6.4520519780925642E-2</v>
      </c>
      <c r="BD34" s="20">
        <f>-([2]MidCorp!$Z$23+[2]MidCorp!$AA$23+[2]MidCorp!$BB$23+[2]MidCorp!$BC$23)/1000/BD27</f>
        <v>-4.6732469271071712E-2</v>
      </c>
      <c r="BJ34" s="20" t="e">
        <f>-([2]Specials!$Z$21+[2]Specials!$AA$21+[2]Specials!$BB$21+[2]Specials!$BC$21)/1000/BJ27</f>
        <v>#DIV/0!</v>
      </c>
      <c r="BK34" s="20" t="e">
        <f>-([2]Specials!$Z$22+[2]Specials!$AA$22+[2]Specials!$BB$22+[2]Specials!$BC$22)/1000/BK27</f>
        <v>#DIV/0!</v>
      </c>
      <c r="BL34" s="20" t="e">
        <f>-([2]Specials!$Z$23+[2]Specials!$AA$23+[2]Specials!$BB$23+[2]Specials!$BC$23)/1000/BL27</f>
        <v>#DIV/0!</v>
      </c>
      <c r="BM34" s="7"/>
      <c r="BN34" s="28">
        <f>-('[2]Total P&amp;C'!$Z$21+'[2]Total P&amp;C'!$AA$21+'[2]Total P&amp;C'!$BB$21+'[2]Total P&amp;C'!$BC$21)/1000/BN27</f>
        <v>-7.9130717587801255E-2</v>
      </c>
      <c r="BO34" s="28">
        <f>-('[2]Total P&amp;C'!$Z$22+'[2]Total P&amp;C'!$AA$22+'[2]Total P&amp;C'!$BB$22+'[2]Total P&amp;C'!$BC$22)/1000/BO27</f>
        <v>-5.2724915766661086E-2</v>
      </c>
      <c r="BP34" s="28">
        <f>-('[2]Total P&amp;C'!$Z$23+'[2]Total P&amp;C'!$AA$23+'[2]Total P&amp;C'!$BB$23+'[2]Total P&amp;C'!$BC$23)/1000/BP27</f>
        <v>-3.5305569941351859E-2</v>
      </c>
      <c r="BR34" s="28">
        <f>-('[3]Total P&amp;C'!$Z$21+'[3]Total P&amp;C'!$AA$21+'[3]Total P&amp;C'!$BB$21+'[3]Total P&amp;C'!$BC$21)/1000/BR27</f>
        <v>-7.2233486125653237E-2</v>
      </c>
      <c r="BS34" s="28">
        <f>-('[3]Total P&amp;C'!$Z$22+'[3]Total P&amp;C'!$AA$22+'[3]Total P&amp;C'!$BB$22+'[3]Total P&amp;C'!$BC$22)/1000/BS27</f>
        <v>-5.6751893305704841E-2</v>
      </c>
      <c r="BT34" s="28">
        <f>-('[3]Total P&amp;C'!$Z$23+'[3]Total P&amp;C'!$AA$23+'[3]Total P&amp;C'!$BB$23+'[3]Total P&amp;C'!$BC$23)/1000/BT27</f>
        <v>-4.3255348580797146E-2</v>
      </c>
    </row>
    <row r="35" spans="2:72" ht="16.5" hidden="1" customHeight="1" outlineLevel="1" x14ac:dyDescent="0.25">
      <c r="B35" s="202"/>
      <c r="C35" s="9"/>
      <c r="D35" s="37" t="s">
        <v>28</v>
      </c>
      <c r="J35" s="20">
        <f>-SUM([1]Retail!$AC$21:$AI$21,[1]Retail!$BE$21:$BG$21)/1000/J27</f>
        <v>-1.203188183183982E-2</v>
      </c>
      <c r="K35" s="20">
        <f>-SUM([1]Retail!$AC$22:$AI$22,[1]Retail!$BE$22:$BG$22)/1000/K27</f>
        <v>-2.3470068468612251</v>
      </c>
      <c r="L35" s="20" t="e">
        <f>-SUM([1]Retail!$AC$23:$AI$23,[1]Retail!$BE$23:$BG$23)/1000/L27</f>
        <v>#DIV/0!</v>
      </c>
      <c r="M35" s="7"/>
      <c r="N35" s="20">
        <f>-SUM([1]SME!$AC$21:$AI$21,[1]SME!$BE$21:$BG$21)/1000/N27</f>
        <v>-0.22962265918902139</v>
      </c>
      <c r="O35" s="20">
        <f>-SUM([1]SME!$AC$22:$AI$22,[1]SME!$BE$22:$BG$22)/1000/O27</f>
        <v>0.36564668428950614</v>
      </c>
      <c r="P35" s="20">
        <f>-SUM([1]SME!$AC$23:$AI$23,[1]SME!$BE$23:$BG$23)/1000/P27</f>
        <v>-1.2013090844781475E-2</v>
      </c>
      <c r="Q35" s="7"/>
      <c r="R35" s="20">
        <f>-SUM([1]MidCorp!$AC$21:$AI$21,[1]MidCorp!$BE$21:$BG$21)/1000/R27</f>
        <v>6.7722703200438147E-2</v>
      </c>
      <c r="S35" s="20">
        <f>-SUM([1]MidCorp!$AC$22:$AI$22,[1]MidCorp!$BE$22:$BG$22)/1000/S27</f>
        <v>1.8604198552630589E-2</v>
      </c>
      <c r="T35" s="20">
        <f>-SUM([1]MidCorp!$AC$23:$AI$23,[1]MidCorp!$BE$23:$BG$23)/1000/T27</f>
        <v>-6.5116679174781825E-3</v>
      </c>
      <c r="U35" s="7"/>
      <c r="V35" s="20">
        <f>-SUM([1]MGA!$AC$21:$AI$21,[1]MGA!$BE$21:$BG$21)/1000/V27</f>
        <v>-8.6719562797687486E-2</v>
      </c>
      <c r="W35" s="20">
        <f>-SUM([1]MGA!$AC$22:$AI$22,[1]MGA!$BE$22:$BG$22)/1000/W27</f>
        <v>2.7704833564586633E-2</v>
      </c>
      <c r="X35" s="20">
        <f>-SUM([1]MGA!$AC$23:$AI$23,[1]MGA!$BE$23:$BG$23)/1000/X27</f>
        <v>-1.9818284978256058E-2</v>
      </c>
      <c r="Y35" s="7"/>
      <c r="Z35" s="20" t="e">
        <f>-SUM([1]Bancassurance!$AC$21:$AI$21,[1]Bancassurance!$BE$21:$BG$21)/1000/Z27</f>
        <v>#DIV/0!</v>
      </c>
      <c r="AA35" s="20" t="e">
        <f>-SUM([1]Bancassurance!$AC$22:$AI$22,[1]Bancassurance!$BE$22:$BG$22)/1000/AA27</f>
        <v>#DIV/0!</v>
      </c>
      <c r="AB35" s="20" t="e">
        <f>-SUM([1]Bancassurance!$AC$23:$AI$23,[1]Bancassurance!$BE$23:$BG$23)/1000/AB27</f>
        <v>#DIV/0!</v>
      </c>
      <c r="AC35" s="7"/>
      <c r="AD35" s="20">
        <f>-SUM([1]Specials!$AC$21:$AI$21,[1]Specials!$BE$21:$BG$21)/1000/AD27</f>
        <v>-2.3866520068548178</v>
      </c>
      <c r="AE35" s="20">
        <f>-SUM([1]Specials!$AC$22:$AI$22,[1]Specials!$BE$22:$BG$22)/1000/AE27</f>
        <v>-7.2112108546117621</v>
      </c>
      <c r="AF35" s="20" t="e">
        <f>-SUM([1]Specials!$AC$23:$AI$23,[1]Specials!$BE$23:$BG$23)/1000/AF27</f>
        <v>#DIV/0!</v>
      </c>
      <c r="AG35" s="7"/>
      <c r="AH35" s="28">
        <f>-SUM('[1]Total P&amp;C'!$AC$21:$AI$21,'[1]Total P&amp;C'!$BE$21:$BG$21)/1000/AH27</f>
        <v>-3.6350277458857294E-3</v>
      </c>
      <c r="AI35" s="28">
        <f>-SUM('[1]Total P&amp;C'!$AC$22:$AI$22,'[1]Total P&amp;C'!$BE$22:$BG$22)/1000/AI27</f>
        <v>1.747695683395457E-2</v>
      </c>
      <c r="AJ35" s="28">
        <f>-SUM('[1]Total P&amp;C'!$AC$23:$AI$23,'[1]Total P&amp;C'!$BE$23:$BG$23)/1000/AJ27</f>
        <v>-1.860645825789032E-2</v>
      </c>
      <c r="AL35" s="202"/>
      <c r="AM35" s="9"/>
      <c r="AN35" s="37" t="s">
        <v>28</v>
      </c>
      <c r="AT35" s="20">
        <f>-SUM([2]Retail!$AC$21:$AI$21,[2]Retail!$BE$21:$BG$21)/1000/AT27</f>
        <v>0.86217190330170501</v>
      </c>
      <c r="AU35" s="20">
        <f>-SUM([2]Retail!$AC$22:$AI$22,[2]Retail!$BE$22:$BG$22)/1000/AU27</f>
        <v>-0.46627131485237366</v>
      </c>
      <c r="AV35" s="20">
        <f>-SUM([2]Retail!$AC$23:$AI$23,[2]Retail!$BE$23:$BG$23)/1000/AV27</f>
        <v>1.1529881436990875E-2</v>
      </c>
      <c r="AW35" s="7"/>
      <c r="AX35" s="20">
        <f>-SUM([2]SME!$AC$21:$AI$21,[2]SME!$BE$21:$BG$21)/1000/AX27</f>
        <v>1.0539224856147988</v>
      </c>
      <c r="AY35" s="20">
        <f>-SUM([2]SME!$AC$22:$AI$22,[2]SME!$BE$22:$BG$22)/1000/AY27</f>
        <v>0.20546279993621724</v>
      </c>
      <c r="AZ35" s="20">
        <f>-SUM([2]SME!$AC$23:$AI$23,[2]SME!$BE$23:$BG$23)/1000/AZ27</f>
        <v>8.060455811041585E-2</v>
      </c>
      <c r="BA35" s="7"/>
      <c r="BB35" s="20">
        <f>-SUM([2]MidCorp!$AC$21:$AI$21,[2]MidCorp!$BE$21:$BG$21)/1000/BB27</f>
        <v>0.28833245943513275</v>
      </c>
      <c r="BC35" s="20">
        <f>-SUM([2]MidCorp!$AC$22:$AI$22,[2]MidCorp!$BE$22:$BG$22)/1000/BC27</f>
        <v>0.58191422378812807</v>
      </c>
      <c r="BD35" s="20">
        <f>-SUM([2]MidCorp!$AC$23:$AI$23,[2]MidCorp!$BE$23:$BG$23)/1000/BD27</f>
        <v>3.2509583576956699E-2</v>
      </c>
      <c r="BJ35" s="20" t="e">
        <f>-SUM([2]Specials!$AC$21:$AI$21,[2]Specials!$BE$21:$BG$21)/1000/BJ27</f>
        <v>#DIV/0!</v>
      </c>
      <c r="BK35" s="20" t="e">
        <f>-SUM([2]Specials!$AC$22:$AI$22,[2]Specials!$BE$22:$BG$22)/1000/BK27</f>
        <v>#DIV/0!</v>
      </c>
      <c r="BL35" s="20" t="e">
        <f>-SUM([2]Specials!$AC$23:$AI$23,[2]Specials!$BE$23:$BG$23)/1000/BL27</f>
        <v>#DIV/0!</v>
      </c>
      <c r="BM35" s="7"/>
      <c r="BN35" s="28">
        <f>-SUM('[2]Total P&amp;C'!$AC$21:$AI$21,'[2]Total P&amp;C'!$BE$21:$BG$21)/1000/BN27</f>
        <v>0.70923961000897151</v>
      </c>
      <c r="BO35" s="28">
        <f>-SUM('[2]Total P&amp;C'!$AC$22:$AI$22,'[2]Total P&amp;C'!$BE$22:$BG$22)/1000/BO27</f>
        <v>-3.0464328317438408E-2</v>
      </c>
      <c r="BP35" s="28">
        <f>-SUM('[2]Total P&amp;C'!$AC$23:$AI$23,'[2]Total P&amp;C'!$BE$23:$BG$23)/1000/BP27</f>
        <v>2.6946973665449122E-2</v>
      </c>
      <c r="BR35" s="28">
        <f>-SUM('[3]Total P&amp;C'!$AC$21:$AI$21,'[3]Total P&amp;C'!$BE$21:$BG$21)/1000/BR27</f>
        <v>0.11718498485443193</v>
      </c>
      <c r="BS35" s="28">
        <f>-SUM('[3]Total P&amp;C'!$AC$22:$AI$22,'[3]Total P&amp;C'!$BE$22:$BG$22)/1000/BS27</f>
        <v>8.2567358767261234E-3</v>
      </c>
      <c r="BT35" s="28">
        <f>-SUM('[3]Total P&amp;C'!$AC$23:$AI$23,'[3]Total P&amp;C'!$BE$23:$BG$23)/1000/BT27</f>
        <v>-9.8914467307855761E-3</v>
      </c>
    </row>
    <row r="36" spans="2:72" ht="16.5" hidden="1" customHeight="1" outlineLevel="1" x14ac:dyDescent="0.25">
      <c r="B36" s="202"/>
      <c r="C36" s="9"/>
      <c r="D36" s="37" t="s">
        <v>29</v>
      </c>
      <c r="J36" s="20">
        <f>-SUM([1]Retail!$AJ$21:$AK$21,[1]Retail!$BH$21:$BI$21)/1000/J27</f>
        <v>0.54165482880843774</v>
      </c>
      <c r="K36" s="20">
        <f>-SUM([1]Retail!$AJ$22:$AK$22,[1]Retail!$BH$22:$BI$22)/1000/K27</f>
        <v>0.10130467751980092</v>
      </c>
      <c r="L36" s="20" t="e">
        <f>-SUM([1]Retail!$AJ$23:$AK$23,[1]Retail!$BH$23:$BI$23)/1000/L27</f>
        <v>#DIV/0!</v>
      </c>
      <c r="M36" s="7"/>
      <c r="N36" s="20">
        <f>-SUM([1]SME!$AJ$21:$AK$21,[1]SME!$BH$21:$BI$21)/1000/N27</f>
        <v>-2.0324316935584032E-2</v>
      </c>
      <c r="O36" s="20">
        <f>-SUM([1]SME!$AJ$22:$AK$22,[1]SME!$BH$22:$BI$22)/1000/O27</f>
        <v>-3.71173502436528E-2</v>
      </c>
      <c r="P36" s="20">
        <f>-SUM([1]SME!$AJ$23:$AK$23,[1]SME!$BH$23:$BI$23)/1000/P27</f>
        <v>0</v>
      </c>
      <c r="Q36" s="7"/>
      <c r="R36" s="20">
        <f>-SUM([1]MidCorp!$AJ$21:$AK$21,[1]MidCorp!$BH$21:$BI$21)/1000/R27</f>
        <v>-9.2451885772659448E-3</v>
      </c>
      <c r="S36" s="20">
        <f>-SUM([1]MidCorp!$AJ$22:$AK$22,[1]MidCorp!$BH$22:$BI$22)/1000/S27</f>
        <v>3.2215100179296498E-2</v>
      </c>
      <c r="T36" s="20">
        <f>-SUM([1]MidCorp!$AJ$23:$AK$23,[1]MidCorp!$BH$23:$BI$23)/1000/T27</f>
        <v>0</v>
      </c>
      <c r="U36" s="7"/>
      <c r="V36" s="20">
        <f>-SUM([1]MGA!$AJ$21:$AK$21,[1]MGA!$BH$21:$BI$21)/1000/V27</f>
        <v>0.2171159069087174</v>
      </c>
      <c r="W36" s="20">
        <f>-SUM([1]MGA!$AJ$22:$AK$22,[1]MGA!$BH$22:$BI$22)/1000/W27</f>
        <v>-0.14936543261971627</v>
      </c>
      <c r="X36" s="20">
        <f>-SUM([1]MGA!$AJ$23:$AK$23,[1]MGA!$BH$23:$BI$23)/1000/X27</f>
        <v>0</v>
      </c>
      <c r="Y36" s="7"/>
      <c r="Z36" s="20" t="e">
        <f>-SUM([1]Bancassurance!$AJ$21:$AK$21,[1]Bancassurance!$BH$21:$BI$21)/1000/Z27</f>
        <v>#DIV/0!</v>
      </c>
      <c r="AA36" s="20" t="e">
        <f>-SUM([1]Bancassurance!$AJ$22:$AK$22,[1]Bancassurance!$BH$22:$BI$22)/1000/AA27</f>
        <v>#DIV/0!</v>
      </c>
      <c r="AB36" s="20" t="e">
        <f>-SUM([1]Bancassurance!$AJ$23:$AK$23,[1]Bancassurance!$BH$23:$BI$23)/1000/AB27</f>
        <v>#DIV/0!</v>
      </c>
      <c r="AC36" s="7"/>
      <c r="AD36" s="20">
        <f>-SUM([1]Specials!$AJ$21:$AK$21,[1]Specials!$BH$21:$BI$21)/1000/AD27</f>
        <v>0.5205569995222582</v>
      </c>
      <c r="AE36" s="20">
        <f>-SUM([1]Specials!$AJ$22:$AK$22,[1]Specials!$BH$22:$BI$22)/1000/AE27</f>
        <v>-2.4120360156126139</v>
      </c>
      <c r="AF36" s="20" t="e">
        <f>-SUM([1]Specials!$AJ$23:$AK$23,[1]Specials!$BH$23:$BI$23)/1000/AF27</f>
        <v>#DIV/0!</v>
      </c>
      <c r="AG36" s="7"/>
      <c r="AH36" s="28">
        <f>-SUM('[1]Total P&amp;C'!$AJ$21:$AK$21,'[1]Total P&amp;C'!$BH$21:$BI$21)/1000/AH27</f>
        <v>4.9985949467992695E-2</v>
      </c>
      <c r="AI36" s="28">
        <f>-SUM('[1]Total P&amp;C'!$AJ$22:$AK$22,'[1]Total P&amp;C'!$BH$22:$BI$22)/1000/AI27</f>
        <v>-1.723090048699202E-2</v>
      </c>
      <c r="AJ36" s="28">
        <f>-SUM('[1]Total P&amp;C'!$AJ$23:$AK$23,'[1]Total P&amp;C'!$BH$23:$BI$23)/1000/AJ27</f>
        <v>0</v>
      </c>
      <c r="AL36" s="202"/>
      <c r="AM36" s="9"/>
      <c r="AN36" s="37" t="s">
        <v>29</v>
      </c>
      <c r="AT36" s="20">
        <f>-SUM([2]Retail!$AJ$21:$AK$21,[2]Retail!$BH$21:$BI$21)/1000/AT27</f>
        <v>-1.0356631784739687</v>
      </c>
      <c r="AU36" s="20">
        <f>-SUM([2]Retail!$AJ$22:$AK$22,[2]Retail!$BH$22:$BI$22)/1000/AU27</f>
        <v>-6.3613769149262506E-2</v>
      </c>
      <c r="AV36" s="20">
        <f>-SUM([2]Retail!$AJ$23:$AK$23,[2]Retail!$BH$23:$BI$23)/1000/AV27</f>
        <v>0</v>
      </c>
      <c r="AW36" s="7"/>
      <c r="AX36" s="20">
        <f>-SUM([2]SME!$AJ$21:$AK$21,[2]SME!$BH$21:$BI$21)/1000/AX27</f>
        <v>-1.2515667306522467</v>
      </c>
      <c r="AY36" s="20">
        <f>-SUM([2]SME!$AJ$22:$AK$22,[2]SME!$BH$22:$BI$22)/1000/AY27</f>
        <v>-0.11453122813071941</v>
      </c>
      <c r="AZ36" s="20">
        <f>-SUM([2]SME!$AJ$23:$AK$23,[2]SME!$BH$23:$BI$23)/1000/AZ27</f>
        <v>0</v>
      </c>
      <c r="BA36" s="7"/>
      <c r="BB36" s="20">
        <f>-SUM([2]MidCorp!$AJ$21:$AK$21,[2]MidCorp!$BH$21:$BI$21)/1000/BB27</f>
        <v>-0.55750515864909866</v>
      </c>
      <c r="BC36" s="20">
        <f>-SUM([2]MidCorp!$AJ$22:$AK$22,[2]MidCorp!$BH$22:$BI$22)/1000/BC27</f>
        <v>-2.1663032606891227E-2</v>
      </c>
      <c r="BD36" s="20">
        <f>-SUM([2]MidCorp!$AJ$23:$AK$23,[2]MidCorp!$BH$23:$BI$23)/1000/BD27</f>
        <v>0</v>
      </c>
      <c r="BJ36" s="20" t="e">
        <f>-SUM([2]Specials!$AJ$21:$AK$21,[2]Specials!$BH$21:$BI$21)/1000/BJ27</f>
        <v>#DIV/0!</v>
      </c>
      <c r="BK36" s="20" t="e">
        <f>-SUM([2]Specials!$AJ$22:$AK$22,[2]Specials!$BH$22:$BI$22)/1000/BK27</f>
        <v>#DIV/0!</v>
      </c>
      <c r="BL36" s="20" t="e">
        <f>-SUM([2]Specials!$AJ$23:$AK$23,[2]Specials!$BH$23:$BI$23)/1000/BL27</f>
        <v>#DIV/0!</v>
      </c>
      <c r="BM36" s="7"/>
      <c r="BN36" s="28">
        <f>-SUM('[2]Total P&amp;C'!$AJ$21:$AK$21,'[2]Total P&amp;C'!$BH$21:$BI$21)/1000/BN27</f>
        <v>-0.91583478489777681</v>
      </c>
      <c r="BO36" s="28">
        <f>-SUM('[2]Total P&amp;C'!$AJ$22:$AK$22,'[2]Total P&amp;C'!$BH$22:$BI$22)/1000/BO27</f>
        <v>-5.6920395975611139E-2</v>
      </c>
      <c r="BP36" s="28">
        <f>-SUM('[2]Total P&amp;C'!$AJ$23:$AK$23,'[2]Total P&amp;C'!$BH$23:$BI$23)/1000/BP27</f>
        <v>0</v>
      </c>
      <c r="BR36" s="28">
        <f>-SUM('[3]Total P&amp;C'!$AJ$21:$AK$21,'[3]Total P&amp;C'!$BH$21:$BI$21)/1000/BR27</f>
        <v>-0.11370408397635572</v>
      </c>
      <c r="BS36" s="28">
        <f>-SUM('[3]Total P&amp;C'!$AJ$22:$AK$22,'[3]Total P&amp;C'!$BH$22:$BI$22)/1000/BS27</f>
        <v>-2.4864110922014151E-2</v>
      </c>
      <c r="BT36" s="28">
        <f>-SUM('[3]Total P&amp;C'!$AJ$23:$AK$23,'[3]Total P&amp;C'!$BH$23:$BI$23)/1000/BT27</f>
        <v>0</v>
      </c>
    </row>
    <row r="37" spans="2:72" ht="16.5" hidden="1" customHeight="1" outlineLevel="1" x14ac:dyDescent="0.25">
      <c r="B37" s="202"/>
      <c r="C37" s="9"/>
      <c r="D37" s="37" t="s">
        <v>30</v>
      </c>
      <c r="J37" s="20">
        <f>+J38+J39+J40</f>
        <v>0.33973604971799298</v>
      </c>
      <c r="K37" s="20">
        <f>+K38+K39+K40</f>
        <v>0.49807259007026744</v>
      </c>
      <c r="L37" s="20" t="e">
        <f>+L38+L39+L40</f>
        <v>#DIV/0!</v>
      </c>
      <c r="M37" s="7"/>
      <c r="N37" s="20">
        <f>+N38+N39+N40</f>
        <v>0.28497317750663009</v>
      </c>
      <c r="O37" s="20">
        <f>+O38+O39+O40</f>
        <v>0.29148456633273856</v>
      </c>
      <c r="P37" s="20">
        <f>+P38+P39+P40</f>
        <v>0.29388095434728101</v>
      </c>
      <c r="Q37" s="7"/>
      <c r="R37" s="20">
        <f>+R38+R39+R40</f>
        <v>0.15189384665980105</v>
      </c>
      <c r="S37" s="20">
        <f>+S38+S39+S40</f>
        <v>0.15253189264973374</v>
      </c>
      <c r="T37" s="20">
        <f>+T38+T39+T40</f>
        <v>0.18264887806564176</v>
      </c>
      <c r="U37" s="7"/>
      <c r="V37" s="20">
        <f>+V38+V39+V40</f>
        <v>0.33217119938817175</v>
      </c>
      <c r="W37" s="20">
        <f>+W38+W39+W40</f>
        <v>0.32016761063100391</v>
      </c>
      <c r="X37" s="20">
        <f>+X38+X39+X40</f>
        <v>0.32418357680816062</v>
      </c>
      <c r="Y37" s="7"/>
      <c r="Z37" s="20" t="e">
        <f>+Z38+Z39+Z40</f>
        <v>#DIV/0!</v>
      </c>
      <c r="AA37" s="20" t="e">
        <f>+AA38+AA39+AA40</f>
        <v>#DIV/0!</v>
      </c>
      <c r="AB37" s="20" t="e">
        <f>+AB38+AB39+AB40</f>
        <v>#DIV/0!</v>
      </c>
      <c r="AC37" s="7"/>
      <c r="AD37" s="20">
        <f>+AD38+AD39+AD40</f>
        <v>0</v>
      </c>
      <c r="AE37" s="20">
        <f>+AE38+AE39+AE40</f>
        <v>0</v>
      </c>
      <c r="AF37" s="20" t="e">
        <f>+AF38+AF39+AF40</f>
        <v>#DIV/0!</v>
      </c>
      <c r="AG37" s="7"/>
      <c r="AH37" s="28">
        <f>+AH38+AH39+AH40</f>
        <v>0.21026740818041778</v>
      </c>
      <c r="AI37" s="28">
        <f>+AI38+AI39+AI40</f>
        <v>0.21537658503444826</v>
      </c>
      <c r="AJ37" s="28">
        <f>+AJ38+AJ39+AJ40</f>
        <v>0.23325092743747458</v>
      </c>
      <c r="AL37" s="202"/>
      <c r="AM37" s="9"/>
      <c r="AN37" s="37" t="s">
        <v>30</v>
      </c>
      <c r="AT37" s="20">
        <f>+AT38+AT39+AT40</f>
        <v>0.33098667388538594</v>
      </c>
      <c r="AU37" s="20">
        <f>+AU38+AU39+AU40</f>
        <v>0.32113740218921494</v>
      </c>
      <c r="AV37" s="20">
        <f>+AV38+AV39+AV40</f>
        <v>0.32075948788101671</v>
      </c>
      <c r="AW37" s="7"/>
      <c r="AX37" s="20">
        <f>+AX38+AX39+AX40</f>
        <v>0.39551653684634697</v>
      </c>
      <c r="AY37" s="20">
        <f>+AY38+AY39+AY40</f>
        <v>0.37070956154056589</v>
      </c>
      <c r="AZ37" s="20">
        <f>+AZ38+AZ39+AZ40</f>
        <v>0.40542681635673666</v>
      </c>
      <c r="BA37" s="7"/>
      <c r="BB37" s="20">
        <f>+BB38+BB39+BB40</f>
        <v>0.25130029025354861</v>
      </c>
      <c r="BC37" s="20">
        <f>+BC38+BC39+BC40</f>
        <v>0.23418621173153292</v>
      </c>
      <c r="BD37" s="20">
        <f>+BD38+BD39+BD40</f>
        <v>0.27295418125826365</v>
      </c>
      <c r="BJ37" s="20" t="e">
        <f>+BJ38+BJ39+BJ40</f>
        <v>#DIV/0!</v>
      </c>
      <c r="BK37" s="20" t="e">
        <f>+BK38+BK39+BK40</f>
        <v>#DIV/0!</v>
      </c>
      <c r="BL37" s="20" t="e">
        <f>+BL38+BL39+BL40</f>
        <v>#DIV/0!</v>
      </c>
      <c r="BM37" s="7"/>
      <c r="BN37" s="28">
        <f>+BN38+BN39+BN40</f>
        <v>0.31488487859090125</v>
      </c>
      <c r="BO37" s="28">
        <f>+BO38+BO39+BO40</f>
        <v>0.29953238500751878</v>
      </c>
      <c r="BP37" s="28">
        <f>+BP38+BP39+BP40</f>
        <v>0.31873786659535941</v>
      </c>
      <c r="BR37" s="28">
        <f>+BR38+BR39+BR40</f>
        <v>0.22799827336172981</v>
      </c>
      <c r="BS37" s="28">
        <f>+BS38+BS39+BS40</f>
        <v>0.23156169705498972</v>
      </c>
      <c r="BT37" s="28">
        <f>+BT38+BT39+BT40</f>
        <v>0.2496057799419277</v>
      </c>
    </row>
    <row r="38" spans="2:72" ht="16.5" hidden="1" customHeight="1" outlineLevel="1" x14ac:dyDescent="0.25">
      <c r="B38" s="202"/>
      <c r="C38" s="9"/>
      <c r="D38" s="39" t="s">
        <v>31</v>
      </c>
      <c r="J38" s="20">
        <f>-SUM([1]Retail!$AL$21:$AN$21,[1]Retail!$BJ$21)/1000/J27</f>
        <v>0.18274192305734571</v>
      </c>
      <c r="K38" s="42">
        <f>-SUM([1]Retail!$AL$22:$AN$22,[1]Retail!$BJ$22)/1000/K27</f>
        <v>0.18583854299323321</v>
      </c>
      <c r="L38" s="42" t="e">
        <f>-SUM([1]Retail!$AL$23:$AN$23,[1]Retail!$BJ$23)/1000/L27</f>
        <v>#DIV/0!</v>
      </c>
      <c r="M38" s="8"/>
      <c r="N38" s="20">
        <f>-SUM([1]SME!$AL$21:$AN$21,[1]SME!$BJ$21)/1000/N27</f>
        <v>0.1606475679327978</v>
      </c>
      <c r="O38" s="20">
        <f>-SUM([1]SME!$AL$22:$AN$22,[1]SME!$BJ$22)/1000/O27</f>
        <v>0.16040258036602631</v>
      </c>
      <c r="P38" s="20">
        <f>-SUM([1]SME!$AL$23:$AN$23,[1]SME!$BJ$23)/1000/P27</f>
        <v>0.16010288002853909</v>
      </c>
      <c r="Q38" s="8"/>
      <c r="R38" s="20">
        <f>-SUM([1]MidCorp!$AL$21:$AN$21,[1]MidCorp!$BJ$21)/1000/R27</f>
        <v>7.3115549534955748E-2</v>
      </c>
      <c r="S38" s="20">
        <f>-SUM([1]MidCorp!$AL$22:$AN$22,[1]MidCorp!$BJ$22)/1000/S27</f>
        <v>7.7310610533440086E-2</v>
      </c>
      <c r="T38" s="20">
        <f>-SUM([1]MidCorp!$AL$23:$AN$23,[1]MidCorp!$BJ$23)/1000/T27</f>
        <v>7.8420768629821058E-2</v>
      </c>
      <c r="U38" s="8"/>
      <c r="V38" s="20">
        <f>-SUM([1]MGA!$AL$21:$AN$21,[1]MGA!$BJ$21)/1000/V27</f>
        <v>0.27561797163559004</v>
      </c>
      <c r="W38" s="20">
        <f>-SUM([1]MGA!$AL$22:$AN$22,[1]MGA!$BJ$22)/1000/W27</f>
        <v>0.26145881730806941</v>
      </c>
      <c r="X38" s="20">
        <f>-SUM([1]MGA!$AL$23:$AN$23,[1]MGA!$BJ$23)/1000/X27</f>
        <v>0.25022460125958645</v>
      </c>
      <c r="Y38" s="8"/>
      <c r="Z38" s="20" t="e">
        <f>-SUM([1]Bancassurance!$AL$21:$AN$21,[1]Bancassurance!$BJ$21)/1000/Z27</f>
        <v>#DIV/0!</v>
      </c>
      <c r="AA38" s="20" t="e">
        <f>-SUM([1]Bancassurance!$AL$22:$AN$22,[1]Bancassurance!$BJ$22)/1000/AA27</f>
        <v>#DIV/0!</v>
      </c>
      <c r="AB38" s="20" t="e">
        <f>-SUM([1]Bancassurance!$AL$23:$AN$23,[1]Bancassurance!$BJ$23)/1000/AB27</f>
        <v>#DIV/0!</v>
      </c>
      <c r="AC38" s="8"/>
      <c r="AD38" s="20">
        <f>-SUM([1]Specials!$AL$21:$AN$21,[1]Specials!$BJ$21)/1000/AD27</f>
        <v>0</v>
      </c>
      <c r="AE38" s="20">
        <f>-SUM([1]Specials!$AL$22:$AN$22,[1]Specials!$BJ$22)/1000/AE27</f>
        <v>0</v>
      </c>
      <c r="AF38" s="20" t="e">
        <f>-SUM([1]Specials!$AL$23:$AN$23,[1]Specials!$BJ$23)/1000/AF27</f>
        <v>#DIV/0!</v>
      </c>
      <c r="AG38" s="8"/>
      <c r="AH38" s="28">
        <f>-SUM('[1]Total P&amp;C'!$AL$21:$AN$21,'[1]Total P&amp;C'!$BJ$21)/1000/AH27</f>
        <v>0.13063192083669259</v>
      </c>
      <c r="AI38" s="28">
        <f>-SUM('[1]Total P&amp;C'!$AL$22:$AN$22,'[1]Total P&amp;C'!$BJ$22)/1000/AI27</f>
        <v>0.13193992735115856</v>
      </c>
      <c r="AJ38" s="28">
        <f>-SUM('[1]Total P&amp;C'!$AL$23:$AN$23,'[1]Total P&amp;C'!$BJ$23)/1000/AJ27</f>
        <v>0.1307235348551383</v>
      </c>
      <c r="AL38" s="202"/>
      <c r="AM38" s="9"/>
      <c r="AN38" s="39" t="s">
        <v>31</v>
      </c>
      <c r="AT38" s="20">
        <f>-SUM([2]Retail!$AL$21:$AN$21,[2]Retail!$BJ$21)/1000/AT27</f>
        <v>0.15825846800610124</v>
      </c>
      <c r="AU38" s="42">
        <f>-SUM([2]Retail!$AL$22:$AN$22,[2]Retail!$BJ$22)/1000/AU27</f>
        <v>0.15784161304028432</v>
      </c>
      <c r="AV38" s="42">
        <f>-SUM([2]Retail!$AL$23:$AN$23,[2]Retail!$BJ$23)/1000/AV27</f>
        <v>0.16129474659345919</v>
      </c>
      <c r="AW38" s="8"/>
      <c r="AX38" s="20">
        <f>-SUM([2]SME!$AL$21:$AN$21,[2]SME!$BJ$21)/1000/AX27</f>
        <v>0.189742002018286</v>
      </c>
      <c r="AY38" s="20">
        <f>-SUM([2]SME!$AL$22:$AN$22,[2]SME!$BJ$22)/1000/AY27</f>
        <v>0.1824205146113706</v>
      </c>
      <c r="AZ38" s="20">
        <f>-SUM([2]SME!$AL$23:$AN$23,[2]SME!$BJ$23)/1000/AZ27</f>
        <v>0.2067585335810885</v>
      </c>
      <c r="BA38" s="8"/>
      <c r="BB38" s="20">
        <f>-SUM([2]MidCorp!$AL$21:$AN$21,[2]MidCorp!$BJ$21)/1000/BB27</f>
        <v>7.7933843903042796E-2</v>
      </c>
      <c r="BC38" s="20">
        <f>-SUM([2]MidCorp!$AL$22:$AN$22,[2]MidCorp!$BJ$22)/1000/BC27</f>
        <v>9.339654268785802E-2</v>
      </c>
      <c r="BD38" s="20">
        <f>-SUM([2]MidCorp!$AL$23:$AN$23,[2]MidCorp!$BJ$23)/1000/BD27</f>
        <v>8.9350006308136831E-2</v>
      </c>
      <c r="BJ38" s="20" t="e">
        <f>-SUM([2]Specials!$AL$21:$AN$21,[2]Specials!$BJ$21)/1000/BJ27</f>
        <v>#DIV/0!</v>
      </c>
      <c r="BK38" s="20" t="e">
        <f>-SUM([2]Specials!$AL$22:$AN$22,[2]Specials!$BJ$22)/1000/BK27</f>
        <v>#DIV/0!</v>
      </c>
      <c r="BL38" s="20" t="e">
        <f>-SUM([2]Specials!$AL$23:$AN$23,[2]Specials!$BJ$23)/1000/BL27</f>
        <v>#DIV/0!</v>
      </c>
      <c r="BM38" s="8"/>
      <c r="BN38" s="28">
        <f>-SUM('[2]Total P&amp;C'!$AL$21:$AN$21,'[2]Total P&amp;C'!$BJ$21)/1000/BN27</f>
        <v>0.13748040795635136</v>
      </c>
      <c r="BO38" s="28">
        <f>-SUM('[2]Total P&amp;C'!$AL$22:$AN$22,'[2]Total P&amp;C'!$BJ$22)/1000/BO27</f>
        <v>0.14014850677269625</v>
      </c>
      <c r="BP38" s="28">
        <f>-SUM('[2]Total P&amp;C'!$AL$23:$AN$23,'[2]Total P&amp;C'!$BJ$23)/1000/BP27</f>
        <v>0.14704263841916579</v>
      </c>
      <c r="BR38" s="28">
        <f>-SUM('[3]Total P&amp;C'!$AL$21:$AN$21,'[3]Total P&amp;C'!$BJ$21)/1000/BR27</f>
        <v>0.1317926218299223</v>
      </c>
      <c r="BS38" s="28">
        <f>-SUM('[3]Total P&amp;C'!$AL$22:$AN$22,'[3]Total P&amp;C'!$BJ$22)/1000/BS27</f>
        <v>0.13351862754187163</v>
      </c>
      <c r="BT38" s="28">
        <f>-SUM('[3]Total P&amp;C'!$AL$23:$AN$23,'[3]Total P&amp;C'!$BJ$23)/1000/BT27</f>
        <v>0.13384560864118927</v>
      </c>
    </row>
    <row r="39" spans="2:72" ht="16.5" hidden="1" customHeight="1" outlineLevel="1" x14ac:dyDescent="0.25">
      <c r="B39" s="202"/>
      <c r="C39" s="9"/>
      <c r="D39" s="39" t="s">
        <v>32</v>
      </c>
      <c r="J39" s="20">
        <f>-SUM([1]Retail!$AO$21:$AP$21)/1000/J27</f>
        <v>4.5037597454695424E-3</v>
      </c>
      <c r="K39" s="42">
        <f>-SUM([1]Retail!$AO$22:$AP$22)/1000/K27</f>
        <v>4.1405699796188258E-2</v>
      </c>
      <c r="L39" s="42" t="e">
        <f>-SUM([1]Retail!$AO$23:$AP$23)/1000/L27</f>
        <v>#DIV/0!</v>
      </c>
      <c r="M39" s="8"/>
      <c r="N39" s="20">
        <f>-SUM([1]SME!$AO$21:$AP$21)/1000/N27</f>
        <v>5.8258091340479566E-2</v>
      </c>
      <c r="O39" s="20">
        <f>-SUM([1]SME!$AO$22:$AP$22)/1000/O27</f>
        <v>6.48103471535771E-2</v>
      </c>
      <c r="P39" s="20">
        <f>-SUM([1]SME!$AO$23:$AP$23)/1000/P27</f>
        <v>5.6569733806062984E-2</v>
      </c>
      <c r="Q39" s="8"/>
      <c r="R39" s="20">
        <f>-SUM([1]MidCorp!$AO$21:$AP$21)/1000/R27</f>
        <v>1.2610229337709857E-2</v>
      </c>
      <c r="S39" s="20">
        <f>-SUM([1]MidCorp!$AO$22:$AP$22)/1000/S27</f>
        <v>3.6881020739150949E-3</v>
      </c>
      <c r="T39" s="20">
        <f>-SUM([1]MidCorp!$AO$23:$AP$23)/1000/T27</f>
        <v>1.5156602624567677E-2</v>
      </c>
      <c r="U39" s="8"/>
      <c r="V39" s="20">
        <f>-SUM([1]MGA!$AO$21:$AP$21)/1000/V27</f>
        <v>1.8563896699413423E-2</v>
      </c>
      <c r="W39" s="20">
        <f>-SUM([1]MGA!$AO$22:$AP$22)/1000/W27</f>
        <v>1.4226736453110308E-2</v>
      </c>
      <c r="X39" s="20">
        <f>-SUM([1]MGA!$AO$23:$AP$23)/1000/X27</f>
        <v>2.3885842770182152E-2</v>
      </c>
      <c r="Y39" s="8"/>
      <c r="Z39" s="20" t="e">
        <f>-SUM([1]Bancassurance!$AO$21:$AP$21)/1000/Z27</f>
        <v>#DIV/0!</v>
      </c>
      <c r="AA39" s="20" t="e">
        <f>-SUM([1]Bancassurance!$AO$22:$AP$22)/1000/AA27</f>
        <v>#DIV/0!</v>
      </c>
      <c r="AB39" s="20" t="e">
        <f>-SUM([1]Bancassurance!$AO$23:$AP$23)/1000/AB27</f>
        <v>#DIV/0!</v>
      </c>
      <c r="AC39" s="8"/>
      <c r="AD39" s="20">
        <f>-SUM([1]Specials!$AO$21:$AP$21)/1000/AD27</f>
        <v>0</v>
      </c>
      <c r="AE39" s="20">
        <f>-SUM([1]Specials!$AO$22:$AP$22)/1000/AE27</f>
        <v>0</v>
      </c>
      <c r="AF39" s="20" t="e">
        <f>-SUM([1]Specials!$AO$23:$AP$23)/1000/AF27</f>
        <v>#DIV/0!</v>
      </c>
      <c r="AG39" s="8"/>
      <c r="AH39" s="28">
        <f>-SUM('[1]Total P&amp;C'!$AO$21:$AP$21)/1000/AH27</f>
        <v>1.879343737808931E-2</v>
      </c>
      <c r="AI39" s="28">
        <f>-SUM('[1]Total P&amp;C'!$AO$22:$AP$22)/1000/AI27</f>
        <v>1.4851870429389492E-2</v>
      </c>
      <c r="AJ39" s="28">
        <f>-SUM('[1]Total P&amp;C'!$AO$23:$AP$23)/1000/AJ27</f>
        <v>2.2491013032404143E-2</v>
      </c>
      <c r="AL39" s="202"/>
      <c r="AM39" s="9"/>
      <c r="AN39" s="39" t="s">
        <v>32</v>
      </c>
      <c r="AT39" s="20">
        <f>-SUM([2]Retail!$AO$21:$AP$21)/1000/AT27</f>
        <v>9.3342371538331595E-2</v>
      </c>
      <c r="AU39" s="42">
        <f>-SUM([2]Retail!$AO$22:$AP$22)/1000/AU27</f>
        <v>8.8115756633634384E-2</v>
      </c>
      <c r="AV39" s="42">
        <f>-SUM([2]Retail!$AO$23:$AP$23)/1000/AV27</f>
        <v>8.4406088302084153E-2</v>
      </c>
      <c r="AW39" s="8"/>
      <c r="AX39" s="20">
        <f>-SUM([2]SME!$AO$21:$AP$21)/1000/AX27</f>
        <v>0.10431079978371556</v>
      </c>
      <c r="AY39" s="20">
        <f>-SUM([2]SME!$AO$22:$AP$22)/1000/AY27</f>
        <v>9.3510636314937959E-2</v>
      </c>
      <c r="AZ39" s="20">
        <f>-SUM([2]SME!$AO$23:$AP$23)/1000/AZ27</f>
        <v>8.8771698135047927E-2</v>
      </c>
      <c r="BA39" s="8"/>
      <c r="BB39" s="20">
        <f>-SUM([2]MidCorp!$AO$21:$AP$21)/1000/BB27</f>
        <v>7.2825562473832248E-2</v>
      </c>
      <c r="BC39" s="20">
        <f>-SUM([2]MidCorp!$AO$22:$AP$22)/1000/BC27</f>
        <v>5.4055407138223661E-2</v>
      </c>
      <c r="BD39" s="20">
        <f>-SUM([2]MidCorp!$AO$23:$AP$23)/1000/BD27</f>
        <v>6.9449491211421091E-2</v>
      </c>
      <c r="BJ39" s="20" t="e">
        <f>-SUM([2]Specials!$AO$21:$AP$21)/1000/BJ27</f>
        <v>#DIV/0!</v>
      </c>
      <c r="BK39" s="20" t="e">
        <f>-SUM([2]Specials!$AO$22:$AP$22)/1000/BK27</f>
        <v>#DIV/0!</v>
      </c>
      <c r="BL39" s="20" t="e">
        <f>-SUM([2]Specials!$AO$23:$AP$23)/1000/BL27</f>
        <v>#DIV/0!</v>
      </c>
      <c r="BM39" s="8"/>
      <c r="BN39" s="28">
        <f>-SUM('[2]Total P&amp;C'!$AO$21:$AP$21)/1000/BN27</f>
        <v>8.8431698819302532E-2</v>
      </c>
      <c r="BO39" s="28">
        <f>-SUM('[2]Total P&amp;C'!$AO$22:$AP$22)/1000/BO27</f>
        <v>7.7715293424927306E-2</v>
      </c>
      <c r="BP39" s="28">
        <f>-SUM('[2]Total P&amp;C'!$AO$23:$AP$23)/1000/BP27</f>
        <v>8.07475946771673E-2</v>
      </c>
      <c r="BR39" s="28">
        <f>-SUM('[3]Total P&amp;C'!$AO$21:$AP$21)/1000/BR27</f>
        <v>3.0595927155660688E-2</v>
      </c>
      <c r="BS39" s="28">
        <f>-SUM('[3]Total P&amp;C'!$AO$22:$AP$22)/1000/BS27</f>
        <v>2.6941964558410227E-2</v>
      </c>
      <c r="BT39" s="28">
        <f>-SUM('[3]Total P&amp;C'!$AO$23:$AP$23)/1000/BT27</f>
        <v>3.363631557334619E-2</v>
      </c>
    </row>
    <row r="40" spans="2:72" ht="16.5" hidden="1" customHeight="1" outlineLevel="1" x14ac:dyDescent="0.25">
      <c r="B40" s="202"/>
      <c r="C40" s="9"/>
      <c r="D40" s="39" t="s">
        <v>33</v>
      </c>
      <c r="J40" s="20">
        <f>-SUM([1]Retail!$AQ$21:$AR$21)/1000/J27</f>
        <v>0.15249036691517776</v>
      </c>
      <c r="K40" s="42">
        <f>-SUM([1]Retail!$AQ$22:$AR$22)/1000/K27</f>
        <v>0.27082834728084598</v>
      </c>
      <c r="L40" s="42" t="e">
        <f>-SUM([1]Retail!$AQ$23:$AR$23)/1000/L27</f>
        <v>#DIV/0!</v>
      </c>
      <c r="M40" s="8"/>
      <c r="N40" s="20">
        <f>-SUM([1]SME!$AQ$21:$AR$21)/1000/N27</f>
        <v>6.6067518233352746E-2</v>
      </c>
      <c r="O40" s="20">
        <f>-SUM([1]SME!$AQ$22:$AR$22)/1000/O27</f>
        <v>6.6271638813135136E-2</v>
      </c>
      <c r="P40" s="20">
        <f>-SUM([1]SME!$AQ$23:$AR$23)/1000/P27</f>
        <v>7.7208340512678955E-2</v>
      </c>
      <c r="Q40" s="8"/>
      <c r="R40" s="20">
        <f>-SUM([1]MidCorp!$AQ$21:$AR$21)/1000/R27</f>
        <v>6.6168067787135437E-2</v>
      </c>
      <c r="S40" s="20">
        <f>-SUM([1]MidCorp!$AQ$22:$AR$22)/1000/S27</f>
        <v>7.1533180042378561E-2</v>
      </c>
      <c r="T40" s="20">
        <f>-SUM([1]MidCorp!$AQ$23:$AR$23)/1000/T27</f>
        <v>8.9071506811253018E-2</v>
      </c>
      <c r="U40" s="8"/>
      <c r="V40" s="20">
        <f>-SUM([1]MGA!$AQ$21:$AR$21)/1000/V27</f>
        <v>3.7989331053168235E-2</v>
      </c>
      <c r="W40" s="20">
        <f>-SUM([1]MGA!$AQ$22:$AR$22)/1000/W27</f>
        <v>4.4482056869824212E-2</v>
      </c>
      <c r="X40" s="20">
        <f>-SUM([1]MGA!$AQ$23:$AR$23)/1000/X27</f>
        <v>5.0073132778392017E-2</v>
      </c>
      <c r="Y40" s="8"/>
      <c r="Z40" s="20" t="e">
        <f>-SUM([1]Bancassurance!$AQ$21:$AR$21)/1000/Z27</f>
        <v>#DIV/0!</v>
      </c>
      <c r="AA40" s="20" t="e">
        <f>-SUM([1]Bancassurance!$AQ$22:$AR$22)/1000/AA27</f>
        <v>#DIV/0!</v>
      </c>
      <c r="AB40" s="20" t="e">
        <f>-SUM([1]Bancassurance!$AQ$23:$AR$23)/1000/AB27</f>
        <v>#DIV/0!</v>
      </c>
      <c r="AC40" s="8"/>
      <c r="AD40" s="20">
        <f>-SUM([1]Specials!$AQ$21:$AR$21)/1000/AD27</f>
        <v>0</v>
      </c>
      <c r="AE40" s="20">
        <f>-SUM([1]Specials!$AQ$22:$AR$22)/1000/AE27</f>
        <v>0</v>
      </c>
      <c r="AF40" s="20" t="e">
        <f>-SUM([1]Specials!$AQ$23:$AR$23)/1000/AF27</f>
        <v>#DIV/0!</v>
      </c>
      <c r="AG40" s="8"/>
      <c r="AH40" s="28">
        <f>-SUM('[1]Total P&amp;C'!$AQ$21:$AR$21)/1000/AH27</f>
        <v>6.08420499656359E-2</v>
      </c>
      <c r="AI40" s="28">
        <f>-SUM('[1]Total P&amp;C'!$AQ$22:$AR$22)/1000/AI27</f>
        <v>6.8584787253900215E-2</v>
      </c>
      <c r="AJ40" s="28">
        <f>-SUM('[1]Total P&amp;C'!$AQ$23:$AR$23)/1000/AJ27</f>
        <v>8.0036379549932146E-2</v>
      </c>
      <c r="AL40" s="202"/>
      <c r="AM40" s="9"/>
      <c r="AN40" s="39" t="s">
        <v>33</v>
      </c>
      <c r="AT40" s="20">
        <f>-SUM([2]Retail!$AQ$21:$AR$21)/1000/AT27</f>
        <v>7.938583434095306E-2</v>
      </c>
      <c r="AU40" s="42">
        <f>-SUM([2]Retail!$AQ$22:$AR$22)/1000/AU27</f>
        <v>7.5180032515296216E-2</v>
      </c>
      <c r="AV40" s="42">
        <f>-SUM([2]Retail!$AQ$23:$AR$23)/1000/AV27</f>
        <v>7.5058652985473373E-2</v>
      </c>
      <c r="AW40" s="8"/>
      <c r="AX40" s="20">
        <f>-SUM([2]SME!$AQ$21:$AR$21)/1000/AX27</f>
        <v>0.1014637350443454</v>
      </c>
      <c r="AY40" s="20">
        <f>-SUM([2]SME!$AQ$22:$AR$22)/1000/AY27</f>
        <v>9.4778410614257361E-2</v>
      </c>
      <c r="AZ40" s="20">
        <f>-SUM([2]SME!$AQ$23:$AR$23)/1000/AZ27</f>
        <v>0.10989658464060022</v>
      </c>
      <c r="BA40" s="8"/>
      <c r="BB40" s="20">
        <f>-SUM([2]MidCorp!$AQ$21:$AR$21)/1000/BB27</f>
        <v>0.10054088387667355</v>
      </c>
      <c r="BC40" s="20">
        <f>-SUM([2]MidCorp!$AQ$22:$AR$22)/1000/BC27</f>
        <v>8.6734261905451263E-2</v>
      </c>
      <c r="BD40" s="20">
        <f>-SUM([2]MidCorp!$AQ$23:$AR$23)/1000/BD27</f>
        <v>0.11415468373870571</v>
      </c>
      <c r="BJ40" s="20" t="e">
        <f>-SUM([2]Specials!$AQ$21:$AR$21)/1000/BJ27</f>
        <v>#DIV/0!</v>
      </c>
      <c r="BK40" s="20" t="e">
        <f>-SUM([2]Specials!$AQ$22:$AR$22)/1000/BK27</f>
        <v>#DIV/0!</v>
      </c>
      <c r="BL40" s="20" t="e">
        <f>-SUM([2]Specials!$AQ$23:$AR$23)/1000/BL27</f>
        <v>#DIV/0!</v>
      </c>
      <c r="BM40" s="8"/>
      <c r="BN40" s="28">
        <f>-SUM('[2]Total P&amp;C'!$AQ$21:$AR$21)/1000/BN27</f>
        <v>8.897277181524739E-2</v>
      </c>
      <c r="BO40" s="28">
        <f>-SUM('[2]Total P&amp;C'!$AQ$22:$AR$22)/1000/BO27</f>
        <v>8.1668584809895195E-2</v>
      </c>
      <c r="BP40" s="28">
        <f>-SUM('[2]Total P&amp;C'!$AQ$23:$AR$23)/1000/BP27</f>
        <v>9.0947633499026306E-2</v>
      </c>
      <c r="BR40" s="28">
        <f>-SUM('[3]Total P&amp;C'!$AQ$21:$AR$21)/1000/BR27</f>
        <v>6.5609724376146844E-2</v>
      </c>
      <c r="BS40" s="28">
        <f>-SUM('[3]Total P&amp;C'!$AQ$22:$AR$22)/1000/BS27</f>
        <v>7.1101104954707867E-2</v>
      </c>
      <c r="BT40" s="28">
        <f>-SUM('[3]Total P&amp;C'!$AQ$23:$AR$23)/1000/BT27</f>
        <v>8.2123855727392253E-2</v>
      </c>
    </row>
    <row r="41" spans="2:72" ht="16.5" hidden="1" customHeight="1" outlineLevel="1" x14ac:dyDescent="0.25">
      <c r="B41" s="202"/>
      <c r="C41" s="9"/>
      <c r="D41" s="37" t="s">
        <v>34</v>
      </c>
      <c r="J41" s="19">
        <f>+[1]Retail!$BK$21/1000</f>
        <v>-1.6584499999996814E-2</v>
      </c>
      <c r="K41" s="19">
        <f>+[1]Retail!$BK$22/1000</f>
        <v>0.82748311999999724</v>
      </c>
      <c r="L41" s="19">
        <f>+[1]Retail!$BK$23/1000</f>
        <v>0.31420789756745071</v>
      </c>
      <c r="M41" s="6"/>
      <c r="N41" s="19">
        <f>+[1]SME!$BK$21/1000</f>
        <v>-7.412733999999653E-2</v>
      </c>
      <c r="O41" s="19">
        <f>+[1]SME!$BK$22/1000</f>
        <v>-2.0475835000000031</v>
      </c>
      <c r="P41" s="19">
        <f>+[1]SME!$BK$23/1000</f>
        <v>-0.71505007529659592</v>
      </c>
      <c r="Q41" s="6"/>
      <c r="R41" s="19">
        <f>+[1]MidCorp!$BK$21/1000</f>
        <v>-0.20648242999998911</v>
      </c>
      <c r="S41" s="19">
        <f>+[1]MidCorp!$BK$22/1000</f>
        <v>0.94484760999999784</v>
      </c>
      <c r="T41" s="19">
        <f>+[1]MidCorp!$BK$23/1000</f>
        <v>0.15265465223101524</v>
      </c>
      <c r="U41" s="6"/>
      <c r="V41" s="19">
        <f>+[1]MGA!$BK$21/1000</f>
        <v>-3.396215849999991</v>
      </c>
      <c r="W41" s="19">
        <f>+[1]MGA!$BK$22/1000</f>
        <v>1.1090373900000003</v>
      </c>
      <c r="X41" s="19">
        <f>+[1]MGA!$BK$23/1000</f>
        <v>-0.54097591586352434</v>
      </c>
      <c r="Y41" s="6"/>
      <c r="Z41" s="19">
        <f>+[1]Bancassurance!$BK$21/1000</f>
        <v>0</v>
      </c>
      <c r="AA41" s="19">
        <f>+[1]Bancassurance!$BK$22/1000</f>
        <v>-1.2452340000000001E-2</v>
      </c>
      <c r="AB41" s="19">
        <f>+[1]Bancassurance!$BK$23/1000</f>
        <v>0</v>
      </c>
      <c r="AC41" s="6"/>
      <c r="AD41" s="19">
        <f>+[1]Specials!$BK$21/1000</f>
        <v>0.49503550000000002</v>
      </c>
      <c r="AE41" s="19">
        <f>+[1]Specials!$BK$22/1000</f>
        <v>0.46516385999999998</v>
      </c>
      <c r="AF41" s="19">
        <f>+[1]Specials!$BK$23/1000</f>
        <v>0</v>
      </c>
      <c r="AG41" s="6"/>
      <c r="AH41" s="27">
        <f>+'[1]Total P&amp;C'!$BK$21/1000</f>
        <v>-3.1983746199999885</v>
      </c>
      <c r="AI41" s="27">
        <f>+'[1]Total P&amp;C'!$BK$22/1000</f>
        <v>1.2864961399999968</v>
      </c>
      <c r="AJ41" s="27">
        <f>+'[1]Total P&amp;C'!$BK$23/1000</f>
        <v>-0.78916344136165617</v>
      </c>
      <c r="AL41" s="202"/>
      <c r="AM41" s="9"/>
      <c r="AN41" s="37" t="s">
        <v>34</v>
      </c>
      <c r="AT41" s="19">
        <f>+[2]Retail!$BK$21/1000</f>
        <v>1.5804763899999903</v>
      </c>
      <c r="AU41" s="19">
        <f>+[2]Retail!$BK$22/1000</f>
        <v>3.7565157100000119</v>
      </c>
      <c r="AV41" s="19">
        <f>+[2]Retail!$BK$23/1000</f>
        <v>0.90826404811909411</v>
      </c>
      <c r="AW41" s="6"/>
      <c r="AX41" s="19">
        <f>+[2]SME!$BK$21/1000</f>
        <v>4.5016379999998551E-2</v>
      </c>
      <c r="AY41" s="19">
        <f>+[2]SME!$BK$22/1000</f>
        <v>0.18558508999999448</v>
      </c>
      <c r="AZ41" s="19">
        <f>+[2]SME!$BK$23/1000</f>
        <v>-0.47444402060826657</v>
      </c>
      <c r="BA41" s="6"/>
      <c r="BB41" s="19">
        <f>+[2]MidCorp!$BK$21/1000</f>
        <v>-1.7971311499999945</v>
      </c>
      <c r="BC41" s="19">
        <f>+[2]MidCorp!$BK$22/1000</f>
        <v>-4.432262859999998</v>
      </c>
      <c r="BD41" s="19">
        <f>+[2]MidCorp!$BK$23/1000</f>
        <v>-1.3830949777283488</v>
      </c>
      <c r="BJ41" s="19">
        <f>+[2]Specials!$BK$21/1000</f>
        <v>0</v>
      </c>
      <c r="BK41" s="19">
        <f>+[2]Specials!$BK$22/1000</f>
        <v>0</v>
      </c>
      <c r="BL41" s="19">
        <f>+[2]Specials!$BK$23/1000</f>
        <v>0</v>
      </c>
      <c r="BM41" s="6"/>
      <c r="BN41" s="27">
        <f>+'[2]Total P&amp;C'!$BK$21/1000</f>
        <v>-0.17163838000000403</v>
      </c>
      <c r="BO41" s="27">
        <f>+'[2]Total P&amp;C'!$BK$22/1000</f>
        <v>-0.4901620599999903</v>
      </c>
      <c r="BP41" s="27">
        <f>+'[2]Total P&amp;C'!$BK$23/1000</f>
        <v>-0.94927495021751973</v>
      </c>
      <c r="BR41" s="27">
        <f>+'[3]Total P&amp;C'!$BK$21/1000</f>
        <v>-3.3700129999999846</v>
      </c>
      <c r="BS41" s="27">
        <f>+'[3]Total P&amp;C'!$BK$22/1000</f>
        <v>0.79633408000002848</v>
      </c>
      <c r="BT41" s="27">
        <f>+'[3]Total P&amp;C'!$BK$23/1000</f>
        <v>-1.7384383915791795</v>
      </c>
    </row>
    <row r="42" spans="2:72" hidden="1" outlineLevel="1" x14ac:dyDescent="0.25">
      <c r="B42"/>
      <c r="C42"/>
      <c r="D42"/>
      <c r="J42" s="47"/>
      <c r="K42" s="47"/>
      <c r="L42" s="47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L42"/>
      <c r="AM42"/>
      <c r="AN42"/>
      <c r="AT42" s="47"/>
      <c r="AU42" s="47"/>
      <c r="AV42" s="47"/>
      <c r="AW42"/>
      <c r="AX42"/>
      <c r="AY42"/>
      <c r="AZ42"/>
      <c r="BA42"/>
      <c r="BB42"/>
      <c r="BC42"/>
      <c r="BD42"/>
      <c r="BJ42"/>
      <c r="BK42"/>
      <c r="BL42"/>
      <c r="BM42"/>
      <c r="BN42"/>
      <c r="BO42"/>
      <c r="BP42"/>
      <c r="BR42"/>
      <c r="BS42"/>
      <c r="BT42"/>
    </row>
    <row r="43" spans="2:72" ht="16.5" hidden="1" customHeight="1" outlineLevel="1" x14ac:dyDescent="0.25">
      <c r="B43" s="202" t="s">
        <v>36</v>
      </c>
      <c r="C43" s="9"/>
      <c r="D43" s="37" t="s">
        <v>19</v>
      </c>
      <c r="J43" s="19">
        <f>+[1]Retail!$C$25/1000</f>
        <v>0.61171333000000117</v>
      </c>
      <c r="K43" s="19">
        <f>+[1]Retail!$C$26/1000</f>
        <v>0.77600112000000332</v>
      </c>
      <c r="L43" s="19">
        <f>+[1]Retail!$C$27/1000</f>
        <v>0</v>
      </c>
      <c r="M43" s="6"/>
      <c r="N43" s="19">
        <f>+[1]SME!$C$25/1000</f>
        <v>13.37655921</v>
      </c>
      <c r="O43" s="19">
        <f>+[1]SME!$C$26/1000</f>
        <v>14.223475289999998</v>
      </c>
      <c r="P43" s="19">
        <f>+[1]SME!$C$27/1000</f>
        <v>13.821059999999999</v>
      </c>
      <c r="Q43" s="6"/>
      <c r="R43" s="19">
        <f>+[1]MidCorp!$C$25/1000</f>
        <v>33.736337269999993</v>
      </c>
      <c r="S43" s="19">
        <f>+[1]MidCorp!$C$26/1000</f>
        <v>33.656796280000009</v>
      </c>
      <c r="T43" s="19">
        <f>+[1]MidCorp!$C$27/1000</f>
        <v>37.123129999999996</v>
      </c>
      <c r="U43" s="6"/>
      <c r="V43" s="19">
        <f>+[1]MGA!$C$25/1000</f>
        <v>16.548543609999999</v>
      </c>
      <c r="W43" s="19">
        <f>+[1]MGA!$C$26/1000</f>
        <v>14.175313029999998</v>
      </c>
      <c r="X43" s="19">
        <f>+[1]MGA!$C$27/1000</f>
        <v>16.528940000000002</v>
      </c>
      <c r="Y43" s="6"/>
      <c r="Z43" s="19">
        <f>+[1]Bancassurance!$C$25/1000</f>
        <v>4.7752789999999989E-2</v>
      </c>
      <c r="AA43" s="19">
        <f>+[1]Bancassurance!$C$26/1000</f>
        <v>0</v>
      </c>
      <c r="AB43" s="19">
        <f>+[1]Bancassurance!$C$27/1000</f>
        <v>0</v>
      </c>
      <c r="AC43" s="6"/>
      <c r="AD43" s="19">
        <f>+[1]Specials!$C$25/1000</f>
        <v>3.2974860000000002E-2</v>
      </c>
      <c r="AE43" s="19">
        <f>+[1]Specials!$C$26/1000</f>
        <v>3.0641959999999999E-2</v>
      </c>
      <c r="AF43" s="19">
        <f>+[1]Specials!$C$27/1000</f>
        <v>0</v>
      </c>
      <c r="AG43" s="6"/>
      <c r="AH43" s="27">
        <f>+'[1]Total P&amp;C'!$C$25/1000</f>
        <v>64.35388107</v>
      </c>
      <c r="AI43" s="27">
        <f>+'[1]Total P&amp;C'!$C$26/1000</f>
        <v>62.862227680000011</v>
      </c>
      <c r="AJ43" s="27">
        <f>+'[1]Total P&amp;C'!$C$27/1000</f>
        <v>67.473129999999998</v>
      </c>
      <c r="AL43" s="202" t="s">
        <v>36</v>
      </c>
      <c r="AM43" s="9"/>
      <c r="AN43" s="37" t="s">
        <v>19</v>
      </c>
      <c r="AT43" s="19">
        <f>+[2]Retail!$C$25/1000</f>
        <v>5.6131757199999983</v>
      </c>
      <c r="AU43" s="19">
        <f>+[2]Retail!$C$26/1000</f>
        <v>5.5810265400000025</v>
      </c>
      <c r="AV43" s="19">
        <f>+[2]Retail!$C$27/1000</f>
        <v>6.0438989373344745</v>
      </c>
      <c r="AW43" s="6"/>
      <c r="AX43" s="19">
        <f>+[2]SME!$C$25/1000</f>
        <v>2.6313785199999984</v>
      </c>
      <c r="AY43" s="19">
        <f>+[2]SME!$C$26/1000</f>
        <v>2.6709543100000008</v>
      </c>
      <c r="AZ43" s="19">
        <f>+[2]SME!$C$27/1000</f>
        <v>2.7790461815269634</v>
      </c>
      <c r="BA43" s="6"/>
      <c r="BB43" s="19">
        <f>+[2]MidCorp!$C$25/1000</f>
        <v>5.8924797899999968</v>
      </c>
      <c r="BC43" s="19">
        <f>+[2]MidCorp!$C$26/1000</f>
        <v>7.3393139700000027</v>
      </c>
      <c r="BD43" s="19">
        <f>+[2]MidCorp!$C$27/1000</f>
        <v>6.2036933169580433</v>
      </c>
      <c r="BJ43" s="19">
        <f>+[2]Specials!$C$25/1000</f>
        <v>0</v>
      </c>
      <c r="BK43" s="19">
        <f>+[2]Specials!$C$26/1000</f>
        <v>0</v>
      </c>
      <c r="BL43" s="19">
        <f>+[2]Specials!$C$27/1000</f>
        <v>0</v>
      </c>
      <c r="BM43" s="6"/>
      <c r="BN43" s="27">
        <f>+'[2]Total P&amp;C'!$C$25/1000</f>
        <v>14.137034029999995</v>
      </c>
      <c r="BO43" s="27">
        <f>+'[2]Total P&amp;C'!$C$26/1000</f>
        <v>15.591294820000007</v>
      </c>
      <c r="BP43" s="27">
        <f>+'[2]Total P&amp;C'!$C$27/1000</f>
        <v>15.02663843581948</v>
      </c>
      <c r="BR43" s="27">
        <f>+'[3]Total P&amp;C'!$C$25/1000</f>
        <v>78.490915099999995</v>
      </c>
      <c r="BS43" s="27">
        <f>+'[3]Total P&amp;C'!$C$26/1000</f>
        <v>78.453522500000005</v>
      </c>
      <c r="BT43" s="27">
        <f>+'[3]Total P&amp;C'!$C$27/1000</f>
        <v>82.499768435819476</v>
      </c>
    </row>
    <row r="44" spans="2:72" ht="16.5" hidden="1" customHeight="1" outlineLevel="1" x14ac:dyDescent="0.25">
      <c r="B44" s="202"/>
      <c r="C44" s="9"/>
      <c r="D44" s="37" t="s">
        <v>20</v>
      </c>
      <c r="J44" s="19">
        <f>+[1]Retail!$N$25/1000</f>
        <v>0.57285803000000068</v>
      </c>
      <c r="K44" s="19">
        <f>+[1]Retail!$N$26/1000</f>
        <v>0.77384197000000055</v>
      </c>
      <c r="L44" s="19">
        <f>+[1]Retail!$N$27/1000</f>
        <v>0</v>
      </c>
      <c r="M44" s="6"/>
      <c r="N44" s="19">
        <f>+[1]SME!$N$25/1000</f>
        <v>8.0021348499999974</v>
      </c>
      <c r="O44" s="19">
        <f>+[1]SME!$N$26/1000</f>
        <v>8.5683675099999981</v>
      </c>
      <c r="P44" s="19">
        <f>+[1]SME!$N$27/1000</f>
        <v>8.5351977207521816</v>
      </c>
      <c r="Q44" s="6"/>
      <c r="R44" s="19">
        <f>+[1]MidCorp!$N$25/1000</f>
        <v>28.599751509999994</v>
      </c>
      <c r="S44" s="19">
        <f>+[1]MidCorp!$N$26/1000</f>
        <v>27.88717342</v>
      </c>
      <c r="T44" s="19">
        <f>+[1]MidCorp!$N$27/1000</f>
        <v>29.096951838758468</v>
      </c>
      <c r="U44" s="6"/>
      <c r="V44" s="19">
        <f>+[1]MGA!$N$25/1000</f>
        <v>12.889771580000009</v>
      </c>
      <c r="W44" s="19">
        <f>+[1]MGA!$N$26/1000</f>
        <v>11.253686709999998</v>
      </c>
      <c r="X44" s="19">
        <f>+[1]MGA!$N$27/1000</f>
        <v>15.114644842129936</v>
      </c>
      <c r="Y44" s="6"/>
      <c r="Z44" s="19">
        <f>+[1]Bancassurance!$N$25/1000</f>
        <v>4.3950409999999995E-2</v>
      </c>
      <c r="AA44" s="19">
        <f>+[1]Bancassurance!$N$26/1000</f>
        <v>0</v>
      </c>
      <c r="AB44" s="19">
        <f>+[1]Bancassurance!$N$27/1000</f>
        <v>0</v>
      </c>
      <c r="AC44" s="6"/>
      <c r="AD44" s="19">
        <f>+[1]Specials!$N$25/1000</f>
        <v>7.87647E-3</v>
      </c>
      <c r="AE44" s="19">
        <f>+[1]Specials!$N$26/1000</f>
        <v>3.9638100000000008E-3</v>
      </c>
      <c r="AF44" s="19">
        <f>+[1]Specials!$N$27/1000</f>
        <v>0</v>
      </c>
      <c r="AG44" s="6"/>
      <c r="AH44" s="27">
        <f>+'[1]Total P&amp;C'!$N$25/1000</f>
        <v>50.116342850000002</v>
      </c>
      <c r="AI44" s="27">
        <f>+'[1]Total P&amp;C'!$N$26/1000</f>
        <v>48.487033419999996</v>
      </c>
      <c r="AJ44" s="27">
        <f>+'[1]Total P&amp;C'!$N$27/1000</f>
        <v>52.746794401640592</v>
      </c>
      <c r="AL44" s="202"/>
      <c r="AM44" s="9"/>
      <c r="AN44" s="37" t="s">
        <v>20</v>
      </c>
      <c r="AT44" s="19">
        <f>+[2]Retail!$N$25/1000</f>
        <v>5.3441295399999964</v>
      </c>
      <c r="AU44" s="19">
        <f>+[2]Retail!$N$26/1000</f>
        <v>5.1781473300000034</v>
      </c>
      <c r="AV44" s="19">
        <f>+[2]Retail!$N$27/1000</f>
        <v>5.4831789536431144</v>
      </c>
      <c r="AW44" s="6"/>
      <c r="AX44" s="19">
        <f>+[2]SME!$N$25/1000</f>
        <v>2.1907530499999983</v>
      </c>
      <c r="AY44" s="19">
        <f>+[2]SME!$N$26/1000</f>
        <v>2.204893790000003</v>
      </c>
      <c r="AZ44" s="19">
        <f>+[2]SME!$N$27/1000</f>
        <v>2.3190895876636066</v>
      </c>
      <c r="BA44" s="6"/>
      <c r="BB44" s="19">
        <f>+[2]MidCorp!$N$25/1000</f>
        <v>3.7263401499999973</v>
      </c>
      <c r="BC44" s="19">
        <f>+[2]MidCorp!$N$26/1000</f>
        <v>4.4793697099999994</v>
      </c>
      <c r="BD44" s="19">
        <f>+[2]MidCorp!$N$27/1000</f>
        <v>3.8618667796479405</v>
      </c>
      <c r="BJ44" s="19">
        <f>+[2]Specials!$N$25/1000</f>
        <v>0</v>
      </c>
      <c r="BK44" s="19">
        <f>+[2]Specials!$N$26/1000</f>
        <v>0</v>
      </c>
      <c r="BL44" s="19">
        <f>+[2]Specials!$N$27/1000</f>
        <v>0</v>
      </c>
      <c r="BM44" s="6"/>
      <c r="BN44" s="27">
        <f>+'[2]Total P&amp;C'!$N$25/1000</f>
        <v>11.261222739999992</v>
      </c>
      <c r="BO44" s="27">
        <f>+'[2]Total P&amp;C'!$N$26/1000</f>
        <v>11.862410830000004</v>
      </c>
      <c r="BP44" s="27">
        <f>+'[2]Total P&amp;C'!$N$27/1000</f>
        <v>11.664135320954662</v>
      </c>
      <c r="BR44" s="27">
        <f>+'[3]Total P&amp;C'!$N$25/1000</f>
        <v>61.377565589999989</v>
      </c>
      <c r="BS44" s="27">
        <f>+'[3]Total P&amp;C'!$N$26/1000</f>
        <v>60.349444249999998</v>
      </c>
      <c r="BT44" s="27">
        <f>+'[3]Total P&amp;C'!$N$27/1000</f>
        <v>64.410929722595242</v>
      </c>
    </row>
    <row r="45" spans="2:72" ht="16.5" hidden="1" customHeight="1" outlineLevel="1" x14ac:dyDescent="0.25">
      <c r="B45" s="202"/>
      <c r="C45" s="9"/>
      <c r="D45" s="37" t="s">
        <v>21</v>
      </c>
      <c r="J45" s="20">
        <f>+J46+J51+J52+J53+J54</f>
        <v>0.95696534095890962</v>
      </c>
      <c r="K45" s="20">
        <f>+K46+K51+K52+K53+K54</f>
        <v>1.3397712455425483</v>
      </c>
      <c r="L45" s="20" t="e">
        <f>+L46+L51+L52+L53+L54</f>
        <v>#DIV/0!</v>
      </c>
      <c r="M45" s="6"/>
      <c r="N45" s="20">
        <f>+N46+N51+N52+N53+N54</f>
        <v>0.81225714660382198</v>
      </c>
      <c r="O45" s="20">
        <f>+O46+O51+O52+O53+O54</f>
        <v>0.76638417672166359</v>
      </c>
      <c r="P45" s="20">
        <f>+P46+P51+P52+P53+P54</f>
        <v>0.76322520151476259</v>
      </c>
      <c r="Q45" s="6"/>
      <c r="R45" s="20">
        <f>+R46+R51+R52+R53+R54</f>
        <v>0.96667182301682908</v>
      </c>
      <c r="S45" s="20">
        <f>+S46+S51+S52+S53+S54</f>
        <v>0.86609884896681644</v>
      </c>
      <c r="T45" s="20">
        <f>+T46+T51+T52+T53+T54</f>
        <v>0.92369190017913572</v>
      </c>
      <c r="U45" s="6"/>
      <c r="V45" s="20">
        <f>+V46+V51+V52+V53+V54</f>
        <v>0.69870706040859054</v>
      </c>
      <c r="W45" s="20">
        <f>+W46+W51+W52+W53+W54</f>
        <v>0.92648401085620835</v>
      </c>
      <c r="X45" s="20">
        <f>+X46+X51+X52+X53+X54</f>
        <v>0.88468373985761717</v>
      </c>
      <c r="Y45" s="6"/>
      <c r="Z45" s="20">
        <f>+Z46+Z51+Z52+Z53+Z54</f>
        <v>0.15005275263643733</v>
      </c>
      <c r="AA45" s="20" t="e">
        <f>+AA46+AA51+AA52+AA53+AA54</f>
        <v>#DIV/0!</v>
      </c>
      <c r="AB45" s="20" t="e">
        <f>+AB46+AB51+AB52+AB53+AB54</f>
        <v>#DIV/0!</v>
      </c>
      <c r="AC45" s="6"/>
      <c r="AD45" s="20">
        <f>+AD46+AD51+AD52+AD53+AD54</f>
        <v>-16.377895173853261</v>
      </c>
      <c r="AE45" s="20">
        <f>+AE46+AE51+AE52+AE53+AE54</f>
        <v>-29.012490507869948</v>
      </c>
      <c r="AF45" s="20" t="e">
        <f>+AF46+AF51+AF52+AF53+AF54</f>
        <v>#DIV/0!</v>
      </c>
      <c r="AG45" s="6"/>
      <c r="AH45" s="28">
        <f>+AH46+AH51+AH52+AH53+AH54</f>
        <v>0.86954349104106643</v>
      </c>
      <c r="AI45" s="28">
        <f>+AI46+AI51+AI52+AI53+AI54</f>
        <v>0.86786696301866684</v>
      </c>
      <c r="AJ45" s="28">
        <f>+AJ46+AJ51+AJ52+AJ53+AJ54</f>
        <v>0.88939571419815455</v>
      </c>
      <c r="AL45" s="202"/>
      <c r="AM45" s="9"/>
      <c r="AN45" s="37" t="s">
        <v>21</v>
      </c>
      <c r="AT45" s="20">
        <f>+AT46+AT51+AT52+AT53+AT54</f>
        <v>1.0491609827257302</v>
      </c>
      <c r="AU45" s="20">
        <f>+AU46+AU51+AU52+AU53+AU54</f>
        <v>1.0925235068581942</v>
      </c>
      <c r="AV45" s="20">
        <f>+AV46+AV51+AV52+AV53+AV54</f>
        <v>1.1121516284560897</v>
      </c>
      <c r="AW45" s="6"/>
      <c r="AX45" s="20">
        <f>+AX46+AX51+AX52+AX53+AX54</f>
        <v>1.2086169274076792</v>
      </c>
      <c r="AY45" s="20">
        <f>+AY46+AY51+AY52+AY53+AY54</f>
        <v>0.91690380242759795</v>
      </c>
      <c r="AZ45" s="20">
        <f>+AZ46+AZ51+AZ52+AZ53+AZ54</f>
        <v>1.0299634108824103</v>
      </c>
      <c r="BA45" s="6"/>
      <c r="BB45" s="20">
        <f>+BB46+BB51+BB52+BB53+BB54</f>
        <v>0.82365888954072086</v>
      </c>
      <c r="BC45" s="20">
        <f>+BC46+BC51+BC52+BC53+BC54</f>
        <v>1.0364552605772746</v>
      </c>
      <c r="BD45" s="20">
        <f>+BD46+BD51+BD52+BD53+BD54</f>
        <v>1.0006349035663078</v>
      </c>
      <c r="BJ45" s="20" t="e">
        <f>+BJ46+BJ51+BJ52+BJ53+BJ54</f>
        <v>#DIV/0!</v>
      </c>
      <c r="BK45" s="20" t="e">
        <f>+BK46+BK51+BK52+BK53+BK54</f>
        <v>#DIV/0!</v>
      </c>
      <c r="BL45" s="20" t="e">
        <f>+BL46+BL51+BL52+BL53+BL54</f>
        <v>#DIV/0!</v>
      </c>
      <c r="BM45" s="6"/>
      <c r="BN45" s="28">
        <f>+BN46+BN51+BN52+BN53+BN54</f>
        <v>1.0055627946845858</v>
      </c>
      <c r="BO45" s="28">
        <f>+BO46+BO51+BO52+BO53+BO54</f>
        <v>1.0387087124683572</v>
      </c>
      <c r="BP45" s="28">
        <f>+BP46+BP51+BP52+BP53+BP54</f>
        <v>1.0588888226212985</v>
      </c>
      <c r="BR45" s="28">
        <f>+BR46+BR51+BR52+BR53+BR54</f>
        <v>0.89449957492196486</v>
      </c>
      <c r="BS45" s="28">
        <f>+BS46+BS51+BS52+BS53+BS54</f>
        <v>0.90144796851215414</v>
      </c>
      <c r="BT45" s="28">
        <f>+BT46+BT51+BT52+BT53+BT54</f>
        <v>0.92008911609642408</v>
      </c>
    </row>
    <row r="46" spans="2:72" ht="16.5" hidden="1" customHeight="1" outlineLevel="1" x14ac:dyDescent="0.25">
      <c r="B46" s="202"/>
      <c r="C46" s="9"/>
      <c r="D46" s="37" t="s">
        <v>22</v>
      </c>
      <c r="J46" s="20">
        <f>+J47+J48+J49+J50</f>
        <v>0.10159372296832418</v>
      </c>
      <c r="K46" s="20">
        <f>+K47+K48+K49+K50</f>
        <v>0.76434503804439513</v>
      </c>
      <c r="L46" s="20" t="e">
        <f>+L47+L48+L49+L50</f>
        <v>#DIV/0!</v>
      </c>
      <c r="M46" s="6"/>
      <c r="N46" s="20">
        <f>+N47+N48+N49+N50</f>
        <v>0.40254884607449487</v>
      </c>
      <c r="O46" s="20">
        <f>+O47+O48+O49+O50</f>
        <v>0.46875712500805194</v>
      </c>
      <c r="P46" s="20">
        <f>+P47+P48+P49+P50</f>
        <v>0.48963455536432493</v>
      </c>
      <c r="Q46" s="6"/>
      <c r="R46" s="20">
        <f>+R47+R48+R49+R50</f>
        <v>0.60229744317803002</v>
      </c>
      <c r="S46" s="20">
        <f>+S47+S48+S49+S50</f>
        <v>0.63833015027738149</v>
      </c>
      <c r="T46" s="20">
        <f>+T47+T48+T49+T50</f>
        <v>0.65396588317826321</v>
      </c>
      <c r="U46" s="6"/>
      <c r="V46" s="20">
        <f>+V47+V48+V49+V50</f>
        <v>0.62359440352472051</v>
      </c>
      <c r="W46" s="20">
        <f>+W47+W48+W49+W50</f>
        <v>0.63959990761107677</v>
      </c>
      <c r="X46" s="20">
        <f>+X47+X48+X49+X50</f>
        <v>0.59577495200139918</v>
      </c>
      <c r="Y46" s="6"/>
      <c r="Z46" s="20">
        <f>+Z47+Z48+Z49+Z50</f>
        <v>0</v>
      </c>
      <c r="AA46" s="20" t="e">
        <f>+AA47+AA48+AA49+AA50</f>
        <v>#DIV/0!</v>
      </c>
      <c r="AB46" s="20" t="e">
        <f>+AB47+AB48+AB49+AB50</f>
        <v>#DIV/0!</v>
      </c>
      <c r="AC46" s="6"/>
      <c r="AD46" s="20">
        <f>+AD47+AD48+AD49+AD50</f>
        <v>-16.377895173853261</v>
      </c>
      <c r="AE46" s="20">
        <f>+AE47+AE48+AE49+AE50</f>
        <v>-29.012490507869948</v>
      </c>
      <c r="AF46" s="20" t="e">
        <f>+AF47+AF48+AF49+AF50</f>
        <v>#DIV/0!</v>
      </c>
      <c r="AG46" s="6"/>
      <c r="AH46" s="28">
        <f>+AH47+AH48+AH49+AH50</f>
        <v>0.56696067478515122</v>
      </c>
      <c r="AI46" s="28">
        <f>+AI47+AI48+AI49+AI50</f>
        <v>0.60824604208173882</v>
      </c>
      <c r="AJ46" s="28">
        <f>+AJ47+AJ48+AJ49+AJ50</f>
        <v>0.61157248408736953</v>
      </c>
      <c r="AL46" s="202"/>
      <c r="AM46" s="9"/>
      <c r="AN46" s="37" t="s">
        <v>22</v>
      </c>
      <c r="AT46" s="20">
        <f>+AT47+AT48+AT49+AT50</f>
        <v>0.75966587067423574</v>
      </c>
      <c r="AU46" s="20">
        <f>+AU47+AU48+AU49+AU50</f>
        <v>0.88756056695667573</v>
      </c>
      <c r="AV46" s="20">
        <f>+AV47+AV48+AV49+AV50</f>
        <v>0.75623413874364431</v>
      </c>
      <c r="AW46" s="6"/>
      <c r="AX46" s="20">
        <f>+AX47+AX48+AX49+AX50</f>
        <v>0.87688608718358341</v>
      </c>
      <c r="AY46" s="20">
        <f>+AY47+AY48+AY49+AY50</f>
        <v>0.72699773897045539</v>
      </c>
      <c r="AZ46" s="20">
        <f>+AZ47+AZ48+AZ49+AZ50</f>
        <v>0.65896088149730769</v>
      </c>
      <c r="BA46" s="6"/>
      <c r="BB46" s="20">
        <f>+BB47+BB48+BB49+BB50</f>
        <v>0.52873222268772258</v>
      </c>
      <c r="BC46" s="20">
        <f>+BC47+BC48+BC49+BC50</f>
        <v>0.65945295013391525</v>
      </c>
      <c r="BD46" s="20">
        <f>+BD47+BD48+BD49+BD50</f>
        <v>0.66020678375135899</v>
      </c>
      <c r="BJ46" s="20" t="e">
        <f>+BJ47+BJ48+BJ49+BJ50</f>
        <v>#DIV/0!</v>
      </c>
      <c r="BK46" s="20" t="e">
        <f>+BK47+BK48+BK49+BK50</f>
        <v>#DIV/0!</v>
      </c>
      <c r="BL46" s="20" t="e">
        <f>+BL47+BL48+BL49+BL50</f>
        <v>#DIV/0!</v>
      </c>
      <c r="BM46" s="6"/>
      <c r="BN46" s="28">
        <f>+BN47+BN48+BN49+BN50</f>
        <v>0.70605386142997162</v>
      </c>
      <c r="BO46" s="28">
        <f>+BO47+BO48+BO49+BO50</f>
        <v>0.77158057339007169</v>
      </c>
      <c r="BP46" s="28">
        <f>+BP47+BP48+BP49+BP50</f>
        <v>0.70510045126414644</v>
      </c>
      <c r="BR46" s="28">
        <f>+BR47+BR48+BR49+BR50</f>
        <v>0.59248073804225321</v>
      </c>
      <c r="BS46" s="28">
        <f>+BS47+BS48+BS49+BS50</f>
        <v>0.64035141334379386</v>
      </c>
      <c r="BT46" s="28">
        <f>+BT47+BT48+BT49+BT50</f>
        <v>0.62850940566484292</v>
      </c>
    </row>
    <row r="47" spans="2:72" ht="16.5" hidden="1" customHeight="1" outlineLevel="1" x14ac:dyDescent="0.25">
      <c r="B47" s="202"/>
      <c r="C47" s="9"/>
      <c r="D47" s="38" t="s">
        <v>23</v>
      </c>
      <c r="J47" s="20">
        <f>-SUM([1]Retail!$O$25,[1]Retail!$R$25:$V$25,[1]Retail!$Y$25,[1]Retail!$AB$25,[1]Retail!$AU$25,[1]Retail!$AX$25,[1]Retail!$BA$25,[1]Retail!$BD$25)/1000/J44</f>
        <v>1.0420330496196423E-2</v>
      </c>
      <c r="K47" s="42">
        <f>-SUM([1]Retail!$O$26,[1]Retail!$R$26:$V$26,[1]Retail!$Y$26,[1]Retail!$AB$26,[1]Retail!$AU$26,[1]Retail!$AX$26,[1]Retail!$BA$26,[1]Retail!$BD$26)/1000/K44</f>
        <v>0.67183494841976543</v>
      </c>
      <c r="L47" s="42" t="e">
        <f>-SUM([1]Retail!$O$27,[1]Retail!$R$27:$V$27,[1]Retail!$Y$27,[1]Retail!$AB$27,[1]Retail!$AU$27,[1]Retail!$AX$27,[1]Retail!$BA$27,[1]Retail!$BD$27)/1000/L44</f>
        <v>#DIV/0!</v>
      </c>
      <c r="M47" s="6"/>
      <c r="N47" s="20">
        <f>-SUM([1]SME!$O$25,[1]SME!$R$25:$V$25,[1]SME!$Y$25,[1]SME!$AB$25,[1]SME!$AU$25,[1]SME!$AX$25,[1]SME!$BA$25,[1]SME!$BD$25)/1000/N44</f>
        <v>0.38316086612811845</v>
      </c>
      <c r="O47" s="20">
        <f>-SUM([1]SME!$O$26,[1]SME!$R$26:$V$26,[1]SME!$Y$26,[1]SME!$AB$26,[1]SME!$AU$26,[1]SME!$AX$26,[1]SME!$BA$26,[1]SME!$BD$26)/1000/O44</f>
        <v>0.44825786540054707</v>
      </c>
      <c r="P47" s="20">
        <f>-SUM([1]SME!$O$27,[1]SME!$R$27:$V$27,[1]SME!$Y$27,[1]SME!$AB$27,[1]SME!$AU$27,[1]SME!$AX$27,[1]SME!$BA$27,[1]SME!$BD$27)/1000/P44</f>
        <v>0.45093215897948069</v>
      </c>
      <c r="Q47" s="6"/>
      <c r="R47" s="20">
        <f>-SUM([1]MidCorp!$O$25,[1]MidCorp!$R$25:$V$25,[1]MidCorp!$Y$25,[1]MidCorp!$AB$25,[1]MidCorp!$AU$25,[1]MidCorp!$AX$25,[1]MidCorp!$BA$25,[1]MidCorp!$BD$25)/1000/R44</f>
        <v>0.56054955073279245</v>
      </c>
      <c r="S47" s="20">
        <f>-SUM([1]MidCorp!$O$26,[1]MidCorp!$R$26:$V$26,[1]MidCorp!$Y$26,[1]MidCorp!$AB$26,[1]MidCorp!$AU$26,[1]MidCorp!$AX$26,[1]MidCorp!$BA$26,[1]MidCorp!$BD$26)/1000/S44</f>
        <v>0.58037337295692115</v>
      </c>
      <c r="T47" s="20">
        <f>-SUM([1]MidCorp!$O$27,[1]MidCorp!$R$27:$V$27,[1]MidCorp!$Y$27,[1]MidCorp!$AB$27,[1]MidCorp!$AU$27,[1]MidCorp!$AX$27,[1]MidCorp!$BA$27,[1]MidCorp!$BD$27)/1000/T44</f>
        <v>0.54340237280046999</v>
      </c>
      <c r="U47" s="6"/>
      <c r="V47" s="20">
        <f>-SUM([1]MGA!$O$25,[1]MGA!$R$25:$V$25,[1]MGA!$Y$25,[1]MGA!$AB$25,[1]MGA!$AU$25,[1]MGA!$AX$25,[1]MGA!$BA$25,[1]MGA!$BD$25)/1000/V44</f>
        <v>0.60885973279597827</v>
      </c>
      <c r="W47" s="20">
        <f>-SUM([1]MGA!$O$26,[1]MGA!$R$26:$V$26,[1]MGA!$Y$26,[1]MGA!$AB$26,[1]MGA!$AU$26,[1]MGA!$AX$26,[1]MGA!$BA$26,[1]MGA!$BD$26)/1000/W44</f>
        <v>0.62198711945482998</v>
      </c>
      <c r="X47" s="20">
        <f>-SUM([1]MGA!$O$27,[1]MGA!$R$27:$V$27,[1]MGA!$Y$27,[1]MGA!$AB$27,[1]MGA!$AU$27,[1]MGA!$AX$27,[1]MGA!$BA$27,[1]MGA!$BD$27)/1000/X44</f>
        <v>0.55070225460401201</v>
      </c>
      <c r="Y47" s="6"/>
      <c r="Z47" s="20">
        <f>-SUM([1]Bancassurance!$O$25,[1]Bancassurance!$R$25:$V$25,[1]Bancassurance!$Y$25,[1]Bancassurance!$AB$25,[1]Bancassurance!$AU$25,[1]Bancassurance!$AX$25,[1]Bancassurance!$BA$25,[1]Bancassurance!$BD$25)/1000/Z44</f>
        <v>0</v>
      </c>
      <c r="AA47" s="20" t="e">
        <f>-SUM([1]Bancassurance!$O$26,[1]Bancassurance!$R$26:$V$26,[1]Bancassurance!$Y$26,[1]Bancassurance!$AB$26,[1]Bancassurance!$AU$26,[1]Bancassurance!$AX$26,[1]Bancassurance!$BA$26,[1]Bancassurance!$BD$26)/1000/AA44</f>
        <v>#DIV/0!</v>
      </c>
      <c r="AB47" s="20" t="e">
        <f>-SUM([1]Bancassurance!$O$27,[1]Bancassurance!$R$27:$V$27,[1]Bancassurance!$Y$27,[1]Bancassurance!$AB$27,[1]Bancassurance!$AU$27,[1]Bancassurance!$AX$27,[1]Bancassurance!$BA$27,[1]Bancassurance!$BD$27)/1000/AB44</f>
        <v>#DIV/0!</v>
      </c>
      <c r="AC47" s="6"/>
      <c r="AD47" s="20">
        <f>-SUM([1]Specials!$O$25,[1]Specials!$R$25:$V$25,[1]Specials!$Y$25,[1]Specials!$AB$25,[1]Specials!$AU$25,[1]Specials!$AX$25,[1]Specials!$BA$25,[1]Specials!$BD$25)/1000/AD44</f>
        <v>0</v>
      </c>
      <c r="AE47" s="20">
        <f>-SUM([1]Specials!$O$26,[1]Specials!$R$26:$V$26,[1]Specials!$Y$26,[1]Specials!$AB$26,[1]Specials!$AU$26,[1]Specials!$AX$26,[1]Specials!$BA$26,[1]Specials!$BD$26)/1000/AE44</f>
        <v>0</v>
      </c>
      <c r="AF47" s="20" t="e">
        <f>-SUM([1]Specials!$O$27,[1]Specials!$R$27:$V$27,[1]Specials!$Y$27,[1]Specials!$AB$27,[1]Specials!$AU$27,[1]Specials!$AX$27,[1]Specials!$BA$27,[1]Specials!$BD$27)/1000/AF44</f>
        <v>#DIV/0!</v>
      </c>
      <c r="AG47" s="6"/>
      <c r="AH47" s="28">
        <f>-SUM('[1]Total P&amp;C'!$O$25,'[1]Total P&amp;C'!$R$25:$V$25,'[1]Total P&amp;C'!$Y$25,'[1]Total P&amp;C'!$AB$25,'[1]Total P&amp;C'!$AU$25,'[1]Total P&amp;C'!$AX$25,'[1]Total P&amp;C'!$BA$25,'[1]Total P&amp;C'!$BD$25)/1000/AH44</f>
        <v>0.53778295656304043</v>
      </c>
      <c r="AI47" s="28">
        <f>-SUM('[1]Total P&amp;C'!$O$26,'[1]Total P&amp;C'!$R$26:$V$26,'[1]Total P&amp;C'!$Y$26,'[1]Total P&amp;C'!$AB$26,'[1]Total P&amp;C'!$AU$26,'[1]Total P&amp;C'!$AX$26,'[1]Total P&amp;C'!$BA$26,'[1]Total P&amp;C'!$BD$26)/1000/AI44</f>
        <v>0.56809731070571234</v>
      </c>
      <c r="AJ47" s="28">
        <f>-SUM('[1]Total P&amp;C'!$O$27,'[1]Total P&amp;C'!$R$27:$V$27,'[1]Total P&amp;C'!$Y$27,'[1]Total P&amp;C'!$AB$27,'[1]Total P&amp;C'!$AU$27,'[1]Total P&amp;C'!$AX$27,'[1]Total P&amp;C'!$BA$27,'[1]Total P&amp;C'!$BD$27)/1000/AJ44</f>
        <v>0.53140360172766599</v>
      </c>
      <c r="AL47" s="202"/>
      <c r="AM47" s="9"/>
      <c r="AN47" s="38" t="s">
        <v>23</v>
      </c>
      <c r="AT47" s="20">
        <f>-SUM([2]Retail!$O$25,[2]Retail!$R$25:$V$25,[2]Retail!$Y$25,[2]Retail!$AB$25,[2]Retail!$AU$25,[2]Retail!$AX$25,[2]Retail!$BA$25,[2]Retail!$BD$25)/1000/AT44</f>
        <v>0.74843438768888881</v>
      </c>
      <c r="AU47" s="42">
        <f>-SUM([2]Retail!$O$26,[2]Retail!$R$26:$V$26,[2]Retail!$Y$26,[2]Retail!$AB$26,[2]Retail!$AU$26,[2]Retail!$AX$26,[2]Retail!$BA$26,[2]Retail!$BD$26)/1000/AU44</f>
        <v>0.87258358869445241</v>
      </c>
      <c r="AV47" s="42">
        <f>-SUM([2]Retail!$O$27,[2]Retail!$R$27:$V$27,[2]Retail!$Y$27,[2]Retail!$AB$27,[2]Retail!$AU$27,[2]Retail!$AX$27,[2]Retail!$BA$27,[2]Retail!$BD$27)/1000/AV44</f>
        <v>0.72302584608027665</v>
      </c>
      <c r="AW47" s="6"/>
      <c r="AX47" s="20">
        <f>-SUM([2]SME!$O$25,[2]SME!$R$25:$V$25,[2]SME!$Y$25,[2]SME!$AB$25,[2]SME!$AU$25,[2]SME!$AX$25,[2]SME!$BA$25,[2]SME!$BD$25)/1000/AX44</f>
        <v>0.8618657908521461</v>
      </c>
      <c r="AY47" s="20">
        <f>-SUM([2]SME!$O$26,[2]SME!$R$26:$V$26,[2]SME!$Y$26,[2]SME!$AB$26,[2]SME!$AU$26,[2]SME!$AX$26,[2]SME!$BA$26,[2]SME!$BD$26)/1000/AY44</f>
        <v>0.71281519641814495</v>
      </c>
      <c r="AZ47" s="20">
        <f>-SUM([2]SME!$O$27,[2]SME!$R$27:$V$27,[2]SME!$Y$27,[2]SME!$AB$27,[2]SME!$AU$27,[2]SME!$AX$27,[2]SME!$BA$27,[2]SME!$BD$27)/1000/AZ44</f>
        <v>0.62701438124548436</v>
      </c>
      <c r="BA47" s="6"/>
      <c r="BB47" s="20">
        <f>-SUM([2]MidCorp!$O$25,[2]MidCorp!$R$25:$V$25,[2]MidCorp!$Y$25,[2]MidCorp!$AB$25,[2]MidCorp!$AU$25,[2]MidCorp!$AX$25,[2]MidCorp!$BA$25,[2]MidCorp!$BD$25)/1000/BB44</f>
        <v>0.52486464232203855</v>
      </c>
      <c r="BC47" s="20">
        <f>-SUM([2]MidCorp!$O$26,[2]MidCorp!$R$26:$V$26,[2]MidCorp!$Y$26,[2]MidCorp!$AB$26,[2]MidCorp!$AU$26,[2]MidCorp!$AX$26,[2]MidCorp!$BA$26,[2]MidCorp!$BD$26)/1000/BC44</f>
        <v>0.65582275190229844</v>
      </c>
      <c r="BD47" s="20">
        <f>-SUM([2]MidCorp!$O$27,[2]MidCorp!$R$27:$V$27,[2]MidCorp!$Y$27,[2]MidCorp!$AB$27,[2]MidCorp!$AU$27,[2]MidCorp!$AX$27,[2]MidCorp!$BA$27,[2]MidCorp!$BD$27)/1000/BD44</f>
        <v>0.58642516472480821</v>
      </c>
      <c r="BJ47" s="20" t="e">
        <f>-SUM([2]Specials!$O$25,[2]Specials!$R$25:$V$25,[2]Specials!$Y$25,[2]Specials!$AB$25,[2]Specials!$AU$25,[2]Specials!$AX$25,[2]Specials!$BA$25,[2]Specials!$BD$25)/1000/BJ44</f>
        <v>#DIV/0!</v>
      </c>
      <c r="BK47" s="20" t="e">
        <f>-SUM([2]Specials!$O$26,[2]Specials!$R$26:$V$26,[2]Specials!$Y$26,[2]Specials!$AB$26,[2]Specials!$AU$26,[2]Specials!$AX$26,[2]Specials!$BA$26,[2]Specials!$BD$26)/1000/BK44</f>
        <v>#DIV/0!</v>
      </c>
      <c r="BL47" s="20" t="e">
        <f>-SUM([2]Specials!$O$27,[2]Specials!$R$27:$V$27,[2]Specials!$Y$27,[2]Specials!$AB$27,[2]Specials!$AU$27,[2]Specials!$AX$27,[2]Specials!$BA$27,[2]Specials!$BD$27)/1000/BL44</f>
        <v>#DIV/0!</v>
      </c>
      <c r="BM47" s="6"/>
      <c r="BN47" s="28">
        <f>-SUM('[2]Total P&amp;C'!$O$25,'[2]Total P&amp;C'!$R$25:$V$25,'[2]Total P&amp;C'!$Y$25,'[2]Total P&amp;C'!$AB$25,'[2]Total P&amp;C'!$AU$25,'[2]Total P&amp;C'!$AX$25,'[2]Total P&amp;C'!$BA$25,'[2]Total P&amp;C'!$BD$25)/1000/BN44</f>
        <v>0.69652202084051884</v>
      </c>
      <c r="BO47" s="28">
        <f>-SUM('[2]Total P&amp;C'!$O$26,'[2]Total P&amp;C'!$R$26:$V$26,'[2]Total P&amp;C'!$Y$26,'[2]Total P&amp;C'!$AB$26,'[2]Total P&amp;C'!$AU$26,'[2]Total P&amp;C'!$AX$26,'[2]Total P&amp;C'!$BA$26,'[2]Total P&amp;C'!$BD$26)/1000/BO44</f>
        <v>0.76103592089130134</v>
      </c>
      <c r="BP47" s="28">
        <f>-SUM('[2]Total P&amp;C'!$O$27,'[2]Total P&amp;C'!$R$27:$V$27,'[2]Total P&amp;C'!$Y$27,'[2]Total P&amp;C'!$AB$27,'[2]Total P&amp;C'!$AU$27,'[2]Total P&amp;C'!$AX$27,'[2]Total P&amp;C'!$BA$27,'[2]Total P&amp;C'!$BD$27)/1000/BP44</f>
        <v>0.65870964936649801</v>
      </c>
      <c r="BR47" s="28">
        <f>-SUM('[3]Total P&amp;C'!$O$25,'[3]Total P&amp;C'!$R$25:$V$25,'[3]Total P&amp;C'!$Y$25,'[3]Total P&amp;C'!$AB$25,'[3]Total P&amp;C'!$AU$25,'[3]Total P&amp;C'!$AX$25,'[3]Total P&amp;C'!$BA$25,'[3]Total P&amp;C'!$BD$25)/1000/BR44</f>
        <v>0.56690753886252343</v>
      </c>
      <c r="BS47" s="28">
        <f>-SUM('[3]Total P&amp;C'!$O$26,'[3]Total P&amp;C'!$R$26:$V$26,'[3]Total P&amp;C'!$Y$26,'[3]Total P&amp;C'!$AB$26,'[3]Total P&amp;C'!$AU$26,'[3]Total P&amp;C'!$AX$26,'[3]Total P&amp;C'!$BA$26,'[3]Total P&amp;C'!$BD$26)/1000/BS44</f>
        <v>0.60602172057284509</v>
      </c>
      <c r="BT47" s="28">
        <f>-SUM('[3]Total P&amp;C'!$O$27,'[3]Total P&amp;C'!$R$27:$V$27,'[3]Total P&amp;C'!$Y$27,'[3]Total P&amp;C'!$AB$27,'[3]Total P&amp;C'!$AU$27,'[3]Total P&amp;C'!$AX$27,'[3]Total P&amp;C'!$BA$27,'[3]Total P&amp;C'!$BD$27)/1000/BT44</f>
        <v>0.55445737494954739</v>
      </c>
    </row>
    <row r="48" spans="2:72" ht="16.5" hidden="1" customHeight="1" outlineLevel="1" x14ac:dyDescent="0.25">
      <c r="B48" s="202"/>
      <c r="C48" s="9"/>
      <c r="D48" s="38" t="s">
        <v>24</v>
      </c>
      <c r="J48" s="20">
        <f>-([1]Retail!$P$25+[1]Retail!$W$25+[1]Retail!$AV$25+[1]Retail!$AY$25)/1000/J44</f>
        <v>0</v>
      </c>
      <c r="K48" s="42">
        <f>-([1]Retail!$P$26+[1]Retail!$W$26+[1]Retail!$AV$26+[1]Retail!$AY$26)/1000/K44</f>
        <v>0</v>
      </c>
      <c r="L48" s="42" t="e">
        <f>-([1]Retail!$P$27+[1]Retail!$W$27+[1]Retail!$AV$27+[1]Retail!$AY$27)/1000/L44</f>
        <v>#DIV/0!</v>
      </c>
      <c r="M48" s="7"/>
      <c r="N48" s="20">
        <f>-([1]SME!$P$25+[1]SME!$W$25+[1]SME!$AV$25+[1]SME!$AY$25)/1000/N44</f>
        <v>0</v>
      </c>
      <c r="O48" s="20">
        <f>-([1]SME!$P$26+[1]SME!$W$26+[1]SME!$AV$26+[1]SME!$AY$26)/1000/O44</f>
        <v>0</v>
      </c>
      <c r="P48" s="20">
        <f>-([1]SME!$P$27+[1]SME!$W$27+[1]SME!$AV$27+[1]SME!$AY$27)/1000/P44</f>
        <v>2.265224567202518E-2</v>
      </c>
      <c r="Q48" s="7"/>
      <c r="R48" s="20">
        <f>-([1]MidCorp!$P$25+[1]MidCorp!$W$25+[1]MidCorp!$AV$25+[1]MidCorp!$AY$25)/1000/R44</f>
        <v>0</v>
      </c>
      <c r="S48" s="20">
        <f>-([1]MidCorp!$P$26+[1]MidCorp!$W$26+[1]MidCorp!$AV$26+[1]MidCorp!$AY$26)/1000/S44</f>
        <v>0</v>
      </c>
      <c r="T48" s="20">
        <f>-([1]MidCorp!$P$27+[1]MidCorp!$W$27+[1]MidCorp!$AV$27+[1]MidCorp!$AY$27)/1000/T44</f>
        <v>2.2356754717370492E-2</v>
      </c>
      <c r="U48" s="7"/>
      <c r="V48" s="20">
        <f>-([1]MGA!$P$25+[1]MGA!$W$25+[1]MGA!$AV$25+[1]MGA!$AY$25)/1000/V44</f>
        <v>1.9783127917926983E-4</v>
      </c>
      <c r="W48" s="20">
        <f>-([1]MGA!$P$26+[1]MGA!$W$26+[1]MGA!$AV$26+[1]MGA!$AY$26)/1000/W44</f>
        <v>0</v>
      </c>
      <c r="X48" s="20">
        <f>-([1]MGA!$P$27+[1]MGA!$W$27+[1]MGA!$AV$27+[1]MGA!$AY$27)/1000/X44</f>
        <v>2.6024796347532072E-2</v>
      </c>
      <c r="Y48" s="7"/>
      <c r="Z48" s="20">
        <f>-([1]Bancassurance!$P$25+[1]Bancassurance!$W$25+[1]Bancassurance!$AV$25+[1]Bancassurance!$AY$25)/1000/Z44</f>
        <v>0</v>
      </c>
      <c r="AA48" s="20" t="e">
        <f>-([1]Bancassurance!$P$26+[1]Bancassurance!$W$26+[1]Bancassurance!$AV$26+[1]Bancassurance!$AY$26)/1000/AA44</f>
        <v>#DIV/0!</v>
      </c>
      <c r="AB48" s="20" t="e">
        <f>-([1]Bancassurance!$P$27+[1]Bancassurance!$W$27+[1]Bancassurance!$AV$27+[1]Bancassurance!$AY$27)/1000/AB44</f>
        <v>#DIV/0!</v>
      </c>
      <c r="AC48" s="7"/>
      <c r="AD48" s="20">
        <f>-([1]Specials!$P$25+[1]Specials!$W$25+[1]Specials!$AV$25+[1]Specials!$AY$25)/1000/AD44</f>
        <v>0</v>
      </c>
      <c r="AE48" s="20">
        <f>-([1]Specials!$P$26+[1]Specials!$W$26+[1]Specials!$AV$26+[1]Specials!$AY$26)/1000/AE44</f>
        <v>0</v>
      </c>
      <c r="AF48" s="20" t="e">
        <f>-([1]Specials!$P$27+[1]Specials!$W$27+[1]Specials!$AV$27+[1]Specials!$AY$27)/1000/AF44</f>
        <v>#DIV/0!</v>
      </c>
      <c r="AG48" s="7"/>
      <c r="AH48" s="28">
        <f>-('[1]Total P&amp;C'!$P$25+'[1]Total P&amp;C'!$W$25+'[1]Total P&amp;C'!$AV$25+'[1]Total P&amp;C'!$AY$25)/1000/AH44</f>
        <v>5.0881605779420905E-5</v>
      </c>
      <c r="AI48" s="28">
        <f>-('[1]Total P&amp;C'!$P$26+'[1]Total P&amp;C'!$W$26+'[1]Total P&amp;C'!$AV$26+'[1]Total P&amp;C'!$AY$26)/1000/AI44</f>
        <v>0</v>
      </c>
      <c r="AJ48" s="28">
        <f>-('[1]Total P&amp;C'!$P$27+'[1]Total P&amp;C'!$W$27+'[1]Total P&amp;C'!$AV$27+'[1]Total P&amp;C'!$AY$27)/1000/AJ44</f>
        <v>2.3455650316358937E-2</v>
      </c>
      <c r="AL48" s="202"/>
      <c r="AM48" s="9"/>
      <c r="AN48" s="38" t="s">
        <v>24</v>
      </c>
      <c r="AT48" s="20">
        <f>-([2]Retail!$P$25+[2]Retail!$W$25+[2]Retail!$AV$25+[2]Retail!$AY$25)/1000/AT44</f>
        <v>1.554692852748477E-3</v>
      </c>
      <c r="AU48" s="42">
        <f>-([2]Retail!$P$26+[2]Retail!$W$26+[2]Retail!$AV$26+[2]Retail!$AY$26)/1000/AU44</f>
        <v>0</v>
      </c>
      <c r="AV48" s="42">
        <f>-([2]Retail!$P$27+[2]Retail!$W$27+[2]Retail!$AV$27+[2]Retail!$AY$27)/1000/AV44</f>
        <v>2.2574742098780423E-2</v>
      </c>
      <c r="AW48" s="7"/>
      <c r="AX48" s="20">
        <f>-([2]SME!$P$25+[2]SME!$W$25+[2]SME!$AV$25+[2]SME!$AY$25)/1000/AX44</f>
        <v>5.5018159166776055E-3</v>
      </c>
      <c r="AY48" s="20">
        <f>-([2]SME!$P$26+[2]SME!$W$26+[2]SME!$AV$26+[2]SME!$AY$26)/1000/AY44</f>
        <v>0</v>
      </c>
      <c r="AZ48" s="20">
        <f>-([2]SME!$P$27+[2]SME!$W$27+[2]SME!$AV$27+[2]SME!$AY$27)/1000/AZ44</f>
        <v>2.2651593343080031E-2</v>
      </c>
      <c r="BA48" s="7"/>
      <c r="BB48" s="20">
        <f>-([2]MidCorp!$P$25+[2]MidCorp!$W$25+[2]MidCorp!$AV$25+[2]MidCorp!$AY$25)/1000/BB44</f>
        <v>9.5778695887438047E-4</v>
      </c>
      <c r="BC48" s="20">
        <f>-([2]MidCorp!$P$26+[2]MidCorp!$W$26+[2]MidCorp!$AV$26+[2]MidCorp!$AY$26)/1000/BC44</f>
        <v>0</v>
      </c>
      <c r="BD48" s="20">
        <f>-([2]MidCorp!$P$27+[2]MidCorp!$W$27+[2]MidCorp!$AV$27+[2]MidCorp!$AY$27)/1000/BD44</f>
        <v>2.2392592783390057E-2</v>
      </c>
      <c r="BJ48" s="20" t="e">
        <f>-([2]Specials!$P$25+[2]Specials!$W$25+[2]Specials!$AV$25+[2]Specials!$AY$25)/1000/BJ44</f>
        <v>#DIV/0!</v>
      </c>
      <c r="BK48" s="20" t="e">
        <f>-([2]Specials!$P$26+[2]Specials!$W$26+[2]Specials!$AV$26+[2]Specials!$AY$26)/1000/BK44</f>
        <v>#DIV/0!</v>
      </c>
      <c r="BL48" s="20" t="e">
        <f>-([2]Specials!$P$27+[2]Specials!$W$27+[2]Specials!$AV$27+[2]Specials!$AY$27)/1000/BL44</f>
        <v>#DIV/0!</v>
      </c>
      <c r="BM48" s="7"/>
      <c r="BN48" s="28">
        <f>-('[2]Total P&amp;C'!$P$25+'[2]Total P&amp;C'!$W$25+'[2]Total P&amp;C'!$AV$25+'[2]Total P&amp;C'!$AY$25)/1000/BN44</f>
        <v>2.1250481011265403E-3</v>
      </c>
      <c r="BO48" s="28">
        <f>-('[2]Total P&amp;C'!$P$26+'[2]Total P&amp;C'!$W$26+'[2]Total P&amp;C'!$AV$26+'[2]Total P&amp;C'!$AY$26)/1000/BO44</f>
        <v>0</v>
      </c>
      <c r="BP48" s="28">
        <f>-('[2]Total P&amp;C'!$P$27+'[2]Total P&amp;C'!$W$27+'[2]Total P&amp;C'!$AV$27+'[2]Total P&amp;C'!$AY$27)/1000/BP44</f>
        <v>2.2529714203001129E-2</v>
      </c>
      <c r="BR48" s="28">
        <f>-('[3]Total P&amp;C'!$P$25+'[3]Total P&amp;C'!$W$25+'[3]Total P&amp;C'!$AV$25+'[3]Total P&amp;C'!$AY$25)/1000/BR44</f>
        <v>4.3143842127740546E-4</v>
      </c>
      <c r="BS48" s="28">
        <f>-('[3]Total P&amp;C'!$P$26+'[3]Total P&amp;C'!$W$26+'[3]Total P&amp;C'!$AV$26+'[3]Total P&amp;C'!$AY$26)/1000/BS44</f>
        <v>0</v>
      </c>
      <c r="BT48" s="28">
        <f>-('[3]Total P&amp;C'!$P$27+'[3]Total P&amp;C'!$W$27+'[3]Total P&amp;C'!$AV$27+'[3]Total P&amp;C'!$AY$27)/1000/BT44</f>
        <v>2.3287973119782538E-2</v>
      </c>
    </row>
    <row r="49" spans="2:72" ht="16.5" hidden="1" customHeight="1" outlineLevel="1" x14ac:dyDescent="0.25">
      <c r="B49" s="202"/>
      <c r="C49" s="9"/>
      <c r="D49" s="38" t="s">
        <v>25</v>
      </c>
      <c r="J49" s="20">
        <f>-([1]Retail!$Q$25+[1]Retail!$X$25+[1]Retail!$AW$25+[1]Retail!$AZ$25)/1000/J44</f>
        <v>0</v>
      </c>
      <c r="K49" s="42">
        <f>-([1]Retail!$Q$26+[1]Retail!$X$26+[1]Retail!$AW$26+[1]Retail!$AZ$26)/1000/K44</f>
        <v>0</v>
      </c>
      <c r="L49" s="42" t="e">
        <f>-([1]Retail!$Q$27+[1]Retail!$X$27+[1]Retail!$AW$27+[1]Retail!$AZ$27)/1000/L44</f>
        <v>#DIV/0!</v>
      </c>
      <c r="M49" s="7"/>
      <c r="N49" s="20">
        <f>-([1]SME!$Q$25+[1]SME!$X$25+[1]SME!$AW$25+[1]SME!$AZ$25)/1000/N44</f>
        <v>0</v>
      </c>
      <c r="O49" s="20">
        <f>-([1]SME!$Q$26+[1]SME!$X$26+[1]SME!$AW$26+[1]SME!$AZ$26)/1000/O44</f>
        <v>0</v>
      </c>
      <c r="P49" s="20">
        <f>-([1]SME!$Q$27+[1]SME!$X$27+[1]SME!$AW$27+[1]SME!$AZ$27)/1000/P44</f>
        <v>0</v>
      </c>
      <c r="Q49" s="7"/>
      <c r="R49" s="20">
        <f>-([1]MidCorp!$Q$25+[1]MidCorp!$X$25+[1]MidCorp!$AW$25+[1]MidCorp!$AZ$25)/1000/R44</f>
        <v>0</v>
      </c>
      <c r="S49" s="20">
        <f>-([1]MidCorp!$Q$26+[1]MidCorp!$X$26+[1]MidCorp!$AW$26+[1]MidCorp!$AZ$26)/1000/S44</f>
        <v>0</v>
      </c>
      <c r="T49" s="20">
        <f>-([1]MidCorp!$Q$27+[1]MidCorp!$X$27+[1]MidCorp!$AW$27+[1]MidCorp!$AZ$27)/1000/T44</f>
        <v>0</v>
      </c>
      <c r="U49" s="7"/>
      <c r="V49" s="20">
        <f>-([1]MGA!$Q$25+[1]MGA!$X$25+[1]MGA!$AW$25+[1]MGA!$AZ$25)/1000/V44</f>
        <v>0</v>
      </c>
      <c r="W49" s="20">
        <f>-([1]MGA!$Q$26+[1]MGA!$X$26+[1]MGA!$AW$26+[1]MGA!$AZ$26)/1000/W44</f>
        <v>0</v>
      </c>
      <c r="X49" s="20">
        <f>-([1]MGA!$Q$27+[1]MGA!$X$27+[1]MGA!$AW$27+[1]MGA!$AZ$27)/1000/X44</f>
        <v>0</v>
      </c>
      <c r="Y49" s="7"/>
      <c r="Z49" s="20">
        <f>-([1]Bancassurance!$Q$25+[1]Bancassurance!$X$25+[1]Bancassurance!$AW$25+[1]Bancassurance!$AZ$25)/1000/Z44</f>
        <v>0</v>
      </c>
      <c r="AA49" s="20" t="e">
        <f>-([1]Bancassurance!$Q$26+[1]Bancassurance!$X$26+[1]Bancassurance!$AW$26+[1]Bancassurance!$AZ$26)/1000/AA44</f>
        <v>#DIV/0!</v>
      </c>
      <c r="AB49" s="20" t="e">
        <f>-([1]Bancassurance!$Q$27+[1]Bancassurance!$X$27+[1]Bancassurance!$AW$27+[1]Bancassurance!$AZ$27)/1000/AB44</f>
        <v>#DIV/0!</v>
      </c>
      <c r="AC49" s="7"/>
      <c r="AD49" s="20">
        <f>-([1]Specials!$Q$25+[1]Specials!$X$25+[1]Specials!$AW$25+[1]Specials!$AZ$25)/1000/AD44</f>
        <v>0</v>
      </c>
      <c r="AE49" s="20">
        <f>-([1]Specials!$Q$26+[1]Specials!$X$26+[1]Specials!$AW$26+[1]Specials!$AZ$26)/1000/AE44</f>
        <v>0</v>
      </c>
      <c r="AF49" s="20" t="e">
        <f>-([1]Specials!$Q$27+[1]Specials!$X$27+[1]Specials!$AW$27+[1]Specials!$AZ$27)/1000/AF44</f>
        <v>#DIV/0!</v>
      </c>
      <c r="AG49" s="7"/>
      <c r="AH49" s="28">
        <f>-('[1]Total P&amp;C'!$Q$25+'[1]Total P&amp;C'!$X$25+'[1]Total P&amp;C'!$AW$25+'[1]Total P&amp;C'!$AZ$25)/1000/AH44</f>
        <v>0</v>
      </c>
      <c r="AI49" s="28">
        <f>-('[1]Total P&amp;C'!$Q$26+'[1]Total P&amp;C'!$X$26+'[1]Total P&amp;C'!$AW$26+'[1]Total P&amp;C'!$AZ$26)/1000/AI44</f>
        <v>0</v>
      </c>
      <c r="AJ49" s="28">
        <f>-('[1]Total P&amp;C'!$Q$27+'[1]Total P&amp;C'!$X$27+'[1]Total P&amp;C'!$AW$27+'[1]Total P&amp;C'!$AZ$27)/1000/AJ44</f>
        <v>0</v>
      </c>
      <c r="AL49" s="202"/>
      <c r="AM49" s="9"/>
      <c r="AN49" s="38" t="s">
        <v>25</v>
      </c>
      <c r="AT49" s="20">
        <f>-([2]Retail!$Q$25+[2]Retail!$X$25+[2]Retail!$AW$25+[2]Retail!$AZ$25)/1000/AT44</f>
        <v>0</v>
      </c>
      <c r="AU49" s="42">
        <f>-([2]Retail!$Q$26+[2]Retail!$X$26+[2]Retail!$AW$26+[2]Retail!$AZ$26)/1000/AU44</f>
        <v>0</v>
      </c>
      <c r="AV49" s="42">
        <f>-([2]Retail!$Q$27+[2]Retail!$X$27+[2]Retail!$AW$27+[2]Retail!$AZ$27)/1000/AV44</f>
        <v>0</v>
      </c>
      <c r="AW49" s="7"/>
      <c r="AX49" s="20">
        <f>-([2]SME!$Q$25+[2]SME!$X$25+[2]SME!$AW$25+[2]SME!$AZ$25)/1000/AX44</f>
        <v>0</v>
      </c>
      <c r="AY49" s="20">
        <f>-([2]SME!$Q$26+[2]SME!$X$26+[2]SME!$AW$26+[2]SME!$AZ$26)/1000/AY44</f>
        <v>0</v>
      </c>
      <c r="AZ49" s="20">
        <f>-([2]SME!$Q$27+[2]SME!$X$27+[2]SME!$AW$27+[2]SME!$AZ$27)/1000/AZ44</f>
        <v>0</v>
      </c>
      <c r="BA49" s="7"/>
      <c r="BB49" s="20">
        <f>-([2]MidCorp!$Q$25+[2]MidCorp!$X$25+[2]MidCorp!$AW$25+[2]MidCorp!$AZ$25)/1000/BB44</f>
        <v>0</v>
      </c>
      <c r="BC49" s="20">
        <f>-([2]MidCorp!$Q$26+[2]MidCorp!$X$26+[2]MidCorp!$AW$26+[2]MidCorp!$AZ$26)/1000/BC44</f>
        <v>0</v>
      </c>
      <c r="BD49" s="20">
        <f>-([2]MidCorp!$Q$27+[2]MidCorp!$X$27+[2]MidCorp!$AW$27+[2]MidCorp!$AZ$27)/1000/BD44</f>
        <v>0</v>
      </c>
      <c r="BJ49" s="20" t="e">
        <f>-([2]Specials!$Q$25+[2]Specials!$X$25+[2]Specials!$AW$25+[2]Specials!$AZ$25)/1000/BJ44</f>
        <v>#DIV/0!</v>
      </c>
      <c r="BK49" s="20" t="e">
        <f>-([2]Specials!$Q$26+[2]Specials!$X$26+[2]Specials!$AW$26+[2]Specials!$AZ$26)/1000/BK44</f>
        <v>#DIV/0!</v>
      </c>
      <c r="BL49" s="20" t="e">
        <f>-([2]Specials!$Q$27+[2]Specials!$X$27+[2]Specials!$AW$27+[2]Specials!$AZ$27)/1000/BL44</f>
        <v>#DIV/0!</v>
      </c>
      <c r="BM49" s="7"/>
      <c r="BN49" s="28">
        <f>-('[2]Total P&amp;C'!$Q$25+'[2]Total P&amp;C'!$X$25+'[2]Total P&amp;C'!$AW$25+'[2]Total P&amp;C'!$AZ$25)/1000/BN44</f>
        <v>0</v>
      </c>
      <c r="BO49" s="28">
        <f>-('[2]Total P&amp;C'!$Q$26+'[2]Total P&amp;C'!$X$26+'[2]Total P&amp;C'!$AW$26+'[2]Total P&amp;C'!$AZ$26)/1000/BO44</f>
        <v>0</v>
      </c>
      <c r="BP49" s="28">
        <f>-('[2]Total P&amp;C'!$Q$27+'[2]Total P&amp;C'!$X$27+'[2]Total P&amp;C'!$AW$27+'[2]Total P&amp;C'!$AZ$27)/1000/BP44</f>
        <v>0</v>
      </c>
      <c r="BR49" s="28">
        <f>-('[3]Total P&amp;C'!$Q$25+'[3]Total P&amp;C'!$X$25+'[3]Total P&amp;C'!$AW$25+'[3]Total P&amp;C'!$AZ$25)/1000/BR44</f>
        <v>0</v>
      </c>
      <c r="BS49" s="28">
        <f>-('[3]Total P&amp;C'!$Q$26+'[3]Total P&amp;C'!$X$26+'[3]Total P&amp;C'!$AW$26+'[3]Total P&amp;C'!$AZ$26)/1000/BS44</f>
        <v>0</v>
      </c>
      <c r="BT49" s="28">
        <f>-('[3]Total P&amp;C'!$Q$27+'[3]Total P&amp;C'!$X$27+'[3]Total P&amp;C'!$AW$27+'[3]Total P&amp;C'!$AZ$27)/1000/BT44</f>
        <v>0</v>
      </c>
    </row>
    <row r="50" spans="2:72" ht="16.5" hidden="1" customHeight="1" outlineLevel="1" x14ac:dyDescent="0.25">
      <c r="B50" s="202"/>
      <c r="C50" s="9"/>
      <c r="D50" s="38" t="s">
        <v>26</v>
      </c>
      <c r="J50" s="20">
        <f>-[1]Retail!$AT$25/1000/J44</f>
        <v>9.1173392472127759E-2</v>
      </c>
      <c r="K50" s="42">
        <f>-[1]Retail!$AT$26/1000/K44</f>
        <v>9.2510089624629657E-2</v>
      </c>
      <c r="L50" s="42" t="e">
        <f>-[1]Retail!$AT$27/1000/L44</f>
        <v>#DIV/0!</v>
      </c>
      <c r="M50" s="7"/>
      <c r="N50" s="20">
        <f>-[1]SME!$AT$25/1000/N44</f>
        <v>1.9387979946376439E-2</v>
      </c>
      <c r="O50" s="20">
        <f>-[1]SME!$AT$26/1000/O44</f>
        <v>2.0499259607504872E-2</v>
      </c>
      <c r="P50" s="20">
        <f>-[1]SME!$AT$27/1000/P44</f>
        <v>1.605015071281907E-2</v>
      </c>
      <c r="Q50" s="7"/>
      <c r="R50" s="20">
        <f>-[1]MidCorp!$AT$25/1000/R44</f>
        <v>4.1747892445237536E-2</v>
      </c>
      <c r="S50" s="20">
        <f>-[1]MidCorp!$AT$26/1000/S44</f>
        <v>5.7956777320460333E-2</v>
      </c>
      <c r="T50" s="20">
        <f>-[1]MidCorp!$AT$27/1000/T44</f>
        <v>8.8206755660422645E-2</v>
      </c>
      <c r="U50" s="7"/>
      <c r="V50" s="20">
        <f>-[1]MGA!$AT$25/1000/V44</f>
        <v>1.4536839449562968E-2</v>
      </c>
      <c r="W50" s="20">
        <f>-[1]MGA!$AT$26/1000/W44</f>
        <v>1.7612788156246801E-2</v>
      </c>
      <c r="X50" s="20">
        <f>-[1]MGA!$AT$27/1000/X44</f>
        <v>1.9047901049855074E-2</v>
      </c>
      <c r="Y50" s="7"/>
      <c r="Z50" s="20">
        <f>-[1]Bancassurance!$AT$25/1000/Z44</f>
        <v>0</v>
      </c>
      <c r="AA50" s="20" t="e">
        <f>-[1]Bancassurance!$AT$26/1000/AA44</f>
        <v>#DIV/0!</v>
      </c>
      <c r="AB50" s="20" t="e">
        <f>-[1]Bancassurance!$AT$27/1000/AB44</f>
        <v>#DIV/0!</v>
      </c>
      <c r="AC50" s="7"/>
      <c r="AD50" s="20">
        <f>-[1]Specials!$AT$25/1000/AD44</f>
        <v>-16.377895173853261</v>
      </c>
      <c r="AE50" s="20">
        <f>-[1]Specials!$AT$26/1000/AE44</f>
        <v>-29.012490507869948</v>
      </c>
      <c r="AF50" s="20" t="e">
        <f>-[1]Specials!$AT$27/1000/AF44</f>
        <v>#DIV/0!</v>
      </c>
      <c r="AG50" s="7"/>
      <c r="AH50" s="28">
        <f>-'[1]Total P&amp;C'!$AT$25/1000/AH44</f>
        <v>2.912683661633142E-2</v>
      </c>
      <c r="AI50" s="28">
        <f>-'[1]Total P&amp;C'!$AT$26/1000/AI44</f>
        <v>4.0148731376026515E-2</v>
      </c>
      <c r="AJ50" s="28">
        <f>-'[1]Total P&amp;C'!$AT$27/1000/AJ44</f>
        <v>5.6713232043344532E-2</v>
      </c>
      <c r="AL50" s="202"/>
      <c r="AM50" s="9"/>
      <c r="AN50" s="38" t="s">
        <v>26</v>
      </c>
      <c r="AT50" s="20">
        <f>-[2]Retail!$AT$25/1000/AT44</f>
        <v>9.6767901325984784E-3</v>
      </c>
      <c r="AU50" s="42">
        <f>-[2]Retail!$AT$26/1000/AU44</f>
        <v>1.4976978262223363E-2</v>
      </c>
      <c r="AV50" s="42">
        <f>-[2]Retail!$AT$27/1000/AV44</f>
        <v>1.0633550564587237E-2</v>
      </c>
      <c r="AW50" s="7"/>
      <c r="AX50" s="20">
        <f>-[2]SME!$AT$25/1000/AX44</f>
        <v>9.5184804147596721E-3</v>
      </c>
      <c r="AY50" s="20">
        <f>-[2]SME!$AT$26/1000/AY44</f>
        <v>1.4182542552310403E-2</v>
      </c>
      <c r="AZ50" s="20">
        <f>-[2]SME!$AT$27/1000/AZ44</f>
        <v>9.2949069087433379E-3</v>
      </c>
      <c r="BA50" s="7"/>
      <c r="BB50" s="20">
        <f>-[2]MidCorp!$AT$25/1000/BB44</f>
        <v>2.9097934068096284E-3</v>
      </c>
      <c r="BC50" s="20">
        <f>-[2]MidCorp!$AT$26/1000/BC44</f>
        <v>3.6301982316168315E-3</v>
      </c>
      <c r="BD50" s="20">
        <f>-[2]MidCorp!$AT$27/1000/BD44</f>
        <v>5.1389026243160822E-2</v>
      </c>
      <c r="BJ50" s="20" t="e">
        <f>-[2]Specials!$AT$25/1000/BJ44</f>
        <v>#DIV/0!</v>
      </c>
      <c r="BK50" s="20" t="e">
        <f>-[2]Specials!$AT$26/1000/BK44</f>
        <v>#DIV/0!</v>
      </c>
      <c r="BL50" s="20" t="e">
        <f>-[2]Specials!$AT$27/1000/BL44</f>
        <v>#DIV/0!</v>
      </c>
      <c r="BM50" s="7"/>
      <c r="BN50" s="28">
        <f>-'[2]Total P&amp;C'!$AT$25/1000/BN44</f>
        <v>7.4067924883261891E-3</v>
      </c>
      <c r="BO50" s="28">
        <f>-'[2]Total P&amp;C'!$AT$26/1000/BO44</f>
        <v>1.054465249877035E-2</v>
      </c>
      <c r="BP50" s="28">
        <f>-'[2]Total P&amp;C'!$AT$27/1000/BP44</f>
        <v>2.386108769464735E-2</v>
      </c>
      <c r="BR50" s="28">
        <f>-'[3]Total P&amp;C'!$AT$25/1000/BR44</f>
        <v>2.5141760758452387E-2</v>
      </c>
      <c r="BS50" s="28">
        <f>-'[3]Total P&amp;C'!$AT$26/1000/BS44</f>
        <v>3.4329692770948758E-2</v>
      </c>
      <c r="BT50" s="28">
        <f>-'[3]Total P&amp;C'!$AT$27/1000/BT44</f>
        <v>5.0764057595512946E-2</v>
      </c>
    </row>
    <row r="51" spans="2:72" ht="16.5" hidden="1" customHeight="1" outlineLevel="1" x14ac:dyDescent="0.25">
      <c r="B51" s="202"/>
      <c r="C51" s="9"/>
      <c r="D51" s="37" t="s">
        <v>27</v>
      </c>
      <c r="J51" s="20">
        <f>-([1]Retail!$Z$25+[1]Retail!$AA$25+[1]Retail!$BB$25+[1]Retail!$BC$25)/1000/J44</f>
        <v>-7.3955496442984232E-4</v>
      </c>
      <c r="K51" s="20">
        <f>-([1]Retail!$Z$26+[1]Retail!$AA$26+[1]Retail!$BB$26+[1]Retail!$BC$26)/1000/K44</f>
        <v>-6.7491299289440141E-3</v>
      </c>
      <c r="L51" s="20" t="e">
        <f>-([1]Retail!$Z$27+[1]Retail!$AA$27+[1]Retail!$BB$27+[1]Retail!$BC$27)/1000/L44</f>
        <v>#DIV/0!</v>
      </c>
      <c r="M51" s="7"/>
      <c r="N51" s="20">
        <f>-([1]SME!$Z$25+[1]SME!$AA$25+[1]SME!$BB$25+[1]SME!$BC$25)/1000/N44</f>
        <v>-2.7048319486892933E-3</v>
      </c>
      <c r="O51" s="20">
        <f>-([1]SME!$Z$26+[1]SME!$AA$26+[1]SME!$BB$26+[1]SME!$BC$26)/1000/O44</f>
        <v>-4.8412851049616104E-3</v>
      </c>
      <c r="P51" s="20">
        <f>-([1]SME!$Z$27+[1]SME!$AA$27+[1]SME!$BB$27+[1]SME!$BC$27)/1000/P44</f>
        <v>-1.4171823875578514E-3</v>
      </c>
      <c r="Q51" s="7"/>
      <c r="R51" s="20">
        <f>-([1]MidCorp!$Z$25+[1]MidCorp!$AA$25+[1]MidCorp!$BB$25+[1]MidCorp!$BC$25)/1000/R44</f>
        <v>-3.9728331192063577E-3</v>
      </c>
      <c r="S51" s="20">
        <f>-([1]MidCorp!$Z$26+[1]MidCorp!$AA$26+[1]MidCorp!$BB$26+[1]MidCorp!$BC$26)/1000/S44</f>
        <v>-5.2091389045480392E-3</v>
      </c>
      <c r="T51" s="20">
        <f>-([1]MidCorp!$Z$27+[1]MidCorp!$AA$27+[1]MidCorp!$BB$27+[1]MidCorp!$BC$27)/1000/T44</f>
        <v>-1.5402301564971103E-3</v>
      </c>
      <c r="U51" s="7"/>
      <c r="V51" s="20">
        <f>-([1]MGA!$Z$25+[1]MGA!$AA$25+[1]MGA!$BB$25+[1]MGA!$BC$25)/1000/V44</f>
        <v>-6.7152539874566139E-3</v>
      </c>
      <c r="W51" s="20">
        <f>-([1]MGA!$Z$26+[1]MGA!$AA$26+[1]MGA!$BB$26+[1]MGA!$BC$26)/1000/W44</f>
        <v>-8.1649482847563661E-3</v>
      </c>
      <c r="X51" s="20">
        <f>-([1]MGA!$Z$27+[1]MGA!$AA$27+[1]MGA!$BB$27+[1]MGA!$BC$27)/1000/X44</f>
        <v>-2.6239368707895888E-3</v>
      </c>
      <c r="Y51" s="7"/>
      <c r="Z51" s="20">
        <f>-([1]Bancassurance!$Z$25+[1]Bancassurance!$AA$25+[1]Bancassurance!$BB$25+[1]Bancassurance!$BC$25)/1000/Z44</f>
        <v>0</v>
      </c>
      <c r="AA51" s="20" t="e">
        <f>-([1]Bancassurance!$Z$26+[1]Bancassurance!$AA$26+[1]Bancassurance!$BB$26+[1]Bancassurance!$BC$26)/1000/AA44</f>
        <v>#DIV/0!</v>
      </c>
      <c r="AB51" s="20" t="e">
        <f>-([1]Bancassurance!$Z$27+[1]Bancassurance!$AA$27+[1]Bancassurance!$BB$27+[1]Bancassurance!$BC$27)/1000/AB44</f>
        <v>#DIV/0!</v>
      </c>
      <c r="AC51" s="7"/>
      <c r="AD51" s="20">
        <f>-([1]Specials!$Z$25+[1]Specials!$AA$25+[1]Specials!$BB$25+[1]Specials!$BC$25)/1000/AD44</f>
        <v>0</v>
      </c>
      <c r="AE51" s="20">
        <f>-([1]Specials!$Z$26+[1]Specials!$AA$26+[1]Specials!$BB$26+[1]Specials!$BC$26)/1000/AE44</f>
        <v>0</v>
      </c>
      <c r="AF51" s="20" t="e">
        <f>-([1]Specials!$Z$27+[1]Specials!$AA$27+[1]Specials!$BB$27+[1]Specials!$BC$27)/1000/AF44</f>
        <v>#DIV/0!</v>
      </c>
      <c r="AG51" s="7"/>
      <c r="AH51" s="28">
        <f>-('[1]Total P&amp;C'!$Z$25+'[1]Total P&amp;C'!$AA$25+'[1]Total P&amp;C'!$BB$25+'[1]Total P&amp;C'!$BC$25)/1000/AH44</f>
        <v>-4.4346456138109848E-3</v>
      </c>
      <c r="AI51" s="28">
        <f>-('[1]Total P&amp;C'!$Z$26+'[1]Total P&amp;C'!$AA$26+'[1]Total P&amp;C'!$BB$26+'[1]Total P&amp;C'!$BC$26)/1000/AI44</f>
        <v>-5.8543198042492238E-3</v>
      </c>
      <c r="AJ51" s="28">
        <f>-('[1]Total P&amp;C'!$Z$27+'[1]Total P&amp;C'!$AA$27+'[1]Total P&amp;C'!$BB$27+'[1]Total P&amp;C'!$BC$27)/1000/AJ44</f>
        <v>-1.830856444529726E-3</v>
      </c>
      <c r="AL51" s="202"/>
      <c r="AM51" s="9"/>
      <c r="AN51" s="37" t="s">
        <v>27</v>
      </c>
      <c r="AT51" s="20">
        <f>-([2]Retail!$Z$25+[2]Retail!$AA$25+[2]Retail!$BB$25+[2]Retail!$BC$25)/1000/AT44</f>
        <v>-5.1893932945345517E-3</v>
      </c>
      <c r="AU51" s="20">
        <f>-([2]Retail!$Z$26+[2]Retail!$AA$26+[2]Retail!$BB$26+[2]Retail!$BC$26)/1000/AU44</f>
        <v>-7.4975116631144549E-3</v>
      </c>
      <c r="AV51" s="20">
        <f>-([2]Retail!$Z$27+[2]Retail!$AA$27+[2]Retail!$BB$27+[2]Retail!$BC$27)/1000/AV44</f>
        <v>-1.0560282713015299E-3</v>
      </c>
      <c r="AW51" s="7"/>
      <c r="AX51" s="20">
        <f>-([2]SME!$Z$25+[2]SME!$AA$25+[2]SME!$BB$25+[2]SME!$BC$25)/1000/AX44</f>
        <v>-7.3495595498543351E-3</v>
      </c>
      <c r="AY51" s="20">
        <f>-([2]SME!$Z$26+[2]SME!$AA$26+[2]SME!$BB$26+[2]SME!$BC$26)/1000/AY44</f>
        <v>-6.2239415169290232E-3</v>
      </c>
      <c r="AZ51" s="20">
        <f>-([2]SME!$Z$27+[2]SME!$AA$27+[2]SME!$BB$27+[2]SME!$BC$27)/1000/AZ44</f>
        <v>-9.4741491814389212E-4</v>
      </c>
      <c r="BA51" s="7"/>
      <c r="BB51" s="20">
        <f>-([2]MidCorp!$Z$25+[2]MidCorp!$AA$25+[2]MidCorp!$BB$25+[2]MidCorp!$BC$25)/1000/BB44</f>
        <v>-4.3389597699501513E-3</v>
      </c>
      <c r="BC51" s="20">
        <f>-([2]MidCorp!$Z$26+[2]MidCorp!$AA$26+[2]MidCorp!$BB$26+[2]MidCorp!$BC$26)/1000/BC44</f>
        <v>-6.7185345145355279E-3</v>
      </c>
      <c r="BD51" s="20">
        <f>-([2]MidCorp!$Z$27+[2]MidCorp!$AA$27+[2]MidCorp!$BB$27+[2]MidCorp!$BC$27)/1000/BD44</f>
        <v>-8.6554011070895929E-4</v>
      </c>
      <c r="BJ51" s="20" t="e">
        <f>-([2]Specials!$Z$25+[2]Specials!$AA$25+[2]Specials!$BB$25+[2]Specials!$BC$25)/1000/BJ44</f>
        <v>#DIV/0!</v>
      </c>
      <c r="BK51" s="20" t="e">
        <f>-([2]Specials!$Z$26+[2]Specials!$AA$26+[2]Specials!$BB$26+[2]Specials!$BC$26)/1000/BK44</f>
        <v>#DIV/0!</v>
      </c>
      <c r="BL51" s="20" t="e">
        <f>-([2]Specials!$Z$27+[2]Specials!$AA$27+[2]Specials!$BB$27+[2]Specials!$BC$27)/1000/BL44</f>
        <v>#DIV/0!</v>
      </c>
      <c r="BM51" s="7"/>
      <c r="BN51" s="28">
        <f>-('[2]Total P&amp;C'!$Z$25+'[2]Total P&amp;C'!$AA$25+'[2]Total P&amp;C'!$BB$25+'[2]Total P&amp;C'!$BC$25)/1000/BN44</f>
        <v>-5.3282224661866558E-3</v>
      </c>
      <c r="BO51" s="28">
        <f>-('[2]Total P&amp;C'!$Z$26+'[2]Total P&amp;C'!$AA$26+'[2]Total P&amp;C'!$BB$26+'[2]Total P&amp;C'!$BC$26)/1000/BO44</f>
        <v>-6.966640355348404E-3</v>
      </c>
      <c r="BP51" s="28">
        <f>-('[2]Total P&amp;C'!$Z$27+'[2]Total P&amp;C'!$AA$27+'[2]Total P&amp;C'!$BB$27+'[2]Total P&amp;C'!$BC$27)/1000/BP44</f>
        <v>-9.7136498778117267E-4</v>
      </c>
      <c r="BR51" s="28">
        <f>-('[3]Total P&amp;C'!$Z$25+'[3]Total P&amp;C'!$AA$25+'[3]Total P&amp;C'!$BB$25+'[3]Total P&amp;C'!$BC$25)/1000/BR44</f>
        <v>-4.59859424672239E-3</v>
      </c>
      <c r="BS51" s="28">
        <f>-('[3]Total P&amp;C'!$Z$26+'[3]Total P&amp;C'!$AA$26+'[3]Total P&amp;C'!$BB$26+'[3]Total P&amp;C'!$BC$26)/1000/BS44</f>
        <v>-6.0729598185156461E-3</v>
      </c>
      <c r="BT51" s="28">
        <f>-('[3]Total P&amp;C'!$Z$27+'[3]Total P&amp;C'!$AA$27+'[3]Total P&amp;C'!$BB$27+'[3]Total P&amp;C'!$BC$27)/1000/BT44</f>
        <v>-1.6752116696150316E-3</v>
      </c>
    </row>
    <row r="52" spans="2:72" ht="16.5" hidden="1" customHeight="1" outlineLevel="1" x14ac:dyDescent="0.25">
      <c r="B52" s="202"/>
      <c r="C52" s="9"/>
      <c r="D52" s="37" t="s">
        <v>28</v>
      </c>
      <c r="J52" s="20">
        <f>-SUM([1]Retail!$AC$25:$AI$25,[1]Retail!$BE$25:$BG$25)/1000/J44</f>
        <v>0.51205032423129249</v>
      </c>
      <c r="K52" s="20">
        <f>-SUM([1]Retail!$AC$26:$AI$26,[1]Retail!$BE$26:$BG$26)/1000/K44</f>
        <v>-3.6869801724504554E-2</v>
      </c>
      <c r="L52" s="20" t="e">
        <f>-SUM([1]Retail!$AC$27:$AI$27,[1]Retail!$BE$27:$BG$27)/1000/L44</f>
        <v>#DIV/0!</v>
      </c>
      <c r="M52" s="7"/>
      <c r="N52" s="20">
        <f>-SUM([1]SME!$AC$25:$AI$25,[1]SME!$BE$25:$BG$25)/1000/N44</f>
        <v>0.14471971438971704</v>
      </c>
      <c r="O52" s="20">
        <f>-SUM([1]SME!$AC$26:$AI$26,[1]SME!$BE$26:$BG$26)/1000/O44</f>
        <v>2.78872060192479E-2</v>
      </c>
      <c r="P52" s="20">
        <f>-SUM([1]SME!$AC$27:$AI$27,[1]SME!$BE$27:$BG$27)/1000/P44</f>
        <v>-2.97142558285727E-3</v>
      </c>
      <c r="Q52" s="7"/>
      <c r="R52" s="20">
        <f>-SUM([1]MidCorp!$AC$25:$AI$25,[1]MidCorp!$BE$25:$BG$25)/1000/R44</f>
        <v>0.11310328653970894</v>
      </c>
      <c r="S52" s="20">
        <f>-SUM([1]MidCorp!$AC$26:$AI$26,[1]MidCorp!$BE$26:$BG$26)/1000/S44</f>
        <v>-1.9485581482786212E-2</v>
      </c>
      <c r="T52" s="20">
        <f>-SUM([1]MidCorp!$AC$27:$AI$27,[1]MidCorp!$BE$27:$BG$27)/1000/T44</f>
        <v>-3.2364679240461853E-3</v>
      </c>
      <c r="U52" s="7"/>
      <c r="V52" s="20">
        <f>-SUM([1]MGA!$AC$25:$AI$25,[1]MGA!$BE$25:$BG$25)/1000/V44</f>
        <v>-0.24671051618433712</v>
      </c>
      <c r="W52" s="20">
        <f>-SUM([1]MGA!$AC$26:$AI$26,[1]MGA!$BE$26:$BG$26)/1000/W44</f>
        <v>-1.7509537547806649E-2</v>
      </c>
      <c r="X52" s="20">
        <f>-SUM([1]MGA!$AC$27:$AI$27,[1]MGA!$BE$27:$BG$27)/1000/X44</f>
        <v>-2.6930266647352458E-2</v>
      </c>
      <c r="Y52" s="7"/>
      <c r="Z52" s="20">
        <f>-SUM([1]Bancassurance!$AC$25:$AI$25,[1]Bancassurance!$BE$25:$BG$25)/1000/Z44</f>
        <v>0</v>
      </c>
      <c r="AA52" s="20" t="e">
        <f>-SUM([1]Bancassurance!$AC$26:$AI$26,[1]Bancassurance!$BE$26:$BG$26)/1000/AA44</f>
        <v>#DIV/0!</v>
      </c>
      <c r="AB52" s="20" t="e">
        <f>-SUM([1]Bancassurance!$AC$27:$AI$27,[1]Bancassurance!$BE$27:$BG$27)/1000/AB44</f>
        <v>#DIV/0!</v>
      </c>
      <c r="AC52" s="7"/>
      <c r="AD52" s="20">
        <f>-SUM([1]Specials!$AC$25:$AI$25,[1]Specials!$BE$25:$BG$25)/1000/AD44</f>
        <v>0</v>
      </c>
      <c r="AE52" s="20">
        <f>-SUM([1]Specials!$AC$26:$AI$26,[1]Specials!$BE$26:$BG$26)/1000/AE44</f>
        <v>0</v>
      </c>
      <c r="AF52" s="20" t="e">
        <f>-SUM([1]Specials!$AC$27:$AI$27,[1]Specials!$BE$27:$BG$27)/1000/AF44</f>
        <v>#DIV/0!</v>
      </c>
      <c r="AG52" s="7"/>
      <c r="AH52" s="28">
        <f>-SUM('[1]Total P&amp;C'!$AC$25:$AI$25,'[1]Total P&amp;C'!$BE$25:$BG$25)/1000/AH44</f>
        <v>3.0051723935797924E-2</v>
      </c>
      <c r="AI52" s="28">
        <f>-SUM('[1]Total P&amp;C'!$AC$26:$AI$26,'[1]Total P&amp;C'!$BE$26:$BG$26)/1000/AI44</f>
        <v>-1.0931339218236689E-2</v>
      </c>
      <c r="AJ52" s="28">
        <f>-SUM('[1]Total P&amp;C'!$AC$27:$AI$27,'[1]Total P&amp;C'!$BE$27:$BG$27)/1000/AJ44</f>
        <v>-9.9830611135310471E-3</v>
      </c>
      <c r="AL52" s="202"/>
      <c r="AM52" s="9"/>
      <c r="AN52" s="37" t="s">
        <v>28</v>
      </c>
      <c r="AT52" s="20">
        <f>-SUM([2]Retail!$AC$25:$AI$25,[2]Retail!$BE$25:$BG$25)/1000/AT44</f>
        <v>-6.831405138431583E-2</v>
      </c>
      <c r="AU52" s="20">
        <f>-SUM([2]Retail!$AC$26:$AI$26,[2]Retail!$BE$26:$BG$26)/1000/AU44</f>
        <v>-0.14268921931195797</v>
      </c>
      <c r="AV52" s="20">
        <f>-SUM([2]Retail!$AC$27:$AI$27,[2]Retail!$BE$27:$BG$27)/1000/AV44</f>
        <v>-4.0814162418545668E-3</v>
      </c>
      <c r="AW52" s="7"/>
      <c r="AX52" s="20">
        <f>-SUM([2]SME!$AC$25:$AI$25,[2]SME!$BE$25:$BG$25)/1000/AX44</f>
        <v>-3.7907513126593587E-2</v>
      </c>
      <c r="AY52" s="20">
        <f>-SUM([2]SME!$AC$26:$AI$26,[2]SME!$BE$26:$BG$26)/1000/AY44</f>
        <v>-0.16203163690709999</v>
      </c>
      <c r="AZ52" s="20">
        <f>-SUM([2]SME!$AC$27:$AI$27,[2]SME!$BE$27:$BG$27)/1000/AZ44</f>
        <v>-4.6425160711515111E-3</v>
      </c>
      <c r="BA52" s="7"/>
      <c r="BB52" s="20">
        <f>-SUM([2]MidCorp!$AC$25:$AI$25,[2]MidCorp!$BE$25:$BG$25)/1000/BB44</f>
        <v>-4.312860703282842E-2</v>
      </c>
      <c r="BC52" s="20">
        <f>-SUM([2]MidCorp!$AC$26:$AI$26,[2]MidCorp!$BE$26:$BG$26)/1000/BC44</f>
        <v>8.4905974416655317E-2</v>
      </c>
      <c r="BD52" s="20">
        <f>-SUM([2]MidCorp!$AC$27:$AI$27,[2]MidCorp!$BE$27:$BG$27)/1000/BD44</f>
        <v>-2.074653907473556E-3</v>
      </c>
      <c r="BJ52" s="20" t="e">
        <f>-SUM([2]Specials!$AC$25:$AI$25,[2]Specials!$BE$25:$BG$25)/1000/BJ44</f>
        <v>#DIV/0!</v>
      </c>
      <c r="BK52" s="20" t="e">
        <f>-SUM([2]Specials!$AC$26:$AI$26,[2]Specials!$BE$26:$BG$26)/1000/BK44</f>
        <v>#DIV/0!</v>
      </c>
      <c r="BL52" s="20" t="e">
        <f>-SUM([2]Specials!$AC$27:$AI$27,[2]Specials!$BE$27:$BG$27)/1000/BL44</f>
        <v>#DIV/0!</v>
      </c>
      <c r="BM52" s="7"/>
      <c r="BN52" s="28">
        <f>-SUM('[2]Total P&amp;C'!$AC$25:$AI$25,'[2]Total P&amp;C'!$BE$25:$BG$25)/1000/BN44</f>
        <v>-5.406491053919079E-2</v>
      </c>
      <c r="BO52" s="28">
        <f>-SUM('[2]Total P&amp;C'!$AC$26:$AI$26,'[2]Total P&amp;C'!$BE$26:$BG$26)/1000/BO44</f>
        <v>-6.0342126930027974E-2</v>
      </c>
      <c r="BP52" s="28">
        <f>-SUM('[2]Total P&amp;C'!$AC$27:$AI$27,'[2]Total P&amp;C'!$BE$27:$BG$27)/1000/BP44</f>
        <v>-3.5285584564645352E-3</v>
      </c>
      <c r="BR52" s="28">
        <f>-SUM('[3]Total P&amp;C'!$AC$25:$AI$25,'[3]Total P&amp;C'!$BE$25:$BG$25)/1000/BR44</f>
        <v>1.4618460204068212E-2</v>
      </c>
      <c r="BS52" s="28">
        <f>-SUM('[3]Total P&amp;C'!$AC$26:$AI$26,'[3]Total P&amp;C'!$BE$26:$BG$26)/1000/BS44</f>
        <v>-2.0643625231064094E-2</v>
      </c>
      <c r="BT52" s="28">
        <f>-SUM('[3]Total P&amp;C'!$AC$27:$AI$27,'[3]Total P&amp;C'!$BE$27:$BG$27)/1000/BT44</f>
        <v>-8.8142192299295041E-3</v>
      </c>
    </row>
    <row r="53" spans="2:72" ht="16.5" hidden="1" customHeight="1" outlineLevel="1" x14ac:dyDescent="0.25">
      <c r="B53" s="202"/>
      <c r="C53" s="9"/>
      <c r="D53" s="37" t="s">
        <v>29</v>
      </c>
      <c r="J53" s="20">
        <f>-SUM([1]Retail!$AJ$25:$AK$25,[1]Retail!$BH$25:$BI$25)/1000/J44</f>
        <v>-1.2331467187428604E-2</v>
      </c>
      <c r="K53" s="20">
        <f>-SUM([1]Retail!$AJ$26:$AK$26,[1]Retail!$BH$26:$BI$26)/1000/K44</f>
        <v>3.9570094653821876E-4</v>
      </c>
      <c r="L53" s="20" t="e">
        <f>-SUM([1]Retail!$AJ$27:$AK$27,[1]Retail!$BH$27:$BI$27)/1000/L44</f>
        <v>#DIV/0!</v>
      </c>
      <c r="M53" s="7"/>
      <c r="N53" s="20">
        <f>-SUM([1]SME!$AJ$25:$AK$25,[1]SME!$BH$25:$BI$25)/1000/N44</f>
        <v>-6.4868027061553476E-3</v>
      </c>
      <c r="O53" s="20">
        <f>-SUM([1]SME!$AJ$26:$AK$26,[1]SME!$BH$26:$BI$26)/1000/O44</f>
        <v>-9.326677445468263E-4</v>
      </c>
      <c r="P53" s="20">
        <f>-SUM([1]SME!$AJ$27:$AK$27,[1]SME!$BH$27:$BI$27)/1000/P44</f>
        <v>0</v>
      </c>
      <c r="Q53" s="7"/>
      <c r="R53" s="20">
        <f>-SUM([1]MidCorp!$AJ$25:$AK$25,[1]MidCorp!$BH$25:$BI$25)/1000/R44</f>
        <v>-4.6169775270190824E-3</v>
      </c>
      <c r="S53" s="20">
        <f>-SUM([1]MidCorp!$AJ$26:$AK$26,[1]MidCorp!$BH$26:$BI$26)/1000/S44</f>
        <v>1.0065433874294743E-3</v>
      </c>
      <c r="T53" s="20">
        <f>-SUM([1]MidCorp!$AJ$27:$AK$27,[1]MidCorp!$BH$27:$BI$27)/1000/T44</f>
        <v>0</v>
      </c>
      <c r="U53" s="7"/>
      <c r="V53" s="20">
        <f>-SUM([1]MGA!$AJ$25:$AK$25,[1]MGA!$BH$25:$BI$25)/1000/V44</f>
        <v>3.5779423796430065E-3</v>
      </c>
      <c r="W53" s="20">
        <f>-SUM([1]MGA!$AJ$26:$AK$26,[1]MGA!$BH$26:$BI$26)/1000/W44</f>
        <v>-5.7404521437935067E-3</v>
      </c>
      <c r="X53" s="20">
        <f>-SUM([1]MGA!$AJ$27:$AK$27,[1]MGA!$BH$27:$BI$27)/1000/X44</f>
        <v>0</v>
      </c>
      <c r="Y53" s="7"/>
      <c r="Z53" s="20">
        <f>-SUM([1]Bancassurance!$AJ$25:$AK$25,[1]Bancassurance!$BH$25:$BI$25)/1000/Z44</f>
        <v>0</v>
      </c>
      <c r="AA53" s="20" t="e">
        <f>-SUM([1]Bancassurance!$AJ$26:$AK$26,[1]Bancassurance!$BH$26:$BI$26)/1000/AA44</f>
        <v>#DIV/0!</v>
      </c>
      <c r="AB53" s="20" t="e">
        <f>-SUM([1]Bancassurance!$AJ$27:$AK$27,[1]Bancassurance!$BH$27:$BI$27)/1000/AB44</f>
        <v>#DIV/0!</v>
      </c>
      <c r="AC53" s="7"/>
      <c r="AD53" s="20">
        <f>-SUM([1]Specials!$AJ$25:$AK$25,[1]Specials!$BH$25:$BI$25)/1000/AD44</f>
        <v>0</v>
      </c>
      <c r="AE53" s="20">
        <f>-SUM([1]Specials!$AJ$26:$AK$26,[1]Specials!$BH$26:$BI$26)/1000/AE44</f>
        <v>0</v>
      </c>
      <c r="AF53" s="20" t="e">
        <f>-SUM([1]Specials!$AJ$27:$AK$27,[1]Specials!$BH$27:$BI$27)/1000/AF44</f>
        <v>#DIV/0!</v>
      </c>
      <c r="AG53" s="7"/>
      <c r="AH53" s="28">
        <f>-SUM('[1]Total P&amp;C'!$AJ$25:$AK$25,'[1]Total P&amp;C'!$BH$25:$BI$25)/1000/AH44</f>
        <v>-2.891232515382953E-3</v>
      </c>
      <c r="AI53" s="28">
        <f>-SUM('[1]Total P&amp;C'!$AJ$26:$AK$26,'[1]Total P&amp;C'!$BH$26:$BI$26)/1000/AI44</f>
        <v>-9.1193102322818884E-4</v>
      </c>
      <c r="AJ53" s="28">
        <f>-SUM('[1]Total P&amp;C'!$AJ$27:$AK$27,'[1]Total P&amp;C'!$BH$27:$BI$27)/1000/AJ44</f>
        <v>0</v>
      </c>
      <c r="AL53" s="202"/>
      <c r="AM53" s="9"/>
      <c r="AN53" s="37" t="s">
        <v>29</v>
      </c>
      <c r="AT53" s="20">
        <f>-SUM([2]Retail!$AJ$25:$AK$25,[2]Retail!$BH$25:$BI$25)/1000/AT44</f>
        <v>-1.4426820948655397E-3</v>
      </c>
      <c r="AU53" s="20">
        <f>-SUM([2]Retail!$AJ$26:$AK$26,[2]Retail!$BH$26:$BI$26)/1000/AU44</f>
        <v>6.0241275521992488E-3</v>
      </c>
      <c r="AV53" s="20">
        <f>-SUM([2]Retail!$AJ$27:$AK$27,[2]Retail!$BH$27:$BI$27)/1000/AV44</f>
        <v>0</v>
      </c>
      <c r="AW53" s="7"/>
      <c r="AX53" s="20">
        <f>-SUM([2]SME!$AJ$25:$AK$25,[2]SME!$BH$25:$BI$25)/1000/AX44</f>
        <v>-3.2453635063979533E-3</v>
      </c>
      <c r="AY53" s="20">
        <f>-SUM([2]SME!$AJ$26:$AK$26,[2]SME!$BH$26:$BI$26)/1000/AY44</f>
        <v>4.2857846681131897E-3</v>
      </c>
      <c r="AZ53" s="20">
        <f>-SUM([2]SME!$AJ$27:$AK$27,[2]SME!$BH$27:$BI$27)/1000/AZ44</f>
        <v>0</v>
      </c>
      <c r="BA53" s="7"/>
      <c r="BB53" s="20">
        <f>-SUM([2]MidCorp!$AJ$25:$AK$25,[2]MidCorp!$BH$25:$BI$25)/1000/BB44</f>
        <v>-2.8533143975060932E-3</v>
      </c>
      <c r="BC53" s="20">
        <f>-SUM([2]MidCorp!$AJ$26:$AK$26,[2]MidCorp!$BH$26:$BI$26)/1000/BC44</f>
        <v>6.5583356369126331E-3</v>
      </c>
      <c r="BD53" s="20">
        <f>-SUM([2]MidCorp!$AJ$27:$AK$27,[2]MidCorp!$BH$27:$BI$27)/1000/BD44</f>
        <v>0</v>
      </c>
      <c r="BJ53" s="20" t="e">
        <f>-SUM([2]Specials!$AJ$25:$AK$25,[2]Specials!$BH$25:$BI$25)/1000/BJ44</f>
        <v>#DIV/0!</v>
      </c>
      <c r="BK53" s="20" t="e">
        <f>-SUM([2]Specials!$AJ$26:$AK$26,[2]Specials!$BH$26:$BI$26)/1000/BK44</f>
        <v>#DIV/0!</v>
      </c>
      <c r="BL53" s="20" t="e">
        <f>-SUM([2]Specials!$AJ$27:$AK$27,[2]Specials!$BH$27:$BI$27)/1000/BL44</f>
        <v>#DIV/0!</v>
      </c>
      <c r="BM53" s="7"/>
      <c r="BN53" s="28">
        <f>-SUM('[2]Total P&amp;C'!$AJ$25:$AK$25,'[2]Total P&amp;C'!$BH$25:$BI$25)/1000/BN44</f>
        <v>-2.2601533232793547E-3</v>
      </c>
      <c r="BO53" s="28">
        <f>-SUM('[2]Total P&amp;C'!$AJ$26:$AK$26,'[2]Total P&amp;C'!$BH$26:$BI$26)/1000/BO44</f>
        <v>5.9027402611042416E-3</v>
      </c>
      <c r="BP53" s="28">
        <f>-SUM('[2]Total P&amp;C'!$AJ$27:$AK$27,'[2]Total P&amp;C'!$BH$27:$BI$27)/1000/BP44</f>
        <v>0</v>
      </c>
      <c r="BR53" s="28">
        <f>-SUM('[3]Total P&amp;C'!$AJ$25:$AK$25,'[3]Total P&amp;C'!$BH$25:$BI$25)/1000/BR44</f>
        <v>-2.7754455290379659E-3</v>
      </c>
      <c r="BS53" s="28">
        <f>-SUM('[3]Total P&amp;C'!$AJ$26:$AK$26,'[3]Total P&amp;C'!$BH$26:$BI$26)/1000/BS44</f>
        <v>4.2757477422834773E-4</v>
      </c>
      <c r="BT53" s="28">
        <f>-SUM('[3]Total P&amp;C'!$AJ$27:$AK$27,'[3]Total P&amp;C'!$BH$27:$BI$27)/1000/BT44</f>
        <v>0</v>
      </c>
    </row>
    <row r="54" spans="2:72" ht="16.5" hidden="1" customHeight="1" outlineLevel="1" x14ac:dyDescent="0.25">
      <c r="B54" s="202"/>
      <c r="C54" s="9"/>
      <c r="D54" s="37" t="s">
        <v>30</v>
      </c>
      <c r="J54" s="20">
        <f>+J55+J56+J57</f>
        <v>0.35639231591115139</v>
      </c>
      <c r="K54" s="20">
        <f>+K55+K56+K57</f>
        <v>0.6186494382050638</v>
      </c>
      <c r="L54" s="20" t="e">
        <f>+L55+L56+L57</f>
        <v>#DIV/0!</v>
      </c>
      <c r="M54" s="7"/>
      <c r="N54" s="20">
        <f>+N55+N56+N57</f>
        <v>0.27418022079445464</v>
      </c>
      <c r="O54" s="20">
        <f>+O55+O56+O57</f>
        <v>0.2755137985438722</v>
      </c>
      <c r="P54" s="20">
        <f>+P55+P56+P57</f>
        <v>0.27797925412085278</v>
      </c>
      <c r="Q54" s="7"/>
      <c r="R54" s="20">
        <f>+R55+R56+R57</f>
        <v>0.25986090394531558</v>
      </c>
      <c r="S54" s="20">
        <f>+S55+S56+S57</f>
        <v>0.25145687568933972</v>
      </c>
      <c r="T54" s="20">
        <f>+T55+T56+T57</f>
        <v>0.27450271508141577</v>
      </c>
      <c r="U54" s="7"/>
      <c r="V54" s="20">
        <f>+V55+V56+V57</f>
        <v>0.32496048467602084</v>
      </c>
      <c r="W54" s="20">
        <f>+W55+W56+W57</f>
        <v>0.318299041221488</v>
      </c>
      <c r="X54" s="20">
        <f>+X55+X56+X57</f>
        <v>0.31846299137435996</v>
      </c>
      <c r="Y54" s="7"/>
      <c r="Z54" s="20">
        <f>+Z55+Z56+Z57</f>
        <v>0.15005275263643733</v>
      </c>
      <c r="AA54" s="20" t="e">
        <f>+AA55+AA56+AA57</f>
        <v>#DIV/0!</v>
      </c>
      <c r="AB54" s="20" t="e">
        <f>+AB55+AB56+AB57</f>
        <v>#DIV/0!</v>
      </c>
      <c r="AC54" s="7"/>
      <c r="AD54" s="20">
        <f>+AD55+AD56+AD57</f>
        <v>0</v>
      </c>
      <c r="AE54" s="20">
        <f>+AE55+AE56+AE57</f>
        <v>0</v>
      </c>
      <c r="AF54" s="20" t="e">
        <f>+AF55+AF56+AF57</f>
        <v>#DIV/0!</v>
      </c>
      <c r="AG54" s="7"/>
      <c r="AH54" s="28">
        <f>+AH55+AH56+AH57</f>
        <v>0.27985697044931124</v>
      </c>
      <c r="AI54" s="28">
        <f>+AI55+AI56+AI57</f>
        <v>0.27731851098264204</v>
      </c>
      <c r="AJ54" s="28">
        <f>+AJ55+AJ56+AJ57</f>
        <v>0.2896371476688458</v>
      </c>
      <c r="AL54" s="202"/>
      <c r="AM54" s="9"/>
      <c r="AN54" s="37" t="s">
        <v>30</v>
      </c>
      <c r="AT54" s="20">
        <f>+AT55+AT56+AT57</f>
        <v>0.3644412388252104</v>
      </c>
      <c r="AU54" s="20">
        <f>+AU55+AU56+AU57</f>
        <v>0.34912554332439161</v>
      </c>
      <c r="AV54" s="20">
        <f>+AV55+AV56+AV57</f>
        <v>0.36105493422560142</v>
      </c>
      <c r="AW54" s="7"/>
      <c r="AX54" s="20">
        <f>+AX55+AX56+AX57</f>
        <v>0.38023327640694182</v>
      </c>
      <c r="AY54" s="20">
        <f>+AY55+AY56+AY57</f>
        <v>0.35387585721305848</v>
      </c>
      <c r="AZ54" s="20">
        <f>+AZ55+AZ56+AZ57</f>
        <v>0.37659246037439803</v>
      </c>
      <c r="BA54" s="7"/>
      <c r="BB54" s="20">
        <f>+BB55+BB56+BB57</f>
        <v>0.34524754805328295</v>
      </c>
      <c r="BC54" s="20">
        <f>+BC55+BC56+BC57</f>
        <v>0.29225653490432679</v>
      </c>
      <c r="BD54" s="20">
        <f>+BD55+BD56+BD57</f>
        <v>0.34336831383313132</v>
      </c>
      <c r="BJ54" s="20" t="e">
        <f>+BJ55+BJ56+BJ57</f>
        <v>#DIV/0!</v>
      </c>
      <c r="BK54" s="20" t="e">
        <f>+BK55+BK56+BK57</f>
        <v>#DIV/0!</v>
      </c>
      <c r="BL54" s="20" t="e">
        <f>+BL55+BL56+BL57</f>
        <v>#DIV/0!</v>
      </c>
      <c r="BM54" s="7"/>
      <c r="BN54" s="28">
        <f>+BN55+BN56+BN57</f>
        <v>0.36116221958327105</v>
      </c>
      <c r="BO54" s="28">
        <f>+BO55+BO56+BO57</f>
        <v>0.32853416610255759</v>
      </c>
      <c r="BP54" s="28">
        <f>+BP55+BP56+BP57</f>
        <v>0.35828829480139773</v>
      </c>
      <c r="BR54" s="28">
        <f>+BR55+BR56+BR57</f>
        <v>0.29477441645140373</v>
      </c>
      <c r="BS54" s="28">
        <f>+BS55+BS56+BS57</f>
        <v>0.28738556544371163</v>
      </c>
      <c r="BT54" s="28">
        <f>+BT55+BT56+BT57</f>
        <v>0.30206914133112572</v>
      </c>
    </row>
    <row r="55" spans="2:72" ht="16.5" hidden="1" customHeight="1" outlineLevel="1" x14ac:dyDescent="0.25">
      <c r="B55" s="202"/>
      <c r="C55" s="9"/>
      <c r="D55" s="39" t="s">
        <v>31</v>
      </c>
      <c r="J55" s="20">
        <f>-SUM([1]Retail!$AL$25:$AN$25,[1]Retail!$BJ$25)/1000/J44</f>
        <v>0.18216026403609978</v>
      </c>
      <c r="K55" s="42">
        <f>-SUM([1]Retail!$AL$26:$AN$26,[1]Retail!$BJ$26)/1000/K44</f>
        <v>0.18774309953749357</v>
      </c>
      <c r="L55" s="42" t="e">
        <f>-SUM([1]Retail!$AL$27:$AN$27,[1]Retail!$BJ$27)/1000/L44</f>
        <v>#DIV/0!</v>
      </c>
      <c r="M55" s="8"/>
      <c r="N55" s="20">
        <f>-SUM([1]SME!$AL$25:$AN$25,[1]SME!$BJ$25)/1000/N44</f>
        <v>0.16509465345988261</v>
      </c>
      <c r="O55" s="20">
        <f>-SUM([1]SME!$AL$26:$AN$26,[1]SME!$BJ$26)/1000/O44</f>
        <v>0.16327407506357064</v>
      </c>
      <c r="P55" s="20">
        <f>-SUM([1]SME!$AL$27:$AN$27,[1]SME!$BJ$27)/1000/P44</f>
        <v>0.16289830793659277</v>
      </c>
      <c r="Q55" s="8"/>
      <c r="R55" s="20">
        <f>-SUM([1]MidCorp!$AL$25:$AN$25,[1]MidCorp!$BJ$25)/1000/R44</f>
        <v>0.14389627751000003</v>
      </c>
      <c r="S55" s="20">
        <f>-SUM([1]MidCorp!$AL$26:$AN$26,[1]MidCorp!$BJ$26)/1000/S44</f>
        <v>0.13934411033615612</v>
      </c>
      <c r="T55" s="20">
        <f>-SUM([1]MidCorp!$AL$27:$AN$27,[1]MidCorp!$BJ$27)/1000/T44</f>
        <v>0.13982705613748125</v>
      </c>
      <c r="U55" s="8"/>
      <c r="V55" s="20">
        <f>-SUM([1]MGA!$AL$25:$AN$25,[1]MGA!$BJ$25)/1000/V44</f>
        <v>0.26105757957892373</v>
      </c>
      <c r="W55" s="20">
        <f>-SUM([1]MGA!$AL$26:$AN$26,[1]MGA!$BJ$26)/1000/W44</f>
        <v>0.26018557610975129</v>
      </c>
      <c r="X55" s="20">
        <f>-SUM([1]MGA!$AL$27:$AN$27,[1]MGA!$BJ$27)/1000/X44</f>
        <v>0.24733687341099961</v>
      </c>
      <c r="Y55" s="8"/>
      <c r="Z55" s="20">
        <f>-SUM([1]Bancassurance!$AL$25:$AN$25,[1]Bancassurance!$BJ$25)/1000/Z44</f>
        <v>0.15005275263643733</v>
      </c>
      <c r="AA55" s="20" t="e">
        <f>-SUM([1]Bancassurance!$AL$26:$AN$26,[1]Bancassurance!$BJ$26)/1000/AA44</f>
        <v>#DIV/0!</v>
      </c>
      <c r="AB55" s="20" t="e">
        <f>-SUM([1]Bancassurance!$AL$27:$AN$27,[1]Bancassurance!$BJ$27)/1000/AB44</f>
        <v>#DIV/0!</v>
      </c>
      <c r="AC55" s="8"/>
      <c r="AD55" s="20">
        <f>-SUM([1]Specials!$AL$25:$AN$25,[1]Specials!$BJ$25)/1000/AD44</f>
        <v>0</v>
      </c>
      <c r="AE55" s="20">
        <f>-SUM([1]Specials!$AL$26:$AN$26,[1]Specials!$BJ$26)/1000/AE44</f>
        <v>0</v>
      </c>
      <c r="AF55" s="20" t="e">
        <f>-SUM([1]Specials!$AL$27:$AN$27,[1]Specials!$BJ$27)/1000/AF44</f>
        <v>#DIV/0!</v>
      </c>
      <c r="AG55" s="8"/>
      <c r="AH55" s="28">
        <f>-SUM('[1]Total P&amp;C'!$AL$25:$AN$25,'[1]Total P&amp;C'!$BJ$25)/1000/AH44</f>
        <v>0.17783474158669582</v>
      </c>
      <c r="AI55" s="28">
        <f>-SUM('[1]Total P&amp;C'!$AL$26:$AN$26,'[1]Total P&amp;C'!$BJ$26)/1000/AI44</f>
        <v>0.17238085134225564</v>
      </c>
      <c r="AJ55" s="28">
        <f>-SUM('[1]Total P&amp;C'!$AL$27:$AN$27,'[1]Total P&amp;C'!$BJ$27)/1000/AJ44</f>
        <v>0.17436736179149695</v>
      </c>
      <c r="AL55" s="202"/>
      <c r="AM55" s="9"/>
      <c r="AN55" s="39" t="s">
        <v>31</v>
      </c>
      <c r="AT55" s="20">
        <f>-SUM([2]Retail!$AL$25:$AN$25,[2]Retail!$BJ$25)/1000/AT44</f>
        <v>0.17425211403090377</v>
      </c>
      <c r="AU55" s="42">
        <f>-SUM([2]Retail!$AL$26:$AN$26,[2]Retail!$BJ$26)/1000/AU44</f>
        <v>0.17390707189476556</v>
      </c>
      <c r="AV55" s="42">
        <f>-SUM([2]Retail!$AL$27:$AN$27,[2]Retail!$BJ$27)/1000/AV44</f>
        <v>0.17378520133444614</v>
      </c>
      <c r="AW55" s="8"/>
      <c r="AX55" s="20">
        <f>-SUM([2]SME!$AL$25:$AN$25,[2]SME!$BJ$25)/1000/AX44</f>
        <v>0.20384165161837869</v>
      </c>
      <c r="AY55" s="20">
        <f>-SUM([2]SME!$AL$26:$AN$26,[2]SME!$BJ$26)/1000/AY44</f>
        <v>0.20138376824037399</v>
      </c>
      <c r="AZ55" s="20">
        <f>-SUM([2]SME!$AL$27:$AN$27,[2]SME!$BJ$27)/1000/AZ44</f>
        <v>0.20591219166050323</v>
      </c>
      <c r="BA55" s="8"/>
      <c r="BB55" s="20">
        <f>-SUM([2]MidCorp!$AL$25:$AN$25,[2]MidCorp!$BJ$25)/1000/BB44</f>
        <v>0.15348332330852893</v>
      </c>
      <c r="BC55" s="20">
        <f>-SUM([2]MidCorp!$AL$26:$AN$26,[2]MidCorp!$BJ$26)/1000/BC44</f>
        <v>0.15380971534050919</v>
      </c>
      <c r="BD55" s="20">
        <f>-SUM([2]MidCorp!$AL$27:$AN$27,[2]MidCorp!$BJ$27)/1000/BD44</f>
        <v>0.15376930123348709</v>
      </c>
      <c r="BJ55" s="20" t="e">
        <f>-SUM([2]Specials!$AL$25:$AN$25,[2]Specials!$BJ$25)/1000/BJ44</f>
        <v>#DIV/0!</v>
      </c>
      <c r="BK55" s="20" t="e">
        <f>-SUM([2]Specials!$AL$26:$AN$26,[2]Specials!$BJ$26)/1000/BK44</f>
        <v>#DIV/0!</v>
      </c>
      <c r="BL55" s="20" t="e">
        <f>-SUM([2]Specials!$AL$27:$AN$27,[2]Specials!$BJ$27)/1000/BL44</f>
        <v>#DIV/0!</v>
      </c>
      <c r="BM55" s="8"/>
      <c r="BN55" s="28">
        <f>-SUM('[2]Total P&amp;C'!$AL$25:$AN$25,'[2]Total P&amp;C'!$BJ$25)/1000/BN44</f>
        <v>0.1731360532524201</v>
      </c>
      <c r="BO55" s="28">
        <f>-SUM('[2]Total P&amp;C'!$AL$26:$AN$26,'[2]Total P&amp;C'!$BJ$26)/1000/BO44</f>
        <v>0.1714252582499706</v>
      </c>
      <c r="BP55" s="28">
        <f>-SUM('[2]Total P&amp;C'!$AL$27:$AN$27,'[2]Total P&amp;C'!$BJ$27)/1000/BP44</f>
        <v>0.17354571758021542</v>
      </c>
      <c r="BR55" s="28">
        <f>-SUM('[3]Total P&amp;C'!$AL$25:$AN$25,'[3]Total P&amp;C'!$BJ$25)/1000/BR44</f>
        <v>0.17697265174312704</v>
      </c>
      <c r="BS55" s="28">
        <f>-SUM('[3]Total P&amp;C'!$AL$26:$AN$26,'[3]Total P&amp;C'!$BJ$26)/1000/BS44</f>
        <v>0.17219301799949879</v>
      </c>
      <c r="BT55" s="28">
        <f>-SUM('[3]Total P&amp;C'!$AL$27:$AN$27,'[3]Total P&amp;C'!$BJ$27)/1000/BT44</f>
        <v>0.17421857075079411</v>
      </c>
    </row>
    <row r="56" spans="2:72" ht="16.5" hidden="1" customHeight="1" outlineLevel="1" x14ac:dyDescent="0.25">
      <c r="B56" s="202"/>
      <c r="C56" s="9"/>
      <c r="D56" s="39" t="s">
        <v>32</v>
      </c>
      <c r="J56" s="20">
        <f>-SUM([1]Retail!$AO$25:$AP$25)/1000/J44</f>
        <v>6.8670417345812456E-3</v>
      </c>
      <c r="K56" s="42">
        <f>-SUM([1]Retail!$AO$26:$AP$26)/1000/K44</f>
        <v>7.8313405513531331E-2</v>
      </c>
      <c r="L56" s="42" t="e">
        <f>-SUM([1]Retail!$AO$27:$AP$27)/1000/L44</f>
        <v>#DIV/0!</v>
      </c>
      <c r="M56" s="8"/>
      <c r="N56" s="20">
        <f>-SUM([1]SME!$AO$25:$AP$25)/1000/N44</f>
        <v>4.4854180381626557E-2</v>
      </c>
      <c r="O56" s="20">
        <f>-SUM([1]SME!$AO$26:$AP$26)/1000/O44</f>
        <v>5.5399479474474607E-2</v>
      </c>
      <c r="P56" s="20">
        <f>-SUM([1]SME!$AO$27:$AP$27)/1000/P44</f>
        <v>4.2690349953363453E-2</v>
      </c>
      <c r="Q56" s="8"/>
      <c r="R56" s="20">
        <f>-SUM([1]MidCorp!$AO$25:$AP$25)/1000/R44</f>
        <v>2.5355932891460292E-2</v>
      </c>
      <c r="S56" s="20">
        <f>-SUM([1]MidCorp!$AO$26:$AP$26)/1000/S44</f>
        <v>3.2058122798448892E-2</v>
      </c>
      <c r="T56" s="20">
        <f>-SUM([1]MidCorp!$AO$27:$AP$27)/1000/T44</f>
        <v>2.6438577244162539E-2</v>
      </c>
      <c r="U56" s="8"/>
      <c r="V56" s="20">
        <f>-SUM([1]MGA!$AO$25:$AP$25)/1000/V44</f>
        <v>1.9683899627335352E-2</v>
      </c>
      <c r="W56" s="20">
        <f>-SUM([1]MGA!$AO$26:$AP$26)/1000/W44</f>
        <v>1.4761640721025546E-2</v>
      </c>
      <c r="X56" s="20">
        <f>-SUM([1]MGA!$AO$27:$AP$27)/1000/X44</f>
        <v>2.1581074452991875E-2</v>
      </c>
      <c r="Y56" s="8"/>
      <c r="Z56" s="20">
        <f>-SUM([1]Bancassurance!$AO$25:$AP$25)/1000/Z44</f>
        <v>0</v>
      </c>
      <c r="AA56" s="20" t="e">
        <f>-SUM([1]Bancassurance!$AO$26:$AP$26)/1000/AA44</f>
        <v>#DIV/0!</v>
      </c>
      <c r="AB56" s="20" t="e">
        <f>-SUM([1]Bancassurance!$AO$27:$AP$27)/1000/AB44</f>
        <v>#DIV/0!</v>
      </c>
      <c r="AC56" s="8"/>
      <c r="AD56" s="20">
        <f>-SUM([1]Specials!$AO$25:$AP$25)/1000/AD44</f>
        <v>0</v>
      </c>
      <c r="AE56" s="20">
        <f>-SUM([1]Specials!$AO$26:$AP$26)/1000/AE44</f>
        <v>0</v>
      </c>
      <c r="AF56" s="20" t="e">
        <f>-SUM([1]Specials!$AO$27:$AP$27)/1000/AF44</f>
        <v>#DIV/0!</v>
      </c>
      <c r="AG56" s="8"/>
      <c r="AH56" s="28">
        <f>-SUM('[1]Total P&amp;C'!$AO$25:$AP$25)/1000/AH44</f>
        <v>2.6772851203766556E-2</v>
      </c>
      <c r="AI56" s="28">
        <f>-SUM('[1]Total P&amp;C'!$AO$26:$AP$26)/1000/AI44</f>
        <v>3.313481124083998E-2</v>
      </c>
      <c r="AJ56" s="28">
        <f>-SUM('[1]Total P&amp;C'!$AO$27:$AP$27)/1000/AJ44</f>
        <v>2.7748081849506796E-2</v>
      </c>
      <c r="AL56" s="202"/>
      <c r="AM56" s="9"/>
      <c r="AN56" s="39" t="s">
        <v>32</v>
      </c>
      <c r="AT56" s="20">
        <f>-SUM([2]Retail!$AO$25:$AP$25)/1000/AT44</f>
        <v>0.10805367940238968</v>
      </c>
      <c r="AU56" s="42">
        <f>-SUM([2]Retail!$AO$26:$AP$26)/1000/AU44</f>
        <v>0.10203357423590334</v>
      </c>
      <c r="AV56" s="42">
        <f>-SUM([2]Retail!$AO$27:$AP$27)/1000/AV44</f>
        <v>0.10426664943578372</v>
      </c>
      <c r="AW56" s="8"/>
      <c r="AX56" s="20">
        <f>-SUM([2]SME!$AO$25:$AP$25)/1000/AX44</f>
        <v>8.3306491345521635E-2</v>
      </c>
      <c r="AY56" s="20">
        <f>-SUM([2]SME!$AO$26:$AP$26)/1000/AY44</f>
        <v>7.4971085115170019E-2</v>
      </c>
      <c r="AZ56" s="20">
        <f>-SUM([2]SME!$AO$27:$AP$27)/1000/AZ44</f>
        <v>6.9696513431500726E-2</v>
      </c>
      <c r="BA56" s="8"/>
      <c r="BB56" s="20">
        <f>-SUM([2]MidCorp!$AO$25:$AP$25)/1000/BB44</f>
        <v>8.2059969753432244E-2</v>
      </c>
      <c r="BC56" s="20">
        <f>-SUM([2]MidCorp!$AO$26:$AP$26)/1000/BC44</f>
        <v>5.488627550682796E-2</v>
      </c>
      <c r="BD56" s="20">
        <f>-SUM([2]MidCorp!$AO$27:$AP$27)/1000/BD44</f>
        <v>7.2739138164995304E-2</v>
      </c>
      <c r="BJ56" s="20" t="e">
        <f>-SUM([2]Specials!$AO$25:$AP$25)/1000/BJ44</f>
        <v>#DIV/0!</v>
      </c>
      <c r="BK56" s="20" t="e">
        <f>-SUM([2]Specials!$AO$26:$AP$26)/1000/BK44</f>
        <v>#DIV/0!</v>
      </c>
      <c r="BL56" s="20" t="e">
        <f>-SUM([2]Specials!$AO$27:$AP$27)/1000/BL44</f>
        <v>#DIV/0!</v>
      </c>
      <c r="BM56" s="8"/>
      <c r="BN56" s="28">
        <f>-SUM('[2]Total P&amp;C'!$AO$25:$AP$25)/1000/BN44</f>
        <v>9.4638050823244835E-2</v>
      </c>
      <c r="BO56" s="28">
        <f>-SUM('[2]Total P&amp;C'!$AO$26:$AP$26)/1000/BO44</f>
        <v>7.9200096292736458E-2</v>
      </c>
      <c r="BP56" s="28">
        <f>-SUM('[2]Total P&amp;C'!$AO$27:$AP$27)/1000/BP44</f>
        <v>8.6954925478799086E-2</v>
      </c>
      <c r="BR56" s="28">
        <f>-SUM('[3]Total P&amp;C'!$AO$25:$AP$25)/1000/BR44</f>
        <v>3.9224389837844015E-2</v>
      </c>
      <c r="BS56" s="28">
        <f>-SUM('[3]Total P&amp;C'!$AO$26:$AP$26)/1000/BS44</f>
        <v>4.2189498373052539E-2</v>
      </c>
      <c r="BT56" s="28">
        <f>-SUM('[3]Total P&amp;C'!$AO$27:$AP$27)/1000/BT44</f>
        <v>3.8469812446983449E-2</v>
      </c>
    </row>
    <row r="57" spans="2:72" ht="16.5" hidden="1" customHeight="1" outlineLevel="1" x14ac:dyDescent="0.25">
      <c r="B57" s="202"/>
      <c r="C57" s="9"/>
      <c r="D57" s="39" t="s">
        <v>33</v>
      </c>
      <c r="J57" s="20">
        <f>-SUM([1]Retail!$AQ$25:$AR$25)/1000/J44</f>
        <v>0.16736501014047039</v>
      </c>
      <c r="K57" s="42">
        <f>-SUM([1]Retail!$AQ$26:$AR$26)/1000/K44</f>
        <v>0.35259293315403895</v>
      </c>
      <c r="L57" s="42" t="e">
        <f>-SUM([1]Retail!$AQ$27:$AR$27)/1000/L44</f>
        <v>#DIV/0!</v>
      </c>
      <c r="M57" s="8"/>
      <c r="N57" s="20">
        <f>-SUM([1]SME!$AQ$25:$AR$25)/1000/N44</f>
        <v>6.423138695294546E-2</v>
      </c>
      <c r="O57" s="20">
        <f>-SUM([1]SME!$AQ$26:$AR$26)/1000/O44</f>
        <v>5.6840244005826976E-2</v>
      </c>
      <c r="P57" s="20">
        <f>-SUM([1]SME!$AQ$27:$AR$27)/1000/P44</f>
        <v>7.2390596230896581E-2</v>
      </c>
      <c r="Q57" s="8"/>
      <c r="R57" s="20">
        <f>-SUM([1]MidCorp!$AQ$25:$AR$25)/1000/R44</f>
        <v>9.0608693543855229E-2</v>
      </c>
      <c r="S57" s="20">
        <f>-SUM([1]MidCorp!$AQ$26:$AR$26)/1000/S44</f>
        <v>8.005464255473474E-2</v>
      </c>
      <c r="T57" s="20">
        <f>-SUM([1]MidCorp!$AQ$27:$AR$27)/1000/T44</f>
        <v>0.10823708169977196</v>
      </c>
      <c r="U57" s="8"/>
      <c r="V57" s="20">
        <f>-SUM([1]MGA!$AQ$25:$AR$25)/1000/V44</f>
        <v>4.4219005469761756E-2</v>
      </c>
      <c r="W57" s="20">
        <f>-SUM([1]MGA!$AQ$26:$AR$26)/1000/W44</f>
        <v>4.3351824390711162E-2</v>
      </c>
      <c r="X57" s="20">
        <f>-SUM([1]MGA!$AQ$27:$AR$27)/1000/X44</f>
        <v>4.9545043510368474E-2</v>
      </c>
      <c r="Y57" s="8"/>
      <c r="Z57" s="20">
        <f>-SUM([1]Bancassurance!$AQ$25:$AR$25)/1000/Z44</f>
        <v>0</v>
      </c>
      <c r="AA57" s="20" t="e">
        <f>-SUM([1]Bancassurance!$AQ$26:$AR$26)/1000/AA44</f>
        <v>#DIV/0!</v>
      </c>
      <c r="AB57" s="20" t="e">
        <f>-SUM([1]Bancassurance!$AQ$27:$AR$27)/1000/AB44</f>
        <v>#DIV/0!</v>
      </c>
      <c r="AC57" s="8"/>
      <c r="AD57" s="20">
        <f>-SUM([1]Specials!$AQ$25:$AR$25)/1000/AD44</f>
        <v>0</v>
      </c>
      <c r="AE57" s="20">
        <f>-SUM([1]Specials!$AQ$26:$AR$26)/1000/AE44</f>
        <v>0</v>
      </c>
      <c r="AF57" s="20" t="e">
        <f>-SUM([1]Specials!$AQ$27:$AR$27)/1000/AF44</f>
        <v>#DIV/0!</v>
      </c>
      <c r="AG57" s="8"/>
      <c r="AH57" s="28">
        <f>-SUM('[1]Total P&amp;C'!$AQ$25:$AR$25)/1000/AH44</f>
        <v>7.5249377658848857E-2</v>
      </c>
      <c r="AI57" s="28">
        <f>-SUM('[1]Total P&amp;C'!$AQ$26:$AR$26)/1000/AI44</f>
        <v>7.1802848399546398E-2</v>
      </c>
      <c r="AJ57" s="28">
        <f>-SUM('[1]Total P&amp;C'!$AQ$27:$AR$27)/1000/AJ44</f>
        <v>8.7521704027842054E-2</v>
      </c>
      <c r="AL57" s="202"/>
      <c r="AM57" s="9"/>
      <c r="AN57" s="39" t="s">
        <v>33</v>
      </c>
      <c r="AT57" s="20">
        <f>-SUM([2]Retail!$AQ$25:$AR$25)/1000/AT44</f>
        <v>8.2135445391916959E-2</v>
      </c>
      <c r="AU57" s="42">
        <f>-SUM([2]Retail!$AQ$26:$AR$26)/1000/AU44</f>
        <v>7.3184897193722703E-2</v>
      </c>
      <c r="AV57" s="42">
        <f>-SUM([2]Retail!$AQ$27:$AR$27)/1000/AV44</f>
        <v>8.3003083455371551E-2</v>
      </c>
      <c r="AW57" s="8"/>
      <c r="AX57" s="20">
        <f>-SUM([2]SME!$AQ$25:$AR$25)/1000/AX44</f>
        <v>9.3085133443041493E-2</v>
      </c>
      <c r="AY57" s="20">
        <f>-SUM([2]SME!$AQ$26:$AR$26)/1000/AY44</f>
        <v>7.7521003857514495E-2</v>
      </c>
      <c r="AZ57" s="20">
        <f>-SUM([2]SME!$AQ$27:$AR$27)/1000/AZ44</f>
        <v>0.10098375528239405</v>
      </c>
      <c r="BA57" s="8"/>
      <c r="BB57" s="20">
        <f>-SUM([2]MidCorp!$AQ$25:$AR$25)/1000/BB44</f>
        <v>0.10970425499132179</v>
      </c>
      <c r="BC57" s="20">
        <f>-SUM([2]MidCorp!$AQ$26:$AR$26)/1000/BC44</f>
        <v>8.3560544056989677E-2</v>
      </c>
      <c r="BD57" s="20">
        <f>-SUM([2]MidCorp!$AQ$27:$AR$27)/1000/BD44</f>
        <v>0.11685987443464892</v>
      </c>
      <c r="BJ57" s="20" t="e">
        <f>-SUM([2]Specials!$AQ$25:$AR$25)/1000/BJ44</f>
        <v>#DIV/0!</v>
      </c>
      <c r="BK57" s="20" t="e">
        <f>-SUM([2]Specials!$AQ$26:$AR$26)/1000/BK44</f>
        <v>#DIV/0!</v>
      </c>
      <c r="BL57" s="20" t="e">
        <f>-SUM([2]Specials!$AQ$27:$AR$27)/1000/BL44</f>
        <v>#DIV/0!</v>
      </c>
      <c r="BM57" s="8"/>
      <c r="BN57" s="28">
        <f>-SUM('[2]Total P&amp;C'!$AQ$25:$AR$25)/1000/BN44</f>
        <v>9.3388115507606118E-2</v>
      </c>
      <c r="BO57" s="28">
        <f>-SUM('[2]Total P&amp;C'!$AQ$26:$AR$26)/1000/BO44</f>
        <v>7.7908811559850494E-2</v>
      </c>
      <c r="BP57" s="28">
        <f>-SUM('[2]Total P&amp;C'!$AQ$27:$AR$27)/1000/BP44</f>
        <v>9.7787651742383255E-2</v>
      </c>
      <c r="BR57" s="28">
        <f>-SUM('[3]Total P&amp;C'!$AQ$25:$AR$25)/1000/BR44</f>
        <v>7.857737487043269E-2</v>
      </c>
      <c r="BS57" s="28">
        <f>-SUM('[3]Total P&amp;C'!$AQ$26:$AR$26)/1000/BS44</f>
        <v>7.3003049071160259E-2</v>
      </c>
      <c r="BT57" s="28">
        <f>-SUM('[3]Total P&amp;C'!$AQ$27:$AR$27)/1000/BT44</f>
        <v>8.9380758133348143E-2</v>
      </c>
    </row>
    <row r="58" spans="2:72" ht="16.5" hidden="1" customHeight="1" outlineLevel="1" x14ac:dyDescent="0.25">
      <c r="B58" s="202"/>
      <c r="C58" s="9"/>
      <c r="D58" s="37" t="s">
        <v>34</v>
      </c>
      <c r="J58" s="19">
        <f>+[1]Retail!$BK$25/1000</f>
        <v>2.4652750000000681E-2</v>
      </c>
      <c r="K58" s="19">
        <f>+[1]Retail!$BK$26/1000</f>
        <v>-0.26292924999999967</v>
      </c>
      <c r="L58" s="19">
        <f>+[1]Retail!$BK$27/1000</f>
        <v>-0.15019561920217392</v>
      </c>
      <c r="M58" s="6"/>
      <c r="N58" s="19">
        <f>+[1]SME!$BK$25/1000</f>
        <v>1.5023436299999973</v>
      </c>
      <c r="O58" s="19">
        <f>+[1]SME!$BK$26/1000</f>
        <v>2.0017062299999986</v>
      </c>
      <c r="P58" s="19">
        <f>+[1]SME!$BK$27/1000</f>
        <v>2.0209197203627545</v>
      </c>
      <c r="Q58" s="6"/>
      <c r="R58" s="19">
        <f>+[1]MidCorp!$BK$25/1000</f>
        <v>0.9531775799999932</v>
      </c>
      <c r="S58" s="19">
        <f>+[1]MidCorp!$BK$26/1000</f>
        <v>3.7341246199999989</v>
      </c>
      <c r="T58" s="19">
        <f>+[1]MidCorp!$BK$27/1000</f>
        <v>2.2203331053948649</v>
      </c>
      <c r="U58" s="6"/>
      <c r="V58" s="19">
        <f>+[1]MGA!$BK$25/1000</f>
        <v>3.8835971700000078</v>
      </c>
      <c r="W58" s="19">
        <f>+[1]MGA!$BK$26/1000</f>
        <v>0.82732590999999733</v>
      </c>
      <c r="X58" s="19">
        <f>+[1]MGA!$BK$27/1000</f>
        <v>1.7429643165747835</v>
      </c>
      <c r="Y58" s="6"/>
      <c r="Z58" s="19">
        <f>+[1]Bancassurance!$BK$25/1000</f>
        <v>3.7355530000000005E-2</v>
      </c>
      <c r="AA58" s="19">
        <f>+[1]Bancassurance!$BK$26/1000</f>
        <v>-1.2452340000000001E-2</v>
      </c>
      <c r="AB58" s="19">
        <f>+[1]Bancassurance!$BK$27/1000</f>
        <v>0</v>
      </c>
      <c r="AC58" s="6"/>
      <c r="AD58" s="19">
        <f>+[1]Specials!$BK$25/1000</f>
        <v>0.13687647</v>
      </c>
      <c r="AE58" s="19">
        <f>+[1]Specials!$BK$26/1000</f>
        <v>0.11896380999999999</v>
      </c>
      <c r="AF58" s="19">
        <f>+[1]Specials!$BK$27/1000</f>
        <v>0</v>
      </c>
      <c r="AG58" s="6"/>
      <c r="AH58" s="27">
        <f>+'[1]Total P&amp;C'!$BK$25/1000</f>
        <v>6.5380031300000008</v>
      </c>
      <c r="AI58" s="27">
        <f>+'[1]Total P&amp;C'!$BK$26/1000</f>
        <v>6.4067389799999939</v>
      </c>
      <c r="AJ58" s="27">
        <f>+'[1]Total P&amp;C'!$BK$27/1000</f>
        <v>5.8340215231302262</v>
      </c>
      <c r="AL58" s="202"/>
      <c r="AM58" s="9"/>
      <c r="AN58" s="37" t="s">
        <v>34</v>
      </c>
      <c r="AT58" s="19">
        <f>+[2]Retail!$BK$25/1000</f>
        <v>-0.26272266000000377</v>
      </c>
      <c r="AU58" s="19">
        <f>+[2]Retail!$BK$26/1000</f>
        <v>-0.47910034999999512</v>
      </c>
      <c r="AV58" s="19">
        <f>+[2]Retail!$BK$27/1000</f>
        <v>-0.6149474487672334</v>
      </c>
      <c r="AW58" s="6"/>
      <c r="AX58" s="19">
        <f>+[2]SME!$BK$25/1000</f>
        <v>-0.45702817000000168</v>
      </c>
      <c r="AY58" s="19">
        <f>+[2]SME!$BK$26/1000</f>
        <v>0.18321829000000203</v>
      </c>
      <c r="AZ58" s="19">
        <f>+[2]SME!$BK$27/1000</f>
        <v>-6.9487834188283498E-2</v>
      </c>
      <c r="BA58" s="6"/>
      <c r="BB58" s="19">
        <f>+[2]MidCorp!$BK$25/1000</f>
        <v>0.65710695999999624</v>
      </c>
      <c r="BC58" s="19">
        <f>+[2]MidCorp!$BK$26/1000</f>
        <v>-0.16329659000000135</v>
      </c>
      <c r="BD58" s="19">
        <f>+[2]MidCorp!$BK$27/1000</f>
        <v>-2.4519129910048889E-3</v>
      </c>
      <c r="BJ58" s="19">
        <f>+[2]Specials!$BK$25/1000</f>
        <v>0</v>
      </c>
      <c r="BK58" s="19">
        <f>+[2]Specials!$BK$26/1000</f>
        <v>0</v>
      </c>
      <c r="BL58" s="19">
        <f>+[2]Specials!$BK$27/1000</f>
        <v>0</v>
      </c>
      <c r="BM58" s="6"/>
      <c r="BN58" s="27">
        <f>+'[2]Total P&amp;C'!$BK$25/1000</f>
        <v>-6.2643870000008747E-2</v>
      </c>
      <c r="BO58" s="27">
        <f>+'[2]Total P&amp;C'!$BK$26/1000</f>
        <v>-0.45917864999999464</v>
      </c>
      <c r="BP58" s="27">
        <f>+'[2]Total P&amp;C'!$BK$27/1000</f>
        <v>-0.68688719594652137</v>
      </c>
      <c r="BR58" s="27">
        <f>+'[3]Total P&amp;C'!$BK$25/1000</f>
        <v>6.4753592599999825</v>
      </c>
      <c r="BS58" s="27">
        <f>+'[3]Total P&amp;C'!$BK$26/1000</f>
        <v>5.9475603300000142</v>
      </c>
      <c r="BT58" s="27">
        <f>+'[3]Total P&amp;C'!$BK$27/1000</f>
        <v>5.1471343271837036</v>
      </c>
    </row>
    <row r="59" spans="2:72" hidden="1" outlineLevel="1" x14ac:dyDescent="0.25">
      <c r="B59"/>
      <c r="C59"/>
      <c r="D59"/>
      <c r="J59" s="47"/>
      <c r="K59" s="47"/>
      <c r="L59" s="47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L59"/>
      <c r="AM59"/>
      <c r="AN59"/>
      <c r="AT59" s="47"/>
      <c r="AU59" s="47"/>
      <c r="AV59" s="47"/>
      <c r="AW59"/>
      <c r="AX59"/>
      <c r="AY59"/>
      <c r="AZ59"/>
      <c r="BA59"/>
      <c r="BB59"/>
      <c r="BC59"/>
      <c r="BD59"/>
      <c r="BJ59"/>
      <c r="BK59"/>
      <c r="BL59"/>
      <c r="BM59"/>
      <c r="BN59"/>
      <c r="BO59"/>
      <c r="BP59"/>
      <c r="BR59"/>
      <c r="BS59"/>
      <c r="BT59"/>
    </row>
    <row r="60" spans="2:72" ht="16.5" customHeight="1" collapsed="1" x14ac:dyDescent="0.25">
      <c r="B60" s="204" t="s">
        <v>37</v>
      </c>
      <c r="C60" s="9"/>
      <c r="D60" s="37" t="s">
        <v>19</v>
      </c>
      <c r="J60" s="19">
        <f>+[1]Retail!$C$33/1000+[1]Retail!$C$37/1000</f>
        <v>1.3005752200000005</v>
      </c>
      <c r="K60" s="19">
        <f>+[1]Retail!$C$34/1000+[1]Retail!$C$38/1000</f>
        <v>1.5206208199999982</v>
      </c>
      <c r="L60" s="19">
        <f>+[1]Retail!$C$35/1000+[1]Retail!$C$39/1000</f>
        <v>0</v>
      </c>
      <c r="M60" s="6"/>
      <c r="N60" s="19">
        <f>+[1]SME!$C$33/1000+[1]SME!$C$37/1000</f>
        <v>20.00917304</v>
      </c>
      <c r="O60" s="19">
        <f>+[1]SME!$C$34/1000+[1]SME!$C$38/1000</f>
        <v>20.04757893</v>
      </c>
      <c r="P60" s="19">
        <f>+[1]SME!$C$35/1000+[1]SME!$C$39/1000</f>
        <v>18.084009999999999</v>
      </c>
      <c r="Q60" s="6"/>
      <c r="R60" s="19">
        <f>+[1]MidCorp!$C$33/1000+[1]MidCorp!$C$37/1000</f>
        <v>104.34539023000001</v>
      </c>
      <c r="S60" s="19">
        <f>+[1]MidCorp!$C$34/1000+[1]MidCorp!$C$38/1000</f>
        <v>106.73345993000001</v>
      </c>
      <c r="T60" s="19">
        <f>+[1]MidCorp!$C$35/1000+[1]MidCorp!$C$39/1000</f>
        <v>108.02706000000001</v>
      </c>
      <c r="U60" s="6"/>
      <c r="V60" s="19">
        <f>+[1]MGA!$C$33/1000+[1]MGA!$C$37/1000</f>
        <v>3.5544187800000007</v>
      </c>
      <c r="W60" s="19">
        <f>+[1]MGA!$C$34/1000+[1]MGA!$C$38/1000</f>
        <v>3.1188244000000003</v>
      </c>
      <c r="X60" s="19">
        <f>+[1]MGA!$C$35/1000+[1]MGA!$C$39/1000</f>
        <v>6.5171899999999994</v>
      </c>
      <c r="Y60" s="6"/>
      <c r="Z60" s="19">
        <f>+[1]Bancassurance!$C$33/1000+[1]Bancassurance!$C$37/1000</f>
        <v>4.2017579999999992E-2</v>
      </c>
      <c r="AA60" s="19">
        <f>+[1]Bancassurance!$C$34/1000+[1]Bancassurance!$C$38/1000</f>
        <v>0</v>
      </c>
      <c r="AB60" s="19">
        <f>+[1]Bancassurance!$C$35/1000+[1]Bancassurance!$C$39/1000</f>
        <v>0.27317000000000002</v>
      </c>
      <c r="AC60" s="6"/>
      <c r="AD60" s="19">
        <f>+[1]Specials!$C$33/1000+[1]Specials!$C$37/1000</f>
        <v>1.0691300000000002E-3</v>
      </c>
      <c r="AE60" s="19">
        <f>+[1]Specials!$C$34/1000+[1]Specials!$C$38/1000</f>
        <v>-2.5830000000000002E-3</v>
      </c>
      <c r="AF60" s="19">
        <f>+[1]Specials!$C$35/1000+[1]Specials!$C$39/1000</f>
        <v>0</v>
      </c>
      <c r="AG60" s="6"/>
      <c r="AH60" s="27">
        <f>+'[1]Total P&amp;C'!$C$33/1000+'[1]Total P&amp;C'!$C$37/1000</f>
        <v>129.25264397999999</v>
      </c>
      <c r="AI60" s="27">
        <f>+'[1]Total P&amp;C'!$C$34/1000+'[1]Total P&amp;C'!$C$38/1000</f>
        <v>131.41790108000001</v>
      </c>
      <c r="AJ60" s="27">
        <f>+'[1]Total P&amp;C'!$C$35/1000+'[1]Total P&amp;C'!$C$39/1000</f>
        <v>132.90143</v>
      </c>
      <c r="AL60" s="204" t="s">
        <v>37</v>
      </c>
      <c r="AM60" s="9"/>
      <c r="AN60" s="37" t="s">
        <v>19</v>
      </c>
      <c r="AT60" s="19">
        <f>+[2]Retail!$C$33/1000+[2]Retail!$C$37/1000</f>
        <v>12.45951670999999</v>
      </c>
      <c r="AU60" s="19">
        <f>+[2]Retail!$C$34/1000+[2]Retail!$C$38/1000</f>
        <v>12.835577450000004</v>
      </c>
      <c r="AV60" s="19">
        <f>+[2]Retail!$C$35/1000+[2]Retail!$C$39/1000</f>
        <v>13.131483596439136</v>
      </c>
      <c r="AW60" s="6"/>
      <c r="AX60" s="19">
        <f>+[2]SME!$C$33/1000+[2]SME!$C$37/1000</f>
        <v>5.9680029899999969</v>
      </c>
      <c r="AY60" s="19">
        <f>+[2]SME!$C$34/1000+[2]SME!$C$38/1000</f>
        <v>6.1407779400000004</v>
      </c>
      <c r="AZ60" s="19">
        <f>+[2]SME!$C$35/1000+[2]SME!$C$39/1000</f>
        <v>6.2543068537446347</v>
      </c>
      <c r="BA60" s="6"/>
      <c r="BB60" s="19">
        <f>+[2]MidCorp!$C$33/1000+[2]MidCorp!$C$37/1000</f>
        <v>25.857972030000006</v>
      </c>
      <c r="BC60" s="19">
        <f>+[2]MidCorp!$C$34/1000+[2]MidCorp!$C$38/1000</f>
        <v>25.263487940000012</v>
      </c>
      <c r="BD60" s="19">
        <f>+[2]MidCorp!$C$35/1000+[2]MidCorp!$C$39/1000</f>
        <v>28.327356956824893</v>
      </c>
      <c r="BJ60" s="19">
        <f>+[2]Specials!$C$33/1000+[2]Specials!$C$37/1000</f>
        <v>0</v>
      </c>
      <c r="BK60" s="19">
        <f>+[2]Specials!$C$34/1000+[2]Specials!$C$38/1000</f>
        <v>0</v>
      </c>
      <c r="BL60" s="19">
        <f>+[2]Specials!$C$35/1000+[2]Specials!$C$39/1000</f>
        <v>0</v>
      </c>
      <c r="BM60" s="6"/>
      <c r="BN60" s="27">
        <f>+'[2]Total P&amp;C'!$C$33/1000+'[2]Total P&amp;C'!$C$37/1000</f>
        <v>44.285491729999997</v>
      </c>
      <c r="BO60" s="27">
        <f>+'[2]Total P&amp;C'!$C$34/1000+'[2]Total P&amp;C'!$C$38/1000</f>
        <v>44.239843330000021</v>
      </c>
      <c r="BP60" s="27">
        <f>+'[2]Total P&amp;C'!$C$35/1000+'[2]Total P&amp;C'!$C$39/1000</f>
        <v>47.713147407008655</v>
      </c>
      <c r="BR60" s="27">
        <f>+'[3]Total P&amp;C'!$C$33/1000+'[3]Total P&amp;C'!$C$37/1000</f>
        <v>173.53813571000001</v>
      </c>
      <c r="BS60" s="27">
        <f>+'[3]Total P&amp;C'!$C$34/1000+'[3]Total P&amp;C'!$C$38/1000</f>
        <v>175.65774441000002</v>
      </c>
      <c r="BT60" s="27">
        <f>+'[3]Total P&amp;C'!$C$35/1000+'[3]Total P&amp;C'!$C$39/1000</f>
        <v>180.61457740700868</v>
      </c>
    </row>
    <row r="61" spans="2:72" ht="16.5" customHeight="1" x14ac:dyDescent="0.25">
      <c r="B61" s="202"/>
      <c r="C61" s="9"/>
      <c r="D61" s="37" t="s">
        <v>20</v>
      </c>
      <c r="J61" s="19">
        <f>+[1]Retail!$N$33/1000+[1]Retail!$N$37/1000</f>
        <v>1.3175103099999981</v>
      </c>
      <c r="K61" s="19">
        <f>+[1]Retail!$N$34/1000+[1]Retail!$N$38/1000</f>
        <v>1.5505957199999973</v>
      </c>
      <c r="L61" s="19">
        <f>+[1]Retail!$N$35/1000+[1]Retail!$N$39/1000</f>
        <v>0</v>
      </c>
      <c r="M61" s="6"/>
      <c r="N61" s="19">
        <f>+[1]SME!$N$33/1000+[1]SME!$N$37/1000</f>
        <v>9.6528133799999996</v>
      </c>
      <c r="O61" s="19">
        <f>+[1]SME!$N$34/1000+[1]SME!$N$38/1000</f>
        <v>9.7543116899999962</v>
      </c>
      <c r="P61" s="19">
        <f>+[1]SME!$N$35/1000+[1]SME!$N$39/1000</f>
        <v>9.4373127224502795</v>
      </c>
      <c r="Q61" s="6"/>
      <c r="R61" s="19">
        <f>+[1]MidCorp!$N$33/1000+[1]MidCorp!$N$37/1000</f>
        <v>42.170181360000001</v>
      </c>
      <c r="S61" s="19">
        <f>+[1]MidCorp!$N$34/1000+[1]MidCorp!$N$38/1000</f>
        <v>41.458527979999992</v>
      </c>
      <c r="T61" s="19">
        <f>+[1]MidCorp!$N$35/1000+[1]MidCorp!$N$39/1000</f>
        <v>55.411310939651834</v>
      </c>
      <c r="U61" s="6"/>
      <c r="V61" s="19">
        <f>+[1]MGA!$N$33/1000+[1]MGA!$N$37/1000</f>
        <v>3.2371441099999996</v>
      </c>
      <c r="W61" s="19">
        <f>+[1]MGA!$N$34/1000+[1]MGA!$N$38/1000</f>
        <v>2.8898964099999995</v>
      </c>
      <c r="X61" s="19">
        <f>+[1]MGA!$N$35/1000+[1]MGA!$N$39/1000</f>
        <v>6.2240000000000002</v>
      </c>
      <c r="Y61" s="6"/>
      <c r="Z61" s="19">
        <f>+[1]Bancassurance!$N$33/1000+[1]Bancassurance!$N$37/1000</f>
        <v>2.6223940000000005E-2</v>
      </c>
      <c r="AA61" s="19">
        <f>+[1]Bancassurance!$N$34/1000+[1]Bancassurance!$N$38/1000</f>
        <v>0</v>
      </c>
      <c r="AB61" s="19">
        <f>+[1]Bancassurance!$N$35/1000+[1]Bancassurance!$N$39/1000</f>
        <v>0.30894008499504944</v>
      </c>
      <c r="AC61" s="6"/>
      <c r="AD61" s="19">
        <f>+[1]Specials!$N$33/1000+[1]Specials!$N$37/1000</f>
        <v>1.8228230000000002E-2</v>
      </c>
      <c r="AE61" s="19">
        <f>+[1]Specials!$N$34/1000+[1]Specials!$N$38/1000</f>
        <v>1.6274710000000005E-2</v>
      </c>
      <c r="AF61" s="19">
        <f>+[1]Specials!$N$35/1000+[1]Specials!$N$39/1000</f>
        <v>0</v>
      </c>
      <c r="AG61" s="6"/>
      <c r="AH61" s="27">
        <f>+'[1]Total P&amp;C'!$N$33/1000+'[1]Total P&amp;C'!$N$37/1000</f>
        <v>56.422101329999997</v>
      </c>
      <c r="AI61" s="27">
        <f>+'[1]Total P&amp;C'!$N$34/1000+'[1]Total P&amp;C'!$N$38/1000</f>
        <v>55.66960650999998</v>
      </c>
      <c r="AJ61" s="27">
        <f>+'[1]Total P&amp;C'!$N$35/1000+'[1]Total P&amp;C'!$N$39/1000</f>
        <v>71.381563747097161</v>
      </c>
      <c r="AL61" s="202"/>
      <c r="AM61" s="9"/>
      <c r="AN61" s="37" t="s">
        <v>20</v>
      </c>
      <c r="AT61" s="19">
        <f>+[2]Retail!$N$33/1000+[2]Retail!$N$37/1000</f>
        <v>12.519300509999995</v>
      </c>
      <c r="AU61" s="19">
        <f>+[2]Retail!$N$34/1000+[2]Retail!$N$38/1000</f>
        <v>12.809171130000003</v>
      </c>
      <c r="AV61" s="19">
        <f>+[2]Retail!$N$35/1000+[2]Retail!$N$39/1000</f>
        <v>13.142971363986241</v>
      </c>
      <c r="AW61" s="6"/>
      <c r="AX61" s="19">
        <f>+[2]SME!$N$33/1000+[2]SME!$N$37/1000</f>
        <v>4.0744000800000011</v>
      </c>
      <c r="AY61" s="19">
        <f>+[2]SME!$N$34/1000+[2]SME!$N$38/1000</f>
        <v>4.2556116399999953</v>
      </c>
      <c r="AZ61" s="19">
        <f>+[2]SME!$N$35/1000+[2]SME!$N$39/1000</f>
        <v>4.3161255611462801</v>
      </c>
      <c r="BA61" s="6"/>
      <c r="BB61" s="19">
        <f>+[2]MidCorp!$N$33/1000+[2]MidCorp!$N$37/1000</f>
        <v>15.069941669999999</v>
      </c>
      <c r="BC61" s="19">
        <f>+[2]MidCorp!$N$34/1000+[2]MidCorp!$N$38/1000</f>
        <v>14.54689539</v>
      </c>
      <c r="BD61" s="19">
        <f>+[2]MidCorp!$N$35/1000+[2]MidCorp!$N$39/1000</f>
        <v>17.992431898521083</v>
      </c>
      <c r="BJ61" s="19">
        <f>+[2]Specials!$N$33/1000+[2]Specials!$N$37/1000</f>
        <v>0</v>
      </c>
      <c r="BK61" s="19">
        <f>+[2]Specials!$N$34/1000+[2]Specials!$N$38/1000</f>
        <v>0</v>
      </c>
      <c r="BL61" s="19">
        <f>+[2]Specials!$N$35/1000+[2]Specials!$N$39/1000</f>
        <v>0</v>
      </c>
      <c r="BM61" s="6"/>
      <c r="BN61" s="27">
        <f>+'[2]Total P&amp;C'!$N$33/1000+'[2]Total P&amp;C'!$N$37/1000</f>
        <v>31.663642259999992</v>
      </c>
      <c r="BO61" s="27">
        <f>+'[2]Total P&amp;C'!$N$34/1000+'[2]Total P&amp;C'!$N$38/1000</f>
        <v>31.611678159999997</v>
      </c>
      <c r="BP61" s="27">
        <f>+'[2]Total P&amp;C'!$N$35/1000+'[2]Total P&amp;C'!$N$39/1000</f>
        <v>35.451528823653604</v>
      </c>
      <c r="BR61" s="27">
        <f>+'[3]Total P&amp;C'!$N$33/1000+'[3]Total P&amp;C'!$N$37/1000</f>
        <v>88.085743589999993</v>
      </c>
      <c r="BS61" s="27">
        <f>+'[3]Total P&amp;C'!$N$34/1000+'[3]Total P&amp;C'!$N$38/1000</f>
        <v>87.281284669999977</v>
      </c>
      <c r="BT61" s="27">
        <f>+'[3]Total P&amp;C'!$N$35/1000+'[3]Total P&amp;C'!$N$39/1000</f>
        <v>106.83309257075076</v>
      </c>
    </row>
    <row r="62" spans="2:72" ht="16.5" customHeight="1" x14ac:dyDescent="0.25">
      <c r="B62" s="202"/>
      <c r="C62" s="9"/>
      <c r="D62" s="37" t="s">
        <v>21</v>
      </c>
      <c r="J62" s="20">
        <f>+J63+J68+J69+J70+J71</f>
        <v>0.42429403076170435</v>
      </c>
      <c r="K62" s="20">
        <f>+K63+K68+K69+K70+K71</f>
        <v>1.0924877440007414</v>
      </c>
      <c r="L62" s="20" t="e">
        <f>+L63+L68+L69+L70+L71</f>
        <v>#DIV/0!</v>
      </c>
      <c r="M62" s="6"/>
      <c r="N62" s="20">
        <f>+N63+N68+N69+N70+N71</f>
        <v>1.0366788381855159</v>
      </c>
      <c r="O62" s="20">
        <f>+O63+O68+O69+O70+O71</f>
        <v>0.76977275369391074</v>
      </c>
      <c r="P62" s="20">
        <f>+P63+P68+P69+P70+P71</f>
        <v>0.96263033279017263</v>
      </c>
      <c r="Q62" s="6"/>
      <c r="R62" s="20">
        <f>+R63+R68+R69+R70+R71</f>
        <v>0.82238813947562317</v>
      </c>
      <c r="S62" s="20">
        <f>+S63+S68+S69+S70+S71</f>
        <v>0.89579869569696213</v>
      </c>
      <c r="T62" s="20">
        <f>+T63+T68+T69+T70+T71</f>
        <v>0.90116834094682163</v>
      </c>
      <c r="U62" s="6"/>
      <c r="V62" s="20">
        <f>+V63+V68+V69+V70+V71</f>
        <v>0.96460532923262454</v>
      </c>
      <c r="W62" s="20">
        <f>+W63+W68+W69+W70+W71</f>
        <v>1.1619464519145173</v>
      </c>
      <c r="X62" s="20">
        <f>+X63+X68+X69+X70+X71</f>
        <v>0.93077027240153165</v>
      </c>
      <c r="Y62" s="6"/>
      <c r="Z62" s="20">
        <f>+Z63+Z68+Z69+Z70+Z71</f>
        <v>24.298362869957753</v>
      </c>
      <c r="AA62" s="20" t="e">
        <f>+AA63+AA68+AA69+AA70+AA71</f>
        <v>#DIV/0!</v>
      </c>
      <c r="AB62" s="20">
        <f>+AB63+AB68+AB69+AB70+AB71</f>
        <v>1.6711654655329888</v>
      </c>
      <c r="AC62" s="6"/>
      <c r="AD62" s="20">
        <f>+AD63+AD68+AD69+AD70+AD71</f>
        <v>-0.16761089804111623</v>
      </c>
      <c r="AE62" s="20">
        <f>+AE63+AE68+AE69+AE70+AE71</f>
        <v>3.1609349721131776</v>
      </c>
      <c r="AF62" s="20" t="e">
        <f>+AF63+AF68+AF69+AF70+AF71</f>
        <v>#DIV/0!</v>
      </c>
      <c r="AG62" s="6"/>
      <c r="AH62" s="28">
        <f>+AH63+AH68+AH69+AH70+AH71</f>
        <v>0.86850445082492667</v>
      </c>
      <c r="AI62" s="28">
        <f>+AI63+AI68+AI69+AI70+AI71</f>
        <v>0.90781003366571178</v>
      </c>
      <c r="AJ62" s="28">
        <f>+AJ63+AJ68+AJ69+AJ70+AJ71</f>
        <v>0.91798082513992896</v>
      </c>
      <c r="AL62" s="202"/>
      <c r="AM62" s="9"/>
      <c r="AN62" s="37" t="s">
        <v>21</v>
      </c>
      <c r="AT62" s="20">
        <f>+AT63+AT68+AT69+AT70+AT71</f>
        <v>0.91666077835845561</v>
      </c>
      <c r="AU62" s="20">
        <f>+AU63+AU68+AU69+AU70+AU71</f>
        <v>0.87258372431472075</v>
      </c>
      <c r="AV62" s="20">
        <f>+AV63+AV68+AV69+AV70+AV71</f>
        <v>0.97414081115181106</v>
      </c>
      <c r="AW62" s="6"/>
      <c r="AX62" s="20">
        <f>+AX63+AX68+AX69+AX70+AX71</f>
        <v>1.0394291568932035</v>
      </c>
      <c r="AY62" s="20">
        <f>+AY63+AY68+AY69+AY70+AY71</f>
        <v>0.47538967160076634</v>
      </c>
      <c r="AZ62" s="20">
        <f>+AZ63+AZ68+AZ69+AZ70+AZ71</f>
        <v>1.1275743821260522</v>
      </c>
      <c r="BA62" s="6"/>
      <c r="BB62" s="20">
        <f>+BB63+BB68+BB69+BB70+BB71</f>
        <v>1.0273763594467851</v>
      </c>
      <c r="BC62" s="20">
        <f>+BC63+BC68+BC69+BC70+BC71</f>
        <v>1.074885118837718</v>
      </c>
      <c r="BD62" s="20">
        <f>+BD63+BD68+BD69+BD70+BD71</f>
        <v>0.98790851153603099</v>
      </c>
      <c r="BJ62" s="20" t="e">
        <f>+BJ63+BJ68+BJ69+BJ70+BJ71</f>
        <v>#DIV/0!</v>
      </c>
      <c r="BK62" s="20" t="e">
        <f>+BK63+BK68+BK69+BK70+BK71</f>
        <v>#DIV/0!</v>
      </c>
      <c r="BL62" s="20" t="e">
        <f>+BL63+BL68+BL69+BL70+BL71</f>
        <v>#DIV/0!</v>
      </c>
      <c r="BM62" s="6"/>
      <c r="BN62" s="28">
        <f>+BN63+BN68+BN69+BN70+BN71</f>
        <v>0.98515210422921229</v>
      </c>
      <c r="BO62" s="28">
        <f>+BO63+BO68+BO69+BO70+BO71</f>
        <v>0.91220685292463433</v>
      </c>
      <c r="BP62" s="28">
        <f>+BP63+BP68+BP69+BP70+BP71</f>
        <v>0.99980833521568346</v>
      </c>
      <c r="BR62" s="28">
        <f>+BR63+BR68+BR69+BR70+BR71</f>
        <v>0.91043506771400362</v>
      </c>
      <c r="BS62" s="28">
        <f>+BS63+BS68+BS69+BS70+BS71</f>
        <v>0.9094024808422887</v>
      </c>
      <c r="BT62" s="28">
        <f>+BT63+BT68+BT69+BT70+BT71</f>
        <v>0.94513449318615983</v>
      </c>
    </row>
    <row r="63" spans="2:72" ht="16.5" customHeight="1" x14ac:dyDescent="0.25">
      <c r="B63" s="202"/>
      <c r="C63" s="9"/>
      <c r="D63" s="37" t="s">
        <v>22</v>
      </c>
      <c r="J63" s="20">
        <f>+J64+J65+J66+J67</f>
        <v>8.6337677311991545E-2</v>
      </c>
      <c r="K63" s="20">
        <f>+K64+K65+K66+K67</f>
        <v>0.67322425602980751</v>
      </c>
      <c r="L63" s="20" t="e">
        <f>+L64+L65+L66+L67</f>
        <v>#DIV/0!</v>
      </c>
      <c r="M63" s="6"/>
      <c r="N63" s="20">
        <f>+N64+N65+N66+N67</f>
        <v>0.44309614841015393</v>
      </c>
      <c r="O63" s="20">
        <f>+O64+O65+O66+O67</f>
        <v>0.56122321738111303</v>
      </c>
      <c r="P63" s="20">
        <f>+P64+P65+P66+P67</f>
        <v>0.58128024472715745</v>
      </c>
      <c r="Q63" s="6"/>
      <c r="R63" s="20">
        <f>+R64+R65+R66+R67</f>
        <v>0.65289783520153222</v>
      </c>
      <c r="S63" s="20">
        <f>+S64+S65+S66+S67</f>
        <v>0.66687152069985289</v>
      </c>
      <c r="T63" s="20">
        <f>+T64+T65+T66+T67</f>
        <v>0.69101455305589143</v>
      </c>
      <c r="U63" s="6"/>
      <c r="V63" s="20">
        <f>+V64+V65+V66+V67</f>
        <v>0.85188280666318583</v>
      </c>
      <c r="W63" s="20">
        <f>+W64+W65+W66+W67</f>
        <v>0.59103757632613563</v>
      </c>
      <c r="X63" s="20">
        <f>+X64+X65+X66+X67</f>
        <v>0.5728544935889186</v>
      </c>
      <c r="Y63" s="6"/>
      <c r="Z63" s="20">
        <f>+Z64+Z65+Z66+Z67</f>
        <v>6.1024605760995483</v>
      </c>
      <c r="AA63" s="20" t="e">
        <f>+AA64+AA65+AA66+AA67</f>
        <v>#DIV/0!</v>
      </c>
      <c r="AB63" s="20">
        <f>+AB64+AB65+AB66+AB67</f>
        <v>0.43782377643486775</v>
      </c>
      <c r="AC63" s="6"/>
      <c r="AD63" s="20">
        <f>+AD64+AD65+AD66+AD67</f>
        <v>0.78309194035844398</v>
      </c>
      <c r="AE63" s="20">
        <f>+AE64+AE65+AE66+AE67</f>
        <v>0.76741582492099669</v>
      </c>
      <c r="AF63" s="20" t="e">
        <f>+AF64+AF65+AF66+AF67</f>
        <v>#DIV/0!</v>
      </c>
      <c r="AG63" s="6"/>
      <c r="AH63" s="28">
        <f>+AH64+AH65+AH66+AH67</f>
        <v>0.61776620966555562</v>
      </c>
      <c r="AI63" s="28">
        <f>+AI64+AI65+AI66+AI67</f>
        <v>0.6488009201845536</v>
      </c>
      <c r="AJ63" s="28">
        <f>+AJ64+AJ65+AJ66+AJ67</f>
        <v>0.66593555610240474</v>
      </c>
      <c r="AL63" s="202"/>
      <c r="AM63" s="9"/>
      <c r="AN63" s="37" t="s">
        <v>22</v>
      </c>
      <c r="AT63" s="20">
        <f>+AT64+AT65+AT66+AT67</f>
        <v>0.58823691500316921</v>
      </c>
      <c r="AU63" s="20">
        <f>+AU64+AU65+AU66+AU67</f>
        <v>0.65914510348180533</v>
      </c>
      <c r="AV63" s="20">
        <f>+AV64+AV65+AV66+AV67</f>
        <v>0.57847407723427446</v>
      </c>
      <c r="AW63" s="6"/>
      <c r="AX63" s="20">
        <f>+AX64+AX65+AX66+AX67</f>
        <v>0.57236270229014896</v>
      </c>
      <c r="AY63" s="20">
        <f>+AY64+AY65+AY66+AY67</f>
        <v>0.43105015804496727</v>
      </c>
      <c r="AZ63" s="20">
        <f>+AZ64+AZ65+AZ66+AZ67</f>
        <v>0.60635480534081143</v>
      </c>
      <c r="BA63" s="6"/>
      <c r="BB63" s="20">
        <f>+BB64+BB65+BB66+BB67</f>
        <v>0.48003671868226966</v>
      </c>
      <c r="BC63" s="20">
        <f>+BC64+BC65+BC66+BC67</f>
        <v>0.54164497019868951</v>
      </c>
      <c r="BD63" s="20">
        <f>+BD64+BD65+BD66+BD67</f>
        <v>0.60445469297148358</v>
      </c>
      <c r="BJ63" s="20" t="e">
        <f>+BJ64+BJ65+BJ66+BJ67</f>
        <v>#DIV/0!</v>
      </c>
      <c r="BK63" s="20" t="e">
        <f>+BK64+BK65+BK66+BK67</f>
        <v>#DIV/0!</v>
      </c>
      <c r="BL63" s="20" t="e">
        <f>+BL64+BL65+BL66+BL67</f>
        <v>#DIV/0!</v>
      </c>
      <c r="BM63" s="6"/>
      <c r="BN63" s="28">
        <f>+BN64+BN65+BN66+BN67</f>
        <v>0.53469763715047747</v>
      </c>
      <c r="BO63" s="28">
        <f>+BO64+BO65+BO66+BO67</f>
        <v>0.57436802716075763</v>
      </c>
      <c r="BP63" s="28">
        <f>+BP64+BP65+BP66+BP67</f>
        <v>0.59505421360868083</v>
      </c>
      <c r="BR63" s="28">
        <f>+BR64+BR65+BR66+BR67</f>
        <v>0.58790605913530669</v>
      </c>
      <c r="BS63" s="28">
        <f>+BS64+BS65+BS66+BS67</f>
        <v>0.62184269348472709</v>
      </c>
      <c r="BT63" s="28">
        <f>+BT64+BT65+BT66+BT67</f>
        <v>0.64241426793215584</v>
      </c>
    </row>
    <row r="64" spans="2:72" ht="16.5" customHeight="1" x14ac:dyDescent="0.25">
      <c r="B64" s="202"/>
      <c r="C64" s="9"/>
      <c r="D64" s="38" t="s">
        <v>23</v>
      </c>
      <c r="J64" s="20">
        <f>-SUM([1]Retail!$O$33,[1]Retail!$R$33:$V$33,[1]Retail!$Y$33,[1]Retail!$AB$33,[1]Retail!$AU$33,[1]Retail!$AX$33,[1]Retail!$BA$33,[1]Retail!$BD$33,[1]Retail!$O$37,[1]Retail!$R$37:$V$37,[1]Retail!$Y$37,[1]Retail!$AB$37,[1]Retail!$AU$37,[1]Retail!$AX$37,[1]Retail!$BA$37,[1]Retail!$BD$37)/1000/J61</f>
        <v>8.4619853942547257E-2</v>
      </c>
      <c r="K64" s="42">
        <f>-SUM([1]Retail!$O$34,[1]Retail!$R$34:$V$34,[1]Retail!$Y$34,[1]Retail!$AB$34,[1]Retail!$AU$34,[1]Retail!$AX$34,[1]Retail!$BA$34,[1]Retail!$BD$34,[1]Retail!$O$38,[1]Retail!$R$38:$V$38,[1]Retail!$Y$38,[1]Retail!$AB$38,[1]Retail!$AU$38,[1]Retail!$AX$38,[1]Retail!$BA$38,[1]Retail!$BD$38)/1000/K61</f>
        <v>0.38698735049172805</v>
      </c>
      <c r="L64" s="42" t="e">
        <f>-SUM([1]Retail!$O$35,[1]Retail!$R$35:$V$35,[1]Retail!$Y$35,[1]Retail!$AB$35,[1]Retail!$AU$35,[1]Retail!$AX$35,[1]Retail!$BA$35,[1]Retail!$BD$35,[1]Retail!$O$39,[1]Retail!$R$39:$V$39,[1]Retail!$Y$39,[1]Retail!$AB$39,[1]Retail!$AU$39,[1]Retail!$AX$39,[1]Retail!$BA$39,[1]Retail!$BD$39)/1000/L61</f>
        <v>#DIV/0!</v>
      </c>
      <c r="M64" s="6"/>
      <c r="N64" s="20">
        <f>-SUM([1]SME!$O$33,[1]SME!$R$33:$V$33,[1]SME!$Y$33,[1]SME!$AB$33,[1]SME!$AU$33,[1]SME!$AX$33,[1]SME!$BA$33,[1]SME!$BD$33,[1]SME!$O$37,[1]SME!$R$37:$V$37,[1]SME!$Y$37,[1]SME!$AB$37,[1]SME!$AU$37,[1]SME!$AX$37,[1]SME!$BA$37,[1]SME!$BD$37)/1000/N61</f>
        <v>0.30631328883102149</v>
      </c>
      <c r="O64" s="20">
        <f>-SUM([1]SME!$O$34,[1]SME!$R$34:$V$34,[1]SME!$Y$34,[1]SME!$AB$34,[1]SME!$AU$34,[1]SME!$AX$34,[1]SME!$BA$34,[1]SME!$BD$34,[1]SME!$O$38,[1]SME!$R$38:$V$38,[1]SME!$Y$38,[1]SME!$AB$38,[1]SME!$AU$38,[1]SME!$AX$38,[1]SME!$BA$38,[1]SME!$BD$38)/1000/O61</f>
        <v>0.28728672264814531</v>
      </c>
      <c r="P64" s="20">
        <f>-SUM([1]SME!$O$35,[1]SME!$R$35:$V$35,[1]SME!$Y$35,[1]SME!$AB$35,[1]SME!$AU$35,[1]SME!$AX$35,[1]SME!$BA$35,[1]SME!$BD$35,[1]SME!$O$39,[1]SME!$R$39:$V$39,[1]SME!$Y$39,[1]SME!$AB$39,[1]SME!$AU$39,[1]SME!$AX$39,[1]SME!$BA$39,[1]SME!$BD$39)/1000/P61</f>
        <v>0.27026150615818301</v>
      </c>
      <c r="Q64" s="6"/>
      <c r="R64" s="20">
        <f>-SUM([1]MidCorp!$O$33,[1]MidCorp!$R$33:$V$33,[1]MidCorp!$Y$33,[1]MidCorp!$AB$33,[1]MidCorp!$AU$33,[1]MidCorp!$AX$33,[1]MidCorp!$BA$33,[1]MidCorp!$BD$33,[1]MidCorp!$O$37,[1]MidCorp!$R$37:$V$37,[1]MidCorp!$Y$37,[1]MidCorp!$AB$37,[1]MidCorp!$AU$37,[1]MidCorp!$AX$37,[1]MidCorp!$BA$37,[1]MidCorp!$BD$37)/1000/R61</f>
        <v>0.28843353060786708</v>
      </c>
      <c r="S64" s="20">
        <f>-SUM([1]MidCorp!$O$34,[1]MidCorp!$R$34:$V$34,[1]MidCorp!$Y$34,[1]MidCorp!$AB$34,[1]MidCorp!$AU$34,[1]MidCorp!$AX$34,[1]MidCorp!$BA$34,[1]MidCorp!$BD$34,[1]MidCorp!$O$38,[1]MidCorp!$R$38:$V$38,[1]MidCorp!$Y$38,[1]MidCorp!$AB$38,[1]MidCorp!$AU$38,[1]MidCorp!$AX$38,[1]MidCorp!$BA$38,[1]MidCorp!$BD$38)/1000/S61</f>
        <v>0.32178496009117552</v>
      </c>
      <c r="T64" s="20">
        <f>-SUM([1]MidCorp!$O$35,[1]MidCorp!$R$35:$V$35,[1]MidCorp!$Y$35,[1]MidCorp!$AB$35,[1]MidCorp!$AU$35,[1]MidCorp!$AX$35,[1]MidCorp!$BA$35,[1]MidCorp!$BD$35,[1]MidCorp!$O$39,[1]MidCorp!$R$39:$V$39,[1]MidCorp!$Y$39,[1]MidCorp!$AB$39,[1]MidCorp!$AU$39,[1]MidCorp!$AX$39,[1]MidCorp!$BA$39,[1]MidCorp!$BD$39)/1000/T61</f>
        <v>0.30113888051280546</v>
      </c>
      <c r="U64" s="6"/>
      <c r="V64" s="20">
        <f>-SUM([1]MGA!$O$33,[1]MGA!$R$33:$V$33,[1]MGA!$Y$33,[1]MGA!$AB$33,[1]MGA!$AU$33,[1]MGA!$AX$33,[1]MGA!$BA$33,[1]MGA!$BD$33,[1]MGA!$O$37,[1]MGA!$R$37:$V$37,[1]MGA!$Y$37,[1]MGA!$AB$37,[1]MGA!$AU$37,[1]MGA!$AX$37,[1]MGA!$BA$37,[1]MGA!$BD$37)/1000/V61</f>
        <v>0.54587950571731425</v>
      </c>
      <c r="W64" s="20">
        <f>-SUM([1]MGA!$O$34,[1]MGA!$R$34:$V$34,[1]MGA!$Y$34,[1]MGA!$AB$34,[1]MGA!$AU$34,[1]MGA!$AX$34,[1]MGA!$BA$34,[1]MGA!$BD$34,[1]MGA!$O$38,[1]MGA!$R$38:$V$38,[1]MGA!$Y$38,[1]MGA!$AB$38,[1]MGA!$AU$38,[1]MGA!$AX$38,[1]MGA!$BA$38,[1]MGA!$BD$38)/1000/W61</f>
        <v>0.38516204835033674</v>
      </c>
      <c r="X64" s="20">
        <f>-SUM([1]MGA!$O$35,[1]MGA!$R$35:$V$35,[1]MGA!$Y$35,[1]MGA!$AB$35,[1]MGA!$AU$35,[1]MGA!$AX$35,[1]MGA!$BA$35,[1]MGA!$BD$35,[1]MGA!$O$39,[1]MGA!$R$39:$V$39,[1]MGA!$Y$39,[1]MGA!$AB$39,[1]MGA!$AU$39,[1]MGA!$AX$39,[1]MGA!$BA$39,[1]MGA!$BD$39)/1000/X61</f>
        <v>0.33847754777066436</v>
      </c>
      <c r="Y64" s="6"/>
      <c r="Z64" s="20">
        <f>-SUM([1]Bancassurance!$O$33,[1]Bancassurance!$R$33:$V$33,[1]Bancassurance!$Y$33,[1]Bancassurance!$AB$33,[1]Bancassurance!$AU$33,[1]Bancassurance!$AX$33,[1]Bancassurance!$BA$33,[1]Bancassurance!$BD$33,[1]Bancassurance!$O$37,[1]Bancassurance!$R$37:$V$37,[1]Bancassurance!$Y$37,[1]Bancassurance!$AB$37,[1]Bancassurance!$AU$37,[1]Bancassurance!$AX$37,[1]Bancassurance!$BA$37,[1]Bancassurance!$BD$37)/1000/Z61</f>
        <v>5.3121521785055945</v>
      </c>
      <c r="AA64" s="20" t="e">
        <f>-SUM([1]Bancassurance!$O$34,[1]Bancassurance!$R$34:$V$34,[1]Bancassurance!$Y$34,[1]Bancassurance!$AB$34,[1]Bancassurance!$AU$34,[1]Bancassurance!$AX$34,[1]Bancassurance!$BA$34,[1]Bancassurance!$BD$34,[1]Bancassurance!$O$38,[1]Bancassurance!$R$38:$V$38,[1]Bancassurance!$Y$38,[1]Bancassurance!$AB$38,[1]Bancassurance!$AU$38,[1]Bancassurance!$AX$38,[1]Bancassurance!$BA$38,[1]Bancassurance!$BD$38)/1000/AA61</f>
        <v>#DIV/0!</v>
      </c>
      <c r="AB64" s="20">
        <f>-SUM([1]Bancassurance!$O$35,[1]Bancassurance!$R$35:$V$35,[1]Bancassurance!$Y$35,[1]Bancassurance!$AB$35,[1]Bancassurance!$AU$35,[1]Bancassurance!$AX$35,[1]Bancassurance!$BA$35,[1]Bancassurance!$BD$35,[1]Bancassurance!$O$39,[1]Bancassurance!$R$39:$V$39,[1]Bancassurance!$Y$39,[1]Bancassurance!$AB$39,[1]Bancassurance!$AU$39,[1]Bancassurance!$AX$39,[1]Bancassurance!$BA$39,[1]Bancassurance!$BD$39)/1000/AB61</f>
        <v>0.13896769384533014</v>
      </c>
      <c r="AC64" s="6"/>
      <c r="AD64" s="20">
        <f>-SUM([1]Specials!$O$33,[1]Specials!$R$33:$V$33,[1]Specials!$Y$33,[1]Specials!$AB$33,[1]Specials!$AU$33,[1]Specials!$AX$33,[1]Specials!$BA$33,[1]Specials!$BD$33,[1]Specials!$O$37,[1]Specials!$R$37:$V$37,[1]Specials!$Y$37,[1]Specials!$AB$37,[1]Specials!$AU$37,[1]Specials!$AX$37,[1]Specials!$BA$37,[1]Specials!$BD$37)/1000/AD61</f>
        <v>5.5460678299538657E-2</v>
      </c>
      <c r="AE64" s="20">
        <f>-SUM([1]Specials!$O$34,[1]Specials!$R$34:$V$34,[1]Specials!$Y$34,[1]Specials!$AB$34,[1]Specials!$AU$34,[1]Specials!$AX$34,[1]Specials!$BA$34,[1]Specials!$BD$34,[1]Specials!$O$38,[1]Specials!$R$38:$V$38,[1]Specials!$Y$38,[1]Specials!$AB$38,[1]Specials!$AU$38,[1]Specials!$AX$38,[1]Specials!$BA$38,[1]Specials!$BD$38)/1000/AE61</f>
        <v>4.4731979863235643E-4</v>
      </c>
      <c r="AF64" s="20" t="e">
        <f>-SUM([1]Specials!$O$35,[1]Specials!$R$35:$V$35,[1]Specials!$Y$35,[1]Specials!$AB$35,[1]Specials!$AU$35,[1]Specials!$AX$35,[1]Specials!$BA$35,[1]Specials!$BD$35,[1]Specials!$O$39,[1]Specials!$R$39:$V$39,[1]Specials!$Y$39,[1]Specials!$AB$39,[1]Specials!$AU$39,[1]Specials!$AX$39,[1]Specials!$BA$39,[1]Specials!$BD$39)/1000/AF61</f>
        <v>#DIV/0!</v>
      </c>
      <c r="AG64" s="6"/>
      <c r="AH64" s="28">
        <f>-SUM('[1]Total P&amp;C'!$O$33,'[1]Total P&amp;C'!$R$33:$V$33,'[1]Total P&amp;C'!$Y$33,'[1]Total P&amp;C'!$AB$33,'[1]Total P&amp;C'!$AU$33,'[1]Total P&amp;C'!$AX$33,'[1]Total P&amp;C'!$BA$33,'[1]Total P&amp;C'!$BD$33,'[1]Total P&amp;C'!$O$37,'[1]Total P&amp;C'!$R$37:$V$37,'[1]Total P&amp;C'!$Y$37,'[1]Total P&amp;C'!$AB$37,'[1]Total P&amp;C'!$AU$37,'[1]Total P&amp;C'!$AX$37,'[1]Total P&amp;C'!$BA$37,'[1]Total P&amp;C'!$BD$37)/1000/AH61</f>
        <v>0.30376348224606736</v>
      </c>
      <c r="AI64" s="28">
        <f>-SUM('[1]Total P&amp;C'!$O$34,'[1]Total P&amp;C'!$R$34:$V$34,'[1]Total P&amp;C'!$Y$34,'[1]Total P&amp;C'!$AB$34,'[1]Total P&amp;C'!$AU$34,'[1]Total P&amp;C'!$AX$34,'[1]Total P&amp;C'!$BA$34,'[1]Total P&amp;C'!$BD$34,'[1]Total P&amp;C'!$O$38,'[1]Total P&amp;C'!$R$38:$V$38,'[1]Total P&amp;C'!$Y$38,'[1]Total P&amp;C'!$AB$38,'[1]Total P&amp;C'!$AU$38,'[1]Total P&amp;C'!$AX$38,'[1]Total P&amp;C'!$BA$38,'[1]Total P&amp;C'!$BD$38)/1000/AI61</f>
        <v>0.32475320775811023</v>
      </c>
      <c r="AJ64" s="28">
        <f>-SUM('[1]Total P&amp;C'!$O$35,'[1]Total P&amp;C'!$R$35:$V$35,'[1]Total P&amp;C'!$Y$35,'[1]Total P&amp;C'!$AB$35,'[1]Total P&amp;C'!$AU$35,'[1]Total P&amp;C'!$AX$35,'[1]Total P&amp;C'!$BA$35,'[1]Total P&amp;C'!$BD$35,'[1]Total P&amp;C'!$O$39,'[1]Total P&amp;C'!$R$39:$V$39,'[1]Total P&amp;C'!$Y$39,'[1]Total P&amp;C'!$AB$39,'[1]Total P&amp;C'!$AU$39,'[1]Total P&amp;C'!$AX$39,'[1]Total P&amp;C'!$BA$39,'[1]Total P&amp;C'!$BD$39)/1000/AJ61</f>
        <v>0.30043790401575476</v>
      </c>
      <c r="AL64" s="202"/>
      <c r="AM64" s="9"/>
      <c r="AN64" s="38" t="s">
        <v>23</v>
      </c>
      <c r="AT64" s="20">
        <f>-SUM([2]Retail!$O$33,[2]Retail!$R$33:$V$33,[2]Retail!$Y$33,[2]Retail!$AB$33,[2]Retail!$AU$33,[2]Retail!$AX$33,[2]Retail!$BA$33,[2]Retail!$BD$33,[2]Retail!$O$37,[2]Retail!$R$37:$V$37,[2]Retail!$Y$37,[2]Retail!$AB$37,[2]Retail!$AU$37,[2]Retail!$AX$37,[2]Retail!$BA$37,[2]Retail!$BD$37)/1000/AT61</f>
        <v>0.45233935079988169</v>
      </c>
      <c r="AU64" s="42">
        <f>-SUM([2]Retail!$O$34,[2]Retail!$R$34:$V$34,[2]Retail!$Y$34,[2]Retail!$AB$34,[2]Retail!$AU$34,[2]Retail!$AX$34,[2]Retail!$BA$34,[2]Retail!$BD$34,[2]Retail!$O$38,[2]Retail!$R$38:$V$38,[2]Retail!$Y$38,[2]Retail!$AB$38,[2]Retail!$AU$38,[2]Retail!$AX$38,[2]Retail!$BA$38,[2]Retail!$BD$38)/1000/AU61</f>
        <v>0.51725815923266527</v>
      </c>
      <c r="AV64" s="42">
        <f>-SUM([2]Retail!$O$35,[2]Retail!$R$35:$V$35,[2]Retail!$Y$35,[2]Retail!$AB$35,[2]Retail!$AU$35,[2]Retail!$AX$35,[2]Retail!$BA$35,[2]Retail!$BD$35,[2]Retail!$O$39,[2]Retail!$R$39:$V$39,[2]Retail!$Y$39,[2]Retail!$AB$39,[2]Retail!$AU$39,[2]Retail!$AX$39,[2]Retail!$BA$39,[2]Retail!$BD$39)/1000/AV61</f>
        <v>0.36284434940746585</v>
      </c>
      <c r="AW64" s="6"/>
      <c r="AX64" s="20">
        <f>-SUM([2]SME!$O$33,[2]SME!$R$33:$V$33,[2]SME!$Y$33,[2]SME!$AB$33,[2]SME!$AU$33,[2]SME!$AX$33,[2]SME!$BA$33,[2]SME!$BD$33,[2]SME!$O$37,[2]SME!$R$37:$V$37,[2]SME!$Y$37,[2]SME!$AB$37,[2]SME!$AU$37,[2]SME!$AX$37,[2]SME!$BA$37,[2]SME!$BD$37)/1000/AX61</f>
        <v>0.30858229256559389</v>
      </c>
      <c r="AY64" s="20">
        <f>-SUM([2]SME!$O$34,[2]SME!$R$34:$V$34,[2]SME!$Y$34,[2]SME!$AB$34,[2]SME!$AU$34,[2]SME!$AX$34,[2]SME!$BA$34,[2]SME!$BD$34,[2]SME!$O$38,[2]SME!$R$38:$V$38,[2]SME!$Y$38,[2]SME!$AB$38,[2]SME!$AU$38,[2]SME!$AX$38,[2]SME!$BA$38,[2]SME!$BD$38)/1000/AY61</f>
        <v>0.30081171598637735</v>
      </c>
      <c r="AZ64" s="20">
        <f>-SUM([2]SME!$O$35,[2]SME!$R$35:$V$35,[2]SME!$Y$35,[2]SME!$AB$35,[2]SME!$AU$35,[2]SME!$AX$35,[2]SME!$BA$35,[2]SME!$BD$35,[2]SME!$O$39,[2]SME!$R$39:$V$39,[2]SME!$Y$39,[2]SME!$AB$39,[2]SME!$AU$39,[2]SME!$AX$39,[2]SME!$BA$39,[2]SME!$BD$39)/1000/AZ61</f>
        <v>0.32227932661483821</v>
      </c>
      <c r="BA64" s="6"/>
      <c r="BB64" s="20">
        <f>-SUM([2]MidCorp!$O$33,[2]MidCorp!$R$33:$V$33,[2]MidCorp!$Y$33,[2]MidCorp!$AB$33,[2]MidCorp!$AU$33,[2]MidCorp!$AX$33,[2]MidCorp!$BA$33,[2]MidCorp!$BD$33,[2]MidCorp!$O$37,[2]MidCorp!$R$37:$V$37,[2]MidCorp!$Y$37,[2]MidCorp!$AB$37,[2]MidCorp!$AU$37,[2]MidCorp!$AX$37,[2]MidCorp!$BA$37,[2]MidCorp!$BD$37)/1000/BB61</f>
        <v>0.23130088366630716</v>
      </c>
      <c r="BC64" s="20">
        <f>-SUM([2]MidCorp!$O$34,[2]MidCorp!$R$34:$V$34,[2]MidCorp!$Y$34,[2]MidCorp!$AB$34,[2]MidCorp!$AU$34,[2]MidCorp!$AX$34,[2]MidCorp!$BA$34,[2]MidCorp!$BD$34,[2]MidCorp!$O$38,[2]MidCorp!$R$38:$V$38,[2]MidCorp!$Y$38,[2]MidCorp!$AB$38,[2]MidCorp!$AU$38,[2]MidCorp!$AX$38,[2]MidCorp!$BA$38,[2]MidCorp!$BD$38)/1000/BC61</f>
        <v>0.35055754876092499</v>
      </c>
      <c r="BD64" s="20">
        <f>-SUM([2]MidCorp!$O$35,[2]MidCorp!$R$35:$V$35,[2]MidCorp!$Y$35,[2]MidCorp!$AB$35,[2]MidCorp!$AU$35,[2]MidCorp!$AX$35,[2]MidCorp!$BA$35,[2]MidCorp!$BD$35,[2]MidCorp!$O$39,[2]MidCorp!$R$39:$V$39,[2]MidCorp!$Y$39,[2]MidCorp!$AB$39,[2]MidCorp!$AU$39,[2]MidCorp!$AX$39,[2]MidCorp!$BA$39,[2]MidCorp!$BD$39)/1000/BD61</f>
        <v>0.32835875013854476</v>
      </c>
      <c r="BJ64" s="20" t="e">
        <f>-SUM([2]Specials!$O$33,[2]Specials!$R$33:$V$33,[2]Specials!$Y$33,[2]Specials!$AB$33,[2]Specials!$AU$33,[2]Specials!$AX$33,[2]Specials!$BA$33,[2]Specials!$BD$33,[2]Specials!$O$37,[2]Specials!$R$37:$V$37,[2]Specials!$Y$37,[2]Specials!$AB$37,[2]Specials!$AU$37,[2]Specials!$AX$37,[2]Specials!$BA$37,[2]Specials!$BD$37)/1000/BJ61</f>
        <v>#DIV/0!</v>
      </c>
      <c r="BK64" s="20" t="e">
        <f>-SUM([2]Specials!$O$34,[2]Specials!$R$34:$V$34,[2]Specials!$Y$34,[2]Specials!$AB$34,[2]Specials!$AU$34,[2]Specials!$AX$34,[2]Specials!$BA$34,[2]Specials!$BD$34,[2]Specials!$O$38,[2]Specials!$R$38:$V$38,[2]Specials!$Y$38,[2]Specials!$AB$38,[2]Specials!$AU$38,[2]Specials!$AX$38,[2]Specials!$BA$38,[2]Specials!$BD$38)/1000/BK61</f>
        <v>#DIV/0!</v>
      </c>
      <c r="BL64" s="20" t="e">
        <f>-SUM([2]Specials!$O$35,[2]Specials!$R$35:$V$35,[2]Specials!$Y$35,[2]Specials!$AB$35,[2]Specials!$AU$35,[2]Specials!$AX$35,[2]Specials!$BA$35,[2]Specials!$BD$35,[2]Specials!$O$39,[2]Specials!$R$39:$V$39,[2]Specials!$Y$39,[2]Specials!$AB$39,[2]Specials!$AU$39,[2]Specials!$AX$39,[2]Specials!$BA$39,[2]Specials!$BD$39)/1000/BL61</f>
        <v>#DIV/0!</v>
      </c>
      <c r="BM64" s="6"/>
      <c r="BN64" s="28">
        <f>-SUM('[2]Total P&amp;C'!$O$33,'[2]Total P&amp;C'!$R$33:$V$33,'[2]Total P&amp;C'!$Y$33,'[2]Total P&amp;C'!$AB$33,'[2]Total P&amp;C'!$AU$33,'[2]Total P&amp;C'!$AX$33,'[2]Total P&amp;C'!$BA$33,'[2]Total P&amp;C'!$BD$33,'[2]Total P&amp;C'!$O$37,'[2]Total P&amp;C'!$R$37:$V$37,'[2]Total P&amp;C'!$Y$37,'[2]Total P&amp;C'!$AB$37,'[2]Total P&amp;C'!$AU$37,'[2]Total P&amp;C'!$AX$37,'[2]Total P&amp;C'!$BA$37,'[2]Total P&amp;C'!$BD$37)/1000/BN61</f>
        <v>0.32864036052144846</v>
      </c>
      <c r="BO64" s="28">
        <f>-SUM('[2]Total P&amp;C'!$O$34,'[2]Total P&amp;C'!$R$34:$V$34,'[2]Total P&amp;C'!$Y$34,'[2]Total P&amp;C'!$AB$34,'[2]Total P&amp;C'!$AU$34,'[2]Total P&amp;C'!$AX$34,'[2]Total P&amp;C'!$BA$34,'[2]Total P&amp;C'!$BD$34,'[2]Total P&amp;C'!$O$38,'[2]Total P&amp;C'!$R$38:$V$38,'[2]Total P&amp;C'!$Y$38,'[2]Total P&amp;C'!$AB$38,'[2]Total P&amp;C'!$AU$38,'[2]Total P&amp;C'!$AX$38,'[2]Total P&amp;C'!$BA$38,'[2]Total P&amp;C'!$BD$38)/1000/BO61</f>
        <v>0.41140840559538328</v>
      </c>
      <c r="BP64" s="28">
        <f>-SUM('[2]Total P&amp;C'!$O$35,'[2]Total P&amp;C'!$R$35:$V$35,'[2]Total P&amp;C'!$Y$35,'[2]Total P&amp;C'!$AB$35,'[2]Total P&amp;C'!$AU$35,'[2]Total P&amp;C'!$AX$35,'[2]Total P&amp;C'!$BA$35,'[2]Total P&amp;C'!$BD$35,'[2]Total P&amp;C'!$O$39,'[2]Total P&amp;C'!$R$39:$V$39,'[2]Total P&amp;C'!$Y$39,'[2]Total P&amp;C'!$AB$39,'[2]Total P&amp;C'!$AU$39,'[2]Total P&amp;C'!$AX$39,'[2]Total P&amp;C'!$BA$39,'[2]Total P&amp;C'!$BD$39)/1000/BP61</f>
        <v>0.34040346873213984</v>
      </c>
      <c r="BR64" s="28">
        <f>-SUM('[3]Total P&amp;C'!$O$33,'[3]Total P&amp;C'!$R$33:$V$33,'[3]Total P&amp;C'!$Y$33,'[3]Total P&amp;C'!$AB$33,'[3]Total P&amp;C'!$AU$33,'[3]Total P&amp;C'!$AX$33,'[3]Total P&amp;C'!$BA$33,'[3]Total P&amp;C'!$BD$33,'[3]Total P&amp;C'!$O$37,'[3]Total P&amp;C'!$R$37:$V$37,'[3]Total P&amp;C'!$Y$37,'[3]Total P&amp;C'!$AB$37,'[3]Total P&amp;C'!$AU$37,'[3]Total P&amp;C'!$AX$37,'[3]Total P&amp;C'!$BA$37,'[3]Total P&amp;C'!$BD$37)/1000/BR61</f>
        <v>0.31270582117804691</v>
      </c>
      <c r="BS64" s="28">
        <f>-SUM('[3]Total P&amp;C'!$O$34,'[3]Total P&amp;C'!$R$34:$V$34,'[3]Total P&amp;C'!$Y$34,'[3]Total P&amp;C'!$AB$34,'[3]Total P&amp;C'!$AU$34,'[3]Total P&amp;C'!$AX$34,'[3]Total P&amp;C'!$BA$34,'[3]Total P&amp;C'!$BD$34,'[3]Total P&amp;C'!$O$38,'[3]Total P&amp;C'!$R$38:$V$38,'[3]Total P&amp;C'!$Y$38,'[3]Total P&amp;C'!$AB$38,'[3]Total P&amp;C'!$AU$38,'[3]Total P&amp;C'!$AX$38,'[3]Total P&amp;C'!$BA$38,'[3]Total P&amp;C'!$BD$38)/1000/BS61</f>
        <v>0.35613812876700723</v>
      </c>
      <c r="BT64" s="28">
        <f>-SUM('[3]Total P&amp;C'!$O$35,'[3]Total P&amp;C'!$R$35:$V$35,'[3]Total P&amp;C'!$Y$35,'[3]Total P&amp;C'!$AB$35,'[3]Total P&amp;C'!$AU$35,'[3]Total P&amp;C'!$AX$35,'[3]Total P&amp;C'!$BA$35,'[3]Total P&amp;C'!$BD$35,'[3]Total P&amp;C'!$O$39,'[3]Total P&amp;C'!$R$39:$V$39,'[3]Total P&amp;C'!$Y$39,'[3]Total P&amp;C'!$AB$39,'[3]Total P&amp;C'!$AU$39,'[3]Total P&amp;C'!$AX$39,'[3]Total P&amp;C'!$BA$39,'[3]Total P&amp;C'!$BD$39)/1000/BT61</f>
        <v>0.31370009024852913</v>
      </c>
    </row>
    <row r="65" spans="2:72" ht="16.5" customHeight="1" x14ac:dyDescent="0.25">
      <c r="B65" s="202"/>
      <c r="C65" s="9"/>
      <c r="D65" s="38" t="s">
        <v>24</v>
      </c>
      <c r="J65" s="20">
        <f>-([1]Retail!$P$33+[1]Retail!$W$33+[1]Retail!$AV$33+[1]Retail!$AY$33+[1]Retail!$P$37+[1]Retail!$W$37+[1]Retail!$AV$37+[1]Retail!$AY$37)/1000/J61</f>
        <v>0</v>
      </c>
      <c r="K65" s="42">
        <f>-([1]Retail!$P$34+[1]Retail!$W$34+[1]Retail!$AV$34+[1]Retail!$AY$34+[1]Retail!$P$38+[1]Retail!$W$38+[1]Retail!$AV$38+[1]Retail!$AY$38)/1000/K61</f>
        <v>0</v>
      </c>
      <c r="L65" s="42" t="e">
        <f>-([1]Retail!$P$35+[1]Retail!$W$35+[1]Retail!$AV$35+[1]Retail!$AY$35+[1]Retail!$P$39+[1]Retail!$W$39+[1]Retail!$AV$39+[1]Retail!$AY$39)/1000/L61</f>
        <v>#DIV/0!</v>
      </c>
      <c r="M65" s="7"/>
      <c r="N65" s="20">
        <f>-([1]SME!$P$33+[1]SME!$W$33+[1]SME!$AV$33+[1]SME!$AY$33+[1]SME!$P$37+[1]SME!$W$37+[1]SME!$AV$37+[1]SME!$AY$37)/1000/N61</f>
        <v>1.8637053563341552E-4</v>
      </c>
      <c r="O65" s="20">
        <f>-([1]SME!$P$34+[1]SME!$W$34+[1]SME!$AV$34+[1]SME!$AY$34+[1]SME!$P$38+[1]SME!$W$38+[1]SME!$AV$38+[1]SME!$AY$38)/1000/O61</f>
        <v>0</v>
      </c>
      <c r="P65" s="20">
        <f>-([1]SME!$P$35+[1]SME!$W$35+[1]SME!$AV$35+[1]SME!$AY$35+[1]SME!$P$39+[1]SME!$W$39+[1]SME!$AV$39+[1]SME!$AY$39)/1000/P61</f>
        <v>6.8293425752384465E-2</v>
      </c>
      <c r="Q65" s="7"/>
      <c r="R65" s="20">
        <f>-([1]MidCorp!$P$33+[1]MidCorp!$W$33+[1]MidCorp!$AV$33+[1]MidCorp!$AY$33+[1]MidCorp!$P$37+[1]MidCorp!$W$37+[1]MidCorp!$AV$37+[1]MidCorp!$AY$37)/1000/R61</f>
        <v>1.4119558436729473E-2</v>
      </c>
      <c r="S65" s="20">
        <f>-([1]MidCorp!$P$34+[1]MidCorp!$W$34+[1]MidCorp!$AV$34+[1]MidCorp!$AY$34+[1]MidCorp!$P$38+[1]MidCorp!$W$38+[1]MidCorp!$AV$38+[1]MidCorp!$AY$38)/1000/S61</f>
        <v>0</v>
      </c>
      <c r="T65" s="20">
        <f>-([1]MidCorp!$P$35+[1]MidCorp!$W$35+[1]MidCorp!$AV$35+[1]MidCorp!$AY$35+[1]MidCorp!$P$39+[1]MidCorp!$W$39+[1]MidCorp!$AV$39+[1]MidCorp!$AY$39)/1000/T61</f>
        <v>6.114644018318835E-2</v>
      </c>
      <c r="U65" s="7"/>
      <c r="V65" s="20">
        <f>-([1]MGA!$P$33+[1]MGA!$W$33+[1]MGA!$AV$33+[1]MGA!$AY$33+[1]MGA!$P$37+[1]MGA!$W$37+[1]MGA!$AV$37+[1]MGA!$AY$37)/1000/V61</f>
        <v>1.6255810125178521E-3</v>
      </c>
      <c r="W65" s="20">
        <f>-([1]MGA!$P$34+[1]MGA!$W$34+[1]MGA!$AV$34+[1]MGA!$AY$34+[1]MGA!$P$38+[1]MGA!$W$38+[1]MGA!$AV$38+[1]MGA!$AY$38)/1000/W61</f>
        <v>0</v>
      </c>
      <c r="X65" s="20">
        <f>-([1]MGA!$P$35+[1]MGA!$W$35+[1]MGA!$AV$35+[1]MGA!$AY$35+[1]MGA!$P$39+[1]MGA!$W$39+[1]MGA!$AV$39+[1]MGA!$AY$39)/1000/X61</f>
        <v>8.3227126338662596E-2</v>
      </c>
      <c r="Y65" s="7"/>
      <c r="Z65" s="20">
        <f>-([1]Bancassurance!$P$33+[1]Bancassurance!$W$33+[1]Bancassurance!$AV$33+[1]Bancassurance!$AY$33+[1]Bancassurance!$P$37+[1]Bancassurance!$W$37+[1]Bancassurance!$AV$37+[1]Bancassurance!$AY$37)/1000/Z61</f>
        <v>0</v>
      </c>
      <c r="AA65" s="20" t="e">
        <f>-([1]Bancassurance!$P$34+[1]Bancassurance!$W$34+[1]Bancassurance!$AV$34+[1]Bancassurance!$AY$34+[1]Bancassurance!$P$38+[1]Bancassurance!$W$38+[1]Bancassurance!$AV$38+[1]Bancassurance!$AY$38)/1000/AA61</f>
        <v>#DIV/0!</v>
      </c>
      <c r="AB65" s="20">
        <f>-([1]Bancassurance!$P$35+[1]Bancassurance!$W$35+[1]Bancassurance!$AV$35+[1]Bancassurance!$AY$35+[1]Bancassurance!$P$39+[1]Bancassurance!$W$39+[1]Bancassurance!$AV$39+[1]Bancassurance!$AY$39)/1000/AB61</f>
        <v>0.17637625668514795</v>
      </c>
      <c r="AC65" s="7"/>
      <c r="AD65" s="20">
        <f>-([1]Specials!$P$33+[1]Specials!$W$33+[1]Specials!$AV$33+[1]Specials!$AY$33+[1]Specials!$P$37+[1]Specials!$W$37+[1]Specials!$AV$37+[1]Specials!$AY$37)/1000/AD61</f>
        <v>0</v>
      </c>
      <c r="AE65" s="20">
        <f>-([1]Specials!$P$34+[1]Specials!$W$34+[1]Specials!$AV$34+[1]Specials!$AY$34+[1]Specials!$P$38+[1]Specials!$W$38+[1]Specials!$AV$38+[1]Specials!$AY$38)/1000/AE61</f>
        <v>0</v>
      </c>
      <c r="AF65" s="20" t="e">
        <f>-([1]Specials!$P$35+[1]Specials!$W$35+[1]Specials!$AV$35+[1]Specials!$AY$35+[1]Specials!$P$39+[1]Specials!$W$39+[1]Specials!$AV$39+[1]Specials!$AY$39)/1000/AF61</f>
        <v>#DIV/0!</v>
      </c>
      <c r="AG65" s="7"/>
      <c r="AH65" s="28">
        <f>-('[1]Total P&amp;C'!$P$33+'[1]Total P&amp;C'!$W$33+'[1]Total P&amp;C'!$AV$33+'[1]Total P&amp;C'!$AY$33+'[1]Total P&amp;C'!$P$37+'[1]Total P&amp;C'!$W$37+'[1]Total P&amp;C'!$AV$37+'[1]Total P&amp;C'!$AY$37)/1000/AH61</f>
        <v>1.0678184005877403E-2</v>
      </c>
      <c r="AI65" s="28">
        <f>-('[1]Total P&amp;C'!$P$34+'[1]Total P&amp;C'!$W$34+'[1]Total P&amp;C'!$AV$34+'[1]Total P&amp;C'!$AY$34+'[1]Total P&amp;C'!$P$38+'[1]Total P&amp;C'!$W$38+'[1]Total P&amp;C'!$AV$38+'[1]Total P&amp;C'!$AY$38)/1000/AI61</f>
        <v>0</v>
      </c>
      <c r="AJ65" s="28">
        <f>-('[1]Total P&amp;C'!$P$35+'[1]Total P&amp;C'!$W$35+'[1]Total P&amp;C'!$AV$35+'[1]Total P&amp;C'!$AY$35+'[1]Total P&amp;C'!$P$39+'[1]Total P&amp;C'!$W$39+'[1]Total P&amp;C'!$AV$39+'[1]Total P&amp;C'!$AY$39)/1000/AJ61</f>
        <v>6.4515344213185472E-2</v>
      </c>
      <c r="AL65" s="202"/>
      <c r="AM65" s="9"/>
      <c r="AN65" s="38" t="s">
        <v>24</v>
      </c>
      <c r="AT65" s="20">
        <f>-([2]Retail!$P$33+[2]Retail!$W$33+[2]Retail!$AV$33+[2]Retail!$AY$33+[2]Retail!$P$37+[2]Retail!$W$37+[2]Retail!$AV$37+[2]Retail!$AY$37)/1000/AT61</f>
        <v>1.130277765015484E-2</v>
      </c>
      <c r="AU65" s="42">
        <f>-([2]Retail!$P$34+[2]Retail!$W$34+[2]Retail!$AV$34+[2]Retail!$AY$34+[2]Retail!$P$38+[2]Retail!$W$38+[2]Retail!$AV$38+[2]Retail!$AY$38)/1000/AU61</f>
        <v>0</v>
      </c>
      <c r="AV65" s="42">
        <f>-([2]Retail!$P$35+[2]Retail!$W$35+[2]Retail!$AV$35+[2]Retail!$AY$35+[2]Retail!$P$39+[2]Retail!$W$39+[2]Retail!$AV$39+[2]Retail!$AY$39)/1000/AV61</f>
        <v>6.8877997550067557E-2</v>
      </c>
      <c r="AW65" s="7"/>
      <c r="AX65" s="20">
        <f>-([2]SME!$P$33+[2]SME!$W$33+[2]SME!$AV$33+[2]SME!$AY$33+[2]SME!$P$37+[2]SME!$W$37+[2]SME!$AV$37+[2]SME!$AY$37)/1000/AX61</f>
        <v>3.9802694093801407E-3</v>
      </c>
      <c r="AY65" s="20">
        <f>-([2]SME!$P$34+[2]SME!$W$34+[2]SME!$AV$34+[2]SME!$AY$34+[2]SME!$P$38+[2]SME!$W$38+[2]SME!$AV$38+[2]SME!$AY$38)/1000/AY61</f>
        <v>0</v>
      </c>
      <c r="AZ65" s="20">
        <f>-([2]SME!$P$35+[2]SME!$W$35+[2]SME!$AV$35+[2]SME!$AY$35+[2]SME!$P$39+[2]SME!$W$39+[2]SME!$AV$39+[2]SME!$AY$39)/1000/AZ61</f>
        <v>6.8688997109061178E-2</v>
      </c>
      <c r="BA65" s="7"/>
      <c r="BB65" s="20">
        <f>-([2]MidCorp!$P$33+[2]MidCorp!$W$33+[2]MidCorp!$AV$33+[2]MidCorp!$AY$33+[2]MidCorp!$P$37+[2]MidCorp!$W$37+[2]MidCorp!$AV$37+[2]MidCorp!$AY$37)/1000/BB61</f>
        <v>4.5492531757092064E-3</v>
      </c>
      <c r="BC65" s="20">
        <f>-([2]MidCorp!$P$34+[2]MidCorp!$W$34+[2]MidCorp!$AV$34+[2]MidCorp!$AY$34+[2]MidCorp!$P$38+[2]MidCorp!$W$38+[2]MidCorp!$AV$38+[2]MidCorp!$AY$38)/1000/BC61</f>
        <v>0</v>
      </c>
      <c r="BD65" s="20">
        <f>-([2]MidCorp!$P$35+[2]MidCorp!$W$35+[2]MidCorp!$AV$35+[2]MidCorp!$AY$35+[2]MidCorp!$P$39+[2]MidCorp!$W$39+[2]MidCorp!$AV$39+[2]MidCorp!$AY$39)/1000/BD61</f>
        <v>4.7084856829678549E-2</v>
      </c>
      <c r="BJ65" s="20" t="e">
        <f>-([2]Specials!$P$33+[2]Specials!$W$33+[2]Specials!$AV$33+[2]Specials!$AY$33+[2]Specials!$P$37+[2]Specials!$W$37+[2]Specials!$AV$37+[2]Specials!$AY$37)/1000/BJ61</f>
        <v>#DIV/0!</v>
      </c>
      <c r="BK65" s="20" t="e">
        <f>-([2]Specials!$P$34+[2]Specials!$W$34+[2]Specials!$AV$34+[2]Specials!$AY$34+[2]Specials!$P$38+[2]Specials!$W$38+[2]Specials!$AV$38+[2]Specials!$AY$38)/1000/BK61</f>
        <v>#DIV/0!</v>
      </c>
      <c r="BL65" s="20" t="e">
        <f>-([2]Specials!$P$35+[2]Specials!$W$35+[2]Specials!$AV$35+[2]Specials!$AY$35+[2]Specials!$P$39+[2]Specials!$W$39+[2]Specials!$AV$39+[2]Specials!$AY$39)/1000/BL61</f>
        <v>#DIV/0!</v>
      </c>
      <c r="BM65" s="7"/>
      <c r="BN65" s="28">
        <f>-('[2]Total P&amp;C'!$P$33+'[2]Total P&amp;C'!$W$33+'[2]Total P&amp;C'!$AV$33+'[2]Total P&amp;C'!$AY$33+'[2]Total P&amp;C'!$P$37+'[2]Total P&amp;C'!$W$37+'[2]Total P&amp;C'!$AV$37+'[2]Total P&amp;C'!$AY$37)/1000/BN61</f>
        <v>7.146273891738949E-3</v>
      </c>
      <c r="BO65" s="28">
        <f>-('[2]Total P&amp;C'!$P$34+'[2]Total P&amp;C'!$W$34+'[2]Total P&amp;C'!$AV$34+'[2]Total P&amp;C'!$AY$34+'[2]Total P&amp;C'!$P$38+'[2]Total P&amp;C'!$W$38+'[2]Total P&amp;C'!$AV$38+'[2]Total P&amp;C'!$AY$38)/1000/BO61</f>
        <v>0</v>
      </c>
      <c r="BP65" s="28">
        <f>-('[2]Total P&amp;C'!$P$35+'[2]Total P&amp;C'!$W$35+'[2]Total P&amp;C'!$AV$35+'[2]Total P&amp;C'!$AY$35+'[2]Total P&amp;C'!$P$39+'[2]Total P&amp;C'!$W$39+'[2]Total P&amp;C'!$AV$39+'[2]Total P&amp;C'!$AY$39)/1000/BP61</f>
        <v>5.7794488236392591E-2</v>
      </c>
      <c r="BR65" s="28">
        <f>-('[3]Total P&amp;C'!$P$33+'[3]Total P&amp;C'!$W$33+'[3]Total P&amp;C'!$AV$33+'[3]Total P&amp;C'!$AY$33+'[3]Total P&amp;C'!$P$37+'[3]Total P&amp;C'!$W$37+'[3]Total P&amp;C'!$AV$37+'[3]Total P&amp;C'!$AY$37)/1000/BR61</f>
        <v>9.4085899286667999E-3</v>
      </c>
      <c r="BS65" s="28">
        <f>-('[3]Total P&amp;C'!$P$34+'[3]Total P&amp;C'!$W$34+'[3]Total P&amp;C'!$AV$34+'[3]Total P&amp;C'!$AY$34+'[3]Total P&amp;C'!$P$38+'[3]Total P&amp;C'!$W$38+'[3]Total P&amp;C'!$AV$38+'[3]Total P&amp;C'!$AY$38)/1000/BS61</f>
        <v>0</v>
      </c>
      <c r="BT65" s="28">
        <f>-('[3]Total P&amp;C'!$P$35+'[3]Total P&amp;C'!$W$35+'[3]Total P&amp;C'!$AV$35+'[3]Total P&amp;C'!$AY$35+'[3]Total P&amp;C'!$P$39+'[3]Total P&amp;C'!$W$39+'[3]Total P&amp;C'!$AV$39+'[3]Total P&amp;C'!$AY$39)/1000/BT61</f>
        <v>6.2285093139782317E-2</v>
      </c>
    </row>
    <row r="66" spans="2:72" ht="16.5" customHeight="1" x14ac:dyDescent="0.25">
      <c r="B66" s="202"/>
      <c r="C66" s="9"/>
      <c r="D66" s="38" t="s">
        <v>25</v>
      </c>
      <c r="J66" s="20">
        <f>-([1]Retail!$Q$33+[1]Retail!$X$33+[1]Retail!$AW$33+[1]Retail!$AZ$33+[1]Retail!$Q$37+[1]Retail!$X$37+[1]Retail!$AW$37+[1]Retail!$AZ$37)/1000/J61</f>
        <v>0</v>
      </c>
      <c r="K66" s="42">
        <f>-([1]Retail!$Q$34+[1]Retail!$X$34+[1]Retail!$AW$34+[1]Retail!$AZ$34+[1]Retail!$Q$38+[1]Retail!$X$38+[1]Retail!$AW$38+[1]Retail!$AZ$38)/1000/K61</f>
        <v>3.5849106196028845E-2</v>
      </c>
      <c r="L66" s="42" t="e">
        <f>-([1]Retail!$Q$35+[1]Retail!$X$35+[1]Retail!$AW$35+[1]Retail!$AZ$35+[1]Retail!$Q$39+[1]Retail!$X$39+[1]Retail!$AW$39+[1]Retail!$AZ$39)/1000/L61</f>
        <v>#DIV/0!</v>
      </c>
      <c r="M66" s="7"/>
      <c r="N66" s="20">
        <f>-([1]SME!$Q$33+[1]SME!$X$33+[1]SME!$AW$33+[1]SME!$AZ$33+[1]SME!$Q$37+[1]SME!$X$37+[1]SME!$AW$37+[1]SME!$AZ$37)/1000/N61</f>
        <v>6.5746894932730074E-2</v>
      </c>
      <c r="O66" s="20">
        <f>-([1]SME!$Q$34+[1]SME!$X$34+[1]SME!$AW$34+[1]SME!$AZ$34+[1]SME!$Q$38+[1]SME!$X$38+[1]SME!$AW$38+[1]SME!$AZ$38)/1000/O61</f>
        <v>0.20919698977667284</v>
      </c>
      <c r="P66" s="20">
        <f>-([1]SME!$Q$35+[1]SME!$X$35+[1]SME!$AW$35+[1]SME!$AZ$35+[1]SME!$Q$39+[1]SME!$X$39+[1]SME!$AW$39+[1]SME!$AZ$39)/1000/P61</f>
        <v>0.16455742933692652</v>
      </c>
      <c r="Q66" s="7"/>
      <c r="R66" s="20">
        <f>-([1]MidCorp!$Q$33+[1]MidCorp!$X$33+[1]MidCorp!$AW$33+[1]MidCorp!$AZ$33+[1]MidCorp!$Q$37+[1]MidCorp!$X$37+[1]MidCorp!$AW$37+[1]MidCorp!$AZ$37)/1000/R61</f>
        <v>0.26082203109503388</v>
      </c>
      <c r="S66" s="20">
        <f>-([1]MidCorp!$Q$34+[1]MidCorp!$X$34+[1]MidCorp!$AW$34+[1]MidCorp!$AZ$34+[1]MidCorp!$Q$38+[1]MidCorp!$X$38+[1]MidCorp!$AW$38+[1]MidCorp!$AZ$38)/1000/S61</f>
        <v>0.25212781513997246</v>
      </c>
      <c r="T66" s="20">
        <f>-([1]MidCorp!$Q$35+[1]MidCorp!$X$35+[1]MidCorp!$AW$35+[1]MidCorp!$AZ$35+[1]MidCorp!$Q$39+[1]MidCorp!$X$39+[1]MidCorp!$AW$39+[1]MidCorp!$AZ$39)/1000/T61</f>
        <v>0.23823763605447024</v>
      </c>
      <c r="U66" s="7"/>
      <c r="V66" s="20">
        <f>-([1]MGA!$Q$33+[1]MGA!$X$33+[1]MGA!$AW$33+[1]MGA!$AZ$33+[1]MGA!$Q$37+[1]MGA!$X$37+[1]MGA!$AW$37+[1]MGA!$AZ$37)/1000/V61</f>
        <v>0.18403683711735813</v>
      </c>
      <c r="W66" s="20">
        <f>-([1]MGA!$Q$34+[1]MGA!$X$34+[1]MGA!$AW$34+[1]MGA!$AZ$34+[1]MGA!$Q$38+[1]MGA!$X$38+[1]MGA!$AW$38+[1]MGA!$AZ$38)/1000/W61</f>
        <v>8.8933004074051095E-2</v>
      </c>
      <c r="X66" s="20">
        <f>-([1]MGA!$Q$35+[1]MGA!$X$35+[1]MGA!$AW$35+[1]MGA!$AZ$35+[1]MGA!$Q$39+[1]MGA!$X$39+[1]MGA!$AW$39+[1]MGA!$AZ$39)/1000/X61</f>
        <v>7.8669665299887892E-2</v>
      </c>
      <c r="Y66" s="7"/>
      <c r="Z66" s="20">
        <f>-([1]Bancassurance!$Q$33+[1]Bancassurance!$X$33+[1]Bancassurance!$AW$33+[1]Bancassurance!$AZ$33+[1]Bancassurance!$Q$37+[1]Bancassurance!$X$37+[1]Bancassurance!$AW$37+[1]Bancassurance!$AZ$37)/1000/Z61</f>
        <v>0</v>
      </c>
      <c r="AA66" s="20" t="e">
        <f>-([1]Bancassurance!$Q$34+[1]Bancassurance!$X$34+[1]Bancassurance!$AW$34+[1]Bancassurance!$AZ$34+[1]Bancassurance!$Q$38+[1]Bancassurance!$X$38+[1]Bancassurance!$AW$38+[1]Bancassurance!$AZ$38)/1000/AA61</f>
        <v>#DIV/0!</v>
      </c>
      <c r="AB66" s="20">
        <f>-([1]Bancassurance!$Q$35+[1]Bancassurance!$X$35+[1]Bancassurance!$AW$35+[1]Bancassurance!$AZ$35+[1]Bancassurance!$Q$39+[1]Bancassurance!$X$39+[1]Bancassurance!$AW$39+[1]Bancassurance!$AZ$39)/1000/AB61</f>
        <v>5.9000000000000011E-2</v>
      </c>
      <c r="AC66" s="7"/>
      <c r="AD66" s="20">
        <f>-([1]Specials!$Q$33+[1]Specials!$X$33+[1]Specials!$AW$33+[1]Specials!$AZ$33+[1]Specials!$Q$37+[1]Specials!$X$37+[1]Specials!$AW$37+[1]Specials!$AZ$37)/1000/AD61</f>
        <v>0</v>
      </c>
      <c r="AE66" s="20">
        <f>-([1]Specials!$Q$34+[1]Specials!$X$34+[1]Specials!$AW$34+[1]Specials!$AZ$34+[1]Specials!$Q$38+[1]Specials!$X$38+[1]Specials!$AW$38+[1]Specials!$AZ$38)/1000/AE61</f>
        <v>0</v>
      </c>
      <c r="AF66" s="20" t="e">
        <f>-([1]Specials!$Q$35+[1]Specials!$X$35+[1]Specials!$AW$35+[1]Specials!$AZ$35+[1]Specials!$Q$39+[1]Specials!$X$39+[1]Specials!$AW$39+[1]Specials!$AZ$39)/1000/AF61</f>
        <v>#DIV/0!</v>
      </c>
      <c r="AG66" s="7"/>
      <c r="AH66" s="28">
        <f>-('[1]Total P&amp;C'!$Q$33+'[1]Total P&amp;C'!$X$33+'[1]Total P&amp;C'!$AW$33+'[1]Total P&amp;C'!$AZ$33+'[1]Total P&amp;C'!$Q$37+'[1]Total P&amp;C'!$X$37+'[1]Total P&amp;C'!$AW$37+'[1]Total P&amp;C'!$AZ$37)/1000/AH61</f>
        <v>0.21674677716861876</v>
      </c>
      <c r="AI66" s="28">
        <f>-('[1]Total P&amp;C'!$Q$34+'[1]Total P&amp;C'!$X$34+'[1]Total P&amp;C'!$AW$34+'[1]Total P&amp;C'!$AZ$34+'[1]Total P&amp;C'!$Q$38+'[1]Total P&amp;C'!$X$38+'[1]Total P&amp;C'!$AW$38+'[1]Total P&amp;C'!$AZ$38)/1000/AI61</f>
        <v>0.2300360315811712</v>
      </c>
      <c r="AJ66" s="28">
        <f>-('[1]Total P&amp;C'!$Q$35+'[1]Total P&amp;C'!$X$35+'[1]Total P&amp;C'!$AW$35+'[1]Total P&amp;C'!$AZ$35+'[1]Total P&amp;C'!$Q$39+'[1]Total P&amp;C'!$X$39+'[1]Total P&amp;C'!$AW$39+'[1]Total P&amp;C'!$AZ$39)/1000/AJ61</f>
        <v>0.21380740783867749</v>
      </c>
      <c r="AL66" s="202"/>
      <c r="AM66" s="9"/>
      <c r="AN66" s="38" t="s">
        <v>25</v>
      </c>
      <c r="AT66" s="20">
        <f>-([2]Retail!$Q$33+[2]Retail!$X$33+[2]Retail!$AW$33+[2]Retail!$AZ$33+[2]Retail!$Q$37+[2]Retail!$X$37+[2]Retail!$AW$37+[2]Retail!$AZ$37)/1000/AT61</f>
        <v>2.555307020407762E-2</v>
      </c>
      <c r="AU66" s="42">
        <f>-([2]Retail!$Q$34+[2]Retail!$X$34+[2]Retail!$AW$34+[2]Retail!$AZ$34+[2]Retail!$Q$38+[2]Retail!$X$38+[2]Retail!$AW$38+[2]Retail!$AZ$38)/1000/AU61</f>
        <v>3.9192699894860399E-2</v>
      </c>
      <c r="AV66" s="42">
        <f>-([2]Retail!$Q$35+[2]Retail!$X$35+[2]Retail!$AW$35+[2]Retail!$AZ$35+[2]Retail!$Q$39+[2]Retail!$X$39+[2]Retail!$AW$39+[2]Retail!$AZ$39)/1000/AV61</f>
        <v>4.3048680878170167E-2</v>
      </c>
      <c r="AW66" s="7"/>
      <c r="AX66" s="20">
        <f>-([2]SME!$Q$33+[2]SME!$X$33+[2]SME!$AW$33+[2]SME!$AZ$33+[2]SME!$Q$37+[2]SME!$X$37+[2]SME!$AW$37+[2]SME!$AZ$37)/1000/AX61</f>
        <v>0.1202925026656097</v>
      </c>
      <c r="AY66" s="20">
        <f>-([2]SME!$Q$34+[2]SME!$X$34+[2]SME!$AW$34+[2]SME!$AZ$34+[2]SME!$Q$38+[2]SME!$X$38+[2]SME!$AW$38+[2]SME!$AZ$38)/1000/AY61</f>
        <v>3.7042148893079017E-2</v>
      </c>
      <c r="AZ66" s="20">
        <f>-([2]SME!$Q$35+[2]SME!$X$35+[2]SME!$AW$35+[2]SME!$AZ$35+[2]SME!$Q$39+[2]SME!$X$39+[2]SME!$AW$39+[2]SME!$AZ$39)/1000/AZ61</f>
        <v>7.3780373310146294E-2</v>
      </c>
      <c r="BA66" s="7"/>
      <c r="BB66" s="20">
        <f>-([2]MidCorp!$Q$33+[2]MidCorp!$X$33+[2]MidCorp!$AW$33+[2]MidCorp!$AZ$33+[2]MidCorp!$Q$37+[2]MidCorp!$X$37+[2]MidCorp!$AW$37+[2]MidCorp!$AZ$37)/1000/BB61</f>
        <v>0.12185558943369794</v>
      </c>
      <c r="BC66" s="20">
        <f>-([2]MidCorp!$Q$34+[2]MidCorp!$X$34+[2]MidCorp!$AW$34+[2]MidCorp!$AZ$34+[2]MidCorp!$Q$38+[2]MidCorp!$X$38+[2]MidCorp!$AW$38+[2]MidCorp!$AZ$38)/1000/BC61</f>
        <v>5.1475450941563416E-2</v>
      </c>
      <c r="BD66" s="20">
        <f>-([2]MidCorp!$Q$35+[2]MidCorp!$X$35+[2]MidCorp!$AW$35+[2]MidCorp!$AZ$35+[2]MidCorp!$Q$39+[2]MidCorp!$X$39+[2]MidCorp!$AW$39+[2]MidCorp!$AZ$39)/1000/BD61</f>
        <v>0.11750706269892412</v>
      </c>
      <c r="BJ66" s="20" t="e">
        <f>-([2]Specials!$Q$33+[2]Specials!$X$33+[2]Specials!$AW$33+[2]Specials!$AZ$33+[2]Specials!$Q$37+[2]Specials!$X$37+[2]Specials!$AW$37+[2]Specials!$AZ$37)/1000/BJ61</f>
        <v>#DIV/0!</v>
      </c>
      <c r="BK66" s="20" t="e">
        <f>-([2]Specials!$Q$34+[2]Specials!$X$34+[2]Specials!$AW$34+[2]Specials!$AZ$34+[2]Specials!$Q$38+[2]Specials!$X$38+[2]Specials!$AW$38+[2]Specials!$AZ$38)/1000/BK61</f>
        <v>#DIV/0!</v>
      </c>
      <c r="BL66" s="20" t="e">
        <f>-([2]Specials!$Q$35+[2]Specials!$X$35+[2]Specials!$AW$35+[2]Specials!$AZ$35+[2]Specials!$Q$39+[2]Specials!$X$39+[2]Specials!$AW$39+[2]Specials!$AZ$39)/1000/BL61</f>
        <v>#DIV/0!</v>
      </c>
      <c r="BM66" s="7"/>
      <c r="BN66" s="28">
        <f>-('[2]Total P&amp;C'!$Q$33+'[2]Total P&amp;C'!$X$33+'[2]Total P&amp;C'!$AW$33+'[2]Total P&amp;C'!$AZ$33+'[2]Total P&amp;C'!$Q$37+'[2]Total P&amp;C'!$X$37+'[2]Total P&amp;C'!$AW$37+'[2]Total P&amp;C'!$AZ$37)/1000/BN61</f>
        <v>8.3577970927070214E-2</v>
      </c>
      <c r="BO66" s="28">
        <f>-('[2]Total P&amp;C'!$Q$34+'[2]Total P&amp;C'!$X$34+'[2]Total P&amp;C'!$AW$34+'[2]Total P&amp;C'!$AZ$34+'[2]Total P&amp;C'!$Q$38+'[2]Total P&amp;C'!$X$38+'[2]Total P&amp;C'!$AW$38+'[2]Total P&amp;C'!$AZ$38)/1000/BO61</f>
        <v>4.4555401104336693E-2</v>
      </c>
      <c r="BP66" s="28">
        <f>-('[2]Total P&amp;C'!$Q$35+'[2]Total P&amp;C'!$X$35+'[2]Total P&amp;C'!$AW$35+'[2]Total P&amp;C'!$AZ$35+'[2]Total P&amp;C'!$Q$39+'[2]Total P&amp;C'!$X$39+'[2]Total P&amp;C'!$AW$39+'[2]Total P&amp;C'!$AZ$39)/1000/BP61</f>
        <v>8.457944855678666E-2</v>
      </c>
      <c r="BR66" s="28">
        <f>-('[3]Total P&amp;C'!$Q$33+'[3]Total P&amp;C'!$X$33+'[3]Total P&amp;C'!$AW$33+'[3]Total P&amp;C'!$AZ$33+'[3]Total P&amp;C'!$Q$37+'[3]Total P&amp;C'!$X$37+'[3]Total P&amp;C'!$AW$37+'[3]Total P&amp;C'!$AZ$37)/1000/BR61</f>
        <v>0.16887740274805313</v>
      </c>
      <c r="BS66" s="28">
        <f>-('[3]Total P&amp;C'!$Q$34+'[3]Total P&amp;C'!$X$34+'[3]Total P&amp;C'!$AW$34+'[3]Total P&amp;C'!$AZ$34+'[3]Total P&amp;C'!$Q$38+'[3]Total P&amp;C'!$X$38+'[3]Total P&amp;C'!$AW$38+'[3]Total P&amp;C'!$AZ$38)/1000/BS61</f>
        <v>0.16285835405595811</v>
      </c>
      <c r="BT66" s="28">
        <f>-('[3]Total P&amp;C'!$Q$35+'[3]Total P&amp;C'!$X$35+'[3]Total P&amp;C'!$AW$35+'[3]Total P&amp;C'!$AZ$35+'[3]Total P&amp;C'!$Q$39+'[3]Total P&amp;C'!$X$39+'[3]Total P&amp;C'!$AW$39+'[3]Total P&amp;C'!$AZ$39)/1000/BT61</f>
        <v>0.17092435902803035</v>
      </c>
    </row>
    <row r="67" spans="2:72" ht="16.5" customHeight="1" x14ac:dyDescent="0.25">
      <c r="B67" s="202"/>
      <c r="C67" s="9"/>
      <c r="D67" s="38" t="s">
        <v>26</v>
      </c>
      <c r="J67" s="20">
        <f>-([1]Retail!$AT$33+[1]Retail!$AT$37)/1000/J61</f>
        <v>1.7178233694442903E-3</v>
      </c>
      <c r="K67" s="42">
        <f>-([1]Retail!$AT$34+[1]Retail!$AT$38)/1000/K61</f>
        <v>0.25038779934205063</v>
      </c>
      <c r="L67" s="42" t="e">
        <f>-([1]Retail!$AT$35+[1]Retail!$AT$39)/1000/L61</f>
        <v>#DIV/0!</v>
      </c>
      <c r="M67" s="7"/>
      <c r="N67" s="20">
        <f>-([1]SME!$AT$33+[1]SME!$AT$37)/1000/N61</f>
        <v>7.0849594110768979E-2</v>
      </c>
      <c r="O67" s="20">
        <f>-([1]SME!$AT$34+[1]SME!$AT$38)/1000/O61</f>
        <v>6.4739504956294894E-2</v>
      </c>
      <c r="P67" s="20">
        <f>-([1]SME!$AT$35+[1]SME!$AT$39)/1000/P61</f>
        <v>7.8167883479663539E-2</v>
      </c>
      <c r="Q67" s="7"/>
      <c r="R67" s="20">
        <f>-([1]MidCorp!$AT$33+[1]MidCorp!$AT$37)/1000/R61</f>
        <v>8.9522715061901778E-2</v>
      </c>
      <c r="S67" s="20">
        <f>-([1]MidCorp!$AT$34+[1]MidCorp!$AT$38)/1000/S61</f>
        <v>9.2958745468704945E-2</v>
      </c>
      <c r="T67" s="20">
        <f>-([1]MidCorp!$AT$35+[1]MidCorp!$AT$39)/1000/T61</f>
        <v>9.0491596305427316E-2</v>
      </c>
      <c r="U67" s="7"/>
      <c r="V67" s="20">
        <f>-([1]MGA!$AT$33+[1]MGA!$AT$37)/1000/V61</f>
        <v>0.1203408828159955</v>
      </c>
      <c r="W67" s="20">
        <f>-([1]MGA!$AT$34+[1]MGA!$AT$38)/1000/W61</f>
        <v>0.11694252390174778</v>
      </c>
      <c r="X67" s="20">
        <f>-([1]MGA!$AT$35+[1]MGA!$AT$39)/1000/X61</f>
        <v>7.2480154179703798E-2</v>
      </c>
      <c r="Y67" s="7"/>
      <c r="Z67" s="20">
        <f>-([1]Bancassurance!$AT$33+[1]Bancassurance!$AT$37)/1000/Z61</f>
        <v>0.7903083975939541</v>
      </c>
      <c r="AA67" s="20" t="e">
        <f>-([1]Bancassurance!$AT$34+[1]Bancassurance!$AT$38)/1000/AA61</f>
        <v>#DIV/0!</v>
      </c>
      <c r="AB67" s="20">
        <f>-([1]Bancassurance!$AT$35+[1]Bancassurance!$AT$39)/1000/AB61</f>
        <v>6.347982590438965E-2</v>
      </c>
      <c r="AC67" s="7"/>
      <c r="AD67" s="20">
        <f>-([1]Specials!$AT$33+[1]Specials!$AT$37)/1000/AD61</f>
        <v>0.72763126205890527</v>
      </c>
      <c r="AE67" s="20">
        <f>-([1]Specials!$AT$34+[1]Specials!$AT$38)/1000/AE61</f>
        <v>0.76696850512236436</v>
      </c>
      <c r="AF67" s="20" t="e">
        <f>-([1]Specials!$AT$35+[1]Specials!$AT$39)/1000/AF61</f>
        <v>#DIV/0!</v>
      </c>
      <c r="AG67" s="7"/>
      <c r="AH67" s="28">
        <f>-('[1]Total P&amp;C'!$AT$33+'[1]Total P&amp;C'!$AT$37)/1000/AH61</f>
        <v>8.6577766244992194E-2</v>
      </c>
      <c r="AI67" s="28">
        <f>-('[1]Total P&amp;C'!$AT$34+'[1]Total P&amp;C'!$AT$38)/1000/AI61</f>
        <v>9.4011680845272158E-2</v>
      </c>
      <c r="AJ67" s="28">
        <f>-('[1]Total P&amp;C'!$AT$35+'[1]Total P&amp;C'!$AT$39)/1000/AJ61</f>
        <v>8.717490003478702E-2</v>
      </c>
      <c r="AL67" s="202"/>
      <c r="AM67" s="9"/>
      <c r="AN67" s="38" t="s">
        <v>26</v>
      </c>
      <c r="AT67" s="20">
        <f>-([2]Retail!$AT$33+[2]Retail!$AT$37)/1000/AT61</f>
        <v>9.9041716349055037E-2</v>
      </c>
      <c r="AU67" s="42">
        <f>-([2]Retail!$AT$34+[2]Retail!$AT$38)/1000/AU61</f>
        <v>0.10269424435427968</v>
      </c>
      <c r="AV67" s="42">
        <f>-([2]Retail!$AT$35+[2]Retail!$AT$39)/1000/AV61</f>
        <v>0.10370304939857085</v>
      </c>
      <c r="AW67" s="7"/>
      <c r="AX67" s="20">
        <f>-([2]SME!$AT$33+[2]SME!$AT$37)/1000/AX61</f>
        <v>0.13950763764956528</v>
      </c>
      <c r="AY67" s="20">
        <f>-([2]SME!$AT$34+[2]SME!$AT$38)/1000/AY61</f>
        <v>9.3196293165510924E-2</v>
      </c>
      <c r="AZ67" s="20">
        <f>-([2]SME!$AT$35+[2]SME!$AT$39)/1000/AZ61</f>
        <v>0.14160610830676576</v>
      </c>
      <c r="BA67" s="7"/>
      <c r="BB67" s="20">
        <f>-([2]MidCorp!$AT$33+[2]MidCorp!$AT$37)/1000/BB61</f>
        <v>0.12233099240655537</v>
      </c>
      <c r="BC67" s="20">
        <f>-([2]MidCorp!$AT$34+[2]MidCorp!$AT$38)/1000/BC61</f>
        <v>0.13961197049620108</v>
      </c>
      <c r="BD67" s="20">
        <f>-([2]MidCorp!$AT$35+[2]MidCorp!$AT$39)/1000/BD61</f>
        <v>0.11150402330433615</v>
      </c>
      <c r="BJ67" s="20" t="e">
        <f>-([2]Specials!$AT$33+[2]Specials!$AT$37)/1000/BJ61</f>
        <v>#DIV/0!</v>
      </c>
      <c r="BK67" s="20" t="e">
        <f>-([2]Specials!$AT$34+[2]Specials!$AT$38)/1000/BK61</f>
        <v>#DIV/0!</v>
      </c>
      <c r="BL67" s="20" t="e">
        <f>-([2]Specials!$AT$35+[2]Specials!$AT$39)/1000/BL61</f>
        <v>#DIV/0!</v>
      </c>
      <c r="BM67" s="7"/>
      <c r="BN67" s="28">
        <f>-('[2]Total P&amp;C'!$AT$33+'[2]Total P&amp;C'!$AT$37)/1000/BN61</f>
        <v>0.11533303181021991</v>
      </c>
      <c r="BO67" s="28">
        <f>-('[2]Total P&amp;C'!$AT$34+'[2]Total P&amp;C'!$AT$38)/1000/BO61</f>
        <v>0.11840422046103764</v>
      </c>
      <c r="BP67" s="28">
        <f>-('[2]Total P&amp;C'!$AT$35+'[2]Total P&amp;C'!$AT$39)/1000/BP61</f>
        <v>0.11227680808336175</v>
      </c>
      <c r="BR67" s="28">
        <f>-('[3]Total P&amp;C'!$AT$33+'[3]Total P&amp;C'!$AT$37)/1000/BR61</f>
        <v>9.6914245280539907E-2</v>
      </c>
      <c r="BS67" s="28">
        <f>-('[3]Total P&amp;C'!$AT$34+'[3]Total P&amp;C'!$AT$38)/1000/BS61</f>
        <v>0.10284621066176174</v>
      </c>
      <c r="BT67" s="28">
        <f>-('[3]Total P&amp;C'!$AT$35+'[3]Total P&amp;C'!$AT$39)/1000/BT61</f>
        <v>9.550472551581396E-2</v>
      </c>
    </row>
    <row r="68" spans="2:72" ht="16.5" customHeight="1" x14ac:dyDescent="0.25">
      <c r="B68" s="202"/>
      <c r="C68" s="9"/>
      <c r="D68" s="37" t="s">
        <v>27</v>
      </c>
      <c r="J68" s="20">
        <f>-([1]Retail!$Z$33+[1]Retail!$AA$33+[1]Retail!$BB$33+[1]Retail!$BC$33+[1]Retail!$Z$37+[1]Retail!$AA$37+[1]Retail!$BB$37+[1]Retail!$BC$37)/1000/J61</f>
        <v>-1.0734640854537238E-3</v>
      </c>
      <c r="K68" s="20">
        <f>-([1]Retail!$Z$34+[1]Retail!$AA$34+[1]Retail!$BB$34+[1]Retail!$BC$34+[1]Retail!$Z$38+[1]Retail!$AA$38+[1]Retail!$BB$38+[1]Retail!$BC$38)/1000/K61</f>
        <v>-8.6478311703324078E-3</v>
      </c>
      <c r="L68" s="20" t="e">
        <f>-([1]Retail!$Z$35+[1]Retail!$AA$35+[1]Retail!$BB$35+[1]Retail!$BC$35+[1]Retail!$Z$39+[1]Retail!$AA$39+[1]Retail!$BB$39+[1]Retail!$BC$39)/1000/L61</f>
        <v>#DIV/0!</v>
      </c>
      <c r="M68" s="7"/>
      <c r="N68" s="20">
        <f>-([1]SME!$Z$33+[1]SME!$AA$33+[1]SME!$BB$33+[1]SME!$BC$33+[1]SME!$Z$37+[1]SME!$AA$37+[1]SME!$BB$37+[1]SME!$BC$37)/1000/N61</f>
        <v>-6.8244352611735691E-3</v>
      </c>
      <c r="O68" s="20">
        <f>-([1]SME!$Z$34+[1]SME!$AA$34+[1]SME!$BB$34+[1]SME!$BC$34+[1]SME!$Z$38+[1]SME!$AA$38+[1]SME!$BB$38+[1]SME!$BC$38)/1000/O61</f>
        <v>-9.9913948925698139E-3</v>
      </c>
      <c r="P68" s="20">
        <f>-([1]SME!$Z$35+[1]SME!$AA$35+[1]SME!$BB$35+[1]SME!$BC$35+[1]SME!$Z$39+[1]SME!$AA$39+[1]SME!$BB$39+[1]SME!$BC$39)/1000/P61</f>
        <v>-4.3002889742809174E-3</v>
      </c>
      <c r="Q68" s="7"/>
      <c r="R68" s="20">
        <f>-([1]MidCorp!$Z$33+[1]MidCorp!$AA$33+[1]MidCorp!$BB$33+[1]MidCorp!$BC$33+[1]MidCorp!$Z$37+[1]MidCorp!$AA$37+[1]MidCorp!$BB$37+[1]MidCorp!$BC$37)/1000/R61</f>
        <v>-1.2240256583046383E-2</v>
      </c>
      <c r="S68" s="20">
        <f>-([1]MidCorp!$Z$34+[1]MidCorp!$AA$34+[1]MidCorp!$BB$34+[1]MidCorp!$BC$34+[1]MidCorp!$Z$38+[1]MidCorp!$AA$38+[1]MidCorp!$BB$38+[1]MidCorp!$BC$38)/1000/S61</f>
        <v>-1.3432554823669842E-2</v>
      </c>
      <c r="T68" s="20">
        <f>-([1]MidCorp!$Z$35+[1]MidCorp!$AA$35+[1]MidCorp!$BB$35+[1]MidCorp!$BC$35+[1]MidCorp!$Z$39+[1]MidCorp!$AA$39+[1]MidCorp!$BB$39+[1]MidCorp!$BC$39)/1000/T61</f>
        <v>-5.7100122535512976E-3</v>
      </c>
      <c r="U68" s="7"/>
      <c r="V68" s="20">
        <f>-([1]MGA!$Z$33+[1]MGA!$AA$33+[1]MGA!$BB$33+[1]MGA!$BC$33+[1]MGA!$Z$37+[1]MGA!$AA$37+[1]MGA!$BB$37+[1]MGA!$BC$37)/1000/V61</f>
        <v>-9.9615027642374586E-3</v>
      </c>
      <c r="W68" s="20">
        <f>-([1]MGA!$Z$34+[1]MGA!$AA$34+[1]MGA!$BB$34+[1]MGA!$BC$34+[1]MGA!$Z$38+[1]MGA!$AA$38+[1]MGA!$BB$38+[1]MGA!$BC$38)/1000/W61</f>
        <v>-8.4117132766014964E-3</v>
      </c>
      <c r="X68" s="20">
        <f>-([1]MGA!$Z$35+[1]MGA!$AA$35+[1]MGA!$BB$35+[1]MGA!$BC$35+[1]MGA!$Z$39+[1]MGA!$AA$39+[1]MGA!$BB$39+[1]MGA!$BC$39)/1000/X61</f>
        <v>-3.4017973348490693E-3</v>
      </c>
      <c r="Y68" s="7"/>
      <c r="Z68" s="20">
        <f>-([1]Bancassurance!$Z$33+[1]Bancassurance!$AA$33+[1]Bancassurance!$BB$33+[1]Bancassurance!$BC$33+[1]Bancassurance!$Z$37+[1]Bancassurance!$AA$37+[1]Bancassurance!$BB$37+[1]Bancassurance!$BC$37)/1000/Z61</f>
        <v>-2.4863922049852147E-2</v>
      </c>
      <c r="AA68" s="20" t="e">
        <f>-([1]Bancassurance!$Z$34+[1]Bancassurance!$AA$34+[1]Bancassurance!$BB$34+[1]Bancassurance!$BC$34+[1]Bancassurance!$Z$38+[1]Bancassurance!$AA$38+[1]Bancassurance!$BB$38+[1]Bancassurance!$BC$38)/1000/AA61</f>
        <v>#DIV/0!</v>
      </c>
      <c r="AB68" s="20">
        <f>-([1]Bancassurance!$Z$35+[1]Bancassurance!$AA$35+[1]Bancassurance!$BB$35+[1]Bancassurance!$BC$35+[1]Bancassurance!$Z$39+[1]Bancassurance!$AA$39+[1]Bancassurance!$BB$39+[1]Bancassurance!$BC$39)/1000/AB61</f>
        <v>-6.9539592941726932E-3</v>
      </c>
      <c r="AC68" s="7"/>
      <c r="AD68" s="20">
        <f>-([1]Specials!$Z$33+[1]Specials!$AA$33+[1]Specials!$BB$33+[1]Specials!$BC$33+[1]Specials!$Z$37+[1]Specials!$AA$37+[1]Specials!$BB$37+[1]Specials!$BC$37)/1000/AD61</f>
        <v>-1.7028532117490276E-3</v>
      </c>
      <c r="AE68" s="20">
        <f>-([1]Specials!$Z$34+[1]Specials!$AA$34+[1]Specials!$BB$34+[1]Specials!$BC$34+[1]Specials!$Z$38+[1]Specials!$AA$38+[1]Specials!$BB$38+[1]Specials!$BC$38)/1000/AE61</f>
        <v>0</v>
      </c>
      <c r="AF68" s="20" t="e">
        <f>-([1]Specials!$Z$35+[1]Specials!$AA$35+[1]Specials!$BB$35+[1]Specials!$BC$35+[1]Specials!$Z$39+[1]Specials!$AA$39+[1]Specials!$BB$39+[1]Specials!$BC$39)/1000/AF61</f>
        <v>#DIV/0!</v>
      </c>
      <c r="AG68" s="7"/>
      <c r="AH68" s="28">
        <f>-('[1]Total P&amp;C'!$Z$33+'[1]Total P&amp;C'!$AA$33+'[1]Total P&amp;C'!$BB$33+'[1]Total P&amp;C'!$BC$33+'[1]Total P&amp;C'!$Z$37+'[1]Total P&amp;C'!$AA$37+'[1]Total P&amp;C'!$BB$37+'[1]Total P&amp;C'!$BC$37)/1000/AH61</f>
        <v>-1.0924673407586467E-2</v>
      </c>
      <c r="AI68" s="28">
        <f>-('[1]Total P&amp;C'!$Z$34+'[1]Total P&amp;C'!$AA$34+'[1]Total P&amp;C'!$BB$34+'[1]Total P&amp;C'!$BC$34+'[1]Total P&amp;C'!$Z$38+'[1]Total P&amp;C'!$AA$38+'[1]Total P&amp;C'!$BB$38+'[1]Total P&amp;C'!$BC$38)/1000/AI61</f>
        <v>-1.2431763818479344E-2</v>
      </c>
      <c r="AJ68" s="28">
        <f>-('[1]Total P&amp;C'!$Z$35+'[1]Total P&amp;C'!$AA$35+'[1]Total P&amp;C'!$BB$35+'[1]Total P&amp;C'!$BC$35+'[1]Total P&amp;C'!$Z$39+'[1]Total P&amp;C'!$AA$39+'[1]Total P&amp;C'!$BB$39+'[1]Total P&amp;C'!$BC$39)/1000/AJ61</f>
        <v>-5.3277563522262711E-3</v>
      </c>
      <c r="AL68" s="202"/>
      <c r="AM68" s="9"/>
      <c r="AN68" s="37" t="s">
        <v>27</v>
      </c>
      <c r="AT68" s="20">
        <f>-([2]Retail!$Z$33+[2]Retail!$AA$33+[2]Retail!$BB$33+[2]Retail!$BC$33+[2]Retail!$Z$37+[2]Retail!$AA$37+[2]Retail!$BB$37+[2]Retail!$BC$37)/1000/AT61</f>
        <v>-1.3046384649808207E-2</v>
      </c>
      <c r="AU68" s="20">
        <f>-([2]Retail!$Z$34+[2]Retail!$AA$34+[2]Retail!$BB$34+[2]Retail!$BC$34+[2]Retail!$Z$38+[2]Retail!$AA$38+[2]Retail!$BB$38+[2]Retail!$BC$38)/1000/AU61</f>
        <v>-1.497357932480054E-2</v>
      </c>
      <c r="AV68" s="20">
        <f>-([2]Retail!$Z$35+[2]Retail!$AA$35+[2]Retail!$BB$35+[2]Retail!$BC$35+[2]Retail!$Z$39+[2]Retail!$AA$39+[2]Retail!$BB$39+[2]Retail!$BC$39)/1000/AV61</f>
        <v>-6.3464252960261404E-3</v>
      </c>
      <c r="AW68" s="7"/>
      <c r="AX68" s="20">
        <f>-([2]SME!$Z$33+[2]SME!$AA$33+[2]SME!$BB$33+[2]SME!$BC$33+[2]SME!$Z$37+[2]SME!$AA$37+[2]SME!$BB$37+[2]SME!$BC$37)/1000/AX61</f>
        <v>-1.2174786232578314E-2</v>
      </c>
      <c r="AY68" s="20">
        <f>-([2]SME!$Z$34+[2]SME!$AA$34+[2]SME!$BB$34+[2]SME!$BC$34+[2]SME!$Z$38+[2]SME!$AA$38+[2]SME!$BB$38+[2]SME!$BC$38)/1000/AY61</f>
        <v>-9.3565210757812576E-3</v>
      </c>
      <c r="AZ68" s="20">
        <f>-([2]SME!$Z$35+[2]SME!$AA$35+[2]SME!$BB$35+[2]SME!$BC$35+[2]SME!$Z$39+[2]SME!$AA$39+[2]SME!$BB$39+[2]SME!$BC$39)/1000/AZ61</f>
        <v>-6.6127943624310027E-3</v>
      </c>
      <c r="BA68" s="7"/>
      <c r="BB68" s="20">
        <f>-([2]MidCorp!$Z$33+[2]MidCorp!$AA$33+[2]MidCorp!$BB$33+[2]MidCorp!$BC$33+[2]MidCorp!$Z$37+[2]MidCorp!$AA$37+[2]MidCorp!$BB$37+[2]MidCorp!$BC$37)/1000/BB61</f>
        <v>-1.5005038835030873E-2</v>
      </c>
      <c r="BC68" s="20">
        <f>-([2]MidCorp!$Z$34+[2]MidCorp!$AA$34+[2]MidCorp!$BB$34+[2]MidCorp!$BC$34+[2]MidCorp!$Z$38+[2]MidCorp!$AA$38+[2]MidCorp!$BB$38+[2]MidCorp!$BC$38)/1000/BC61</f>
        <v>-1.6247960383524832E-2</v>
      </c>
      <c r="BD68" s="20">
        <f>-([2]MidCorp!$Z$35+[2]MidCorp!$AA$35+[2]MidCorp!$BB$35+[2]MidCorp!$BC$35+[2]MidCorp!$Z$39+[2]MidCorp!$AA$39+[2]MidCorp!$BB$39+[2]MidCorp!$BC$39)/1000/BD61</f>
        <v>-1.0883175207760718E-2</v>
      </c>
      <c r="BJ68" s="20" t="e">
        <f>-([2]Specials!$Z$33+[2]Specials!$AA$33+[2]Specials!$BB$33+[2]Specials!$BC$33+[2]Specials!$Z$37+[2]Specials!$AA$37+[2]Specials!$BB$37+[2]Specials!$BC$37)/1000/BJ61</f>
        <v>#DIV/0!</v>
      </c>
      <c r="BK68" s="20" t="e">
        <f>-([2]Specials!$Z$34+[2]Specials!$AA$34+[2]Specials!$BB$34+[2]Specials!$BC$34+[2]Specials!$Z$38+[2]Specials!$AA$38+[2]Specials!$BB$38+[2]Specials!$BC$38)/1000/BK61</f>
        <v>#DIV/0!</v>
      </c>
      <c r="BL68" s="20" t="e">
        <f>-([2]Specials!$Z$35+[2]Specials!$AA$35+[2]Specials!$BB$35+[2]Specials!$BC$35+[2]Specials!$Z$39+[2]Specials!$AA$39+[2]Specials!$BB$39+[2]Specials!$BC$39)/1000/BL61</f>
        <v>#DIV/0!</v>
      </c>
      <c r="BM68" s="7"/>
      <c r="BN68" s="28">
        <f>-('[2]Total P&amp;C'!$Z$33+'[2]Total P&amp;C'!$AA$33+'[2]Total P&amp;C'!$BB$33+'[2]Total P&amp;C'!$BC$33+'[2]Total P&amp;C'!$Z$37+'[2]Total P&amp;C'!$AA$37+'[2]Total P&amp;C'!$BB$37+'[2]Total P&amp;C'!$BC$37)/1000/BN61</f>
        <v>-1.3866428138453837E-2</v>
      </c>
      <c r="BO68" s="28">
        <f>-('[2]Total P&amp;C'!$Z$34+'[2]Total P&amp;C'!$AA$34+'[2]Total P&amp;C'!$BB$34+'[2]Total P&amp;C'!$BC$34+'[2]Total P&amp;C'!$Z$38+'[2]Total P&amp;C'!$AA$38+'[2]Total P&amp;C'!$BB$38+'[2]Total P&amp;C'!$BC$38)/1000/BO61</f>
        <v>-1.4803840455144001E-2</v>
      </c>
      <c r="BP68" s="28">
        <f>-('[2]Total P&amp;C'!$Z$35+'[2]Total P&amp;C'!$AA$35+'[2]Total P&amp;C'!$BB$35+'[2]Total P&amp;C'!$BC$35+'[2]Total P&amp;C'!$Z$39+'[2]Total P&amp;C'!$AA$39+'[2]Total P&amp;C'!$BB$39+'[2]Total P&amp;C'!$BC$39)/1000/BP61</f>
        <v>-8.6813555207696513E-3</v>
      </c>
      <c r="BR68" s="28">
        <f>-('[3]Total P&amp;C'!$Z$33+'[3]Total P&amp;C'!$AA$33+'[3]Total P&amp;C'!$BB$33+'[3]Total P&amp;C'!$BC$33+'[3]Total P&amp;C'!$Z$37+'[3]Total P&amp;C'!$AA$37+'[3]Total P&amp;C'!$BB$37+'[3]Total P&amp;C'!$BC$37)/1000/BR61</f>
        <v>-1.1982127946977124E-2</v>
      </c>
      <c r="BS68" s="28">
        <f>-('[3]Total P&amp;C'!$Z$34+'[3]Total P&amp;C'!$AA$34+'[3]Total P&amp;C'!$BB$34+'[3]Total P&amp;C'!$BC$34+'[3]Total P&amp;C'!$Z$38+'[3]Total P&amp;C'!$AA$38+'[3]Total P&amp;C'!$BB$38+'[3]Total P&amp;C'!$BC$38)/1000/BS61</f>
        <v>-1.3290886406931256E-2</v>
      </c>
      <c r="BT68" s="28">
        <f>-('[3]Total P&amp;C'!$Z$35+'[3]Total P&amp;C'!$AA$35+'[3]Total P&amp;C'!$BB$35+'[3]Total P&amp;C'!$BC$35+'[3]Total P&amp;C'!$Z$39+'[3]Total P&amp;C'!$AA$39+'[3]Total P&amp;C'!$BB$39+'[3]Total P&amp;C'!$BC$39)/1000/BT61</f>
        <v>-6.4406158110859963E-3</v>
      </c>
    </row>
    <row r="69" spans="2:72" ht="16.5" customHeight="1" x14ac:dyDescent="0.25">
      <c r="B69" s="202"/>
      <c r="C69" s="9"/>
      <c r="D69" s="37" t="s">
        <v>28</v>
      </c>
      <c r="J69" s="20">
        <f>-SUM([1]Retail!$AC$33:$AI$33,[1]Retail!$BE$33:$BG$33,[1]Retail!$AC$37:$AI$37,[1]Retail!$BE$37:$BG$37)/1000/J61</f>
        <v>-5.690293231936836E-3</v>
      </c>
      <c r="K69" s="20">
        <f>-SUM([1]Retail!$AC$34:$AI$34,[1]Retail!$BE$34:$BG$34,[1]Retail!$AC$38:$AI$38,[1]Retail!$BE$38:$BG$38)/1000/K61</f>
        <v>-8.7631649080006646E-2</v>
      </c>
      <c r="L69" s="20" t="e">
        <f>-SUM([1]Retail!$AC$35:$AI$35,[1]Retail!$BE$35:$BG$35,[1]Retail!$AC$39:$AI$39,[1]Retail!$BE$39:$BG$39)/1000/L61</f>
        <v>#DIV/0!</v>
      </c>
      <c r="M69" s="7"/>
      <c r="N69" s="20">
        <f>-SUM([1]SME!$AC$33:$AI$33,[1]SME!$BE$33:$BG$33,[1]SME!$AC$37:$AI$37,[1]SME!$BE$37:$BG$37)/1000/N61</f>
        <v>0.26692142368963945</v>
      </c>
      <c r="O69" s="20">
        <f>-SUM([1]SME!$AC$34:$AI$34,[1]SME!$BE$34:$BG$34,[1]SME!$AC$38:$AI$38,[1]SME!$BE$38:$BG$38)/1000/O61</f>
        <v>-0.16812989907645648</v>
      </c>
      <c r="P69" s="20">
        <f>-SUM([1]SME!$AC$35:$AI$35,[1]SME!$BE$35:$BG$35,[1]SME!$AC$39:$AI$39,[1]SME!$BE$39:$BG$39)/1000/P61</f>
        <v>-2.2571270527082726E-2</v>
      </c>
      <c r="Q69" s="7"/>
      <c r="R69" s="20">
        <f>-SUM([1]MidCorp!$AC$33:$AI$33,[1]MidCorp!$BE$33:$BG$33,[1]MidCorp!$AC$37:$AI$37,[1]MidCorp!$BE$37:$BG$37)/1000/R61</f>
        <v>-5.5824285646373123E-2</v>
      </c>
      <c r="S69" s="20">
        <f>-SUM([1]MidCorp!$AC$34:$AI$34,[1]MidCorp!$BE$34:$BG$34,[1]MidCorp!$AC$38:$AI$38,[1]MidCorp!$BE$38:$BG$38)/1000/S61</f>
        <v>1.4814153080791691E-2</v>
      </c>
      <c r="T69" s="20">
        <f>-SUM([1]MidCorp!$AC$35:$AI$35,[1]MidCorp!$BE$35:$BG$35,[1]MidCorp!$AC$39:$AI$39,[1]MidCorp!$BE$39:$BG$39)/1000/T61</f>
        <v>-1.8961564485510281E-2</v>
      </c>
      <c r="U69" s="7"/>
      <c r="V69" s="20">
        <f>-SUM([1]MGA!$AC$33:$AI$33,[1]MGA!$BE$33:$BG$33,[1]MGA!$AC$37:$AI$37,[1]MGA!$BE$37:$BG$37)/1000/V61</f>
        <v>-0.35311616695371661</v>
      </c>
      <c r="W69" s="20">
        <f>-SUM([1]MGA!$AC$34:$AI$34,[1]MGA!$BE$34:$BG$34,[1]MGA!$AC$38:$AI$38,[1]MGA!$BE$38:$BG$38)/1000/W61</f>
        <v>4.3431778234569993E-2</v>
      </c>
      <c r="X69" s="20">
        <f>-SUM([1]MGA!$AC$35:$AI$35,[1]MGA!$BE$35:$BG$35,[1]MGA!$AC$39:$AI$39,[1]MGA!$BE$39:$BG$39)/1000/X61</f>
        <v>-6.9393505587707696E-2</v>
      </c>
      <c r="Y69" s="7"/>
      <c r="Z69" s="20">
        <f>-SUM([1]Bancassurance!$AC$33:$AI$33,[1]Bancassurance!$BE$33:$BG$33,[1]Bancassurance!$AC$37:$AI$37,[1]Bancassurance!$BE$37:$BG$37)/1000/Z61</f>
        <v>-6.8803543632268843E-2</v>
      </c>
      <c r="AA69" s="20" t="e">
        <f>-SUM([1]Bancassurance!$AC$34:$AI$34,[1]Bancassurance!$BE$34:$BG$34,[1]Bancassurance!$AC$38:$AI$38,[1]Bancassurance!$BE$38:$BG$38)/1000/AA61</f>
        <v>#DIV/0!</v>
      </c>
      <c r="AB69" s="20">
        <f>-SUM([1]Bancassurance!$AC$35:$AI$35,[1]Bancassurance!$BE$35:$BG$35,[1]Bancassurance!$AC$39:$AI$39,[1]Bancassurance!$BE$39:$BG$39)/1000/AB61</f>
        <v>-1.0756838452095198E-2</v>
      </c>
      <c r="AC69" s="7"/>
      <c r="AD69" s="20">
        <f>-SUM([1]Specials!$AC$33:$AI$33,[1]Specials!$BE$33:$BG$33,[1]Specials!$AC$37:$AI$37,[1]Specials!$BE$37:$BG$37)/1000/AD61</f>
        <v>-1.092374849340831</v>
      </c>
      <c r="AE69" s="20">
        <f>-SUM([1]Specials!$AC$34:$AI$34,[1]Specials!$BE$34:$BG$34,[1]Specials!$AC$38:$AI$38,[1]Specials!$BE$38:$BG$38)/1000/AE61</f>
        <v>2.245528184526794</v>
      </c>
      <c r="AF69" s="20" t="e">
        <f>-SUM([1]Specials!$AC$35:$AI$35,[1]Specials!$BE$35:$BG$35,[1]Specials!$AC$39:$AI$39,[1]Specials!$BE$39:$BG$39)/1000/AF61</f>
        <v>#DIV/0!</v>
      </c>
      <c r="AG69" s="7"/>
      <c r="AH69" s="28">
        <f>-SUM('[1]Total P&amp;C'!$AC$33:$AI$33,'[1]Total P&amp;C'!$BE$33:$BG$33,'[1]Total P&amp;C'!$AC$37:$AI$37,'[1]Total P&amp;C'!$BE$37:$BG$37)/1000/AH61</f>
        <v>-1.6835226579817886E-2</v>
      </c>
      <c r="AI69" s="28">
        <f>-SUM('[1]Total P&amp;C'!$AC$34:$AI$34,'[1]Total P&amp;C'!$BE$34:$BG$34,'[1]Total P&amp;C'!$AC$38:$AI$38,'[1]Total P&amp;C'!$BE$38:$BG$38)/1000/AI61</f>
        <v>-1.7951212567318669E-2</v>
      </c>
      <c r="AJ69" s="28">
        <f>-SUM('[1]Total P&amp;C'!$AC$35:$AI$35,'[1]Total P&amp;C'!$BE$35:$BG$35,'[1]Total P&amp;C'!$AC$39:$AI$39,'[1]Total P&amp;C'!$BE$39:$BG$39)/1000/AJ61</f>
        <v>-2.3800622910122568E-2</v>
      </c>
      <c r="AL69" s="202"/>
      <c r="AM69" s="9"/>
      <c r="AN69" s="37" t="s">
        <v>28</v>
      </c>
      <c r="AT69" s="20">
        <f>-SUM([2]Retail!$AC$33:$AI$33,[2]Retail!$BE$33:$BG$33,[2]Retail!$AC$37:$AI$37,[2]Retail!$BE$37:$BG$37)/1000/AT61</f>
        <v>-5.7492802367438388E-2</v>
      </c>
      <c r="AU69" s="20">
        <f>-SUM([2]Retail!$AC$34:$AI$34,[2]Retail!$BE$34:$BG$34,[2]Retail!$AC$38:$AI$38,[2]Retail!$BE$38:$BG$38)/1000/AU61</f>
        <v>-0.18464273573960746</v>
      </c>
      <c r="AV69" s="20">
        <f>-SUM([2]Retail!$AC$35:$AI$35,[2]Retail!$BE$35:$BG$35,[2]Retail!$AC$39:$AI$39,[2]Retail!$BE$39:$BG$39)/1000/AV61</f>
        <v>-8.5187506345599431E-3</v>
      </c>
      <c r="AW69" s="7"/>
      <c r="AX69" s="20">
        <f>-SUM([2]SME!$AC$33:$AI$33,[2]SME!$BE$33:$BG$33,[2]SME!$AC$37:$AI$37,[2]SME!$BE$37:$BG$37)/1000/AX61</f>
        <v>-3.4548210101154372E-2</v>
      </c>
      <c r="AY69" s="20">
        <f>-SUM([2]SME!$AC$34:$AI$34,[2]SME!$BE$34:$BG$34,[2]SME!$AC$38:$AI$38,[2]SME!$BE$38:$BG$38)/1000/AY61</f>
        <v>-0.42847915276404364</v>
      </c>
      <c r="AZ69" s="20">
        <f>-SUM([2]SME!$AC$35:$AI$35,[2]SME!$BE$35:$BG$35,[2]SME!$AC$39:$AI$39,[2]SME!$BE$39:$BG$39)/1000/AZ61</f>
        <v>-7.5840060120268256E-3</v>
      </c>
      <c r="BA69" s="7"/>
      <c r="BB69" s="20">
        <f>-SUM([2]MidCorp!$AC$33:$AI$33,[2]MidCorp!$BE$33:$BG$33,[2]MidCorp!$AC$37:$AI$37,[2]MidCorp!$BE$37:$BG$37)/1000/BB61</f>
        <v>0.15085301189490272</v>
      </c>
      <c r="BC69" s="20">
        <f>-SUM([2]MidCorp!$AC$34:$AI$34,[2]MidCorp!$BE$34:$BG$34,[2]MidCorp!$AC$38:$AI$38,[2]MidCorp!$BE$38:$BG$38)/1000/BC61</f>
        <v>0.17087092766946738</v>
      </c>
      <c r="BD69" s="20">
        <f>-SUM([2]MidCorp!$AC$35:$AI$35,[2]MidCorp!$BE$35:$BG$35,[2]MidCorp!$AC$39:$AI$39,[2]MidCorp!$BE$39:$BG$39)/1000/BD61</f>
        <v>-5.6343599840676193E-3</v>
      </c>
      <c r="BJ69" s="20" t="e">
        <f>-SUM([2]Specials!$AC$33:$AI$33,[2]Specials!$BE$33:$BG$33,[2]Specials!$AC$37:$AI$37,[2]Specials!$BE$37:$BG$37)/1000/BJ61</f>
        <v>#DIV/0!</v>
      </c>
      <c r="BK69" s="20" t="e">
        <f>-SUM([2]Specials!$AC$34:$AI$34,[2]Specials!$BE$34:$BG$34,[2]Specials!$AC$38:$AI$38,[2]Specials!$BE$38:$BG$38)/1000/BK61</f>
        <v>#DIV/0!</v>
      </c>
      <c r="BL69" s="20" t="e">
        <f>-SUM([2]Specials!$AC$35:$AI$35,[2]Specials!$BE$35:$BG$35,[2]Specials!$AC$39:$AI$39,[2]Specials!$BE$39:$BG$39)/1000/BL61</f>
        <v>#DIV/0!</v>
      </c>
      <c r="BM69" s="7"/>
      <c r="BN69" s="28">
        <f>-SUM('[2]Total P&amp;C'!$AC$33:$AI$33,'[2]Total P&amp;C'!$BE$33:$BG$33,'[2]Total P&amp;C'!$AC$37:$AI$37,'[2]Total P&amp;C'!$BE$37:$BG$37)/1000/BN61</f>
        <v>4.4619414860708431E-2</v>
      </c>
      <c r="BO69" s="28">
        <f>-SUM('[2]Total P&amp;C'!$AC$34:$AI$34,'[2]Total P&amp;C'!$BE$34:$BG$34,'[2]Total P&amp;C'!$AC$38:$AI$38,'[2]Total P&amp;C'!$BE$38:$BG$38)/1000/BO61</f>
        <v>-5.3869957532175619E-2</v>
      </c>
      <c r="BP69" s="28">
        <f>-SUM('[2]Total P&amp;C'!$AC$35:$AI$35,'[2]Total P&amp;C'!$BE$35:$BG$35,'[2]Total P&amp;C'!$AC$39:$AI$39,'[2]Total P&amp;C'!$BE$39:$BG$39)/1000/BP61</f>
        <v>-6.94105626249509E-3</v>
      </c>
      <c r="BR69" s="28">
        <f>-SUM('[3]Total P&amp;C'!$AC$33:$AI$33,'[3]Total P&amp;C'!$BE$33:$BG$33,'[3]Total P&amp;C'!$AC$37:$AI$37,'[3]Total P&amp;C'!$BE$37:$BG$37)/1000/BR61</f>
        <v>5.2554966460266282E-3</v>
      </c>
      <c r="BS69" s="28">
        <f>-SUM('[3]Total P&amp;C'!$AC$34:$AI$34,'[3]Total P&amp;C'!$BE$34:$BG$34,'[3]Total P&amp;C'!$AC$38:$AI$38,'[3]Total P&amp;C'!$BE$38:$BG$38)/1000/BS61</f>
        <v>-3.0960322252552866E-2</v>
      </c>
      <c r="BT69" s="28">
        <f>-SUM('[3]Total P&amp;C'!$AC$35:$AI$35,'[3]Total P&amp;C'!$BE$35:$BG$35,'[3]Total P&amp;C'!$AC$39:$AI$39,'[3]Total P&amp;C'!$BE$39:$BG$39)/1000/BT61</f>
        <v>-1.8205938729592551E-2</v>
      </c>
    </row>
    <row r="70" spans="2:72" ht="16.5" customHeight="1" x14ac:dyDescent="0.25">
      <c r="B70" s="202"/>
      <c r="C70" s="9"/>
      <c r="D70" s="37" t="s">
        <v>29</v>
      </c>
      <c r="J70" s="20">
        <f>-SUM([1]Retail!$AJ$33:$AK$33,[1]Retail!$BH$33:$BI$33,[1]Retail!$AJ$37:$AK$37,[1]Retail!$BH$37:$BI$37)/1000/J61</f>
        <v>9.0225479905352741E-3</v>
      </c>
      <c r="K70" s="20">
        <f>-SUM([1]Retail!$AJ$34:$AK$34,[1]Retail!$BH$34:$BI$34,[1]Retail!$AJ$38:$AK$38,[1]Retail!$BH$38:$BI$38)/1000/K61</f>
        <v>3.669544502547716E-3</v>
      </c>
      <c r="L70" s="20" t="e">
        <f>-SUM([1]Retail!$AJ$35:$AK$35,[1]Retail!$BH$35:$BI$35,[1]Retail!$AJ$39:$AK$39,[1]Retail!$BH$39:$BI$39)/1000/L61</f>
        <v>#DIV/0!</v>
      </c>
      <c r="M70" s="7"/>
      <c r="N70" s="20">
        <f>-SUM([1]SME!$AJ$33:$AK$33,[1]SME!$BH$33:$BI$33,[1]SME!$AJ$37:$AK$37,[1]SME!$BH$37:$BI$37)/1000/N61</f>
        <v>8.3031440518743305E-4</v>
      </c>
      <c r="O70" s="20">
        <f>-SUM([1]SME!$AJ$34:$AK$34,[1]SME!$BH$34:$BI$34,[1]SME!$AJ$38:$AK$38,[1]SME!$BH$38:$BI$38)/1000/O61</f>
        <v>4.4156534432005642E-3</v>
      </c>
      <c r="P70" s="20">
        <f>-SUM([1]SME!$AJ$35:$AK$35,[1]SME!$BH$35:$BI$35,[1]SME!$AJ$39:$AK$39,[1]SME!$BH$39:$BI$39)/1000/P61</f>
        <v>0</v>
      </c>
      <c r="Q70" s="7"/>
      <c r="R70" s="20">
        <f>-SUM([1]MidCorp!$AJ$33:$AK$33,[1]MidCorp!$BH$33:$BI$33,[1]MidCorp!$AJ$37:$AK$37,[1]MidCorp!$BH$37:$BI$37)/1000/R61</f>
        <v>-2.3588954752363444E-3</v>
      </c>
      <c r="S70" s="20">
        <f>-SUM([1]MidCorp!$AJ$34:$AK$34,[1]MidCorp!$BH$34:$BI$34,[1]MidCorp!$AJ$38:$AK$38,[1]MidCorp!$BH$38:$BI$38)/1000/S61</f>
        <v>-7.8441943273259464E-3</v>
      </c>
      <c r="T70" s="20">
        <f>-SUM([1]MidCorp!$AJ$35:$AK$35,[1]MidCorp!$BH$35:$BI$35,[1]MidCorp!$AJ$39:$AK$39,[1]MidCorp!$BH$39:$BI$39)/1000/T61</f>
        <v>0</v>
      </c>
      <c r="U70" s="7"/>
      <c r="V70" s="20">
        <f>-SUM([1]MGA!$AJ$33:$AK$33,[1]MGA!$BH$33:$BI$33,[1]MGA!$AJ$37:$AK$37,[1]MGA!$BH$37:$BI$37)/1000/V61</f>
        <v>5.2609675137385214E-3</v>
      </c>
      <c r="W70" s="20">
        <f>-SUM([1]MGA!$AJ$34:$AK$34,[1]MGA!$BH$34:$BI$34,[1]MGA!$AJ$38:$AK$38,[1]MGA!$BH$38:$BI$38)/1000/W61</f>
        <v>8.4469463734169851E-4</v>
      </c>
      <c r="X70" s="20">
        <f>-SUM([1]MGA!$AJ$35:$AK$35,[1]MGA!$BH$35:$BI$35,[1]MGA!$AJ$39:$AK$39,[1]MGA!$BH$39:$BI$39)/1000/X61</f>
        <v>0</v>
      </c>
      <c r="Y70" s="7"/>
      <c r="Z70" s="20">
        <f>-SUM([1]Bancassurance!$AJ$33:$AK$33,[1]Bancassurance!$BH$33:$BI$33,[1]Bancassurance!$AJ$37:$AK$37,[1]Bancassurance!$BH$37:$BI$37)/1000/Z61</f>
        <v>4.8985774067512337E-3</v>
      </c>
      <c r="AA70" s="20" t="e">
        <f>-SUM([1]Bancassurance!$AJ$34:$AK$34,[1]Bancassurance!$BH$34:$BI$34,[1]Bancassurance!$AJ$38:$AK$38,[1]Bancassurance!$BH$38:$BI$38)/1000/AA61</f>
        <v>#DIV/0!</v>
      </c>
      <c r="AB70" s="20">
        <f>-SUM([1]Bancassurance!$AJ$35:$AK$35,[1]Bancassurance!$BH$35:$BI$35,[1]Bancassurance!$AJ$39:$AK$39,[1]Bancassurance!$BH$39:$BI$39)/1000/AB61</f>
        <v>0</v>
      </c>
      <c r="AC70" s="7"/>
      <c r="AD70" s="20">
        <f>-SUM([1]Specials!$AJ$33:$AK$33,[1]Specials!$BH$33:$BI$33,[1]Specials!$AJ$37:$AK$37,[1]Specials!$BH$37:$BI$37)/1000/AD61</f>
        <v>4.3503949642944255E-4</v>
      </c>
      <c r="AE70" s="20">
        <f>-SUM([1]Specials!$AJ$34:$AK$34,[1]Specials!$BH$34:$BI$34,[1]Specials!$AJ$38:$AK$38,[1]Specials!$BH$38:$BI$38)/1000/AE61</f>
        <v>6.5254618976313494E-4</v>
      </c>
      <c r="AF70" s="20" t="e">
        <f>-SUM([1]Specials!$AJ$35:$AK$35,[1]Specials!$BH$35:$BI$35,[1]Specials!$AJ$39:$AK$39,[1]Specials!$BH$39:$BI$39)/1000/AF61</f>
        <v>#DIV/0!</v>
      </c>
      <c r="AG70" s="7"/>
      <c r="AH70" s="28">
        <f>-SUM('[1]Total P&amp;C'!$AJ$33:$AK$33,'[1]Total P&amp;C'!$BH$33:$BI$33,'[1]Total P&amp;C'!$AJ$37:$AK$37,'[1]Total P&amp;C'!$BH$37:$BI$37)/1000/AH61</f>
        <v>-1.10605557979845E-3</v>
      </c>
      <c r="AI70" s="28">
        <f>-SUM('[1]Total P&amp;C'!$AJ$34:$AK$34,'[1]Total P&amp;C'!$BH$34:$BI$34,'[1]Total P&amp;C'!$AJ$38:$AK$38,'[1]Total P&amp;C'!$BH$38:$BI$38)/1000/AI61</f>
        <v>-4.9218133049096016E-3</v>
      </c>
      <c r="AJ70" s="28">
        <f>-SUM('[1]Total P&amp;C'!$AJ$35:$AK$35,'[1]Total P&amp;C'!$BH$35:$BI$35,'[1]Total P&amp;C'!$AJ$39:$AK$39,'[1]Total P&amp;C'!$BH$39:$BI$39)/1000/AJ61</f>
        <v>0</v>
      </c>
      <c r="AL70" s="202"/>
      <c r="AM70" s="9"/>
      <c r="AN70" s="37" t="s">
        <v>29</v>
      </c>
      <c r="AT70" s="20">
        <f>-SUM([2]Retail!$AJ$33:$AK$33,[2]Retail!$BH$33:$BI$33,[2]Retail!$AJ$37:$AK$37,[2]Retail!$BH$37:$BI$37)/1000/AT61</f>
        <v>-6.5514754545978942E-3</v>
      </c>
      <c r="AU70" s="20">
        <f>-SUM([2]Retail!$AJ$34:$AK$34,[2]Retail!$BH$34:$BI$34,[2]Retail!$AJ$38:$AK$38,[2]Retail!$BH$38:$BI$38)/1000/AU61</f>
        <v>6.7903285167523562E-3</v>
      </c>
      <c r="AV70" s="20">
        <f>-SUM([2]Retail!$AJ$35:$AK$35,[2]Retail!$BH$35:$BI$35,[2]Retail!$AJ$39:$AK$39,[2]Retail!$BH$39:$BI$39)/1000/AV61</f>
        <v>0</v>
      </c>
      <c r="AW70" s="7"/>
      <c r="AX70" s="20">
        <f>-SUM([2]SME!$AJ$33:$AK$33,[2]SME!$BH$33:$BI$33,[2]SME!$AJ$37:$AK$37,[2]SME!$BH$37:$BI$37)/1000/AX61</f>
        <v>-2.2839951446299795E-3</v>
      </c>
      <c r="AY70" s="20">
        <f>-SUM([2]SME!$AJ$34:$AK$34,[2]SME!$BH$34:$BI$34,[2]SME!$AJ$38:$AK$38,[2]SME!$BH$38:$BI$38)/1000/AY61</f>
        <v>1.0652370055083328E-2</v>
      </c>
      <c r="AZ70" s="20">
        <f>-SUM([2]SME!$AJ$35:$AK$35,[2]SME!$BH$35:$BI$35,[2]SME!$AJ$39:$AK$39,[2]SME!$BH$39:$BI$39)/1000/AZ61</f>
        <v>0</v>
      </c>
      <c r="BA70" s="7"/>
      <c r="BB70" s="20">
        <f>-SUM([2]MidCorp!$AJ$33:$AK$33,[2]MidCorp!$BH$33:$BI$33,[2]MidCorp!$AJ$37:$AK$37,[2]MidCorp!$BH$37:$BI$37)/1000/BB61</f>
        <v>-2.2303222358789655E-2</v>
      </c>
      <c r="BC70" s="20">
        <f>-SUM([2]MidCorp!$AJ$34:$AK$34,[2]MidCorp!$BH$34:$BI$34,[2]MidCorp!$AJ$38:$AK$38,[2]MidCorp!$BH$38:$BI$38)/1000/BC61</f>
        <v>-1.4149962894591216E-2</v>
      </c>
      <c r="BD70" s="20">
        <f>-SUM([2]MidCorp!$AJ$35:$AK$35,[2]MidCorp!$BH$35:$BI$35,[2]MidCorp!$AJ$39:$AK$39,[2]MidCorp!$BH$39:$BI$39)/1000/BD61</f>
        <v>0</v>
      </c>
      <c r="BJ70" s="20" t="e">
        <f>-SUM([2]Specials!$AJ$33:$AK$33,[2]Specials!$BH$33:$BI$33,[2]Specials!$AJ$37:$AK$37,[2]Specials!$BH$37:$BI$37)/1000/BJ61</f>
        <v>#DIV/0!</v>
      </c>
      <c r="BK70" s="20" t="e">
        <f>-SUM([2]Specials!$AJ$34:$AK$34,[2]Specials!$BH$34:$BI$34,[2]Specials!$AJ$38:$AK$38,[2]Specials!$BH$38:$BI$38)/1000/BK61</f>
        <v>#DIV/0!</v>
      </c>
      <c r="BL70" s="20" t="e">
        <f>-SUM([2]Specials!$AJ$35:$AK$35,[2]Specials!$BH$35:$BI$35,[2]Specials!$AJ$39:$AK$39,[2]Specials!$BH$39:$BI$39)/1000/BL61</f>
        <v>#DIV/0!</v>
      </c>
      <c r="BM70" s="7"/>
      <c r="BN70" s="28">
        <f>-SUM('[2]Total P&amp;C'!$AJ$33:$AK$33,'[2]Total P&amp;C'!$BH$33:$BI$33,'[2]Total P&amp;C'!$AJ$37:$AK$37,'[2]Total P&amp;C'!$BH$37:$BI$37)/1000/BN61</f>
        <v>-1.3499206960785057E-2</v>
      </c>
      <c r="BO70" s="28">
        <f>-SUM('[2]Total P&amp;C'!$AJ$34:$AK$34,'[2]Total P&amp;C'!$BH$34:$BI$34,'[2]Total P&amp;C'!$AJ$38:$AK$38,'[2]Total P&amp;C'!$BH$38:$BI$38)/1000/BO61</f>
        <v>-2.3259505435886036E-3</v>
      </c>
      <c r="BP70" s="28">
        <f>-SUM('[2]Total P&amp;C'!$AJ$35:$AK$35,'[2]Total P&amp;C'!$BH$35:$BI$35,'[2]Total P&amp;C'!$AJ$39:$AK$39,'[2]Total P&amp;C'!$BH$39:$BI$39)/1000/BP61</f>
        <v>0</v>
      </c>
      <c r="BR70" s="28">
        <f>-SUM('[3]Total P&amp;C'!$AJ$33:$AK$33,'[3]Total P&amp;C'!$BH$33:$BI$33,'[3]Total P&amp;C'!$AJ$37:$AK$37,'[3]Total P&amp;C'!$BH$37:$BI$37)/1000/BR61</f>
        <v>-5.5609457335115157E-3</v>
      </c>
      <c r="BS70" s="28">
        <f>-SUM('[3]Total P&amp;C'!$AJ$34:$AK$34,'[3]Total P&amp;C'!$BH$34:$BI$34,'[3]Total P&amp;C'!$AJ$38:$AK$38,'[3]Total P&amp;C'!$BH$38:$BI$38)/1000/BS61</f>
        <v>-3.9816394925205455E-3</v>
      </c>
      <c r="BT70" s="28">
        <f>-SUM('[3]Total P&amp;C'!$AJ$35:$AK$35,'[3]Total P&amp;C'!$BH$35:$BI$35,'[3]Total P&amp;C'!$AJ$39:$AK$39,'[3]Total P&amp;C'!$BH$39:$BI$39)/1000/BT61</f>
        <v>0</v>
      </c>
    </row>
    <row r="71" spans="2:72" ht="16.5" customHeight="1" x14ac:dyDescent="0.25">
      <c r="B71" s="202"/>
      <c r="C71" s="9"/>
      <c r="D71" s="37" t="s">
        <v>30</v>
      </c>
      <c r="J71" s="20">
        <f>+J72+J73+J74</f>
        <v>0.33569756277656809</v>
      </c>
      <c r="K71" s="20">
        <f>+K72+K73+K74</f>
        <v>0.51187342371872524</v>
      </c>
      <c r="L71" s="20" t="e">
        <f>+L72+L73+L74</f>
        <v>#DIV/0!</v>
      </c>
      <c r="M71" s="7"/>
      <c r="N71" s="20">
        <f>+N72+N73+N74</f>
        <v>0.3326553869417086</v>
      </c>
      <c r="O71" s="20">
        <f>+O72+O73+O74</f>
        <v>0.38225517683862342</v>
      </c>
      <c r="P71" s="20">
        <f>+P72+P73+P74</f>
        <v>0.40822164756437879</v>
      </c>
      <c r="Q71" s="7"/>
      <c r="R71" s="20">
        <f>+R72+R73+R74</f>
        <v>0.23991374197874685</v>
      </c>
      <c r="S71" s="20">
        <f>+S72+S73+S74</f>
        <v>0.23538977106731335</v>
      </c>
      <c r="T71" s="20">
        <f>+T72+T73+T74</f>
        <v>0.23482536462999165</v>
      </c>
      <c r="U71" s="7"/>
      <c r="V71" s="20">
        <f>+V72+V73+V74</f>
        <v>0.47053922477365429</v>
      </c>
      <c r="W71" s="20">
        <f>+W72+W73+W74</f>
        <v>0.53504411599307145</v>
      </c>
      <c r="X71" s="20">
        <f>+X72+X73+X74</f>
        <v>0.43071108173516981</v>
      </c>
      <c r="Y71" s="7"/>
      <c r="Z71" s="20">
        <f>+Z72+Z73+Z74</f>
        <v>18.284671182133575</v>
      </c>
      <c r="AA71" s="20" t="e">
        <f>+AA72+AA73+AA74</f>
        <v>#DIV/0!</v>
      </c>
      <c r="AB71" s="20">
        <f>+AB72+AB73+AB74</f>
        <v>1.2510524868443889</v>
      </c>
      <c r="AC71" s="7"/>
      <c r="AD71" s="20">
        <f>+AD72+AD73+AD74</f>
        <v>0.14293982465659033</v>
      </c>
      <c r="AE71" s="20">
        <f>+AE72+AE73+AE74</f>
        <v>0.14733841647562379</v>
      </c>
      <c r="AF71" s="20" t="e">
        <f>+AF72+AF73+AF74</f>
        <v>#DIV/0!</v>
      </c>
      <c r="AG71" s="7"/>
      <c r="AH71" s="28">
        <f>+AH72+AH73+AH74</f>
        <v>0.27960419672657383</v>
      </c>
      <c r="AI71" s="28">
        <f>+AI72+AI73+AI74</f>
        <v>0.29431390317186579</v>
      </c>
      <c r="AJ71" s="28">
        <f>+AJ72+AJ73+AJ74</f>
        <v>0.28117364829987301</v>
      </c>
      <c r="AL71" s="202"/>
      <c r="AM71" s="9"/>
      <c r="AN71" s="37" t="s">
        <v>30</v>
      </c>
      <c r="AT71" s="20">
        <f>+AT72+AT73+AT74</f>
        <v>0.40551452582713088</v>
      </c>
      <c r="AU71" s="20">
        <f>+AU72+AU73+AU74</f>
        <v>0.40626460738057107</v>
      </c>
      <c r="AV71" s="20">
        <f>+AV72+AV73+AV74</f>
        <v>0.41053190984812266</v>
      </c>
      <c r="AW71" s="7"/>
      <c r="AX71" s="20">
        <f>+AX72+AX73+AX74</f>
        <v>0.51607344608141714</v>
      </c>
      <c r="AY71" s="20">
        <f>+AY72+AY73+AY74</f>
        <v>0.47152281734054063</v>
      </c>
      <c r="AZ71" s="20">
        <f>+AZ72+AZ73+AZ74</f>
        <v>0.5354163771596987</v>
      </c>
      <c r="BA71" s="7"/>
      <c r="BB71" s="20">
        <f>+BB72+BB73+BB74</f>
        <v>0.43379489006343314</v>
      </c>
      <c r="BC71" s="20">
        <f>+BC72+BC73+BC74</f>
        <v>0.392767144247677</v>
      </c>
      <c r="BD71" s="20">
        <f>+BD72+BD73+BD74</f>
        <v>0.39997135375637571</v>
      </c>
      <c r="BJ71" s="20" t="e">
        <f>+BJ72+BJ73+BJ74</f>
        <v>#DIV/0!</v>
      </c>
      <c r="BK71" s="20" t="e">
        <f>+BK72+BK73+BK74</f>
        <v>#DIV/0!</v>
      </c>
      <c r="BL71" s="20" t="e">
        <f>+BL72+BL73+BL74</f>
        <v>#DIV/0!</v>
      </c>
      <c r="BM71" s="7"/>
      <c r="BN71" s="28">
        <f>+BN72+BN73+BN74</f>
        <v>0.43320068731726535</v>
      </c>
      <c r="BO71" s="28">
        <f>+BO72+BO73+BO74</f>
        <v>0.40883857429478493</v>
      </c>
      <c r="BP71" s="28">
        <f>+BP72+BP73+BP74</f>
        <v>0.42037653339026732</v>
      </c>
      <c r="BR71" s="28">
        <f>+BR72+BR73+BR74</f>
        <v>0.33481658561315897</v>
      </c>
      <c r="BS71" s="28">
        <f>+BS72+BS73+BS74</f>
        <v>0.33579263550956617</v>
      </c>
      <c r="BT71" s="28">
        <f>+BT72+BT73+BT74</f>
        <v>0.32736677979468248</v>
      </c>
    </row>
    <row r="72" spans="2:72" ht="16.5" customHeight="1" x14ac:dyDescent="0.25">
      <c r="B72" s="202"/>
      <c r="C72" s="9"/>
      <c r="D72" s="39" t="s">
        <v>31</v>
      </c>
      <c r="J72" s="20">
        <f>-SUM([1]Retail!$AL$33:$AN$33,[1]Retail!$BJ$33,[1]Retail!$AL$37:$AN$37,[1]Retail!$BJ$37)/1000/J61</f>
        <v>0.23842416079461307</v>
      </c>
      <c r="K72" s="42">
        <f>-SUM([1]Retail!$AL$34:$AN$34,[1]Retail!$BJ$34,[1]Retail!$AL$38:$AN$38,[1]Retail!$BJ$38)/1000/K61</f>
        <v>0.24239472942695928</v>
      </c>
      <c r="L72" s="42" t="e">
        <f>-SUM([1]Retail!$AL$35:$AN$35,[1]Retail!$BJ$35,[1]Retail!$AL$39:$AN$39,[1]Retail!$BJ$39)/1000/L61</f>
        <v>#DIV/0!</v>
      </c>
      <c r="M72" s="8"/>
      <c r="N72" s="20">
        <f>-SUM([1]SME!$AL$33:$AN$33,[1]SME!$BJ$33,[1]SME!$AL$37:$AN$37,[1]SME!$BJ$37)/1000/N61</f>
        <v>0.20077587784049769</v>
      </c>
      <c r="O72" s="20">
        <f>-SUM([1]SME!$AL$34:$AN$34,[1]SME!$BJ$34,[1]SME!$AL$38:$AN$38,[1]SME!$BJ$38)/1000/O61</f>
        <v>0.20127211354264204</v>
      </c>
      <c r="P72" s="20">
        <f>-SUM([1]SME!$AL$35:$AN$35,[1]SME!$BJ$35,[1]SME!$AL$39:$AN$39,[1]SME!$BJ$39)/1000/P61</f>
        <v>0.20059021280198766</v>
      </c>
      <c r="Q72" s="8"/>
      <c r="R72" s="20">
        <f>-SUM([1]MidCorp!$AL$33:$AN$33,[1]MidCorp!$BJ$33,[1]MidCorp!$AL$37:$AN$37,[1]MidCorp!$BJ$37)/1000/R61</f>
        <v>0.14107488154279069</v>
      </c>
      <c r="S72" s="20">
        <f>-SUM([1]MidCorp!$AL$34:$AN$34,[1]MidCorp!$BJ$34,[1]MidCorp!$AL$38:$AN$38,[1]MidCorp!$BJ$38)/1000/S61</f>
        <v>0.14704173199156609</v>
      </c>
      <c r="T72" s="20">
        <f>-SUM([1]MidCorp!$AL$35:$AN$35,[1]MidCorp!$BJ$35,[1]MidCorp!$AL$39:$AN$39,[1]MidCorp!$BJ$39)/1000/T61</f>
        <v>0.14259694707309267</v>
      </c>
      <c r="U72" s="8"/>
      <c r="V72" s="20">
        <f>-SUM([1]MGA!$AL$33:$AN$33,[1]MGA!$BJ$33,[1]MGA!$AL$37:$AN$37,[1]MGA!$BJ$37)/1000/V61</f>
        <v>0.36130884207067354</v>
      </c>
      <c r="W72" s="20">
        <f>-SUM([1]MGA!$AL$34:$AN$34,[1]MGA!$BJ$34,[1]MGA!$AL$38:$AN$38,[1]MGA!$BJ$38)/1000/W61</f>
        <v>0.3610312903914783</v>
      </c>
      <c r="X72" s="20">
        <f>-SUM([1]MGA!$AL$35:$AN$35,[1]MGA!$BJ$35,[1]MGA!$AL$39:$AN$39,[1]MGA!$BJ$39)/1000/X61</f>
        <v>0.35977911235439863</v>
      </c>
      <c r="Y72" s="8"/>
      <c r="Z72" s="20">
        <f>-SUM([1]Bancassurance!$AL$33:$AN$33,[1]Bancassurance!$BJ$33,[1]Bancassurance!$AL$37:$AN$37,[1]Bancassurance!$BJ$37)/1000/Z61</f>
        <v>0.15003962028589138</v>
      </c>
      <c r="AA72" s="20" t="e">
        <f>-SUM([1]Bancassurance!$AL$34:$AN$34,[1]Bancassurance!$BJ$34,[1]Bancassurance!$AL$38:$AN$38,[1]Bancassurance!$BJ$38)/1000/AA61</f>
        <v>#DIV/0!</v>
      </c>
      <c r="AB72" s="20">
        <f>-SUM([1]Bancassurance!$AL$35:$AN$35,[1]Bancassurance!$BJ$35,[1]Bancassurance!$AL$39:$AN$39,[1]Bancassurance!$BJ$39)/1000/AB61</f>
        <v>0.15</v>
      </c>
      <c r="AC72" s="8"/>
      <c r="AD72" s="20">
        <f>-SUM([1]Specials!$AL$33:$AN$33,[1]Specials!$BJ$33,[1]Specials!$AL$37:$AN$37,[1]Specials!$BJ$37)/1000/AD61</f>
        <v>0.14293982465659033</v>
      </c>
      <c r="AE72" s="20">
        <f>-SUM([1]Specials!$AL$34:$AN$34,[1]Specials!$BJ$34,[1]Specials!$AL$38:$AN$38,[1]Specials!$BJ$38)/1000/AE61</f>
        <v>0.14733841647562379</v>
      </c>
      <c r="AF72" s="20" t="e">
        <f>-SUM([1]Specials!$AL$35:$AN$35,[1]Specials!$BJ$35,[1]Specials!$AL$39:$AN$39,[1]Specials!$BJ$39)/1000/AF61</f>
        <v>#DIV/0!</v>
      </c>
      <c r="AG72" s="8"/>
      <c r="AH72" s="28">
        <f>-SUM('[1]Total P&amp;C'!$AL$33:$AN$33,'[1]Total P&amp;C'!$BJ$33,'[1]Total P&amp;C'!$AL$37:$AN$37,'[1]Total P&amp;C'!$BJ$37)/1000/AH61</f>
        <v>0.16620225849358672</v>
      </c>
      <c r="AI72" s="28">
        <f>-SUM('[1]Total P&amp;C'!$AL$34:$AN$34,'[1]Total P&amp;C'!$BJ$34,'[1]Total P&amp;C'!$AL$38:$AN$38,'[1]Total P&amp;C'!$BJ$38)/1000/AI61</f>
        <v>0.17030840407138362</v>
      </c>
      <c r="AJ72" s="28">
        <f>-SUM('[1]Total P&amp;C'!$AL$35:$AN$35,'[1]Total P&amp;C'!$BJ$35,'[1]Total P&amp;C'!$AL$39:$AN$39,'[1]Total P&amp;C'!$BJ$39)/1000/AJ61</f>
        <v>0.16923308925298955</v>
      </c>
      <c r="AL72" s="202"/>
      <c r="AM72" s="9"/>
      <c r="AN72" s="39" t="s">
        <v>31</v>
      </c>
      <c r="AT72" s="20">
        <f>-SUM([2]Retail!$AL$33:$AN$33,[2]Retail!$BJ$33,[2]Retail!$AL$37:$AN$37,[2]Retail!$BJ$37)/1000/AT61</f>
        <v>0.24776607187616803</v>
      </c>
      <c r="AU72" s="42">
        <f>-SUM([2]Retail!$AL$34:$AN$34,[2]Retail!$BJ$34,[2]Retail!$AL$38:$AN$38,[2]Retail!$BJ$38)/1000/AU61</f>
        <v>0.26592723412229063</v>
      </c>
      <c r="AV72" s="42">
        <f>-SUM([2]Retail!$AL$35:$AN$35,[2]Retail!$BJ$35,[2]Retail!$AL$39:$AN$39,[2]Retail!$BJ$39)/1000/AV61</f>
        <v>0.25841980038705109</v>
      </c>
      <c r="AW72" s="8"/>
      <c r="AX72" s="20">
        <f>-SUM([2]SME!$AL$33:$AN$33,[2]SME!$BJ$33,[2]SME!$AL$37:$AN$37,[2]SME!$BJ$37)/1000/AX61</f>
        <v>0.26617823696881582</v>
      </c>
      <c r="AY72" s="20">
        <f>-SUM([2]SME!$AL$34:$AN$34,[2]SME!$BJ$34,[2]SME!$AL$38:$AN$38,[2]SME!$BJ$38)/1000/AY61</f>
        <v>0.26834574594781346</v>
      </c>
      <c r="AZ72" s="20">
        <f>-SUM([2]SME!$AL$35:$AN$35,[2]SME!$BJ$35,[2]SME!$AL$39:$AN$39,[2]SME!$BJ$39)/1000/AZ61</f>
        <v>0.27475708759323625</v>
      </c>
      <c r="BA72" s="8"/>
      <c r="BB72" s="20">
        <f>-SUM([2]MidCorp!$AL$33:$AN$33,[2]MidCorp!$BJ$33,[2]MidCorp!$AL$37:$AN$37,[2]MidCorp!$BJ$37)/1000/BB61</f>
        <v>0.21437276405861491</v>
      </c>
      <c r="BC72" s="20">
        <f>-SUM([2]MidCorp!$AL$34:$AN$34,[2]MidCorp!$BJ$34,[2]MidCorp!$AL$38:$AN$38,[2]MidCorp!$BJ$38)/1000/BC61</f>
        <v>0.1929967154318003</v>
      </c>
      <c r="BD72" s="20">
        <f>-SUM([2]MidCorp!$AL$35:$AN$35,[2]MidCorp!$BJ$35,[2]MidCorp!$AL$39:$AN$39,[2]MidCorp!$BJ$39)/1000/BD61</f>
        <v>0.20578636755554588</v>
      </c>
      <c r="BJ72" s="20" t="e">
        <f>-SUM([2]Specials!$AL$33:$AN$33,[2]Specials!$BJ$33,[2]Specials!$AL$37:$AN$37,[2]Specials!$BJ$37)/1000/BJ61</f>
        <v>#DIV/0!</v>
      </c>
      <c r="BK72" s="20" t="e">
        <f>-SUM([2]Specials!$AL$34:$AN$34,[2]Specials!$BJ$34,[2]Specials!$AL$38:$AN$38,[2]Specials!$BJ$38)/1000/BK61</f>
        <v>#DIV/0!</v>
      </c>
      <c r="BL72" s="20" t="e">
        <f>-SUM([2]Specials!$AL$35:$AN$35,[2]Specials!$BJ$35,[2]Specials!$AL$39:$AN$39,[2]Specials!$BJ$39)/1000/BL61</f>
        <v>#DIV/0!</v>
      </c>
      <c r="BM72" s="8"/>
      <c r="BN72" s="28">
        <f>-SUM('[2]Total P&amp;C'!$AL$33:$AN$33,'[2]Total P&amp;C'!$BJ$33,'[2]Total P&amp;C'!$AL$37:$AN$37,'[2]Total P&amp;C'!$BJ$37)/1000/BN61</f>
        <v>0.23424214842679972</v>
      </c>
      <c r="BO72" s="28">
        <f>-SUM('[2]Total P&amp;C'!$AL$34:$AN$34,'[2]Total P&amp;C'!$BJ$34,'[2]Total P&amp;C'!$AL$38:$AN$38,'[2]Total P&amp;C'!$BJ$38)/1000/BO61</f>
        <v>0.23269203623955884</v>
      </c>
      <c r="BP72" s="28">
        <f>-SUM('[2]Total P&amp;C'!$AL$35:$AN$35,'[2]Total P&amp;C'!$BJ$35,'[2]Total P&amp;C'!$AL$39:$AN$39,'[2]Total P&amp;C'!$BJ$39)/1000/BP61</f>
        <v>0.23369619319776011</v>
      </c>
      <c r="BR72" s="28">
        <f>-SUM('[3]Total P&amp;C'!$AL$33:$AN$33,'[3]Total P&amp;C'!$BJ$33,'[3]Total P&amp;C'!$AL$37:$AN$37,'[3]Total P&amp;C'!$BJ$37)/1000/BR61</f>
        <v>0.19066014062582776</v>
      </c>
      <c r="BS72" s="28">
        <f>-SUM('[3]Total P&amp;C'!$AL$34:$AN$34,'[3]Total P&amp;C'!$BJ$34,'[3]Total P&amp;C'!$AL$38:$AN$38,'[3]Total P&amp;C'!$BJ$38)/1000/BS61</f>
        <v>0.19290260980527332</v>
      </c>
      <c r="BT72" s="28">
        <f>-SUM('[3]Total P&amp;C'!$AL$35:$AN$35,'[3]Total P&amp;C'!$BJ$35,'[3]Total P&amp;C'!$AL$39:$AN$39,'[3]Total P&amp;C'!$BJ$39)/1000/BT61</f>
        <v>0.19062454701732173</v>
      </c>
    </row>
    <row r="73" spans="2:72" ht="16.5" customHeight="1" x14ac:dyDescent="0.25">
      <c r="B73" s="202"/>
      <c r="C73" s="9"/>
      <c r="D73" s="39" t="s">
        <v>32</v>
      </c>
      <c r="J73" s="20">
        <f>-SUM([1]Retail!$AO$33:$AP$33,[1]Retail!$AO$37:$AP$37)/1000/J61</f>
        <v>3.5785602315324626E-3</v>
      </c>
      <c r="K73" s="42">
        <f>-SUM([1]Retail!$AO$34:$AP$34,[1]Retail!$AO$38:$AP$38)/1000/K61</f>
        <v>4.2826920739856111E-2</v>
      </c>
      <c r="L73" s="42" t="e">
        <f>-SUM([1]Retail!$AO$35:$AP$35,[1]Retail!$AO$39:$AP$39)/1000/L61</f>
        <v>#DIV/0!</v>
      </c>
      <c r="M73" s="8"/>
      <c r="N73" s="20">
        <f>-SUM([1]SME!$AO$33:$AP$33,[1]SME!$AO$37:$AP$37)/1000/N61</f>
        <v>5.5654509089867028E-2</v>
      </c>
      <c r="O73" s="20">
        <f>-SUM([1]SME!$AO$34:$AP$34,[1]SME!$AO$38:$AP$38)/1000/O61</f>
        <v>0.10399904290940289</v>
      </c>
      <c r="P73" s="20">
        <f>-SUM([1]SME!$AO$35:$AP$35,[1]SME!$AO$39:$AP$39)/1000/P61</f>
        <v>6.1045895093621468E-2</v>
      </c>
      <c r="Q73" s="8"/>
      <c r="R73" s="20">
        <f>-SUM([1]MidCorp!$AO$33:$AP$33,[1]MidCorp!$AO$37:$AP$37)/1000/R61</f>
        <v>4.8583255606847599E-2</v>
      </c>
      <c r="S73" s="20">
        <f>-SUM([1]MidCorp!$AO$34:$AP$34,[1]MidCorp!$AO$38:$AP$38)/1000/S61</f>
        <v>3.8026999915687802E-2</v>
      </c>
      <c r="T73" s="20">
        <f>-SUM([1]MidCorp!$AO$35:$AP$35,[1]MidCorp!$AO$39:$AP$39)/1000/T61</f>
        <v>4.0133004316030438E-2</v>
      </c>
      <c r="U73" s="8"/>
      <c r="V73" s="20">
        <f>-SUM([1]MGA!$AO$33:$AP$33,[1]MGA!$AO$37:$AP$37)/1000/V61</f>
        <v>2.3522826730132815E-2</v>
      </c>
      <c r="W73" s="20">
        <f>-SUM([1]MGA!$AO$34:$AP$34,[1]MGA!$AO$38:$AP$38)/1000/W61</f>
        <v>0.11183944133139362</v>
      </c>
      <c r="X73" s="20">
        <f>-SUM([1]MGA!$AO$35:$AP$35,[1]MGA!$AO$39:$AP$39)/1000/X61</f>
        <v>1.6379195324723182E-2</v>
      </c>
      <c r="Y73" s="8"/>
      <c r="Z73" s="20">
        <f>-SUM([1]Bancassurance!$AO$33:$AP$33,[1]Bancassurance!$AO$37:$AP$37)/1000/Z61</f>
        <v>3.3992798183644406</v>
      </c>
      <c r="AA73" s="20" t="e">
        <f>-SUM([1]Bancassurance!$AO$34:$AP$34,[1]Bancassurance!$AO$38:$AP$38)/1000/AA61</f>
        <v>#DIV/0!</v>
      </c>
      <c r="AB73" s="20">
        <f>-SUM([1]Bancassurance!$AO$35:$AP$35,[1]Bancassurance!$AO$39:$AP$39)/1000/AB61</f>
        <v>0.2894617297537897</v>
      </c>
      <c r="AC73" s="8"/>
      <c r="AD73" s="20">
        <f>-SUM([1]Specials!$AO$33:$AP$33,[1]Specials!$AO$37:$AP$37)/1000/AD61</f>
        <v>0</v>
      </c>
      <c r="AE73" s="20">
        <f>-SUM([1]Specials!$AO$34:$AP$34,[1]Specials!$AO$38:$AP$38)/1000/AE61</f>
        <v>0</v>
      </c>
      <c r="AF73" s="20" t="e">
        <f>-SUM([1]Specials!$AO$35:$AP$35,[1]Specials!$AO$39:$AP$39)/1000/AF61</f>
        <v>#DIV/0!</v>
      </c>
      <c r="AG73" s="8"/>
      <c r="AH73" s="28">
        <f>-SUM('[1]Total P&amp;C'!$AO$33:$AP$33,'[1]Total P&amp;C'!$AO$37:$AP$37)/1000/AH61</f>
        <v>4.8845954068261935E-2</v>
      </c>
      <c r="AI73" s="28">
        <f>-SUM('[1]Total P&amp;C'!$AO$34:$AP$34,'[1]Total P&amp;C'!$AO$38:$AP$38)/1000/AI61</f>
        <v>5.5514447357282046E-2</v>
      </c>
      <c r="AJ73" s="28">
        <f>-SUM('[1]Total P&amp;C'!$AO$35:$AP$35,'[1]Total P&amp;C'!$AO$39:$AP$39)/1000/AJ61</f>
        <v>4.197653234969162E-2</v>
      </c>
      <c r="AL73" s="202"/>
      <c r="AM73" s="9"/>
      <c r="AN73" s="39" t="s">
        <v>32</v>
      </c>
      <c r="AT73" s="20">
        <f>-SUM([2]Retail!$AO$33:$AP$33,[2]Retail!$AO$37:$AP$37)/1000/AT61</f>
        <v>8.4974963189856381E-2</v>
      </c>
      <c r="AU73" s="42">
        <f>-SUM([2]Retail!$AO$34:$AP$34,[2]Retail!$AO$38:$AP$38)/1000/AU61</f>
        <v>7.6898396469467709E-2</v>
      </c>
      <c r="AV73" s="42">
        <f>-SUM([2]Retail!$AO$35:$AP$35,[2]Retail!$AO$39:$AP$39)/1000/AV61</f>
        <v>7.972355619234317E-2</v>
      </c>
      <c r="AW73" s="8"/>
      <c r="AX73" s="20">
        <f>-SUM([2]SME!$AO$33:$AP$33,[2]SME!$AO$37:$AP$37)/1000/AX61</f>
        <v>0.17389380917153321</v>
      </c>
      <c r="AY73" s="20">
        <f>-SUM([2]SME!$AO$34:$AP$34,[2]SME!$AO$38:$AP$38)/1000/AY61</f>
        <v>0.12745348398379711</v>
      </c>
      <c r="AZ73" s="20">
        <f>-SUM([2]SME!$AO$35:$AP$35,[2]SME!$AO$39:$AP$39)/1000/AZ61</f>
        <v>0.17721766338939013</v>
      </c>
      <c r="BA73" s="8"/>
      <c r="BB73" s="20">
        <f>-SUM([2]MidCorp!$AO$33:$AP$33,[2]MidCorp!$AO$37:$AP$37)/1000/BB61</f>
        <v>7.8755760704945083E-2</v>
      </c>
      <c r="BC73" s="20">
        <f>-SUM([2]MidCorp!$AO$34:$AP$34,[2]MidCorp!$AO$38:$AP$38)/1000/BC61</f>
        <v>7.0774671323184643E-2</v>
      </c>
      <c r="BD73" s="20">
        <f>-SUM([2]MidCorp!$AO$35:$AP$35,[2]MidCorp!$AO$39:$AP$39)/1000/BD61</f>
        <v>6.3656886028201118E-2</v>
      </c>
      <c r="BJ73" s="20" t="e">
        <f>-SUM([2]Specials!$AO$33:$AP$33,[2]Specials!$AO$37:$AP$37)/1000/BJ61</f>
        <v>#DIV/0!</v>
      </c>
      <c r="BK73" s="20" t="e">
        <f>-SUM([2]Specials!$AO$34:$AP$34,[2]Specials!$AO$38:$AP$38)/1000/BK61</f>
        <v>#DIV/0!</v>
      </c>
      <c r="BL73" s="20" t="e">
        <f>-SUM([2]Specials!$AO$35:$AP$35,[2]Specials!$AO$39:$AP$39)/1000/BL61</f>
        <v>#DIV/0!</v>
      </c>
      <c r="BM73" s="8"/>
      <c r="BN73" s="28">
        <f>-SUM('[2]Total P&amp;C'!$AO$33:$AP$33,'[2]Total P&amp;C'!$AO$37:$AP$37)/1000/BN61</f>
        <v>9.3456865944265513E-2</v>
      </c>
      <c r="BO73" s="28">
        <f>-SUM('[2]Total P&amp;C'!$AO$34:$AP$34,'[2]Total P&amp;C'!$AO$38:$AP$38)/1000/BO61</f>
        <v>8.0886214805117457E-2</v>
      </c>
      <c r="BP73" s="28">
        <f>-SUM('[2]Total P&amp;C'!$AO$35:$AP$35,'[2]Total P&amp;C'!$AO$39:$AP$39)/1000/BP61</f>
        <v>8.3439004968196798E-2</v>
      </c>
      <c r="BR73" s="28">
        <f>-SUM('[3]Total P&amp;C'!$AO$33:$AP$33,'[3]Total P&amp;C'!$AO$37:$AP$37)/1000/BR61</f>
        <v>6.4881965083948265E-2</v>
      </c>
      <c r="BS73" s="28">
        <f>-SUM('[3]Total P&amp;C'!$AO$34:$AP$34,'[3]Total P&amp;C'!$AO$38:$AP$38)/1000/BS61</f>
        <v>6.4703635508485027E-2</v>
      </c>
      <c r="BT73" s="28">
        <f>-SUM('[3]Total P&amp;C'!$AO$35:$AP$35,'[3]Total P&amp;C'!$AO$39:$AP$39)/1000/BT61</f>
        <v>5.5735452996507402E-2</v>
      </c>
    </row>
    <row r="74" spans="2:72" ht="16.5" customHeight="1" x14ac:dyDescent="0.25">
      <c r="B74" s="202"/>
      <c r="C74" s="9"/>
      <c r="D74" s="39" t="s">
        <v>33</v>
      </c>
      <c r="J74" s="20">
        <f>-SUM([1]Retail!$AQ$33:$AR$33,[1]Retail!$AQ$37:$AR$37)/1000/J61</f>
        <v>9.3694841750422558E-2</v>
      </c>
      <c r="K74" s="42">
        <f>-SUM([1]Retail!$AQ$34:$AR$34,[1]Retail!$AQ$38:$AR$38)/1000/K61</f>
        <v>0.2266517735519098</v>
      </c>
      <c r="L74" s="42" t="e">
        <f>-SUM([1]Retail!$AQ$35:$AR$35,[1]Retail!$AQ$39:$AR$39)/1000/L61</f>
        <v>#DIV/0!</v>
      </c>
      <c r="M74" s="8"/>
      <c r="N74" s="20">
        <f>-SUM([1]SME!$AQ$33:$AR$33,[1]SME!$AQ$37:$AR$37)/1000/N61</f>
        <v>7.6225000011343844E-2</v>
      </c>
      <c r="O74" s="20">
        <f>-SUM([1]SME!$AQ$34:$AR$34,[1]SME!$AQ$38:$AR$38)/1000/O61</f>
        <v>7.698402038657845E-2</v>
      </c>
      <c r="P74" s="20">
        <f>-SUM([1]SME!$AQ$35:$AR$35,[1]SME!$AQ$39:$AR$39)/1000/P61</f>
        <v>0.14658553966876964</v>
      </c>
      <c r="Q74" s="8"/>
      <c r="R74" s="20">
        <f>-SUM([1]MidCorp!$AQ$33:$AR$33,[1]MidCorp!$AQ$37:$AR$37)/1000/R61</f>
        <v>5.0255604829108562E-2</v>
      </c>
      <c r="S74" s="20">
        <f>-SUM([1]MidCorp!$AQ$34:$AR$34,[1]MidCorp!$AQ$38:$AR$38)/1000/S61</f>
        <v>5.032103916005945E-2</v>
      </c>
      <c r="T74" s="20">
        <f>-SUM([1]MidCorp!$AQ$35:$AR$35,[1]MidCorp!$AQ$39:$AR$39)/1000/T61</f>
        <v>5.209541324086852E-2</v>
      </c>
      <c r="U74" s="8"/>
      <c r="V74" s="20">
        <f>-SUM([1]MGA!$AQ$33:$AR$33,[1]MGA!$AQ$37:$AR$37)/1000/V61</f>
        <v>8.5707555972847932E-2</v>
      </c>
      <c r="W74" s="20">
        <f>-SUM([1]MGA!$AQ$34:$AR$34,[1]MGA!$AQ$38:$AR$38)/1000/W61</f>
        <v>6.2173384270199528E-2</v>
      </c>
      <c r="X74" s="20">
        <f>-SUM([1]MGA!$AQ$35:$AR$35,[1]MGA!$AQ$39:$AR$39)/1000/X61</f>
        <v>5.4552774056047963E-2</v>
      </c>
      <c r="Y74" s="8"/>
      <c r="Z74" s="20">
        <f>-SUM([1]Bancassurance!$AQ$33:$AR$33,[1]Bancassurance!$AQ$37:$AR$37)/1000/Z61</f>
        <v>14.735351743483243</v>
      </c>
      <c r="AA74" s="20" t="e">
        <f>-SUM([1]Bancassurance!$AQ$34:$AR$34,[1]Bancassurance!$AQ$38:$AR$38)/1000/AA61</f>
        <v>#DIV/0!</v>
      </c>
      <c r="AB74" s="20">
        <f>-SUM([1]Bancassurance!$AQ$35:$AR$35,[1]Bancassurance!$AQ$39:$AR$39)/1000/AB61</f>
        <v>0.81159075709059925</v>
      </c>
      <c r="AC74" s="8"/>
      <c r="AD74" s="20">
        <f>-SUM([1]Specials!$AQ$33:$AR$33,[1]Specials!$AQ$37:$AR$37)/1000/AD61</f>
        <v>0</v>
      </c>
      <c r="AE74" s="20">
        <f>-SUM([1]Specials!$AQ$34:$AR$34,[1]Specials!$AQ$38:$AR$38)/1000/AE61</f>
        <v>0</v>
      </c>
      <c r="AF74" s="20" t="e">
        <f>-SUM([1]Specials!$AQ$35:$AR$35,[1]Specials!$AQ$39:$AR$39)/1000/AF61</f>
        <v>#DIV/0!</v>
      </c>
      <c r="AG74" s="8"/>
      <c r="AH74" s="28">
        <f>-SUM('[1]Total P&amp;C'!$AQ$33:$AR$33,'[1]Total P&amp;C'!$AQ$37:$AR$37)/1000/AH61</f>
        <v>6.4555984164725189E-2</v>
      </c>
      <c r="AI74" s="28">
        <f>-SUM('[1]Total P&amp;C'!$AQ$34:$AR$34,'[1]Total P&amp;C'!$AQ$38:$AR$38)/1000/AI61</f>
        <v>6.8491051743200138E-2</v>
      </c>
      <c r="AJ74" s="28">
        <f>-SUM('[1]Total P&amp;C'!$AQ$35:$AR$35,'[1]Total P&amp;C'!$AQ$39:$AR$39)/1000/AJ61</f>
        <v>6.9964026697191845E-2</v>
      </c>
      <c r="AL74" s="202"/>
      <c r="AM74" s="9"/>
      <c r="AN74" s="39" t="s">
        <v>33</v>
      </c>
      <c r="AT74" s="20">
        <f>-SUM([2]Retail!$AQ$33:$AR$33,[2]Retail!$AQ$37:$AR$37)/1000/AT61</f>
        <v>7.2773490761106452E-2</v>
      </c>
      <c r="AU74" s="42">
        <f>-SUM([2]Retail!$AQ$34:$AR$34,[2]Retail!$AQ$38:$AR$38)/1000/AU61</f>
        <v>6.3438976788812704E-2</v>
      </c>
      <c r="AV74" s="42">
        <f>-SUM([2]Retail!$AQ$35:$AR$35,[2]Retail!$AQ$39:$AR$39)/1000/AV61</f>
        <v>7.2388553268728395E-2</v>
      </c>
      <c r="AW74" s="8"/>
      <c r="AX74" s="20">
        <f>-SUM([2]SME!$AQ$33:$AR$33,[2]SME!$AQ$37:$AR$37)/1000/AX61</f>
        <v>7.600139994106811E-2</v>
      </c>
      <c r="AY74" s="20">
        <f>-SUM([2]SME!$AQ$34:$AR$34,[2]SME!$AQ$38:$AR$38)/1000/AY61</f>
        <v>7.5723587408930093E-2</v>
      </c>
      <c r="AZ74" s="20">
        <f>-SUM([2]SME!$AQ$35:$AR$35,[2]SME!$AQ$39:$AR$39)/1000/AZ61</f>
        <v>8.3441626177072292E-2</v>
      </c>
      <c r="BA74" s="8"/>
      <c r="BB74" s="20">
        <f>-SUM([2]MidCorp!$AQ$33:$AR$33,[2]MidCorp!$AQ$37:$AR$37)/1000/BB61</f>
        <v>0.14066636529987314</v>
      </c>
      <c r="BC74" s="20">
        <f>-SUM([2]MidCorp!$AQ$34:$AR$34,[2]MidCorp!$AQ$38:$AR$38)/1000/BC61</f>
        <v>0.12899575749269204</v>
      </c>
      <c r="BD74" s="20">
        <f>-SUM([2]MidCorp!$AQ$35:$AR$35,[2]MidCorp!$AQ$39:$AR$39)/1000/BD61</f>
        <v>0.1305281001726287</v>
      </c>
      <c r="BJ74" s="20" t="e">
        <f>-SUM([2]Specials!$AQ$33:$AR$33,[2]Specials!$AQ$37:$AR$37)/1000/BJ61</f>
        <v>#DIV/0!</v>
      </c>
      <c r="BK74" s="20" t="e">
        <f>-SUM([2]Specials!$AQ$34:$AR$34,[2]Specials!$AQ$38:$AR$38)/1000/BK61</f>
        <v>#DIV/0!</v>
      </c>
      <c r="BL74" s="20" t="e">
        <f>-SUM([2]Specials!$AQ$35:$AR$35,[2]Specials!$AQ$39:$AR$39)/1000/BL61</f>
        <v>#DIV/0!</v>
      </c>
      <c r="BM74" s="8"/>
      <c r="BN74" s="28">
        <f>-SUM('[2]Total P&amp;C'!$AQ$33:$AR$33,'[2]Total P&amp;C'!$AQ$37:$AR$37)/1000/BN61</f>
        <v>0.10550167294620012</v>
      </c>
      <c r="BO74" s="28">
        <f>-SUM('[2]Total P&amp;C'!$AQ$34:$AR$34,'[2]Total P&amp;C'!$AQ$38:$AR$38)/1000/BO61</f>
        <v>9.526032325010865E-2</v>
      </c>
      <c r="BP74" s="28">
        <f>-SUM('[2]Total P&amp;C'!$AQ$35:$AR$35,'[2]Total P&amp;C'!$AQ$39:$AR$39)/1000/BP61</f>
        <v>0.10324133522431039</v>
      </c>
      <c r="BR74" s="28">
        <f>-SUM('[3]Total P&amp;C'!$AQ$33:$AR$33,'[3]Total P&amp;C'!$AQ$37:$AR$37)/1000/BR61</f>
        <v>7.9274479903382961E-2</v>
      </c>
      <c r="BS74" s="28">
        <f>-SUM('[3]Total P&amp;C'!$AQ$34:$AR$34,'[3]Total P&amp;C'!$AQ$38:$AR$38)/1000/BS61</f>
        <v>7.8186390195807837E-2</v>
      </c>
      <c r="BT74" s="28">
        <f>-SUM('[3]Total P&amp;C'!$AQ$35:$AR$35,'[3]Total P&amp;C'!$AQ$39:$AR$39)/1000/BT61</f>
        <v>8.1006779780853355E-2</v>
      </c>
    </row>
    <row r="75" spans="2:72" ht="16.5" customHeight="1" x14ac:dyDescent="0.25">
      <c r="B75" s="202"/>
      <c r="C75" s="9"/>
      <c r="D75" s="37" t="s">
        <v>34</v>
      </c>
      <c r="J75" s="19">
        <f>(+[1]Retail!$BK$33+[1]Retail!$BK$37)/1000</f>
        <v>0.75849854999999577</v>
      </c>
      <c r="K75" s="19">
        <f>(+[1]Retail!$BK$34+[1]Retail!$BK$38)/1000</f>
        <v>-0.14341110000000509</v>
      </c>
      <c r="L75" s="19">
        <f>(+[1]Retail!$BK$35+[1]Retail!$BK$39)/1000</f>
        <v>-0.19793997611726669</v>
      </c>
      <c r="M75" s="6"/>
      <c r="N75" s="19">
        <f>(+[1]SME!$BK$33+[1]SME!$BK$37)/1000</f>
        <v>-0.35405398000000043</v>
      </c>
      <c r="O75" s="19">
        <f>(+[1]SME!$BK$34+[1]SME!$BK$38)/1000</f>
        <v>2.2457083199999976</v>
      </c>
      <c r="P75" s="19">
        <f>(+[1]SME!$BK$35+[1]SME!$BK$39)/1000</f>
        <v>0.35266923579303627</v>
      </c>
      <c r="Q75" s="6"/>
      <c r="R75" s="19">
        <f>(+[1]MidCorp!$BK$33+[1]MidCorp!$BK$37)/1000</f>
        <v>7.4899243699999865</v>
      </c>
      <c r="S75" s="19">
        <f>(+[1]MidCorp!$BK$34+[1]MidCorp!$BK$38)/1000</f>
        <v>4.3200326899999899</v>
      </c>
      <c r="T75" s="19">
        <f>(+[1]MidCorp!$BK$35+[1]MidCorp!$BK$39)/1000</f>
        <v>5.4763917904773391</v>
      </c>
      <c r="U75" s="6"/>
      <c r="V75" s="19">
        <f>(+[1]MGA!$BK$33+[1]MGA!$BK$37)/1000</f>
        <v>0.11457764999999813</v>
      </c>
      <c r="W75" s="19">
        <f>(+[1]MGA!$BK$34+[1]MGA!$BK$38)/1000</f>
        <v>-0.46800847000000073</v>
      </c>
      <c r="X75" s="19">
        <f>(+[1]MGA!$BK$35+[1]MGA!$BK$39)/1000</f>
        <v>0.43088582457286723</v>
      </c>
      <c r="Y75" s="6"/>
      <c r="Z75" s="19">
        <f>(+[1]Bancassurance!$BK$33+[1]Bancassurance!$BK$37)/1000</f>
        <v>-0.61097487000000006</v>
      </c>
      <c r="AA75" s="19">
        <f>(+[1]Bancassurance!$BK$34+[1]Bancassurance!$BK$38)/1000</f>
        <v>-0.7869737</v>
      </c>
      <c r="AB75" s="19">
        <f>(+[1]Bancassurance!$BK$35+[1]Bancassurance!$BK$39)/1000</f>
        <v>-0.20734991596750343</v>
      </c>
      <c r="AC75" s="6"/>
      <c r="AD75" s="19">
        <f>(+[1]Specials!$BK$33+[1]Specials!$BK$37)/1000</f>
        <v>2.1283480000000066E-2</v>
      </c>
      <c r="AE75" s="19">
        <f>(+[1]Specials!$BK$34+[1]Specials!$BK$38)/1000</f>
        <v>-3.5168589999999965E-2</v>
      </c>
      <c r="AF75" s="19">
        <f>(+[1]Specials!$BK$35+[1]Specials!$BK$39)/1000</f>
        <v>0</v>
      </c>
      <c r="AG75" s="6"/>
      <c r="AH75" s="27">
        <f>(+'[1]Total P&amp;C'!$BK$33+'[1]Total P&amp;C'!$BK$37)/1000</f>
        <v>7.4192551999999745</v>
      </c>
      <c r="AI75" s="27">
        <f>(+'[1]Total P&amp;C'!$BK$34+'[1]Total P&amp;C'!$BK$38)/1000</f>
        <v>5.132179149999982</v>
      </c>
      <c r="AJ75" s="27">
        <f>(+'[1]Total P&amp;C'!$BK$35+'[1]Total P&amp;C'!$BK$39)/1000</f>
        <v>5.8546569587584578</v>
      </c>
      <c r="AL75" s="202"/>
      <c r="AM75" s="9"/>
      <c r="AN75" s="37" t="s">
        <v>34</v>
      </c>
      <c r="AT75" s="19">
        <f>(+[2]Retail!$BK$33+[2]Retail!$BK$37)/1000</f>
        <v>1.0433487599999882</v>
      </c>
      <c r="AU75" s="19">
        <f>(+[2]Retail!$BK$34+[2]Retail!$BK$38)/1000</f>
        <v>1.6320968799999993</v>
      </c>
      <c r="AV75" s="19">
        <f>(+[2]Retail!$BK$35+[2]Retail!$BK$39)/1000</f>
        <v>0.33986657852766361</v>
      </c>
      <c r="AW75" s="6"/>
      <c r="AX75" s="19">
        <f>(+[2]SME!$BK$33+[2]SME!$BK$37)/1000</f>
        <v>-0.16065016000000057</v>
      </c>
      <c r="AY75" s="19">
        <f>(+[2]SME!$BK$34+[2]SME!$BK$38)/1000</f>
        <v>2.2325378199999983</v>
      </c>
      <c r="AZ75" s="19">
        <f>(+[2]SME!$BK$35+[2]SME!$BK$39)/1000</f>
        <v>-0.55062705164169679</v>
      </c>
      <c r="BA75" s="6"/>
      <c r="BB75" s="19">
        <f>(+[2]MidCorp!$BK$33+[2]MidCorp!$BK$37)/1000</f>
        <v>-0.41256014000000574</v>
      </c>
      <c r="BC75" s="19">
        <f>(+[2]MidCorp!$BK$34+[2]MidCorp!$BK$38)/1000</f>
        <v>-1.0893459900000004</v>
      </c>
      <c r="BD75" s="19">
        <f>(+[2]MidCorp!$BK$35+[2]MidCorp!$BK$39)/1000</f>
        <v>0.21755528273971828</v>
      </c>
      <c r="BJ75" s="19">
        <f>(+[2]Specials!$BK$33+[2]Specials!$BK$37)/1000</f>
        <v>0</v>
      </c>
      <c r="BK75" s="19">
        <f>(+[2]Specials!$BK$34+[2]Specials!$BK$38)/1000</f>
        <v>0</v>
      </c>
      <c r="BL75" s="19">
        <f>(+[2]Specials!$BK$35+[2]Specials!$BK$39)/1000</f>
        <v>0</v>
      </c>
      <c r="BM75" s="6"/>
      <c r="BN75" s="27">
        <f>(+'[2]Total P&amp;C'!$BK$33+'[2]Total P&amp;C'!$BK$37)/1000</f>
        <v>0.4701384599999831</v>
      </c>
      <c r="BO75" s="27">
        <f>(+'[2]Total P&amp;C'!$BK$34+'[2]Total P&amp;C'!$BK$38)/1000</f>
        <v>2.7752887100000003</v>
      </c>
      <c r="BP75" s="27">
        <f>(+'[2]Total P&amp;C'!$BK$35+'[2]Total P&amp;C'!$BK$39)/1000</f>
        <v>6.7948096256820346E-3</v>
      </c>
      <c r="BR75" s="27">
        <f>(+'[3]Total P&amp;C'!$BK$33+'[3]Total P&amp;C'!$BK$37)/1000</f>
        <v>7.8893936599999899</v>
      </c>
      <c r="BS75" s="27">
        <f>(+'[3]Total P&amp;C'!$BK$34+'[3]Total P&amp;C'!$BK$38)/1000</f>
        <v>7.9074678599999793</v>
      </c>
      <c r="BT75" s="27">
        <f>(+'[3]Total P&amp;C'!$BK$35+'[3]Total P&amp;C'!$BK$39)/1000</f>
        <v>5.8614517683841623</v>
      </c>
    </row>
    <row r="76" spans="2:72" x14ac:dyDescent="0.25">
      <c r="B76"/>
      <c r="C76"/>
      <c r="D76"/>
      <c r="J76" s="47"/>
      <c r="K76" s="47"/>
      <c r="L76" s="47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L76"/>
      <c r="AM76"/>
      <c r="AN76"/>
      <c r="AT76" s="47"/>
      <c r="AU76" s="47"/>
      <c r="AV76" s="47"/>
      <c r="AW76"/>
      <c r="AX76"/>
      <c r="AY76"/>
      <c r="AZ76"/>
      <c r="BA76"/>
      <c r="BB76"/>
      <c r="BC76"/>
      <c r="BD76"/>
      <c r="BJ76"/>
      <c r="BK76"/>
      <c r="BL76"/>
      <c r="BM76"/>
      <c r="BN76"/>
      <c r="BO76"/>
      <c r="BP76"/>
      <c r="BR76"/>
      <c r="BS76"/>
      <c r="BT76"/>
    </row>
    <row r="77" spans="2:72" ht="16.5" hidden="1" customHeight="1" outlineLevel="1" x14ac:dyDescent="0.25">
      <c r="B77" s="202" t="s">
        <v>38</v>
      </c>
      <c r="C77" s="9"/>
      <c r="D77" s="37" t="s">
        <v>19</v>
      </c>
      <c r="J77" s="19">
        <f>+[1]Retail!$C$33/1000</f>
        <v>1.3005752200000005</v>
      </c>
      <c r="K77" s="19">
        <f>+[1]Retail!$C$34/1000</f>
        <v>1.5206208199999982</v>
      </c>
      <c r="L77" s="19">
        <f>+[1]Retail!$C$35/1000</f>
        <v>0</v>
      </c>
      <c r="M77" s="6"/>
      <c r="N77" s="19">
        <f>+[1]SME!$C$33/1000</f>
        <v>20.00917304</v>
      </c>
      <c r="O77" s="19">
        <f>+[1]SME!$C$34/1000</f>
        <v>20.04757893</v>
      </c>
      <c r="P77" s="19">
        <f>+[1]SME!$C$35/1000</f>
        <v>18.084009999999999</v>
      </c>
      <c r="Q77" s="6"/>
      <c r="R77" s="19">
        <f>+[1]MidCorp!$C$33/1000</f>
        <v>90.38259432000001</v>
      </c>
      <c r="S77" s="19">
        <f>+[1]MidCorp!$C$34/1000</f>
        <v>93.411981420000018</v>
      </c>
      <c r="T77" s="19">
        <f>+[1]MidCorp!$C$35/1000</f>
        <v>93.716800000000006</v>
      </c>
      <c r="U77" s="6"/>
      <c r="V77" s="19">
        <f>+[1]MGA!$C$33/1000</f>
        <v>3.5519553500000005</v>
      </c>
      <c r="W77" s="19">
        <f>+[1]MGA!$C$34/1000</f>
        <v>3.1151406600000002</v>
      </c>
      <c r="X77" s="19">
        <f>+[1]MGA!$C$35/1000</f>
        <v>6.5171899999999994</v>
      </c>
      <c r="Y77" s="6"/>
      <c r="Z77" s="19">
        <f>+[1]Bancassurance!$C$33/1000</f>
        <v>4.2017579999999992E-2</v>
      </c>
      <c r="AA77" s="19">
        <f>+[1]Bancassurance!$C$34/1000</f>
        <v>0</v>
      </c>
      <c r="AB77" s="19">
        <f>+[1]Bancassurance!$C$35/1000</f>
        <v>0.27317000000000002</v>
      </c>
      <c r="AC77" s="6"/>
      <c r="AD77" s="19">
        <f>+[1]Specials!$C$33/1000</f>
        <v>0</v>
      </c>
      <c r="AE77" s="19">
        <f>+[1]Specials!$C$34/1000</f>
        <v>-1.0200000000000001E-3</v>
      </c>
      <c r="AF77" s="19">
        <f>+[1]Specials!$C$35/1000</f>
        <v>0</v>
      </c>
      <c r="AG77" s="6"/>
      <c r="AH77" s="27">
        <f>+'[1]Total P&amp;C'!$C$33/1000</f>
        <v>115.28631550999999</v>
      </c>
      <c r="AI77" s="27">
        <f>+'[1]Total P&amp;C'!$C$34/1000</f>
        <v>118.09430183000001</v>
      </c>
      <c r="AJ77" s="27">
        <f>+'[1]Total P&amp;C'!$C$35/1000</f>
        <v>118.59117000000001</v>
      </c>
      <c r="AL77" s="202" t="s">
        <v>38</v>
      </c>
      <c r="AM77" s="9"/>
      <c r="AN77" s="37" t="s">
        <v>19</v>
      </c>
      <c r="AT77" s="19">
        <f>+[2]Retail!$C$33/1000</f>
        <v>12.45951670999999</v>
      </c>
      <c r="AU77" s="19">
        <f>+[2]Retail!$C$34/1000</f>
        <v>12.835577450000004</v>
      </c>
      <c r="AV77" s="19">
        <f>+[2]Retail!$C$35/1000</f>
        <v>13.131483596439136</v>
      </c>
      <c r="AW77" s="6"/>
      <c r="AX77" s="19">
        <f>+[2]SME!$C$33/1000</f>
        <v>5.9680029899999969</v>
      </c>
      <c r="AY77" s="19">
        <f>+[2]SME!$C$34/1000</f>
        <v>6.1407779400000004</v>
      </c>
      <c r="AZ77" s="19">
        <f>+[2]SME!$C$35/1000</f>
        <v>6.2543068537446347</v>
      </c>
      <c r="BA77" s="6"/>
      <c r="BB77" s="19">
        <f>+[2]MidCorp!$C$33/1000</f>
        <v>18.325501020000004</v>
      </c>
      <c r="BC77" s="19">
        <f>+[2]MidCorp!$C$34/1000</f>
        <v>17.214163820000007</v>
      </c>
      <c r="BD77" s="19">
        <f>+[2]MidCorp!$C$35/1000</f>
        <v>18.831653672501602</v>
      </c>
      <c r="BJ77" s="19">
        <f>+[2]Specials!$C$33/1000</f>
        <v>0</v>
      </c>
      <c r="BK77" s="19">
        <f>+[2]Specials!$C$34/1000</f>
        <v>0</v>
      </c>
      <c r="BL77" s="19">
        <f>+[2]Specials!$C$35/1000</f>
        <v>0</v>
      </c>
      <c r="BM77" s="6"/>
      <c r="BN77" s="27">
        <f>+'[2]Total P&amp;C'!$C$33/1000</f>
        <v>36.753020719999995</v>
      </c>
      <c r="BO77" s="27">
        <f>+'[2]Total P&amp;C'!$C$34/1000</f>
        <v>36.190519210000012</v>
      </c>
      <c r="BP77" s="27">
        <f>+'[2]Total P&amp;C'!$C$35/1000</f>
        <v>38.217444122685365</v>
      </c>
      <c r="BR77" s="27">
        <f>+'[3]Total P&amp;C'!$C$33/1000</f>
        <v>152.03933623</v>
      </c>
      <c r="BS77" s="27">
        <f>+'[3]Total P&amp;C'!$C$34/1000</f>
        <v>154.28482104000003</v>
      </c>
      <c r="BT77" s="27">
        <f>+'[3]Total P&amp;C'!$C$35/1000</f>
        <v>156.80861412268538</v>
      </c>
    </row>
    <row r="78" spans="2:72" ht="16.5" hidden="1" customHeight="1" outlineLevel="1" x14ac:dyDescent="0.25">
      <c r="B78" s="202"/>
      <c r="C78" s="9"/>
      <c r="D78" s="37" t="s">
        <v>20</v>
      </c>
      <c r="J78" s="19">
        <f>+[1]Retail!$N$33/1000</f>
        <v>1.3175103099999981</v>
      </c>
      <c r="K78" s="19">
        <f>+[1]Retail!$N$34/1000</f>
        <v>1.5505957199999973</v>
      </c>
      <c r="L78" s="19">
        <f>+[1]Retail!$N$35/1000</f>
        <v>0</v>
      </c>
      <c r="M78" s="6"/>
      <c r="N78" s="19">
        <f>+[1]SME!$N$33/1000</f>
        <v>9.6528133799999996</v>
      </c>
      <c r="O78" s="19">
        <f>+[1]SME!$N$34/1000</f>
        <v>9.7543116899999962</v>
      </c>
      <c r="P78" s="19">
        <f>+[1]SME!$N$35/1000</f>
        <v>9.4373127224502795</v>
      </c>
      <c r="Q78" s="6"/>
      <c r="R78" s="19">
        <f>+[1]MidCorp!$N$33/1000</f>
        <v>35.856156949999999</v>
      </c>
      <c r="S78" s="19">
        <f>+[1]MidCorp!$N$34/1000</f>
        <v>35.727936879999994</v>
      </c>
      <c r="T78" s="19">
        <f>+[1]MidCorp!$N$35/1000</f>
        <v>47.982197257748105</v>
      </c>
      <c r="U78" s="6"/>
      <c r="V78" s="19">
        <f>+[1]MGA!$N$33/1000</f>
        <v>3.2356591799999994</v>
      </c>
      <c r="W78" s="19">
        <f>+[1]MGA!$N$34/1000</f>
        <v>2.8877826899999994</v>
      </c>
      <c r="X78" s="19">
        <f>+[1]MGA!$N$35/1000</f>
        <v>6.2240000000000002</v>
      </c>
      <c r="Y78" s="6"/>
      <c r="Z78" s="19">
        <f>+[1]Bancassurance!$N$33/1000</f>
        <v>2.6223940000000005E-2</v>
      </c>
      <c r="AA78" s="19">
        <f>+[1]Bancassurance!$N$34/1000</f>
        <v>0</v>
      </c>
      <c r="AB78" s="19">
        <f>+[1]Bancassurance!$N$35/1000</f>
        <v>0.30894008499504944</v>
      </c>
      <c r="AC78" s="6"/>
      <c r="AD78" s="19">
        <f>+[1]Specials!$N$33/1000</f>
        <v>0</v>
      </c>
      <c r="AE78" s="19">
        <f>+[1]Specials!$N$34/1000</f>
        <v>-1.0088900000000001E-3</v>
      </c>
      <c r="AF78" s="19">
        <f>+[1]Specials!$N$35/1000</f>
        <v>0</v>
      </c>
      <c r="AG78" s="6"/>
      <c r="AH78" s="27">
        <f>+'[1]Total P&amp;C'!$N$33/1000</f>
        <v>50.08836376</v>
      </c>
      <c r="AI78" s="27">
        <f>+'[1]Total P&amp;C'!$N$34/1000</f>
        <v>49.919618089999986</v>
      </c>
      <c r="AJ78" s="27">
        <f>+'[1]Total P&amp;C'!$N$35/1000</f>
        <v>63.952450065193439</v>
      </c>
      <c r="AL78" s="202"/>
      <c r="AM78" s="9"/>
      <c r="AN78" s="37" t="s">
        <v>20</v>
      </c>
      <c r="AT78" s="19">
        <f>+[2]Retail!$N$33/1000</f>
        <v>12.519300509999995</v>
      </c>
      <c r="AU78" s="19">
        <f>+[2]Retail!$N$34/1000</f>
        <v>12.809171130000003</v>
      </c>
      <c r="AV78" s="19">
        <f>+[2]Retail!$N$35/1000</f>
        <v>13.142971363986241</v>
      </c>
      <c r="AW78" s="6"/>
      <c r="AX78" s="19">
        <f>+[2]SME!$N$33/1000</f>
        <v>4.0744000800000011</v>
      </c>
      <c r="AY78" s="19">
        <f>+[2]SME!$N$34/1000</f>
        <v>4.2556116399999953</v>
      </c>
      <c r="AZ78" s="19">
        <f>+[2]SME!$N$35/1000</f>
        <v>4.3161255611462801</v>
      </c>
      <c r="BA78" s="6"/>
      <c r="BB78" s="19">
        <f>+[2]MidCorp!$N$33/1000</f>
        <v>9.6943313500000006</v>
      </c>
      <c r="BC78" s="19">
        <f>+[2]MidCorp!$N$34/1000</f>
        <v>9.2067108199999943</v>
      </c>
      <c r="BD78" s="19">
        <f>+[2]MidCorp!$N$35/1000</f>
        <v>10.999890215633473</v>
      </c>
      <c r="BJ78" s="19">
        <f>+[2]Specials!$N$33/1000</f>
        <v>0</v>
      </c>
      <c r="BK78" s="19">
        <f>+[2]Specials!$N$34/1000</f>
        <v>0</v>
      </c>
      <c r="BL78" s="19">
        <f>+[2]Specials!$N$35/1000</f>
        <v>0</v>
      </c>
      <c r="BM78" s="6"/>
      <c r="BN78" s="27">
        <f>+'[2]Total P&amp;C'!$N$33/1000</f>
        <v>26.288031939999996</v>
      </c>
      <c r="BO78" s="27">
        <f>+'[2]Total P&amp;C'!$N$34/1000</f>
        <v>26.271493589999992</v>
      </c>
      <c r="BP78" s="27">
        <f>+'[2]Total P&amp;C'!$N$35/1000</f>
        <v>28.458987140765995</v>
      </c>
      <c r="BR78" s="27">
        <f>+'[3]Total P&amp;C'!$N$33/1000</f>
        <v>76.376395699999989</v>
      </c>
      <c r="BS78" s="27">
        <f>+'[3]Total P&amp;C'!$N$34/1000</f>
        <v>76.191111679999977</v>
      </c>
      <c r="BT78" s="27">
        <f>+'[3]Total P&amp;C'!$N$35/1000</f>
        <v>92.41143720595943</v>
      </c>
    </row>
    <row r="79" spans="2:72" ht="16.5" hidden="1" customHeight="1" outlineLevel="1" x14ac:dyDescent="0.25">
      <c r="B79" s="202"/>
      <c r="C79" s="9"/>
      <c r="D79" s="37" t="s">
        <v>21</v>
      </c>
      <c r="J79" s="20">
        <f>+J80+J85+J86+J87+J88</f>
        <v>0.43947417762522301</v>
      </c>
      <c r="K79" s="20">
        <f>+K80+K85+K86+K87+K88</f>
        <v>1.0924877440007414</v>
      </c>
      <c r="L79" s="20" t="e">
        <f>+L80+L85+L86+L87+L88</f>
        <v>#DIV/0!</v>
      </c>
      <c r="M79" s="6"/>
      <c r="N79" s="20">
        <f>+N80+N85+N86+N87+N88</f>
        <v>1.0366788381855159</v>
      </c>
      <c r="O79" s="20">
        <f>+O80+O85+O86+O87+O88</f>
        <v>0.76973210500309563</v>
      </c>
      <c r="P79" s="20">
        <f>+P80+P85+P86+P87+P88</f>
        <v>0.96263033279017263</v>
      </c>
      <c r="Q79" s="6"/>
      <c r="R79" s="20">
        <f>+R80+R85+R86+R87+R88</f>
        <v>0.8108168376923619</v>
      </c>
      <c r="S79" s="20">
        <f>+S80+S85+S86+S87+S88</f>
        <v>0.90120064077990547</v>
      </c>
      <c r="T79" s="20">
        <f>+T80+T85+T86+T87+T88</f>
        <v>0.90749123895617312</v>
      </c>
      <c r="U79" s="6"/>
      <c r="V79" s="20">
        <f>+V80+V85+V86+V87+V88</f>
        <v>0.96460137683598723</v>
      </c>
      <c r="W79" s="20">
        <f>+W80+W85+W86+W87+W88</f>
        <v>1.1624934942732832</v>
      </c>
      <c r="X79" s="20">
        <f>+X80+X85+X86+X87+X88</f>
        <v>0.93077027240153165</v>
      </c>
      <c r="Y79" s="6"/>
      <c r="Z79" s="20">
        <f>+Z80+Z85+Z86+Z87+Z88</f>
        <v>24.298362869957753</v>
      </c>
      <c r="AA79" s="20" t="e">
        <f>+AA80+AA85+AA86+AA87+AA88</f>
        <v>#DIV/0!</v>
      </c>
      <c r="AB79" s="20">
        <f>+AB80+AB85+AB86+AB87+AB88</f>
        <v>1.6711654655329888</v>
      </c>
      <c r="AC79" s="6"/>
      <c r="AD79" s="20" t="e">
        <f>+AD80+AD85+AD86+AD87+AD88</f>
        <v>#DIV/0!</v>
      </c>
      <c r="AE79" s="20">
        <f>+AE80+AE85+AE86+AE87+AE88</f>
        <v>0.98067182745393433</v>
      </c>
      <c r="AF79" s="20" t="e">
        <f>+AF80+AF85+AF86+AF87+AF88</f>
        <v>#DIV/0!</v>
      </c>
      <c r="AG79" s="6"/>
      <c r="AH79" s="28">
        <f>+AH80+AH85+AH86+AH87+AH88</f>
        <v>0.866807612802723</v>
      </c>
      <c r="AI79" s="28">
        <f>+AI80+AI85+AI86+AI87+AI88</f>
        <v>0.91233202381256473</v>
      </c>
      <c r="AJ79" s="28">
        <f>+AJ80+AJ85+AJ86+AJ87+AJ88</f>
        <v>0.92467780696681046</v>
      </c>
      <c r="AL79" s="202"/>
      <c r="AM79" s="9"/>
      <c r="AN79" s="37" t="s">
        <v>21</v>
      </c>
      <c r="AT79" s="20">
        <f>+AT80+AT85+AT86+AT87+AT88</f>
        <v>0.91666077835845561</v>
      </c>
      <c r="AU79" s="20">
        <f>+AU80+AU85+AU86+AU87+AU88</f>
        <v>0.87258372431472075</v>
      </c>
      <c r="AV79" s="20">
        <f>+AV80+AV85+AV86+AV87+AV88</f>
        <v>0.97414081115181106</v>
      </c>
      <c r="AW79" s="6"/>
      <c r="AX79" s="20">
        <f>+AX80+AX85+AX86+AX87+AX88</f>
        <v>1.0390472135470801</v>
      </c>
      <c r="AY79" s="20">
        <f>+AY80+AY85+AY86+AY87+AY88</f>
        <v>0.50575340798720037</v>
      </c>
      <c r="AZ79" s="20">
        <f>+AZ80+AZ85+AZ86+AZ87+AZ88</f>
        <v>1.1275743821260522</v>
      </c>
      <c r="BA79" s="6"/>
      <c r="BB79" s="20">
        <f>+BB80+BB85+BB86+BB87+BB88</f>
        <v>1.0791933958395177</v>
      </c>
      <c r="BC79" s="20">
        <f>+BC80+BC85+BC86+BC87+BC88</f>
        <v>0.96761552677941065</v>
      </c>
      <c r="BD79" s="20">
        <f>+BD80+BD85+BD86+BD87+BD88</f>
        <v>1.0094230508252622</v>
      </c>
      <c r="BJ79" s="20" t="e">
        <f>+BJ80+BJ85+BJ86+BJ87+BJ88</f>
        <v>#DIV/0!</v>
      </c>
      <c r="BK79" s="20" t="e">
        <f>+BK80+BK85+BK86+BK87+BK88</f>
        <v>#DIV/0!</v>
      </c>
      <c r="BL79" s="20" t="e">
        <f>+BL80+BL85+BL86+BL87+BL88</f>
        <v>#DIV/0!</v>
      </c>
      <c r="BM79" s="6"/>
      <c r="BN79" s="28">
        <f>+BN80+BN85+BN86+BN87+BN88</f>
        <v>0.99556726915632332</v>
      </c>
      <c r="BO79" s="28">
        <f>+BO80+BO85+BO86+BO87+BO88</f>
        <v>0.8464657939533613</v>
      </c>
      <c r="BP79" s="28">
        <f>+BP80+BP85+BP86+BP87+BP88</f>
        <v>1.0110479335098288</v>
      </c>
      <c r="BR79" s="28">
        <f>+BR80+BR85+BR86+BR87+BR88</f>
        <v>0.91112546686986462</v>
      </c>
      <c r="BS79" s="28">
        <f>+BS80+BS85+BS86+BS87+BS88</f>
        <v>0.88962065765201859</v>
      </c>
      <c r="BT79" s="28">
        <f>+BT80+BT85+BT86+BT87+BT88</f>
        <v>0.95127631462940498</v>
      </c>
    </row>
    <row r="80" spans="2:72" ht="16.5" hidden="1" customHeight="1" outlineLevel="1" x14ac:dyDescent="0.25">
      <c r="B80" s="202"/>
      <c r="C80" s="9"/>
      <c r="D80" s="37" t="s">
        <v>22</v>
      </c>
      <c r="J80" s="20">
        <f>+J81+J82+J83+J84</f>
        <v>0.10151782417551022</v>
      </c>
      <c r="K80" s="20">
        <f>+K81+K82+K83+K84</f>
        <v>0.67322425602980751</v>
      </c>
      <c r="L80" s="20" t="e">
        <f>+L81+L82+L83+L84</f>
        <v>#DIV/0!</v>
      </c>
      <c r="M80" s="6"/>
      <c r="N80" s="20">
        <f>+N81+N82+N83+N84</f>
        <v>0.44309614841015393</v>
      </c>
      <c r="O80" s="20">
        <f>+O81+O82+O83+O84</f>
        <v>0.56122320815442406</v>
      </c>
      <c r="P80" s="20">
        <f>+P81+P82+P83+P84</f>
        <v>0.58128024472715745</v>
      </c>
      <c r="Q80" s="6"/>
      <c r="R80" s="20">
        <f>+R81+R82+R83+R84</f>
        <v>0.66371397813730293</v>
      </c>
      <c r="S80" s="20">
        <f>+S81+S82+S83+S84</f>
        <v>0.66500002364536204</v>
      </c>
      <c r="T80" s="20">
        <f>+T81+T82+T83+T84</f>
        <v>0.69838707848874437</v>
      </c>
      <c r="U80" s="6"/>
      <c r="V80" s="20">
        <f>+V81+V82+V83+V84</f>
        <v>0.85227372742020391</v>
      </c>
      <c r="W80" s="20">
        <f>+W81+W82+W83+W84</f>
        <v>0.59146856718640428</v>
      </c>
      <c r="X80" s="20">
        <f>+X81+X82+X83+X84</f>
        <v>0.5728544935889186</v>
      </c>
      <c r="Y80" s="6"/>
      <c r="Z80" s="20">
        <f>+Z81+Z82+Z83+Z84</f>
        <v>6.1024605760995483</v>
      </c>
      <c r="AA80" s="20" t="e">
        <f>+AA81+AA82+AA83+AA84</f>
        <v>#DIV/0!</v>
      </c>
      <c r="AB80" s="20">
        <f>+AB81+AB82+AB83+AB84</f>
        <v>0.43782377643486775</v>
      </c>
      <c r="AC80" s="6"/>
      <c r="AD80" s="20" t="e">
        <f>+AD81+AD82+AD83+AD84</f>
        <v>#DIV/0!</v>
      </c>
      <c r="AE80" s="20">
        <f>+AE81+AE82+AE83+AE84</f>
        <v>0.77435597537888168</v>
      </c>
      <c r="AF80" s="20" t="e">
        <f>+AF81+AF82+AF83+AF84</f>
        <v>#DIV/0!</v>
      </c>
      <c r="AG80" s="6"/>
      <c r="AH80" s="28">
        <f>+AH81+AH82+AH83+AH84</f>
        <v>0.62143786127942002</v>
      </c>
      <c r="AI80" s="28">
        <f>+AI81+AI82+AI83+AI84</f>
        <v>0.6453732010112021</v>
      </c>
      <c r="AJ80" s="28">
        <f>+AJ81+AJ82+AJ83+AJ84</f>
        <v>0.66855367706635016</v>
      </c>
      <c r="AL80" s="202"/>
      <c r="AM80" s="9"/>
      <c r="AN80" s="37" t="s">
        <v>22</v>
      </c>
      <c r="AT80" s="20">
        <f>+AT81+AT82+AT83+AT84</f>
        <v>0.58823691500316921</v>
      </c>
      <c r="AU80" s="20">
        <f>+AU81+AU82+AU83+AU84</f>
        <v>0.65914510348180533</v>
      </c>
      <c r="AV80" s="20">
        <f>+AV81+AV82+AV83+AV84</f>
        <v>0.57847407723427446</v>
      </c>
      <c r="AW80" s="6"/>
      <c r="AX80" s="20">
        <f>+AX81+AX82+AX83+AX84</f>
        <v>0.57193634749781352</v>
      </c>
      <c r="AY80" s="20">
        <f>+AY81+AY82+AY83+AY84</f>
        <v>0.4614283435882327</v>
      </c>
      <c r="AZ80" s="20">
        <f>+AZ81+AZ82+AZ83+AZ84</f>
        <v>0.60635480534081143</v>
      </c>
      <c r="BA80" s="6"/>
      <c r="BB80" s="20">
        <f>+BB81+BB82+BB83+BB84</f>
        <v>0.42311924483579771</v>
      </c>
      <c r="BC80" s="20">
        <f>+BC81+BC82+BC83+BC84</f>
        <v>0.48294940255329988</v>
      </c>
      <c r="BD80" s="20">
        <f>+BD81+BD82+BD83+BD84</f>
        <v>0.64116490599961606</v>
      </c>
      <c r="BJ80" s="20" t="e">
        <f>+BJ81+BJ82+BJ83+BJ84</f>
        <v>#DIV/0!</v>
      </c>
      <c r="BK80" s="20" t="e">
        <f>+BK81+BK82+BK83+BK84</f>
        <v>#DIV/0!</v>
      </c>
      <c r="BL80" s="20" t="e">
        <f>+BL81+BL82+BL83+BL84</f>
        <v>#DIV/0!</v>
      </c>
      <c r="BM80" s="6"/>
      <c r="BN80" s="28">
        <f>+BN81+BN82+BN83+BN84</f>
        <v>0.52481944641155209</v>
      </c>
      <c r="BO80" s="28">
        <f>+BO81+BO82+BO83+BO84</f>
        <v>0.56537089142330743</v>
      </c>
      <c r="BP80" s="28">
        <f>+BP81+BP82+BP83+BP84</f>
        <v>0.6069335917343408</v>
      </c>
      <c r="BR80" s="28">
        <f>+BR81+BR82+BR83+BR84</f>
        <v>0.5881827180802669</v>
      </c>
      <c r="BS80" s="28">
        <f>+BS81+BS82+BS83+BS84</f>
        <v>0.61778756645121591</v>
      </c>
      <c r="BT80" s="28">
        <f>+BT81+BT82+BT83+BT84</f>
        <v>0.64957718163355893</v>
      </c>
    </row>
    <row r="81" spans="2:72" ht="16.5" hidden="1" customHeight="1" outlineLevel="1" x14ac:dyDescent="0.25">
      <c r="B81" s="202"/>
      <c r="C81" s="9"/>
      <c r="D81" s="38" t="s">
        <v>23</v>
      </c>
      <c r="J81" s="20">
        <f>-SUM([1]Retail!$O$33,[1]Retail!$R$33:$V$33,[1]Retail!$Y$33,[1]Retail!$AB$33,[1]Retail!$AU$33,[1]Retail!$AX$33,[1]Retail!$BA$33,[1]Retail!$BD$33)/1000/J78</f>
        <v>9.9800000806065936E-2</v>
      </c>
      <c r="K81" s="42">
        <f>-SUM([1]Retail!$O$34,[1]Retail!$R$34:$V$34,[1]Retail!$Y$34,[1]Retail!$AB$34,[1]Retail!$AU$34,[1]Retail!$AX$34,[1]Retail!$BA$34,[1]Retail!$BD$34)/1000/K78</f>
        <v>0.38698735049172805</v>
      </c>
      <c r="L81" s="42" t="e">
        <f>-SUM([1]Retail!$O$35,[1]Retail!$R$35:$V$35,[1]Retail!$Y$35,[1]Retail!$AB$35,[1]Retail!$AU$35,[1]Retail!$AX$35,[1]Retail!$BA$35,[1]Retail!$BD$35)/1000/L78</f>
        <v>#DIV/0!</v>
      </c>
      <c r="M81" s="6"/>
      <c r="N81" s="20">
        <f>-SUM([1]SME!$O$33,[1]SME!$R$33:$V$33,[1]SME!$Y$33,[1]SME!$AB$33,[1]SME!$AU$33,[1]SME!$AX$33,[1]SME!$BA$33,[1]SME!$BD$33)/1000/N78</f>
        <v>0.30631328883102149</v>
      </c>
      <c r="O81" s="20">
        <f>-SUM([1]SME!$O$34,[1]SME!$R$34:$V$34,[1]SME!$Y$34,[1]SME!$AB$34,[1]SME!$AU$34,[1]SME!$AX$34,[1]SME!$BA$34,[1]SME!$BD$34)/1000/O78</f>
        <v>0.28728671342145634</v>
      </c>
      <c r="P81" s="20">
        <f>-SUM([1]SME!$O$35,[1]SME!$R$35:$V$35,[1]SME!$Y$35,[1]SME!$AB$35,[1]SME!$AU$35,[1]SME!$AX$35,[1]SME!$BA$35,[1]SME!$BD$35)/1000/P78</f>
        <v>0.27026150615818301</v>
      </c>
      <c r="Q81" s="6"/>
      <c r="R81" s="20">
        <f>-SUM([1]MidCorp!$O$33,[1]MidCorp!$R$33:$V$33,[1]MidCorp!$Y$33,[1]MidCorp!$AB$33,[1]MidCorp!$AU$33,[1]MidCorp!$AX$33,[1]MidCorp!$BA$33,[1]MidCorp!$BD$33)/1000/R78</f>
        <v>0.27613107422096067</v>
      </c>
      <c r="S81" s="20">
        <f>-SUM([1]MidCorp!$O$34,[1]MidCorp!$R$34:$V$34,[1]MidCorp!$Y$34,[1]MidCorp!$AB$34,[1]MidCorp!$AU$34,[1]MidCorp!$AX$34,[1]MidCorp!$BA$34,[1]MidCorp!$BD$34)/1000/S78</f>
        <v>0.27603132373993339</v>
      </c>
      <c r="T81" s="20">
        <f>-SUM([1]MidCorp!$O$35,[1]MidCorp!$R$35:$V$35,[1]MidCorp!$Y$35,[1]MidCorp!$AB$35,[1]MidCorp!$AU$35,[1]MidCorp!$AX$35,[1]MidCorp!$BA$35,[1]MidCorp!$BD$35)/1000/T78</f>
        <v>0.28612819307652587</v>
      </c>
      <c r="U81" s="6"/>
      <c r="V81" s="20">
        <f>-SUM([1]MGA!$O$33,[1]MGA!$R$33:$V$33,[1]MGA!$Y$33,[1]MGA!$AB$33,[1]MGA!$AU$33,[1]MGA!$AX$33,[1]MGA!$BA$33,[1]MGA!$BD$33)/1000/V78</f>
        <v>0.54612999342610458</v>
      </c>
      <c r="W81" s="20">
        <f>-SUM([1]MGA!$O$34,[1]MGA!$R$34:$V$34,[1]MGA!$Y$34,[1]MGA!$AB$34,[1]MGA!$AU$34,[1]MGA!$AX$34,[1]MGA!$BA$34,[1]MGA!$BD$34)/1000/W78</f>
        <v>0.38544234808606204</v>
      </c>
      <c r="X81" s="20">
        <f>-SUM([1]MGA!$O$35,[1]MGA!$R$35:$V$35,[1]MGA!$Y$35,[1]MGA!$AB$35,[1]MGA!$AU$35,[1]MGA!$AX$35,[1]MGA!$BA$35,[1]MGA!$BD$35)/1000/X78</f>
        <v>0.33847754777066436</v>
      </c>
      <c r="Y81" s="6"/>
      <c r="Z81" s="20">
        <f>-SUM([1]Bancassurance!$O$33,[1]Bancassurance!$R$33:$V$33,[1]Bancassurance!$Y$33,[1]Bancassurance!$AB$33,[1]Bancassurance!$AU$33,[1]Bancassurance!$AX$33,[1]Bancassurance!$BA$33,[1]Bancassurance!$BD$33)/1000/Z78</f>
        <v>5.3121521785055945</v>
      </c>
      <c r="AA81" s="20" t="e">
        <f>-SUM([1]Bancassurance!$O$34,[1]Bancassurance!$R$34:$V$34,[1]Bancassurance!$Y$34,[1]Bancassurance!$AB$34,[1]Bancassurance!$AU$34,[1]Bancassurance!$AX$34,[1]Bancassurance!$BA$34,[1]Bancassurance!$BD$34)/1000/AA78</f>
        <v>#DIV/0!</v>
      </c>
      <c r="AB81" s="20">
        <f>-SUM([1]Bancassurance!$O$35,[1]Bancassurance!$R$35:$V$35,[1]Bancassurance!$Y$35,[1]Bancassurance!$AB$35,[1]Bancassurance!$AU$35,[1]Bancassurance!$AX$35,[1]Bancassurance!$BA$35,[1]Bancassurance!$BD$35)/1000/AB78</f>
        <v>0.13896769384533014</v>
      </c>
      <c r="AC81" s="6"/>
      <c r="AD81" s="20" t="e">
        <f>-SUM([1]Specials!$O$33,[1]Specials!$R$33:$V$33,[1]Specials!$Y$33,[1]Specials!$AB$33,[1]Specials!$AU$33,[1]Specials!$AX$33,[1]Specials!$BA$33,[1]Specials!$BD$33)/1000/AD78</f>
        <v>#DIV/0!</v>
      </c>
      <c r="AE81" s="20">
        <f>-SUM([1]Specials!$O$34,[1]Specials!$R$34:$V$34,[1]Specials!$Y$34,[1]Specials!$AB$34,[1]Specials!$AU$34,[1]Specials!$AX$34,[1]Specials!$BA$34,[1]Specials!$BD$34)/1000/AE78</f>
        <v>1.9823766713913309E-5</v>
      </c>
      <c r="AF81" s="20" t="e">
        <f>-SUM([1]Specials!$O$35,[1]Specials!$R$35:$V$35,[1]Specials!$Y$35,[1]Specials!$AB$35,[1]Specials!$AU$35,[1]Specials!$AX$35,[1]Specials!$BA$35,[1]Specials!$BD$35)/1000/AF78</f>
        <v>#DIV/0!</v>
      </c>
      <c r="AG81" s="6"/>
      <c r="AH81" s="28">
        <f>-SUM('[1]Total P&amp;C'!$O$33,'[1]Total P&amp;C'!$R$33:$V$33,'[1]Total P&amp;C'!$Y$33,'[1]Total P&amp;C'!$AB$33,'[1]Total P&amp;C'!$AU$33,'[1]Total P&amp;C'!$AX$33,'[1]Total P&amp;C'!$BA$33,'[1]Total P&amp;C'!$BD$33)/1000/AH78</f>
        <v>0.29738778924810433</v>
      </c>
      <c r="AI81" s="28">
        <f>-SUM('[1]Total P&amp;C'!$O$34,'[1]Total P&amp;C'!$R$34:$V$34,'[1]Total P&amp;C'!$Y$34,'[1]Total P&amp;C'!$AB$34,'[1]Total P&amp;C'!$AU$34,'[1]Total P&amp;C'!$AX$34,'[1]Total P&amp;C'!$BA$34,'[1]Total P&amp;C'!$BD$34)/1000/AI78</f>
        <v>0.29247359489873603</v>
      </c>
      <c r="AJ81" s="28">
        <f>-SUM('[1]Total P&amp;C'!$O$35,'[1]Total P&amp;C'!$R$35:$V$35,'[1]Total P&amp;C'!$Y$35,'[1]Total P&amp;C'!$AB$35,'[1]Total P&amp;C'!$AU$35,'[1]Total P&amp;C'!$AX$35,'[1]Total P&amp;C'!$BA$35,'[1]Total P&amp;C'!$BD$35)/1000/AJ78</f>
        <v>0.28909426669009541</v>
      </c>
      <c r="AL81" s="202"/>
      <c r="AM81" s="9"/>
      <c r="AN81" s="38" t="s">
        <v>23</v>
      </c>
      <c r="AT81" s="20">
        <f>-SUM([2]Retail!$O$33,[2]Retail!$R$33:$V$33,[2]Retail!$Y$33,[2]Retail!$AB$33,[2]Retail!$AU$33,[2]Retail!$AX$33,[2]Retail!$BA$33,[2]Retail!$BD$33)/1000/AT78</f>
        <v>0.45233935079988169</v>
      </c>
      <c r="AU81" s="42">
        <f>-SUM([2]Retail!$O$34,[2]Retail!$R$34:$V$34,[2]Retail!$Y$34,[2]Retail!$AB$34,[2]Retail!$AU$34,[2]Retail!$AX$34,[2]Retail!$BA$34,[2]Retail!$BD$34)/1000/AU78</f>
        <v>0.51725815923266527</v>
      </c>
      <c r="AV81" s="42">
        <f>-SUM([2]Retail!$O$35,[2]Retail!$R$35:$V$35,[2]Retail!$Y$35,[2]Retail!$AB$35,[2]Retail!$AU$35,[2]Retail!$AX$35,[2]Retail!$BA$35,[2]Retail!$BD$35)/1000/AV78</f>
        <v>0.36284434940746585</v>
      </c>
      <c r="AW81" s="6"/>
      <c r="AX81" s="20">
        <f>-SUM([2]SME!$O$33,[2]SME!$R$33:$V$33,[2]SME!$Y$33,[2]SME!$AB$33,[2]SME!$AU$33,[2]SME!$AX$33,[2]SME!$BA$33,[2]SME!$BD$33)/1000/AX78</f>
        <v>0.30858227538515048</v>
      </c>
      <c r="AY81" s="20">
        <f>-SUM([2]SME!$O$34,[2]SME!$R$34:$V$34,[2]SME!$Y$34,[2]SME!$AB$34,[2]SME!$AU$34,[2]SME!$AX$34,[2]SME!$BA$34,[2]SME!$BD$34)/1000/AY78</f>
        <v>0.30081171598637735</v>
      </c>
      <c r="AZ81" s="20">
        <f>-SUM([2]SME!$O$35,[2]SME!$R$35:$V$35,[2]SME!$Y$35,[2]SME!$AB$35,[2]SME!$AU$35,[2]SME!$AX$35,[2]SME!$BA$35,[2]SME!$BD$35)/1000/AZ78</f>
        <v>0.32227932661483821</v>
      </c>
      <c r="BA81" s="6"/>
      <c r="BB81" s="20">
        <f>-SUM([2]MidCorp!$O$33,[2]MidCorp!$R$33:$V$33,[2]MidCorp!$Y$33,[2]MidCorp!$AB$33,[2]MidCorp!$AU$33,[2]MidCorp!$AX$33,[2]MidCorp!$BA$33,[2]MidCorp!$BD$33)/1000/BB78</f>
        <v>0.14617882491407766</v>
      </c>
      <c r="BC81" s="20">
        <f>-SUM([2]MidCorp!$O$34,[2]MidCorp!$R$34:$V$34,[2]MidCorp!$Y$34,[2]MidCorp!$AB$34,[2]MidCorp!$AU$34,[2]MidCorp!$AX$34,[2]MidCorp!$BA$34,[2]MidCorp!$BD$34)/1000/BC78</f>
        <v>0.28616804758075387</v>
      </c>
      <c r="BD81" s="20">
        <f>-SUM([2]MidCorp!$O$35,[2]MidCorp!$R$35:$V$35,[2]MidCorp!$Y$35,[2]MidCorp!$AB$35,[2]MidCorp!$AU$35,[2]MidCorp!$AX$35,[2]MidCorp!$BA$35,[2]MidCorp!$BD$35)/1000/BD78</f>
        <v>0.29883041321111853</v>
      </c>
      <c r="BJ81" s="20" t="e">
        <f>-SUM([2]Specials!$O$33,[2]Specials!$R$33:$V$33,[2]Specials!$Y$33,[2]Specials!$AB$33,[2]Specials!$AU$33,[2]Specials!$AX$33,[2]Specials!$BA$33,[2]Specials!$BD$33)/1000/BJ78</f>
        <v>#DIV/0!</v>
      </c>
      <c r="BK81" s="20" t="e">
        <f>-SUM([2]Specials!$O$34,[2]Specials!$R$34:$V$34,[2]Specials!$Y$34,[2]Specials!$AB$34,[2]Specials!$AU$34,[2]Specials!$AX$34,[2]Specials!$BA$34,[2]Specials!$BD$34)/1000/BK78</f>
        <v>#DIV/0!</v>
      </c>
      <c r="BL81" s="20" t="e">
        <f>-SUM([2]Specials!$O$35,[2]Specials!$R$35:$V$35,[2]Specials!$Y$35,[2]Specials!$AB$35,[2]Specials!$AU$35,[2]Specials!$AX$35,[2]Specials!$BA$35,[2]Specials!$BD$35)/1000/BL78</f>
        <v>#DIV/0!</v>
      </c>
      <c r="BM81" s="6"/>
      <c r="BN81" s="28">
        <f>-SUM('[2]Total P&amp;C'!$O$33,'[2]Total P&amp;C'!$R$33:$V$33,'[2]Total P&amp;C'!$Y$33,'[2]Total P&amp;C'!$AB$33,'[2]Total P&amp;C'!$AU$33,'[2]Total P&amp;C'!$AX$33,'[2]Total P&amp;C'!$BA$33,'[2]Total P&amp;C'!$BD$33)/1000/BN78</f>
        <v>0.31715443349954214</v>
      </c>
      <c r="BO81" s="28">
        <f>-SUM('[2]Total P&amp;C'!$O$34,'[2]Total P&amp;C'!$R$34:$V$34,'[2]Total P&amp;C'!$Y$34,'[2]Total P&amp;C'!$AB$34,'[2]Total P&amp;C'!$AU$34,'[2]Total P&amp;C'!$AX$34,'[2]Total P&amp;C'!$BA$34,'[2]Total P&amp;C'!$BD$34)/1000/BO78</f>
        <v>0.40121253646622235</v>
      </c>
      <c r="BP81" s="28">
        <f>-SUM('[2]Total P&amp;C'!$O$35,'[2]Total P&amp;C'!$R$35:$V$35,'[2]Total P&amp;C'!$Y$35,'[2]Total P&amp;C'!$AB$35,'[2]Total P&amp;C'!$AU$35,'[2]Total P&amp;C'!$AX$35,'[2]Total P&amp;C'!$BA$35,'[2]Total P&amp;C'!$BD$35)/1000/BP78</f>
        <v>0.33194971503958726</v>
      </c>
      <c r="BR81" s="28">
        <f>-SUM('[3]Total P&amp;C'!$O$33,'[3]Total P&amp;C'!$R$33:$V$33,'[3]Total P&amp;C'!$Y$33,'[3]Total P&amp;C'!$AB$33,'[3]Total P&amp;C'!$AU$33,'[3]Total P&amp;C'!$AX$33,'[3]Total P&amp;C'!$BA$33,'[3]Total P&amp;C'!$BD$33)/1000/BR78</f>
        <v>0.30419128096391479</v>
      </c>
      <c r="BS81" s="28">
        <f>-SUM('[3]Total P&amp;C'!$O$34,'[3]Total P&amp;C'!$R$34:$V$34,'[3]Total P&amp;C'!$Y$34,'[3]Total P&amp;C'!$AB$34,'[3]Total P&amp;C'!$AU$34,'[3]Total P&amp;C'!$AX$34,'[3]Total P&amp;C'!$BA$34,'[3]Total P&amp;C'!$BD$34)/1000/BS78</f>
        <v>0.3299679212497123</v>
      </c>
      <c r="BT81" s="28">
        <f>-SUM('[3]Total P&amp;C'!$O$35,'[3]Total P&amp;C'!$R$35:$V$35,'[3]Total P&amp;C'!$Y$35,'[3]Total P&amp;C'!$AB$35,'[3]Total P&amp;C'!$AU$35,'[3]Total P&amp;C'!$AX$35,'[3]Total P&amp;C'!$BA$35,'[3]Total P&amp;C'!$BD$35)/1000/BT78</f>
        <v>0.3022920124493324</v>
      </c>
    </row>
    <row r="82" spans="2:72" ht="16.5" hidden="1" customHeight="1" outlineLevel="1" x14ac:dyDescent="0.25">
      <c r="B82" s="202"/>
      <c r="C82" s="9"/>
      <c r="D82" s="38" t="s">
        <v>24</v>
      </c>
      <c r="J82" s="20">
        <f>-([1]Retail!$P$33+[1]Retail!$W$33+[1]Retail!$AV$33+[1]Retail!$AY$33)/1000/J78</f>
        <v>0</v>
      </c>
      <c r="K82" s="42">
        <f>-([1]Retail!$P$34+[1]Retail!$W$34+[1]Retail!$AV$34+[1]Retail!$AY$34)/1000/K78</f>
        <v>0</v>
      </c>
      <c r="L82" s="42" t="e">
        <f>-([1]Retail!$P$35+[1]Retail!$W$35+[1]Retail!$AV$35+[1]Retail!$AY$35)/1000/L78</f>
        <v>#DIV/0!</v>
      </c>
      <c r="M82" s="7"/>
      <c r="N82" s="20">
        <f>-([1]SME!$P$33+[1]SME!$W$33+[1]SME!$AV$33+[1]SME!$AY$33)/1000/N78</f>
        <v>1.8637053563341552E-4</v>
      </c>
      <c r="O82" s="20">
        <f>-([1]SME!$P$34+[1]SME!$W$34+[1]SME!$AV$34+[1]SME!$AY$34)/1000/O78</f>
        <v>0</v>
      </c>
      <c r="P82" s="20">
        <f>-([1]SME!$P$35+[1]SME!$W$35+[1]SME!$AV$35+[1]SME!$AY$35)/1000/P78</f>
        <v>6.8293425752384465E-2</v>
      </c>
      <c r="Q82" s="7"/>
      <c r="R82" s="20">
        <f>-([1]MidCorp!$P$33+[1]MidCorp!$W$33+[1]MidCorp!$AV$33+[1]MidCorp!$AY$33)/1000/R78</f>
        <v>1.6396747170083995E-2</v>
      </c>
      <c r="S82" s="20">
        <f>-([1]MidCorp!$P$34+[1]MidCorp!$W$34+[1]MidCorp!$AV$34+[1]MidCorp!$AY$34)/1000/S78</f>
        <v>0</v>
      </c>
      <c r="T82" s="20">
        <f>-([1]MidCorp!$P$35+[1]MidCorp!$W$35+[1]MidCorp!$AV$35+[1]MidCorp!$AY$35)/1000/T78</f>
        <v>6.8471339201682968E-2</v>
      </c>
      <c r="U82" s="7"/>
      <c r="V82" s="20">
        <f>-([1]MGA!$P$33+[1]MGA!$W$33+[1]MGA!$AV$33+[1]MGA!$AY$33)/1000/V78</f>
        <v>1.6263270348516748E-3</v>
      </c>
      <c r="W82" s="20">
        <f>-([1]MGA!$P$34+[1]MGA!$W$34+[1]MGA!$AV$34+[1]MGA!$AY$34)/1000/W78</f>
        <v>0</v>
      </c>
      <c r="X82" s="20">
        <f>-([1]MGA!$P$35+[1]MGA!$W$35+[1]MGA!$AV$35+[1]MGA!$AY$35)/1000/X78</f>
        <v>8.3227126338662596E-2</v>
      </c>
      <c r="Y82" s="7"/>
      <c r="Z82" s="20">
        <f>-([1]Bancassurance!$P$33+[1]Bancassurance!$W$33+[1]Bancassurance!$AV$33+[1]Bancassurance!$AY$33)/1000/Z78</f>
        <v>0</v>
      </c>
      <c r="AA82" s="20" t="e">
        <f>-([1]Bancassurance!$P$34+[1]Bancassurance!$W$34+[1]Bancassurance!$AV$34+[1]Bancassurance!$AY$34)/1000/AA78</f>
        <v>#DIV/0!</v>
      </c>
      <c r="AB82" s="20">
        <f>-([1]Bancassurance!$P$35+[1]Bancassurance!$W$35+[1]Bancassurance!$AV$35+[1]Bancassurance!$AY$35)/1000/AB78</f>
        <v>0.17637625668514795</v>
      </c>
      <c r="AC82" s="7"/>
      <c r="AD82" s="20" t="e">
        <f>-([1]Specials!$P$33+[1]Specials!$W$33+[1]Specials!$AV$33+[1]Specials!$AY$33)/1000/AD78</f>
        <v>#DIV/0!</v>
      </c>
      <c r="AE82" s="20">
        <f>-([1]Specials!$P$34+[1]Specials!$W$34+[1]Specials!$AV$34+[1]Specials!$AY$34)/1000/AE78</f>
        <v>0</v>
      </c>
      <c r="AF82" s="20" t="e">
        <f>-([1]Specials!$P$35+[1]Specials!$W$35+[1]Specials!$AV$35+[1]Specials!$AY$35)/1000/AF78</f>
        <v>#DIV/0!</v>
      </c>
      <c r="AG82" s="7"/>
      <c r="AH82" s="28">
        <f>-('[1]Total P&amp;C'!$P$33+'[1]Total P&amp;C'!$W$33+'[1]Total P&amp;C'!$AV$33+'[1]Total P&amp;C'!$AY$33)/1000/AH78</f>
        <v>1.1878718635148324E-2</v>
      </c>
      <c r="AI82" s="28">
        <f>-('[1]Total P&amp;C'!$P$34+'[1]Total P&amp;C'!$W$34+'[1]Total P&amp;C'!$AV$34+'[1]Total P&amp;C'!$AY$34)/1000/AI78</f>
        <v>0</v>
      </c>
      <c r="AJ82" s="28">
        <f>-('[1]Total P&amp;C'!$P$35+'[1]Total P&amp;C'!$W$35+'[1]Total P&amp;C'!$AV$35+'[1]Total P&amp;C'!$AY$35)/1000/AJ78</f>
        <v>7.0402416877906979E-2</v>
      </c>
      <c r="AL82" s="202"/>
      <c r="AM82" s="9"/>
      <c r="AN82" s="38" t="s">
        <v>24</v>
      </c>
      <c r="AT82" s="20">
        <f>-([2]Retail!$P$33+[2]Retail!$W$33+[2]Retail!$AV$33+[2]Retail!$AY$33)/1000/AT78</f>
        <v>1.130277765015484E-2</v>
      </c>
      <c r="AU82" s="42">
        <f>-([2]Retail!$P$34+[2]Retail!$W$34+[2]Retail!$AV$34+[2]Retail!$AY$34)/1000/AU78</f>
        <v>0</v>
      </c>
      <c r="AV82" s="42">
        <f>-([2]Retail!$P$35+[2]Retail!$W$35+[2]Retail!$AV$35+[2]Retail!$AY$35)/1000/AV78</f>
        <v>6.8877997550067557E-2</v>
      </c>
      <c r="AW82" s="7"/>
      <c r="AX82" s="20">
        <f>-([2]SME!$P$33+[2]SME!$W$33+[2]SME!$AV$33+[2]SME!$AY$33)/1000/AX78</f>
        <v>3.9802694093801407E-3</v>
      </c>
      <c r="AY82" s="20">
        <f>-([2]SME!$P$34+[2]SME!$W$34+[2]SME!$AV$34+[2]SME!$AY$34)/1000/AY78</f>
        <v>0</v>
      </c>
      <c r="AZ82" s="20">
        <f>-([2]SME!$P$35+[2]SME!$W$35+[2]SME!$AV$35+[2]SME!$AY$35)/1000/AZ78</f>
        <v>6.8688997109061178E-2</v>
      </c>
      <c r="BA82" s="7"/>
      <c r="BB82" s="20">
        <f>-([2]MidCorp!$P$33+[2]MidCorp!$W$33+[2]MidCorp!$AV$33+[2]MidCorp!$AY$33)/1000/BB78</f>
        <v>6.8139800069862474E-3</v>
      </c>
      <c r="BC82" s="20">
        <f>-([2]MidCorp!$P$34+[2]MidCorp!$W$34+[2]MidCorp!$AV$34+[2]MidCorp!$AY$34)/1000/BC78</f>
        <v>0</v>
      </c>
      <c r="BD82" s="20">
        <f>-([2]MidCorp!$P$35+[2]MidCorp!$W$35+[2]MidCorp!$AV$35+[2]MidCorp!$AY$35)/1000/BD78</f>
        <v>6.8293425752384479E-2</v>
      </c>
      <c r="BJ82" s="20" t="e">
        <f>-([2]Specials!$P$33+[2]Specials!$W$33+[2]Specials!$AV$33+[2]Specials!$AY$33)/1000/BJ78</f>
        <v>#DIV/0!</v>
      </c>
      <c r="BK82" s="20" t="e">
        <f>-([2]Specials!$P$34+[2]Specials!$W$34+[2]Specials!$AV$34+[2]Specials!$AY$34)/1000/BK78</f>
        <v>#DIV/0!</v>
      </c>
      <c r="BL82" s="20" t="e">
        <f>-([2]Specials!$P$35+[2]Specials!$W$35+[2]Specials!$AV$35+[2]Specials!$AY$35)/1000/BL78</f>
        <v>#DIV/0!</v>
      </c>
      <c r="BM82" s="7"/>
      <c r="BN82" s="28">
        <f>-('[2]Total P&amp;C'!$P$33+'[2]Total P&amp;C'!$W$33+'[2]Total P&amp;C'!$AV$33+'[2]Total P&amp;C'!$AY$33)/1000/BN78</f>
        <v>8.512507155756294E-3</v>
      </c>
      <c r="BO82" s="28">
        <f>-('[2]Total P&amp;C'!$P$34+'[2]Total P&amp;C'!$W$34+'[2]Total P&amp;C'!$AV$34+'[2]Total P&amp;C'!$AY$34)/1000/BO78</f>
        <v>0</v>
      </c>
      <c r="BP82" s="28">
        <f>-('[2]Total P&amp;C'!$P$35+'[2]Total P&amp;C'!$W$35+'[2]Total P&amp;C'!$AV$35+'[2]Total P&amp;C'!$AY$35)/1000/BP78</f>
        <v>6.8623386407502152E-2</v>
      </c>
      <c r="BR82" s="28">
        <f>-('[3]Total P&amp;C'!$P$33+'[3]Total P&amp;C'!$W$33+'[3]Total P&amp;C'!$AV$33+'[3]Total P&amp;C'!$AY$33)/1000/BR78</f>
        <v>1.072010052969808E-2</v>
      </c>
      <c r="BS82" s="28">
        <f>-('[3]Total P&amp;C'!$P$34+'[3]Total P&amp;C'!$W$34+'[3]Total P&amp;C'!$AV$34+'[3]Total P&amp;C'!$AY$34)/1000/BS78</f>
        <v>0</v>
      </c>
      <c r="BT82" s="28">
        <f>-('[3]Total P&amp;C'!$P$35+'[3]Total P&amp;C'!$W$35+'[3]Total P&amp;C'!$AV$35+'[3]Total P&amp;C'!$AY$35)/1000/BT78</f>
        <v>6.9854547406215481E-2</v>
      </c>
    </row>
    <row r="83" spans="2:72" ht="16.5" hidden="1" customHeight="1" outlineLevel="1" x14ac:dyDescent="0.25">
      <c r="B83" s="202"/>
      <c r="C83" s="9"/>
      <c r="D83" s="38" t="s">
        <v>25</v>
      </c>
      <c r="J83" s="20">
        <f>-([1]Retail!$Q$33+[1]Retail!$X$33+[1]Retail!$AW$33+[1]Retail!$AZ$33)/1000/J78</f>
        <v>0</v>
      </c>
      <c r="K83" s="42">
        <f>-([1]Retail!$Q$34+[1]Retail!$X$34+[1]Retail!$AW$34+[1]Retail!$AZ$34)/1000/K78</f>
        <v>3.5849106196028845E-2</v>
      </c>
      <c r="L83" s="42" t="e">
        <f>-([1]Retail!$Q$35+[1]Retail!$X$35+[1]Retail!$AW$35+[1]Retail!$AZ$35)/1000/L78</f>
        <v>#DIV/0!</v>
      </c>
      <c r="M83" s="7"/>
      <c r="N83" s="20">
        <f>-([1]SME!$Q$33+[1]SME!$X$33+[1]SME!$AW$33+[1]SME!$AZ$33)/1000/N78</f>
        <v>6.5746894932730074E-2</v>
      </c>
      <c r="O83" s="20">
        <f>-([1]SME!$Q$34+[1]SME!$X$34+[1]SME!$AW$34+[1]SME!$AZ$34)/1000/O78</f>
        <v>0.20919698977667284</v>
      </c>
      <c r="P83" s="20">
        <f>-([1]SME!$Q$35+[1]SME!$X$35+[1]SME!$AW$35+[1]SME!$AZ$35)/1000/P78</f>
        <v>0.16455742933692652</v>
      </c>
      <c r="Q83" s="7"/>
      <c r="R83" s="20">
        <f>-([1]MidCorp!$Q$33+[1]MidCorp!$X$33+[1]MidCorp!$AW$33+[1]MidCorp!$AZ$33)/1000/R78</f>
        <v>0.27746733616306141</v>
      </c>
      <c r="S83" s="20">
        <f>-([1]MidCorp!$Q$34+[1]MidCorp!$X$34+[1]MidCorp!$AW$34+[1]MidCorp!$AZ$34)/1000/S78</f>
        <v>0.29256791719110359</v>
      </c>
      <c r="T83" s="20">
        <f>-([1]MidCorp!$Q$35+[1]MidCorp!$X$35+[1]MidCorp!$AW$35+[1]MidCorp!$AZ$35)/1000/T78</f>
        <v>0.25073919399025746</v>
      </c>
      <c r="U83" s="7"/>
      <c r="V83" s="20">
        <f>-([1]MGA!$Q$33+[1]MGA!$X$33+[1]MGA!$AW$33+[1]MGA!$AZ$33)/1000/V78</f>
        <v>0.1841212965135238</v>
      </c>
      <c r="W83" s="20">
        <f>-([1]MGA!$Q$34+[1]MGA!$X$34+[1]MGA!$AW$34+[1]MGA!$AZ$34)/1000/W78</f>
        <v>8.8998098816125124E-2</v>
      </c>
      <c r="X83" s="20">
        <f>-([1]MGA!$Q$35+[1]MGA!$X$35+[1]MGA!$AW$35+[1]MGA!$AZ$35)/1000/X78</f>
        <v>7.8669665299887892E-2</v>
      </c>
      <c r="Y83" s="7"/>
      <c r="Z83" s="20">
        <f>-([1]Bancassurance!$Q$33+[1]Bancassurance!$X$33+[1]Bancassurance!$AW$33+[1]Bancassurance!$AZ$33)/1000/Z78</f>
        <v>0</v>
      </c>
      <c r="AA83" s="20" t="e">
        <f>-([1]Bancassurance!$Q$34+[1]Bancassurance!$X$34+[1]Bancassurance!$AW$34+[1]Bancassurance!$AZ$34)/1000/AA78</f>
        <v>#DIV/0!</v>
      </c>
      <c r="AB83" s="20">
        <f>-([1]Bancassurance!$Q$35+[1]Bancassurance!$X$35+[1]Bancassurance!$AW$35+[1]Bancassurance!$AZ$35)/1000/AB78</f>
        <v>5.9000000000000011E-2</v>
      </c>
      <c r="AC83" s="7"/>
      <c r="AD83" s="20" t="e">
        <f>-([1]Specials!$Q$33+[1]Specials!$X$33+[1]Specials!$AW$33+[1]Specials!$AZ$33)/1000/AD78</f>
        <v>#DIV/0!</v>
      </c>
      <c r="AE83" s="20">
        <f>-([1]Specials!$Q$34+[1]Specials!$X$34+[1]Specials!$AW$34+[1]Specials!$AZ$34)/1000/AE78</f>
        <v>0</v>
      </c>
      <c r="AF83" s="20" t="e">
        <f>-([1]Specials!$Q$35+[1]Specials!$X$35+[1]Specials!$AW$35+[1]Specials!$AZ$35)/1000/AF78</f>
        <v>#DIV/0!</v>
      </c>
      <c r="AG83" s="7"/>
      <c r="AH83" s="28">
        <f>-('[1]Total P&amp;C'!$Q$33+'[1]Total P&amp;C'!$X$33+'[1]Total P&amp;C'!$AW$33+'[1]Total P&amp;C'!$AZ$33)/1000/AH78</f>
        <v>0.2231917312756462</v>
      </c>
      <c r="AI83" s="28">
        <f>-('[1]Total P&amp;C'!$Q$34+'[1]Total P&amp;C'!$X$34+'[1]Total P&amp;C'!$AW$34+'[1]Total P&amp;C'!$AZ$34)/1000/AI78</f>
        <v>0.25653271902356678</v>
      </c>
      <c r="AJ83" s="28">
        <f>-('[1]Total P&amp;C'!$Q$35+'[1]Total P&amp;C'!$X$35+'[1]Total P&amp;C'!$AW$35+'[1]Total P&amp;C'!$AZ$35)/1000/AJ78</f>
        <v>0.22034910054611334</v>
      </c>
      <c r="AL83" s="202"/>
      <c r="AM83" s="9"/>
      <c r="AN83" s="38" t="s">
        <v>25</v>
      </c>
      <c r="AT83" s="20">
        <f>-([2]Retail!$Q$33+[2]Retail!$X$33+[2]Retail!$AW$33+[2]Retail!$AZ$33)/1000/AT78</f>
        <v>2.555307020407762E-2</v>
      </c>
      <c r="AU83" s="42">
        <f>-([2]Retail!$Q$34+[2]Retail!$X$34+[2]Retail!$AW$34+[2]Retail!$AZ$34)/1000/AU78</f>
        <v>3.9192699894860399E-2</v>
      </c>
      <c r="AV83" s="42">
        <f>-([2]Retail!$Q$35+[2]Retail!$X$35+[2]Retail!$AW$35+[2]Retail!$AZ$35)/1000/AV78</f>
        <v>4.3048680878170167E-2</v>
      </c>
      <c r="AW83" s="7"/>
      <c r="AX83" s="20">
        <f>-([2]SME!$Q$33+[2]SME!$X$33+[2]SME!$AW$33+[2]SME!$AZ$33)/1000/AX78</f>
        <v>0.1202925026656097</v>
      </c>
      <c r="AY83" s="20">
        <f>-([2]SME!$Q$34+[2]SME!$X$34+[2]SME!$AW$34+[2]SME!$AZ$34)/1000/AY78</f>
        <v>3.7042148893079017E-2</v>
      </c>
      <c r="AZ83" s="20">
        <f>-([2]SME!$Q$35+[2]SME!$X$35+[2]SME!$AW$35+[2]SME!$AZ$35)/1000/AZ78</f>
        <v>7.3780373310146294E-2</v>
      </c>
      <c r="BA83" s="7"/>
      <c r="BB83" s="20">
        <f>-([2]MidCorp!$Q$33+[2]MidCorp!$X$33+[2]MidCorp!$AW$33+[2]MidCorp!$AZ$33)/1000/BB78</f>
        <v>0.15641683476491611</v>
      </c>
      <c r="BC83" s="20">
        <f>-([2]MidCorp!$Q$34+[2]MidCorp!$X$34+[2]MidCorp!$AW$34+[2]MidCorp!$AZ$34)/1000/BC78</f>
        <v>8.1332846728860389E-2</v>
      </c>
      <c r="BD83" s="20">
        <f>-([2]MidCorp!$Q$35+[2]MidCorp!$X$35+[2]MidCorp!$AW$35+[2]MidCorp!$AZ$35)/1000/BD78</f>
        <v>0.16053842513556113</v>
      </c>
      <c r="BJ83" s="20" t="e">
        <f>-([2]Specials!$Q$33+[2]Specials!$X$33+[2]Specials!$AW$33+[2]Specials!$AZ$33)/1000/BJ78</f>
        <v>#DIV/0!</v>
      </c>
      <c r="BK83" s="20" t="e">
        <f>-([2]Specials!$Q$34+[2]Specials!$X$34+[2]Specials!$AW$34+[2]Specials!$AZ$34)/1000/BK78</f>
        <v>#DIV/0!</v>
      </c>
      <c r="BL83" s="20" t="e">
        <f>-([2]Specials!$Q$35+[2]Specials!$X$35+[2]Specials!$AW$35+[2]Specials!$AZ$35)/1000/BL78</f>
        <v>#DIV/0!</v>
      </c>
      <c r="BM83" s="7"/>
      <c r="BN83" s="28">
        <f>-('[2]Total P&amp;C'!$Q$33+'[2]Total P&amp;C'!$X$33+'[2]Total P&amp;C'!$AW$33+'[2]Total P&amp;C'!$AZ$33)/1000/BN78</f>
        <v>8.8495897203761234E-2</v>
      </c>
      <c r="BO83" s="28">
        <f>-('[2]Total P&amp;C'!$Q$34+'[2]Total P&amp;C'!$X$34+'[2]Total P&amp;C'!$AW$34+'[2]Total P&amp;C'!$AZ$34)/1000/BO78</f>
        <v>5.3612140290954825E-2</v>
      </c>
      <c r="BP83" s="28">
        <f>-('[2]Total P&amp;C'!$Q$35+'[2]Total P&amp;C'!$X$35+'[2]Total P&amp;C'!$AW$35+'[2]Total P&amp;C'!$AZ$35)/1000/BP78</f>
        <v>9.3121303789469492E-2</v>
      </c>
      <c r="BR83" s="28">
        <f>-('[3]Total P&amp;C'!$Q$33+'[3]Total P&amp;C'!$X$33+'[3]Total P&amp;C'!$AW$33+'[3]Total P&amp;C'!$AZ$33)/1000/BR78</f>
        <v>0.17683070106711216</v>
      </c>
      <c r="BS83" s="28">
        <f>-('[3]Total P&amp;C'!$Q$34+'[3]Total P&amp;C'!$X$34+'[3]Total P&amp;C'!$AW$34+'[3]Total P&amp;C'!$AZ$34)/1000/BS78</f>
        <v>0.1865635774018638</v>
      </c>
      <c r="BT83" s="28">
        <f>-('[3]Total P&amp;C'!$Q$35+'[3]Total P&amp;C'!$X$35+'[3]Total P&amp;C'!$AW$35+'[3]Total P&amp;C'!$AZ$35)/1000/BT78</f>
        <v>0.18116808203456677</v>
      </c>
    </row>
    <row r="84" spans="2:72" ht="16.5" hidden="1" customHeight="1" outlineLevel="1" x14ac:dyDescent="0.25">
      <c r="B84" s="202"/>
      <c r="C84" s="9"/>
      <c r="D84" s="38" t="s">
        <v>26</v>
      </c>
      <c r="J84" s="20">
        <f>-[1]Retail!$AT$33/1000/J78</f>
        <v>1.7178233694442903E-3</v>
      </c>
      <c r="K84" s="42">
        <f>-[1]Retail!$AT$34/1000/K78</f>
        <v>0.25038779934205063</v>
      </c>
      <c r="L84" s="42" t="e">
        <f>-[1]Retail!$AT$35/1000/L78</f>
        <v>#DIV/0!</v>
      </c>
      <c r="M84" s="7"/>
      <c r="N84" s="20">
        <f>-[1]SME!$AT$33/1000/N78</f>
        <v>7.0849594110768979E-2</v>
      </c>
      <c r="O84" s="20">
        <f>-[1]SME!$AT$34/1000/O78</f>
        <v>6.4739504956294894E-2</v>
      </c>
      <c r="P84" s="20">
        <f>-[1]SME!$AT$35/1000/P78</f>
        <v>7.8167883479663539E-2</v>
      </c>
      <c r="Q84" s="7"/>
      <c r="R84" s="20">
        <f>-[1]MidCorp!$AT$33/1000/R78</f>
        <v>9.3718820583196971E-2</v>
      </c>
      <c r="S84" s="20">
        <f>-[1]MidCorp!$AT$34/1000/S78</f>
        <v>9.6400782714325103E-2</v>
      </c>
      <c r="T84" s="20">
        <f>-[1]MidCorp!$AT$35/1000/T78</f>
        <v>9.3048352220278033E-2</v>
      </c>
      <c r="U84" s="7"/>
      <c r="V84" s="20">
        <f>-[1]MGA!$AT$33/1000/V78</f>
        <v>0.12039611044572379</v>
      </c>
      <c r="W84" s="20">
        <f>-[1]MGA!$AT$34/1000/W78</f>
        <v>0.11702812028421712</v>
      </c>
      <c r="X84" s="20">
        <f>-[1]MGA!$AT$35/1000/X78</f>
        <v>7.2480154179703798E-2</v>
      </c>
      <c r="Y84" s="7"/>
      <c r="Z84" s="20">
        <f>-[1]Bancassurance!$AT$33/1000/Z78</f>
        <v>0.7903083975939541</v>
      </c>
      <c r="AA84" s="20" t="e">
        <f>-[1]Bancassurance!$AT$34/1000/AA78</f>
        <v>#DIV/0!</v>
      </c>
      <c r="AB84" s="20">
        <f>-[1]Bancassurance!$AT$35/1000/AB78</f>
        <v>6.347982590438965E-2</v>
      </c>
      <c r="AC84" s="7"/>
      <c r="AD84" s="20" t="e">
        <f>-[1]Specials!$AT$33/1000/AD78</f>
        <v>#DIV/0!</v>
      </c>
      <c r="AE84" s="20">
        <f>-[1]Specials!$AT$34/1000/AE78</f>
        <v>0.77433615161216773</v>
      </c>
      <c r="AF84" s="20" t="e">
        <f>-[1]Specials!$AT$35/1000/AF78</f>
        <v>#DIV/0!</v>
      </c>
      <c r="AG84" s="7"/>
      <c r="AH84" s="28">
        <f>-'[1]Total P&amp;C'!$AT$33/1000/AH78</f>
        <v>8.8979622120521087E-2</v>
      </c>
      <c r="AI84" s="28">
        <f>-'[1]Total P&amp;C'!$AT$34/1000/AI78</f>
        <v>9.6366887088899303E-2</v>
      </c>
      <c r="AJ84" s="28">
        <f>-'[1]Total P&amp;C'!$AT$35/1000/AJ78</f>
        <v>8.8707892952234371E-2</v>
      </c>
      <c r="AL84" s="202"/>
      <c r="AM84" s="9"/>
      <c r="AN84" s="38" t="s">
        <v>26</v>
      </c>
      <c r="AT84" s="20">
        <f>-[2]Retail!$AT$33/1000/AT78</f>
        <v>9.9041716349055037E-2</v>
      </c>
      <c r="AU84" s="42">
        <f>-[2]Retail!$AT$34/1000/AU78</f>
        <v>0.10269424435427968</v>
      </c>
      <c r="AV84" s="42">
        <f>-[2]Retail!$AT$35/1000/AV78</f>
        <v>0.10370304939857085</v>
      </c>
      <c r="AW84" s="7"/>
      <c r="AX84" s="20">
        <f>-[2]SME!$AT$33/1000/AX78</f>
        <v>0.13908130003767322</v>
      </c>
      <c r="AY84" s="20">
        <f>-[2]SME!$AT$34/1000/AY78</f>
        <v>0.12357447870877637</v>
      </c>
      <c r="AZ84" s="20">
        <f>-[2]SME!$AT$35/1000/AZ78</f>
        <v>0.14160610830676576</v>
      </c>
      <c r="BA84" s="7"/>
      <c r="BB84" s="20">
        <f>-[2]MidCorp!$AT$33/1000/BB78</f>
        <v>0.11370960514981769</v>
      </c>
      <c r="BC84" s="20">
        <f>-[2]MidCorp!$AT$34/1000/BC78</f>
        <v>0.11544850824368566</v>
      </c>
      <c r="BD84" s="20">
        <f>-[2]MidCorp!$AT$35/1000/BD78</f>
        <v>0.11350264190055195</v>
      </c>
      <c r="BJ84" s="20" t="e">
        <f>-[2]Specials!$AT$33/1000/BJ78</f>
        <v>#DIV/0!</v>
      </c>
      <c r="BK84" s="20" t="e">
        <f>-[2]Specials!$AT$34/1000/BK78</f>
        <v>#DIV/0!</v>
      </c>
      <c r="BL84" s="20" t="e">
        <f>-[2]Specials!$AT$35/1000/BL78</f>
        <v>#DIV/0!</v>
      </c>
      <c r="BM84" s="7"/>
      <c r="BN84" s="28">
        <f>-'[2]Total P&amp;C'!$AT$33/1000/BN78</f>
        <v>0.11065660855249247</v>
      </c>
      <c r="BO84" s="28">
        <f>-'[2]Total P&amp;C'!$AT$34/1000/BO78</f>
        <v>0.11054621466613028</v>
      </c>
      <c r="BP84" s="28">
        <f>-'[2]Total P&amp;C'!$AT$35/1000/BP78</f>
        <v>0.11323918649778193</v>
      </c>
      <c r="BR84" s="28">
        <f>-'[3]Total P&amp;C'!$AT$33/1000/BR78</f>
        <v>9.6440635519541851E-2</v>
      </c>
      <c r="BS84" s="28">
        <f>-'[3]Total P&amp;C'!$AT$34/1000/BS78</f>
        <v>0.10125606779963985</v>
      </c>
      <c r="BT84" s="28">
        <f>-'[3]Total P&amp;C'!$AT$35/1000/BT78</f>
        <v>9.6262539743444245E-2</v>
      </c>
    </row>
    <row r="85" spans="2:72" ht="16.5" hidden="1" customHeight="1" outlineLevel="1" x14ac:dyDescent="0.25">
      <c r="B85" s="202"/>
      <c r="C85" s="9"/>
      <c r="D85" s="37" t="s">
        <v>27</v>
      </c>
      <c r="J85" s="20">
        <f>-([1]Retail!$Z$33+[1]Retail!$AA$33+[1]Retail!$BB$33+[1]Retail!$BC$33)/1000/J78</f>
        <v>-1.0734640854537238E-3</v>
      </c>
      <c r="K85" s="20">
        <f>-([1]Retail!$Z$34+[1]Retail!$AA$34+[1]Retail!$BB$34+[1]Retail!$BC$34)/1000/K78</f>
        <v>-8.6478311703324078E-3</v>
      </c>
      <c r="L85" s="20" t="e">
        <f>-([1]Retail!$Z$35+[1]Retail!$AA$35+[1]Retail!$BB$35+[1]Retail!$BC$35)/1000/L78</f>
        <v>#DIV/0!</v>
      </c>
      <c r="M85" s="7"/>
      <c r="N85" s="20">
        <f>-([1]SME!$Z$33+[1]SME!$AA$33+[1]SME!$BB$33+[1]SME!$BC$33)/1000/N78</f>
        <v>-6.8244352611735691E-3</v>
      </c>
      <c r="O85" s="20">
        <f>-([1]SME!$Z$34+[1]SME!$AA$34+[1]SME!$BB$34+[1]SME!$BC$34)/1000/O78</f>
        <v>-9.9913948925698139E-3</v>
      </c>
      <c r="P85" s="20">
        <f>-([1]SME!$Z$35+[1]SME!$AA$35+[1]SME!$BB$35+[1]SME!$BC$35)/1000/P78</f>
        <v>-4.3002889742809174E-3</v>
      </c>
      <c r="Q85" s="7"/>
      <c r="R85" s="20">
        <f>-([1]MidCorp!$Z$33+[1]MidCorp!$AA$33+[1]MidCorp!$BB$33+[1]MidCorp!$BC$33)/1000/R78</f>
        <v>-1.1656246110892818E-2</v>
      </c>
      <c r="S85" s="20">
        <f>-([1]MidCorp!$Z$34+[1]MidCorp!$AA$34+[1]MidCorp!$BB$34+[1]MidCorp!$BC$34)/1000/S78</f>
        <v>-1.2518298257808615E-2</v>
      </c>
      <c r="T85" s="20">
        <f>-([1]MidCorp!$Z$35+[1]MidCorp!$AA$35+[1]MidCorp!$BB$35+[1]MidCorp!$BC$35)/1000/T78</f>
        <v>-5.1822885431008691E-3</v>
      </c>
      <c r="U85" s="7"/>
      <c r="V85" s="20">
        <f>-([1]MGA!$Z$33+[1]MGA!$AA$33+[1]MGA!$BB$33+[1]MGA!$BC$33)/1000/V78</f>
        <v>-9.9660743626280215E-3</v>
      </c>
      <c r="W85" s="20">
        <f>-([1]MGA!$Z$34+[1]MGA!$AA$34+[1]MGA!$BB$34+[1]MGA!$BC$34)/1000/W78</f>
        <v>-8.4178252346266413E-3</v>
      </c>
      <c r="X85" s="20">
        <f>-([1]MGA!$Z$35+[1]MGA!$AA$35+[1]MGA!$BB$35+[1]MGA!$BC$35)/1000/X78</f>
        <v>-3.4017973348490693E-3</v>
      </c>
      <c r="Y85" s="7"/>
      <c r="Z85" s="20">
        <f>-([1]Bancassurance!$Z$33+[1]Bancassurance!$AA$33+[1]Bancassurance!$BB$33+[1]Bancassurance!$BC$33)/1000/Z78</f>
        <v>-2.4863922049852147E-2</v>
      </c>
      <c r="AA85" s="20" t="e">
        <f>-([1]Bancassurance!$Z$34+[1]Bancassurance!$AA$34+[1]Bancassurance!$BB$34+[1]Bancassurance!$BC$34)/1000/AA78</f>
        <v>#DIV/0!</v>
      </c>
      <c r="AB85" s="20">
        <f>-([1]Bancassurance!$Z$35+[1]Bancassurance!$AA$35+[1]Bancassurance!$BB$35+[1]Bancassurance!$BC$35)/1000/AB78</f>
        <v>-6.9539592941726932E-3</v>
      </c>
      <c r="AC85" s="7"/>
      <c r="AD85" s="20" t="e">
        <f>-([1]Specials!$Z$33+[1]Specials!$AA$33+[1]Specials!$BB$33+[1]Specials!$BC$33)/1000/AD78</f>
        <v>#DIV/0!</v>
      </c>
      <c r="AE85" s="20">
        <f>-([1]Specials!$Z$34+[1]Specials!$AA$34+[1]Specials!$BB$34+[1]Specials!$BC$34)/1000/AE78</f>
        <v>0</v>
      </c>
      <c r="AF85" s="20" t="e">
        <f>-([1]Specials!$Z$35+[1]Specials!$AA$35+[1]Specials!$BB$35+[1]Specials!$BC$35)/1000/AF78</f>
        <v>#DIV/0!</v>
      </c>
      <c r="AG85" s="7"/>
      <c r="AH85" s="28">
        <f>-('[1]Total P&amp;C'!$Z$33+'[1]Total P&amp;C'!$AA$33+'[1]Total P&amp;C'!$BB$33+'[1]Total P&amp;C'!$BC$33)/1000/AH78</f>
        <v>-1.0344445318331154E-2</v>
      </c>
      <c r="AI85" s="28">
        <f>-('[1]Total P&amp;C'!$Z$34+'[1]Total P&amp;C'!$AA$34+'[1]Total P&amp;C'!$BB$34+'[1]Total P&amp;C'!$BC$34)/1000/AI78</f>
        <v>-1.166736269796651E-2</v>
      </c>
      <c r="AJ85" s="28">
        <f>-('[1]Total P&amp;C'!$Z$35+'[1]Total P&amp;C'!$AA$35+'[1]Total P&amp;C'!$BB$35+'[1]Total P&amp;C'!$BC$35)/1000/AJ78</f>
        <v>-4.8874109754621642E-3</v>
      </c>
      <c r="AL85" s="202"/>
      <c r="AM85" s="9"/>
      <c r="AN85" s="37" t="s">
        <v>27</v>
      </c>
      <c r="AT85" s="20">
        <f>-([2]Retail!$Z$33+[2]Retail!$AA$33+[2]Retail!$BB$33+[2]Retail!$BC$33)/1000/AT78</f>
        <v>-1.3046384649808207E-2</v>
      </c>
      <c r="AU85" s="20">
        <f>-([2]Retail!$Z$34+[2]Retail!$AA$34+[2]Retail!$BB$34+[2]Retail!$BC$34)/1000/AU78</f>
        <v>-1.497357932480054E-2</v>
      </c>
      <c r="AV85" s="20">
        <f>-([2]Retail!$Z$35+[2]Retail!$AA$35+[2]Retail!$BB$35+[2]Retail!$BC$35)/1000/AV78</f>
        <v>-6.3464252960261404E-3</v>
      </c>
      <c r="AW85" s="7"/>
      <c r="AX85" s="20">
        <f>-([2]SME!$Z$33+[2]SME!$AA$33+[2]SME!$BB$33+[2]SME!$BC$33)/1000/AX78</f>
        <v>-1.2174786232578314E-2</v>
      </c>
      <c r="AY85" s="20">
        <f>-([2]SME!$Z$34+[2]SME!$AA$34+[2]SME!$BB$34+[2]SME!$BC$34)/1000/AY78</f>
        <v>-9.3565210757812576E-3</v>
      </c>
      <c r="AZ85" s="20">
        <f>-([2]SME!$Z$35+[2]SME!$AA$35+[2]SME!$BB$35+[2]SME!$BC$35)/1000/AZ78</f>
        <v>-6.6127943624310027E-3</v>
      </c>
      <c r="BA85" s="7"/>
      <c r="BB85" s="20">
        <f>-([2]MidCorp!$Z$33+[2]MidCorp!$AA$33+[2]MidCorp!$BB$33+[2]MidCorp!$BC$33)/1000/BB78</f>
        <v>-8.8313950605783658E-3</v>
      </c>
      <c r="BC85" s="20">
        <f>-([2]MidCorp!$Z$34+[2]MidCorp!$AA$34+[2]MidCorp!$BB$34+[2]MidCorp!$BC$34)/1000/BC78</f>
        <v>-1.1421719662527651E-2</v>
      </c>
      <c r="BD85" s="20">
        <f>-([2]MidCorp!$Z$35+[2]MidCorp!$AA$35+[2]MidCorp!$BB$35+[2]MidCorp!$BC$35)/1000/BD78</f>
        <v>-7.5438610856460239E-3</v>
      </c>
      <c r="BJ85" s="20" t="e">
        <f>-([2]Specials!$Z$33+[2]Specials!$AA$33+[2]Specials!$BB$33+[2]Specials!$BC$33)/1000/BJ78</f>
        <v>#DIV/0!</v>
      </c>
      <c r="BK85" s="20" t="e">
        <f>-([2]Specials!$Z$34+[2]Specials!$AA$34+[2]Specials!$BB$34+[2]Specials!$BC$34)/1000/BK78</f>
        <v>#DIV/0!</v>
      </c>
      <c r="BL85" s="20" t="e">
        <f>-([2]Specials!$Z$35+[2]Specials!$AA$35+[2]Specials!$BB$35+[2]Specials!$BC$35)/1000/BL78</f>
        <v>#DIV/0!</v>
      </c>
      <c r="BM85" s="7"/>
      <c r="BN85" s="28">
        <f>-('[2]Total P&amp;C'!$Z$33+'[2]Total P&amp;C'!$AA$33+'[2]Total P&amp;C'!$BB$33+'[2]Total P&amp;C'!$BC$33)/1000/BN78</f>
        <v>-1.1356918261565383E-2</v>
      </c>
      <c r="BO85" s="28">
        <f>-('[2]Total P&amp;C'!$Z$34+'[2]Total P&amp;C'!$AA$34+'[2]Total P&amp;C'!$BB$34+'[2]Total P&amp;C'!$BC$34)/1000/BO78</f>
        <v>-1.2818963978819604E-2</v>
      </c>
      <c r="BP85" s="28">
        <f>-('[2]Total P&amp;C'!$Z$35+'[2]Total P&amp;C'!$AA$35+'[2]Total P&amp;C'!$BB$35+'[2]Total P&amp;C'!$BC$35)/1000/BP78</f>
        <v>-6.8496527823544645E-3</v>
      </c>
      <c r="BR85" s="28">
        <f>-('[3]Total P&amp;C'!$Z$33+'[3]Total P&amp;C'!$AA$33+'[3]Total P&amp;C'!$BB$33+'[3]Total P&amp;C'!$BC$33)/1000/BR78</f>
        <v>-1.0692928914947476E-2</v>
      </c>
      <c r="BS85" s="28">
        <f>-('[3]Total P&amp;C'!$Z$34+'[3]Total P&amp;C'!$AA$34+'[3]Total P&amp;C'!$BB$34+'[3]Total P&amp;C'!$BC$34)/1000/BS78</f>
        <v>-1.2064446885361421E-2</v>
      </c>
      <c r="BT85" s="28">
        <f>-('[3]Total P&amp;C'!$Z$35+'[3]Total P&amp;C'!$AA$35+'[3]Total P&amp;C'!$BB$35+'[3]Total P&amp;C'!$BC$35)/1000/BT78</f>
        <v>-5.4917021328971692E-3</v>
      </c>
    </row>
    <row r="86" spans="2:72" ht="16.5" hidden="1" customHeight="1" outlineLevel="1" x14ac:dyDescent="0.25">
      <c r="B86" s="202"/>
      <c r="C86" s="9"/>
      <c r="D86" s="37" t="s">
        <v>28</v>
      </c>
      <c r="J86" s="20">
        <f>-SUM([1]Retail!$AC$33:$AI$33,[1]Retail!$BE$33:$BG$33)/1000/J78</f>
        <v>-5.690293231936836E-3</v>
      </c>
      <c r="K86" s="20">
        <f>-SUM([1]Retail!$AC$34:$AI$34,[1]Retail!$BE$34:$BG$34)/1000/K78</f>
        <v>-8.7631649080006646E-2</v>
      </c>
      <c r="L86" s="20" t="e">
        <f>-SUM([1]Retail!$AC$35:$AI$35,[1]Retail!$BE$35:$BG$35)/1000/L78</f>
        <v>#DIV/0!</v>
      </c>
      <c r="M86" s="7"/>
      <c r="N86" s="20">
        <f>-SUM([1]SME!$AC$33:$AI$33,[1]SME!$BE$33:$BG$33)/1000/N78</f>
        <v>0.26692142368963945</v>
      </c>
      <c r="O86" s="20">
        <f>-SUM([1]SME!$AC$34:$AI$34,[1]SME!$BE$34:$BG$34)/1000/O78</f>
        <v>-0.16812989907645648</v>
      </c>
      <c r="P86" s="20">
        <f>-SUM([1]SME!$AC$35:$AI$35,[1]SME!$BE$35:$BG$35)/1000/P78</f>
        <v>-2.2571270527082726E-2</v>
      </c>
      <c r="Q86" s="7"/>
      <c r="R86" s="20">
        <f>-SUM([1]MidCorp!$AC$33:$AI$33,[1]MidCorp!$BE$33:$BG$33)/1000/R78</f>
        <v>-7.8759282372005551E-2</v>
      </c>
      <c r="S86" s="20">
        <f>-SUM([1]MidCorp!$AC$34:$AI$34,[1]MidCorp!$BE$34:$BG$34)/1000/S78</f>
        <v>2.2412597533675596E-2</v>
      </c>
      <c r="T86" s="20">
        <f>-SUM([1]MidCorp!$AC$35:$AI$35,[1]MidCorp!$BE$35:$BG$35)/1000/T78</f>
        <v>-2.0565761028685119E-2</v>
      </c>
      <c r="U86" s="7"/>
      <c r="V86" s="20">
        <f>-SUM([1]MGA!$AC$33:$AI$33,[1]MGA!$BE$33:$BG$33)/1000/V78</f>
        <v>-0.35329113989069771</v>
      </c>
      <c r="W86" s="20">
        <f>-SUM([1]MGA!$AC$34:$AI$34,[1]MGA!$BE$34:$BG$34)/1000/W78</f>
        <v>4.3464974159811161E-2</v>
      </c>
      <c r="X86" s="20">
        <f>-SUM([1]MGA!$AC$35:$AI$35,[1]MGA!$BE$35:$BG$35)/1000/X78</f>
        <v>-6.9393505587707696E-2</v>
      </c>
      <c r="Y86" s="7"/>
      <c r="Z86" s="20">
        <f>-SUM([1]Bancassurance!$AC$33:$AI$33,[1]Bancassurance!$BE$33:$BG$33)/1000/Z78</f>
        <v>-6.8803543632268843E-2</v>
      </c>
      <c r="AA86" s="20" t="e">
        <f>-SUM([1]Bancassurance!$AC$34:$AI$34,[1]Bancassurance!$BE$34:$BG$34)/1000/AA78</f>
        <v>#DIV/0!</v>
      </c>
      <c r="AB86" s="20">
        <f>-SUM([1]Bancassurance!$AC$35:$AI$35,[1]Bancassurance!$BE$35:$BG$35)/1000/AB78</f>
        <v>-1.0756838452095198E-2</v>
      </c>
      <c r="AC86" s="7"/>
      <c r="AD86" s="20" t="e">
        <f>-SUM([1]Specials!$AC$33:$AI$33,[1]Specials!$BE$33:$BG$33)/1000/AD78</f>
        <v>#DIV/0!</v>
      </c>
      <c r="AE86" s="20">
        <f>-SUM([1]Specials!$AC$34:$AI$34,[1]Specials!$BE$34:$BG$34)/1000/AE78</f>
        <v>5.0550605120478897E-4</v>
      </c>
      <c r="AF86" s="20" t="e">
        <f>-SUM([1]Specials!$AC$35:$AI$35,[1]Specials!$BE$35:$BG$35)/1000/AF78</f>
        <v>#DIV/0!</v>
      </c>
      <c r="AG86" s="7"/>
      <c r="AH86" s="28">
        <f>-SUM('[1]Total P&amp;C'!$AC$33:$AI$33,'[1]Total P&amp;C'!$BE$33:$BG$33)/1000/AH78</f>
        <v>-2.7948478147691719E-2</v>
      </c>
      <c r="AI86" s="28">
        <f>-SUM('[1]Total P&amp;C'!$AC$34:$AI$34,'[1]Total P&amp;C'!$BE$34:$BG$34)/1000/AI78</f>
        <v>-1.7013267578866561E-2</v>
      </c>
      <c r="AJ86" s="28">
        <f>-SUM('[1]Total P&amp;C'!$AC$35:$AI$35,'[1]Total P&amp;C'!$BE$35:$BG$35)/1000/AJ78</f>
        <v>-2.5566353386586211E-2</v>
      </c>
      <c r="AL86" s="202"/>
      <c r="AM86" s="9"/>
      <c r="AN86" s="37" t="s">
        <v>28</v>
      </c>
      <c r="AT86" s="20">
        <f>-SUM([2]Retail!$AC$33:$AI$33,[2]Retail!$BE$33:$BG$33)/1000/AT78</f>
        <v>-5.7492802367438388E-2</v>
      </c>
      <c r="AU86" s="20">
        <f>-SUM([2]Retail!$AC$34:$AI$34,[2]Retail!$BE$34:$BG$34)/1000/AU78</f>
        <v>-0.18464273573960746</v>
      </c>
      <c r="AV86" s="20">
        <f>-SUM([2]Retail!$AC$35:$AI$35,[2]Retail!$BE$35:$BG$35)/1000/AV78</f>
        <v>-8.5187506345599431E-3</v>
      </c>
      <c r="AW86" s="7"/>
      <c r="AX86" s="20">
        <f>-SUM([2]SME!$AC$33:$AI$33,[2]SME!$BE$33:$BG$33)/1000/AX78</f>
        <v>-3.4503158069837898E-2</v>
      </c>
      <c r="AY86" s="20">
        <f>-SUM([2]SME!$AC$34:$AI$34,[2]SME!$BE$34:$BG$34)/1000/AY78</f>
        <v>-0.42849334813831885</v>
      </c>
      <c r="AZ86" s="20">
        <f>-SUM([2]SME!$AC$35:$AI$35,[2]SME!$BE$35:$BG$35)/1000/AZ78</f>
        <v>-7.5840060120268256E-3</v>
      </c>
      <c r="BA86" s="7"/>
      <c r="BB86" s="20">
        <f>-SUM([2]MidCorp!$AC$33:$AI$33,[2]MidCorp!$BE$33:$BG$33)/1000/BB78</f>
        <v>0.27176012196034538</v>
      </c>
      <c r="BC86" s="20">
        <f>-SUM([2]MidCorp!$AC$34:$AI$34,[2]MidCorp!$BE$34:$BG$34)/1000/BC78</f>
        <v>0.12950110015511485</v>
      </c>
      <c r="BD86" s="20">
        <f>-SUM([2]MidCorp!$AC$35:$AI$35,[2]MidCorp!$BE$35:$BG$35)/1000/BD78</f>
        <v>-5.2211865332041502E-3</v>
      </c>
      <c r="BJ86" s="20" t="e">
        <f>-SUM([2]Specials!$AC$33:$AI$33,[2]Specials!$BE$33:$BG$33)/1000/BJ78</f>
        <v>#DIV/0!</v>
      </c>
      <c r="BK86" s="20" t="e">
        <f>-SUM([2]Specials!$AC$34:$AI$34,[2]Specials!$BE$34:$BG$34)/1000/BK78</f>
        <v>#DIV/0!</v>
      </c>
      <c r="BL86" s="20" t="e">
        <f>-SUM([2]Specials!$AC$35:$AI$35,[2]Specials!$BE$35:$BG$35)/1000/BL78</f>
        <v>#DIV/0!</v>
      </c>
      <c r="BM86" s="7"/>
      <c r="BN86" s="28">
        <f>-SUM('[2]Total P&amp;C'!$AC$33:$AI$33,'[2]Total P&amp;C'!$BE$33:$BG$33)/1000/BN78</f>
        <v>6.7490154228715502E-2</v>
      </c>
      <c r="BO86" s="28">
        <f>-SUM('[2]Total P&amp;C'!$AC$34:$AI$34,'[2]Total P&amp;C'!$BE$34:$BG$34)/1000/BO78</f>
        <v>-0.11405299396987971</v>
      </c>
      <c r="BP86" s="28">
        <f>-SUM('[2]Total P&amp;C'!$AC$35:$AI$35,'[2]Total P&amp;C'!$BE$35:$BG$35)/1000/BP78</f>
        <v>-7.102420599586599E-3</v>
      </c>
      <c r="BR86" s="28">
        <f>-SUM('[3]Total P&amp;C'!$AC$33:$AI$33,'[3]Total P&amp;C'!$BE$33:$BG$33)/1000/BR78</f>
        <v>4.9005950931513631E-3</v>
      </c>
      <c r="BS86" s="28">
        <f>-SUM('[3]Total P&amp;C'!$AC$34:$AI$34,'[3]Total P&amp;C'!$BE$34:$BG$34)/1000/BS78</f>
        <v>-5.0473581959947618E-2</v>
      </c>
      <c r="BT86" s="28">
        <f>-SUM('[3]Total P&amp;C'!$AC$35:$AI$35,'[3]Total P&amp;C'!$BE$35:$BG$35)/1000/BT78</f>
        <v>-1.9880208449979737E-2</v>
      </c>
    </row>
    <row r="87" spans="2:72" ht="16.5" hidden="1" customHeight="1" outlineLevel="1" x14ac:dyDescent="0.25">
      <c r="B87" s="202"/>
      <c r="C87" s="9"/>
      <c r="D87" s="37" t="s">
        <v>29</v>
      </c>
      <c r="J87" s="20">
        <f>-SUM([1]Retail!$AJ$33:$AK$33,[1]Retail!$BH$33:$BI$33)/1000/J78</f>
        <v>9.0225479905352741E-3</v>
      </c>
      <c r="K87" s="20">
        <f>-SUM([1]Retail!$AJ$34:$AK$34,[1]Retail!$BH$34:$BI$34)/1000/K78</f>
        <v>3.669544502547716E-3</v>
      </c>
      <c r="L87" s="20" t="e">
        <f>-SUM([1]Retail!$AJ$35:$AK$35,[1]Retail!$BH$35:$BI$35)/1000/L78</f>
        <v>#DIV/0!</v>
      </c>
      <c r="M87" s="7"/>
      <c r="N87" s="20">
        <f>-SUM([1]SME!$AJ$33:$AK$33,[1]SME!$BH$33:$BI$33)/1000/N78</f>
        <v>8.3031440518743305E-4</v>
      </c>
      <c r="O87" s="20">
        <f>-SUM([1]SME!$AJ$34:$AK$34,[1]SME!$BH$34:$BI$34)/1000/O78</f>
        <v>4.4156534432005642E-3</v>
      </c>
      <c r="P87" s="20">
        <f>-SUM([1]SME!$AJ$35:$AK$35,[1]SME!$BH$35:$BI$35)/1000/P78</f>
        <v>0</v>
      </c>
      <c r="Q87" s="7"/>
      <c r="R87" s="20">
        <f>-SUM([1]MidCorp!$AJ$33:$AK$33,[1]MidCorp!$BH$33:$BI$33)/1000/R78</f>
        <v>-2.3305077037822372E-3</v>
      </c>
      <c r="S87" s="20">
        <f>-SUM([1]MidCorp!$AJ$34:$AK$34,[1]MidCorp!$BH$34:$BI$34)/1000/S78</f>
        <v>-8.1694809577260996E-3</v>
      </c>
      <c r="T87" s="20">
        <f>-SUM([1]MidCorp!$AJ$35:$AK$35,[1]MidCorp!$BH$35:$BI$35)/1000/T78</f>
        <v>0</v>
      </c>
      <c r="U87" s="7"/>
      <c r="V87" s="20">
        <f>-SUM([1]MGA!$AJ$33:$AK$33,[1]MGA!$BH$33:$BI$33)/1000/V78</f>
        <v>5.2633819115646165E-3</v>
      </c>
      <c r="W87" s="20">
        <f>-SUM([1]MGA!$AJ$34:$AK$34,[1]MGA!$BH$34:$BI$34)/1000/W78</f>
        <v>8.4524711933917258E-4</v>
      </c>
      <c r="X87" s="20">
        <f>-SUM([1]MGA!$AJ$35:$AK$35,[1]MGA!$BH$35:$BI$35)/1000/X78</f>
        <v>0</v>
      </c>
      <c r="Y87" s="7"/>
      <c r="Z87" s="20">
        <f>-SUM([1]Bancassurance!$AJ$33:$AK$33,[1]Bancassurance!$BH$33:$BI$33)/1000/Z78</f>
        <v>4.8985774067512337E-3</v>
      </c>
      <c r="AA87" s="20" t="e">
        <f>-SUM([1]Bancassurance!$AJ$34:$AK$34,[1]Bancassurance!$BH$34:$BI$34)/1000/AA78</f>
        <v>#DIV/0!</v>
      </c>
      <c r="AB87" s="20">
        <f>-SUM([1]Bancassurance!$AJ$35:$AK$35,[1]Bancassurance!$BH$35:$BI$35)/1000/AB78</f>
        <v>0</v>
      </c>
      <c r="AC87" s="7"/>
      <c r="AD87" s="20" t="e">
        <f>-SUM([1]Specials!$AJ$33:$AK$33,[1]Specials!$BH$33:$BI$33)/1000/AD78</f>
        <v>#DIV/0!</v>
      </c>
      <c r="AE87" s="20">
        <f>-SUM([1]Specials!$AJ$34:$AK$34,[1]Specials!$BH$34:$BI$34)/1000/AE78</f>
        <v>-1.9823766713913251E-5</v>
      </c>
      <c r="AF87" s="20" t="e">
        <f>-SUM([1]Specials!$AJ$35:$AK$35,[1]Specials!$BH$35:$BI$35)/1000/AF78</f>
        <v>#DIV/0!</v>
      </c>
      <c r="AG87" s="7"/>
      <c r="AH87" s="28">
        <f>-SUM('[1]Total P&amp;C'!$AJ$33:$AK$33,'[1]Total P&amp;C'!$BH$33:$BI$33)/1000/AH78</f>
        <v>-9.2839746618227342E-4</v>
      </c>
      <c r="AI87" s="28">
        <f>-SUM('[1]Total P&amp;C'!$AJ$34:$AK$34,'[1]Total P&amp;C'!$BH$34:$BI$34)/1000/AI78</f>
        <v>-4.8212738640364874E-3</v>
      </c>
      <c r="AJ87" s="28">
        <f>-SUM('[1]Total P&amp;C'!$AJ$35:$AK$35,'[1]Total P&amp;C'!$BH$35:$BI$35)/1000/AJ78</f>
        <v>0</v>
      </c>
      <c r="AL87" s="202"/>
      <c r="AM87" s="9"/>
      <c r="AN87" s="37" t="s">
        <v>29</v>
      </c>
      <c r="AT87" s="20">
        <f>-SUM([2]Retail!$AJ$33:$AK$33,[2]Retail!$BH$33:$BI$33)/1000/AT78</f>
        <v>-6.5514754545978942E-3</v>
      </c>
      <c r="AU87" s="20">
        <f>-SUM([2]Retail!$AJ$34:$AK$34,[2]Retail!$BH$34:$BI$34)/1000/AU78</f>
        <v>6.7903285167523562E-3</v>
      </c>
      <c r="AV87" s="20">
        <f>-SUM([2]Retail!$AJ$35:$AK$35,[2]Retail!$BH$35:$BI$35)/1000/AV78</f>
        <v>0</v>
      </c>
      <c r="AW87" s="7"/>
      <c r="AX87" s="20">
        <f>-SUM([2]SME!$AJ$33:$AK$33,[2]SME!$BH$33:$BI$33)/1000/AX78</f>
        <v>-2.2846038231964694E-3</v>
      </c>
      <c r="AY87" s="20">
        <f>-SUM([2]SME!$AJ$34:$AK$34,[2]SME!$BH$34:$BI$34)/1000/AY78</f>
        <v>1.0652116272527172E-2</v>
      </c>
      <c r="AZ87" s="20">
        <f>-SUM([2]SME!$AJ$35:$AK$35,[2]SME!$BH$35:$BI$35)/1000/AZ78</f>
        <v>0</v>
      </c>
      <c r="BA87" s="7"/>
      <c r="BB87" s="20">
        <f>-SUM([2]MidCorp!$AJ$33:$AK$33,[2]MidCorp!$BH$33:$BI$33)/1000/BB78</f>
        <v>-1.5425154618838144E-2</v>
      </c>
      <c r="BC87" s="20">
        <f>-SUM([2]MidCorp!$AJ$34:$AK$34,[2]MidCorp!$BH$34:$BI$34)/1000/BC78</f>
        <v>-6.3251275225781499E-3</v>
      </c>
      <c r="BD87" s="20">
        <f>-SUM([2]MidCorp!$AJ$35:$AK$35,[2]MidCorp!$BH$35:$BI$35)/1000/BD78</f>
        <v>0</v>
      </c>
      <c r="BJ87" s="20" t="e">
        <f>-SUM([2]Specials!$AJ$33:$AK$33,[2]Specials!$BH$33:$BI$33)/1000/BJ78</f>
        <v>#DIV/0!</v>
      </c>
      <c r="BK87" s="20" t="e">
        <f>-SUM([2]Specials!$AJ$34:$AK$34,[2]Specials!$BH$34:$BI$34)/1000/BK78</f>
        <v>#DIV/0!</v>
      </c>
      <c r="BL87" s="20" t="e">
        <f>-SUM([2]Specials!$AJ$35:$AK$35,[2]Specials!$BH$35:$BI$35)/1000/BL78</f>
        <v>#DIV/0!</v>
      </c>
      <c r="BM87" s="7"/>
      <c r="BN87" s="28">
        <f>-SUM('[2]Total P&amp;C'!$AJ$33:$AK$33,'[2]Total P&amp;C'!$BH$33:$BI$33)/1000/BN78</f>
        <v>-9.1625284292773043E-3</v>
      </c>
      <c r="BO87" s="28">
        <f>-SUM('[2]Total P&amp;C'!$AJ$34:$AK$34,'[2]Total P&amp;C'!$BH$34:$BI$34)/1000/BO78</f>
        <v>2.8196390793782818E-3</v>
      </c>
      <c r="BP87" s="28">
        <f>-SUM('[2]Total P&amp;C'!$AJ$35:$AK$35,'[2]Total P&amp;C'!$BH$35:$BI$35)/1000/BP78</f>
        <v>0</v>
      </c>
      <c r="BR87" s="28">
        <f>-SUM('[3]Total P&amp;C'!$AJ$33:$AK$33,'[3]Total P&amp;C'!$BH$33:$BI$33)/1000/BR78</f>
        <v>-3.7625073475416682E-3</v>
      </c>
      <c r="BS87" s="28">
        <f>-SUM('[3]Total P&amp;C'!$AJ$34:$AK$34,'[3]Total P&amp;C'!$BH$34:$BI$34)/1000/BS78</f>
        <v>-2.1866070244481307E-3</v>
      </c>
      <c r="BT87" s="28">
        <f>-SUM('[3]Total P&amp;C'!$AJ$35:$AK$35,'[3]Total P&amp;C'!$BH$35:$BI$35)/1000/BT78</f>
        <v>0</v>
      </c>
    </row>
    <row r="88" spans="2:72" ht="16.5" hidden="1" customHeight="1" outlineLevel="1" x14ac:dyDescent="0.25">
      <c r="B88" s="202"/>
      <c r="C88" s="9"/>
      <c r="D88" s="37" t="s">
        <v>30</v>
      </c>
      <c r="J88" s="20">
        <f>+J89+J90+J91</f>
        <v>0.33569756277656809</v>
      </c>
      <c r="K88" s="20">
        <f>+K89+K90+K91</f>
        <v>0.51187342371872524</v>
      </c>
      <c r="L88" s="20" t="e">
        <f>+L89+L90+L91</f>
        <v>#DIV/0!</v>
      </c>
      <c r="M88" s="7"/>
      <c r="N88" s="20">
        <f>+N89+N90+N91</f>
        <v>0.3326553869417086</v>
      </c>
      <c r="O88" s="20">
        <f>+O89+O90+O91</f>
        <v>0.38221453737449729</v>
      </c>
      <c r="P88" s="20">
        <f>+P89+P90+P91</f>
        <v>0.40822164756437879</v>
      </c>
      <c r="Q88" s="7"/>
      <c r="R88" s="20">
        <f>+R89+R90+R91</f>
        <v>0.23984889574173959</v>
      </c>
      <c r="S88" s="20">
        <f>+S89+S90+S91</f>
        <v>0.23447579881640243</v>
      </c>
      <c r="T88" s="20">
        <f>+T89+T90+T91</f>
        <v>0.2348522100392148</v>
      </c>
      <c r="U88" s="7"/>
      <c r="V88" s="20">
        <f>+V89+V90+V91</f>
        <v>0.4703214817575444</v>
      </c>
      <c r="W88" s="20">
        <f>+W89+W90+W91</f>
        <v>0.53513253104235514</v>
      </c>
      <c r="X88" s="20">
        <f>+X89+X90+X91</f>
        <v>0.43071108173516981</v>
      </c>
      <c r="Y88" s="7"/>
      <c r="Z88" s="20">
        <f>+Z89+Z90+Z91</f>
        <v>18.284671182133575</v>
      </c>
      <c r="AA88" s="20" t="e">
        <f>+AA89+AA90+AA91</f>
        <v>#DIV/0!</v>
      </c>
      <c r="AB88" s="20">
        <f>+AB89+AB90+AB91</f>
        <v>1.2510524868443889</v>
      </c>
      <c r="AC88" s="7"/>
      <c r="AD88" s="20" t="e">
        <f>+AD89+AD90+AD91</f>
        <v>#DIV/0!</v>
      </c>
      <c r="AE88" s="20">
        <f>+AE89+AE90+AE91</f>
        <v>0.20583016979056185</v>
      </c>
      <c r="AF88" s="20" t="e">
        <f>+AF89+AF90+AF91</f>
        <v>#DIV/0!</v>
      </c>
      <c r="AG88" s="7"/>
      <c r="AH88" s="28">
        <f>+AH89+AH90+AH91</f>
        <v>0.28459107245550808</v>
      </c>
      <c r="AI88" s="28">
        <f>+AI89+AI90+AI91</f>
        <v>0.3004607269422323</v>
      </c>
      <c r="AJ88" s="28">
        <f>+AJ89+AJ90+AJ91</f>
        <v>0.28657789426250868</v>
      </c>
      <c r="AL88" s="202"/>
      <c r="AM88" s="9"/>
      <c r="AN88" s="37" t="s">
        <v>30</v>
      </c>
      <c r="AT88" s="20">
        <f>+AT89+AT90+AT91</f>
        <v>0.40551452582713088</v>
      </c>
      <c r="AU88" s="20">
        <f>+AU89+AU90+AU91</f>
        <v>0.40626460738057107</v>
      </c>
      <c r="AV88" s="20">
        <f>+AV89+AV90+AV91</f>
        <v>0.41053190984812266</v>
      </c>
      <c r="AW88" s="7"/>
      <c r="AX88" s="20">
        <f>+AX89+AX90+AX91</f>
        <v>0.5160734141748794</v>
      </c>
      <c r="AY88" s="20">
        <f>+AY89+AY90+AY91</f>
        <v>0.47152281734054063</v>
      </c>
      <c r="AZ88" s="20">
        <f>+AZ89+AZ90+AZ91</f>
        <v>0.5354163771596987</v>
      </c>
      <c r="BA88" s="7"/>
      <c r="BB88" s="20">
        <f>+BB89+BB90+BB91</f>
        <v>0.40857057872279101</v>
      </c>
      <c r="BC88" s="20">
        <f>+BC89+BC90+BC91</f>
        <v>0.3729118712561017</v>
      </c>
      <c r="BD88" s="20">
        <f>+BD89+BD90+BD91</f>
        <v>0.38102319244449612</v>
      </c>
      <c r="BJ88" s="20" t="e">
        <f>+BJ89+BJ90+BJ91</f>
        <v>#DIV/0!</v>
      </c>
      <c r="BK88" s="20" t="e">
        <f>+BK89+BK90+BK91</f>
        <v>#DIV/0!</v>
      </c>
      <c r="BL88" s="20" t="e">
        <f>+BL89+BL90+BL91</f>
        <v>#DIV/0!</v>
      </c>
      <c r="BM88" s="7"/>
      <c r="BN88" s="28">
        <f>+BN89+BN90+BN91</f>
        <v>0.42377711520689842</v>
      </c>
      <c r="BO88" s="28">
        <f>+BO89+BO90+BO91</f>
        <v>0.40514722139937498</v>
      </c>
      <c r="BP88" s="28">
        <f>+BP89+BP90+BP91</f>
        <v>0.41806641515742909</v>
      </c>
      <c r="BR88" s="28">
        <f>+BR89+BR90+BR91</f>
        <v>0.33249758995893552</v>
      </c>
      <c r="BS88" s="28">
        <f>+BS89+BS90+BS91</f>
        <v>0.33655772707055998</v>
      </c>
      <c r="BT88" s="28">
        <f>+BT89+BT90+BT91</f>
        <v>0.32707104357872296</v>
      </c>
    </row>
    <row r="89" spans="2:72" ht="16.5" hidden="1" customHeight="1" outlineLevel="1" x14ac:dyDescent="0.25">
      <c r="B89" s="202"/>
      <c r="C89" s="9"/>
      <c r="D89" s="39" t="s">
        <v>31</v>
      </c>
      <c r="J89" s="20">
        <f>-SUM([1]Retail!$AL$33:$AN$33,[1]Retail!$BJ$33)/1000/J78</f>
        <v>0.23842416079461307</v>
      </c>
      <c r="K89" s="42">
        <f>-SUM([1]Retail!$AL$34:$AN$34,[1]Retail!$BJ$34)/1000/K78</f>
        <v>0.24239472942695928</v>
      </c>
      <c r="L89" s="42" t="e">
        <f>-SUM([1]Retail!$AL$35:$AN$35,[1]Retail!$BJ$35)/1000/L78</f>
        <v>#DIV/0!</v>
      </c>
      <c r="M89" s="8"/>
      <c r="N89" s="20">
        <f>-SUM([1]SME!$AL$33:$AN$33,[1]SME!$BJ$33)/1000/N78</f>
        <v>0.20077587784049769</v>
      </c>
      <c r="O89" s="20">
        <f>-SUM([1]SME!$AL$34:$AN$34,[1]SME!$BJ$34)/1000/O78</f>
        <v>0.20127211354264204</v>
      </c>
      <c r="P89" s="20">
        <f>-SUM([1]SME!$AL$35:$AN$35,[1]SME!$BJ$35)/1000/P78</f>
        <v>0.20059021280198766</v>
      </c>
      <c r="Q89" s="8"/>
      <c r="R89" s="20">
        <f>-SUM([1]MidCorp!$AL$33:$AN$33,[1]MidCorp!$BJ$33)/1000/R78</f>
        <v>0.14247320975094074</v>
      </c>
      <c r="S89" s="20">
        <f>-SUM([1]MidCorp!$AL$34:$AN$34,[1]MidCorp!$BJ$34)/1000/S78</f>
        <v>0.1486262995771393</v>
      </c>
      <c r="T89" s="20">
        <f>-SUM([1]MidCorp!$AL$35:$AN$35,[1]MidCorp!$BJ$35)/1000/T78</f>
        <v>0.14361198901218744</v>
      </c>
      <c r="U89" s="8"/>
      <c r="V89" s="20">
        <f>-SUM([1]MGA!$AL$33:$AN$33,[1]MGA!$BJ$33)/1000/V78</f>
        <v>0.36104101977761488</v>
      </c>
      <c r="W89" s="20">
        <f>-SUM([1]MGA!$AL$34:$AN$34,[1]MGA!$BJ$34)/1000/W78</f>
        <v>0.36102570792818234</v>
      </c>
      <c r="X89" s="20">
        <f>-SUM([1]MGA!$AL$35:$AN$35,[1]MGA!$BJ$35)/1000/X78</f>
        <v>0.35977911235439863</v>
      </c>
      <c r="Y89" s="8"/>
      <c r="Z89" s="20">
        <f>-SUM([1]Bancassurance!$AL$33:$AN$33,[1]Bancassurance!$BJ$33)/1000/Z78</f>
        <v>0.15003962028589138</v>
      </c>
      <c r="AA89" s="20" t="e">
        <f>-SUM([1]Bancassurance!$AL$34:$AN$34,[1]Bancassurance!$BJ$34)/1000/AA78</f>
        <v>#DIV/0!</v>
      </c>
      <c r="AB89" s="20">
        <f>-SUM([1]Bancassurance!$AL$35:$AN$35,[1]Bancassurance!$BJ$35)/1000/AB78</f>
        <v>0.15</v>
      </c>
      <c r="AC89" s="8"/>
      <c r="AD89" s="20" t="e">
        <f>-SUM([1]Specials!$AL$33:$AN$33,[1]Specials!$BJ$33)/1000/AD78</f>
        <v>#DIV/0!</v>
      </c>
      <c r="AE89" s="20">
        <f>-SUM([1]Specials!$AL$34:$AN$34,[1]Specials!$BJ$34)/1000/AE78</f>
        <v>0.20583016979056185</v>
      </c>
      <c r="AF89" s="20" t="e">
        <f>-SUM([1]Specials!$AL$35:$AN$35,[1]Specials!$BJ$35)/1000/AF78</f>
        <v>#DIV/0!</v>
      </c>
      <c r="AG89" s="8"/>
      <c r="AH89" s="28">
        <f>-SUM('[1]Total P&amp;C'!$AL$33:$AN$33,'[1]Total P&amp;C'!$BJ$33)/1000/AH78</f>
        <v>0.17035614301328506</v>
      </c>
      <c r="AI89" s="28">
        <f>-SUM('[1]Total P&amp;C'!$AL$34:$AN$34,'[1]Total P&amp;C'!$BJ$34)/1000/AI78</f>
        <v>0.17411179557363493</v>
      </c>
      <c r="AJ89" s="28">
        <f>-SUM('[1]Total P&amp;C'!$AL$35:$AN$35,'[1]Total P&amp;C'!$BJ$35)/1000/AJ78</f>
        <v>0.1730888738335172</v>
      </c>
      <c r="AL89" s="202"/>
      <c r="AM89" s="9"/>
      <c r="AN89" s="39" t="s">
        <v>31</v>
      </c>
      <c r="AT89" s="20">
        <f>-SUM([2]Retail!$AL$33:$AN$33,[2]Retail!$BJ$33)/1000/AT78</f>
        <v>0.24776607187616803</v>
      </c>
      <c r="AU89" s="42">
        <f>-SUM([2]Retail!$AL$34:$AN$34,[2]Retail!$BJ$34)/1000/AU78</f>
        <v>0.26592723412229063</v>
      </c>
      <c r="AV89" s="42">
        <f>-SUM([2]Retail!$AL$35:$AN$35,[2]Retail!$BJ$35)/1000/AV78</f>
        <v>0.25841980038705109</v>
      </c>
      <c r="AW89" s="8"/>
      <c r="AX89" s="20">
        <f>-SUM([2]SME!$AL$33:$AN$33,[2]SME!$BJ$33)/1000/AX78</f>
        <v>0.26617823696881582</v>
      </c>
      <c r="AY89" s="20">
        <f>-SUM([2]SME!$AL$34:$AN$34,[2]SME!$BJ$34)/1000/AY78</f>
        <v>0.26834574594781346</v>
      </c>
      <c r="AZ89" s="20">
        <f>-SUM([2]SME!$AL$35:$AN$35,[2]SME!$BJ$35)/1000/AZ78</f>
        <v>0.27475708759323625</v>
      </c>
      <c r="BA89" s="8"/>
      <c r="BB89" s="20">
        <f>-SUM([2]MidCorp!$AL$33:$AN$33,[2]MidCorp!$BJ$33)/1000/BB78</f>
        <v>0.23502840760647162</v>
      </c>
      <c r="BC89" s="20">
        <f>-SUM([2]MidCorp!$AL$34:$AN$34,[2]MidCorp!$BJ$34)/1000/BC78</f>
        <v>0.20730138453506869</v>
      </c>
      <c r="BD89" s="20">
        <f>-SUM([2]MidCorp!$AL$35:$AN$35,[2]MidCorp!$BJ$35)/1000/BD78</f>
        <v>0.2187203184038729</v>
      </c>
      <c r="BJ89" s="20" t="e">
        <f>-SUM([2]Specials!$AL$33:$AN$33,[2]Specials!$BJ$33)/1000/BJ78</f>
        <v>#DIV/0!</v>
      </c>
      <c r="BK89" s="20" t="e">
        <f>-SUM([2]Specials!$AL$34:$AN$34,[2]Specials!$BJ$34)/1000/BK78</f>
        <v>#DIV/0!</v>
      </c>
      <c r="BL89" s="20" t="e">
        <f>-SUM([2]Specials!$AL$35:$AN$35,[2]Specials!$BJ$35)/1000/BL78</f>
        <v>#DIV/0!</v>
      </c>
      <c r="BM89" s="8"/>
      <c r="BN89" s="28">
        <f>-SUM('[2]Total P&amp;C'!$AL$33:$AN$33,'[2]Total P&amp;C'!$BJ$33)/1000/BN78</f>
        <v>0.24592247204946163</v>
      </c>
      <c r="BO89" s="28">
        <f>-SUM('[2]Total P&amp;C'!$AL$34:$AN$34,'[2]Total P&amp;C'!$BJ$34)/1000/BO78</f>
        <v>0.2457738692275086</v>
      </c>
      <c r="BP89" s="28">
        <f>-SUM('[2]Total P&amp;C'!$AL$35:$AN$35,'[2]Total P&amp;C'!$BJ$35)/1000/BP78</f>
        <v>0.24555299811081871</v>
      </c>
      <c r="BR89" s="28">
        <f>-SUM('[3]Total P&amp;C'!$AL$33:$AN$33,'[3]Total P&amp;C'!$BJ$33)/1000/BR78</f>
        <v>0.19636535768078944</v>
      </c>
      <c r="BS89" s="28">
        <f>-SUM('[3]Total P&amp;C'!$AL$34:$AN$34,'[3]Total P&amp;C'!$BJ$34)/1000/BS78</f>
        <v>0.19882162939980341</v>
      </c>
      <c r="BT89" s="28">
        <f>-SUM('[3]Total P&amp;C'!$AL$35:$AN$35,'[3]Total P&amp;C'!$BJ$35)/1000/BT78</f>
        <v>0.19540489491625823</v>
      </c>
    </row>
    <row r="90" spans="2:72" ht="16.5" hidden="1" customHeight="1" outlineLevel="1" x14ac:dyDescent="0.25">
      <c r="B90" s="202"/>
      <c r="C90" s="9"/>
      <c r="D90" s="39" t="s">
        <v>32</v>
      </c>
      <c r="J90" s="20">
        <f>-SUM([1]Retail!$AO$33:$AP$33)/1000/J78</f>
        <v>3.5785602315324626E-3</v>
      </c>
      <c r="K90" s="42">
        <f>-SUM([1]Retail!$AO$34:$AP$34)/1000/K78</f>
        <v>4.2826920739856111E-2</v>
      </c>
      <c r="L90" s="42" t="e">
        <f>-SUM([1]Retail!$AO$35:$AP$35)/1000/L78</f>
        <v>#DIV/0!</v>
      </c>
      <c r="M90" s="8"/>
      <c r="N90" s="20">
        <f>-SUM([1]SME!$AO$33:$AP$33)/1000/N78</f>
        <v>5.5654509089867028E-2</v>
      </c>
      <c r="O90" s="20">
        <f>-SUM([1]SME!$AO$34:$AP$34)/1000/O78</f>
        <v>0.10399701508820663</v>
      </c>
      <c r="P90" s="20">
        <f>-SUM([1]SME!$AO$35:$AP$35)/1000/P78</f>
        <v>6.1045895093621468E-2</v>
      </c>
      <c r="Q90" s="8"/>
      <c r="R90" s="20">
        <f>-SUM([1]MidCorp!$AO$33:$AP$33)/1000/R78</f>
        <v>4.6058077342279152E-2</v>
      </c>
      <c r="S90" s="20">
        <f>-SUM([1]MidCorp!$AO$34:$AP$34)/1000/S78</f>
        <v>3.4821352382550456E-2</v>
      </c>
      <c r="T90" s="20">
        <f>-SUM([1]MidCorp!$AO$35:$AP$35)/1000/T78</f>
        <v>3.874647177857491E-2</v>
      </c>
      <c r="U90" s="8"/>
      <c r="V90" s="20">
        <f>-SUM([1]MGA!$AO$33:$AP$33)/1000/V78</f>
        <v>2.3533578712699895E-2</v>
      </c>
      <c r="W90" s="20">
        <f>-SUM([1]MGA!$AO$34:$AP$34)/1000/W78</f>
        <v>0.11191964032445947</v>
      </c>
      <c r="X90" s="20">
        <f>-SUM([1]MGA!$AO$35:$AP$35)/1000/X78</f>
        <v>1.6379195324723182E-2</v>
      </c>
      <c r="Y90" s="8"/>
      <c r="Z90" s="20">
        <f>-SUM([1]Bancassurance!$AO$33:$AP$33)/1000/Z78</f>
        <v>3.3992798183644406</v>
      </c>
      <c r="AA90" s="20" t="e">
        <f>-SUM([1]Bancassurance!$AO$34:$AP$34)/1000/AA78</f>
        <v>#DIV/0!</v>
      </c>
      <c r="AB90" s="20">
        <f>-SUM([1]Bancassurance!$AO$35:$AP$35)/1000/AB78</f>
        <v>0.2894617297537897</v>
      </c>
      <c r="AC90" s="8"/>
      <c r="AD90" s="20" t="e">
        <f>-SUM([1]Specials!$AO$33:$AP$33)/1000/AD78</f>
        <v>#DIV/0!</v>
      </c>
      <c r="AE90" s="20">
        <f>-SUM([1]Specials!$AO$34:$AP$34)/1000/AE78</f>
        <v>0</v>
      </c>
      <c r="AF90" s="20" t="e">
        <f>-SUM([1]Specials!$AO$35:$AP$35)/1000/AF78</f>
        <v>#DIV/0!</v>
      </c>
      <c r="AG90" s="8"/>
      <c r="AH90" s="28">
        <f>-SUM('[1]Total P&amp;C'!$AO$33:$AP$33)/1000/AH78</f>
        <v>4.7090621512448458E-2</v>
      </c>
      <c r="AI90" s="28">
        <f>-SUM('[1]Total P&amp;C'!$AO$34:$AP$34)/1000/AI78</f>
        <v>5.5248709936594802E-2</v>
      </c>
      <c r="AJ90" s="28">
        <f>-SUM('[1]Total P&amp;C'!$AO$35:$AP$35)/1000/AJ78</f>
        <v>4.1150401398887176E-2</v>
      </c>
      <c r="AL90" s="202"/>
      <c r="AM90" s="9"/>
      <c r="AN90" s="39" t="s">
        <v>32</v>
      </c>
      <c r="AT90" s="20">
        <f>-SUM([2]Retail!$AO$33:$AP$33)/1000/AT78</f>
        <v>8.4974963189856381E-2</v>
      </c>
      <c r="AU90" s="42">
        <f>-SUM([2]Retail!$AO$34:$AP$34)/1000/AU78</f>
        <v>7.6898396469467709E-2</v>
      </c>
      <c r="AV90" s="42">
        <f>-SUM([2]Retail!$AO$35:$AP$35)/1000/AV78</f>
        <v>7.972355619234317E-2</v>
      </c>
      <c r="AW90" s="8"/>
      <c r="AX90" s="20">
        <f>-SUM([2]SME!$AO$33:$AP$33)/1000/AX78</f>
        <v>0.17389378217369358</v>
      </c>
      <c r="AY90" s="20">
        <f>-SUM([2]SME!$AO$34:$AP$34)/1000/AY78</f>
        <v>0.12745348398379711</v>
      </c>
      <c r="AZ90" s="20">
        <f>-SUM([2]SME!$AO$35:$AP$35)/1000/AZ78</f>
        <v>0.17721766338939013</v>
      </c>
      <c r="BA90" s="8"/>
      <c r="BB90" s="20">
        <f>-SUM([2]MidCorp!$AO$33:$AP$33)/1000/BB78</f>
        <v>6.2090316316658602E-2</v>
      </c>
      <c r="BC90" s="20">
        <f>-SUM([2]MidCorp!$AO$34:$AP$34)/1000/BC78</f>
        <v>5.9007189497019559E-2</v>
      </c>
      <c r="BD90" s="20">
        <f>-SUM([2]MidCorp!$AO$35:$AP$35)/1000/BD78</f>
        <v>5.2856873853402792E-2</v>
      </c>
      <c r="BJ90" s="20" t="e">
        <f>-SUM([2]Specials!$AO$33:$AP$33)/1000/BJ78</f>
        <v>#DIV/0!</v>
      </c>
      <c r="BK90" s="20" t="e">
        <f>-SUM([2]Specials!$AO$34:$AP$34)/1000/BK78</f>
        <v>#DIV/0!</v>
      </c>
      <c r="BL90" s="20" t="e">
        <f>-SUM([2]Specials!$AO$35:$AP$35)/1000/BL78</f>
        <v>#DIV/0!</v>
      </c>
      <c r="BM90" s="8"/>
      <c r="BN90" s="28">
        <f>-SUM('[2]Total P&amp;C'!$AO$33:$AP$33)/1000/BN78</f>
        <v>9.0317298967797902E-2</v>
      </c>
      <c r="BO90" s="28">
        <f>-SUM('[2]Total P&amp;C'!$AO$34:$AP$34)/1000/BO78</f>
        <v>7.8817725871062685E-2</v>
      </c>
      <c r="BP90" s="28">
        <f>-SUM('[2]Total P&amp;C'!$AO$35:$AP$35)/1000/BP78</f>
        <v>8.4125197449920808E-2</v>
      </c>
      <c r="BR90" s="28">
        <f>-SUM('[3]Total P&amp;C'!$AO$33:$AP$33)/1000/BR78</f>
        <v>6.1968834436632099E-2</v>
      </c>
      <c r="BS90" s="28">
        <f>-SUM('[3]Total P&amp;C'!$AO$34:$AP$34)/1000/BS78</f>
        <v>6.3375553572182788E-2</v>
      </c>
      <c r="BT90" s="28">
        <f>-SUM('[3]Total P&amp;C'!$AO$35:$AP$35)/1000/BT78</f>
        <v>5.4384901425844193E-2</v>
      </c>
    </row>
    <row r="91" spans="2:72" ht="16.5" hidden="1" customHeight="1" outlineLevel="1" x14ac:dyDescent="0.25">
      <c r="B91" s="202"/>
      <c r="C91" s="9"/>
      <c r="D91" s="39" t="s">
        <v>33</v>
      </c>
      <c r="J91" s="20">
        <f>-SUM([1]Retail!$AQ$33:$AR$33)/1000/J78</f>
        <v>9.3694841750422558E-2</v>
      </c>
      <c r="K91" s="42">
        <f>-SUM([1]Retail!$AQ$34:$AR$34)/1000/K78</f>
        <v>0.2266517735519098</v>
      </c>
      <c r="L91" s="42" t="e">
        <f>-SUM([1]Retail!$AQ$35:$AR$35)/1000/L78</f>
        <v>#DIV/0!</v>
      </c>
      <c r="M91" s="8"/>
      <c r="N91" s="20">
        <f>-SUM([1]SME!$AQ$33:$AR$33)/1000/N78</f>
        <v>7.6225000011343844E-2</v>
      </c>
      <c r="O91" s="20">
        <f>-SUM([1]SME!$AQ$34:$AR$34)/1000/O78</f>
        <v>7.6945408743648663E-2</v>
      </c>
      <c r="P91" s="20">
        <f>-SUM([1]SME!$AQ$35:$AR$35)/1000/P78</f>
        <v>0.14658553966876964</v>
      </c>
      <c r="Q91" s="8"/>
      <c r="R91" s="20">
        <f>-SUM([1]MidCorp!$AQ$33:$AR$33)/1000/R78</f>
        <v>5.1317608648519704E-2</v>
      </c>
      <c r="S91" s="20">
        <f>-SUM([1]MidCorp!$AQ$34:$AR$34)/1000/S78</f>
        <v>5.1028146856712663E-2</v>
      </c>
      <c r="T91" s="20">
        <f>-SUM([1]MidCorp!$AQ$35:$AR$35)/1000/T78</f>
        <v>5.2493749248452466E-2</v>
      </c>
      <c r="U91" s="8"/>
      <c r="V91" s="20">
        <f>-SUM([1]MGA!$AQ$33:$AR$33)/1000/V78</f>
        <v>8.5746883267229651E-2</v>
      </c>
      <c r="W91" s="20">
        <f>-SUM([1]MGA!$AQ$34:$AR$34)/1000/W78</f>
        <v>6.2187182789713323E-2</v>
      </c>
      <c r="X91" s="20">
        <f>-SUM([1]MGA!$AQ$35:$AR$35)/1000/X78</f>
        <v>5.4552774056047963E-2</v>
      </c>
      <c r="Y91" s="8"/>
      <c r="Z91" s="20">
        <f>-SUM([1]Bancassurance!$AQ$33:$AR$33)/1000/Z78</f>
        <v>14.735351743483243</v>
      </c>
      <c r="AA91" s="20" t="e">
        <f>-SUM([1]Bancassurance!$AQ$34:$AR$34)/1000/AA78</f>
        <v>#DIV/0!</v>
      </c>
      <c r="AB91" s="20">
        <f>-SUM([1]Bancassurance!$AQ$35:$AR$35)/1000/AB78</f>
        <v>0.81159075709059925</v>
      </c>
      <c r="AC91" s="8"/>
      <c r="AD91" s="20" t="e">
        <f>-SUM([1]Specials!$AQ$33:$AR$33)/1000/AD78</f>
        <v>#DIV/0!</v>
      </c>
      <c r="AE91" s="20">
        <f>-SUM([1]Specials!$AQ$34:$AR$34)/1000/AE78</f>
        <v>0</v>
      </c>
      <c r="AF91" s="20" t="e">
        <f>-SUM([1]Specials!$AQ$35:$AR$35)/1000/AF78</f>
        <v>#DIV/0!</v>
      </c>
      <c r="AG91" s="8"/>
      <c r="AH91" s="28">
        <f>-SUM('[1]Total P&amp;C'!$AQ$33:$AR$33)/1000/AH78</f>
        <v>6.7144307929774535E-2</v>
      </c>
      <c r="AI91" s="28">
        <f>-SUM('[1]Total P&amp;C'!$AQ$34:$AR$34)/1000/AI78</f>
        <v>7.1100221432002564E-2</v>
      </c>
      <c r="AJ91" s="28">
        <f>-SUM('[1]Total P&amp;C'!$AQ$35:$AR$35)/1000/AJ78</f>
        <v>7.2338619030104329E-2</v>
      </c>
      <c r="AL91" s="202"/>
      <c r="AM91" s="9"/>
      <c r="AN91" s="39" t="s">
        <v>33</v>
      </c>
      <c r="AT91" s="20">
        <f>-SUM([2]Retail!$AQ$33:$AR$33)/1000/AT78</f>
        <v>7.2773490761106452E-2</v>
      </c>
      <c r="AU91" s="42">
        <f>-SUM([2]Retail!$AQ$34:$AR$34)/1000/AU78</f>
        <v>6.3438976788812704E-2</v>
      </c>
      <c r="AV91" s="42">
        <f>-SUM([2]Retail!$AQ$35:$AR$35)/1000/AV78</f>
        <v>7.2388553268728395E-2</v>
      </c>
      <c r="AW91" s="8"/>
      <c r="AX91" s="20">
        <f>-SUM([2]SME!$AQ$33:$AR$33)/1000/AX78</f>
        <v>7.6001395032369981E-2</v>
      </c>
      <c r="AY91" s="20">
        <f>-SUM([2]SME!$AQ$34:$AR$34)/1000/AY78</f>
        <v>7.5723587408930093E-2</v>
      </c>
      <c r="AZ91" s="20">
        <f>-SUM([2]SME!$AQ$35:$AR$35)/1000/AZ78</f>
        <v>8.3441626177072292E-2</v>
      </c>
      <c r="BA91" s="8"/>
      <c r="BB91" s="20">
        <f>-SUM([2]MidCorp!$AQ$33:$AR$33)/1000/BB78</f>
        <v>0.11145185479966081</v>
      </c>
      <c r="BC91" s="20">
        <f>-SUM([2]MidCorp!$AQ$34:$AR$34)/1000/BC78</f>
        <v>0.10660329722401345</v>
      </c>
      <c r="BD91" s="20">
        <f>-SUM([2]MidCorp!$AQ$35:$AR$35)/1000/BD78</f>
        <v>0.10944600018722041</v>
      </c>
      <c r="BJ91" s="20" t="e">
        <f>-SUM([2]Specials!$AQ$33:$AR$33)/1000/BJ78</f>
        <v>#DIV/0!</v>
      </c>
      <c r="BK91" s="20" t="e">
        <f>-SUM([2]Specials!$AQ$34:$AR$34)/1000/BK78</f>
        <v>#DIV/0!</v>
      </c>
      <c r="BL91" s="20" t="e">
        <f>-SUM([2]Specials!$AQ$35:$AR$35)/1000/BL78</f>
        <v>#DIV/0!</v>
      </c>
      <c r="BM91" s="8"/>
      <c r="BN91" s="28">
        <f>-SUM('[2]Total P&amp;C'!$AQ$33:$AR$33)/1000/BN78</f>
        <v>8.7537344189638877E-2</v>
      </c>
      <c r="BO91" s="28">
        <f>-SUM('[2]Total P&amp;C'!$AQ$34:$AR$34)/1000/BO78</f>
        <v>8.055562630080372E-2</v>
      </c>
      <c r="BP91" s="28">
        <f>-SUM('[2]Total P&amp;C'!$AQ$35:$AR$35)/1000/BP78</f>
        <v>8.8388219596689563E-2</v>
      </c>
      <c r="BR91" s="28">
        <f>-SUM('[3]Total P&amp;C'!$AQ$33:$AR$33)/1000/BR78</f>
        <v>7.4163397841514017E-2</v>
      </c>
      <c r="BS91" s="28">
        <f>-SUM('[3]Total P&amp;C'!$AQ$34:$AR$34)/1000/BS78</f>
        <v>7.4360544098573789E-2</v>
      </c>
      <c r="BT91" s="28">
        <f>-SUM('[3]Total P&amp;C'!$AQ$35:$AR$35)/1000/BT78</f>
        <v>7.7281247236620554E-2</v>
      </c>
    </row>
    <row r="92" spans="2:72" ht="16.5" hidden="1" customHeight="1" outlineLevel="1" x14ac:dyDescent="0.25">
      <c r="B92" s="202"/>
      <c r="C92" s="9"/>
      <c r="D92" s="37" t="s">
        <v>34</v>
      </c>
      <c r="J92" s="19">
        <f>+[1]Retail!$BK$33/1000</f>
        <v>0.73849854999999587</v>
      </c>
      <c r="K92" s="19">
        <f>+[1]Retail!$BK$34/1000</f>
        <v>-0.14341110000000509</v>
      </c>
      <c r="L92" s="19">
        <f>+[1]Retail!$BK$35/1000</f>
        <v>-0.19793997611726669</v>
      </c>
      <c r="M92" s="6"/>
      <c r="N92" s="19">
        <f>+[1]SME!$BK$33/1000</f>
        <v>-0.35405398000000043</v>
      </c>
      <c r="O92" s="19">
        <f>+[1]SME!$BK$34/1000</f>
        <v>2.2461048199999971</v>
      </c>
      <c r="P92" s="19">
        <f>+[1]SME!$BK$35/1000</f>
        <v>0.35266923579303627</v>
      </c>
      <c r="Q92" s="6"/>
      <c r="R92" s="19">
        <f>+[1]MidCorp!$BK$33/1000</f>
        <v>6.7833811599999851</v>
      </c>
      <c r="S92" s="19">
        <f>+[1]MidCorp!$BK$34/1000</f>
        <v>3.5298972699999922</v>
      </c>
      <c r="T92" s="19">
        <f>+[1]MidCorp!$BK$35/1000</f>
        <v>4.4387736204747865</v>
      </c>
      <c r="U92" s="6"/>
      <c r="V92" s="19">
        <f>+[1]MGA!$BK$33/1000</f>
        <v>0.11453787999999812</v>
      </c>
      <c r="W92" s="19">
        <f>+[1]MGA!$BK$34/1000</f>
        <v>-0.46924590000000077</v>
      </c>
      <c r="X92" s="19">
        <f>+[1]MGA!$BK$35/1000</f>
        <v>0.43088582457286723</v>
      </c>
      <c r="Y92" s="6"/>
      <c r="Z92" s="19">
        <f>+[1]Bancassurance!$BK$33/1000</f>
        <v>-0.61097487000000006</v>
      </c>
      <c r="AA92" s="19">
        <f>+[1]Bancassurance!$BK$34/1000</f>
        <v>-0.7869737</v>
      </c>
      <c r="AB92" s="19">
        <f>+[1]Bancassurance!$BK$35/1000</f>
        <v>-0.20734991596750343</v>
      </c>
      <c r="AC92" s="6"/>
      <c r="AD92" s="19">
        <f>+[1]Specials!$BK$33/1000</f>
        <v>0</v>
      </c>
      <c r="AE92" s="19">
        <f>+[1]Specials!$BK$34/1000</f>
        <v>-1.9499999999999962E-5</v>
      </c>
      <c r="AF92" s="19">
        <f>+[1]Specials!$BK$35/1000</f>
        <v>0</v>
      </c>
      <c r="AG92" s="6"/>
      <c r="AH92" s="27">
        <f>+'[1]Total P&amp;C'!$BK$33/1000</f>
        <v>6.6713887399999736</v>
      </c>
      <c r="AI92" s="27">
        <f>+'[1]Total P&amp;C'!$BK$34/1000</f>
        <v>4.3763518899999836</v>
      </c>
      <c r="AJ92" s="27">
        <f>+'[1]Total P&amp;C'!$BK$35/1000</f>
        <v>4.8170387887559052</v>
      </c>
      <c r="AL92" s="202"/>
      <c r="AM92" s="9"/>
      <c r="AN92" s="37" t="s">
        <v>34</v>
      </c>
      <c r="AT92" s="19">
        <f>+[2]Retail!$BK$33/1000</f>
        <v>1.0433487599999882</v>
      </c>
      <c r="AU92" s="19">
        <f>+[2]Retail!$BK$34/1000</f>
        <v>1.6320968799999993</v>
      </c>
      <c r="AV92" s="19">
        <f>+[2]Retail!$BK$35/1000</f>
        <v>0.33986657852766361</v>
      </c>
      <c r="AW92" s="6"/>
      <c r="AX92" s="19">
        <f>+[2]SME!$BK$33/1000</f>
        <v>-0.15909397000000058</v>
      </c>
      <c r="AY92" s="19">
        <f>+[2]SME!$BK$34/1000</f>
        <v>2.1033215499999982</v>
      </c>
      <c r="AZ92" s="19">
        <f>+[2]SME!$BK$35/1000</f>
        <v>-0.55062705164169679</v>
      </c>
      <c r="BA92" s="6"/>
      <c r="BB92" s="19">
        <f>+[2]MidCorp!$BK$33/1000</f>
        <v>-0.76772701999999782</v>
      </c>
      <c r="BC92" s="19">
        <f>+[2]MidCorp!$BK$34/1000</f>
        <v>0.29815447999999944</v>
      </c>
      <c r="BD92" s="19">
        <f>+[2]MidCorp!$BK$35/1000</f>
        <v>-0.10365252457421684</v>
      </c>
      <c r="BJ92" s="19">
        <f>+[2]Specials!$BK$33/1000</f>
        <v>0</v>
      </c>
      <c r="BK92" s="19">
        <f>+[2]Specials!$BK$34/1000</f>
        <v>0</v>
      </c>
      <c r="BL92" s="19">
        <f>+[2]Specials!$BK$35/1000</f>
        <v>0</v>
      </c>
      <c r="BM92" s="6"/>
      <c r="BN92" s="27">
        <f>+'[2]Total P&amp;C'!$BK$33/1000</f>
        <v>0.11652776999999184</v>
      </c>
      <c r="BO92" s="27">
        <f>+'[2]Total P&amp;C'!$BK$34/1000</f>
        <v>4.0335729099999993</v>
      </c>
      <c r="BP92" s="27">
        <f>+'[2]Total P&amp;C'!$BK$35/1000</f>
        <v>-0.31441299768825309</v>
      </c>
      <c r="BR92" s="27">
        <f>+'[3]Total P&amp;C'!$BK$33/1000</f>
        <v>6.7879165099999916</v>
      </c>
      <c r="BS92" s="27">
        <f>+'[3]Total P&amp;C'!$BK$34/1000</f>
        <v>8.4099247999999829</v>
      </c>
      <c r="BT92" s="27">
        <f>+'[3]Total P&amp;C'!$BK$35/1000</f>
        <v>4.5026257910676737</v>
      </c>
    </row>
    <row r="93" spans="2:72" hidden="1" outlineLevel="1" x14ac:dyDescent="0.25">
      <c r="B93"/>
      <c r="C93"/>
      <c r="D93"/>
      <c r="J93" s="47"/>
      <c r="K93" s="47"/>
      <c r="L93" s="47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L93"/>
      <c r="AM93"/>
      <c r="AN93"/>
      <c r="AT93" s="47"/>
      <c r="AU93" s="47"/>
      <c r="AV93" s="47"/>
      <c r="AW93"/>
      <c r="AX93"/>
      <c r="AY93"/>
      <c r="AZ93"/>
      <c r="BA93"/>
      <c r="BB93"/>
      <c r="BC93"/>
      <c r="BD93"/>
      <c r="BJ93"/>
      <c r="BK93"/>
      <c r="BL93"/>
      <c r="BM93"/>
      <c r="BN93"/>
      <c r="BO93"/>
      <c r="BP93"/>
      <c r="BR93"/>
      <c r="BS93"/>
      <c r="BT93"/>
    </row>
    <row r="94" spans="2:72" ht="16.5" hidden="1" customHeight="1" outlineLevel="1" x14ac:dyDescent="0.25">
      <c r="B94" s="204" t="s">
        <v>39</v>
      </c>
      <c r="C94" s="9"/>
      <c r="D94" s="37" t="s">
        <v>19</v>
      </c>
      <c r="J94" s="19">
        <f>+[1]Retail!$C$37/1000</f>
        <v>0</v>
      </c>
      <c r="K94" s="19">
        <f>+[1]Retail!$C$38/1000</f>
        <v>0</v>
      </c>
      <c r="L94" s="19">
        <f>+[1]Retail!$C$39/1000</f>
        <v>0</v>
      </c>
      <c r="M94" s="6"/>
      <c r="N94" s="19">
        <f>+[1]SME!$C$37/1000</f>
        <v>0</v>
      </c>
      <c r="O94" s="19">
        <f>+[1]SME!$C$38/1000</f>
        <v>0</v>
      </c>
      <c r="P94" s="19">
        <f>+[1]SME!$C$39/1000</f>
        <v>0</v>
      </c>
      <c r="Q94" s="6"/>
      <c r="R94" s="19">
        <f>+[1]MidCorp!$C$37/1000</f>
        <v>13.962795909999999</v>
      </c>
      <c r="S94" s="19">
        <f>+[1]MidCorp!$C$38/1000</f>
        <v>13.321478509999999</v>
      </c>
      <c r="T94" s="19">
        <f>+[1]MidCorp!$C$39/1000</f>
        <v>14.31026</v>
      </c>
      <c r="U94" s="6"/>
      <c r="V94" s="19">
        <f>+[1]MGA!$C$37/1000</f>
        <v>2.46343E-3</v>
      </c>
      <c r="W94" s="19">
        <f>+[1]MGA!$C$38/1000</f>
        <v>3.6837400000000005E-3</v>
      </c>
      <c r="X94" s="19">
        <f>+[1]MGA!$C$39/1000</f>
        <v>0</v>
      </c>
      <c r="Y94" s="6"/>
      <c r="Z94" s="19">
        <f>+[1]Bancassurance!$C$37/1000</f>
        <v>0</v>
      </c>
      <c r="AA94" s="19">
        <f>+[1]Bancassurance!$C$38/1000</f>
        <v>0</v>
      </c>
      <c r="AB94" s="19">
        <f>+[1]Bancassurance!$C$39/1000</f>
        <v>0</v>
      </c>
      <c r="AC94" s="6"/>
      <c r="AD94" s="19">
        <f>+[1]Specials!$C$37/1000</f>
        <v>1.0691300000000002E-3</v>
      </c>
      <c r="AE94" s="19">
        <f>+[1]Specials!$C$38/1000</f>
        <v>-1.5629999999999999E-3</v>
      </c>
      <c r="AF94" s="19">
        <f>+[1]Specials!$C$39/1000</f>
        <v>0</v>
      </c>
      <c r="AG94" s="6"/>
      <c r="AH94" s="27">
        <f>+'[1]Total P&amp;C'!$C$37/1000</f>
        <v>13.966328469999999</v>
      </c>
      <c r="AI94" s="27">
        <f>+'[1]Total P&amp;C'!$C$38/1000</f>
        <v>13.323599249999999</v>
      </c>
      <c r="AJ94" s="27">
        <f>+'[1]Total P&amp;C'!$C$39/1000</f>
        <v>14.31026</v>
      </c>
      <c r="AL94" s="204" t="s">
        <v>39</v>
      </c>
      <c r="AM94" s="9"/>
      <c r="AN94" s="37" t="s">
        <v>19</v>
      </c>
      <c r="AT94" s="19">
        <f>+[2]Retail!$C$37/1000</f>
        <v>0</v>
      </c>
      <c r="AU94" s="19">
        <f>+[2]Retail!$C$38/1000</f>
        <v>0</v>
      </c>
      <c r="AV94" s="19">
        <f>+[2]Retail!$C$39/1000</f>
        <v>0</v>
      </c>
      <c r="AW94" s="6"/>
      <c r="AX94" s="19">
        <f>+[2]SME!$C$37/1000</f>
        <v>0</v>
      </c>
      <c r="AY94" s="19">
        <f>+[2]SME!$C$38/1000</f>
        <v>0</v>
      </c>
      <c r="AZ94" s="19">
        <f>+[2]SME!$C$39/1000</f>
        <v>0</v>
      </c>
      <c r="BA94" s="6"/>
      <c r="BB94" s="19">
        <f>+[2]MidCorp!$C$37/1000</f>
        <v>7.5324710100000027</v>
      </c>
      <c r="BC94" s="19">
        <f>+[2]MidCorp!$C$38/1000</f>
        <v>8.0493241200000067</v>
      </c>
      <c r="BD94" s="19">
        <f>+[2]MidCorp!$C$39/1000</f>
        <v>9.4957032843232927</v>
      </c>
      <c r="BJ94" s="19">
        <f>+[2]Specials!$C$37/1000</f>
        <v>0</v>
      </c>
      <c r="BK94" s="19">
        <f>+[2]Specials!$C$38/1000</f>
        <v>0</v>
      </c>
      <c r="BL94" s="19">
        <f>+[2]Specials!$C$39/1000</f>
        <v>0</v>
      </c>
      <c r="BM94" s="6"/>
      <c r="BN94" s="27">
        <f>+'[2]Total P&amp;C'!$C$37/1000</f>
        <v>7.5324710100000027</v>
      </c>
      <c r="BO94" s="27">
        <f>+'[2]Total P&amp;C'!$C$38/1000</f>
        <v>8.0493241200000067</v>
      </c>
      <c r="BP94" s="27">
        <f>+'[2]Total P&amp;C'!$C$39/1000</f>
        <v>9.4957032843232927</v>
      </c>
      <c r="BR94" s="27">
        <f>+'[3]Total P&amp;C'!$C$37/1000</f>
        <v>21.498799480000002</v>
      </c>
      <c r="BS94" s="27">
        <f>+'[3]Total P&amp;C'!$C$38/1000</f>
        <v>21.372923370000009</v>
      </c>
      <c r="BT94" s="27">
        <f>+'[3]Total P&amp;C'!$C$39/1000</f>
        <v>23.80596328432329</v>
      </c>
    </row>
    <row r="95" spans="2:72" ht="16.5" hidden="1" customHeight="1" outlineLevel="1" x14ac:dyDescent="0.25">
      <c r="B95" s="202"/>
      <c r="C95" s="9"/>
      <c r="D95" s="37" t="s">
        <v>20</v>
      </c>
      <c r="J95" s="19">
        <f>+[1]Retail!$N$37/1000</f>
        <v>0</v>
      </c>
      <c r="K95" s="19">
        <f>+[1]Retail!$N$38/1000</f>
        <v>0</v>
      </c>
      <c r="L95" s="19">
        <f>+[1]Retail!$N$39/1000</f>
        <v>0</v>
      </c>
      <c r="M95" s="6"/>
      <c r="N95" s="19">
        <f>+[1]SME!$N$37/1000</f>
        <v>0</v>
      </c>
      <c r="O95" s="19">
        <f>+[1]SME!$N$38/1000</f>
        <v>0</v>
      </c>
      <c r="P95" s="19">
        <f>+[1]SME!$N$39/1000</f>
        <v>0</v>
      </c>
      <c r="Q95" s="6"/>
      <c r="R95" s="19">
        <f>+[1]MidCorp!$N$37/1000</f>
        <v>6.31402441</v>
      </c>
      <c r="S95" s="19">
        <f>+[1]MidCorp!$N$38/1000</f>
        <v>5.7305910999999981</v>
      </c>
      <c r="T95" s="19">
        <f>+[1]MidCorp!$N$39/1000</f>
        <v>7.4291136819037273</v>
      </c>
      <c r="U95" s="6"/>
      <c r="V95" s="19">
        <f>+[1]MGA!$N$37/1000</f>
        <v>1.4849299999999998E-3</v>
      </c>
      <c r="W95" s="19">
        <f>+[1]MGA!$N$38/1000</f>
        <v>2.1137199999999991E-3</v>
      </c>
      <c r="X95" s="19">
        <f>+[1]MGA!$N$39/1000</f>
        <v>0</v>
      </c>
      <c r="Y95" s="6"/>
      <c r="Z95" s="19">
        <f>+[1]Bancassurance!$N$37/1000</f>
        <v>0</v>
      </c>
      <c r="AA95" s="19">
        <f>+[1]Bancassurance!$N$38/1000</f>
        <v>0</v>
      </c>
      <c r="AB95" s="19">
        <f>+[1]Bancassurance!$N$39/1000</f>
        <v>0</v>
      </c>
      <c r="AC95" s="6"/>
      <c r="AD95" s="19">
        <f>+[1]Specials!$N$37/1000</f>
        <v>1.8228230000000002E-2</v>
      </c>
      <c r="AE95" s="19">
        <f>+[1]Specials!$N$38/1000</f>
        <v>1.7283600000000003E-2</v>
      </c>
      <c r="AF95" s="19">
        <f>+[1]Specials!$N$39/1000</f>
        <v>0</v>
      </c>
      <c r="AG95" s="6"/>
      <c r="AH95" s="27">
        <f>+'[1]Total P&amp;C'!$N$37/1000</f>
        <v>6.3337375699999994</v>
      </c>
      <c r="AI95" s="27">
        <f>+'[1]Total P&amp;C'!$N$38/1000</f>
        <v>5.7499884199999975</v>
      </c>
      <c r="AJ95" s="27">
        <f>+'[1]Total P&amp;C'!$N$39/1000</f>
        <v>7.4291136819037273</v>
      </c>
      <c r="AL95" s="202"/>
      <c r="AM95" s="9"/>
      <c r="AN95" s="37" t="s">
        <v>20</v>
      </c>
      <c r="AT95" s="19">
        <f>+[2]Retail!$N$37/1000</f>
        <v>0</v>
      </c>
      <c r="AU95" s="19">
        <f>+[2]Retail!$N$38/1000</f>
        <v>0</v>
      </c>
      <c r="AV95" s="19">
        <f>+[2]Retail!$N$39/1000</f>
        <v>0</v>
      </c>
      <c r="AW95" s="6"/>
      <c r="AX95" s="19">
        <f>+[2]SME!$N$37/1000</f>
        <v>0</v>
      </c>
      <c r="AY95" s="19">
        <f>+[2]SME!$N$38/1000</f>
        <v>0</v>
      </c>
      <c r="AZ95" s="19">
        <f>+[2]SME!$N$39/1000</f>
        <v>0</v>
      </c>
      <c r="BA95" s="6"/>
      <c r="BB95" s="19">
        <f>+[2]MidCorp!$N$37/1000</f>
        <v>5.3756103199999972</v>
      </c>
      <c r="BC95" s="19">
        <f>+[2]MidCorp!$N$38/1000</f>
        <v>5.3401845700000052</v>
      </c>
      <c r="BD95" s="19">
        <f>+[2]MidCorp!$N$39/1000</f>
        <v>6.9925416828876115</v>
      </c>
      <c r="BJ95" s="19">
        <f>+[2]Specials!$N$37/1000</f>
        <v>0</v>
      </c>
      <c r="BK95" s="19">
        <f>+[2]Specials!$N$38/1000</f>
        <v>0</v>
      </c>
      <c r="BL95" s="19">
        <f>+[2]Specials!$N$39/1000</f>
        <v>0</v>
      </c>
      <c r="BM95" s="6"/>
      <c r="BN95" s="27">
        <f>+'[2]Total P&amp;C'!$N$37/1000</f>
        <v>5.3756103199999972</v>
      </c>
      <c r="BO95" s="27">
        <f>+'[2]Total P&amp;C'!$N$38/1000</f>
        <v>5.3401845700000052</v>
      </c>
      <c r="BP95" s="27">
        <f>+'[2]Total P&amp;C'!$N$39/1000</f>
        <v>6.9925416828876115</v>
      </c>
      <c r="BR95" s="27">
        <f>+'[3]Total P&amp;C'!$N$37/1000</f>
        <v>11.709347889999998</v>
      </c>
      <c r="BS95" s="27">
        <f>+'[3]Total P&amp;C'!$N$38/1000</f>
        <v>11.090172990000003</v>
      </c>
      <c r="BT95" s="27">
        <f>+'[3]Total P&amp;C'!$N$39/1000</f>
        <v>14.421655364791338</v>
      </c>
    </row>
    <row r="96" spans="2:72" ht="16.5" hidden="1" customHeight="1" outlineLevel="1" x14ac:dyDescent="0.25">
      <c r="B96" s="202"/>
      <c r="C96" s="9"/>
      <c r="D96" s="37" t="s">
        <v>21</v>
      </c>
      <c r="J96" s="20" t="e">
        <f>+J97+J102+J103+J104+J105</f>
        <v>#DIV/0!</v>
      </c>
      <c r="K96" s="20" t="e">
        <f>+K97+K102+K103+K104+K105</f>
        <v>#DIV/0!</v>
      </c>
      <c r="L96" s="20" t="e">
        <f>+L97+L102+L103+L104+L105</f>
        <v>#DIV/0!</v>
      </c>
      <c r="M96" s="6"/>
      <c r="N96" s="20" t="e">
        <f>+N97+N102+N103+N104+N105</f>
        <v>#DIV/0!</v>
      </c>
      <c r="O96" s="20" t="e">
        <f>+O97+O102+O103+O104+O105</f>
        <v>#DIV/0!</v>
      </c>
      <c r="P96" s="20" t="e">
        <f>+P97+P102+P103+P104+P105</f>
        <v>#DIV/0!</v>
      </c>
      <c r="Q96" s="6"/>
      <c r="R96" s="20">
        <f>+R97+R102+R103+R104+R105</f>
        <v>0.88809938572917235</v>
      </c>
      <c r="S96" s="20">
        <f>+S97+S102+S103+S104+S105</f>
        <v>0.86211973490832405</v>
      </c>
      <c r="T96" s="20">
        <f>+T97+T102+T103+T104+T105</f>
        <v>0.86033082620204837</v>
      </c>
      <c r="U96" s="6"/>
      <c r="V96" s="20">
        <f>+V97+V102+V103+V104+V105</f>
        <v>0.97321759274848008</v>
      </c>
      <c r="W96" s="20">
        <f>+W97+W102+W103+W104+W105</f>
        <v>0.41457241261851158</v>
      </c>
      <c r="X96" s="20" t="e">
        <f>+X97+X102+X103+X104+X105</f>
        <v>#DIV/0!</v>
      </c>
      <c r="Y96" s="6"/>
      <c r="Z96" s="20" t="e">
        <f>+Z97+Z102+Z103+Z104+Z105</f>
        <v>#DIV/0!</v>
      </c>
      <c r="AA96" s="20" t="e">
        <f>+AA97+AA102+AA103+AA104+AA105</f>
        <v>#DIV/0!</v>
      </c>
      <c r="AB96" s="20" t="e">
        <f>+AB97+AB102+AB103+AB104+AB105</f>
        <v>#DIV/0!</v>
      </c>
      <c r="AC96" s="6"/>
      <c r="AD96" s="20">
        <f>+AD97+AD102+AD103+AD104+AD105</f>
        <v>-0.16761089804111623</v>
      </c>
      <c r="AE96" s="20">
        <f>+AE97+AE102+AE103+AE104+AE105</f>
        <v>3.0336671758198532</v>
      </c>
      <c r="AF96" s="20" t="e">
        <f>+AF97+AF102+AF103+AF104+AF105</f>
        <v>#DIV/0!</v>
      </c>
      <c r="AG96" s="6"/>
      <c r="AH96" s="28">
        <f>+AH97+AH102+AH103+AH104+AH105</f>
        <v>0.88192335856441229</v>
      </c>
      <c r="AI96" s="28">
        <f>+AI97+AI102+AI103+AI104+AI105</f>
        <v>0.86855151614374926</v>
      </c>
      <c r="AJ96" s="28">
        <f>+AJ97+AJ102+AJ103+AJ104+AJ105</f>
        <v>0.86033082620204837</v>
      </c>
      <c r="AL96" s="202"/>
      <c r="AM96" s="9"/>
      <c r="AN96" s="37" t="s">
        <v>21</v>
      </c>
      <c r="AT96" s="20" t="e">
        <f>+AT97+AT102+AT103+AT104+AT105</f>
        <v>#DIV/0!</v>
      </c>
      <c r="AU96" s="20" t="e">
        <f>+AU97+AU102+AU103+AU104+AU105</f>
        <v>#DIV/0!</v>
      </c>
      <c r="AV96" s="20" t="e">
        <f>+AV97+AV102+AV103+AV104+AV105</f>
        <v>#DIV/0!</v>
      </c>
      <c r="AW96" s="6"/>
      <c r="AX96" s="20" t="e">
        <f>+AX97+AX102+AX103+AX104+AX105</f>
        <v>#DIV/0!</v>
      </c>
      <c r="AY96" s="20" t="e">
        <f>+AY97+AY102+AY103+AY104+AY105</f>
        <v>#DIV/0!</v>
      </c>
      <c r="AZ96" s="20" t="e">
        <f>+AZ97+AZ102+AZ103+AZ104+AZ105</f>
        <v>#DIV/0!</v>
      </c>
      <c r="BA96" s="6"/>
      <c r="BB96" s="20">
        <f>+BB97+BB102+BB103+BB104+BB105</f>
        <v>0.93392994304691501</v>
      </c>
      <c r="BC96" s="20">
        <f>+BC97+BC102+BC103+BC104+BC105</f>
        <v>1.2598225682675228</v>
      </c>
      <c r="BD96" s="20">
        <f>+BD97+BD102+BD103+BD104+BD105</f>
        <v>0.95406422701776572</v>
      </c>
      <c r="BJ96" s="20" t="e">
        <f>+BJ97+BJ102+BJ103+BJ104+BJ105</f>
        <v>#DIV/0!</v>
      </c>
      <c r="BK96" s="20" t="e">
        <f>+BK97+BK102+BK103+BK104+BK105</f>
        <v>#DIV/0!</v>
      </c>
      <c r="BL96" s="20" t="e">
        <f>+BL97+BL102+BL103+BL104+BL105</f>
        <v>#DIV/0!</v>
      </c>
      <c r="BM96" s="6"/>
      <c r="BN96" s="28">
        <f>+BN97+BN102+BN103+BN104+BN105</f>
        <v>0.93421943389676509</v>
      </c>
      <c r="BO96" s="28">
        <f>+BO97+BO102+BO103+BO104+BO105</f>
        <v>1.23562560123273</v>
      </c>
      <c r="BP96" s="28">
        <f>+BP97+BP102+BP103+BP104+BP105</f>
        <v>0.95406422701776572</v>
      </c>
      <c r="BR96" s="28">
        <f>+BR97+BR102+BR103+BR104+BR105</f>
        <v>0.90593181103273257</v>
      </c>
      <c r="BS96" s="28">
        <f>+BS97+BS102+BS103+BS104+BS105</f>
        <v>1.0453065015715324</v>
      </c>
      <c r="BT96" s="28">
        <f>+BT97+BT102+BT103+BT104+BT105</f>
        <v>0.90577877899967796</v>
      </c>
    </row>
    <row r="97" spans="2:72" ht="16.5" hidden="1" customHeight="1" outlineLevel="1" x14ac:dyDescent="0.25">
      <c r="B97" s="202"/>
      <c r="C97" s="9"/>
      <c r="D97" s="37" t="s">
        <v>22</v>
      </c>
      <c r="J97" s="20" t="e">
        <f>+J98+J99+J100+J101</f>
        <v>#DIV/0!</v>
      </c>
      <c r="K97" s="20" t="e">
        <f>+K98+K99+K100+K101</f>
        <v>#DIV/0!</v>
      </c>
      <c r="L97" s="20" t="e">
        <f>+L98+L99+L100+L101</f>
        <v>#DIV/0!</v>
      </c>
      <c r="M97" s="6"/>
      <c r="N97" s="20" t="e">
        <f>+N98+N99+N100+N101</f>
        <v>#DIV/0!</v>
      </c>
      <c r="O97" s="20" t="e">
        <f>+O98+O99+O100+O101</f>
        <v>#DIV/0!</v>
      </c>
      <c r="P97" s="20" t="e">
        <f>+P98+P99+P100+P101</f>
        <v>#DIV/0!</v>
      </c>
      <c r="Q97" s="6"/>
      <c r="R97" s="20">
        <f>+R98+R99+R100+R101</f>
        <v>0.59147499399673698</v>
      </c>
      <c r="S97" s="20">
        <f>+S98+S99+S100+S101</f>
        <v>0.6785395541482625</v>
      </c>
      <c r="T97" s="20">
        <f>+T98+T99+T100+T101</f>
        <v>0.64339784065201477</v>
      </c>
      <c r="U97" s="6"/>
      <c r="V97" s="20">
        <f>+V98+V99+V100+V101</f>
        <v>6.7343241768972296E-5</v>
      </c>
      <c r="W97" s="20">
        <f>+W98+W99+W100+W101</f>
        <v>2.2141059364532666E-3</v>
      </c>
      <c r="X97" s="20" t="e">
        <f>+X98+X99+X100+X101</f>
        <v>#DIV/0!</v>
      </c>
      <c r="Y97" s="6"/>
      <c r="Z97" s="20" t="e">
        <f>+Z98+Z99+Z100+Z101</f>
        <v>#DIV/0!</v>
      </c>
      <c r="AA97" s="20" t="e">
        <f>+AA98+AA99+AA100+AA101</f>
        <v>#DIV/0!</v>
      </c>
      <c r="AB97" s="20" t="e">
        <f>+AB98+AB99+AB100+AB101</f>
        <v>#DIV/0!</v>
      </c>
      <c r="AC97" s="6"/>
      <c r="AD97" s="20">
        <f>+AD98+AD99+AD100+AD101</f>
        <v>0.78309194035844398</v>
      </c>
      <c r="AE97" s="20">
        <f>+AE98+AE99+AE100+AE101</f>
        <v>0.76782094008192714</v>
      </c>
      <c r="AF97" s="20" t="e">
        <f>+AF98+AF99+AF100+AF101</f>
        <v>#DIV/0!</v>
      </c>
      <c r="AG97" s="6"/>
      <c r="AH97" s="28">
        <f>+AH98+AH99+AH100+AH101</f>
        <v>0.58873011216345683</v>
      </c>
      <c r="AI97" s="28">
        <f>+AI98+AI99+AI100+AI101</f>
        <v>0.67855931612467502</v>
      </c>
      <c r="AJ97" s="28">
        <f>+AJ98+AJ99+AJ100+AJ101</f>
        <v>0.64339784065201477</v>
      </c>
      <c r="AL97" s="202"/>
      <c r="AM97" s="9"/>
      <c r="AN97" s="37" t="s">
        <v>22</v>
      </c>
      <c r="AT97" s="20" t="e">
        <f>+AT98+AT99+AT100+AT101</f>
        <v>#DIV/0!</v>
      </c>
      <c r="AU97" s="20" t="e">
        <f>+AU98+AU99+AU100+AU101</f>
        <v>#DIV/0!</v>
      </c>
      <c r="AV97" s="20" t="e">
        <f>+AV98+AV99+AV100+AV101</f>
        <v>#DIV/0!</v>
      </c>
      <c r="AW97" s="6"/>
      <c r="AX97" s="20" t="e">
        <f>+AX98+AX99+AX100+AX101</f>
        <v>#DIV/0!</v>
      </c>
      <c r="AY97" s="20" t="e">
        <f>+AY98+AY99+AY100+AY101</f>
        <v>#DIV/0!</v>
      </c>
      <c r="AZ97" s="20" t="e">
        <f>+AZ98+AZ99+AZ100+AZ101</f>
        <v>#DIV/0!</v>
      </c>
      <c r="BA97" s="6"/>
      <c r="BB97" s="20">
        <f>+BB98+BB99+BB100+BB101</f>
        <v>0.5826812219528601</v>
      </c>
      <c r="BC97" s="20">
        <f>+BC98+BC99+BC100+BC101</f>
        <v>0.64283868562992397</v>
      </c>
      <c r="BD97" s="20">
        <f>+BD98+BD99+BD100+BD101</f>
        <v>0.54670626165498659</v>
      </c>
      <c r="BJ97" s="20" t="e">
        <f>+BJ98+BJ99+BJ100+BJ101</f>
        <v>#DIV/0!</v>
      </c>
      <c r="BK97" s="20" t="e">
        <f>+BK98+BK99+BK100+BK101</f>
        <v>#DIV/0!</v>
      </c>
      <c r="BL97" s="20" t="e">
        <f>+BL98+BL99+BL100+BL101</f>
        <v>#DIV/0!</v>
      </c>
      <c r="BM97" s="6"/>
      <c r="BN97" s="28">
        <f>+BN98+BN99+BN100+BN101</f>
        <v>0.58300437409681982</v>
      </c>
      <c r="BO97" s="28">
        <f>+BO98+BO99+BO100+BO101</f>
        <v>0.61863020401184388</v>
      </c>
      <c r="BP97" s="28">
        <f>+BP98+BP99+BP100+BP101</f>
        <v>0.54670626165498659</v>
      </c>
      <c r="BR97" s="28">
        <f>+BR98+BR99+BR100+BR101</f>
        <v>0.58610149979923465</v>
      </c>
      <c r="BS97" s="28">
        <f>+BS98+BS99+BS100+BS101</f>
        <v>0.649702009742952</v>
      </c>
      <c r="BT97" s="28">
        <f>+BT98+BT99+BT100+BT101</f>
        <v>0.59651557371256203</v>
      </c>
    </row>
    <row r="98" spans="2:72" ht="16.5" hidden="1" customHeight="1" outlineLevel="1" x14ac:dyDescent="0.25">
      <c r="B98" s="202"/>
      <c r="C98" s="9"/>
      <c r="D98" s="38" t="s">
        <v>23</v>
      </c>
      <c r="J98" s="20" t="e">
        <f>-SUM([1]Retail!$O$37,[1]Retail!$R$37:$V$37,[1]Retail!$Y$37,[1]Retail!$AB$37,[1]Retail!$AU$37,[1]Retail!$AX$37,[1]Retail!$BA$37,[1]Retail!$BD$37)/1000/J95</f>
        <v>#DIV/0!</v>
      </c>
      <c r="K98" s="42" t="e">
        <f>-SUM([1]Retail!$O$38,[1]Retail!$R$38:$V$38,[1]Retail!$Y$38,[1]Retail!$AB$38,[1]Retail!$AU$38,[1]Retail!$AX$38,[1]Retail!$BA$38,[1]Retail!$BD$38)/1000/K95</f>
        <v>#DIV/0!</v>
      </c>
      <c r="L98" s="42" t="e">
        <f>-SUM([1]Retail!$O$39,[1]Retail!$R$39:$V$39,[1]Retail!$Y$39,[1]Retail!$AB$39,[1]Retail!$AU$39,[1]Retail!$AX$39,[1]Retail!$BA$39,[1]Retail!$BD$39)/1000/L95</f>
        <v>#DIV/0!</v>
      </c>
      <c r="M98" s="6"/>
      <c r="N98" s="20" t="e">
        <f>-SUM([1]SME!$O$37,[1]SME!$R$37:$V$37,[1]SME!$Y$37,[1]SME!$AB$37,[1]SME!$AU$37,[1]SME!$AX$37,[1]SME!$BA$37,[1]SME!$BD$37)/1000/N95</f>
        <v>#DIV/0!</v>
      </c>
      <c r="O98" s="20" t="e">
        <f>-SUM([1]SME!$O$38,[1]SME!$R$38:$V$38,[1]SME!$Y$38,[1]SME!$AB$38,[1]SME!$AU$38,[1]SME!$AX$38,[1]SME!$BA$38,[1]SME!$BD$38)/1000/O95</f>
        <v>#DIV/0!</v>
      </c>
      <c r="P98" s="20" t="e">
        <f>-SUM([1]SME!$O$39,[1]SME!$R$39:$V$39,[1]SME!$Y$39,[1]SME!$AB$39,[1]SME!$AU$39,[1]SME!$AX$39,[1]SME!$BA$39,[1]SME!$BD$39)/1000/P95</f>
        <v>#DIV/0!</v>
      </c>
      <c r="Q98" s="6"/>
      <c r="R98" s="20">
        <f>-SUM([1]MidCorp!$O$37,[1]MidCorp!$R$37:$V$37,[1]MidCorp!$Y$37,[1]MidCorp!$AB$37,[1]MidCorp!$AU$37,[1]MidCorp!$AX$37,[1]MidCorp!$BA$37,[1]MidCorp!$BD$37)/1000/R95</f>
        <v>0.35829686632459506</v>
      </c>
      <c r="S98" s="20">
        <f>-SUM([1]MidCorp!$O$38,[1]MidCorp!$R$38:$V$38,[1]MidCorp!$Y$38,[1]MidCorp!$AB$38,[1]MidCorp!$AU$38,[1]MidCorp!$AX$38,[1]MidCorp!$BA$38,[1]MidCorp!$BD$38)/1000/S95</f>
        <v>0.6070405302517573</v>
      </c>
      <c r="T98" s="20">
        <f>-SUM([1]MidCorp!$O$39,[1]MidCorp!$R$39:$V$39,[1]MidCorp!$Y$39,[1]MidCorp!$AB$39,[1]MidCorp!$AU$39,[1]MidCorp!$AX$39,[1]MidCorp!$BA$39,[1]MidCorp!$BD$39)/1000/T95</f>
        <v>0.39808796439832789</v>
      </c>
      <c r="U98" s="6"/>
      <c r="V98" s="20">
        <f>-SUM([1]MGA!$O$37,[1]MGA!$R$37:$V$37,[1]MGA!$Y$37,[1]MGA!$AB$37,[1]MGA!$AU$37,[1]MGA!$AX$37,[1]MGA!$BA$37,[1]MGA!$BD$37)/1000/V95</f>
        <v>6.7343241768972296E-5</v>
      </c>
      <c r="W98" s="20">
        <f>-SUM([1]MGA!$O$38,[1]MGA!$R$38:$V$38,[1]MGA!$Y$38,[1]MGA!$AB$38,[1]MGA!$AU$38,[1]MGA!$AX$38,[1]MGA!$BA$38,[1]MGA!$BD$38)/1000/W95</f>
        <v>2.2141059364532666E-3</v>
      </c>
      <c r="X98" s="20" t="e">
        <f>-SUM([1]MGA!$O$39,[1]MGA!$R$39:$V$39,[1]MGA!$Y$39,[1]MGA!$AB$39,[1]MGA!$AU$39,[1]MGA!$AX$39,[1]MGA!$BA$39,[1]MGA!$BD$39)/1000/X95</f>
        <v>#DIV/0!</v>
      </c>
      <c r="Y98" s="6"/>
      <c r="Z98" s="20" t="e">
        <f>-SUM([1]Bancassurance!$O$37,[1]Bancassurance!$R$37:$V$37,[1]Bancassurance!$Y$37,[1]Bancassurance!$AB$37,[1]Bancassurance!$AU$37,[1]Bancassurance!$AX$37,[1]Bancassurance!$BA$37,[1]Bancassurance!$BD$37)/1000/Z95</f>
        <v>#DIV/0!</v>
      </c>
      <c r="AA98" s="20" t="e">
        <f>-SUM([1]Bancassurance!$O$38,[1]Bancassurance!$R$38:$V$38,[1]Bancassurance!$Y$38,[1]Bancassurance!$AB$38,[1]Bancassurance!$AU$38,[1]Bancassurance!$AX$38,[1]Bancassurance!$BA$38,[1]Bancassurance!$BD$38)/1000/AA95</f>
        <v>#DIV/0!</v>
      </c>
      <c r="AB98" s="20" t="e">
        <f>-SUM([1]Bancassurance!$O$39,[1]Bancassurance!$R$39:$V$39,[1]Bancassurance!$Y$39,[1]Bancassurance!$AB$39,[1]Bancassurance!$AU$39,[1]Bancassurance!$AX$39,[1]Bancassurance!$BA$39,[1]Bancassurance!$BD$39)/1000/AB95</f>
        <v>#DIV/0!</v>
      </c>
      <c r="AC98" s="6"/>
      <c r="AD98" s="20">
        <f>-SUM([1]Specials!$O$37,[1]Specials!$R$37:$V$37,[1]Specials!$Y$37,[1]Specials!$AB$37,[1]Specials!$AU$37,[1]Specials!$AX$37,[1]Specials!$BA$37,[1]Specials!$BD$37)/1000/AD95</f>
        <v>5.5460678299538657E-2</v>
      </c>
      <c r="AE98" s="20">
        <f>-SUM([1]Specials!$O$38,[1]Specials!$R$38:$V$38,[1]Specials!$Y$38,[1]Specials!$AB$38,[1]Specials!$AU$38,[1]Specials!$AX$38,[1]Specials!$BA$38,[1]Specials!$BD$38)/1000/AE95</f>
        <v>4.2236571084727716E-4</v>
      </c>
      <c r="AF98" s="20" t="e">
        <f>-SUM([1]Specials!$O$39,[1]Specials!$R$39:$V$39,[1]Specials!$Y$39,[1]Specials!$AB$39,[1]Specials!$AU$39,[1]Specials!$AX$39,[1]Specials!$BA$39,[1]Specials!$BD$39)/1000/AF95</f>
        <v>#DIV/0!</v>
      </c>
      <c r="AG98" s="6"/>
      <c r="AH98" s="28">
        <f>-SUM('[1]Total P&amp;C'!$O$37,'[1]Total P&amp;C'!$R$37:$V$37,'[1]Total P&amp;C'!$Y$37,'[1]Total P&amp;C'!$AB$37,'[1]Total P&amp;C'!$AU$37,'[1]Total P&amp;C'!$AX$37,'[1]Total P&amp;C'!$BA$37,'[1]Total P&amp;C'!$BD$37)/1000/AH95</f>
        <v>0.35418363726111884</v>
      </c>
      <c r="AI98" s="28">
        <f>-SUM('[1]Total P&amp;C'!$O$38,'[1]Total P&amp;C'!$R$38:$V$38,'[1]Total P&amp;C'!$Y$38,'[1]Total P&amp;C'!$AB$38,'[1]Total P&amp;C'!$AU$38,'[1]Total P&amp;C'!$AX$38,'[1]Total P&amp;C'!$BA$38,'[1]Total P&amp;C'!$BD$38)/1000/AI95</f>
        <v>0.6049948062330186</v>
      </c>
      <c r="AJ98" s="28">
        <f>-SUM('[1]Total P&amp;C'!$O$39,'[1]Total P&amp;C'!$R$39:$V$39,'[1]Total P&amp;C'!$Y$39,'[1]Total P&amp;C'!$AB$39,'[1]Total P&amp;C'!$AU$39,'[1]Total P&amp;C'!$AX$39,'[1]Total P&amp;C'!$BA$39,'[1]Total P&amp;C'!$BD$39)/1000/AJ95</f>
        <v>0.39808796439832789</v>
      </c>
      <c r="AL98" s="202"/>
      <c r="AM98" s="9"/>
      <c r="AN98" s="38" t="s">
        <v>23</v>
      </c>
      <c r="AT98" s="20" t="e">
        <f>-SUM([2]Retail!$O$37,[2]Retail!$R$37:$V$37,[2]Retail!$Y$37,[2]Retail!$AB$37,[2]Retail!$AU$37,[2]Retail!$AX$37,[2]Retail!$BA$37,[2]Retail!$BD$37)/1000/AT95</f>
        <v>#DIV/0!</v>
      </c>
      <c r="AU98" s="42" t="e">
        <f>-SUM([2]Retail!$O$38,[2]Retail!$R$38:$V$38,[2]Retail!$Y$38,[2]Retail!$AB$38,[2]Retail!$AU$38,[2]Retail!$AX$38,[2]Retail!$BA$38,[2]Retail!$BD$38)/1000/AU95</f>
        <v>#DIV/0!</v>
      </c>
      <c r="AV98" s="42" t="e">
        <f>-SUM([2]Retail!$O$39,[2]Retail!$R$39:$V$39,[2]Retail!$Y$39,[2]Retail!$AB$39,[2]Retail!$AU$39,[2]Retail!$AX$39,[2]Retail!$BA$39,[2]Retail!$BD$39)/1000/AV95</f>
        <v>#DIV/0!</v>
      </c>
      <c r="AW98" s="6"/>
      <c r="AX98" s="20" t="e">
        <f>-SUM([2]SME!$O$37,[2]SME!$R$37:$V$37,[2]SME!$Y$37,[2]SME!$AB$37,[2]SME!$AU$37,[2]SME!$AX$37,[2]SME!$BA$37,[2]SME!$BD$37)/1000/AX95</f>
        <v>#DIV/0!</v>
      </c>
      <c r="AY98" s="20" t="e">
        <f>-SUM([2]SME!$O$38,[2]SME!$R$38:$V$38,[2]SME!$Y$38,[2]SME!$AB$38,[2]SME!$AU$38,[2]SME!$AX$38,[2]SME!$BA$38,[2]SME!$BD$38)/1000/AY95</f>
        <v>#DIV/0!</v>
      </c>
      <c r="AZ98" s="20" t="e">
        <f>-SUM([2]SME!$O$39,[2]SME!$R$39:$V$39,[2]SME!$Y$39,[2]SME!$AB$39,[2]SME!$AU$39,[2]SME!$AX$39,[2]SME!$BA$39,[2]SME!$BD$39)/1000/AZ95</f>
        <v>#DIV/0!</v>
      </c>
      <c r="BA98" s="6"/>
      <c r="BB98" s="20">
        <f>-SUM([2]MidCorp!$O$37,[2]MidCorp!$R$37:$V$37,[2]MidCorp!$Y$37,[2]MidCorp!$AB$37,[2]MidCorp!$AU$37,[2]MidCorp!$AX$37,[2]MidCorp!$BA$37,[2]MidCorp!$BD$37)/1000/BB95</f>
        <v>0.38480930291837101</v>
      </c>
      <c r="BC98" s="20">
        <f>-SUM([2]MidCorp!$O$38,[2]MidCorp!$R$38:$V$38,[2]MidCorp!$Y$38,[2]MidCorp!$AB$38,[2]MidCorp!$AU$38,[2]MidCorp!$AX$38,[2]MidCorp!$BA$38,[2]MidCorp!$BD$38)/1000/BC95</f>
        <v>0.46156785363693847</v>
      </c>
      <c r="BD98" s="20">
        <f>-SUM([2]MidCorp!$O$39,[2]MidCorp!$R$39:$V$39,[2]MidCorp!$Y$39,[2]MidCorp!$AB$39,[2]MidCorp!$AU$39,[2]MidCorp!$AX$39,[2]MidCorp!$BA$39,[2]MidCorp!$BD$39)/1000/BD95</f>
        <v>0.3748094513544995</v>
      </c>
      <c r="BJ98" s="20" t="e">
        <f>-SUM([2]Specials!$O$37,[2]Specials!$R$37:$V$37,[2]Specials!$Y$37,[2]Specials!$AB$37,[2]Specials!$AU$37,[2]Specials!$AX$37,[2]Specials!$BA$37,[2]Specials!$BD$37)/1000/BJ95</f>
        <v>#DIV/0!</v>
      </c>
      <c r="BK98" s="20" t="e">
        <f>-SUM([2]Specials!$O$38,[2]Specials!$R$38:$V$38,[2]Specials!$Y$38,[2]Specials!$AB$38,[2]Specials!$AU$38,[2]Specials!$AX$38,[2]Specials!$BA$38,[2]Specials!$BD$38)/1000/BK95</f>
        <v>#DIV/0!</v>
      </c>
      <c r="BL98" s="20" t="e">
        <f>-SUM([2]Specials!$O$39,[2]Specials!$R$39:$V$39,[2]Specials!$Y$39,[2]Specials!$AB$39,[2]Specials!$AU$39,[2]Specials!$AX$39,[2]Specials!$BA$39,[2]Specials!$BD$39)/1000/BL95</f>
        <v>#DIV/0!</v>
      </c>
      <c r="BM98" s="6"/>
      <c r="BN98" s="28">
        <f>-SUM('[2]Total P&amp;C'!$O$37,'[2]Total P&amp;C'!$R$37:$V$37,'[2]Total P&amp;C'!$Y$37,'[2]Total P&amp;C'!$AB$37,'[2]Total P&amp;C'!$AU$37,'[2]Total P&amp;C'!$AX$37,'[2]Total P&amp;C'!$BA$37,'[2]Total P&amp;C'!$BD$37)/1000/BN95</f>
        <v>0.38480931594014822</v>
      </c>
      <c r="BO98" s="28">
        <f>-SUM('[2]Total P&amp;C'!$O$38,'[2]Total P&amp;C'!$R$38:$V$38,'[2]Total P&amp;C'!$Y$38,'[2]Total P&amp;C'!$AB$38,'[2]Total P&amp;C'!$AU$38,'[2]Total P&amp;C'!$AX$38,'[2]Total P&amp;C'!$BA$38,'[2]Total P&amp;C'!$BD$38)/1000/BO95</f>
        <v>0.46156785363693847</v>
      </c>
      <c r="BP98" s="28">
        <f>-SUM('[2]Total P&amp;C'!$O$39,'[2]Total P&amp;C'!$R$39:$V$39,'[2]Total P&amp;C'!$Y$39,'[2]Total P&amp;C'!$AB$39,'[2]Total P&amp;C'!$AU$39,'[2]Total P&amp;C'!$AX$39,'[2]Total P&amp;C'!$BA$39,'[2]Total P&amp;C'!$BD$39)/1000/BP95</f>
        <v>0.3748094513544995</v>
      </c>
      <c r="BR98" s="28">
        <f>-SUM('[3]Total P&amp;C'!$O$37,'[3]Total P&amp;C'!$R$37:$V$37,'[3]Total P&amp;C'!$Y$37,'[3]Total P&amp;C'!$AB$37,'[3]Total P&amp;C'!$AU$37,'[3]Total P&amp;C'!$AX$37,'[3]Total P&amp;C'!$BA$37,'[3]Total P&amp;C'!$BD$37)/1000/BR95</f>
        <v>0.36824349062875095</v>
      </c>
      <c r="BS98" s="28">
        <f>-SUM('[3]Total P&amp;C'!$O$38,'[3]Total P&amp;C'!$R$38:$V$38,'[3]Total P&amp;C'!$Y$38,'[3]Total P&amp;C'!$AB$38,'[3]Total P&amp;C'!$AU$38,'[3]Total P&amp;C'!$AX$38,'[3]Total P&amp;C'!$BA$38,'[3]Total P&amp;C'!$BD$38)/1000/BS95</f>
        <v>0.53593128487349229</v>
      </c>
      <c r="BT98" s="28">
        <f>-SUM('[3]Total P&amp;C'!$O$39,'[3]Total P&amp;C'!$R$39:$V$39,'[3]Total P&amp;C'!$Y$39,'[3]Total P&amp;C'!$AB$39,'[3]Total P&amp;C'!$AU$39,'[3]Total P&amp;C'!$AX$39,'[3]Total P&amp;C'!$BA$39,'[3]Total P&amp;C'!$BD$39)/1000/BT95</f>
        <v>0.38680105116560648</v>
      </c>
    </row>
    <row r="99" spans="2:72" ht="16.5" hidden="1" customHeight="1" outlineLevel="1" x14ac:dyDescent="0.25">
      <c r="B99" s="202"/>
      <c r="C99" s="9"/>
      <c r="D99" s="38" t="s">
        <v>24</v>
      </c>
      <c r="J99" s="20" t="e">
        <f>-([1]Retail!$P$37+[1]Retail!$W$37+[1]Retail!$AV$37+[1]Retail!$AY$37)/1000/J95</f>
        <v>#DIV/0!</v>
      </c>
      <c r="K99" s="42" t="e">
        <f>-([1]Retail!$P$38+[1]Retail!$W$38+[1]Retail!$AV$38+[1]Retail!$AY$38)/1000/K95</f>
        <v>#DIV/0!</v>
      </c>
      <c r="L99" s="42" t="e">
        <f>-([1]Retail!$P$39+[1]Retail!$W$39+[1]Retail!$AV$39+[1]Retail!$AY$39)/1000/L95</f>
        <v>#DIV/0!</v>
      </c>
      <c r="M99" s="7"/>
      <c r="N99" s="20" t="e">
        <f>-([1]SME!$P$37+[1]SME!$W$37+[1]SME!$AV$37+[1]SME!$AY$37)/1000/N95</f>
        <v>#DIV/0!</v>
      </c>
      <c r="O99" s="20" t="e">
        <f>-([1]SME!$P$38+[1]SME!$W$38+[1]SME!$AV$38+[1]SME!$AY$38)/1000/O95</f>
        <v>#DIV/0!</v>
      </c>
      <c r="P99" s="20" t="e">
        <f>-([1]SME!$P$39+[1]SME!$W$39+[1]SME!$AV$39+[1]SME!$AY$39)/1000/P95</f>
        <v>#DIV/0!</v>
      </c>
      <c r="Q99" s="7"/>
      <c r="R99" s="20">
        <f>-([1]MidCorp!$P$37+[1]MidCorp!$W$37+[1]MidCorp!$AV$37+[1]MidCorp!$AY$37)/1000/R95</f>
        <v>1.1878319615175514E-3</v>
      </c>
      <c r="S99" s="20">
        <f>-([1]MidCorp!$P$38+[1]MidCorp!$W$38+[1]MidCorp!$AV$38+[1]MidCorp!$AY$38)/1000/S95</f>
        <v>0</v>
      </c>
      <c r="T99" s="20">
        <f>-([1]MidCorp!$P$39+[1]MidCorp!$W$39+[1]MidCorp!$AV$39+[1]MidCorp!$AY$39)/1000/T95</f>
        <v>1.3837331095974818E-2</v>
      </c>
      <c r="U99" s="7"/>
      <c r="V99" s="20">
        <f>-([1]MGA!$P$37+[1]MGA!$W$37+[1]MGA!$AV$37+[1]MGA!$AY$37)/1000/V95</f>
        <v>0</v>
      </c>
      <c r="W99" s="20">
        <f>-([1]MGA!$P$38+[1]MGA!$W$38+[1]MGA!$AV$38+[1]MGA!$AY$38)/1000/W95</f>
        <v>0</v>
      </c>
      <c r="X99" s="20" t="e">
        <f>-([1]MGA!$P$39+[1]MGA!$W$39+[1]MGA!$AV$39+[1]MGA!$AY$39)/1000/X95</f>
        <v>#DIV/0!</v>
      </c>
      <c r="Y99" s="7"/>
      <c r="Z99" s="20" t="e">
        <f>-([1]Bancassurance!$P$37+[1]Bancassurance!$W$37+[1]Bancassurance!$AV$37+[1]Bancassurance!$AY$37)/1000/Z95</f>
        <v>#DIV/0!</v>
      </c>
      <c r="AA99" s="20" t="e">
        <f>-([1]Bancassurance!$P$38+[1]Bancassurance!$W$38+[1]Bancassurance!$AV$38+[1]Bancassurance!$AY$38)/1000/AA95</f>
        <v>#DIV/0!</v>
      </c>
      <c r="AB99" s="20" t="e">
        <f>-([1]Bancassurance!$P$39+[1]Bancassurance!$W$39+[1]Bancassurance!$AV$39+[1]Bancassurance!$AY$39)/1000/AB95</f>
        <v>#DIV/0!</v>
      </c>
      <c r="AC99" s="7"/>
      <c r="AD99" s="20">
        <f>-([1]Specials!$P$37+[1]Specials!$W$37+[1]Specials!$AV$37+[1]Specials!$AY$37)/1000/AD95</f>
        <v>0</v>
      </c>
      <c r="AE99" s="20">
        <f>-([1]Specials!$P$38+[1]Specials!$W$38+[1]Specials!$AV$38+[1]Specials!$AY$38)/1000/AE95</f>
        <v>0</v>
      </c>
      <c r="AF99" s="20" t="e">
        <f>-([1]Specials!$P$39+[1]Specials!$W$39+[1]Specials!$AV$39+[1]Specials!$AY$39)/1000/AF95</f>
        <v>#DIV/0!</v>
      </c>
      <c r="AG99" s="7"/>
      <c r="AH99" s="28">
        <f>-('[1]Total P&amp;C'!$P$37+'[1]Total P&amp;C'!$W$37+'[1]Total P&amp;C'!$AV$37+'[1]Total P&amp;C'!$AY$37)/1000/AH95</f>
        <v>1.1841349467215138E-3</v>
      </c>
      <c r="AI99" s="28">
        <f>-('[1]Total P&amp;C'!$P$38+'[1]Total P&amp;C'!$W$38+'[1]Total P&amp;C'!$AV$38+'[1]Total P&amp;C'!$AY$38)/1000/AI95</f>
        <v>0</v>
      </c>
      <c r="AJ99" s="28">
        <f>-('[1]Total P&amp;C'!$P$39+'[1]Total P&amp;C'!$W$39+'[1]Total P&amp;C'!$AV$39+'[1]Total P&amp;C'!$AY$39)/1000/AJ95</f>
        <v>1.3837331095974818E-2</v>
      </c>
      <c r="AL99" s="202"/>
      <c r="AM99" s="9"/>
      <c r="AN99" s="38" t="s">
        <v>24</v>
      </c>
      <c r="AT99" s="20" t="e">
        <f>-([2]Retail!$P$37+[2]Retail!$W$37+[2]Retail!$AV$37+[2]Retail!$AY$37)/1000/AT95</f>
        <v>#DIV/0!</v>
      </c>
      <c r="AU99" s="42" t="e">
        <f>-([2]Retail!$P$38+[2]Retail!$W$38+[2]Retail!$AV$38+[2]Retail!$AY$38)/1000/AU95</f>
        <v>#DIV/0!</v>
      </c>
      <c r="AV99" s="42" t="e">
        <f>-([2]Retail!$P$39+[2]Retail!$W$39+[2]Retail!$AV$39+[2]Retail!$AY$39)/1000/AV95</f>
        <v>#DIV/0!</v>
      </c>
      <c r="AW99" s="7"/>
      <c r="AX99" s="20" t="e">
        <f>-([2]SME!$P$37+[2]SME!$W$37+[2]SME!$AV$37+[2]SME!$AY$37)/1000/AX95</f>
        <v>#DIV/0!</v>
      </c>
      <c r="AY99" s="20" t="e">
        <f>-([2]SME!$P$38+[2]SME!$W$38+[2]SME!$AV$38+[2]SME!$AY$38)/1000/AY95</f>
        <v>#DIV/0!</v>
      </c>
      <c r="AZ99" s="20" t="e">
        <f>-([2]SME!$P$39+[2]SME!$W$39+[2]SME!$AV$39+[2]SME!$AY$39)/1000/AZ95</f>
        <v>#DIV/0!</v>
      </c>
      <c r="BA99" s="7"/>
      <c r="BB99" s="20">
        <f>-([2]MidCorp!$P$37+[2]MidCorp!$W$37+[2]MidCorp!$AV$37+[2]MidCorp!$AY$37)/1000/BB95</f>
        <v>4.6506347208590101E-4</v>
      </c>
      <c r="BC99" s="20">
        <f>-([2]MidCorp!$P$38+[2]MidCorp!$W$38+[2]MidCorp!$AV$38+[2]MidCorp!$AY$38)/1000/BC95</f>
        <v>0</v>
      </c>
      <c r="BD99" s="20">
        <f>-([2]MidCorp!$P$39+[2]MidCorp!$W$39+[2]MidCorp!$AV$39+[2]MidCorp!$AY$39)/1000/BD95</f>
        <v>1.3721890921104684E-2</v>
      </c>
      <c r="BJ99" s="20" t="e">
        <f>-([2]Specials!$P$37+[2]Specials!$W$37+[2]Specials!$AV$37+[2]Specials!$AY$37)/1000/BJ95</f>
        <v>#DIV/0!</v>
      </c>
      <c r="BK99" s="20" t="e">
        <f>-([2]Specials!$P$38+[2]Specials!$W$38+[2]Specials!$AV$38+[2]Specials!$AY$38)/1000/BK95</f>
        <v>#DIV/0!</v>
      </c>
      <c r="BL99" s="20" t="e">
        <f>-([2]Specials!$P$39+[2]Specials!$W$39+[2]Specials!$AV$39+[2]Specials!$AY$39)/1000/BL95</f>
        <v>#DIV/0!</v>
      </c>
      <c r="BM99" s="7"/>
      <c r="BN99" s="28">
        <f>-('[2]Total P&amp;C'!$P$37+'[2]Total P&amp;C'!$W$37+'[2]Total P&amp;C'!$AV$37+'[2]Total P&amp;C'!$AY$37)/1000/BN95</f>
        <v>4.6506347208590101E-4</v>
      </c>
      <c r="BO99" s="28">
        <f>-('[2]Total P&amp;C'!$P$38+'[2]Total P&amp;C'!$W$38+'[2]Total P&amp;C'!$AV$38+'[2]Total P&amp;C'!$AY$38)/1000/BO95</f>
        <v>0</v>
      </c>
      <c r="BP99" s="28">
        <f>-('[2]Total P&amp;C'!$P$39+'[2]Total P&amp;C'!$W$39+'[2]Total P&amp;C'!$AV$39+'[2]Total P&amp;C'!$AY$39)/1000/BP95</f>
        <v>1.3721890921104684E-2</v>
      </c>
      <c r="BR99" s="28">
        <f>-('[3]Total P&amp;C'!$P$37+'[3]Total P&amp;C'!$W$37+'[3]Total P&amp;C'!$AV$37+'[3]Total P&amp;C'!$AY$37)/1000/BR95</f>
        <v>8.5401852382746156E-4</v>
      </c>
      <c r="BS99" s="28">
        <f>-('[3]Total P&amp;C'!$P$38+'[3]Total P&amp;C'!$W$38+'[3]Total P&amp;C'!$AV$38+'[3]Total P&amp;C'!$AY$38)/1000/BS95</f>
        <v>0</v>
      </c>
      <c r="BT99" s="28">
        <f>-('[3]Total P&amp;C'!$P$39+'[3]Total P&amp;C'!$W$39+'[3]Total P&amp;C'!$AV$39+'[3]Total P&amp;C'!$AY$39)/1000/BT95</f>
        <v>1.3781358309617023E-2</v>
      </c>
    </row>
    <row r="100" spans="2:72" ht="16.5" hidden="1" customHeight="1" outlineLevel="1" x14ac:dyDescent="0.25">
      <c r="B100" s="202"/>
      <c r="C100" s="9"/>
      <c r="D100" s="38" t="s">
        <v>25</v>
      </c>
      <c r="J100" s="20" t="e">
        <f>-([1]Retail!$Q$37+[1]Retail!$X$37+[1]Retail!$AW$37+[1]Retail!$AZ$37)/1000/J95</f>
        <v>#DIV/0!</v>
      </c>
      <c r="K100" s="42" t="e">
        <f>-([1]Retail!$Q$38+[1]Retail!$X$38+[1]Retail!$AW$38+[1]Retail!$AZ$38)/1000/K95</f>
        <v>#DIV/0!</v>
      </c>
      <c r="L100" s="42" t="e">
        <f>-([1]Retail!$Q$39+[1]Retail!$X$39+[1]Retail!$AW$39+[1]Retail!$AZ$39)/1000/L95</f>
        <v>#DIV/0!</v>
      </c>
      <c r="M100" s="7"/>
      <c r="N100" s="20" t="e">
        <f>-([1]SME!$Q$37+[1]SME!$X$37+[1]SME!$AW$37+[1]SME!$AZ$37)/1000/N95</f>
        <v>#DIV/0!</v>
      </c>
      <c r="O100" s="20" t="e">
        <f>-([1]SME!$Q$38+[1]SME!$X$38+[1]SME!$AW$38+[1]SME!$AZ$38)/1000/O95</f>
        <v>#DIV/0!</v>
      </c>
      <c r="P100" s="20" t="e">
        <f>-([1]SME!$Q$39+[1]SME!$X$39+[1]SME!$AW$39+[1]SME!$AZ$39)/1000/P95</f>
        <v>#DIV/0!</v>
      </c>
      <c r="Q100" s="7"/>
      <c r="R100" s="20">
        <f>-([1]MidCorp!$Q$37+[1]MidCorp!$X$37+[1]MidCorp!$AW$37+[1]MidCorp!$AZ$37)/1000/R95</f>
        <v>0.1662964746124572</v>
      </c>
      <c r="S100" s="20">
        <f>-([1]MidCorp!$Q$38+[1]MidCorp!$X$38+[1]MidCorp!$AW$38+[1]MidCorp!$AZ$38)/1000/S95</f>
        <v>0</v>
      </c>
      <c r="T100" s="20">
        <f>-([1]MidCorp!$Q$39+[1]MidCorp!$X$39+[1]MidCorp!$AW$39+[1]MidCorp!$AZ$39)/1000/T95</f>
        <v>0.15749419281368876</v>
      </c>
      <c r="U100" s="7"/>
      <c r="V100" s="20">
        <f>-([1]MGA!$Q$37+[1]MGA!$X$37+[1]MGA!$AW$37+[1]MGA!$AZ$37)/1000/V95</f>
        <v>0</v>
      </c>
      <c r="W100" s="20">
        <f>-([1]MGA!$Q$38+[1]MGA!$X$38+[1]MGA!$AW$38+[1]MGA!$AZ$38)/1000/W95</f>
        <v>0</v>
      </c>
      <c r="X100" s="20" t="e">
        <f>-([1]MGA!$Q$39+[1]MGA!$X$39+[1]MGA!$AW$39+[1]MGA!$AZ$39)/1000/X95</f>
        <v>#DIV/0!</v>
      </c>
      <c r="Y100" s="7"/>
      <c r="Z100" s="20" t="e">
        <f>-([1]Bancassurance!$Q$37+[1]Bancassurance!$X$37+[1]Bancassurance!$AW$37+[1]Bancassurance!$AZ$37)/1000/Z95</f>
        <v>#DIV/0!</v>
      </c>
      <c r="AA100" s="20" t="e">
        <f>-([1]Bancassurance!$Q$38+[1]Bancassurance!$X$38+[1]Bancassurance!$AW$38+[1]Bancassurance!$AZ$38)/1000/AA95</f>
        <v>#DIV/0!</v>
      </c>
      <c r="AB100" s="20" t="e">
        <f>-([1]Bancassurance!$Q$39+[1]Bancassurance!$X$39+[1]Bancassurance!$AW$39+[1]Bancassurance!$AZ$39)/1000/AB95</f>
        <v>#DIV/0!</v>
      </c>
      <c r="AC100" s="7"/>
      <c r="AD100" s="20">
        <f>-([1]Specials!$Q$37+[1]Specials!$X$37+[1]Specials!$AW$37+[1]Specials!$AZ$37)/1000/AD95</f>
        <v>0</v>
      </c>
      <c r="AE100" s="20">
        <f>-([1]Specials!$Q$38+[1]Specials!$X$38+[1]Specials!$AW$38+[1]Specials!$AZ$38)/1000/AE95</f>
        <v>0</v>
      </c>
      <c r="AF100" s="20" t="e">
        <f>-([1]Specials!$Q$39+[1]Specials!$X$39+[1]Specials!$AW$39+[1]Specials!$AZ$39)/1000/AF95</f>
        <v>#DIV/0!</v>
      </c>
      <c r="AG100" s="7"/>
      <c r="AH100" s="28">
        <f>-('[1]Total P&amp;C'!$Q$37+'[1]Total P&amp;C'!$X$37+'[1]Total P&amp;C'!$AW$37+'[1]Total P&amp;C'!$AZ$37)/1000/AH95</f>
        <v>0.16577889254101194</v>
      </c>
      <c r="AI100" s="28">
        <f>-('[1]Total P&amp;C'!$Q$38+'[1]Total P&amp;C'!$X$38+'[1]Total P&amp;C'!$AW$38+'[1]Total P&amp;C'!$AZ$38)/1000/AI95</f>
        <v>0</v>
      </c>
      <c r="AJ100" s="28">
        <f>-('[1]Total P&amp;C'!$Q$39+'[1]Total P&amp;C'!$X$39+'[1]Total P&amp;C'!$AW$39+'[1]Total P&amp;C'!$AZ$39)/1000/AJ95</f>
        <v>0.15749419281368876</v>
      </c>
      <c r="AL100" s="202"/>
      <c r="AM100" s="9"/>
      <c r="AN100" s="38" t="s">
        <v>25</v>
      </c>
      <c r="AT100" s="20" t="e">
        <f>-([2]Retail!$Q$37+[2]Retail!$X$37+[2]Retail!$AW$37+[2]Retail!$AZ$37)/1000/AT95</f>
        <v>#DIV/0!</v>
      </c>
      <c r="AU100" s="42" t="e">
        <f>-([2]Retail!$Q$38+[2]Retail!$X$38+[2]Retail!$AW$38+[2]Retail!$AZ$38)/1000/AU95</f>
        <v>#DIV/0!</v>
      </c>
      <c r="AV100" s="42" t="e">
        <f>-([2]Retail!$Q$39+[2]Retail!$X$39+[2]Retail!$AW$39+[2]Retail!$AZ$39)/1000/AV95</f>
        <v>#DIV/0!</v>
      </c>
      <c r="AW100" s="7"/>
      <c r="AX100" s="20" t="e">
        <f>-([2]SME!$Q$37+[2]SME!$X$37+[2]SME!$AW$37+[2]SME!$AZ$37)/1000/AX95</f>
        <v>#DIV/0!</v>
      </c>
      <c r="AY100" s="20" t="e">
        <f>-([2]SME!$Q$38+[2]SME!$X$38+[2]SME!$AW$38+[2]SME!$AZ$38)/1000/AY95</f>
        <v>#DIV/0!</v>
      </c>
      <c r="AZ100" s="20" t="e">
        <f>-([2]SME!$Q$39+[2]SME!$X$39+[2]SME!$AW$39+[2]SME!$AZ$39)/1000/AZ95</f>
        <v>#DIV/0!</v>
      </c>
      <c r="BA100" s="7"/>
      <c r="BB100" s="20">
        <f>-([2]MidCorp!$Q$37+[2]MidCorp!$X$37+[2]MidCorp!$AW$37+[2]MidCorp!$AZ$37)/1000/BB95</f>
        <v>5.952812442699533E-2</v>
      </c>
      <c r="BC100" s="20">
        <f>-([2]MidCorp!$Q$38+[2]MidCorp!$X$38+[2]MidCorp!$AW$38+[2]MidCorp!$AZ$38)/1000/BC95</f>
        <v>0</v>
      </c>
      <c r="BD100" s="20">
        <f>-([2]MidCorp!$Q$39+[2]MidCorp!$X$39+[2]MidCorp!$AW$39+[2]MidCorp!$AZ$39)/1000/BD95</f>
        <v>4.9814900950283306E-2</v>
      </c>
      <c r="BJ100" s="20" t="e">
        <f>-([2]Specials!$Q$37+[2]Specials!$X$37+[2]Specials!$AW$37+[2]Specials!$AZ$37)/1000/BJ95</f>
        <v>#DIV/0!</v>
      </c>
      <c r="BK100" s="20" t="e">
        <f>-([2]Specials!$Q$38+[2]Specials!$X$38+[2]Specials!$AW$38+[2]Specials!$AZ$38)/1000/BK95</f>
        <v>#DIV/0!</v>
      </c>
      <c r="BL100" s="20" t="e">
        <f>-([2]Specials!$Q$39+[2]Specials!$X$39+[2]Specials!$AW$39+[2]Specials!$AZ$39)/1000/BL95</f>
        <v>#DIV/0!</v>
      </c>
      <c r="BM100" s="7"/>
      <c r="BN100" s="28">
        <f>-('[2]Total P&amp;C'!$Q$37+'[2]Total P&amp;C'!$X$37+'[2]Total P&amp;C'!$AW$37+'[2]Total P&amp;C'!$AZ$37)/1000/BN95</f>
        <v>5.952812442699533E-2</v>
      </c>
      <c r="BO100" s="28">
        <f>-('[2]Total P&amp;C'!$Q$38+'[2]Total P&amp;C'!$X$38+'[2]Total P&amp;C'!$AW$38+'[2]Total P&amp;C'!$AZ$38)/1000/BO95</f>
        <v>0</v>
      </c>
      <c r="BP100" s="28">
        <f>-('[2]Total P&amp;C'!$Q$39+'[2]Total P&amp;C'!$X$39+'[2]Total P&amp;C'!$AW$39+'[2]Total P&amp;C'!$AZ$39)/1000/BP95</f>
        <v>4.9814900950283306E-2</v>
      </c>
      <c r="BR100" s="28">
        <f>-('[3]Total P&amp;C'!$Q$37+'[3]Total P&amp;C'!$X$37+'[3]Total P&amp;C'!$AW$37+'[3]Total P&amp;C'!$AZ$37)/1000/BR95</f>
        <v>0.11700053776436224</v>
      </c>
      <c r="BS100" s="28">
        <f>-('[3]Total P&amp;C'!$Q$38+'[3]Total P&amp;C'!$X$38+'[3]Total P&amp;C'!$AW$38+'[3]Total P&amp;C'!$AZ$38)/1000/BS95</f>
        <v>0</v>
      </c>
      <c r="BT100" s="28">
        <f>-('[3]Total P&amp;C'!$Q$39+'[3]Total P&amp;C'!$X$39+'[3]Total P&amp;C'!$AW$39+'[3]Total P&amp;C'!$AZ$39)/1000/BT95</f>
        <v>0.10528437932882899</v>
      </c>
    </row>
    <row r="101" spans="2:72" ht="16.5" hidden="1" customHeight="1" outlineLevel="1" x14ac:dyDescent="0.25">
      <c r="B101" s="202"/>
      <c r="C101" s="9"/>
      <c r="D101" s="38" t="s">
        <v>26</v>
      </c>
      <c r="J101" s="20" t="e">
        <f>-[1]Retail!$AT$37/1000/J95</f>
        <v>#DIV/0!</v>
      </c>
      <c r="K101" s="42" t="e">
        <f>-[1]Retail!$AT$38/1000/K95</f>
        <v>#DIV/0!</v>
      </c>
      <c r="L101" s="42" t="e">
        <f>-[1]Retail!$AT$39/1000/L95</f>
        <v>#DIV/0!</v>
      </c>
      <c r="M101" s="7"/>
      <c r="N101" s="20" t="e">
        <f>-[1]SME!$AT$37/1000/N95</f>
        <v>#DIV/0!</v>
      </c>
      <c r="O101" s="20" t="e">
        <f>-[1]SME!$AT$38/1000/O95</f>
        <v>#DIV/0!</v>
      </c>
      <c r="P101" s="20" t="e">
        <f>-[1]SME!$AT$39/1000/P95</f>
        <v>#DIV/0!</v>
      </c>
      <c r="Q101" s="7"/>
      <c r="R101" s="20">
        <f>-[1]MidCorp!$AT$37/1000/R95</f>
        <v>6.5693821098167127E-2</v>
      </c>
      <c r="S101" s="20">
        <f>-[1]MidCorp!$AT$38/1000/S95</f>
        <v>7.1499023896505198E-2</v>
      </c>
      <c r="T101" s="20">
        <f>-[1]MidCorp!$AT$39/1000/T95</f>
        <v>7.3978352344023321E-2</v>
      </c>
      <c r="U101" s="7"/>
      <c r="V101" s="20">
        <f>-[1]MGA!$AT$37/1000/V95</f>
        <v>0</v>
      </c>
      <c r="W101" s="20">
        <f>-[1]MGA!$AT$38/1000/W95</f>
        <v>0</v>
      </c>
      <c r="X101" s="20" t="e">
        <f>-[1]MGA!$AT$39/1000/X95</f>
        <v>#DIV/0!</v>
      </c>
      <c r="Y101" s="7"/>
      <c r="Z101" s="20" t="e">
        <f>-[1]Bancassurance!$AT$37/1000/Z95</f>
        <v>#DIV/0!</v>
      </c>
      <c r="AA101" s="20" t="e">
        <f>-[1]Bancassurance!$AT$38/1000/AA95</f>
        <v>#DIV/0!</v>
      </c>
      <c r="AB101" s="20" t="e">
        <f>-[1]Bancassurance!$AT$39/1000/AB95</f>
        <v>#DIV/0!</v>
      </c>
      <c r="AC101" s="7"/>
      <c r="AD101" s="20">
        <f>-[1]Specials!$AT$37/1000/AD95</f>
        <v>0.72763126205890527</v>
      </c>
      <c r="AE101" s="20">
        <f>-[1]Specials!$AT$38/1000/AE95</f>
        <v>0.76739857437107983</v>
      </c>
      <c r="AF101" s="20" t="e">
        <f>-[1]Specials!$AT$39/1000/AF95</f>
        <v>#DIV/0!</v>
      </c>
      <c r="AG101" s="7"/>
      <c r="AH101" s="28">
        <f>-'[1]Total P&amp;C'!$AT$37/1000/AH95</f>
        <v>6.7583447414604564E-2</v>
      </c>
      <c r="AI101" s="28">
        <f>-'[1]Total P&amp;C'!$AT$38/1000/AI95</f>
        <v>7.3564509891656457E-2</v>
      </c>
      <c r="AJ101" s="28">
        <f>-'[1]Total P&amp;C'!$AT$39/1000/AJ95</f>
        <v>7.3978352344023321E-2</v>
      </c>
      <c r="AL101" s="202"/>
      <c r="AM101" s="9"/>
      <c r="AN101" s="38" t="s">
        <v>26</v>
      </c>
      <c r="AT101" s="20" t="e">
        <f>-[2]Retail!$AT$37/1000/AT95</f>
        <v>#DIV/0!</v>
      </c>
      <c r="AU101" s="42" t="e">
        <f>-[2]Retail!$AT$38/1000/AU95</f>
        <v>#DIV/0!</v>
      </c>
      <c r="AV101" s="42" t="e">
        <f>-[2]Retail!$AT$39/1000/AV95</f>
        <v>#DIV/0!</v>
      </c>
      <c r="AW101" s="7"/>
      <c r="AX101" s="20" t="e">
        <f>-[2]SME!$AT$37/1000/AX95</f>
        <v>#DIV/0!</v>
      </c>
      <c r="AY101" s="20" t="e">
        <f>-[2]SME!$AT$38/1000/AY95</f>
        <v>#DIV/0!</v>
      </c>
      <c r="AZ101" s="20" t="e">
        <f>-[2]SME!$AT$39/1000/AZ95</f>
        <v>#DIV/0!</v>
      </c>
      <c r="BA101" s="7"/>
      <c r="BB101" s="20">
        <f>-[2]MidCorp!$AT$37/1000/BB95</f>
        <v>0.1378787311354078</v>
      </c>
      <c r="BC101" s="20">
        <f>-[2]MidCorp!$AT$38/1000/BC95</f>
        <v>0.18127083199298544</v>
      </c>
      <c r="BD101" s="20">
        <f>-[2]MidCorp!$AT$39/1000/BD95</f>
        <v>0.10836001842909905</v>
      </c>
      <c r="BJ101" s="20" t="e">
        <f>-[2]Specials!$AT$37/1000/BJ95</f>
        <v>#DIV/0!</v>
      </c>
      <c r="BK101" s="20" t="e">
        <f>-[2]Specials!$AT$38/1000/BK95</f>
        <v>#DIV/0!</v>
      </c>
      <c r="BL101" s="20" t="e">
        <f>-[2]Specials!$AT$39/1000/BL95</f>
        <v>#DIV/0!</v>
      </c>
      <c r="BM101" s="7"/>
      <c r="BN101" s="28">
        <f>-'[2]Total P&amp;C'!$AT$37/1000/BN95</f>
        <v>0.13820187025759031</v>
      </c>
      <c r="BO101" s="28">
        <f>-'[2]Total P&amp;C'!$AT$38/1000/BO95</f>
        <v>0.15706235037490535</v>
      </c>
      <c r="BP101" s="28">
        <f>-'[2]Total P&amp;C'!$AT$39/1000/BP95</f>
        <v>0.10836001842909905</v>
      </c>
      <c r="BR101" s="28">
        <f>-'[3]Total P&amp;C'!$AT$37/1000/BR95</f>
        <v>0.10000345288229398</v>
      </c>
      <c r="BS101" s="28">
        <f>-'[3]Total P&amp;C'!$AT$38/1000/BS95</f>
        <v>0.11377072486945976</v>
      </c>
      <c r="BT101" s="28">
        <f>-'[3]Total P&amp;C'!$AT$39/1000/BT95</f>
        <v>9.0648784908509583E-2</v>
      </c>
    </row>
    <row r="102" spans="2:72" ht="16.5" hidden="1" customHeight="1" outlineLevel="1" x14ac:dyDescent="0.25">
      <c r="B102" s="202"/>
      <c r="C102" s="9"/>
      <c r="D102" s="37" t="s">
        <v>27</v>
      </c>
      <c r="J102" s="20" t="e">
        <f>-([1]Retail!$Z$37+[1]Retail!$AA$37+[1]Retail!$BB$37+[1]Retail!$BC$37)/1000/J95</f>
        <v>#DIV/0!</v>
      </c>
      <c r="K102" s="20" t="e">
        <f>-([1]Retail!$Z$38+[1]Retail!$AA$38+[1]Retail!$BB$38+[1]Retail!$BC$38)/1000/K95</f>
        <v>#DIV/0!</v>
      </c>
      <c r="L102" s="20" t="e">
        <f>-([1]Retail!$Z$39+[1]Retail!$AA$39+[1]Retail!$BB$39+[1]Retail!$BC$39)/1000/L95</f>
        <v>#DIV/0!</v>
      </c>
      <c r="M102" s="7"/>
      <c r="N102" s="20" t="e">
        <f>-([1]SME!$Z$37+[1]SME!$AA$37+[1]SME!$BB$37+[1]SME!$BC$37)/1000/N95</f>
        <v>#DIV/0!</v>
      </c>
      <c r="O102" s="20" t="e">
        <f>-([1]SME!$Z$38+[1]SME!$AA$38+[1]SME!$BB$38+[1]SME!$BC$38)/1000/O95</f>
        <v>#DIV/0!</v>
      </c>
      <c r="P102" s="20" t="e">
        <f>-([1]SME!$Z$39+[1]SME!$AA$39+[1]SME!$BB$39+[1]SME!$BC$39)/1000/P95</f>
        <v>#DIV/0!</v>
      </c>
      <c r="Q102" s="7"/>
      <c r="R102" s="20">
        <f>-([1]MidCorp!$Z$37+[1]MidCorp!$AA$37+[1]MidCorp!$BB$37+[1]MidCorp!$BC$37)/1000/R95</f>
        <v>-1.5556742201444863E-2</v>
      </c>
      <c r="S102" s="20">
        <f>-([1]MidCorp!$Z$38+[1]MidCorp!$AA$38+[1]MidCorp!$BB$38+[1]MidCorp!$BC$38)/1000/S95</f>
        <v>-1.9132577789401171E-2</v>
      </c>
      <c r="T102" s="20">
        <f>-([1]MidCorp!$Z$39+[1]MidCorp!$AA$39+[1]MidCorp!$BB$39+[1]MidCorp!$BC$39)/1000/T95</f>
        <v>-9.1184058058134433E-3</v>
      </c>
      <c r="U102" s="7"/>
      <c r="V102" s="20">
        <f>-([1]MGA!$Z$37+[1]MGA!$AA$37+[1]MGA!$BB$37+[1]MGA!$BC$37)/1000/V95</f>
        <v>0</v>
      </c>
      <c r="W102" s="20">
        <f>-([1]MGA!$Z$38+[1]MGA!$AA$38+[1]MGA!$BB$38+[1]MGA!$BC$38)/1000/W95</f>
        <v>-6.1502942679257511E-5</v>
      </c>
      <c r="X102" s="20" t="e">
        <f>-([1]MGA!$Z$39+[1]MGA!$AA$39+[1]MGA!$BB$39+[1]MGA!$BC$39)/1000/X95</f>
        <v>#DIV/0!</v>
      </c>
      <c r="Y102" s="7"/>
      <c r="Z102" s="20" t="e">
        <f>-([1]Bancassurance!$Z$37+[1]Bancassurance!$AA$37+[1]Bancassurance!$BB$37+[1]Bancassurance!$BC$37)/1000/Z95</f>
        <v>#DIV/0!</v>
      </c>
      <c r="AA102" s="20" t="e">
        <f>-([1]Bancassurance!$Z$38+[1]Bancassurance!$AA$38+[1]Bancassurance!$BB$38+[1]Bancassurance!$BC$38)/1000/AA95</f>
        <v>#DIV/0!</v>
      </c>
      <c r="AB102" s="20" t="e">
        <f>-([1]Bancassurance!$Z$39+[1]Bancassurance!$AA$39+[1]Bancassurance!$BB$39+[1]Bancassurance!$BC$39)/1000/AB95</f>
        <v>#DIV/0!</v>
      </c>
      <c r="AC102" s="7"/>
      <c r="AD102" s="20">
        <f>-([1]Specials!$Z$37+[1]Specials!$AA$37+[1]Specials!$BB$37+[1]Specials!$BC$37)/1000/AD95</f>
        <v>-1.7028532117490276E-3</v>
      </c>
      <c r="AE102" s="20">
        <f>-([1]Specials!$Z$38+[1]Specials!$AA$38+[1]Specials!$BB$38+[1]Specials!$BC$38)/1000/AE95</f>
        <v>0</v>
      </c>
      <c r="AF102" s="20" t="e">
        <f>-([1]Specials!$Z$39+[1]Specials!$AA$39+[1]Specials!$BB$39+[1]Specials!$BC$39)/1000/AF95</f>
        <v>#DIV/0!</v>
      </c>
      <c r="AG102" s="7"/>
      <c r="AH102" s="28">
        <f>-('[1]Total P&amp;C'!$Z$37+'[1]Total P&amp;C'!$AA$37+'[1]Total P&amp;C'!$BB$37+'[1]Total P&amp;C'!$BC$37)/1000/AH95</f>
        <v>-1.5513224050424306E-2</v>
      </c>
      <c r="AI102" s="28">
        <f>-('[1]Total P&amp;C'!$Z$38+'[1]Total P&amp;C'!$AA$38+'[1]Total P&amp;C'!$BB$38+'[1]Total P&amp;C'!$BC$38)/1000/AI95</f>
        <v>-1.9068057531844568E-2</v>
      </c>
      <c r="AJ102" s="28">
        <f>-('[1]Total P&amp;C'!$Z$39+'[1]Total P&amp;C'!$AA$39+'[1]Total P&amp;C'!$BB$39+'[1]Total P&amp;C'!$BC$39)/1000/AJ95</f>
        <v>-9.1184058058134433E-3</v>
      </c>
      <c r="AL102" s="202"/>
      <c r="AM102" s="9"/>
      <c r="AN102" s="37" t="s">
        <v>27</v>
      </c>
      <c r="AT102" s="20" t="e">
        <f>-([2]Retail!$Z$37+[2]Retail!$AA$37+[2]Retail!$BB$37+[2]Retail!$BC$37)/1000/AT95</f>
        <v>#DIV/0!</v>
      </c>
      <c r="AU102" s="20" t="e">
        <f>-([2]Retail!$Z$38+[2]Retail!$AA$38+[2]Retail!$BB$38+[2]Retail!$BC$38)/1000/AU95</f>
        <v>#DIV/0!</v>
      </c>
      <c r="AV102" s="20" t="e">
        <f>-([2]Retail!$Z$39+[2]Retail!$AA$39+[2]Retail!$BB$39+[2]Retail!$BC$39)/1000/AV95</f>
        <v>#DIV/0!</v>
      </c>
      <c r="AW102" s="7"/>
      <c r="AX102" s="20" t="e">
        <f>-([2]SME!$Z$37+[2]SME!$AA$37+[2]SME!$BB$37+[2]SME!$BC$37)/1000/AX95</f>
        <v>#DIV/0!</v>
      </c>
      <c r="AY102" s="20" t="e">
        <f>-([2]SME!$Z$38+[2]SME!$AA$38+[2]SME!$BB$38+[2]SME!$BC$38)/1000/AY95</f>
        <v>#DIV/0!</v>
      </c>
      <c r="AZ102" s="20" t="e">
        <f>-([2]SME!$Z$39+[2]SME!$AA$39+[2]SME!$BB$39+[2]SME!$BC$39)/1000/AZ95</f>
        <v>#DIV/0!</v>
      </c>
      <c r="BA102" s="7"/>
      <c r="BB102" s="20">
        <f>-([2]MidCorp!$Z$37+[2]MidCorp!$AA$37+[2]MidCorp!$BB$37+[2]MidCorp!$BC$37)/1000/BB95</f>
        <v>-2.6138537140095397E-2</v>
      </c>
      <c r="BC102" s="20">
        <f>-([2]MidCorp!$Z$38+[2]MidCorp!$AA$38+[2]MidCorp!$BB$38+[2]MidCorp!$BC$38)/1000/BC95</f>
        <v>-2.4568609620172717E-2</v>
      </c>
      <c r="BD102" s="20">
        <f>-([2]MidCorp!$Z$39+[2]MidCorp!$AA$39+[2]MidCorp!$BB$39+[2]MidCorp!$BC$39)/1000/BD95</f>
        <v>-1.6136213431139228E-2</v>
      </c>
      <c r="BJ102" s="20" t="e">
        <f>-([2]Specials!$Z$37+[2]Specials!$AA$37+[2]Specials!$BB$37+[2]Specials!$BC$37)/1000/BJ95</f>
        <v>#DIV/0!</v>
      </c>
      <c r="BK102" s="20" t="e">
        <f>-([2]Specials!$Z$38+[2]Specials!$AA$38+[2]Specials!$BB$38+[2]Specials!$BC$38)/1000/BK95</f>
        <v>#DIV/0!</v>
      </c>
      <c r="BL102" s="20" t="e">
        <f>-([2]Specials!$Z$39+[2]Specials!$AA$39+[2]Specials!$BB$39+[2]Specials!$BC$39)/1000/BL95</f>
        <v>#DIV/0!</v>
      </c>
      <c r="BM102" s="7"/>
      <c r="BN102" s="28">
        <f>-('[2]Total P&amp;C'!$Z$37+'[2]Total P&amp;C'!$AA$37+'[2]Total P&amp;C'!$BB$37+'[2]Total P&amp;C'!$BC$37)/1000/BN95</f>
        <v>-2.6138537140095397E-2</v>
      </c>
      <c r="BO102" s="28">
        <f>-('[2]Total P&amp;C'!$Z$38+'[2]Total P&amp;C'!$AA$38+'[2]Total P&amp;C'!$BB$38+'[2]Total P&amp;C'!$BC$38)/1000/BO95</f>
        <v>-2.4568609620172717E-2</v>
      </c>
      <c r="BP102" s="28">
        <f>-('[2]Total P&amp;C'!$Z$39+'[2]Total P&amp;C'!$AA$39+'[2]Total P&amp;C'!$BB$39+'[2]Total P&amp;C'!$BC$39)/1000/BP95</f>
        <v>-1.6136213431139228E-2</v>
      </c>
      <c r="BR102" s="28">
        <f>-('[3]Total P&amp;C'!$Z$37+'[3]Total P&amp;C'!$AA$37+'[3]Total P&amp;C'!$BB$37+'[3]Total P&amp;C'!$BC$37)/1000/BR95</f>
        <v>-2.0391168000389821E-2</v>
      </c>
      <c r="BS102" s="28">
        <f>-('[3]Total P&amp;C'!$Z$38+'[3]Total P&amp;C'!$AA$38+'[3]Total P&amp;C'!$BB$38+'[3]Total P&amp;C'!$BC$38)/1000/BS95</f>
        <v>-2.1716705430759917E-2</v>
      </c>
      <c r="BT102" s="28">
        <f>-('[3]Total P&amp;C'!$Z$39+'[3]Total P&amp;C'!$AA$39+'[3]Total P&amp;C'!$BB$39+'[3]Total P&amp;C'!$BC$39)/1000/BT95</f>
        <v>-1.2521088167949276E-2</v>
      </c>
    </row>
    <row r="103" spans="2:72" ht="16.5" hidden="1" customHeight="1" outlineLevel="1" x14ac:dyDescent="0.25">
      <c r="B103" s="202"/>
      <c r="C103" s="9"/>
      <c r="D103" s="37" t="s">
        <v>28</v>
      </c>
      <c r="J103" s="20" t="e">
        <f>-SUM([1]Retail!$AC$37:$AI$37,[1]Retail!$BE$37:$BG$37)/1000/J95</f>
        <v>#DIV/0!</v>
      </c>
      <c r="K103" s="20" t="e">
        <f>-SUM([1]Retail!$AC$38:$AI$38,[1]Retail!$BE$38:$BG$38)/1000/K95</f>
        <v>#DIV/0!</v>
      </c>
      <c r="L103" s="20" t="e">
        <f>-SUM([1]Retail!$AC$39:$AI$39,[1]Retail!$BE$39:$BG$39)/1000/L95</f>
        <v>#DIV/0!</v>
      </c>
      <c r="M103" s="7"/>
      <c r="N103" s="20" t="e">
        <f>-SUM([1]SME!$AC$37:$AI$37,[1]SME!$BE$37:$BG$37)/1000/N95</f>
        <v>#DIV/0!</v>
      </c>
      <c r="O103" s="20" t="e">
        <f>-SUM([1]SME!$AC$38:$AI$38,[1]SME!$BE$38:$BG$38)/1000/O95</f>
        <v>#DIV/0!</v>
      </c>
      <c r="P103" s="20" t="e">
        <f>-SUM([1]SME!$AC$39:$AI$39,[1]SME!$BE$39:$BG$39)/1000/P95</f>
        <v>#DIV/0!</v>
      </c>
      <c r="Q103" s="7"/>
      <c r="R103" s="20">
        <f>-SUM([1]MidCorp!$AC$37:$AI$37,[1]MidCorp!$BE$37:$BG$37)/1000/R95</f>
        <v>7.441924666236753E-2</v>
      </c>
      <c r="S103" s="20">
        <f>-SUM([1]MidCorp!$AC$38:$AI$38,[1]MidCorp!$BE$38:$BG$38)/1000/S95</f>
        <v>-3.2559100229642993E-2</v>
      </c>
      <c r="T103" s="20">
        <f>-SUM([1]MidCorp!$AC$39:$AI$39,[1]MidCorp!$BE$39:$BG$39)/1000/T95</f>
        <v>-8.6005876219703396E-3</v>
      </c>
      <c r="U103" s="7"/>
      <c r="V103" s="20">
        <f>-SUM([1]MGA!$AC$37:$AI$37,[1]MGA!$BE$37:$BG$37)/1000/V95</f>
        <v>2.8149475059430416E-2</v>
      </c>
      <c r="W103" s="20">
        <f>-SUM([1]MGA!$AC$38:$AI$38,[1]MGA!$BE$38:$BG$38)/1000/W95</f>
        <v>-1.9207842098291177E-3</v>
      </c>
      <c r="X103" s="20" t="e">
        <f>-SUM([1]MGA!$AC$39:$AI$39,[1]MGA!$BE$39:$BG$39)/1000/X95</f>
        <v>#DIV/0!</v>
      </c>
      <c r="Y103" s="7"/>
      <c r="Z103" s="20" t="e">
        <f>-SUM([1]Bancassurance!$AC$37:$AI$37,[1]Bancassurance!$BE$37:$BG$37)/1000/Z95</f>
        <v>#DIV/0!</v>
      </c>
      <c r="AA103" s="20" t="e">
        <f>-SUM([1]Bancassurance!$AC$38:$AI$38,[1]Bancassurance!$BE$38:$BG$38)/1000/AA95</f>
        <v>#DIV/0!</v>
      </c>
      <c r="AB103" s="20" t="e">
        <f>-SUM([1]Bancassurance!$AC$39:$AI$39,[1]Bancassurance!$BE$39:$BG$39)/1000/AB95</f>
        <v>#DIV/0!</v>
      </c>
      <c r="AC103" s="7"/>
      <c r="AD103" s="20">
        <f>-SUM([1]Specials!$AC$37:$AI$37,[1]Specials!$BE$37:$BG$37)/1000/AD95</f>
        <v>-1.092374849340831</v>
      </c>
      <c r="AE103" s="20">
        <f>-SUM([1]Specials!$AC$38:$AI$38,[1]Specials!$BE$38:$BG$38)/1000/AE95</f>
        <v>2.1144802008840764</v>
      </c>
      <c r="AF103" s="20" t="e">
        <f>-SUM([1]Specials!$AC$39:$AI$39,[1]Specials!$BE$39:$BG$39)/1000/AF95</f>
        <v>#DIV/0!</v>
      </c>
      <c r="AG103" s="7"/>
      <c r="AH103" s="28">
        <f>-SUM('[1]Total P&amp;C'!$AC$37:$AI$37,'[1]Total P&amp;C'!$BE$37:$BG$37)/1000/AH95</f>
        <v>7.1050414550093144E-2</v>
      </c>
      <c r="AI103" s="28">
        <f>-SUM('[1]Total P&amp;C'!$AC$38:$AI$38,'[1]Total P&amp;C'!$BE$38:$BG$38)/1000/AI95</f>
        <v>-2.6094160377456873E-2</v>
      </c>
      <c r="AJ103" s="28">
        <f>-SUM('[1]Total P&amp;C'!$AC$39:$AI$39,'[1]Total P&amp;C'!$BE$39:$BG$39)/1000/AJ95</f>
        <v>-8.6005876219703396E-3</v>
      </c>
      <c r="AL103" s="202"/>
      <c r="AM103" s="9"/>
      <c r="AN103" s="37" t="s">
        <v>28</v>
      </c>
      <c r="AT103" s="20" t="e">
        <f>-SUM([2]Retail!$AC$37:$AI$37,[2]Retail!$BE$37:$BG$37)/1000/AT95</f>
        <v>#DIV/0!</v>
      </c>
      <c r="AU103" s="20" t="e">
        <f>-SUM([2]Retail!$AC$38:$AI$38,[2]Retail!$BE$38:$BG$38)/1000/AU95</f>
        <v>#DIV/0!</v>
      </c>
      <c r="AV103" s="20" t="e">
        <f>-SUM([2]Retail!$AC$39:$AI$39,[2]Retail!$BE$39:$BG$39)/1000/AV95</f>
        <v>#DIV/0!</v>
      </c>
      <c r="AW103" s="7"/>
      <c r="AX103" s="20" t="e">
        <f>-SUM([2]SME!$AC$37:$AI$37,[2]SME!$BE$37:$BG$37)/1000/AX95</f>
        <v>#DIV/0!</v>
      </c>
      <c r="AY103" s="20" t="e">
        <f>-SUM([2]SME!$AC$38:$AI$38,[2]SME!$BE$38:$BG$38)/1000/AY95</f>
        <v>#DIV/0!</v>
      </c>
      <c r="AZ103" s="20" t="e">
        <f>-SUM([2]SME!$AC$39:$AI$39,[2]SME!$BE$39:$BG$39)/1000/AZ95</f>
        <v>#DIV/0!</v>
      </c>
      <c r="BA103" s="7"/>
      <c r="BB103" s="20">
        <f>-SUM([2]MidCorp!$AC$37:$AI$37,[2]MidCorp!$BE$37:$BG$37)/1000/BB95</f>
        <v>-6.7189873986252882E-2</v>
      </c>
      <c r="BC103" s="20">
        <f>-SUM([2]MidCorp!$AC$38:$AI$38,[2]MidCorp!$BE$38:$BG$38)/1000/BC95</f>
        <v>0.2421943123962095</v>
      </c>
      <c r="BD103" s="20">
        <f>-SUM([2]MidCorp!$AC$39:$AI$39,[2]MidCorp!$BE$39:$BG$39)/1000/BD95</f>
        <v>-6.2843185836187554E-3</v>
      </c>
      <c r="BJ103" s="20" t="e">
        <f>-SUM([2]Specials!$AC$37:$AI$37,[2]Specials!$BE$37:$BG$37)/1000/BJ95</f>
        <v>#DIV/0!</v>
      </c>
      <c r="BK103" s="20" t="e">
        <f>-SUM([2]Specials!$AC$38:$AI$38,[2]Specials!$BE$38:$BG$38)/1000/BK95</f>
        <v>#DIV/0!</v>
      </c>
      <c r="BL103" s="20" t="e">
        <f>-SUM([2]Specials!$AC$39:$AI$39,[2]Specials!$BE$39:$BG$39)/1000/BL95</f>
        <v>#DIV/0!</v>
      </c>
      <c r="BM103" s="7"/>
      <c r="BN103" s="28">
        <f>-SUM('[2]Total P&amp;C'!$AC$37:$AI$37,'[2]Total P&amp;C'!$BE$37:$BG$37)/1000/BN95</f>
        <v>-6.7224020806627316E-2</v>
      </c>
      <c r="BO103" s="28">
        <f>-SUM('[2]Total P&amp;C'!$AC$38:$AI$38,'[2]Total P&amp;C'!$BE$38:$BG$38)/1000/BO95</f>
        <v>0.24220562473929583</v>
      </c>
      <c r="BP103" s="28">
        <f>-SUM('[2]Total P&amp;C'!$AC$39:$AI$39,'[2]Total P&amp;C'!$BE$39:$BG$39)/1000/BP95</f>
        <v>-6.2843185836187554E-3</v>
      </c>
      <c r="BR103" s="28">
        <f>-SUM('[3]Total P&amp;C'!$AC$37:$AI$37,'[3]Total P&amp;C'!$BE$37:$BG$37)/1000/BR95</f>
        <v>7.5704079196163817E-3</v>
      </c>
      <c r="BS103" s="28">
        <f>-SUM('[3]Total P&amp;C'!$AC$38:$AI$38,'[3]Total P&amp;C'!$BE$38:$BG$38)/1000/BS95</f>
        <v>0.1030986280404269</v>
      </c>
      <c r="BT103" s="28">
        <f>-SUM('[3]Total P&amp;C'!$AC$39:$AI$39,'[3]Total P&amp;C'!$BE$39:$BG$39)/1000/BT95</f>
        <v>-7.4775121226765742E-3</v>
      </c>
    </row>
    <row r="104" spans="2:72" ht="16.5" hidden="1" customHeight="1" outlineLevel="1" x14ac:dyDescent="0.25">
      <c r="B104" s="202"/>
      <c r="C104" s="9"/>
      <c r="D104" s="37" t="s">
        <v>29</v>
      </c>
      <c r="J104" s="20" t="e">
        <f>-SUM([1]Retail!$AJ$37:$AK$37,[1]Retail!$BH$37:$BI$37)/1000/J95</f>
        <v>#DIV/0!</v>
      </c>
      <c r="K104" s="20" t="e">
        <f>-SUM([1]Retail!$AJ$38:$AK$38,[1]Retail!$BH$38:$BI$38)/1000/K95</f>
        <v>#DIV/0!</v>
      </c>
      <c r="L104" s="20" t="e">
        <f>-SUM([1]Retail!$AJ$39:$AK$39,[1]Retail!$BH$39:$BI$39)/1000/L95</f>
        <v>#DIV/0!</v>
      </c>
      <c r="M104" s="7"/>
      <c r="N104" s="20" t="e">
        <f>-SUM([1]SME!$AJ$37:$AK$37,[1]SME!$BH$37:$BI$37)/1000/N95</f>
        <v>#DIV/0!</v>
      </c>
      <c r="O104" s="20" t="e">
        <f>-SUM([1]SME!$AJ$38:$AK$38,[1]SME!$BH$38:$BI$38)/1000/O95</f>
        <v>#DIV/0!</v>
      </c>
      <c r="P104" s="20" t="e">
        <f>-SUM([1]SME!$AJ$39:$AK$39,[1]SME!$BH$39:$BI$39)/1000/P95</f>
        <v>#DIV/0!</v>
      </c>
      <c r="Q104" s="7"/>
      <c r="R104" s="20">
        <f>-SUM([1]MidCorp!$AJ$37:$AK$37,[1]MidCorp!$BH$37:$BI$37)/1000/R95</f>
        <v>-2.5201042895556412E-3</v>
      </c>
      <c r="S104" s="20">
        <f>-SUM([1]MidCorp!$AJ$38:$AK$38,[1]MidCorp!$BH$38:$BI$38)/1000/S95</f>
        <v>-5.8161626642668695E-3</v>
      </c>
      <c r="T104" s="20">
        <f>-SUM([1]MidCorp!$AJ$39:$AK$39,[1]MidCorp!$BH$39:$BI$39)/1000/T95</f>
        <v>0</v>
      </c>
      <c r="U104" s="7"/>
      <c r="V104" s="20">
        <f>-SUM([1]MGA!$AJ$37:$AK$37,[1]MGA!$BH$37:$BI$37)/1000/V95</f>
        <v>0</v>
      </c>
      <c r="W104" s="20">
        <f>-SUM([1]MGA!$AJ$38:$AK$38,[1]MGA!$BH$38:$BI$38)/1000/W95</f>
        <v>8.98889162235301E-5</v>
      </c>
      <c r="X104" s="20" t="e">
        <f>-SUM([1]MGA!$AJ$39:$AK$39,[1]MGA!$BH$39:$BI$39)/1000/X95</f>
        <v>#DIV/0!</v>
      </c>
      <c r="Y104" s="7"/>
      <c r="Z104" s="20" t="e">
        <f>-SUM([1]Bancassurance!$AJ$37:$AK$37,[1]Bancassurance!$BH$37:$BI$37)/1000/Z95</f>
        <v>#DIV/0!</v>
      </c>
      <c r="AA104" s="20" t="e">
        <f>-SUM([1]Bancassurance!$AJ$38:$AK$38,[1]Bancassurance!$BH$38:$BI$38)/1000/AA95</f>
        <v>#DIV/0!</v>
      </c>
      <c r="AB104" s="20" t="e">
        <f>-SUM([1]Bancassurance!$AJ$39:$AK$39,[1]Bancassurance!$BH$39:$BI$39)/1000/AB95</f>
        <v>#DIV/0!</v>
      </c>
      <c r="AC104" s="7"/>
      <c r="AD104" s="20">
        <f>-SUM([1]Specials!$AJ$37:$AK$37,[1]Specials!$BH$37:$BI$37)/1000/AD95</f>
        <v>4.3503949642944255E-4</v>
      </c>
      <c r="AE104" s="20">
        <f>-SUM([1]Specials!$AJ$38:$AK$38,[1]Specials!$BH$38:$BI$38)/1000/AE95</f>
        <v>6.1329815547686822E-4</v>
      </c>
      <c r="AF104" s="20" t="e">
        <f>-SUM([1]Specials!$AJ$39:$AK$39,[1]Specials!$BH$39:$BI$39)/1000/AF95</f>
        <v>#DIV/0!</v>
      </c>
      <c r="AG104" s="7"/>
      <c r="AH104" s="28">
        <f>-SUM('[1]Total P&amp;C'!$AJ$37:$AK$37,'[1]Total P&amp;C'!$BH$37:$BI$37)/1000/AH95</f>
        <v>-2.5110086776140347E-3</v>
      </c>
      <c r="AI104" s="28">
        <f>-SUM('[1]Total P&amp;C'!$AJ$38:$AK$38,'[1]Total P&amp;C'!$BH$38:$BI$38)/1000/AI95</f>
        <v>-5.7946655829960812E-3</v>
      </c>
      <c r="AJ104" s="28">
        <f>-SUM('[1]Total P&amp;C'!$AJ$39:$AK$39,'[1]Total P&amp;C'!$BH$39:$BI$39)/1000/AJ95</f>
        <v>0</v>
      </c>
      <c r="AL104" s="202"/>
      <c r="AM104" s="9"/>
      <c r="AN104" s="37" t="s">
        <v>29</v>
      </c>
      <c r="AT104" s="20" t="e">
        <f>-SUM([2]Retail!$AJ$37:$AK$37,[2]Retail!$BH$37:$BI$37)/1000/AT95</f>
        <v>#DIV/0!</v>
      </c>
      <c r="AU104" s="20" t="e">
        <f>-SUM([2]Retail!$AJ$38:$AK$38,[2]Retail!$BH$38:$BI$38)/1000/AU95</f>
        <v>#DIV/0!</v>
      </c>
      <c r="AV104" s="20" t="e">
        <f>-SUM([2]Retail!$AJ$39:$AK$39,[2]Retail!$BH$39:$BI$39)/1000/AV95</f>
        <v>#DIV/0!</v>
      </c>
      <c r="AW104" s="7"/>
      <c r="AX104" s="20" t="e">
        <f>-SUM([2]SME!$AJ$37:$AK$37,[2]SME!$BH$37:$BI$37)/1000/AX95</f>
        <v>#DIV/0!</v>
      </c>
      <c r="AY104" s="20" t="e">
        <f>-SUM([2]SME!$AJ$38:$AK$38,[2]SME!$BH$38:$BI$38)/1000/AY95</f>
        <v>#DIV/0!</v>
      </c>
      <c r="AZ104" s="20" t="e">
        <f>-SUM([2]SME!$AJ$39:$AK$39,[2]SME!$BH$39:$BI$39)/1000/AZ95</f>
        <v>#DIV/0!</v>
      </c>
      <c r="BA104" s="7"/>
      <c r="BB104" s="20">
        <f>-SUM([2]MidCorp!$AJ$37:$AK$37,[2]MidCorp!$BH$37:$BI$37)/1000/BB95</f>
        <v>-3.4707073037987632E-2</v>
      </c>
      <c r="BC104" s="20">
        <f>-SUM([2]MidCorp!$AJ$38:$AK$38,[2]MidCorp!$BH$38:$BI$38)/1000/BC95</f>
        <v>-2.7640319929990706E-2</v>
      </c>
      <c r="BD104" s="20">
        <f>-SUM([2]MidCorp!$AJ$39:$AK$39,[2]MidCorp!$BH$39:$BI$39)/1000/BD95</f>
        <v>0</v>
      </c>
      <c r="BJ104" s="20" t="e">
        <f>-SUM([2]Specials!$AJ$37:$AK$37,[2]Specials!$BH$37:$BI$37)/1000/BJ95</f>
        <v>#DIV/0!</v>
      </c>
      <c r="BK104" s="20" t="e">
        <f>-SUM([2]Specials!$AJ$38:$AK$38,[2]Specials!$BH$38:$BI$38)/1000/BK95</f>
        <v>#DIV/0!</v>
      </c>
      <c r="BL104" s="20" t="e">
        <f>-SUM([2]Specials!$AJ$39:$AK$39,[2]Specials!$BH$39:$BI$39)/1000/BL95</f>
        <v>#DIV/0!</v>
      </c>
      <c r="BM104" s="7"/>
      <c r="BN104" s="28">
        <f>-SUM('[2]Total P&amp;C'!$AJ$37:$AK$37,'[2]Total P&amp;C'!$BH$37:$BI$37)/1000/BN95</f>
        <v>-3.4706611695023322E-2</v>
      </c>
      <c r="BO104" s="28">
        <f>-SUM('[2]Total P&amp;C'!$AJ$38:$AK$38,'[2]Total P&amp;C'!$BH$38:$BI$38)/1000/BO95</f>
        <v>-2.7640117689789859E-2</v>
      </c>
      <c r="BP104" s="28">
        <f>-SUM('[2]Total P&amp;C'!$AJ$39:$AK$39,'[2]Total P&amp;C'!$BH$39:$BI$39)/1000/BP95</f>
        <v>0</v>
      </c>
      <c r="BR104" s="28">
        <f>-SUM('[3]Total P&amp;C'!$AJ$37:$AK$37,'[3]Total P&amp;C'!$BH$37:$BI$37)/1000/BR95</f>
        <v>-1.7291594024028956E-2</v>
      </c>
      <c r="BS104" s="28">
        <f>-SUM('[3]Total P&amp;C'!$AJ$38:$AK$38,'[3]Total P&amp;C'!$BH$38:$BI$38)/1000/BS95</f>
        <v>-1.63137752822375E-2</v>
      </c>
      <c r="BT104" s="28">
        <f>-SUM('[3]Total P&amp;C'!$AJ$39:$AK$39,'[3]Total P&amp;C'!$BH$39:$BI$39)/1000/BT95</f>
        <v>0</v>
      </c>
    </row>
    <row r="105" spans="2:72" ht="16.5" hidden="1" customHeight="1" outlineLevel="1" x14ac:dyDescent="0.25">
      <c r="B105" s="202"/>
      <c r="C105" s="9"/>
      <c r="D105" s="37" t="s">
        <v>30</v>
      </c>
      <c r="J105" s="20" t="e">
        <f>+J106+J107+J108</f>
        <v>#DIV/0!</v>
      </c>
      <c r="K105" s="20" t="e">
        <f>+K106+K107+K108</f>
        <v>#DIV/0!</v>
      </c>
      <c r="L105" s="20" t="e">
        <f>+L106+L107+L108</f>
        <v>#DIV/0!</v>
      </c>
      <c r="M105" s="7"/>
      <c r="N105" s="20" t="e">
        <f>+N106+N107+N108</f>
        <v>#DIV/0!</v>
      </c>
      <c r="O105" s="20" t="e">
        <f>+O106+O107+O108</f>
        <v>#DIV/0!</v>
      </c>
      <c r="P105" s="20" t="e">
        <f>+P106+P107+P108</f>
        <v>#DIV/0!</v>
      </c>
      <c r="Q105" s="7"/>
      <c r="R105" s="20">
        <f>+R106+R107+R108</f>
        <v>0.2402819915610683</v>
      </c>
      <c r="S105" s="20">
        <f>+S106+S107+S108</f>
        <v>0.24108802144337266</v>
      </c>
      <c r="T105" s="20">
        <f>+T106+T107+T108</f>
        <v>0.23465197897781742</v>
      </c>
      <c r="U105" s="7"/>
      <c r="V105" s="20">
        <f>+V106+V107+V108</f>
        <v>0.9450007744472807</v>
      </c>
      <c r="W105" s="20">
        <f>+W106+W107+W108</f>
        <v>0.41425070491834315</v>
      </c>
      <c r="X105" s="20" t="e">
        <f>+X106+X107+X108</f>
        <v>#DIV/0!</v>
      </c>
      <c r="Y105" s="7"/>
      <c r="Z105" s="20" t="e">
        <f>+Z106+Z107+Z108</f>
        <v>#DIV/0!</v>
      </c>
      <c r="AA105" s="20" t="e">
        <f>+AA106+AA107+AA108</f>
        <v>#DIV/0!</v>
      </c>
      <c r="AB105" s="20" t="e">
        <f>+AB106+AB107+AB108</f>
        <v>#DIV/0!</v>
      </c>
      <c r="AC105" s="7"/>
      <c r="AD105" s="20">
        <f>+AD106+AD107+AD108</f>
        <v>0.14293982465659033</v>
      </c>
      <c r="AE105" s="20">
        <f>+AE106+AE107+AE108</f>
        <v>0.150752736698373</v>
      </c>
      <c r="AF105" s="20" t="e">
        <f>+AF106+AF107+AF108</f>
        <v>#DIV/0!</v>
      </c>
      <c r="AG105" s="7"/>
      <c r="AH105" s="28">
        <f>+AH106+AH107+AH108</f>
        <v>0.24016706457890072</v>
      </c>
      <c r="AI105" s="28">
        <f>+AI106+AI107+AI108</f>
        <v>0.24094908351137176</v>
      </c>
      <c r="AJ105" s="28">
        <f>+AJ106+AJ107+AJ108</f>
        <v>0.23465197897781742</v>
      </c>
      <c r="AL105" s="202"/>
      <c r="AM105" s="9"/>
      <c r="AN105" s="37" t="s">
        <v>30</v>
      </c>
      <c r="AT105" s="20" t="e">
        <f>+AT106+AT107+AT108</f>
        <v>#DIV/0!</v>
      </c>
      <c r="AU105" s="20" t="e">
        <f>+AU106+AU107+AU108</f>
        <v>#DIV/0!</v>
      </c>
      <c r="AV105" s="20" t="e">
        <f>+AV106+AV107+AV108</f>
        <v>#DIV/0!</v>
      </c>
      <c r="AW105" s="7"/>
      <c r="AX105" s="20" t="e">
        <f>+AX106+AX107+AX108</f>
        <v>#DIV/0!</v>
      </c>
      <c r="AY105" s="20" t="e">
        <f>+AY106+AY107+AY108</f>
        <v>#DIV/0!</v>
      </c>
      <c r="AZ105" s="20" t="e">
        <f>+AZ106+AZ107+AZ108</f>
        <v>#DIV/0!</v>
      </c>
      <c r="BA105" s="7"/>
      <c r="BB105" s="20">
        <f>+BB106+BB107+BB108</f>
        <v>0.47928420525839077</v>
      </c>
      <c r="BC105" s="20">
        <f>+BC106+BC107+BC108</f>
        <v>0.42699849979155285</v>
      </c>
      <c r="BD105" s="20">
        <f>+BD106+BD107+BD108</f>
        <v>0.42977849737753715</v>
      </c>
      <c r="BJ105" s="20" t="e">
        <f>+BJ106+BJ107+BJ108</f>
        <v>#DIV/0!</v>
      </c>
      <c r="BK105" s="20" t="e">
        <f>+BK106+BK107+BK108</f>
        <v>#DIV/0!</v>
      </c>
      <c r="BL105" s="20" t="e">
        <f>+BL106+BL107+BL108</f>
        <v>#DIV/0!</v>
      </c>
      <c r="BM105" s="7"/>
      <c r="BN105" s="28">
        <f>+BN106+BN107+BN108</f>
        <v>0.47928422944169136</v>
      </c>
      <c r="BO105" s="28">
        <f>+BO106+BO107+BO108</f>
        <v>0.42699849979155285</v>
      </c>
      <c r="BP105" s="28">
        <f>+BP106+BP107+BP108</f>
        <v>0.42977849737753715</v>
      </c>
      <c r="BR105" s="28">
        <f>+BR106+BR107+BR108</f>
        <v>0.34994266533830026</v>
      </c>
      <c r="BS105" s="28">
        <f>+BS106+BS107+BS108</f>
        <v>0.33053634450115099</v>
      </c>
      <c r="BT105" s="28">
        <f>+BT106+BT107+BT108</f>
        <v>0.32926180557774176</v>
      </c>
    </row>
    <row r="106" spans="2:72" ht="16.5" hidden="1" customHeight="1" outlineLevel="1" x14ac:dyDescent="0.25">
      <c r="B106" s="202"/>
      <c r="C106" s="9"/>
      <c r="D106" s="39" t="s">
        <v>31</v>
      </c>
      <c r="J106" s="20" t="e">
        <f>-SUM([1]Retail!$AL$37:$AN$37,[1]Retail!$BJ$37)/1000/J95</f>
        <v>#DIV/0!</v>
      </c>
      <c r="K106" s="42" t="e">
        <f>-SUM([1]Retail!$AL$38:$AN$38,[1]Retail!$BJ$38)/1000/K95</f>
        <v>#DIV/0!</v>
      </c>
      <c r="L106" s="42" t="e">
        <f>-SUM([1]Retail!$AL$39:$AN$39,[1]Retail!$BJ$39)/1000/L95</f>
        <v>#DIV/0!</v>
      </c>
      <c r="M106" s="8"/>
      <c r="N106" s="20" t="e">
        <f>-SUM([1]SME!$AL$37:$AN$37,[1]SME!$BJ$37)/1000/N95</f>
        <v>#DIV/0!</v>
      </c>
      <c r="O106" s="20" t="e">
        <f>-SUM([1]SME!$AL$38:$AN$38,[1]SME!$BJ$38)/1000/O95</f>
        <v>#DIV/0!</v>
      </c>
      <c r="P106" s="20" t="e">
        <f>-SUM([1]SME!$AL$39:$AN$39,[1]SME!$BJ$39)/1000/P95</f>
        <v>#DIV/0!</v>
      </c>
      <c r="Q106" s="8"/>
      <c r="R106" s="20">
        <f>-SUM([1]MidCorp!$AL$37:$AN$37,[1]MidCorp!$BJ$37)/1000/R95</f>
        <v>0.13313403867565968</v>
      </c>
      <c r="S106" s="20">
        <f>-SUM([1]MidCorp!$AL$38:$AN$38,[1]MidCorp!$BJ$38)/1000/S95</f>
        <v>0.13716258869002193</v>
      </c>
      <c r="T106" s="20">
        <f>-SUM([1]MidCorp!$AL$39:$AN$39,[1]MidCorp!$BJ$39)/1000/T95</f>
        <v>0.13604112566129092</v>
      </c>
      <c r="U106" s="8"/>
      <c r="V106" s="20">
        <f>-SUM([1]MGA!$AL$37:$AN$37,[1]MGA!$BJ$37)/1000/V95</f>
        <v>0.94489302526045027</v>
      </c>
      <c r="W106" s="20">
        <f>-SUM([1]MGA!$AL$38:$AN$38,[1]MGA!$BJ$38)/1000/W95</f>
        <v>0.36865810041065056</v>
      </c>
      <c r="X106" s="20" t="e">
        <f>-SUM([1]MGA!$AL$39:$AN$39,[1]MGA!$BJ$39)/1000/X95</f>
        <v>#DIV/0!</v>
      </c>
      <c r="Y106" s="8"/>
      <c r="Z106" s="20" t="e">
        <f>-SUM([1]Bancassurance!$AL$37:$AN$37,[1]Bancassurance!$BJ$37)/1000/Z95</f>
        <v>#DIV/0!</v>
      </c>
      <c r="AA106" s="20" t="e">
        <f>-SUM([1]Bancassurance!$AL$38:$AN$38,[1]Bancassurance!$BJ$38)/1000/AA95</f>
        <v>#DIV/0!</v>
      </c>
      <c r="AB106" s="20" t="e">
        <f>-SUM([1]Bancassurance!$AL$39:$AN$39,[1]Bancassurance!$BJ$39)/1000/AB95</f>
        <v>#DIV/0!</v>
      </c>
      <c r="AC106" s="8"/>
      <c r="AD106" s="20">
        <f>-SUM([1]Specials!$AL$37:$AN$37,[1]Specials!$BJ$37)/1000/AD95</f>
        <v>0.14293982465659033</v>
      </c>
      <c r="AE106" s="20">
        <f>-SUM([1]Specials!$AL$38:$AN$38,[1]Specials!$BJ$38)/1000/AE95</f>
        <v>0.150752736698373</v>
      </c>
      <c r="AF106" s="20" t="e">
        <f>-SUM([1]Specials!$AL$39:$AN$39,[1]Specials!$BJ$39)/1000/AF95</f>
        <v>#DIV/0!</v>
      </c>
      <c r="AG106" s="8"/>
      <c r="AH106" s="28">
        <f>-SUM('[1]Total P&amp;C'!$AL$37:$AN$37,'[1]Total P&amp;C'!$BJ$37)/1000/AH95</f>
        <v>0.13335257431576841</v>
      </c>
      <c r="AI106" s="28">
        <f>-SUM('[1]Total P&amp;C'!$AL$38:$AN$38,'[1]Total P&amp;C'!$BJ$38)/1000/AI95</f>
        <v>0.13728853735674137</v>
      </c>
      <c r="AJ106" s="28">
        <f>-SUM('[1]Total P&amp;C'!$AL$39:$AN$39,'[1]Total P&amp;C'!$BJ$39)/1000/AJ95</f>
        <v>0.13604112566129092</v>
      </c>
      <c r="AL106" s="202"/>
      <c r="AM106" s="9"/>
      <c r="AN106" s="39" t="s">
        <v>31</v>
      </c>
      <c r="AT106" s="20" t="e">
        <f>-SUM([2]Retail!$AL$37:$AN$37,[2]Retail!$BJ$37)/1000/AT95</f>
        <v>#DIV/0!</v>
      </c>
      <c r="AU106" s="42" t="e">
        <f>-SUM([2]Retail!$AL$38:$AN$38,[2]Retail!$BJ$38)/1000/AU95</f>
        <v>#DIV/0!</v>
      </c>
      <c r="AV106" s="42" t="e">
        <f>-SUM([2]Retail!$AL$39:$AN$39,[2]Retail!$BJ$39)/1000/AV95</f>
        <v>#DIV/0!</v>
      </c>
      <c r="AW106" s="8"/>
      <c r="AX106" s="20" t="e">
        <f>-SUM([2]SME!$AL$37:$AN$37,[2]SME!$BJ$37)/1000/AX95</f>
        <v>#DIV/0!</v>
      </c>
      <c r="AY106" s="20" t="e">
        <f>-SUM([2]SME!$AL$38:$AN$38,[2]SME!$BJ$38)/1000/AY95</f>
        <v>#DIV/0!</v>
      </c>
      <c r="AZ106" s="20" t="e">
        <f>-SUM([2]SME!$AL$39:$AN$39,[2]SME!$BJ$39)/1000/AZ95</f>
        <v>#DIV/0!</v>
      </c>
      <c r="BA106" s="8"/>
      <c r="BB106" s="20">
        <f>-SUM([2]MidCorp!$AL$37:$AN$37,[2]MidCorp!$BJ$37)/1000/BB95</f>
        <v>0.17712254671019434</v>
      </c>
      <c r="BC106" s="20">
        <f>-SUM([2]MidCorp!$AL$38:$AN$38,[2]MidCorp!$BJ$38)/1000/BC95</f>
        <v>0.16833484277866456</v>
      </c>
      <c r="BD106" s="20">
        <f>-SUM([2]MidCorp!$AL$39:$AN$39,[2]MidCorp!$BJ$39)/1000/BD95</f>
        <v>0.18544011209679476</v>
      </c>
      <c r="BJ106" s="20" t="e">
        <f>-SUM([2]Specials!$AL$37:$AN$37,[2]Specials!$BJ$37)/1000/BJ95</f>
        <v>#DIV/0!</v>
      </c>
      <c r="BK106" s="20" t="e">
        <f>-SUM([2]Specials!$AL$38:$AN$38,[2]Specials!$BJ$38)/1000/BK95</f>
        <v>#DIV/0!</v>
      </c>
      <c r="BL106" s="20" t="e">
        <f>-SUM([2]Specials!$AL$39:$AN$39,[2]Specials!$BJ$39)/1000/BL95</f>
        <v>#DIV/0!</v>
      </c>
      <c r="BM106" s="8"/>
      <c r="BN106" s="28">
        <f>-SUM('[2]Total P&amp;C'!$AL$37:$AN$37,'[2]Total P&amp;C'!$BJ$37)/1000/BN95</f>
        <v>0.17712254671019434</v>
      </c>
      <c r="BO106" s="28">
        <f>-SUM('[2]Total P&amp;C'!$AL$38:$AN$38,'[2]Total P&amp;C'!$BJ$38)/1000/BO95</f>
        <v>0.16833484277866456</v>
      </c>
      <c r="BP106" s="28">
        <f>-SUM('[2]Total P&amp;C'!$AL$39:$AN$39,'[2]Total P&amp;C'!$BJ$39)/1000/BP95</f>
        <v>0.18544011209679476</v>
      </c>
      <c r="BR106" s="28">
        <f>-SUM('[3]Total P&amp;C'!$AL$37:$AN$37,'[3]Total P&amp;C'!$BJ$37)/1000/BR95</f>
        <v>0.15344680309092787</v>
      </c>
      <c r="BS106" s="28">
        <f>-SUM('[3]Total P&amp;C'!$AL$38:$AN$38,'[3]Total P&amp;C'!$BJ$38)/1000/BS95</f>
        <v>0.15223807883992266</v>
      </c>
      <c r="BT106" s="28">
        <f>-SUM('[3]Total P&amp;C'!$AL$39:$AN$39,'[3]Total P&amp;C'!$BJ$39)/1000/BT95</f>
        <v>0.15999291642353386</v>
      </c>
    </row>
    <row r="107" spans="2:72" ht="16.5" hidden="1" customHeight="1" outlineLevel="1" x14ac:dyDescent="0.25">
      <c r="B107" s="202"/>
      <c r="C107" s="9"/>
      <c r="D107" s="39" t="s">
        <v>32</v>
      </c>
      <c r="J107" s="20" t="e">
        <f>-SUM([1]Retail!$AO$37:$AP$37)/1000/J95</f>
        <v>#DIV/0!</v>
      </c>
      <c r="K107" s="42" t="e">
        <f>-SUM([1]Retail!$AO$38:$AP$38)/1000/K95</f>
        <v>#DIV/0!</v>
      </c>
      <c r="L107" s="42" t="e">
        <f>-SUM([1]Retail!$AO$39:$AP$39)/1000/L95</f>
        <v>#DIV/0!</v>
      </c>
      <c r="M107" s="8"/>
      <c r="N107" s="20" t="e">
        <f>-SUM([1]SME!$AO$37:$AP$37)/1000/N95</f>
        <v>#DIV/0!</v>
      </c>
      <c r="O107" s="20" t="e">
        <f>-SUM([1]SME!$AO$38:$AP$38)/1000/O95</f>
        <v>#DIV/0!</v>
      </c>
      <c r="P107" s="20" t="e">
        <f>-SUM([1]SME!$AO$39:$AP$39)/1000/P95</f>
        <v>#DIV/0!</v>
      </c>
      <c r="Q107" s="8"/>
      <c r="R107" s="20">
        <f>-SUM([1]MidCorp!$AO$37:$AP$37)/1000/R95</f>
        <v>6.2923267982741296E-2</v>
      </c>
      <c r="S107" s="20">
        <f>-SUM([1]MidCorp!$AO$38:$AP$38)/1000/S95</f>
        <v>5.801292645011788E-2</v>
      </c>
      <c r="T107" s="20">
        <f>-SUM([1]MidCorp!$AO$39:$AP$39)/1000/T95</f>
        <v>4.9088161090455919E-2</v>
      </c>
      <c r="U107" s="8"/>
      <c r="V107" s="20">
        <f>-SUM([1]MGA!$AO$37:$AP$37)/1000/V95</f>
        <v>9.4280538476561204E-5</v>
      </c>
      <c r="W107" s="20">
        <f>-SUM([1]MGA!$AO$38:$AP$38)/1000/W95</f>
        <v>2.2708778835418141E-3</v>
      </c>
      <c r="X107" s="20" t="e">
        <f>-SUM([1]MGA!$AO$39:$AP$39)/1000/X95</f>
        <v>#DIV/0!</v>
      </c>
      <c r="Y107" s="8"/>
      <c r="Z107" s="20" t="e">
        <f>-SUM([1]Bancassurance!$AO$37:$AP$37)/1000/Z95</f>
        <v>#DIV/0!</v>
      </c>
      <c r="AA107" s="20" t="e">
        <f>-SUM([1]Bancassurance!$AO$38:$AP$38)/1000/AA95</f>
        <v>#DIV/0!</v>
      </c>
      <c r="AB107" s="20" t="e">
        <f>-SUM([1]Bancassurance!$AO$39:$AP$39)/1000/AB95</f>
        <v>#DIV/0!</v>
      </c>
      <c r="AC107" s="8"/>
      <c r="AD107" s="20">
        <f>-SUM([1]Specials!$AO$37:$AP$37)/1000/AD95</f>
        <v>0</v>
      </c>
      <c r="AE107" s="20">
        <f>-SUM([1]Specials!$AO$38:$AP$38)/1000/AE95</f>
        <v>0</v>
      </c>
      <c r="AF107" s="20" t="e">
        <f>-SUM([1]Specials!$AO$39:$AP$39)/1000/AF95</f>
        <v>#DIV/0!</v>
      </c>
      <c r="AG107" s="8"/>
      <c r="AH107" s="28">
        <f>-SUM('[1]Total P&amp;C'!$AO$37:$AP$37)/1000/AH95</f>
        <v>6.2727447357753416E-2</v>
      </c>
      <c r="AI107" s="28">
        <f>-SUM('[1]Total P&amp;C'!$AO$38:$AP$38)/1000/AI95</f>
        <v>5.7821497317032879E-2</v>
      </c>
      <c r="AJ107" s="28">
        <f>-SUM('[1]Total P&amp;C'!$AO$39:$AP$39)/1000/AJ95</f>
        <v>4.9088161090455919E-2</v>
      </c>
      <c r="AL107" s="202"/>
      <c r="AM107" s="9"/>
      <c r="AN107" s="39" t="s">
        <v>32</v>
      </c>
      <c r="AT107" s="20" t="e">
        <f>-SUM([2]Retail!$AO$37:$AP$37)/1000/AT95</f>
        <v>#DIV/0!</v>
      </c>
      <c r="AU107" s="42" t="e">
        <f>-SUM([2]Retail!$AO$38:$AP$38)/1000/AU95</f>
        <v>#DIV/0!</v>
      </c>
      <c r="AV107" s="42" t="e">
        <f>-SUM([2]Retail!$AO$39:$AP$39)/1000/AV95</f>
        <v>#DIV/0!</v>
      </c>
      <c r="AW107" s="8"/>
      <c r="AX107" s="20" t="e">
        <f>-SUM([2]SME!$AO$37:$AP$37)/1000/AX95</f>
        <v>#DIV/0!</v>
      </c>
      <c r="AY107" s="20" t="e">
        <f>-SUM([2]SME!$AO$38:$AP$38)/1000/AY95</f>
        <v>#DIV/0!</v>
      </c>
      <c r="AZ107" s="20" t="e">
        <f>-SUM([2]SME!$AO$39:$AP$39)/1000/AZ95</f>
        <v>#DIV/0!</v>
      </c>
      <c r="BA107" s="8"/>
      <c r="BB107" s="20">
        <f>-SUM([2]MidCorp!$AO$37:$AP$37)/1000/BB95</f>
        <v>0.10881008577273517</v>
      </c>
      <c r="BC107" s="20">
        <f>-SUM([2]MidCorp!$AO$38:$AP$38)/1000/BC95</f>
        <v>9.1062322589348169E-2</v>
      </c>
      <c r="BD107" s="20">
        <f>-SUM([2]MidCorp!$AO$39:$AP$39)/1000/BD95</f>
        <v>8.0646266090248594E-2</v>
      </c>
      <c r="BJ107" s="20" t="e">
        <f>-SUM([2]Specials!$AO$37:$AP$37)/1000/BJ95</f>
        <v>#DIV/0!</v>
      </c>
      <c r="BK107" s="20" t="e">
        <f>-SUM([2]Specials!$AO$38:$AP$38)/1000/BK95</f>
        <v>#DIV/0!</v>
      </c>
      <c r="BL107" s="20" t="e">
        <f>-SUM([2]Specials!$AO$39:$AP$39)/1000/BL95</f>
        <v>#DIV/0!</v>
      </c>
      <c r="BM107" s="8"/>
      <c r="BN107" s="28">
        <f>-SUM('[2]Total P&amp;C'!$AO$37:$AP$37)/1000/BN95</f>
        <v>0.10881010623552793</v>
      </c>
      <c r="BO107" s="28">
        <f>-SUM('[2]Total P&amp;C'!$AO$38:$AP$38)/1000/BO95</f>
        <v>9.1062322589348169E-2</v>
      </c>
      <c r="BP107" s="28">
        <f>-SUM('[2]Total P&amp;C'!$AO$39:$AP$39)/1000/BP95</f>
        <v>8.0646266090248594E-2</v>
      </c>
      <c r="BR107" s="28">
        <f>-SUM('[3]Total P&amp;C'!$AO$37:$AP$37)/1000/BR95</f>
        <v>8.388340061523275E-2</v>
      </c>
      <c r="BS107" s="28">
        <f>-SUM('[3]Total P&amp;C'!$AO$38:$AP$38)/1000/BS95</f>
        <v>7.3827752798651308E-2</v>
      </c>
      <c r="BT107" s="28">
        <f>-SUM('[3]Total P&amp;C'!$AO$39:$AP$39)/1000/BT95</f>
        <v>6.4389550498410816E-2</v>
      </c>
    </row>
    <row r="108" spans="2:72" ht="16.5" hidden="1" customHeight="1" outlineLevel="1" x14ac:dyDescent="0.25">
      <c r="B108" s="202"/>
      <c r="C108" s="9"/>
      <c r="D108" s="39" t="s">
        <v>33</v>
      </c>
      <c r="J108" s="20" t="e">
        <f>-SUM([1]Retail!$AQ$37:$AR$37)/1000/J95</f>
        <v>#DIV/0!</v>
      </c>
      <c r="K108" s="42" t="e">
        <f>-SUM([1]Retail!$AQ$38:$AR$38)/1000/K95</f>
        <v>#DIV/0!</v>
      </c>
      <c r="L108" s="42" t="e">
        <f>-SUM([1]Retail!$AQ$39:$AR$39)/1000/L95</f>
        <v>#DIV/0!</v>
      </c>
      <c r="M108" s="8"/>
      <c r="N108" s="20" t="e">
        <f>-SUM([1]SME!$AQ$37:$AR$37)/1000/N95</f>
        <v>#DIV/0!</v>
      </c>
      <c r="O108" s="20" t="e">
        <f>-SUM([1]SME!$AQ$38:$AR$38)/1000/O95</f>
        <v>#DIV/0!</v>
      </c>
      <c r="P108" s="20" t="e">
        <f>-SUM([1]SME!$AQ$39:$AR$39)/1000/P95</f>
        <v>#DIV/0!</v>
      </c>
      <c r="Q108" s="8"/>
      <c r="R108" s="20">
        <f>-SUM([1]MidCorp!$AQ$37:$AR$37)/1000/R95</f>
        <v>4.4224684902667323E-2</v>
      </c>
      <c r="S108" s="20">
        <f>-SUM([1]MidCorp!$AQ$38:$AR$38)/1000/S95</f>
        <v>4.5912506303232861E-2</v>
      </c>
      <c r="T108" s="20">
        <f>-SUM([1]MidCorp!$AQ$39:$AR$39)/1000/T95</f>
        <v>4.9522692226070586E-2</v>
      </c>
      <c r="U108" s="8"/>
      <c r="V108" s="20">
        <f>-SUM([1]MGA!$AQ$37:$AR$37)/1000/V95</f>
        <v>1.3468648353794457E-5</v>
      </c>
      <c r="W108" s="20">
        <f>-SUM([1]MGA!$AQ$38:$AR$38)/1000/W95</f>
        <v>4.3321726624150805E-2</v>
      </c>
      <c r="X108" s="20" t="e">
        <f>-SUM([1]MGA!$AQ$39:$AR$39)/1000/X95</f>
        <v>#DIV/0!</v>
      </c>
      <c r="Y108" s="8"/>
      <c r="Z108" s="20" t="e">
        <f>-SUM([1]Bancassurance!$AQ$37:$AR$37)/1000/Z95</f>
        <v>#DIV/0!</v>
      </c>
      <c r="AA108" s="20" t="e">
        <f>-SUM([1]Bancassurance!$AQ$38:$AR$38)/1000/AA95</f>
        <v>#DIV/0!</v>
      </c>
      <c r="AB108" s="20" t="e">
        <f>-SUM([1]Bancassurance!$AQ$39:$AR$39)/1000/AB95</f>
        <v>#DIV/0!</v>
      </c>
      <c r="AC108" s="8"/>
      <c r="AD108" s="20">
        <f>-SUM([1]Specials!$AQ$37:$AR$37)/1000/AD95</f>
        <v>0</v>
      </c>
      <c r="AE108" s="20">
        <f>-SUM([1]Specials!$AQ$38:$AR$38)/1000/AE95</f>
        <v>0</v>
      </c>
      <c r="AF108" s="20" t="e">
        <f>-SUM([1]Specials!$AQ$39:$AR$39)/1000/AF95</f>
        <v>#DIV/0!</v>
      </c>
      <c r="AG108" s="8"/>
      <c r="AH108" s="28">
        <f>-SUM('[1]Total P&amp;C'!$AQ$37:$AR$37)/1000/AH95</f>
        <v>4.4087042905378869E-2</v>
      </c>
      <c r="AI108" s="28">
        <f>-SUM('[1]Total P&amp;C'!$AQ$38:$AR$38)/1000/AI95</f>
        <v>4.5839048837597519E-2</v>
      </c>
      <c r="AJ108" s="28">
        <f>-SUM('[1]Total P&amp;C'!$AQ$39:$AR$39)/1000/AJ95</f>
        <v>4.9522692226070586E-2</v>
      </c>
      <c r="AL108" s="202"/>
      <c r="AM108" s="9"/>
      <c r="AN108" s="39" t="s">
        <v>33</v>
      </c>
      <c r="AT108" s="20" t="e">
        <f>-SUM([2]Retail!$AQ$37:$AR$37)/1000/AT95</f>
        <v>#DIV/0!</v>
      </c>
      <c r="AU108" s="42" t="e">
        <f>-SUM([2]Retail!$AQ$38:$AR$38)/1000/AU95</f>
        <v>#DIV/0!</v>
      </c>
      <c r="AV108" s="42" t="e">
        <f>-SUM([2]Retail!$AQ$39:$AR$39)/1000/AV95</f>
        <v>#DIV/0!</v>
      </c>
      <c r="AW108" s="8"/>
      <c r="AX108" s="20" t="e">
        <f>-SUM([2]SME!$AQ$37:$AR$37)/1000/AX95</f>
        <v>#DIV/0!</v>
      </c>
      <c r="AY108" s="20" t="e">
        <f>-SUM([2]SME!$AQ$38:$AR$38)/1000/AY95</f>
        <v>#DIV/0!</v>
      </c>
      <c r="AZ108" s="20" t="e">
        <f>-SUM([2]SME!$AQ$39:$AR$39)/1000/AZ95</f>
        <v>#DIV/0!</v>
      </c>
      <c r="BA108" s="8"/>
      <c r="BB108" s="20">
        <f>-SUM([2]MidCorp!$AQ$37:$AR$37)/1000/BB95</f>
        <v>0.19335157277546128</v>
      </c>
      <c r="BC108" s="20">
        <f>-SUM([2]MidCorp!$AQ$38:$AR$38)/1000/BC95</f>
        <v>0.16760133442354014</v>
      </c>
      <c r="BD108" s="20">
        <f>-SUM([2]MidCorp!$AQ$39:$AR$39)/1000/BD95</f>
        <v>0.16369211919049381</v>
      </c>
      <c r="BJ108" s="20" t="e">
        <f>-SUM([2]Specials!$AQ$37:$AR$37)/1000/BJ95</f>
        <v>#DIV/0!</v>
      </c>
      <c r="BK108" s="20" t="e">
        <f>-SUM([2]Specials!$AQ$38:$AR$38)/1000/BK95</f>
        <v>#DIV/0!</v>
      </c>
      <c r="BL108" s="20" t="e">
        <f>-SUM([2]Specials!$AQ$39:$AR$39)/1000/BL95</f>
        <v>#DIV/0!</v>
      </c>
      <c r="BM108" s="8"/>
      <c r="BN108" s="28">
        <f>-SUM('[2]Total P&amp;C'!$AQ$37:$AR$37)/1000/BN95</f>
        <v>0.19335157649596904</v>
      </c>
      <c r="BO108" s="28">
        <f>-SUM('[2]Total P&amp;C'!$AQ$38:$AR$38)/1000/BO95</f>
        <v>0.16760133442354014</v>
      </c>
      <c r="BP108" s="28">
        <f>-SUM('[2]Total P&amp;C'!$AQ$39:$AR$39)/1000/BP95</f>
        <v>0.16369211919049381</v>
      </c>
      <c r="BR108" s="28">
        <f>-SUM('[3]Total P&amp;C'!$AQ$37:$AR$37)/1000/BR95</f>
        <v>0.11261246163213963</v>
      </c>
      <c r="BS108" s="28">
        <f>-SUM('[3]Total P&amp;C'!$AQ$38:$AR$38)/1000/BS95</f>
        <v>0.10447051286257704</v>
      </c>
      <c r="BT108" s="28">
        <f>-SUM('[3]Total P&amp;C'!$AQ$39:$AR$39)/1000/BT95</f>
        <v>0.10487933865579706</v>
      </c>
    </row>
    <row r="109" spans="2:72" ht="16.5" hidden="1" customHeight="1" outlineLevel="1" x14ac:dyDescent="0.25">
      <c r="B109" s="202"/>
      <c r="C109" s="9"/>
      <c r="D109" s="37" t="s">
        <v>34</v>
      </c>
      <c r="J109" s="19">
        <f>+[1]Retail!$BK$37/1000</f>
        <v>0.02</v>
      </c>
      <c r="K109" s="19">
        <f>+[1]Retail!$BK$38/1000</f>
        <v>0</v>
      </c>
      <c r="L109" s="19">
        <f>+[1]Retail!$BK$39/1000</f>
        <v>0</v>
      </c>
      <c r="M109" s="6"/>
      <c r="N109" s="19">
        <f>+[1]SME!$BK$37/1000</f>
        <v>0</v>
      </c>
      <c r="O109" s="19">
        <f>+[1]SME!$BK$38/1000</f>
        <v>-3.9649999999999999E-4</v>
      </c>
      <c r="P109" s="19">
        <f>+[1]SME!$BK$39/1000</f>
        <v>0</v>
      </c>
      <c r="Q109" s="6"/>
      <c r="R109" s="19">
        <f>+[1]MidCorp!$BK$37/1000</f>
        <v>0.70654321000000053</v>
      </c>
      <c r="S109" s="19">
        <f>+[1]MidCorp!$BK$38/1000</f>
        <v>0.79013541999999781</v>
      </c>
      <c r="T109" s="19">
        <f>+[1]MidCorp!$BK$39/1000</f>
        <v>1.0376181700025522</v>
      </c>
      <c r="U109" s="6"/>
      <c r="V109" s="19">
        <f>+[1]MGA!$BK$37/1000</f>
        <v>3.9769999999999573E-5</v>
      </c>
      <c r="W109" s="19">
        <f>+[1]MGA!$BK$38/1000</f>
        <v>1.2374299999999994E-3</v>
      </c>
      <c r="X109" s="19">
        <f>+[1]MGA!$BK$39/1000</f>
        <v>0</v>
      </c>
      <c r="Y109" s="6"/>
      <c r="Z109" s="19">
        <f>+[1]Bancassurance!$BK$37/1000</f>
        <v>0</v>
      </c>
      <c r="AA109" s="19">
        <f>+[1]Bancassurance!$BK$38/1000</f>
        <v>0</v>
      </c>
      <c r="AB109" s="19">
        <f>+[1]Bancassurance!$BK$39/1000</f>
        <v>0</v>
      </c>
      <c r="AC109" s="6"/>
      <c r="AD109" s="19">
        <f>+[1]Specials!$BK$37/1000</f>
        <v>2.1283480000000066E-2</v>
      </c>
      <c r="AE109" s="19">
        <f>+[1]Specials!$BK$38/1000</f>
        <v>-3.5149089999999966E-2</v>
      </c>
      <c r="AF109" s="19">
        <f>+[1]Specials!$BK$39/1000</f>
        <v>0</v>
      </c>
      <c r="AG109" s="6"/>
      <c r="AH109" s="27">
        <f>+'[1]Total P&amp;C'!$BK$37/1000</f>
        <v>0.74786646000000023</v>
      </c>
      <c r="AI109" s="27">
        <f>+'[1]Total P&amp;C'!$BK$38/1000</f>
        <v>0.75582725999999856</v>
      </c>
      <c r="AJ109" s="27">
        <f>+'[1]Total P&amp;C'!$BK$39/1000</f>
        <v>1.0376181700025522</v>
      </c>
      <c r="AL109" s="202"/>
      <c r="AM109" s="9"/>
      <c r="AN109" s="37" t="s">
        <v>34</v>
      </c>
      <c r="AT109" s="19">
        <f>+[2]Retail!$BK$37/1000</f>
        <v>0</v>
      </c>
      <c r="AU109" s="19">
        <f>+[2]Retail!$BK$38/1000</f>
        <v>0</v>
      </c>
      <c r="AV109" s="19">
        <f>+[2]Retail!$BK$39/1000</f>
        <v>0</v>
      </c>
      <c r="AW109" s="6"/>
      <c r="AX109" s="19">
        <f>+[2]SME!$BK$37/1000</f>
        <v>-1.5561899999999801E-3</v>
      </c>
      <c r="AY109" s="19">
        <f>+[2]SME!$BK$38/1000</f>
        <v>0.12921627000000005</v>
      </c>
      <c r="AZ109" s="19">
        <f>+[2]SME!$BK$39/1000</f>
        <v>0</v>
      </c>
      <c r="BA109" s="6"/>
      <c r="BB109" s="19">
        <f>+[2]MidCorp!$BK$37/1000</f>
        <v>0.35516687999999202</v>
      </c>
      <c r="BC109" s="19">
        <f>+[2]MidCorp!$BK$38/1000</f>
        <v>-1.38750047</v>
      </c>
      <c r="BD109" s="19">
        <f>+[2]MidCorp!$BK$39/1000</f>
        <v>0.32120780731393511</v>
      </c>
      <c r="BJ109" s="19">
        <f>+[2]Specials!$BK$37/1000</f>
        <v>0</v>
      </c>
      <c r="BK109" s="19">
        <f>+[2]Specials!$BK$38/1000</f>
        <v>0</v>
      </c>
      <c r="BL109" s="19">
        <f>+[2]Specials!$BK$39/1000</f>
        <v>0</v>
      </c>
      <c r="BM109" s="6"/>
      <c r="BN109" s="27">
        <f>+'[2]Total P&amp;C'!$BK$37/1000</f>
        <v>0.35361068999999129</v>
      </c>
      <c r="BO109" s="27">
        <f>+'[2]Total P&amp;C'!$BK$38/1000</f>
        <v>-1.2582841999999987</v>
      </c>
      <c r="BP109" s="27">
        <f>+'[2]Total P&amp;C'!$BK$39/1000</f>
        <v>0.32120780731393511</v>
      </c>
      <c r="BR109" s="27">
        <f>+'[3]Total P&amp;C'!$BK$37/1000</f>
        <v>1.1014771499999976</v>
      </c>
      <c r="BS109" s="27">
        <f>+'[3]Total P&amp;C'!$BK$38/1000</f>
        <v>-0.50245694000000374</v>
      </c>
      <c r="BT109" s="27">
        <f>+'[3]Total P&amp;C'!$BK$39/1000</f>
        <v>1.3588259773164886</v>
      </c>
    </row>
    <row r="110" spans="2:72" hidden="1" outlineLevel="1" x14ac:dyDescent="0.25">
      <c r="B110"/>
      <c r="C110"/>
      <c r="D110"/>
      <c r="J110" s="47"/>
      <c r="K110" s="47"/>
      <c r="L110" s="47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L110"/>
      <c r="AM110"/>
      <c r="AN110"/>
      <c r="AT110" s="47"/>
      <c r="AU110" s="47"/>
      <c r="AV110" s="47"/>
      <c r="AW110"/>
      <c r="AX110"/>
      <c r="AY110"/>
      <c r="AZ110"/>
      <c r="BA110"/>
      <c r="BB110"/>
      <c r="BC110"/>
      <c r="BD110"/>
      <c r="BJ110"/>
      <c r="BK110"/>
      <c r="BL110"/>
      <c r="BM110"/>
      <c r="BN110"/>
      <c r="BO110"/>
      <c r="BP110"/>
      <c r="BR110"/>
      <c r="BS110"/>
      <c r="BT110"/>
    </row>
    <row r="111" spans="2:72" ht="16.5" customHeight="1" collapsed="1" x14ac:dyDescent="0.25">
      <c r="B111" s="202" t="s">
        <v>40</v>
      </c>
      <c r="C111" s="9"/>
      <c r="D111" s="37" t="s">
        <v>19</v>
      </c>
      <c r="J111" s="19">
        <f>+[1]Retail!$C$41/1000</f>
        <v>0.26423783999999995</v>
      </c>
      <c r="K111" s="19">
        <f>+[1]Retail!$C$42/1000</f>
        <v>0.32629632999999991</v>
      </c>
      <c r="L111" s="19">
        <f>+[1]Retail!$C$43/1000</f>
        <v>0</v>
      </c>
      <c r="M111" s="6"/>
      <c r="N111" s="19">
        <f>+[1]SME!$C$41/1000</f>
        <v>7.9912013099999992</v>
      </c>
      <c r="O111" s="19">
        <f>+[1]SME!$C$42/1000</f>
        <v>8.3559709099999999</v>
      </c>
      <c r="P111" s="19">
        <f>+[1]SME!$C$43/1000</f>
        <v>8.0388500000000001</v>
      </c>
      <c r="Q111" s="6"/>
      <c r="R111" s="19">
        <f>+[1]MidCorp!$C$41/1000</f>
        <v>34.074339359999996</v>
      </c>
      <c r="S111" s="19">
        <f>+[1]MidCorp!$C$42/1000</f>
        <v>33.936046259999998</v>
      </c>
      <c r="T111" s="19">
        <f>+[1]MidCorp!$C$43/1000</f>
        <v>35.573320000000002</v>
      </c>
      <c r="U111" s="6"/>
      <c r="V111" s="19">
        <f>+[1]MGA!$C$41/1000</f>
        <v>1.06793541</v>
      </c>
      <c r="W111" s="19">
        <f>+[1]MGA!$C$42/1000</f>
        <v>0.72135705999999999</v>
      </c>
      <c r="X111" s="19">
        <f>+[1]MGA!$C$43/1000</f>
        <v>1.17015</v>
      </c>
      <c r="Y111" s="6"/>
      <c r="Z111" s="19">
        <f>+[1]Bancassurance!$C$41/1000</f>
        <v>0.56855008000000107</v>
      </c>
      <c r="AA111" s="19">
        <f>+[1]Bancassurance!$C$42/1000</f>
        <v>0.22720669999999982</v>
      </c>
      <c r="AB111" s="19">
        <f>+[1]Bancassurance!$C$43/1000</f>
        <v>0.46499000000000001</v>
      </c>
      <c r="AC111" s="6"/>
      <c r="AD111" s="19">
        <f>+[1]Specials!$C$41/1000</f>
        <v>0</v>
      </c>
      <c r="AE111" s="19">
        <f>+[1]Specials!$C$42/1000</f>
        <v>0</v>
      </c>
      <c r="AF111" s="19">
        <f>+[1]Specials!$C$43/1000</f>
        <v>0</v>
      </c>
      <c r="AG111" s="6"/>
      <c r="AH111" s="27">
        <f>+'[1]Total P&amp;C'!$C$41/1000</f>
        <v>43.966263999999995</v>
      </c>
      <c r="AI111" s="27">
        <f>+'[1]Total P&amp;C'!$C$42/1000</f>
        <v>43.566877259999998</v>
      </c>
      <c r="AJ111" s="27">
        <f>+'[1]Total P&amp;C'!$C$43/1000</f>
        <v>45.247309999999999</v>
      </c>
      <c r="AL111" s="202" t="s">
        <v>40</v>
      </c>
      <c r="AM111" s="9"/>
      <c r="AN111" s="37" t="s">
        <v>19</v>
      </c>
      <c r="AT111" s="19">
        <f>+[2]Retail!$C$41/1000</f>
        <v>1.7562625100000002</v>
      </c>
      <c r="AU111" s="19">
        <f>+[2]Retail!$C$42/1000</f>
        <v>1.79275864</v>
      </c>
      <c r="AV111" s="19">
        <f>+[2]Retail!$C$43/1000</f>
        <v>1.80089528337227</v>
      </c>
      <c r="AW111" s="6"/>
      <c r="AX111" s="19">
        <f>+[2]SME!$C$41/1000</f>
        <v>3.5772385500000001</v>
      </c>
      <c r="AY111" s="19">
        <f>+[2]SME!$C$42/1000</f>
        <v>3.5668428100000003</v>
      </c>
      <c r="AZ111" s="19">
        <f>+[2]SME!$C$43/1000</f>
        <v>3.4141730273103246</v>
      </c>
      <c r="BA111" s="6"/>
      <c r="BB111" s="19">
        <f>+[2]MidCorp!$C$41/1000</f>
        <v>9.1223288100000062</v>
      </c>
      <c r="BC111" s="19">
        <f>+[2]MidCorp!$C$42/1000</f>
        <v>9.248511569999998</v>
      </c>
      <c r="BD111" s="19">
        <f>+[2]MidCorp!$C$43/1000</f>
        <v>9.5362593335711345</v>
      </c>
      <c r="BJ111" s="19">
        <f>+[2]Specials!$C$41/1000</f>
        <v>0</v>
      </c>
      <c r="BK111" s="19">
        <f>+[2]Specials!$C$42/1000</f>
        <v>0</v>
      </c>
      <c r="BL111" s="19">
        <f>+[2]Specials!$C$43/1000</f>
        <v>0</v>
      </c>
      <c r="BM111" s="6"/>
      <c r="BN111" s="27">
        <f>+'[2]Total P&amp;C'!$C$41/1000</f>
        <v>14.455829870000008</v>
      </c>
      <c r="BO111" s="27">
        <f>+'[2]Total P&amp;C'!$C$42/1000</f>
        <v>14.608113019999999</v>
      </c>
      <c r="BP111" s="27">
        <f>+'[2]Total P&amp;C'!$C$43/1000</f>
        <v>14.751327644253729</v>
      </c>
      <c r="BR111" s="27">
        <f>+'[3]Total P&amp;C'!$C$41/1000</f>
        <v>58.422093870000005</v>
      </c>
      <c r="BS111" s="27">
        <f>+'[3]Total P&amp;C'!$C$42/1000</f>
        <v>58.174990279999996</v>
      </c>
      <c r="BT111" s="27">
        <f>+'[3]Total P&amp;C'!$C$43/1000</f>
        <v>59.998637644253726</v>
      </c>
    </row>
    <row r="112" spans="2:72" ht="16.5" customHeight="1" x14ac:dyDescent="0.25">
      <c r="B112" s="202"/>
      <c r="C112" s="9"/>
      <c r="D112" s="37" t="s">
        <v>20</v>
      </c>
      <c r="J112" s="19">
        <f>+[1]Retail!$N$41/1000</f>
        <v>0.2628706899999998</v>
      </c>
      <c r="K112" s="19">
        <f>+[1]Retail!$N$42/1000</f>
        <v>0.33039135999999925</v>
      </c>
      <c r="L112" s="19">
        <f>+[1]Retail!$N$43/1000</f>
        <v>0</v>
      </c>
      <c r="M112" s="6"/>
      <c r="N112" s="19">
        <f>+[1]SME!$N$41/1000</f>
        <v>4.1460000599999995</v>
      </c>
      <c r="O112" s="19">
        <f>+[1]SME!$N$42/1000</f>
        <v>4.4435567100000002</v>
      </c>
      <c r="P112" s="19">
        <f>+[1]SME!$N$43/1000</f>
        <v>3.9138063803492953</v>
      </c>
      <c r="Q112" s="6"/>
      <c r="R112" s="19">
        <f>+[1]MidCorp!$N$41/1000</f>
        <v>12.091597999999998</v>
      </c>
      <c r="S112" s="19">
        <f>+[1]MidCorp!$N$42/1000</f>
        <v>12.516155129999996</v>
      </c>
      <c r="T112" s="19">
        <f>+[1]MidCorp!$N$43/1000</f>
        <v>13.506442429496509</v>
      </c>
      <c r="U112" s="6"/>
      <c r="V112" s="19">
        <f>+[1]MGA!$N$41/1000</f>
        <v>0.72203911999999981</v>
      </c>
      <c r="W112" s="19">
        <f>+[1]MGA!$N$42/1000</f>
        <v>0.56484365999999964</v>
      </c>
      <c r="X112" s="19">
        <f>+[1]MGA!$N$43/1000</f>
        <v>1.095</v>
      </c>
      <c r="Y112" s="6"/>
      <c r="Z112" s="19">
        <f>+[1]Bancassurance!$N$41/1000</f>
        <v>0.3839864199999995</v>
      </c>
      <c r="AA112" s="19">
        <f>+[1]Bancassurance!$N$42/1000</f>
        <v>0.15421565999999981</v>
      </c>
      <c r="AB112" s="19">
        <f>+[1]Bancassurance!$N$43/1000</f>
        <v>0.52588297610942858</v>
      </c>
      <c r="AC112" s="6"/>
      <c r="AD112" s="19">
        <f>+[1]Specials!$N$41/1000</f>
        <v>0</v>
      </c>
      <c r="AE112" s="19">
        <f>+[1]Specials!$N$42/1000</f>
        <v>0</v>
      </c>
      <c r="AF112" s="19">
        <f>+[1]Specials!$N$43/1000</f>
        <v>0</v>
      </c>
      <c r="AG112" s="6"/>
      <c r="AH112" s="27">
        <f>+'[1]Total P&amp;C'!$N$41/1000</f>
        <v>17.606494289999997</v>
      </c>
      <c r="AI112" s="27">
        <f>+'[1]Total P&amp;C'!$N$42/1000</f>
        <v>18.00916251999999</v>
      </c>
      <c r="AJ112" s="27">
        <f>+'[1]Total P&amp;C'!$N$43/1000</f>
        <v>19.041131785955233</v>
      </c>
      <c r="AL112" s="202"/>
      <c r="AM112" s="9"/>
      <c r="AN112" s="37" t="s">
        <v>20</v>
      </c>
      <c r="AT112" s="19">
        <f>+[2]Retail!$N$41/1000</f>
        <v>1.7474754400000003</v>
      </c>
      <c r="AU112" s="19">
        <f>+[2]Retail!$N$42/1000</f>
        <v>1.7681547000000009</v>
      </c>
      <c r="AV112" s="19">
        <f>+[2]Retail!$N$43/1000</f>
        <v>1.7948952092239718</v>
      </c>
      <c r="AW112" s="6"/>
      <c r="AX112" s="19">
        <f>+[2]SME!$N$41/1000</f>
        <v>1.7991692700000017</v>
      </c>
      <c r="AY112" s="19">
        <f>+[2]SME!$N$42/1000</f>
        <v>1.8372187900000008</v>
      </c>
      <c r="AZ112" s="19">
        <f>+[2]SME!$N$43/1000</f>
        <v>1.8385269787856031</v>
      </c>
      <c r="BA112" s="6"/>
      <c r="BB112" s="19">
        <f>+[2]MidCorp!$N$41/1000</f>
        <v>4.2429061200000069</v>
      </c>
      <c r="BC112" s="19">
        <f>+[2]MidCorp!$N$42/1000</f>
        <v>4.3527476099999927</v>
      </c>
      <c r="BD112" s="19">
        <f>+[2]MidCorp!$N$43/1000</f>
        <v>4.1895342916585774</v>
      </c>
      <c r="BJ112" s="19">
        <f>+[2]Specials!$N$41/1000</f>
        <v>0</v>
      </c>
      <c r="BK112" s="19">
        <f>+[2]Specials!$N$42/1000</f>
        <v>0</v>
      </c>
      <c r="BL112" s="19">
        <f>+[2]Specials!$N$43/1000</f>
        <v>0</v>
      </c>
      <c r="BM112" s="6"/>
      <c r="BN112" s="27">
        <f>+'[2]Total P&amp;C'!$N$41/1000</f>
        <v>7.7895508300000094</v>
      </c>
      <c r="BO112" s="27">
        <f>+'[2]Total P&amp;C'!$N$42/1000</f>
        <v>7.9581210999999952</v>
      </c>
      <c r="BP112" s="27">
        <f>+'[2]Total P&amp;C'!$N$43/1000</f>
        <v>7.8229564796681528</v>
      </c>
      <c r="BR112" s="27">
        <f>+'[3]Total P&amp;C'!$N$41/1000</f>
        <v>25.396045120000011</v>
      </c>
      <c r="BS112" s="27">
        <f>+'[3]Total P&amp;C'!$N$42/1000</f>
        <v>25.967283619999986</v>
      </c>
      <c r="BT112" s="27">
        <f>+'[3]Total P&amp;C'!$N$43/1000</f>
        <v>26.864088265623383</v>
      </c>
    </row>
    <row r="113" spans="2:72" ht="16.5" customHeight="1" x14ac:dyDescent="0.25">
      <c r="B113" s="202"/>
      <c r="C113" s="9"/>
      <c r="D113" s="37" t="s">
        <v>21</v>
      </c>
      <c r="J113" s="20">
        <f>+J114+J119+J120+J121+J122</f>
        <v>4.115673755792252</v>
      </c>
      <c r="K113" s="20">
        <f>+K114+K119+K120+K121+K122</f>
        <v>0.38411264749780472</v>
      </c>
      <c r="L113" s="20" t="e">
        <f>+L114+L119+L120+L121+L122</f>
        <v>#DIV/0!</v>
      </c>
      <c r="M113" s="6"/>
      <c r="N113" s="20">
        <f>+N114+N119+N120+N121+N122</f>
        <v>0.93776695459092674</v>
      </c>
      <c r="O113" s="20">
        <f>+O114+O119+O120+O121+O122</f>
        <v>0.29838390427563555</v>
      </c>
      <c r="P113" s="20">
        <f>+P114+P119+P120+P121+P122</f>
        <v>0.83992314680861846</v>
      </c>
      <c r="Q113" s="6"/>
      <c r="R113" s="20">
        <f>+R114+R119+R120+R121+R122</f>
        <v>0.75634597924939306</v>
      </c>
      <c r="S113" s="20">
        <f>+S114+S119+S120+S121+S122</f>
        <v>1.3178734386619897</v>
      </c>
      <c r="T113" s="20">
        <f>+T114+T119+T120+T121+T122</f>
        <v>0.87058266347254598</v>
      </c>
      <c r="U113" s="6"/>
      <c r="V113" s="20">
        <f>+V114+V119+V120+V121+V122</f>
        <v>2.5145867442749603E-3</v>
      </c>
      <c r="W113" s="20">
        <f>+W114+W119+W120+W121+W122</f>
        <v>-0.32224350362718063</v>
      </c>
      <c r="X113" s="20">
        <f>+X114+X119+X120+X121+X122</f>
        <v>0.96825496643143039</v>
      </c>
      <c r="Y113" s="6"/>
      <c r="Z113" s="20">
        <f>+Z114+Z119+Z120+Z121+Z122</f>
        <v>0.29495037871391405</v>
      </c>
      <c r="AA113" s="20">
        <f>+AA114+AA119+AA120+AA121+AA122</f>
        <v>1.0668273247995712</v>
      </c>
      <c r="AB113" s="20">
        <f>+AB114+AB119+AB120+AB121+AB122</f>
        <v>0.82441390991400509</v>
      </c>
      <c r="AC113" s="6"/>
      <c r="AD113" s="20" t="e">
        <f>+AD114+AD119+AD120+AD121+AD122</f>
        <v>#DIV/0!</v>
      </c>
      <c r="AE113" s="20" t="e">
        <f>+AE114+AE119+AE120+AE121+AE122</f>
        <v>#DIV/0!</v>
      </c>
      <c r="AF113" s="20" t="e">
        <f>+AF114+AF119+AF120+AF121+AF122</f>
        <v>#DIV/0!</v>
      </c>
      <c r="AG113" s="6"/>
      <c r="AH113" s="28">
        <f>+AH114+AH119+AH120+AH121+AH122</f>
        <v>0.80881699079005043</v>
      </c>
      <c r="AI113" s="28">
        <f>+AI114+AI119+AI120+AI121+AI122</f>
        <v>0.99510660254733552</v>
      </c>
      <c r="AJ113" s="28">
        <f>+AJ114+AJ119+AJ120+AJ121+AJ122</f>
        <v>0.87278026349829907</v>
      </c>
      <c r="AL113" s="202"/>
      <c r="AM113" s="9"/>
      <c r="AN113" s="37" t="s">
        <v>21</v>
      </c>
      <c r="AT113" s="20">
        <f>+AT114+AT119+AT120+AT121+AT122</f>
        <v>1.211895744869524</v>
      </c>
      <c r="AU113" s="20">
        <f>+AU114+AU119+AU120+AU121+AU122</f>
        <v>2.1588569823669825</v>
      </c>
      <c r="AV113" s="20">
        <f>+AV114+AV119+AV120+AV121+AV122</f>
        <v>0.96290031861907521</v>
      </c>
      <c r="AW113" s="6"/>
      <c r="AX113" s="20">
        <f>+AX114+AX119+AX120+AX121+AX122</f>
        <v>1.6017054470922552</v>
      </c>
      <c r="AY113" s="20">
        <f>+AY114+AY119+AY120+AY121+AY122</f>
        <v>2.1740553012741586</v>
      </c>
      <c r="AZ113" s="20">
        <f>+AZ114+AZ119+AZ120+AZ121+AZ122</f>
        <v>1.1157193965102108</v>
      </c>
      <c r="BA113" s="6"/>
      <c r="BB113" s="20">
        <f>+BB114+BB119+BB120+BB121+BB122</f>
        <v>0.96571733244005697</v>
      </c>
      <c r="BC113" s="20">
        <f>+BC114+BC119+BC120+BC121+BC122</f>
        <v>0.38865738186000731</v>
      </c>
      <c r="BD113" s="20">
        <f>+BD114+BD119+BD120+BD121+BD122</f>
        <v>1.0450670041308556</v>
      </c>
      <c r="BJ113" s="20" t="e">
        <f>+BJ114+BJ119+BJ120+BJ121+BJ122</f>
        <v>#DIV/0!</v>
      </c>
      <c r="BK113" s="20" t="e">
        <f>+BK114+BK119+BK120+BK121+BK122</f>
        <v>#DIV/0!</v>
      </c>
      <c r="BL113" s="20" t="e">
        <f>+BL114+BL119+BL120+BL121+BL122</f>
        <v>#DIV/0!</v>
      </c>
      <c r="BM113" s="6"/>
      <c r="BN113" s="28">
        <f>+BN114+BN119+BN120+BN121+BN122</f>
        <v>1.167839513282948</v>
      </c>
      <c r="BO113" s="28">
        <f>+BO114+BO119+BO120+BO121+BO122</f>
        <v>1.1941431577360648</v>
      </c>
      <c r="BP113" s="28">
        <f>+BP114+BP119+BP120+BP121+BP122</f>
        <v>1.0428192272547578</v>
      </c>
      <c r="BR113" s="28">
        <f>+BR114+BR119+BR120+BR121+BR122</f>
        <v>0.91893745147039585</v>
      </c>
      <c r="BS113" s="28">
        <f>+BS114+BS119+BS120+BS121+BS122</f>
        <v>1.0561047813594919</v>
      </c>
      <c r="BT113" s="28">
        <f>+BT114+BT119+BT120+BT121+BT122</f>
        <v>0.92229645776337121</v>
      </c>
    </row>
    <row r="114" spans="2:72" ht="16.5" customHeight="1" x14ac:dyDescent="0.25">
      <c r="B114" s="202"/>
      <c r="C114" s="9"/>
      <c r="D114" s="37" t="s">
        <v>22</v>
      </c>
      <c r="J114" s="20">
        <f>+J115+J116+J117+J118</f>
        <v>1.7123552268227388E-2</v>
      </c>
      <c r="K114" s="20">
        <f>+K115+K116+K117+K118</f>
        <v>0.58715218824124338</v>
      </c>
      <c r="L114" s="20" t="e">
        <f>+L115+L116+L117+L118</f>
        <v>#DIV/0!</v>
      </c>
      <c r="M114" s="6"/>
      <c r="N114" s="20">
        <f>+N115+N116+N117+N118</f>
        <v>0.41430738667186606</v>
      </c>
      <c r="O114" s="20">
        <f>+O115+O116+O117+O118</f>
        <v>0.48021395680578588</v>
      </c>
      <c r="P114" s="20">
        <f>+P115+P116+P117+P118</f>
        <v>0.49674186173608431</v>
      </c>
      <c r="Q114" s="6"/>
      <c r="R114" s="20">
        <f>+R115+R116+R117+R118</f>
        <v>0.63919686959490396</v>
      </c>
      <c r="S114" s="20">
        <f>+S115+S116+S117+S118</f>
        <v>0.68966729881047784</v>
      </c>
      <c r="T114" s="20">
        <f>+T115+T116+T117+T118</f>
        <v>0.63389025128004162</v>
      </c>
      <c r="U114" s="6"/>
      <c r="V114" s="20">
        <f>+V115+V116+V117+V118</f>
        <v>0.7018995868257113</v>
      </c>
      <c r="W114" s="20">
        <f>+W115+W116+W117+W118</f>
        <v>0.56811782219526064</v>
      </c>
      <c r="X114" s="20">
        <f>+X115+X116+X117+X118</f>
        <v>0.57424867123609413</v>
      </c>
      <c r="Y114" s="6"/>
      <c r="Z114" s="20">
        <f>+Z115+Z116+Z117+Z118</f>
        <v>0.57086623011303439</v>
      </c>
      <c r="AA114" s="20">
        <f>+AA115+AA116+AA117+AA118</f>
        <v>0.28206597176966369</v>
      </c>
      <c r="AB114" s="20">
        <f>+AB115+AB116+AB117+AB118</f>
        <v>0.47703279987202263</v>
      </c>
      <c r="AC114" s="6"/>
      <c r="AD114" s="20" t="e">
        <f>+AD115+AD116+AD117+AD118</f>
        <v>#DIV/0!</v>
      </c>
      <c r="AE114" s="20" t="e">
        <f>+AE115+AE116+AE117+AE118</f>
        <v>#DIV/0!</v>
      </c>
      <c r="AF114" s="20" t="e">
        <f>+AF115+AF116+AF117+AF118</f>
        <v>#DIV/0!</v>
      </c>
      <c r="AG114" s="6"/>
      <c r="AH114" s="28">
        <f>+AH115+AH116+AH117+AH118</f>
        <v>0.57803302533544865</v>
      </c>
      <c r="AI114" s="28">
        <f>+AI115+AI116+AI117+AI118</f>
        <v>0.62988223896599083</v>
      </c>
      <c r="AJ114" s="28">
        <f>+AJ115+AJ116+AJ117+AJ118</f>
        <v>0.59899573173565901</v>
      </c>
      <c r="AL114" s="202"/>
      <c r="AM114" s="9"/>
      <c r="AN114" s="37" t="s">
        <v>22</v>
      </c>
      <c r="AT114" s="20">
        <f>+AT115+AT116+AT117+AT118</f>
        <v>0.48928180072161698</v>
      </c>
      <c r="AU114" s="20">
        <f>+AU115+AU116+AU117+AU118</f>
        <v>0.80632169798264786</v>
      </c>
      <c r="AV114" s="20">
        <f>+AV115+AV116+AV117+AV118</f>
        <v>0.4777181459946287</v>
      </c>
      <c r="AW114" s="6"/>
      <c r="AX114" s="20">
        <f>+AX115+AX116+AX117+AX118</f>
        <v>0.62745364698230921</v>
      </c>
      <c r="AY114" s="20">
        <f>+AY115+AY116+AY117+AY118</f>
        <v>0.5541662514784097</v>
      </c>
      <c r="AZ114" s="20">
        <f>+AZ115+AZ116+AZ117+AZ118</f>
        <v>0.53162835367601136</v>
      </c>
      <c r="BA114" s="6"/>
      <c r="BB114" s="20">
        <f>+BB115+BB116+BB117+BB118</f>
        <v>0.69846272488348027</v>
      </c>
      <c r="BC114" s="20">
        <f>+BC115+BC116+BC117+BC118</f>
        <v>0.64261899853182747</v>
      </c>
      <c r="BD114" s="20">
        <f>+BD115+BD116+BD117+BD118</f>
        <v>0.65783594900284181</v>
      </c>
      <c r="BJ114" s="20" t="e">
        <f>+BJ115+BJ116+BJ117+BJ118</f>
        <v>#DIV/0!</v>
      </c>
      <c r="BK114" s="20" t="e">
        <f>+BK115+BK116+BK117+BK118</f>
        <v>#DIV/0!</v>
      </c>
      <c r="BL114" s="20" t="e">
        <f>+BL115+BL116+BL117+BL118</f>
        <v>#DIV/0!</v>
      </c>
      <c r="BM114" s="6"/>
      <c r="BN114" s="28">
        <f>+BN115+BN116+BN117+BN118</f>
        <v>0.63513482715151537</v>
      </c>
      <c r="BO114" s="28">
        <f>+BO115+BO116+BO117+BO118</f>
        <v>0.65857058395354218</v>
      </c>
      <c r="BP114" s="28">
        <f>+BP115+BP116+BP117+BP118</f>
        <v>0.58684889288221531</v>
      </c>
      <c r="BR114" s="28">
        <f>+BR115+BR116+BR117+BR118</f>
        <v>0.59554746058035013</v>
      </c>
      <c r="BS114" s="28">
        <f>+BS115+BS116+BS117+BS118</f>
        <v>0.63867427616597228</v>
      </c>
      <c r="BT114" s="28">
        <f>+BT115+BT116+BT117+BT118</f>
        <v>0.59545851168275932</v>
      </c>
    </row>
    <row r="115" spans="2:72" ht="16.5" customHeight="1" x14ac:dyDescent="0.25">
      <c r="B115" s="202"/>
      <c r="C115" s="9"/>
      <c r="D115" s="38" t="s">
        <v>23</v>
      </c>
      <c r="J115" s="20">
        <f>-SUM([1]Retail!$O$41,[1]Retail!$R$41:$V$41,[1]Retail!$Y$41,[1]Retail!$AB$41,[1]Retail!$AU$41,[1]Retail!$AX$41,[1]Retail!$BA$41,[1]Retail!$BD$41)/1000/J112</f>
        <v>1.6824241607156731E-2</v>
      </c>
      <c r="K115" s="42">
        <f>-SUM([1]Retail!$O$42,[1]Retail!$R$42:$V$42,[1]Retail!$Y$42,[1]Retail!$AB$42,[1]Retail!$AU$42,[1]Retail!$AX$42,[1]Retail!$BA$42,[1]Retail!$BD$42)/1000/K112</f>
        <v>0.40967427874442325</v>
      </c>
      <c r="L115" s="42" t="e">
        <f>-SUM([1]Retail!$O$43,[1]Retail!$R$43:$V$43,[1]Retail!$Y$43,[1]Retail!$AB$43,[1]Retail!$AU$43,[1]Retail!$AX$43,[1]Retail!$BA$43,[1]Retail!$BD$43)/1000/L112</f>
        <v>#DIV/0!</v>
      </c>
      <c r="M115" s="6"/>
      <c r="N115" s="20">
        <f>-SUM([1]SME!$O$41,[1]SME!$R$41:$V$41,[1]SME!$Y$41,[1]SME!$AB$41,[1]SME!$AU$41,[1]SME!$AX$41,[1]SME!$BA$41,[1]SME!$BD$41)/1000/N112</f>
        <v>0.30283997933832207</v>
      </c>
      <c r="O115" s="20">
        <f>-SUM([1]SME!$O$42,[1]SME!$R$42:$V$42,[1]SME!$Y$42,[1]SME!$AB$42,[1]SME!$AU$42,[1]SME!$AX$42,[1]SME!$BA$42,[1]SME!$BD$42)/1000/O112</f>
        <v>0.35126682080150495</v>
      </c>
      <c r="P115" s="20">
        <f>-SUM([1]SME!$O$43,[1]SME!$R$43:$V$43,[1]SME!$Y$43,[1]SME!$AB$43,[1]SME!$AU$43,[1]SME!$AX$43,[1]SME!$BA$43,[1]SME!$BD$43)/1000/P112</f>
        <v>0.36448324661850406</v>
      </c>
      <c r="Q115" s="6"/>
      <c r="R115" s="20">
        <f>-SUM([1]MidCorp!$O$41,[1]MidCorp!$R$41:$V$41,[1]MidCorp!$Y$41,[1]MidCorp!$AB$41,[1]MidCorp!$AU$41,[1]MidCorp!$AX$41,[1]MidCorp!$BA$41,[1]MidCorp!$BD$41)/1000/R112</f>
        <v>0.46247086014233074</v>
      </c>
      <c r="S115" s="20">
        <f>-SUM([1]MidCorp!$O$42,[1]MidCorp!$R$42:$V$42,[1]MidCorp!$Y$42,[1]MidCorp!$AB$42,[1]MidCorp!$AU$42,[1]MidCorp!$AX$42,[1]MidCorp!$BA$42,[1]MidCorp!$BD$42)/1000/S112</f>
        <v>0.51325888554585009</v>
      </c>
      <c r="T115" s="20">
        <f>-SUM([1]MidCorp!$O$43,[1]MidCorp!$R$43:$V$43,[1]MidCorp!$Y$43,[1]MidCorp!$AB$43,[1]MidCorp!$AU$43,[1]MidCorp!$AX$43,[1]MidCorp!$BA$43,[1]MidCorp!$BD$43)/1000/T112</f>
        <v>0.48214856659822664</v>
      </c>
      <c r="U115" s="6"/>
      <c r="V115" s="20">
        <f>-SUM([1]MGA!$O$41,[1]MGA!$R$41:$V$41,[1]MGA!$Y$41,[1]MGA!$AB$41,[1]MGA!$AU$41,[1]MGA!$AX$41,[1]MGA!$BA$41,[1]MGA!$BD$41)/1000/V112</f>
        <v>0.65700570351368237</v>
      </c>
      <c r="W115" s="20">
        <f>-SUM([1]MGA!$O$42,[1]MGA!$R$42:$V$42,[1]MGA!$Y$42,[1]MGA!$AB$42,[1]MGA!$AU$42,[1]MGA!$AX$42,[1]MGA!$BA$42,[1]MGA!$BD$42)/1000/W112</f>
        <v>0.50386506949551357</v>
      </c>
      <c r="X115" s="20">
        <f>-SUM([1]MGA!$O$43,[1]MGA!$R$43:$V$43,[1]MGA!$Y$43,[1]MGA!$AB$43,[1]MGA!$AU$43,[1]MGA!$AX$43,[1]MGA!$BA$43,[1]MGA!$BD$43)/1000/X112</f>
        <v>0.46588707146509639</v>
      </c>
      <c r="Y115" s="6"/>
      <c r="Z115" s="20">
        <f>-SUM([1]Bancassurance!$O$41,[1]Bancassurance!$R$41:$V$41,[1]Bancassurance!$Y$41,[1]Bancassurance!$AB$41,[1]Bancassurance!$AU$41,[1]Bancassurance!$AX$41,[1]Bancassurance!$BA$41,[1]Bancassurance!$BD$41)/1000/Z112</f>
        <v>0.53740153102289467</v>
      </c>
      <c r="AA115" s="20">
        <f>-SUM([1]Bancassurance!$O$42,[1]Bancassurance!$R$42:$V$42,[1]Bancassurance!$Y$42,[1]Bancassurance!$AB$42,[1]Bancassurance!$AU$42,[1]Bancassurance!$AX$42,[1]Bancassurance!$BA$42,[1]Bancassurance!$BD$42)/1000/AA112</f>
        <v>8.1693843543515707E-2</v>
      </c>
      <c r="AB115" s="20">
        <f>-SUM([1]Bancassurance!$O$43,[1]Bancassurance!$R$43:$V$43,[1]Bancassurance!$Y$43,[1]Bancassurance!$AB$43,[1]Bancassurance!$AU$43,[1]Bancassurance!$AX$43,[1]Bancassurance!$BA$43,[1]Bancassurance!$BD$43)/1000/AB112</f>
        <v>0.37676724895865793</v>
      </c>
      <c r="AC115" s="6"/>
      <c r="AD115" s="20" t="e">
        <f>-SUM([1]Specials!$O$41,[1]Specials!$R$41:$V$41,[1]Specials!$Y$41,[1]Specials!$AB$41,[1]Specials!$AU$41,[1]Specials!$AX$41,[1]Specials!$BA$41,[1]Specials!$BD$41)/1000/AD112</f>
        <v>#DIV/0!</v>
      </c>
      <c r="AE115" s="20" t="e">
        <f>-SUM([1]Specials!$O$42,[1]Specials!$R$42:$V$42,[1]Specials!$Y$42,[1]Specials!$AB$42,[1]Specials!$AU$42,[1]Specials!$AX$42,[1]Specials!$BA$42,[1]Specials!$BD$42)/1000/AE112</f>
        <v>#DIV/0!</v>
      </c>
      <c r="AF115" s="20" t="e">
        <f>-SUM([1]Specials!$O$43,[1]Specials!$R$43:$V$43,[1]Specials!$Y$43,[1]Specials!$AB$43,[1]Specials!$AU$43,[1]Specials!$AX$43,[1]Specials!$BA$43,[1]Specials!$BD$43)/1000/AF112</f>
        <v>#DIV/0!</v>
      </c>
      <c r="AG115" s="6"/>
      <c r="AH115" s="28">
        <f>-SUM('[1]Total P&amp;C'!$O$41,'[1]Total P&amp;C'!$R$41:$V$41,'[1]Total P&amp;C'!$Y$41,'[1]Total P&amp;C'!$AB$41,'[1]Total P&amp;C'!$AU$41,'[1]Total P&amp;C'!$AX$41,'[1]Total P&amp;C'!$BA$41,'[1]Total P&amp;C'!$BD$41)/1000/AH112</f>
        <v>0.42783915332541583</v>
      </c>
      <c r="AI115" s="28">
        <f>-SUM('[1]Total P&amp;C'!$O$42,'[1]Total P&amp;C'!$R$42:$V$42,'[1]Total P&amp;C'!$Y$42,'[1]Total P&amp;C'!$AB$42,'[1]Total P&amp;C'!$AU$42,'[1]Total P&amp;C'!$AX$42,'[1]Total P&amp;C'!$BA$42,'[1]Total P&amp;C'!$BD$42)/1000/AI112</f>
        <v>0.46847720845750124</v>
      </c>
      <c r="AJ115" s="28">
        <f>-SUM('[1]Total P&amp;C'!$O$43,'[1]Total P&amp;C'!$R$43:$V$43,'[1]Total P&amp;C'!$Y$43,'[1]Total P&amp;C'!$AB$43,'[1]Total P&amp;C'!$AU$43,'[1]Total P&amp;C'!$AX$43,'[1]Total P&amp;C'!$BA$43,'[1]Total P&amp;C'!$BD$43)/1000/AJ112</f>
        <v>0.45517503510575419</v>
      </c>
      <c r="AL115" s="202"/>
      <c r="AM115" s="9"/>
      <c r="AN115" s="38" t="s">
        <v>23</v>
      </c>
      <c r="AT115" s="20">
        <f>-SUM([2]Retail!$O$41,[2]Retail!$R$41:$V$41,[2]Retail!$Y$41,[2]Retail!$AB$41,[2]Retail!$AU$41,[2]Retail!$AX$41,[2]Retail!$BA$41,[2]Retail!$BD$41)/1000/AT112</f>
        <v>0.41966363391379202</v>
      </c>
      <c r="AU115" s="42">
        <f>-SUM([2]Retail!$O$42,[2]Retail!$R$42:$V$42,[2]Retail!$Y$42,[2]Retail!$AB$42,[2]Retail!$AU$42,[2]Retail!$AX$42,[2]Retail!$BA$42,[2]Retail!$BD$42)/1000/AU112</f>
        <v>0.75052950400776541</v>
      </c>
      <c r="AV115" s="42">
        <f>-SUM([2]Retail!$O$43,[2]Retail!$R$43:$V$43,[2]Retail!$Y$43,[2]Retail!$AB$43,[2]Retail!$AU$43,[2]Retail!$AX$43,[2]Retail!$BA$43,[2]Retail!$BD$43)/1000/AV112</f>
        <v>0.39460236784754527</v>
      </c>
      <c r="AW115" s="6"/>
      <c r="AX115" s="20">
        <f>-SUM([2]SME!$O$41,[2]SME!$R$41:$V$41,[2]SME!$Y$41,[2]SME!$AB$41,[2]SME!$AU$41,[2]SME!$AX$41,[2]SME!$BA$41,[2]SME!$BD$41)/1000/AX112</f>
        <v>0.50882003500545037</v>
      </c>
      <c r="AY115" s="20">
        <f>-SUM([2]SME!$O$42,[2]SME!$R$42:$V$42,[2]SME!$Y$42,[2]SME!$AB$42,[2]SME!$AU$42,[2]SME!$AX$42,[2]SME!$BA$42,[2]SME!$BD$42)/1000/AY112</f>
        <v>0.51887235488158689</v>
      </c>
      <c r="AZ115" s="20">
        <f>-SUM([2]SME!$O$43,[2]SME!$R$43:$V$43,[2]SME!$Y$43,[2]SME!$AB$43,[2]SME!$AU$43,[2]SME!$AX$43,[2]SME!$BA$43,[2]SME!$BD$43)/1000/AZ112</f>
        <v>0.41770759198645441</v>
      </c>
      <c r="BA115" s="6"/>
      <c r="BB115" s="20">
        <f>-SUM([2]MidCorp!$O$41,[2]MidCorp!$R$41:$V$41,[2]MidCorp!$Y$41,[2]MidCorp!$AB$41,[2]MidCorp!$AU$41,[2]MidCorp!$AX$41,[2]MidCorp!$BA$41,[2]MidCorp!$BD$41)/1000/BB112</f>
        <v>0.50982692837802202</v>
      </c>
      <c r="BC115" s="20">
        <f>-SUM([2]MidCorp!$O$42,[2]MidCorp!$R$42:$V$42,[2]MidCorp!$Y$42,[2]MidCorp!$AB$42,[2]MidCorp!$AU$42,[2]MidCorp!$AX$42,[2]MidCorp!$BA$42,[2]MidCorp!$BD$42)/1000/BC112</f>
        <v>0.51800844019072467</v>
      </c>
      <c r="BD115" s="20">
        <f>-SUM([2]MidCorp!$O$43,[2]MidCorp!$R$43:$V$43,[2]MidCorp!$Y$43,[2]MidCorp!$AB$43,[2]MidCorp!$AU$43,[2]MidCorp!$AX$43,[2]MidCorp!$BA$43,[2]MidCorp!$BD$43)/1000/BD112</f>
        <v>0.48024796896810357</v>
      </c>
      <c r="BJ115" s="20" t="e">
        <f>-SUM([2]Specials!$O$41,[2]Specials!$R$41:$V$41,[2]Specials!$Y$41,[2]Specials!$AB$41,[2]Specials!$AU$41,[2]Specials!$AX$41,[2]Specials!$BA$41,[2]Specials!$BD$41)/1000/BJ112</f>
        <v>#DIV/0!</v>
      </c>
      <c r="BK115" s="20" t="e">
        <f>-SUM([2]Specials!$O$42,[2]Specials!$R$42:$V$42,[2]Specials!$Y$42,[2]Specials!$AB$42,[2]Specials!$AU$42,[2]Specials!$AX$42,[2]Specials!$BA$42,[2]Specials!$BD$42)/1000/BK112</f>
        <v>#DIV/0!</v>
      </c>
      <c r="BL115" s="20" t="e">
        <f>-SUM([2]Specials!$O$43,[2]Specials!$R$43:$V$43,[2]Specials!$Y$43,[2]Specials!$AB$43,[2]Specials!$AU$43,[2]Specials!$AX$43,[2]Specials!$BA$43,[2]Specials!$BD$43)/1000/BL112</f>
        <v>#DIV/0!</v>
      </c>
      <c r="BM115" s="6"/>
      <c r="BN115" s="28">
        <f>-SUM('[2]Total P&amp;C'!$O$41,'[2]Total P&amp;C'!$R$41:$V$41,'[2]Total P&amp;C'!$Y$41,'[2]Total P&amp;C'!$AB$41,'[2]Total P&amp;C'!$AU$41,'[2]Total P&amp;C'!$AX$41,'[2]Total P&amp;C'!$BA$41,'[2]Total P&amp;C'!$BD$41)/1000/BN112</f>
        <v>0.48936750552323494</v>
      </c>
      <c r="BO115" s="28">
        <f>-SUM('[2]Total P&amp;C'!$O$42,'[2]Total P&amp;C'!$R$42:$V$42,'[2]Total P&amp;C'!$Y$42,'[2]Total P&amp;C'!$AB$42,'[2]Total P&amp;C'!$AU$42,'[2]Total P&amp;C'!$AX$42,'[2]Total P&amp;C'!$BA$42,'[2]Total P&amp;C'!$BD$42)/1000/BO112</f>
        <v>0.56986997973680054</v>
      </c>
      <c r="BP115" s="28">
        <f>-SUM('[2]Total P&amp;C'!$O$43,'[2]Total P&amp;C'!$R$43:$V$43,'[2]Total P&amp;C'!$Y$43,'[2]Total P&amp;C'!$AB$43,'[2]Total P&amp;C'!$AU$43,'[2]Total P&amp;C'!$AX$43,'[2]Total P&amp;C'!$BA$43,'[2]Total P&amp;C'!$BD$43)/1000/BP112</f>
        <v>0.44589943971513502</v>
      </c>
      <c r="BR115" s="28">
        <f>-SUM('[3]Total P&amp;C'!$O$41,'[3]Total P&amp;C'!$R$41:$V$41,'[3]Total P&amp;C'!$Y$41,'[3]Total P&amp;C'!$AB$41,'[3]Total P&amp;C'!$AU$41,'[3]Total P&amp;C'!$AX$41,'[3]Total P&amp;C'!$BA$41,'[3]Total P&amp;C'!$BD$41)/1000/BR112</f>
        <v>0.44671131332774666</v>
      </c>
      <c r="BS115" s="28">
        <f>-SUM('[3]Total P&amp;C'!$O$42,'[3]Total P&amp;C'!$R$42:$V$42,'[3]Total P&amp;C'!$Y$42,'[3]Total P&amp;C'!$AB$42,'[3]Total P&amp;C'!$AU$42,'[3]Total P&amp;C'!$AX$42,'[3]Total P&amp;C'!$BA$42,'[3]Total P&amp;C'!$BD$42)/1000/BS112</f>
        <v>0.49955076872330401</v>
      </c>
      <c r="BT115" s="28">
        <f>-SUM('[3]Total P&amp;C'!$O$43,'[3]Total P&amp;C'!$R$43:$V$43,'[3]Total P&amp;C'!$Y$43,'[3]Total P&amp;C'!$AB$43,'[3]Total P&amp;C'!$AU$43,'[3]Total P&amp;C'!$AX$43,'[3]Total P&amp;C'!$BA$43,'[3]Total P&amp;C'!$BD$43)/1000/BT112</f>
        <v>0.45247393546870912</v>
      </c>
    </row>
    <row r="116" spans="2:72" ht="16.5" customHeight="1" x14ac:dyDescent="0.25">
      <c r="B116" s="202"/>
      <c r="C116" s="9"/>
      <c r="D116" s="38" t="s">
        <v>24</v>
      </c>
      <c r="J116" s="20">
        <f>-([1]Retail!$P$41+[1]Retail!$W$41+[1]Retail!$AV$41+[1]Retail!$AY$41)/1000/J112</f>
        <v>0</v>
      </c>
      <c r="K116" s="42">
        <f>-([1]Retail!$P$42+[1]Retail!$W$42+[1]Retail!$AV$42+[1]Retail!$AY$42)/1000/K112</f>
        <v>0</v>
      </c>
      <c r="L116" s="42" t="e">
        <f>-([1]Retail!$P$43+[1]Retail!$W$43+[1]Retail!$AV$43+[1]Retail!$AY$43)/1000/L112</f>
        <v>#DIV/0!</v>
      </c>
      <c r="M116" s="7"/>
      <c r="N116" s="20">
        <f>-([1]SME!$P$41+[1]SME!$W$41+[1]SME!$AV$41+[1]SME!$AY$41)/1000/N112</f>
        <v>0</v>
      </c>
      <c r="O116" s="20">
        <f>-([1]SME!$P$42+[1]SME!$W$42+[1]SME!$AV$42+[1]SME!$AY$42)/1000/O112</f>
        <v>0</v>
      </c>
      <c r="P116" s="20">
        <f>-([1]SME!$P$43+[1]SME!$W$43+[1]SME!$AV$43+[1]SME!$AY$43)/1000/P112</f>
        <v>0</v>
      </c>
      <c r="Q116" s="7"/>
      <c r="R116" s="20">
        <f>-([1]MidCorp!$P$41+[1]MidCorp!$W$41+[1]MidCorp!$AV$41+[1]MidCorp!$AY$41)/1000/R112</f>
        <v>0</v>
      </c>
      <c r="S116" s="20">
        <f>-([1]MidCorp!$P$42+[1]MidCorp!$W$42+[1]MidCorp!$AV$42+[1]MidCorp!$AY$42)/1000/S112</f>
        <v>0</v>
      </c>
      <c r="T116" s="20">
        <f>-([1]MidCorp!$P$43+[1]MidCorp!$W$43+[1]MidCorp!$AV$43+[1]MidCorp!$AY$43)/1000/T112</f>
        <v>0</v>
      </c>
      <c r="U116" s="7"/>
      <c r="V116" s="20">
        <f>-([1]MGA!$P$41+[1]MGA!$W$41+[1]MGA!$AV$41+[1]MGA!$AY$41)/1000/V112</f>
        <v>0</v>
      </c>
      <c r="W116" s="20">
        <f>-([1]MGA!$P$42+[1]MGA!$W$42+[1]MGA!$AV$42+[1]MGA!$AY$42)/1000/W112</f>
        <v>0</v>
      </c>
      <c r="X116" s="20">
        <f>-([1]MGA!$P$43+[1]MGA!$W$43+[1]MGA!$AV$43+[1]MGA!$AY$43)/1000/X112</f>
        <v>0</v>
      </c>
      <c r="Y116" s="7"/>
      <c r="Z116" s="20">
        <f>-([1]Bancassurance!$P$41+[1]Bancassurance!$W$41+[1]Bancassurance!$AV$41+[1]Bancassurance!$AY$41)/1000/Z112</f>
        <v>0</v>
      </c>
      <c r="AA116" s="20">
        <f>-([1]Bancassurance!$P$42+[1]Bancassurance!$W$42+[1]Bancassurance!$AV$42+[1]Bancassurance!$AY$42)/1000/AA112</f>
        <v>0</v>
      </c>
      <c r="AB116" s="20">
        <f>-([1]Bancassurance!$P$43+[1]Bancassurance!$W$43+[1]Bancassurance!$AV$43+[1]Bancassurance!$AY$43)/1000/AB112</f>
        <v>0</v>
      </c>
      <c r="AC116" s="7"/>
      <c r="AD116" s="20" t="e">
        <f>-([1]Specials!$P$41+[1]Specials!$W$41+[1]Specials!$AV$41+[1]Specials!$AY$41)/1000/AD112</f>
        <v>#DIV/0!</v>
      </c>
      <c r="AE116" s="20" t="e">
        <f>-([1]Specials!$P$42+[1]Specials!$W$42+[1]Specials!$AV$42+[1]Specials!$AY$42)/1000/AE112</f>
        <v>#DIV/0!</v>
      </c>
      <c r="AF116" s="20" t="e">
        <f>-([1]Specials!$P$43+[1]Specials!$W$43+[1]Specials!$AV$43+[1]Specials!$AY$43)/1000/AF112</f>
        <v>#DIV/0!</v>
      </c>
      <c r="AG116" s="7"/>
      <c r="AH116" s="28">
        <f>-('[1]Total P&amp;C'!$P$41+'[1]Total P&amp;C'!$W$41+'[1]Total P&amp;C'!$AV$41+'[1]Total P&amp;C'!$AY$41)/1000/AH112</f>
        <v>0</v>
      </c>
      <c r="AI116" s="28">
        <f>-('[1]Total P&amp;C'!$P$42+'[1]Total P&amp;C'!$W$42+'[1]Total P&amp;C'!$AV$42+'[1]Total P&amp;C'!$AY$42)/1000/AI112</f>
        <v>0</v>
      </c>
      <c r="AJ116" s="28">
        <f>-('[1]Total P&amp;C'!$P$43+'[1]Total P&amp;C'!$W$43+'[1]Total P&amp;C'!$AV$43+'[1]Total P&amp;C'!$AY$43)/1000/AJ112</f>
        <v>0</v>
      </c>
      <c r="AL116" s="202"/>
      <c r="AM116" s="9"/>
      <c r="AN116" s="38" t="s">
        <v>24</v>
      </c>
      <c r="AT116" s="20">
        <f>-([2]Retail!$P$41+[2]Retail!$W$41+[2]Retail!$AV$41+[2]Retail!$AY$41)/1000/AT112</f>
        <v>7.8627714504531164E-4</v>
      </c>
      <c r="AU116" s="42">
        <f>-([2]Retail!$P$42+[2]Retail!$W$42+[2]Retail!$AV$42+[2]Retail!$AY$42)/1000/AU112</f>
        <v>0</v>
      </c>
      <c r="AV116" s="42">
        <f>-([2]Retail!$P$43+[2]Retail!$W$43+[2]Retail!$AV$43+[2]Retail!$AY$43)/1000/AV112</f>
        <v>0</v>
      </c>
      <c r="AW116" s="7"/>
      <c r="AX116" s="20">
        <f>-([2]SME!$P$41+[2]SME!$W$41+[2]SME!$AV$41+[2]SME!$AY$41)/1000/AX112</f>
        <v>3.7145476589870796E-4</v>
      </c>
      <c r="AY116" s="20">
        <f>-([2]SME!$P$42+[2]SME!$W$42+[2]SME!$AV$42+[2]SME!$AY$42)/1000/AY112</f>
        <v>0</v>
      </c>
      <c r="AZ116" s="20">
        <f>-([2]SME!$P$43+[2]SME!$W$43+[2]SME!$AV$43+[2]SME!$AY$43)/1000/AZ112</f>
        <v>0</v>
      </c>
      <c r="BA116" s="7"/>
      <c r="BB116" s="20">
        <f>-([2]MidCorp!$P$41+[2]MidCorp!$W$41+[2]MidCorp!$AV$41+[2]MidCorp!$AY$41)/1000/BB112</f>
        <v>0</v>
      </c>
      <c r="BC116" s="20">
        <f>-([2]MidCorp!$P$42+[2]MidCorp!$W$42+[2]MidCorp!$AV$42+[2]MidCorp!$AY$42)/1000/BC112</f>
        <v>0</v>
      </c>
      <c r="BD116" s="20">
        <f>-([2]MidCorp!$P$43+[2]MidCorp!$W$43+[2]MidCorp!$AV$43+[2]MidCorp!$AY$43)/1000/BD112</f>
        <v>0</v>
      </c>
      <c r="BJ116" s="20" t="e">
        <f>-([2]Specials!$P$41+[2]Specials!$W$41+[2]Specials!$AV$41+[2]Specials!$AY$41)/1000/BJ112</f>
        <v>#DIV/0!</v>
      </c>
      <c r="BK116" s="20" t="e">
        <f>-([2]Specials!$P$42+[2]Specials!$W$42+[2]Specials!$AV$42+[2]Specials!$AY$42)/1000/BK112</f>
        <v>#DIV/0!</v>
      </c>
      <c r="BL116" s="20" t="e">
        <f>-([2]Specials!$P$43+[2]Specials!$W$43+[2]Specials!$AV$43+[2]Specials!$AY$43)/1000/BL112</f>
        <v>#DIV/0!</v>
      </c>
      <c r="BM116" s="7"/>
      <c r="BN116" s="28">
        <f>-('[2]Total P&amp;C'!$P$41+'[2]Total P&amp;C'!$W$41+'[2]Total P&amp;C'!$AV$41+'[2]Total P&amp;C'!$AY$41)/1000/BN112</f>
        <v>2.6218584929626776E-4</v>
      </c>
      <c r="BO116" s="28">
        <f>-('[2]Total P&amp;C'!$P$42+'[2]Total P&amp;C'!$W$42+'[2]Total P&amp;C'!$AV$42+'[2]Total P&amp;C'!$AY$42)/1000/BO112</f>
        <v>0</v>
      </c>
      <c r="BP116" s="28">
        <f>-('[2]Total P&amp;C'!$P$43+'[2]Total P&amp;C'!$W$43+'[2]Total P&amp;C'!$AV$43+'[2]Total P&amp;C'!$AY$43)/1000/BP112</f>
        <v>0</v>
      </c>
      <c r="BR116" s="28">
        <f>-('[3]Total P&amp;C'!$P$41+'[3]Total P&amp;C'!$W$41+'[3]Total P&amp;C'!$AV$41+'[3]Total P&amp;C'!$AY$41)/1000/BR112</f>
        <v>8.0418426977499366E-5</v>
      </c>
      <c r="BS116" s="28">
        <f>-('[3]Total P&amp;C'!$P$42+'[3]Total P&amp;C'!$W$42+'[3]Total P&amp;C'!$AV$42+'[3]Total P&amp;C'!$AY$42)/1000/BS112</f>
        <v>0</v>
      </c>
      <c r="BT116" s="28">
        <f>-('[3]Total P&amp;C'!$P$43+'[3]Total P&amp;C'!$W$43+'[3]Total P&amp;C'!$AV$43+'[3]Total P&amp;C'!$AY$43)/1000/BT112</f>
        <v>0</v>
      </c>
    </row>
    <row r="117" spans="2:72" ht="16.5" customHeight="1" x14ac:dyDescent="0.25">
      <c r="B117" s="202"/>
      <c r="C117" s="9"/>
      <c r="D117" s="38" t="s">
        <v>25</v>
      </c>
      <c r="J117" s="20">
        <f>-([1]Retail!$Q$41+[1]Retail!$X$41+[1]Retail!$AW$41+[1]Retail!$AZ$41)/1000/J112</f>
        <v>0</v>
      </c>
      <c r="K117" s="42">
        <f>-([1]Retail!$Q$42+[1]Retail!$X$42+[1]Retail!$AW$42+[1]Retail!$AZ$42)/1000/K112</f>
        <v>0.14728722896570698</v>
      </c>
      <c r="L117" s="42" t="e">
        <f>-([1]Retail!$Q$43+[1]Retail!$X$43+[1]Retail!$AW$43+[1]Retail!$AZ$43)/1000/L112</f>
        <v>#DIV/0!</v>
      </c>
      <c r="M117" s="7"/>
      <c r="N117" s="20">
        <f>-([1]SME!$Q$41+[1]SME!$X$41+[1]SME!$AW$41+[1]SME!$AZ$41)/1000/N112</f>
        <v>7.5755589230000614E-2</v>
      </c>
      <c r="O117" s="20">
        <f>-([1]SME!$Q$42+[1]SME!$X$42+[1]SME!$AW$42+[1]SME!$AZ$42)/1000/O112</f>
        <v>8.4680672709835869E-2</v>
      </c>
      <c r="P117" s="20">
        <f>-([1]SME!$Q$43+[1]SME!$X$43+[1]SME!$AW$43+[1]SME!$AZ$43)/1000/P112</f>
        <v>9.2779830940501851E-2</v>
      </c>
      <c r="Q117" s="7"/>
      <c r="R117" s="20">
        <f>-([1]MidCorp!$Q$41+[1]MidCorp!$X$41+[1]MidCorp!$AW$41+[1]MidCorp!$AZ$41)/1000/R112</f>
        <v>0.15508004007780571</v>
      </c>
      <c r="S117" s="20">
        <f>-([1]MidCorp!$Q$42+[1]MidCorp!$X$42+[1]MidCorp!$AW$42+[1]MidCorp!$AZ$42)/1000/S112</f>
        <v>0.14516725845800776</v>
      </c>
      <c r="T117" s="20">
        <f>-([1]MidCorp!$Q$43+[1]MidCorp!$X$43+[1]MidCorp!$AW$43+[1]MidCorp!$AZ$43)/1000/T112</f>
        <v>0.11915686218414148</v>
      </c>
      <c r="U117" s="7"/>
      <c r="V117" s="20">
        <f>-([1]MGA!$Q$41+[1]MGA!$X$41+[1]MGA!$AW$41+[1]MGA!$AZ$41)/1000/V112</f>
        <v>0</v>
      </c>
      <c r="W117" s="20">
        <f>-([1]MGA!$Q$42+[1]MGA!$X$42+[1]MGA!$AW$42+[1]MGA!$AZ$42)/1000/W112</f>
        <v>0</v>
      </c>
      <c r="X117" s="20">
        <f>-([1]MGA!$Q$43+[1]MGA!$X$43+[1]MGA!$AW$43+[1]MGA!$AZ$43)/1000/X112</f>
        <v>5.8327588600748395E-2</v>
      </c>
      <c r="Y117" s="7"/>
      <c r="Z117" s="20">
        <f>-([1]Bancassurance!$Q$41+[1]Bancassurance!$X$41+[1]Bancassurance!$AW$41+[1]Bancassurance!$AZ$41)/1000/Z112</f>
        <v>0</v>
      </c>
      <c r="AA117" s="20">
        <f>-([1]Bancassurance!$Q$42+[1]Bancassurance!$X$42+[1]Bancassurance!$AW$42+[1]Bancassurance!$AZ$42)/1000/AA112</f>
        <v>0</v>
      </c>
      <c r="AB117" s="20">
        <f>-([1]Bancassurance!$Q$43+[1]Bancassurance!$X$43+[1]Bancassurance!$AW$43+[1]Bancassurance!$AZ$43)/1000/AB112</f>
        <v>6.450679514812982E-2</v>
      </c>
      <c r="AC117" s="7"/>
      <c r="AD117" s="20" t="e">
        <f>-([1]Specials!$Q$41+[1]Specials!$X$41+[1]Specials!$AW$41+[1]Specials!$AZ$41)/1000/AD112</f>
        <v>#DIV/0!</v>
      </c>
      <c r="AE117" s="20" t="e">
        <f>-([1]Specials!$Q$42+[1]Specials!$X$42+[1]Specials!$AW$42+[1]Specials!$AZ$42)/1000/AE112</f>
        <v>#DIV/0!</v>
      </c>
      <c r="AF117" s="20" t="e">
        <f>-([1]Specials!$Q$43+[1]Specials!$X$43+[1]Specials!$AW$43+[1]Specials!$AZ$43)/1000/AF112</f>
        <v>#DIV/0!</v>
      </c>
      <c r="AG117" s="7"/>
      <c r="AH117" s="28">
        <f>-('[1]Total P&amp;C'!$Q$41+'[1]Total P&amp;C'!$X$41+'[1]Total P&amp;C'!$AW$41+'[1]Total P&amp;C'!$AZ$41)/1000/AH112</f>
        <v>0.12434321926205752</v>
      </c>
      <c r="AI117" s="28">
        <f>-('[1]Total P&amp;C'!$Q$42+'[1]Total P&amp;C'!$X$42+'[1]Total P&amp;C'!$AW$42+'[1]Total P&amp;C'!$AZ$42)/1000/AI112</f>
        <v>0.1244856180004614</v>
      </c>
      <c r="AJ117" s="28">
        <f>-('[1]Total P&amp;C'!$Q$43+'[1]Total P&amp;C'!$X$43+'[1]Total P&amp;C'!$AW$43+'[1]Total P&amp;C'!$AZ$43)/1000/AJ112</f>
        <v>0.10872774537114839</v>
      </c>
      <c r="AL117" s="202"/>
      <c r="AM117" s="9"/>
      <c r="AN117" s="38" t="s">
        <v>25</v>
      </c>
      <c r="AT117" s="20">
        <f>-([2]Retail!$Q$41+[2]Retail!$X$41+[2]Retail!$AW$41+[2]Retail!$AZ$41)/1000/AT112</f>
        <v>4.300095151809244E-2</v>
      </c>
      <c r="AU117" s="42">
        <f>-([2]Retail!$Q$42+[2]Retail!$X$42+[2]Retail!$AW$42+[2]Retail!$AZ$42)/1000/AU112</f>
        <v>1.05878744659616E-2</v>
      </c>
      <c r="AV117" s="42">
        <f>-([2]Retail!$Q$43+[2]Retail!$X$43+[2]Retail!$AW$43+[2]Retail!$AZ$43)/1000/AV112</f>
        <v>4.5960269637703229E-2</v>
      </c>
      <c r="AW117" s="7"/>
      <c r="AX117" s="20">
        <f>-([2]SME!$Q$41+[2]SME!$X$41+[2]SME!$AW$41+[2]SME!$AZ$41)/1000/AX112</f>
        <v>0.10353663891661977</v>
      </c>
      <c r="AY117" s="20">
        <f>-([2]SME!$Q$42+[2]SME!$X$42+[2]SME!$AW$42+[2]SME!$AZ$42)/1000/AY112</f>
        <v>1.6420472163797099E-2</v>
      </c>
      <c r="AZ117" s="20">
        <f>-([2]SME!$Q$43+[2]SME!$X$43+[2]SME!$AW$43+[2]SME!$AZ$43)/1000/AZ112</f>
        <v>8.7909066126376334E-2</v>
      </c>
      <c r="BA117" s="7"/>
      <c r="BB117" s="20">
        <f>-([2]MidCorp!$Q$41+[2]MidCorp!$X$41+[2]MidCorp!$AW$41+[2]MidCorp!$AZ$41)/1000/BB112</f>
        <v>8.5180113634964028E-2</v>
      </c>
      <c r="BC117" s="20">
        <f>-([2]MidCorp!$Q$42+[2]MidCorp!$X$42+[2]MidCorp!$AW$42+[2]MidCorp!$AZ$42)/1000/BC112</f>
        <v>3.1104950741676522E-2</v>
      </c>
      <c r="BD117" s="20">
        <f>-([2]MidCorp!$Q$43+[2]MidCorp!$X$43+[2]MidCorp!$AW$43+[2]MidCorp!$AZ$43)/1000/BD112</f>
        <v>8.0403602126019033E-2</v>
      </c>
      <c r="BJ117" s="20" t="e">
        <f>-([2]Specials!$Q$41+[2]Specials!$X$41+[2]Specials!$AW$41+[2]Specials!$AZ$41)/1000/BJ112</f>
        <v>#DIV/0!</v>
      </c>
      <c r="BK117" s="20" t="e">
        <f>-([2]Specials!$Q$42+[2]Specials!$X$42+[2]Specials!$AW$42+[2]Specials!$AZ$42)/1000/BK112</f>
        <v>#DIV/0!</v>
      </c>
      <c r="BL117" s="20" t="e">
        <f>-([2]Specials!$Q$43+[2]Specials!$X$43+[2]Specials!$AW$43+[2]Specials!$AZ$43)/1000/BL112</f>
        <v>#DIV/0!</v>
      </c>
      <c r="BM117" s="7"/>
      <c r="BN117" s="28">
        <f>-('[2]Total P&amp;C'!$Q$41+'[2]Total P&amp;C'!$X$41+'[2]Total P&amp;C'!$AW$41+'[2]Total P&amp;C'!$AZ$41)/1000/BN112</f>
        <v>7.9957661843314529E-2</v>
      </c>
      <c r="BO117" s="28">
        <f>-('[2]Total P&amp;C'!$Q$42+'[2]Total P&amp;C'!$X$42+'[2]Total P&amp;C'!$AW$42+'[2]Total P&amp;C'!$AZ$42)/1000/BO112</f>
        <v>2.3156345283561985E-2</v>
      </c>
      <c r="BP117" s="28">
        <f>-('[2]Total P&amp;C'!$Q$43+'[2]Total P&amp;C'!$X$43+'[2]Total P&amp;C'!$AW$43+'[2]Total P&amp;C'!$AZ$43)/1000/BP112</f>
        <v>7.4264852083776381E-2</v>
      </c>
      <c r="BR117" s="28">
        <f>-('[3]Total P&amp;C'!$Q$41+'[3]Total P&amp;C'!$X$41+'[3]Total P&amp;C'!$AW$41+'[3]Total P&amp;C'!$AZ$41)/1000/BR112</f>
        <v>0.11072914848853768</v>
      </c>
      <c r="BS117" s="28">
        <f>-('[3]Total P&amp;C'!$Q$42+'[3]Total P&amp;C'!$X$42+'[3]Total P&amp;C'!$AW$42+'[3]Total P&amp;C'!$AZ$42)/1000/BS112</f>
        <v>9.3431517962252963E-2</v>
      </c>
      <c r="BT117" s="28">
        <f>-('[3]Total P&amp;C'!$Q$43+'[3]Total P&amp;C'!$X$43+'[3]Total P&amp;C'!$AW$43+'[3]Total P&amp;C'!$AZ$43)/1000/BT112</f>
        <v>9.8691978972347716E-2</v>
      </c>
    </row>
    <row r="118" spans="2:72" ht="16.5" customHeight="1" x14ac:dyDescent="0.25">
      <c r="B118" s="202"/>
      <c r="C118" s="9"/>
      <c r="D118" s="38" t="s">
        <v>26</v>
      </c>
      <c r="J118" s="20">
        <f>-[1]Retail!$AT$41/1000/J112</f>
        <v>2.9931066107065818E-4</v>
      </c>
      <c r="K118" s="42">
        <f>-[1]Retail!$AT$42/1000/K112</f>
        <v>3.0190680531113224E-2</v>
      </c>
      <c r="L118" s="42" t="e">
        <f>-[1]Retail!$AT$43/1000/L112</f>
        <v>#DIV/0!</v>
      </c>
      <c r="M118" s="7"/>
      <c r="N118" s="20">
        <f>-[1]SME!$AT$41/1000/N112</f>
        <v>3.5711818103543416E-2</v>
      </c>
      <c r="O118" s="20">
        <f>-[1]SME!$AT$42/1000/O112</f>
        <v>4.4266463294445058E-2</v>
      </c>
      <c r="P118" s="20">
        <f>-[1]SME!$AT$43/1000/P112</f>
        <v>3.9478784177078417E-2</v>
      </c>
      <c r="Q118" s="7"/>
      <c r="R118" s="20">
        <f>-[1]MidCorp!$AT$41/1000/R112</f>
        <v>2.164596937476751E-2</v>
      </c>
      <c r="S118" s="20">
        <f>-[1]MidCorp!$AT$42/1000/S112</f>
        <v>3.1241154806619927E-2</v>
      </c>
      <c r="T118" s="20">
        <f>-[1]MidCorp!$AT$43/1000/T112</f>
        <v>3.258482249767343E-2</v>
      </c>
      <c r="U118" s="7"/>
      <c r="V118" s="20">
        <f>-[1]MGA!$AT$41/1000/V112</f>
        <v>4.4893883312028877E-2</v>
      </c>
      <c r="W118" s="20">
        <f>-[1]MGA!$AT$42/1000/W112</f>
        <v>6.425275269974709E-2</v>
      </c>
      <c r="X118" s="20">
        <f>-[1]MGA!$AT$43/1000/X112</f>
        <v>5.0034011170249325E-2</v>
      </c>
      <c r="Y118" s="7"/>
      <c r="Z118" s="20">
        <f>-[1]Bancassurance!$AT$41/1000/Z112</f>
        <v>3.3464699090139736E-2</v>
      </c>
      <c r="AA118" s="20">
        <f>-[1]Bancassurance!$AT$42/1000/AA112</f>
        <v>0.200372128226148</v>
      </c>
      <c r="AB118" s="20">
        <f>-[1]Bancassurance!$AT$43/1000/AB112</f>
        <v>3.5758755765234879E-2</v>
      </c>
      <c r="AC118" s="7"/>
      <c r="AD118" s="20" t="e">
        <f>-[1]Specials!$AT$41/1000/AD112</f>
        <v>#DIV/0!</v>
      </c>
      <c r="AE118" s="20" t="e">
        <f>-[1]Specials!$AT$42/1000/AE112</f>
        <v>#DIV/0!</v>
      </c>
      <c r="AF118" s="20" t="e">
        <f>-[1]Specials!$AT$43/1000/AF112</f>
        <v>#DIV/0!</v>
      </c>
      <c r="AG118" s="7"/>
      <c r="AH118" s="28">
        <f>-'[1]Total P&amp;C'!$AT$41/1000/AH112</f>
        <v>2.5850652747975315E-2</v>
      </c>
      <c r="AI118" s="28">
        <f>-'[1]Total P&amp;C'!$AT$42/1000/AI112</f>
        <v>3.6919412508028188E-2</v>
      </c>
      <c r="AJ118" s="28">
        <f>-'[1]Total P&amp;C'!$AT$43/1000/AJ112</f>
        <v>3.5092951258756486E-2</v>
      </c>
      <c r="AL118" s="202"/>
      <c r="AM118" s="9"/>
      <c r="AN118" s="38" t="s">
        <v>26</v>
      </c>
      <c r="AT118" s="20">
        <f>-[2]Retail!$AT$41/1000/AT112</f>
        <v>2.5830938144687159E-2</v>
      </c>
      <c r="AU118" s="42">
        <f>-[2]Retail!$AT$42/1000/AU112</f>
        <v>4.5204319508920787E-2</v>
      </c>
      <c r="AV118" s="42">
        <f>-[2]Retail!$AT$43/1000/AV112</f>
        <v>3.7155508509380222E-2</v>
      </c>
      <c r="AW118" s="7"/>
      <c r="AX118" s="20">
        <f>-[2]SME!$AT$41/1000/AX112</f>
        <v>1.472551829434034E-2</v>
      </c>
      <c r="AY118" s="20">
        <f>-[2]SME!$AT$42/1000/AY112</f>
        <v>1.8873424433025719E-2</v>
      </c>
      <c r="AZ118" s="20">
        <f>-[2]SME!$AT$43/1000/AZ112</f>
        <v>2.6011695563180628E-2</v>
      </c>
      <c r="BA118" s="7"/>
      <c r="BB118" s="20">
        <f>-[2]MidCorp!$AT$41/1000/BB112</f>
        <v>0.10345568287049423</v>
      </c>
      <c r="BC118" s="20">
        <f>-[2]MidCorp!$AT$42/1000/BC112</f>
        <v>9.3505607599426263E-2</v>
      </c>
      <c r="BD118" s="20">
        <f>-[2]MidCorp!$AT$43/1000/BD112</f>
        <v>9.7184377908719269E-2</v>
      </c>
      <c r="BJ118" s="20" t="e">
        <f>-[2]Specials!$AT$41/1000/BJ112</f>
        <v>#DIV/0!</v>
      </c>
      <c r="BK118" s="20" t="e">
        <f>-[2]Specials!$AT$42/1000/BK112</f>
        <v>#DIV/0!</v>
      </c>
      <c r="BL118" s="20" t="e">
        <f>-[2]Specials!$AT$43/1000/BL112</f>
        <v>#DIV/0!</v>
      </c>
      <c r="BM118" s="7"/>
      <c r="BN118" s="28">
        <f>-'[2]Total P&amp;C'!$AT$41/1000/BN112</f>
        <v>6.5547473935669676E-2</v>
      </c>
      <c r="BO118" s="28">
        <f>-'[2]Total P&amp;C'!$AT$42/1000/BO112</f>
        <v>6.5544258933179597E-2</v>
      </c>
      <c r="BP118" s="28">
        <f>-'[2]Total P&amp;C'!$AT$43/1000/BP112</f>
        <v>6.6684601083303888E-2</v>
      </c>
      <c r="BR118" s="28">
        <f>-'[3]Total P&amp;C'!$AT$41/1000/BR112</f>
        <v>3.8026580337088306E-2</v>
      </c>
      <c r="BS118" s="28">
        <f>-'[3]Total P&amp;C'!$AT$42/1000/BS112</f>
        <v>4.56919894804153E-2</v>
      </c>
      <c r="BT118" s="28">
        <f>-'[3]Total P&amp;C'!$AT$43/1000/BT112</f>
        <v>4.4292597241702543E-2</v>
      </c>
    </row>
    <row r="119" spans="2:72" ht="16.5" customHeight="1" x14ac:dyDescent="0.25">
      <c r="B119" s="202"/>
      <c r="C119" s="9"/>
      <c r="D119" s="37" t="s">
        <v>27</v>
      </c>
      <c r="J119" s="20">
        <f>-([1]Retail!$Z$41+[1]Retail!$AA$41+[1]Retail!$BB$41+[1]Retail!$BC$41)/1000/J112</f>
        <v>-1.584961792431101E-2</v>
      </c>
      <c r="K119" s="20">
        <f>-([1]Retail!$Z$42+[1]Retail!$AA$42+[1]Retail!$BB$42+[1]Retail!$BC$42)/1000/K112</f>
        <v>-5.4067333964181272E-2</v>
      </c>
      <c r="L119" s="20" t="e">
        <f>-([1]Retail!$Z$43+[1]Retail!$AA$43+[1]Retail!$BB$43+[1]Retail!$BC$43)/1000/L112</f>
        <v>#DIV/0!</v>
      </c>
      <c r="M119" s="7"/>
      <c r="N119" s="20">
        <f>-([1]SME!$Z$41+[1]SME!$AA$41+[1]SME!$BB$41+[1]SME!$BC$41)/1000/N112</f>
        <v>-4.2097847919471576E-2</v>
      </c>
      <c r="O119" s="20">
        <f>-([1]SME!$Z$42+[1]SME!$AA$42+[1]SME!$BB$42+[1]SME!$BC$42)/1000/O112</f>
        <v>-4.5683470077734191E-2</v>
      </c>
      <c r="P119" s="20">
        <f>-([1]SME!$Z$43+[1]SME!$AA$43+[1]SME!$BB$43+[1]SME!$BC$43)/1000/P112</f>
        <v>-4.1231685243148179E-2</v>
      </c>
      <c r="Q119" s="7"/>
      <c r="R119" s="20">
        <f>-([1]MidCorp!$Z$41+[1]MidCorp!$AA$41+[1]MidCorp!$BB$41+[1]MidCorp!$BC$41)/1000/R112</f>
        <v>-7.2820283142062792E-2</v>
      </c>
      <c r="S119" s="20">
        <f>-([1]MidCorp!$Z$42+[1]MidCorp!$AA$42+[1]MidCorp!$BB$42+[1]MidCorp!$BC$42)/1000/S112</f>
        <v>-7.2007066118874488E-2</v>
      </c>
      <c r="T119" s="20">
        <f>-([1]MidCorp!$Z$43+[1]MidCorp!$AA$43+[1]MidCorp!$BB$43+[1]MidCorp!$BC$43)/1000/T112</f>
        <v>-5.3869935576831111E-2</v>
      </c>
      <c r="U119" s="7"/>
      <c r="V119" s="20">
        <f>-([1]MGA!$Z$41+[1]MGA!$AA$41+[1]MGA!$BB$41+[1]MGA!$BC$41)/1000/V112</f>
        <v>-3.679763223909531E-2</v>
      </c>
      <c r="W119" s="20">
        <f>-([1]MGA!$Z$42+[1]MGA!$AA$42+[1]MGA!$BB$42+[1]MGA!$BC$42)/1000/W112</f>
        <v>-3.2781708127873843E-2</v>
      </c>
      <c r="X119" s="20">
        <f>-([1]MGA!$Z$43+[1]MGA!$AA$43+[1]MGA!$BB$43+[1]MGA!$BC$43)/1000/X112</f>
        <v>-2.863845673972357E-2</v>
      </c>
      <c r="Y119" s="7"/>
      <c r="Z119" s="20">
        <f>-([1]Bancassurance!$Z$41+[1]Bancassurance!$AA$41+[1]Bancassurance!$BB$41+[1]Bancassurance!$BC$41)/1000/Z112</f>
        <v>-5.8745515010661123E-2</v>
      </c>
      <c r="AA119" s="20">
        <f>-([1]Bancassurance!$Z$42+[1]Bancassurance!$AA$42+[1]Bancassurance!$BB$42+[1]Bancassurance!$BC$42)/1000/AA112</f>
        <v>-6.3647232712942467E-3</v>
      </c>
      <c r="AB119" s="20">
        <f>-([1]Bancassurance!$Z$43+[1]Bancassurance!$AA$43+[1]Bancassurance!$BB$43+[1]Bancassurance!$BC$43)/1000/AB112</f>
        <v>-7.638888745281526E-2</v>
      </c>
      <c r="AC119" s="7"/>
      <c r="AD119" s="20" t="e">
        <f>-([1]Specials!$Z$41+[1]Specials!$AA$41+[1]Specials!$BB$41+[1]Specials!$BC$41)/1000/AD112</f>
        <v>#DIV/0!</v>
      </c>
      <c r="AE119" s="20" t="e">
        <f>-([1]Specials!$Z$42+[1]Specials!$AA$42+[1]Specials!$BB$42+[1]Specials!$BC$42)/1000/AE112</f>
        <v>#DIV/0!</v>
      </c>
      <c r="AF119" s="20" t="e">
        <f>-([1]Specials!$Z$43+[1]Specials!$AA$43+[1]Specials!$BB$43+[1]Specials!$BC$43)/1000/AF112</f>
        <v>#DIV/0!</v>
      </c>
      <c r="AG119" s="7"/>
      <c r="AH119" s="28">
        <f>-('[1]Total P&amp;C'!$Z$41+'[1]Total P&amp;C'!$AA$41+'[1]Total P&amp;C'!$BB$41+'[1]Total P&amp;C'!$BC$41)/1000/AH112</f>
        <v>-6.2950889696963067E-2</v>
      </c>
      <c r="AI119" s="28">
        <f>-('[1]Total P&amp;C'!$Z$42+'[1]Total P&amp;C'!$AA$42+'[1]Total P&amp;C'!$BB$42+'[1]Total P&amp;C'!$BC$42)/1000/AI112</f>
        <v>-6.3390519061182884E-2</v>
      </c>
      <c r="AJ119" s="28">
        <f>-('[1]Total P&amp;C'!$Z$43+'[1]Total P&amp;C'!$AA$43+'[1]Total P&amp;C'!$BB$43+'[1]Total P&amp;C'!$BC$43)/1000/AJ112</f>
        <v>-5.0443153943200834E-2</v>
      </c>
      <c r="AL119" s="202"/>
      <c r="AM119" s="9"/>
      <c r="AN119" s="37" t="s">
        <v>27</v>
      </c>
      <c r="AT119" s="20">
        <f>-([2]Retail!$Z$41+[2]Retail!$AA$41+[2]Retail!$BB$41+[2]Retail!$BC$41)/1000/AT112</f>
        <v>-4.6414088658092954E-2</v>
      </c>
      <c r="AU119" s="20">
        <f>-([2]Retail!$Z$42+[2]Retail!$AA$42+[2]Retail!$BB$42+[2]Retail!$BC$42)/1000/AU112</f>
        <v>-7.4895426288208777E-2</v>
      </c>
      <c r="AV119" s="20">
        <f>-([2]Retail!$Z$43+[2]Retail!$AA$43+[2]Retail!$BB$43+[2]Retail!$BC$43)/1000/AV112</f>
        <v>-3.3851740610812579E-2</v>
      </c>
      <c r="AW119" s="7"/>
      <c r="AX119" s="20">
        <f>-([2]SME!$Z$41+[2]SME!$AA$41+[2]SME!$BB$41+[2]SME!$BC$41)/1000/AX112</f>
        <v>-6.6726723272680102E-2</v>
      </c>
      <c r="AY119" s="20">
        <f>-([2]SME!$Z$42+[2]SME!$AA$42+[2]SME!$BB$42+[2]SME!$BC$42)/1000/AY112</f>
        <v>-5.0275841126140433E-2</v>
      </c>
      <c r="AZ119" s="20">
        <f>-([2]SME!$Z$43+[2]SME!$AA$43+[2]SME!$BB$43+[2]SME!$BC$43)/1000/AZ112</f>
        <v>-3.8739093576071831E-2</v>
      </c>
      <c r="BA119" s="7"/>
      <c r="BB119" s="20">
        <f>-([2]MidCorp!$Z$41+[2]MidCorp!$AA$41+[2]MidCorp!$BB$41+[2]MidCorp!$BC$41)/1000/BB112</f>
        <v>-6.4538401806542814E-2</v>
      </c>
      <c r="BC119" s="20">
        <f>-([2]MidCorp!$Z$42+[2]MidCorp!$AA$42+[2]MidCorp!$BB$42+[2]MidCorp!$BC$42)/1000/BC112</f>
        <v>-5.2424011324653942E-2</v>
      </c>
      <c r="BD119" s="20">
        <f>-([2]MidCorp!$Z$43+[2]MidCorp!$AA$43+[2]MidCorp!$BB$43+[2]MidCorp!$BC$43)/1000/BD112</f>
        <v>-4.2409621343155443E-2</v>
      </c>
      <c r="BJ119" s="20" t="e">
        <f>-([2]Specials!$Z$41+[2]Specials!$AA$41+[2]Specials!$BB$41+[2]Specials!$BC$41)/1000/BJ112</f>
        <v>#DIV/0!</v>
      </c>
      <c r="BK119" s="20" t="e">
        <f>-([2]Specials!$Z$42+[2]Specials!$AA$42+[2]Specials!$BB$42+[2]Specials!$BC$42)/1000/BK112</f>
        <v>#DIV/0!</v>
      </c>
      <c r="BL119" s="20" t="e">
        <f>-([2]Specials!$Z$43+[2]Specials!$AA$43+[2]Specials!$BB$43+[2]Specials!$BC$43)/1000/BL112</f>
        <v>#DIV/0!</v>
      </c>
      <c r="BM119" s="7"/>
      <c r="BN119" s="28">
        <f>-('[2]Total P&amp;C'!$Z$41+'[2]Total P&amp;C'!$AA$41+'[2]Total P&amp;C'!$BB$41+'[2]Total P&amp;C'!$BC$41)/1000/BN112</f>
        <v>-6.0977910070329357E-2</v>
      </c>
      <c r="BO119" s="28">
        <f>-('[2]Total P&amp;C'!$Z$42+'[2]Total P&amp;C'!$AA$42+'[2]Total P&amp;C'!$BB$42+'[2]Total P&amp;C'!$BC$42)/1000/BO112</f>
        <v>-5.6920836502475473E-2</v>
      </c>
      <c r="BP119" s="28">
        <f>-('[2]Total P&amp;C'!$Z$43+'[2]Total P&amp;C'!$AA$43+'[2]Total P&amp;C'!$BB$43+'[2]Total P&amp;C'!$BC$43)/1000/BP112</f>
        <v>-3.9583469425882464E-2</v>
      </c>
      <c r="BR119" s="28">
        <f>-('[3]Total P&amp;C'!$Z$41+'[3]Total P&amp;C'!$AA$41+'[3]Total P&amp;C'!$BB$41+'[3]Total P&amp;C'!$BC$41)/1000/BR112</f>
        <v>-6.234573149159689E-2</v>
      </c>
      <c r="BS119" s="28">
        <f>-('[3]Total P&amp;C'!$Z$42+'[3]Total P&amp;C'!$AA$42+'[3]Total P&amp;C'!$BB$42+'[3]Total P&amp;C'!$BC$42)/1000/BS112</f>
        <v>-6.1407773463522587E-2</v>
      </c>
      <c r="BT119" s="28">
        <f>-('[3]Total P&amp;C'!$Z$43+'[3]Total P&amp;C'!$AA$43+'[3]Total P&amp;C'!$BB$43+'[3]Total P&amp;C'!$BC$43)/1000/BT112</f>
        <v>-4.7280759652283469E-2</v>
      </c>
    </row>
    <row r="120" spans="2:72" ht="16.5" customHeight="1" x14ac:dyDescent="0.25">
      <c r="B120" s="202"/>
      <c r="C120" s="9"/>
      <c r="D120" s="37" t="s">
        <v>28</v>
      </c>
      <c r="J120" s="20">
        <f>-SUM([1]Retail!$AC$41:$AI$41,[1]Retail!$BE$41:$BG$41)/1000/J112</f>
        <v>3.8744564485298865</v>
      </c>
      <c r="K120" s="20">
        <f>-SUM([1]Retail!$AC$42:$AI$42,[1]Retail!$BE$42:$BG$42)/1000/K112</f>
        <v>-0.83733031033257244</v>
      </c>
      <c r="L120" s="20" t="e">
        <f>-SUM([1]Retail!$AC$43:$AI$43,[1]Retail!$BE$43:$BG$43)/1000/L112</f>
        <v>#DIV/0!</v>
      </c>
      <c r="M120" s="7"/>
      <c r="N120" s="20">
        <f>-SUM([1]SME!$AC$41:$AI$41,[1]SME!$BE$41:$BG$41)/1000/N112</f>
        <v>0.17800270847077598</v>
      </c>
      <c r="O120" s="20">
        <f>-SUM([1]SME!$AC$42:$AI$42,[1]SME!$BE$42:$BG$42)/1000/O112</f>
        <v>-0.59907769917940379</v>
      </c>
      <c r="P120" s="20">
        <f>-SUM([1]SME!$AC$43:$AI$43,[1]SME!$BE$43:$BG$43)/1000/P112</f>
        <v>-8.3974010245072665E-3</v>
      </c>
      <c r="Q120" s="7"/>
      <c r="R120" s="20">
        <f>-SUM([1]MidCorp!$AC$41:$AI$41,[1]MidCorp!$BE$41:$BG$41)/1000/R112</f>
        <v>-0.17133914309754619</v>
      </c>
      <c r="S120" s="20">
        <f>-SUM([1]MidCorp!$AC$42:$AI$42,[1]MidCorp!$BE$42:$BG$42)/1000/S112</f>
        <v>0.41698627060721</v>
      </c>
      <c r="T120" s="20">
        <f>-SUM([1]MidCorp!$AC$43:$AI$43,[1]MidCorp!$BE$43:$BG$43)/1000/T112</f>
        <v>-2.5387625436744887E-2</v>
      </c>
      <c r="U120" s="7"/>
      <c r="V120" s="20">
        <f>-SUM([1]MGA!$AC$41:$AI$41,[1]MGA!$BE$41:$BG$41)/1000/V112</f>
        <v>-1.2040339171650423</v>
      </c>
      <c r="W120" s="20">
        <f>-SUM([1]MGA!$AC$42:$AI$42,[1]MGA!$BE$42:$BG$42)/1000/W112</f>
        <v>-1.2948347158574827</v>
      </c>
      <c r="X120" s="20">
        <f>-SUM([1]MGA!$AC$43:$AI$43,[1]MGA!$BE$43:$BG$43)/1000/X112</f>
        <v>-1.4118051830097726E-2</v>
      </c>
      <c r="Y120" s="7"/>
      <c r="Z120" s="20">
        <f>-SUM([1]Bancassurance!$AC$41:$AI$41,[1]Bancassurance!$BE$41:$BG$41)/1000/Z112</f>
        <v>-0.76829000879770804</v>
      </c>
      <c r="AA120" s="20">
        <f>-SUM([1]Bancassurance!$AC$42:$AI$42,[1]Bancassurance!$BE$42:$BG$42)/1000/AA112</f>
        <v>0.34540149813579285</v>
      </c>
      <c r="AB120" s="20">
        <f>-SUM([1]Bancassurance!$AC$43:$AI$43,[1]Bancassurance!$BE$43:$BG$43)/1000/AB112</f>
        <v>-1.5499603326949846E-2</v>
      </c>
      <c r="AC120" s="7"/>
      <c r="AD120" s="20" t="e">
        <f>-SUM([1]Specials!$AC$41:$AI$41,[1]Specials!$BE$41:$BG$41)/1000/AD112</f>
        <v>#DIV/0!</v>
      </c>
      <c r="AE120" s="20" t="e">
        <f>-SUM([1]Specials!$AC$42:$AI$42,[1]Specials!$BE$42:$BG$42)/1000/AE112</f>
        <v>#DIV/0!</v>
      </c>
      <c r="AF120" s="20" t="e">
        <f>-SUM([1]Specials!$AC$43:$AI$43,[1]Specials!$BE$43:$BG$43)/1000/AF112</f>
        <v>#DIV/0!</v>
      </c>
      <c r="AG120" s="7"/>
      <c r="AH120" s="28">
        <f>-SUM('[1]Total P&amp;C'!$AC$41:$AI$41,'[1]Total P&amp;C'!$BE$41:$BG$41)/1000/AH112</f>
        <v>-8.3470678818480581E-2</v>
      </c>
      <c r="AI120" s="28">
        <f>-SUM('[1]Total P&amp;C'!$AC$42:$AI$42,'[1]Total P&amp;C'!$BE$42:$BG$42)/1000/AI112</f>
        <v>8.733045516433055E-2</v>
      </c>
      <c r="AJ120" s="28">
        <f>-SUM('[1]Total P&amp;C'!$AC$43:$AI$43,'[1]Total P&amp;C'!$BE$43:$BG$43)/1000/AJ112</f>
        <v>-2.0974202156707467E-2</v>
      </c>
      <c r="AL120" s="202"/>
      <c r="AM120" s="9"/>
      <c r="AN120" s="37" t="s">
        <v>28</v>
      </c>
      <c r="AT120" s="20">
        <f>-SUM([2]Retail!$AC$41:$AI$41,[2]Retail!$BE$41:$BG$41)/1000/AT112</f>
        <v>0.38929854144330578</v>
      </c>
      <c r="AU120" s="20">
        <f>-SUM([2]Retail!$AC$42:$AI$42,[2]Retail!$BE$42:$BG$42)/1000/AU112</f>
        <v>0.93059601628748756</v>
      </c>
      <c r="AV120" s="20">
        <f>-SUM([2]Retail!$AC$43:$AI$43,[2]Retail!$BE$43:$BG$43)/1000/AV112</f>
        <v>1.7606749137243364E-2</v>
      </c>
      <c r="AW120" s="7"/>
      <c r="AX120" s="20">
        <f>-SUM([2]SME!$AC$41:$AI$41,[2]SME!$BE$41:$BG$41)/1000/AX112</f>
        <v>0.74135045670271948</v>
      </c>
      <c r="AY120" s="20">
        <f>-SUM([2]SME!$AC$42:$AI$42,[2]SME!$BE$42:$BG$42)/1000/AY112</f>
        <v>1.0794199856839017</v>
      </c>
      <c r="AZ120" s="20">
        <f>-SUM([2]SME!$AC$43:$AI$43,[2]SME!$BE$43:$BG$43)/1000/AZ112</f>
        <v>1.6527617073703173E-2</v>
      </c>
      <c r="BA120" s="7"/>
      <c r="BB120" s="20">
        <f>-SUM([2]MidCorp!$AC$41:$AI$41,[2]MidCorp!$BE$41:$BG$41)/1000/BB112</f>
        <v>-4.5606481625381473E-2</v>
      </c>
      <c r="BC120" s="20">
        <f>-SUM([2]MidCorp!$AC$42:$AI$42,[2]MidCorp!$BE$42:$BG$42)/1000/BC112</f>
        <v>-0.91250962975085248</v>
      </c>
      <c r="BD120" s="20">
        <f>-SUM([2]MidCorp!$AC$43:$AI$43,[2]MidCorp!$BE$43:$BG$43)/1000/BD112</f>
        <v>1.7633278611998819E-3</v>
      </c>
      <c r="BJ120" s="20" t="e">
        <f>-SUM([2]Specials!$AC$41:$AI$41,[2]Specials!$BE$41:$BG$41)/1000/BJ112</f>
        <v>#DIV/0!</v>
      </c>
      <c r="BK120" s="20" t="e">
        <f>-SUM([2]Specials!$AC$42:$AI$42,[2]Specials!$BE$42:$BG$42)/1000/BK112</f>
        <v>#DIV/0!</v>
      </c>
      <c r="BL120" s="20" t="e">
        <f>-SUM([2]Specials!$AC$43:$AI$43,[2]Specials!$BE$43:$BG$43)/1000/BL112</f>
        <v>#DIV/0!</v>
      </c>
      <c r="BM120" s="7"/>
      <c r="BN120" s="28">
        <f>-SUM('[2]Total P&amp;C'!$AC$41:$AI$41,'[2]Total P&amp;C'!$BE$41:$BG$41)/1000/BN112</f>
        <v>0.23372343537297346</v>
      </c>
      <c r="BO120" s="28">
        <f>-SUM('[2]Total P&amp;C'!$AC$42:$AI$42,'[2]Total P&amp;C'!$BE$42:$BG$42)/1000/BO112</f>
        <v>-4.3145323586493887E-2</v>
      </c>
      <c r="BP120" s="28">
        <f>-SUM('[2]Total P&amp;C'!$AC$43:$AI$43,'[2]Total P&amp;C'!$BE$43:$BG$43)/1000/BP112</f>
        <v>8.8682919665640063E-3</v>
      </c>
      <c r="BR120" s="28">
        <f>-SUM('[3]Total P&amp;C'!$AC$41:$AI$41,'[3]Total P&amp;C'!$BE$41:$BG$41)/1000/BR112</f>
        <v>1.3820047505097341E-2</v>
      </c>
      <c r="BS120" s="28">
        <f>-SUM('[3]Total P&amp;C'!$AC$42:$AI$42,'[3]Total P&amp;C'!$BE$42:$BG$42)/1000/BS112</f>
        <v>4.7343906586098189E-2</v>
      </c>
      <c r="BT120" s="28">
        <f>-SUM('[3]Total P&amp;C'!$AC$43:$AI$43,'[3]Total P&amp;C'!$BE$43:$BG$43)/1000/BT112</f>
        <v>-1.2283919037371223E-2</v>
      </c>
    </row>
    <row r="121" spans="2:72" ht="16.5" customHeight="1" x14ac:dyDescent="0.25">
      <c r="B121" s="202"/>
      <c r="C121" s="9"/>
      <c r="D121" s="37" t="s">
        <v>29</v>
      </c>
      <c r="J121" s="20">
        <f>-SUM([1]Retail!$AJ$41:$AK$41,[1]Retail!$BH$41:$BI$41)/1000/J112</f>
        <v>-0.18763042772094535</v>
      </c>
      <c r="K121" s="20">
        <f>-SUM([1]Retail!$AJ$42:$AK$42,[1]Retail!$BH$42:$BI$42)/1000/K112</f>
        <v>9.6403519753059136E-2</v>
      </c>
      <c r="L121" s="20" t="e">
        <f>-SUM([1]Retail!$AJ$43:$AK$43,[1]Retail!$BH$43:$BI$43)/1000/L112</f>
        <v>#DIV/0!</v>
      </c>
      <c r="M121" s="7"/>
      <c r="N121" s="20">
        <f>-SUM([1]SME!$AJ$41:$AK$41,[1]SME!$BH$41:$BI$41)/1000/N112</f>
        <v>2.6555351762344172E-2</v>
      </c>
      <c r="O121" s="20">
        <f>-SUM([1]SME!$AJ$42:$AK$42,[1]SME!$BH$42:$BI$42)/1000/O112</f>
        <v>5.702010045912069E-2</v>
      </c>
      <c r="P121" s="20">
        <f>-SUM([1]SME!$AJ$43:$AK$43,[1]SME!$BH$43:$BI$43)/1000/P112</f>
        <v>0</v>
      </c>
      <c r="Q121" s="7"/>
      <c r="R121" s="20">
        <f>-SUM([1]MidCorp!$AJ$41:$AK$41,[1]MidCorp!$BH$41:$BI$41)/1000/R112</f>
        <v>5.320054222775189E-2</v>
      </c>
      <c r="S121" s="20">
        <f>-SUM([1]MidCorp!$AJ$42:$AK$42,[1]MidCorp!$BH$42:$BI$42)/1000/S112</f>
        <v>-5.1789306961074746E-4</v>
      </c>
      <c r="T121" s="20">
        <f>-SUM([1]MidCorp!$AJ$43:$AK$43,[1]MidCorp!$BH$43:$BI$43)/1000/T112</f>
        <v>0</v>
      </c>
      <c r="U121" s="7"/>
      <c r="V121" s="20">
        <f>-SUM([1]MGA!$AJ$41:$AK$41,[1]MGA!$BH$41:$BI$41)/1000/V112</f>
        <v>8.8794413244534465E-2</v>
      </c>
      <c r="W121" s="20">
        <f>-SUM([1]MGA!$AJ$42:$AK$42,[1]MGA!$BH$42:$BI$42)/1000/W112</f>
        <v>-3.6286925837142291E-2</v>
      </c>
      <c r="X121" s="20">
        <f>-SUM([1]MGA!$AJ$43:$AK$43,[1]MGA!$BH$43:$BI$43)/1000/X112</f>
        <v>0</v>
      </c>
      <c r="Y121" s="7"/>
      <c r="Z121" s="20">
        <f>-SUM([1]Bancassurance!$AJ$41:$AK$41,[1]Bancassurance!$BH$41:$BI$41)/1000/Z112</f>
        <v>9.7651969046197093E-2</v>
      </c>
      <c r="AA121" s="20">
        <f>-SUM([1]Bancassurance!$AJ$42:$AK$42,[1]Bancassurance!$BH$42:$BI$42)/1000/AA112</f>
        <v>-4.2637044772236544E-2</v>
      </c>
      <c r="AB121" s="20">
        <f>-SUM([1]Bancassurance!$AJ$43:$AK$43,[1]Bancassurance!$BH$43:$BI$43)/1000/AB112</f>
        <v>0</v>
      </c>
      <c r="AC121" s="7"/>
      <c r="AD121" s="20" t="e">
        <f>-SUM([1]Specials!$AJ$41:$AK$41,[1]Specials!$BH$41:$BI$41)/1000/AD112</f>
        <v>#DIV/0!</v>
      </c>
      <c r="AE121" s="20" t="e">
        <f>-SUM([1]Specials!$AJ$42:$AK$42,[1]Specials!$BH$42:$BI$42)/1000/AE112</f>
        <v>#DIV/0!</v>
      </c>
      <c r="AF121" s="20" t="e">
        <f>-SUM([1]Specials!$AJ$43:$AK$43,[1]Specials!$BH$43:$BI$43)/1000/AF112</f>
        <v>#DIV/0!</v>
      </c>
      <c r="AG121" s="7"/>
      <c r="AH121" s="28">
        <f>-SUM('[1]Total P&amp;C'!$AJ$41:$AK$41,'[1]Total P&amp;C'!$BH$41:$BI$41)/1000/AH112</f>
        <v>4.5761019015444243E-2</v>
      </c>
      <c r="AI121" s="28">
        <f>-SUM('[1]Total P&amp;C'!$AJ$42:$AK$42,'[1]Total P&amp;C'!$BH$42:$BI$42)/1000/AI112</f>
        <v>1.4037131916559548E-2</v>
      </c>
      <c r="AJ121" s="28">
        <f>-SUM('[1]Total P&amp;C'!$AJ$43:$AK$43,'[1]Total P&amp;C'!$BH$43:$BI$43)/1000/AJ112</f>
        <v>0</v>
      </c>
      <c r="AL121" s="202"/>
      <c r="AM121" s="9"/>
      <c r="AN121" s="37" t="s">
        <v>29</v>
      </c>
      <c r="AT121" s="20">
        <f>-SUM([2]Retail!$AJ$41:$AK$41,[2]Retail!$BH$41:$BI$41)/1000/AT112</f>
        <v>-0.13570040789815052</v>
      </c>
      <c r="AU121" s="20">
        <f>-SUM([2]Retail!$AJ$42:$AK$42,[2]Retail!$BH$42:$BI$42)/1000/AU112</f>
        <v>2.7753719739568018E-2</v>
      </c>
      <c r="AV121" s="20">
        <f>-SUM([2]Retail!$AJ$43:$AK$43,[2]Retail!$BH$43:$BI$43)/1000/AV112</f>
        <v>0</v>
      </c>
      <c r="AW121" s="7"/>
      <c r="AX121" s="20">
        <f>-SUM([2]SME!$AJ$41:$AK$41,[2]SME!$BH$41:$BI$41)/1000/AX112</f>
        <v>-0.26267194414675588</v>
      </c>
      <c r="AY121" s="20">
        <f>-SUM([2]SME!$AJ$42:$AK$42,[2]SME!$BH$42:$BI$42)/1000/AY112</f>
        <v>4.771500295835758E-2</v>
      </c>
      <c r="AZ121" s="20">
        <f>-SUM([2]SME!$AJ$43:$AK$43,[2]SME!$BH$43:$BI$43)/1000/AZ112</f>
        <v>0</v>
      </c>
      <c r="BA121" s="7"/>
      <c r="BB121" s="20">
        <f>-SUM([2]MidCorp!$AJ$41:$AK$41,[2]MidCorp!$BH$41:$BI$41)/1000/BB112</f>
        <v>-3.3311123556040385E-2</v>
      </c>
      <c r="BC121" s="20">
        <f>-SUM([2]MidCorp!$AJ$42:$AK$42,[2]MidCorp!$BH$42:$BI$42)/1000/BC112</f>
        <v>0.29756712450414791</v>
      </c>
      <c r="BD121" s="20">
        <f>-SUM([2]MidCorp!$AJ$43:$AK$43,[2]MidCorp!$BH$43:$BI$43)/1000/BD112</f>
        <v>0</v>
      </c>
      <c r="BJ121" s="20" t="e">
        <f>-SUM([2]Specials!$AJ$41:$AK$41,[2]Specials!$BH$41:$BI$41)/1000/BJ112</f>
        <v>#DIV/0!</v>
      </c>
      <c r="BK121" s="20" t="e">
        <f>-SUM([2]Specials!$AJ$42:$AK$42,[2]Specials!$BH$42:$BI$42)/1000/BK112</f>
        <v>#DIV/0!</v>
      </c>
      <c r="BL121" s="20" t="e">
        <f>-SUM([2]Specials!$AJ$43:$AK$43,[2]Specials!$BH$43:$BI$43)/1000/BL112</f>
        <v>#DIV/0!</v>
      </c>
      <c r="BM121" s="7"/>
      <c r="BN121" s="28">
        <f>-SUM('[2]Total P&amp;C'!$AJ$41:$AK$41,'[2]Total P&amp;C'!$BH$41:$BI$41)/1000/BN112</f>
        <v>-0.10925667070844432</v>
      </c>
      <c r="BO121" s="28">
        <f>-SUM('[2]Total P&amp;C'!$AJ$42:$AK$42,'[2]Total P&amp;C'!$BH$42:$BI$42)/1000/BO112</f>
        <v>0.17993824698143901</v>
      </c>
      <c r="BP121" s="28">
        <f>-SUM('[2]Total P&amp;C'!$AJ$43:$AK$43,'[2]Total P&amp;C'!$BH$43:$BI$43)/1000/BP112</f>
        <v>0</v>
      </c>
      <c r="BR121" s="28">
        <f>-SUM('[3]Total P&amp;C'!$AJ$41:$AK$41,'[3]Total P&amp;C'!$BH$41:$BI$41)/1000/BR112</f>
        <v>-1.7864698926790892E-3</v>
      </c>
      <c r="BS121" s="28">
        <f>-SUM('[3]Total P&amp;C'!$AJ$42:$AK$42,'[3]Total P&amp;C'!$BH$42:$BI$42)/1000/BS112</f>
        <v>6.488038466612632E-2</v>
      </c>
      <c r="BT121" s="28">
        <f>-SUM('[3]Total P&amp;C'!$AJ$43:$AK$43,'[3]Total P&amp;C'!$BH$43:$BI$43)/1000/BT112</f>
        <v>0</v>
      </c>
    </row>
    <row r="122" spans="2:72" ht="16.5" customHeight="1" x14ac:dyDescent="0.25">
      <c r="B122" s="202"/>
      <c r="C122" s="9"/>
      <c r="D122" s="37" t="s">
        <v>30</v>
      </c>
      <c r="J122" s="20">
        <f>+J123+J124+J125</f>
        <v>0.42757380063939476</v>
      </c>
      <c r="K122" s="20">
        <f>+K123+K124+K125</f>
        <v>0.5919545838002559</v>
      </c>
      <c r="L122" s="20" t="e">
        <f>+L123+L124+L125</f>
        <v>#DIV/0!</v>
      </c>
      <c r="M122" s="7"/>
      <c r="N122" s="20">
        <f>+N123+N124+N125</f>
        <v>0.36099935560541208</v>
      </c>
      <c r="O122" s="20">
        <f>+O123+O124+O125</f>
        <v>0.40591101626786696</v>
      </c>
      <c r="P122" s="20">
        <f>+P123+P124+P125</f>
        <v>0.39281037134018959</v>
      </c>
      <c r="Q122" s="7"/>
      <c r="R122" s="20">
        <f>+R123+R124+R125</f>
        <v>0.30810799366634617</v>
      </c>
      <c r="S122" s="20">
        <f>+S123+S124+S125</f>
        <v>0.2837448284327872</v>
      </c>
      <c r="T122" s="20">
        <f>+T123+T124+T125</f>
        <v>0.31594997320608037</v>
      </c>
      <c r="U122" s="7"/>
      <c r="V122" s="20">
        <f>+V123+V124+V125</f>
        <v>0.45265213607816673</v>
      </c>
      <c r="W122" s="20">
        <f>+W123+W124+W125</f>
        <v>0.47354202400005757</v>
      </c>
      <c r="X122" s="20">
        <f>+X123+X124+X125</f>
        <v>0.43676280376515758</v>
      </c>
      <c r="Y122" s="7"/>
      <c r="Z122" s="20">
        <f>+Z123+Z124+Z125</f>
        <v>0.45346770336305176</v>
      </c>
      <c r="AA122" s="20">
        <f>+AA123+AA124+AA125</f>
        <v>0.48836162293764529</v>
      </c>
      <c r="AB122" s="20">
        <f>+AB123+AB124+AB125</f>
        <v>0.4392696008217476</v>
      </c>
      <c r="AC122" s="7"/>
      <c r="AD122" s="20" t="e">
        <f>+AD123+AD124+AD125</f>
        <v>#DIV/0!</v>
      </c>
      <c r="AE122" s="20" t="e">
        <f>+AE123+AE124+AE125</f>
        <v>#DIV/0!</v>
      </c>
      <c r="AF122" s="20" t="e">
        <f>+AF123+AF124+AF125</f>
        <v>#DIV/0!</v>
      </c>
      <c r="AG122" s="7"/>
      <c r="AH122" s="28">
        <f>+AH123+AH124+AH125</f>
        <v>0.33144451495460109</v>
      </c>
      <c r="AI122" s="28">
        <f>+AI123+AI124+AI125</f>
        <v>0.32724729556163745</v>
      </c>
      <c r="AJ122" s="28">
        <f>+AJ123+AJ124+AJ125</f>
        <v>0.34520188786254841</v>
      </c>
      <c r="AL122" s="202"/>
      <c r="AM122" s="9"/>
      <c r="AN122" s="37" t="s">
        <v>30</v>
      </c>
      <c r="AT122" s="20">
        <f>+AT123+AT124+AT125</f>
        <v>0.51542989926084459</v>
      </c>
      <c r="AU122" s="20">
        <f>+AU123+AU124+AU125</f>
        <v>0.46908097464548776</v>
      </c>
      <c r="AV122" s="20">
        <f>+AV123+AV124+AV125</f>
        <v>0.5014271640980158</v>
      </c>
      <c r="AW122" s="7"/>
      <c r="AX122" s="20">
        <f>+AX123+AX124+AX125</f>
        <v>0.56230001082666259</v>
      </c>
      <c r="AY122" s="20">
        <f>+AY123+AY124+AY125</f>
        <v>0.54302990227963011</v>
      </c>
      <c r="AZ122" s="20">
        <f>+AZ123+AZ124+AZ125</f>
        <v>0.60630251933656809</v>
      </c>
      <c r="BA122" s="7"/>
      <c r="BB122" s="20">
        <f>+BB123+BB124+BB125</f>
        <v>0.41071061454454144</v>
      </c>
      <c r="BC122" s="20">
        <f>+BC123+BC124+BC125</f>
        <v>0.41340489989953833</v>
      </c>
      <c r="BD122" s="20">
        <f>+BD123+BD124+BD125</f>
        <v>0.42787734860996929</v>
      </c>
      <c r="BJ122" s="20" t="e">
        <f>+BJ123+BJ124+BJ125</f>
        <v>#DIV/0!</v>
      </c>
      <c r="BK122" s="20" t="e">
        <f>+BK123+BK124+BK125</f>
        <v>#DIV/0!</v>
      </c>
      <c r="BL122" s="20" t="e">
        <f>+BL123+BL124+BL125</f>
        <v>#DIV/0!</v>
      </c>
      <c r="BM122" s="7"/>
      <c r="BN122" s="28">
        <f>+BN123+BN124+BN125</f>
        <v>0.46921583153723301</v>
      </c>
      <c r="BO122" s="28">
        <f>+BO123+BO124+BO125</f>
        <v>0.45570048689005305</v>
      </c>
      <c r="BP122" s="28">
        <f>+BP123+BP124+BP125</f>
        <v>0.48668551183186104</v>
      </c>
      <c r="BR122" s="28">
        <f>+BR123+BR124+BR125</f>
        <v>0.37370214476922442</v>
      </c>
      <c r="BS122" s="28">
        <f>+BS123+BS124+BS125</f>
        <v>0.3666139874048176</v>
      </c>
      <c r="BT122" s="28">
        <f>+BT123+BT124+BT125</f>
        <v>0.3864026247702666</v>
      </c>
    </row>
    <row r="123" spans="2:72" ht="16.5" customHeight="1" x14ac:dyDescent="0.25">
      <c r="B123" s="202"/>
      <c r="C123" s="9"/>
      <c r="D123" s="39" t="s">
        <v>31</v>
      </c>
      <c r="J123" s="20">
        <f>-SUM([1]Retail!$AL$41:$AN$41,[1]Retail!$BJ$41)/1000/J112</f>
        <v>0.24895076739061361</v>
      </c>
      <c r="K123" s="42">
        <f>-SUM([1]Retail!$AL$42:$AN$42,[1]Retail!$BJ$42)/1000/K112</f>
        <v>0.23292715644864392</v>
      </c>
      <c r="L123" s="42" t="e">
        <f>-SUM([1]Retail!$AL$43:$AN$43,[1]Retail!$BJ$43)/1000/L112</f>
        <v>#DIV/0!</v>
      </c>
      <c r="M123" s="8"/>
      <c r="N123" s="20">
        <f>-SUM([1]SME!$AL$41:$AN$41,[1]SME!$BJ$41)/1000/N112</f>
        <v>0.22107230022567823</v>
      </c>
      <c r="O123" s="20">
        <f>-SUM([1]SME!$AL$42:$AN$42,[1]SME!$BJ$42)/1000/O112</f>
        <v>0.22008881034400024</v>
      </c>
      <c r="P123" s="20">
        <f>-SUM([1]SME!$AL$43:$AN$43,[1]SME!$BJ$43)/1000/P112</f>
        <v>0.22058491680310188</v>
      </c>
      <c r="Q123" s="8"/>
      <c r="R123" s="20">
        <f>-SUM([1]MidCorp!$AL$41:$AN$41,[1]MidCorp!$BJ$41)/1000/R112</f>
        <v>0.19608202737140318</v>
      </c>
      <c r="S123" s="20">
        <f>-SUM([1]MidCorp!$AL$42:$AN$42,[1]MidCorp!$BJ$42)/1000/S112</f>
        <v>0.19631252045691122</v>
      </c>
      <c r="T123" s="20">
        <f>-SUM([1]MidCorp!$AL$43:$AN$43,[1]MidCorp!$BJ$43)/1000/T112</f>
        <v>0.1970993456192672</v>
      </c>
      <c r="U123" s="8"/>
      <c r="V123" s="20">
        <f>-SUM([1]MGA!$AL$41:$AN$41,[1]MGA!$BJ$41)/1000/V112</f>
        <v>0.34909587724277286</v>
      </c>
      <c r="W123" s="20">
        <f>-SUM([1]MGA!$AL$42:$AN$42,[1]MGA!$BJ$42)/1000/W112</f>
        <v>0.35255748466752784</v>
      </c>
      <c r="X123" s="20">
        <f>-SUM([1]MGA!$AL$43:$AN$43,[1]MGA!$BJ$43)/1000/X112</f>
        <v>0.35130743590633745</v>
      </c>
      <c r="Y123" s="8"/>
      <c r="Z123" s="20">
        <f>-SUM([1]Bancassurance!$AL$41:$AN$41,[1]Bancassurance!$BJ$41)/1000/Z112</f>
        <v>0.14714538602693306</v>
      </c>
      <c r="AA123" s="20">
        <f>-SUM([1]Bancassurance!$AL$42:$AN$42,[1]Bancassurance!$BJ$42)/1000/AA112</f>
        <v>0.1430429309189484</v>
      </c>
      <c r="AB123" s="20">
        <f>-SUM([1]Bancassurance!$AL$43:$AN$43,[1]Bancassurance!$BJ$43)/1000/AB112</f>
        <v>0.15</v>
      </c>
      <c r="AC123" s="8"/>
      <c r="AD123" s="20" t="e">
        <f>-SUM([1]Specials!$AL$41:$AN$41,[1]Specials!$BJ$41)/1000/AD112</f>
        <v>#DIV/0!</v>
      </c>
      <c r="AE123" s="20" t="e">
        <f>-SUM([1]Specials!$AL$42:$AN$42,[1]Specials!$BJ$42)/1000/AE112</f>
        <v>#DIV/0!</v>
      </c>
      <c r="AF123" s="20" t="e">
        <f>-SUM([1]Specials!$AL$43:$AN$43,[1]Specials!$BJ$43)/1000/AF112</f>
        <v>#DIV/0!</v>
      </c>
      <c r="AG123" s="8"/>
      <c r="AH123" s="28">
        <f>-SUM('[1]Total P&amp;C'!$AL$41:$AN$41,'[1]Total P&amp;C'!$BJ$41)/1000/AH112</f>
        <v>0.20796390977615811</v>
      </c>
      <c r="AI123" s="28">
        <f>-SUM('[1]Total P&amp;C'!$AL$42:$AN$42,'[1]Total P&amp;C'!$BJ$42)/1000/AI112</f>
        <v>0.2072951157975336</v>
      </c>
      <c r="AJ123" s="28">
        <f>-SUM('[1]Total P&amp;C'!$AL$43:$AN$43,'[1]Total P&amp;C'!$BJ$43)/1000/AJ112</f>
        <v>0.20949393937638797</v>
      </c>
      <c r="AL123" s="202"/>
      <c r="AM123" s="9"/>
      <c r="AN123" s="39" t="s">
        <v>31</v>
      </c>
      <c r="AT123" s="20">
        <f>-SUM([2]Retail!$AL$41:$AN$41,[2]Retail!$BJ$41)/1000/AT112</f>
        <v>0.2190726125455589</v>
      </c>
      <c r="AU123" s="42">
        <f>-SUM([2]Retail!$AL$42:$AN$42,[2]Retail!$BJ$42)/1000/AU112</f>
        <v>0.21886062345110424</v>
      </c>
      <c r="AV123" s="42">
        <f>-SUM([2]Retail!$AL$43:$AN$43,[2]Retail!$BJ$43)/1000/AV112</f>
        <v>0.21936165722942005</v>
      </c>
      <c r="AW123" s="8"/>
      <c r="AX123" s="20">
        <f>-SUM([2]SME!$AL$41:$AN$41,[2]SME!$BJ$41)/1000/AX112</f>
        <v>0.23252546993535481</v>
      </c>
      <c r="AY123" s="20">
        <f>-SUM([2]SME!$AL$42:$AN$42,[2]SME!$BJ$42)/1000/AY112</f>
        <v>0.23202317672790637</v>
      </c>
      <c r="AZ123" s="20">
        <f>-SUM([2]SME!$AL$43:$AN$43,[2]SME!$BJ$43)/1000/AZ112</f>
        <v>0.2382655312060564</v>
      </c>
      <c r="BA123" s="8"/>
      <c r="BB123" s="20">
        <f>-SUM([2]MidCorp!$AL$41:$AN$41,[2]MidCorp!$BJ$41)/1000/BB112</f>
        <v>0.20878436970931552</v>
      </c>
      <c r="BC123" s="20">
        <f>-SUM([2]MidCorp!$AL$42:$AN$42,[2]MidCorp!$BJ$42)/1000/BC112</f>
        <v>0.21066715834690977</v>
      </c>
      <c r="BD123" s="20">
        <f>-SUM([2]MidCorp!$AL$43:$AN$43,[2]MidCorp!$BJ$43)/1000/BD112</f>
        <v>0.22145212001761377</v>
      </c>
      <c r="BJ123" s="20" t="e">
        <f>-SUM([2]Specials!$AL$41:$AN$41,[2]Specials!$BJ$41)/1000/BJ112</f>
        <v>#DIV/0!</v>
      </c>
      <c r="BK123" s="20" t="e">
        <f>-SUM([2]Specials!$AL$42:$AN$42,[2]Specials!$BJ$42)/1000/BK112</f>
        <v>#DIV/0!</v>
      </c>
      <c r="BL123" s="20" t="e">
        <f>-SUM([2]Specials!$AL$43:$AN$43,[2]Specials!$BJ$43)/1000/BL112</f>
        <v>#DIV/0!</v>
      </c>
      <c r="BM123" s="8"/>
      <c r="BN123" s="28">
        <f>-SUM('[2]Total P&amp;C'!$AL$41:$AN$41,'[2]Total P&amp;C'!$BJ$41)/1000/BN112</f>
        <v>0.21657592418586175</v>
      </c>
      <c r="BO123" s="28">
        <f>-SUM('[2]Total P&amp;C'!$AL$42:$AN$42,'[2]Total P&amp;C'!$BJ$42)/1000/BO112</f>
        <v>0.21741787141188434</v>
      </c>
      <c r="BP123" s="28">
        <f>-SUM('[2]Total P&amp;C'!$AL$43:$AN$43,'[2]Total P&amp;C'!$BJ$43)/1000/BP112</f>
        <v>0.22492392105630876</v>
      </c>
      <c r="BR123" s="28">
        <f>-SUM('[3]Total P&amp;C'!$AL$41:$AN$41,'[3]Total P&amp;C'!$BJ$41)/1000/BR112</f>
        <v>0.21060541256433227</v>
      </c>
      <c r="BS123" s="28">
        <f>-SUM('[3]Total P&amp;C'!$AL$42:$AN$42,'[3]Total P&amp;C'!$BJ$42)/1000/BS112</f>
        <v>0.21039740852185468</v>
      </c>
      <c r="BT123" s="28">
        <f>-SUM('[3]Total P&amp;C'!$AL$43:$AN$43,'[3]Total P&amp;C'!$BJ$43)/1000/BT112</f>
        <v>0.21398722699406464</v>
      </c>
    </row>
    <row r="124" spans="2:72" ht="16.5" customHeight="1" x14ac:dyDescent="0.25">
      <c r="B124" s="202"/>
      <c r="C124" s="9"/>
      <c r="D124" s="39" t="s">
        <v>32</v>
      </c>
      <c r="J124" s="20">
        <f>-SUM([1]Retail!$AO$41:$AP$41)/1000/J112</f>
        <v>9.1060361274967611E-3</v>
      </c>
      <c r="K124" s="42">
        <f>-SUM([1]Retail!$AO$42:$AP$42)/1000/K112</f>
        <v>5.3940666002888327E-2</v>
      </c>
      <c r="L124" s="42" t="e">
        <f>-SUM([1]Retail!$AO$43:$AP$43)/1000/L112</f>
        <v>#DIV/0!</v>
      </c>
      <c r="M124" s="8"/>
      <c r="N124" s="20">
        <f>-SUM([1]SME!$AO$41:$AP$41)/1000/N112</f>
        <v>5.8080814403075526E-2</v>
      </c>
      <c r="O124" s="20">
        <f>-SUM([1]SME!$AO$42:$AP$42)/1000/O112</f>
        <v>0.11019473407373255</v>
      </c>
      <c r="P124" s="20">
        <f>-SUM([1]SME!$AO$43:$AP$43)/1000/P112</f>
        <v>6.6483956206675271E-2</v>
      </c>
      <c r="Q124" s="8"/>
      <c r="R124" s="20">
        <f>-SUM([1]MidCorp!$AO$41:$AP$41)/1000/R112</f>
        <v>5.9794429156510169E-2</v>
      </c>
      <c r="S124" s="20">
        <f>-SUM([1]MidCorp!$AO$42:$AP$42)/1000/S112</f>
        <v>4.126085564105661E-2</v>
      </c>
      <c r="T124" s="20">
        <f>-SUM([1]MidCorp!$AO$43:$AP$43)/1000/T112</f>
        <v>5.6889466660822792E-2</v>
      </c>
      <c r="U124" s="8"/>
      <c r="V124" s="20">
        <f>-SUM([1]MGA!$AO$41:$AP$41)/1000/V112</f>
        <v>4.2088495149681097E-2</v>
      </c>
      <c r="W124" s="20">
        <f>-SUM([1]MGA!$AO$42:$AP$42)/1000/W112</f>
        <v>3.9843201922457647E-2</v>
      </c>
      <c r="X124" s="20">
        <f>-SUM([1]MGA!$AO$43:$AP$43)/1000/X112</f>
        <v>3.3641106115087707E-2</v>
      </c>
      <c r="Y124" s="8"/>
      <c r="Z124" s="20">
        <f>-SUM([1]Bancassurance!$AO$41:$AP$41)/1000/Z112</f>
        <v>0.15116308019434668</v>
      </c>
      <c r="AA124" s="20">
        <f>-SUM([1]Bancassurance!$AO$42:$AP$42)/1000/AA112</f>
        <v>7.8855999449083281E-2</v>
      </c>
      <c r="AB124" s="20">
        <f>-SUM([1]Bancassurance!$AO$43:$AP$43)/1000/AB112</f>
        <v>0.13071984914493379</v>
      </c>
      <c r="AC124" s="8"/>
      <c r="AD124" s="20" t="e">
        <f>-SUM([1]Specials!$AO$41:$AP$41)/1000/AD112</f>
        <v>#DIV/0!</v>
      </c>
      <c r="AE124" s="20" t="e">
        <f>-SUM([1]Specials!$AO$42:$AP$42)/1000/AE112</f>
        <v>#DIV/0!</v>
      </c>
      <c r="AF124" s="20" t="e">
        <f>-SUM([1]Specials!$AO$43:$AP$43)/1000/AF112</f>
        <v>#DIV/0!</v>
      </c>
      <c r="AG124" s="8"/>
      <c r="AH124" s="28">
        <f>-SUM('[1]Total P&amp;C'!$AO$41:$AP$41)/1000/AH112</f>
        <v>5.9900685657735223E-2</v>
      </c>
      <c r="AI124" s="28">
        <f>-SUM('[1]Total P&amp;C'!$AO$42:$AP$42)/1000/AI112</f>
        <v>5.8779599485784449E-2</v>
      </c>
      <c r="AJ124" s="28">
        <f>-SUM('[1]Total P&amp;C'!$AO$43:$AP$43)/1000/AJ112</f>
        <v>5.9753198842166982E-2</v>
      </c>
      <c r="AL124" s="202"/>
      <c r="AM124" s="9"/>
      <c r="AN124" s="39" t="s">
        <v>32</v>
      </c>
      <c r="AT124" s="20">
        <f>-SUM([2]Retail!$AO$41:$AP$41)/1000/AT112</f>
        <v>0.1678809803472831</v>
      </c>
      <c r="AU124" s="42">
        <f>-SUM([2]Retail!$AO$42:$AP$42)/1000/AU112</f>
        <v>0.14699480198197584</v>
      </c>
      <c r="AV124" s="42">
        <f>-SUM([2]Retail!$AO$43:$AP$43)/1000/AV112</f>
        <v>0.15784011461937195</v>
      </c>
      <c r="AW124" s="8"/>
      <c r="AX124" s="20">
        <f>-SUM([2]SME!$AO$41:$AP$41)/1000/AX112</f>
        <v>0.24925101127366386</v>
      </c>
      <c r="AY124" s="20">
        <f>-SUM([2]SME!$AO$42:$AP$42)/1000/AY112</f>
        <v>0.22513175472149394</v>
      </c>
      <c r="AZ124" s="20">
        <f>-SUM([2]SME!$AO$43:$AP$43)/1000/AZ112</f>
        <v>0.27659298359246726</v>
      </c>
      <c r="BA124" s="8"/>
      <c r="BB124" s="20">
        <f>-SUM([2]MidCorp!$AO$41:$AP$41)/1000/BB112</f>
        <v>8.1720045222211851E-2</v>
      </c>
      <c r="BC124" s="20">
        <f>-SUM([2]MidCorp!$AO$42:$AP$42)/1000/BC112</f>
        <v>7.5824545682767169E-2</v>
      </c>
      <c r="BD124" s="20">
        <f>-SUM([2]MidCorp!$AO$43:$AP$43)/1000/BD112</f>
        <v>7.6921401019488508E-2</v>
      </c>
      <c r="BJ124" s="20" t="e">
        <f>-SUM([2]Specials!$AO$41:$AP$41)/1000/BJ112</f>
        <v>#DIV/0!</v>
      </c>
      <c r="BK124" s="20" t="e">
        <f>-SUM([2]Specials!$AO$42:$AP$42)/1000/BK112</f>
        <v>#DIV/0!</v>
      </c>
      <c r="BL124" s="20" t="e">
        <f>-SUM([2]Specials!$AO$43:$AP$43)/1000/BL112</f>
        <v>#DIV/0!</v>
      </c>
      <c r="BM124" s="8"/>
      <c r="BN124" s="28">
        <f>-SUM('[2]Total P&amp;C'!$AO$41:$AP$41)/1000/BN112</f>
        <v>0.1397440178203444</v>
      </c>
      <c r="BO124" s="28">
        <f>-SUM('[2]Total P&amp;C'!$AO$42:$AP$42)/1000/BO112</f>
        <v>0.1261065190375151</v>
      </c>
      <c r="BP124" s="28">
        <f>-SUM('[2]Total P&amp;C'!$AO$43:$AP$43)/1000/BP112</f>
        <v>0.14241354636962722</v>
      </c>
      <c r="BR124" s="28">
        <f>-SUM('[3]Total P&amp;C'!$AO$41:$AP$41)/1000/BR112</f>
        <v>8.4390471030947642E-2</v>
      </c>
      <c r="BS124" s="28">
        <f>-SUM('[3]Total P&amp;C'!$AO$42:$AP$42)/1000/BS112</f>
        <v>7.9413093035720486E-2</v>
      </c>
      <c r="BT124" s="28">
        <f>-SUM('[3]Total P&amp;C'!$AO$43:$AP$43)/1000/BT112</f>
        <v>8.3824304286272092E-2</v>
      </c>
    </row>
    <row r="125" spans="2:72" ht="16.5" customHeight="1" x14ac:dyDescent="0.25">
      <c r="B125" s="202"/>
      <c r="C125" s="9"/>
      <c r="D125" s="39" t="s">
        <v>33</v>
      </c>
      <c r="J125" s="20">
        <f>-SUM([1]Retail!$AQ$41:$AR$41)/1000/J112</f>
        <v>0.16951699712128437</v>
      </c>
      <c r="K125" s="42">
        <f>-SUM([1]Retail!$AQ$42:$AR$42)/1000/K112</f>
        <v>0.30508676134872365</v>
      </c>
      <c r="L125" s="42" t="e">
        <f>-SUM([1]Retail!$AQ$43:$AR$43)/1000/L112</f>
        <v>#DIV/0!</v>
      </c>
      <c r="M125" s="8"/>
      <c r="N125" s="20">
        <f>-SUM([1]SME!$AQ$41:$AR$41)/1000/N112</f>
        <v>8.1846240976658352E-2</v>
      </c>
      <c r="O125" s="20">
        <f>-SUM([1]SME!$AQ$42:$AR$42)/1000/O112</f>
        <v>7.5627471850134215E-2</v>
      </c>
      <c r="P125" s="20">
        <f>-SUM([1]SME!$AQ$43:$AR$43)/1000/P112</f>
        <v>0.10574149833041244</v>
      </c>
      <c r="Q125" s="8"/>
      <c r="R125" s="20">
        <f>-SUM([1]MidCorp!$AQ$41:$AR$41)/1000/R112</f>
        <v>5.2231537138432836E-2</v>
      </c>
      <c r="S125" s="20">
        <f>-SUM([1]MidCorp!$AQ$42:$AR$42)/1000/S112</f>
        <v>4.6171452334819389E-2</v>
      </c>
      <c r="T125" s="20">
        <f>-SUM([1]MidCorp!$AQ$43:$AR$43)/1000/T112</f>
        <v>6.1961160925990369E-2</v>
      </c>
      <c r="U125" s="8"/>
      <c r="V125" s="20">
        <f>-SUM([1]MGA!$AQ$41:$AR$41)/1000/V112</f>
        <v>6.1467763685712787E-2</v>
      </c>
      <c r="W125" s="20">
        <f>-SUM([1]MGA!$AQ$42:$AR$42)/1000/W112</f>
        <v>8.1141337410072067E-2</v>
      </c>
      <c r="X125" s="20">
        <f>-SUM([1]MGA!$AQ$43:$AR$43)/1000/X112</f>
        <v>5.1814261743732451E-2</v>
      </c>
      <c r="Y125" s="8"/>
      <c r="Z125" s="20">
        <f>-SUM([1]Bancassurance!$AQ$41:$AR$41)/1000/Z112</f>
        <v>0.15515923714177204</v>
      </c>
      <c r="AA125" s="20">
        <f>-SUM([1]Bancassurance!$AQ$42:$AR$42)/1000/AA112</f>
        <v>0.26646269256961358</v>
      </c>
      <c r="AB125" s="20">
        <f>-SUM([1]Bancassurance!$AQ$43:$AR$43)/1000/AB112</f>
        <v>0.15854975167681387</v>
      </c>
      <c r="AC125" s="8"/>
      <c r="AD125" s="20" t="e">
        <f>-SUM([1]Specials!$AQ$41:$AR$41)/1000/AD112</f>
        <v>#DIV/0!</v>
      </c>
      <c r="AE125" s="20" t="e">
        <f>-SUM([1]Specials!$AQ$42:$AR$42)/1000/AE112</f>
        <v>#DIV/0!</v>
      </c>
      <c r="AF125" s="20" t="e">
        <f>-SUM([1]Specials!$AQ$43:$AR$43)/1000/AF112</f>
        <v>#DIV/0!</v>
      </c>
      <c r="AG125" s="8"/>
      <c r="AH125" s="28">
        <f>-SUM('[1]Total P&amp;C'!$AQ$41:$AR$41)/1000/AH112</f>
        <v>6.3579919520707753E-2</v>
      </c>
      <c r="AI125" s="28">
        <f>-SUM('[1]Total P&amp;C'!$AQ$42:$AR$42)/1000/AI112</f>
        <v>6.1172580278319393E-2</v>
      </c>
      <c r="AJ125" s="28">
        <f>-SUM('[1]Total P&amp;C'!$AQ$43:$AR$43)/1000/AJ112</f>
        <v>7.5954749643993444E-2</v>
      </c>
      <c r="AL125" s="202"/>
      <c r="AM125" s="9"/>
      <c r="AN125" s="39" t="s">
        <v>33</v>
      </c>
      <c r="AT125" s="20">
        <f>-SUM([2]Retail!$AQ$41:$AR$41)/1000/AT112</f>
        <v>0.1284763063680025</v>
      </c>
      <c r="AU125" s="42">
        <f>-SUM([2]Retail!$AQ$42:$AR$42)/1000/AU112</f>
        <v>0.10322554921240766</v>
      </c>
      <c r="AV125" s="42">
        <f>-SUM([2]Retail!$AQ$43:$AR$43)/1000/AV112</f>
        <v>0.12422539224922378</v>
      </c>
      <c r="AW125" s="8"/>
      <c r="AX125" s="20">
        <f>-SUM([2]SME!$AQ$41:$AR$41)/1000/AX112</f>
        <v>8.0523529617643946E-2</v>
      </c>
      <c r="AY125" s="20">
        <f>-SUM([2]SME!$AQ$42:$AR$42)/1000/AY112</f>
        <v>8.5874970830229713E-2</v>
      </c>
      <c r="AZ125" s="20">
        <f>-SUM([2]SME!$AQ$43:$AR$43)/1000/AZ112</f>
        <v>9.144400453804441E-2</v>
      </c>
      <c r="BA125" s="8"/>
      <c r="BB125" s="20">
        <f>-SUM([2]MidCorp!$AQ$41:$AR$41)/1000/BB112</f>
        <v>0.12020619961301411</v>
      </c>
      <c r="BC125" s="20">
        <f>-SUM([2]MidCorp!$AQ$42:$AR$42)/1000/BC112</f>
        <v>0.12691319586986138</v>
      </c>
      <c r="BD125" s="20">
        <f>-SUM([2]MidCorp!$AQ$43:$AR$43)/1000/BD112</f>
        <v>0.12950382757286696</v>
      </c>
      <c r="BJ125" s="20" t="e">
        <f>-SUM([2]Specials!$AQ$41:$AR$41)/1000/BJ112</f>
        <v>#DIV/0!</v>
      </c>
      <c r="BK125" s="20" t="e">
        <f>-SUM([2]Specials!$AQ$42:$AR$42)/1000/BK112</f>
        <v>#DIV/0!</v>
      </c>
      <c r="BL125" s="20" t="e">
        <f>-SUM([2]Specials!$AQ$43:$AR$43)/1000/BL112</f>
        <v>#DIV/0!</v>
      </c>
      <c r="BM125" s="8"/>
      <c r="BN125" s="28">
        <f>-SUM('[2]Total P&amp;C'!$AQ$41:$AR$41)/1000/BN112</f>
        <v>0.11289588953102689</v>
      </c>
      <c r="BO125" s="28">
        <f>-SUM('[2]Total P&amp;C'!$AQ$42:$AR$42)/1000/BO112</f>
        <v>0.11217609644065364</v>
      </c>
      <c r="BP125" s="28">
        <f>-SUM('[2]Total P&amp;C'!$AQ$43:$AR$43)/1000/BP112</f>
        <v>0.11934804440592507</v>
      </c>
      <c r="BR125" s="28">
        <f>-SUM('[3]Total P&amp;C'!$AQ$41:$AR$41)/1000/BR112</f>
        <v>7.8706261173944511E-2</v>
      </c>
      <c r="BS125" s="28">
        <f>-SUM('[3]Total P&amp;C'!$AQ$42:$AR$42)/1000/BS112</f>
        <v>7.6803485847242461E-2</v>
      </c>
      <c r="BT125" s="28">
        <f>-SUM('[3]Total P&amp;C'!$AQ$43:$AR$43)/1000/BT112</f>
        <v>8.8591093489929898E-2</v>
      </c>
    </row>
    <row r="126" spans="2:72" ht="16.5" customHeight="1" x14ac:dyDescent="0.25">
      <c r="B126" s="202"/>
      <c r="C126" s="9"/>
      <c r="D126" s="37" t="s">
        <v>34</v>
      </c>
      <c r="J126" s="19">
        <f>+[1]Retail!$BK$41/1000</f>
        <v>-0.81901931000000028</v>
      </c>
      <c r="K126" s="19">
        <f>+[1]Retail!$BK$42/1000</f>
        <v>0.20348385999999924</v>
      </c>
      <c r="L126" s="19">
        <f>+[1]Retail!$BK$43/1000</f>
        <v>-7.9168393425542286E-2</v>
      </c>
      <c r="M126" s="6"/>
      <c r="N126" s="19">
        <f>+[1]SME!$BK$41/1000</f>
        <v>0.25801820999999953</v>
      </c>
      <c r="O126" s="19">
        <f>+[1]SME!$BK$42/1000</f>
        <v>3.1176709100000028</v>
      </c>
      <c r="P126" s="19">
        <f>+[1]SME!$BK$43/1000</f>
        <v>0.62650980936666589</v>
      </c>
      <c r="Q126" s="6"/>
      <c r="R126" s="19">
        <f>+[1]MidCorp!$BK$41/1000</f>
        <v>2.9461664699999965</v>
      </c>
      <c r="S126" s="19">
        <f>+[1]MidCorp!$BK$42/1000</f>
        <v>-3.9785532700000035</v>
      </c>
      <c r="T126" s="19">
        <f>+[1]MidCorp!$BK$43/1000</f>
        <v>1.747967805186835</v>
      </c>
      <c r="U126" s="6"/>
      <c r="V126" s="19">
        <f>+[1]MGA!$BK$41/1000</f>
        <v>0.72022348999999986</v>
      </c>
      <c r="W126" s="19">
        <f>+[1]MGA!$BK$42/1000</f>
        <v>0.74686085999999929</v>
      </c>
      <c r="X126" s="19">
        <f>+[1]MGA!$BK$43/1000</f>
        <v>3.4760811757583623E-2</v>
      </c>
      <c r="Y126" s="6"/>
      <c r="Z126" s="19">
        <f>+[1]Bancassurance!$BK$41/1000</f>
        <v>0.27072947999999963</v>
      </c>
      <c r="AA126" s="19">
        <f>+[1]Bancassurance!$BK$42/1000</f>
        <v>-1.0305820000000182E-2</v>
      </c>
      <c r="AB126" s="19">
        <f>+[1]Bancassurance!$BK$43/1000</f>
        <v>9.2337735617841171E-2</v>
      </c>
      <c r="AC126" s="6"/>
      <c r="AD126" s="19">
        <f>+[1]Specials!$BK$41/1000</f>
        <v>-1.005578E-2</v>
      </c>
      <c r="AE126" s="19">
        <f>+[1]Specials!$BK$42/1000</f>
        <v>8.9694499999970981E-3</v>
      </c>
      <c r="AF126" s="19">
        <f>+[1]Specials!$BK$43/1000</f>
        <v>0</v>
      </c>
      <c r="AG126" s="6"/>
      <c r="AH126" s="27">
        <f>+'[1]Total P&amp;C'!$BK$41/1000</f>
        <v>3.366062559999996</v>
      </c>
      <c r="AI126" s="27">
        <f>+'[1]Total P&amp;C'!$BK$42/1000</f>
        <v>8.8125989999983514E-2</v>
      </c>
      <c r="AJ126" s="27">
        <f>+'[1]Total P&amp;C'!$BK$43/1000</f>
        <v>2.4224077685033798</v>
      </c>
      <c r="AL126" s="202"/>
      <c r="AM126" s="9"/>
      <c r="AN126" s="37" t="s">
        <v>34</v>
      </c>
      <c r="AT126" s="19">
        <f>+[2]Retail!$BK$41/1000</f>
        <v>-0.37028260999999896</v>
      </c>
      <c r="AU126" s="19">
        <f>+[2]Retail!$BK$42/1000</f>
        <v>-2.0490384199999983</v>
      </c>
      <c r="AV126" s="19">
        <f>+[2]Retail!$BK$43/1000</f>
        <v>6.6590040374357243E-2</v>
      </c>
      <c r="AW126" s="6"/>
      <c r="AX126" s="19">
        <f>+[2]SME!$BK$41/1000</f>
        <v>-1.0825699499999979</v>
      </c>
      <c r="AY126" s="19">
        <f>+[2]SME!$BK$42/1000</f>
        <v>-2.1569964599999967</v>
      </c>
      <c r="AZ126" s="19">
        <f>+[2]SME!$BK$43/1000</f>
        <v>-0.2127532324528113</v>
      </c>
      <c r="BA126" s="6"/>
      <c r="BB126" s="19">
        <f>+[2]MidCorp!$BK$41/1000</f>
        <v>0.14545814000000729</v>
      </c>
      <c r="BC126" s="19">
        <f>+[2]MidCorp!$BK$42/1000</f>
        <v>2.6610201199999919</v>
      </c>
      <c r="BD126" s="19">
        <f>+[2]MidCorp!$BK$43/1000</f>
        <v>-0.18880975922853716</v>
      </c>
      <c r="BJ126" s="19">
        <f>+[2]Specials!$BK$41/1000</f>
        <v>0</v>
      </c>
      <c r="BK126" s="19">
        <f>+[2]Specials!$BK$42/1000</f>
        <v>0</v>
      </c>
      <c r="BL126" s="19">
        <f>+[2]Specials!$BK$43/1000</f>
        <v>0</v>
      </c>
      <c r="BM126" s="6"/>
      <c r="BN126" s="27">
        <f>+'[2]Total P&amp;C'!$BK$41/1000</f>
        <v>-1.3073944199999887</v>
      </c>
      <c r="BO126" s="27">
        <f>+'[2]Total P&amp;C'!$BK$42/1000</f>
        <v>-1.5450147600000028</v>
      </c>
      <c r="BP126" s="27">
        <f>+'[2]Total P&amp;C'!$BK$43/1000</f>
        <v>-0.33497295130699117</v>
      </c>
      <c r="BR126" s="27">
        <f>+'[3]Total P&amp;C'!$BK$41/1000</f>
        <v>2.0586681400000142</v>
      </c>
      <c r="BS126" s="27">
        <f>+'[3]Total P&amp;C'!$BK$42/1000</f>
        <v>-1.4568887700000106</v>
      </c>
      <c r="BT126" s="27">
        <f>+'[3]Total P&amp;C'!$BK$43/1000</f>
        <v>2.0874348171963844</v>
      </c>
    </row>
    <row r="127" spans="2:72" x14ac:dyDescent="0.25">
      <c r="B127"/>
      <c r="C127"/>
      <c r="D127"/>
      <c r="J127" s="47"/>
      <c r="K127" s="47"/>
      <c r="L127" s="4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L127"/>
      <c r="AM127"/>
      <c r="AN127"/>
      <c r="AT127" s="47"/>
      <c r="AU127" s="47"/>
      <c r="AV127" s="47"/>
      <c r="AW127"/>
      <c r="AX127"/>
      <c r="AY127"/>
      <c r="AZ127"/>
      <c r="BA127"/>
      <c r="BB127"/>
      <c r="BC127"/>
      <c r="BD127"/>
      <c r="BJ127"/>
      <c r="BK127"/>
      <c r="BL127"/>
      <c r="BM127"/>
      <c r="BN127"/>
      <c r="BO127"/>
      <c r="BP127"/>
      <c r="BR127"/>
      <c r="BS127"/>
      <c r="BT127"/>
    </row>
    <row r="128" spans="2:72" ht="16.5" customHeight="1" x14ac:dyDescent="0.25">
      <c r="B128" s="204" t="s">
        <v>41</v>
      </c>
      <c r="C128" s="9"/>
      <c r="D128" s="37" t="s">
        <v>19</v>
      </c>
      <c r="J128" s="19">
        <f>(+[1]Retail!$C$49+[1]Retail!$C$57+[1]Retail!$C$45+[1]Retail!$C$53)/1000</f>
        <v>0.14378951999999995</v>
      </c>
      <c r="K128" s="19">
        <f>(+[1]Retail!$C$50+[1]Retail!$C$58+[1]Retail!$C$46+[1]Retail!$C$54)/1000</f>
        <v>0.16438716999999997</v>
      </c>
      <c r="L128" s="19">
        <f>(+[1]Retail!$C$51+[1]Retail!$C$59+[1]Retail!$C$47+[1]Retail!$C$55)/1000</f>
        <v>0</v>
      </c>
      <c r="M128" s="6"/>
      <c r="N128" s="19">
        <f>(+[1]SME!$C$49+[1]SME!$C$57+[1]SME!$C$45+[1]SME!$C$53)/1000</f>
        <v>2.0106707400000006</v>
      </c>
      <c r="O128" s="19">
        <f>(+[1]SME!$C$50+[1]SME!$C$58+[1]SME!$C$46+[1]SME!$C$54)/1000</f>
        <v>1.97762898</v>
      </c>
      <c r="P128" s="19">
        <f>(+[1]SME!$C$51+[1]SME!$C$59+[1]SME!$C$47+[1]SME!$C$55)/1000</f>
        <v>1.8392600000000001</v>
      </c>
      <c r="Q128" s="6"/>
      <c r="R128" s="19">
        <f>(+[1]MidCorp!$C$49+[1]MidCorp!$C$57+[1]MidCorp!$C$45+[1]MidCorp!$C$53)/1000</f>
        <v>35.303276350000004</v>
      </c>
      <c r="S128" s="19">
        <f>(+[1]MidCorp!$C$50+[1]MidCorp!$C$58+[1]MidCorp!$C$46+[1]MidCorp!$C$54)/1000</f>
        <v>35.129203529999998</v>
      </c>
      <c r="T128" s="19">
        <f>(+[1]MidCorp!$C$51+[1]MidCorp!$C$59+[1]MidCorp!$C$47+[1]MidCorp!$C$55)/1000</f>
        <v>34.629330000000003</v>
      </c>
      <c r="U128" s="6"/>
      <c r="V128" s="19">
        <f>(+[1]MGA!$C$49+[1]MGA!$C$57+[1]MGA!$C$45+[1]MGA!$C$53)/1000</f>
        <v>0.28030228000000001</v>
      </c>
      <c r="W128" s="19">
        <f>(+[1]MGA!$C$50+[1]MGA!$C$58+[1]MGA!$C$46+[1]MGA!$C$54)/1000</f>
        <v>0.28016711</v>
      </c>
      <c r="X128" s="19">
        <f>(+[1]MGA!$C$51+[1]MGA!$C$59+[1]MGA!$C$47+[1]MGA!$C$55)/1000</f>
        <v>0.11178</v>
      </c>
      <c r="Y128" s="6"/>
      <c r="Z128" s="19">
        <f>(+[1]Bancassurance!$C$49+[1]Bancassurance!$C$57+[1]Bancassurance!$C$45+[1]Bancassurance!$C$53)/1000</f>
        <v>0</v>
      </c>
      <c r="AA128" s="19">
        <f>(+[1]Bancassurance!$C$50+[1]Bancassurance!$C$58+[1]Bancassurance!$C$46+[1]Bancassurance!$C$54)/1000</f>
        <v>0</v>
      </c>
      <c r="AB128" s="19">
        <f>(+[1]Bancassurance!$C$51+[1]Bancassurance!$C$59+[1]Bancassurance!$C$47+[1]Bancassurance!$C$55)/1000</f>
        <v>0.21</v>
      </c>
      <c r="AC128" s="6"/>
      <c r="AD128" s="19">
        <f>(+[1]Specials!$C$49+[1]Specials!$C$57+[1]Specials!$C$45+[1]Specials!$C$53)/1000</f>
        <v>0</v>
      </c>
      <c r="AE128" s="19">
        <f>(+[1]Specials!$C$50+[1]Specials!$C$58+[1]Specials!$C$46+[1]Specials!$C$54)/1000</f>
        <v>6.7525500000000004E-3</v>
      </c>
      <c r="AF128" s="19">
        <f>(+[1]Specials!$C$51+[1]Specials!$C$59+[1]Specials!$C$47+[1]Specials!$C$55)/1000</f>
        <v>0</v>
      </c>
      <c r="AG128" s="6"/>
      <c r="AH128" s="27">
        <f>(+'[1]Total P&amp;C'!$C$49+'[1]Total P&amp;C'!$C$57+'[1]Total P&amp;C'!$C$45+'[1]Total P&amp;C'!$C$53)/1000</f>
        <v>37.738038890000006</v>
      </c>
      <c r="AI128" s="27">
        <f>(+'[1]Total P&amp;C'!$C$50+'[1]Total P&amp;C'!$C$58+'[1]Total P&amp;C'!$C$46+'[1]Total P&amp;C'!$C$54)/1000</f>
        <v>37.558139339999997</v>
      </c>
      <c r="AJ128" s="27">
        <f>(+'[1]Total P&amp;C'!$C$51+'[1]Total P&amp;C'!$C$59+'[1]Total P&amp;C'!$C$47+'[1]Total P&amp;C'!$C$55)/1000</f>
        <v>36.790370000000003</v>
      </c>
      <c r="AL128" s="204" t="s">
        <v>41</v>
      </c>
      <c r="AM128" s="9"/>
      <c r="AN128" s="37" t="s">
        <v>19</v>
      </c>
      <c r="AT128" s="19">
        <f>(+[2]Retail!$C$49+[2]Retail!$C$57+[2]Retail!$C$45+[2]Retail!$C$53)/1000</f>
        <v>2.0728422599999985</v>
      </c>
      <c r="AU128" s="19">
        <f>(+[2]Retail!$C$50+[2]Retail!$C$58+[2]Retail!$C$46+[2]Retail!$C$54)/1000</f>
        <v>1.8777070399999998</v>
      </c>
      <c r="AV128" s="19">
        <f>(+[2]Retail!$C$51+[2]Retail!$C$59+[2]Retail!$C$47+[2]Retail!$C$55)/1000</f>
        <v>2.0944776262386982</v>
      </c>
      <c r="AW128" s="6"/>
      <c r="AX128" s="19">
        <f>(+[2]SME!$C$49+[2]SME!$C$57+[2]SME!$C$45+[2]SME!$C$53)/1000</f>
        <v>0.16925476999999997</v>
      </c>
      <c r="AY128" s="19">
        <f>(+[2]SME!$C$50+[2]SME!$C$58+[2]SME!$C$46+[2]SME!$C$54)/1000</f>
        <v>2.2605766799999998</v>
      </c>
      <c r="AZ128" s="19">
        <f>(+[2]SME!$C$51+[2]SME!$C$59+[2]SME!$C$47+[2]SME!$C$55)/1000</f>
        <v>0.20300508586223162</v>
      </c>
      <c r="BA128" s="6"/>
      <c r="BB128" s="19">
        <f>(+[2]MidCorp!$C$49+[2]MidCorp!$C$57+[2]MidCorp!$C$45+[2]MidCorp!$C$53)/1000</f>
        <v>13.524435600000007</v>
      </c>
      <c r="BC128" s="19">
        <f>(+[2]MidCorp!$C$50+[2]MidCorp!$C$58+[2]MidCorp!$C$46+[2]MidCorp!$C$54)/1000</f>
        <v>10.659236029999999</v>
      </c>
      <c r="BD128" s="19">
        <f>(+[2]MidCorp!$C$51+[2]MidCorp!$C$59+[2]MidCorp!$C$47+[2]MidCorp!$C$55)/1000</f>
        <v>11.3589099935125</v>
      </c>
      <c r="BJ128" s="19">
        <f>(+[2]Specials!$C$49+[2]Specials!$C$57+[2]Specials!$C$45+[2]Specials!$C$53)/1000</f>
        <v>0</v>
      </c>
      <c r="BK128" s="19">
        <f>(+[2]Specials!$C$50+[2]Specials!$C$58+[2]Specials!$C$46+[2]Specials!$C$54)/1000</f>
        <v>0</v>
      </c>
      <c r="BL128" s="19">
        <f>(+[2]Specials!$C$51+[2]Specials!$C$59+[2]Specials!$C$47+[2]Specials!$C$55)/1000</f>
        <v>0</v>
      </c>
      <c r="BM128" s="6"/>
      <c r="BN128" s="27">
        <f>(+'[2]Total P&amp;C'!$C$49+'[2]Total P&amp;C'!$C$57+'[2]Total P&amp;C'!$C$45+'[2]Total P&amp;C'!$C$53)/1000</f>
        <v>15.766532630000006</v>
      </c>
      <c r="BO128" s="27">
        <f>(+'[2]Total P&amp;C'!$C$50+'[2]Total P&amp;C'!$C$58+'[2]Total P&amp;C'!$C$46+'[2]Total P&amp;C'!$C$54)/1000</f>
        <v>14.797519749999998</v>
      </c>
      <c r="BP128" s="27">
        <f>(+'[2]Total P&amp;C'!$C$51+'[2]Total P&amp;C'!$C$59+'[2]Total P&amp;C'!$C$47+'[2]Total P&amp;C'!$C$55)/1000</f>
        <v>13.656392705613429</v>
      </c>
      <c r="BR128" s="27">
        <f>(+'[3]Total P&amp;C'!$C$49+'[3]Total P&amp;C'!$C$57+'[3]Total P&amp;C'!$C$45+'[3]Total P&amp;C'!$C$53)/1000</f>
        <v>53.504571520000013</v>
      </c>
      <c r="BS128" s="27">
        <f>(+'[3]Total P&amp;C'!$C$50+'[3]Total P&amp;C'!$C$58+'[3]Total P&amp;C'!$C$46+'[3]Total P&amp;C'!$C$54)/1000</f>
        <v>52.355659089999996</v>
      </c>
      <c r="BT128" s="27">
        <f>(+'[3]Total P&amp;C'!$C$51+'[3]Total P&amp;C'!$C$59+'[3]Total P&amp;C'!$C$47+'[3]Total P&amp;C'!$C$55)/1000</f>
        <v>50.44676270561343</v>
      </c>
    </row>
    <row r="129" spans="2:72" ht="16.5" customHeight="1" x14ac:dyDescent="0.25">
      <c r="B129" s="202"/>
      <c r="C129" s="9"/>
      <c r="D129" s="37" t="s">
        <v>20</v>
      </c>
      <c r="J129" s="19">
        <f>(+[1]Retail!$N$49+[1]Retail!$N$57+[1]Retail!$N$45+[1]Retail!$N$53)/1000</f>
        <v>0.14518900999999998</v>
      </c>
      <c r="K129" s="19">
        <f>(+[1]Retail!$N$50+[1]Retail!$N$58+[1]Retail!$N$46+[1]Retail!$N$54)/1000</f>
        <v>0.16634439000000006</v>
      </c>
      <c r="L129" s="19">
        <f>(+[1]Retail!$N$51+[1]Retail!$N$59+[1]Retail!$N$47+[1]Retail!$N$55)/1000</f>
        <v>0</v>
      </c>
      <c r="M129" s="6"/>
      <c r="N129" s="19">
        <f>(+[1]SME!$N$49+[1]SME!$N$57+[1]SME!$N$45+[1]SME!$N$53)/1000</f>
        <v>0.55417758999999989</v>
      </c>
      <c r="O129" s="19">
        <f>(+[1]SME!$N$50+[1]SME!$N$58+[1]SME!$N$46+[1]SME!$N$54)/1000</f>
        <v>1.14195797</v>
      </c>
      <c r="P129" s="19">
        <f>(+[1]SME!$N$51+[1]SME!$N$59+[1]SME!$N$47+[1]SME!$N$55)/1000</f>
        <v>1.0723587775286407</v>
      </c>
      <c r="Q129" s="6"/>
      <c r="R129" s="19">
        <f>(+[1]MidCorp!$N$49+[1]MidCorp!$N$57+[1]MidCorp!$N$45+[1]MidCorp!$N$53)/1000</f>
        <v>18.448529590000003</v>
      </c>
      <c r="S129" s="19">
        <f>(+[1]MidCorp!$N$50+[1]MidCorp!$N$58+[1]MidCorp!$N$46+[1]MidCorp!$N$54)/1000</f>
        <v>17.844072839999999</v>
      </c>
      <c r="T129" s="19">
        <f>(+[1]MidCorp!$N$51+[1]MidCorp!$N$59+[1]MidCorp!$N$47+[1]MidCorp!$N$55)/1000</f>
        <v>19.381006722087839</v>
      </c>
      <c r="U129" s="6"/>
      <c r="V129" s="19">
        <f>(+[1]MGA!$N$49+[1]MGA!$N$57+[1]MGA!$N$45+[1]MGA!$N$53)/1000</f>
        <v>0.2400484700000001</v>
      </c>
      <c r="W129" s="19">
        <f>(+[1]MGA!$N$50+[1]MGA!$N$58+[1]MGA!$N$46+[1]MGA!$N$54)/1000</f>
        <v>0.2414282499999999</v>
      </c>
      <c r="X129" s="19">
        <f>(+[1]MGA!$N$51+[1]MGA!$N$59+[1]MGA!$N$47+[1]MGA!$N$55)/1000</f>
        <v>0.10674493280057448</v>
      </c>
      <c r="Y129" s="6"/>
      <c r="Z129" s="19">
        <f>(+[1]Bancassurance!$N$49+[1]Bancassurance!$N$57+[1]Bancassurance!$N$45+[1]Bancassurance!$N$53)/1000</f>
        <v>0</v>
      </c>
      <c r="AA129" s="19">
        <f>(+[1]Bancassurance!$N$50+[1]Bancassurance!$N$58+[1]Bancassurance!$N$46+[1]Bancassurance!$N$54)/1000</f>
        <v>0</v>
      </c>
      <c r="AB129" s="19">
        <f>(+[1]Bancassurance!$N$51+[1]Bancassurance!$N$59+[1]Bancassurance!$N$47+[1]Bancassurance!$N$55)/1000</f>
        <v>0.216490239375</v>
      </c>
      <c r="AC129" s="6"/>
      <c r="AD129" s="19">
        <f>(+[1]Specials!$N$49+[1]Specials!$N$57+[1]Specials!$N$45+[1]Specials!$N$53)/1000</f>
        <v>1.8760000000000003E-5</v>
      </c>
      <c r="AE129" s="19">
        <f>(+[1]Specials!$N$50+[1]Specials!$N$58+[1]Specials!$N$46+[1]Specials!$N$54)/1000</f>
        <v>1.6842400000000003E-3</v>
      </c>
      <c r="AF129" s="19">
        <f>(+[1]Specials!$N$51+[1]Specials!$N$59+[1]Specials!$N$47+[1]Specials!$N$55)/1000</f>
        <v>0</v>
      </c>
      <c r="AG129" s="6"/>
      <c r="AH129" s="27">
        <f>(+'[1]Total P&amp;C'!$N$49+'[1]Total P&amp;C'!$N$57+'[1]Total P&amp;C'!$N$45+'[1]Total P&amp;C'!$N$53)/1000</f>
        <v>19.387963419999998</v>
      </c>
      <c r="AI129" s="27">
        <f>(+'[1]Total P&amp;C'!$N$50+'[1]Total P&amp;C'!$N$58+'[1]Total P&amp;C'!$N$46+'[1]Total P&amp;C'!$N$54)/1000</f>
        <v>19.395487690000003</v>
      </c>
      <c r="AJ129" s="27">
        <f>(+'[1]Total P&amp;C'!$N$51+'[1]Total P&amp;C'!$N$59+'[1]Total P&amp;C'!$N$47+'[1]Total P&amp;C'!$N$55)/1000</f>
        <v>20.776600671792053</v>
      </c>
      <c r="AL129" s="202"/>
      <c r="AM129" s="9"/>
      <c r="AN129" s="37" t="s">
        <v>20</v>
      </c>
      <c r="AT129" s="19">
        <f>(+[2]Retail!$N$49+[2]Retail!$N$57+[2]Retail!$N$45+[2]Retail!$N$53)/1000</f>
        <v>1.9241250399999994</v>
      </c>
      <c r="AU129" s="19">
        <f>(+[2]Retail!$N$50+[2]Retail!$N$58+[2]Retail!$N$46+[2]Retail!$N$54)/1000</f>
        <v>1.6934579700000008</v>
      </c>
      <c r="AV129" s="19">
        <f>(+[2]Retail!$N$51+[2]Retail!$N$59+[2]Retail!$N$47+[2]Retail!$N$55)/1000</f>
        <v>2.0691156129332842</v>
      </c>
      <c r="AW129" s="6"/>
      <c r="AX129" s="19">
        <f>(+[2]SME!$N$49+[2]SME!$N$57+[2]SME!$N$45+[2]SME!$N$53)/1000</f>
        <v>0.14764874</v>
      </c>
      <c r="AY129" s="19">
        <f>(+[2]SME!$N$50+[2]SME!$N$58+[2]SME!$N$46+[2]SME!$N$54)/1000</f>
        <v>1.7775871299999992</v>
      </c>
      <c r="AZ129" s="19">
        <f>(+[2]SME!$N$51+[2]SME!$N$59+[2]SME!$N$47+[2]SME!$N$55)/1000</f>
        <v>0.15375</v>
      </c>
      <c r="BA129" s="6"/>
      <c r="BB129" s="19">
        <f>(+[2]MidCorp!$N$49+[2]MidCorp!$N$57+[2]MidCorp!$N$45+[2]MidCorp!$N$53)/1000</f>
        <v>7.5780779500000079</v>
      </c>
      <c r="BC129" s="19">
        <f>(+[2]MidCorp!$N$50+[2]MidCorp!$N$58+[2]MidCorp!$N$46+[2]MidCorp!$N$54)/1000</f>
        <v>6.2386774300000001</v>
      </c>
      <c r="BD129" s="19">
        <f>(+[2]MidCorp!$N$51+[2]MidCorp!$N$59+[2]MidCorp!$N$47+[2]MidCorp!$N$55)/1000</f>
        <v>7.2530678096263932</v>
      </c>
      <c r="BJ129" s="19">
        <f>(+[2]Specials!$N$49+[2]Specials!$N$57+[2]Specials!$N$45+[2]Specials!$N$53)/1000</f>
        <v>0</v>
      </c>
      <c r="BK129" s="19">
        <f>(+[2]Specials!$N$50+[2]Specials!$N$58+[2]Specials!$N$46+[2]Specials!$N$54)/1000</f>
        <v>0</v>
      </c>
      <c r="BL129" s="19">
        <f>(+[2]Specials!$N$51+[2]Specials!$N$59+[2]Specials!$N$47+[2]Specials!$N$55)/1000</f>
        <v>0</v>
      </c>
      <c r="BM129" s="6"/>
      <c r="BN129" s="27">
        <f>(+'[2]Total P&amp;C'!$N$49+'[2]Total P&amp;C'!$N$57+'[2]Total P&amp;C'!$N$45+'[2]Total P&amp;C'!$N$53)/1000</f>
        <v>9.6498517300000071</v>
      </c>
      <c r="BO129" s="27">
        <f>(+'[2]Total P&amp;C'!$N$50+'[2]Total P&amp;C'!$N$58+'[2]Total P&amp;C'!$N$46+'[2]Total P&amp;C'!$N$54)/1000</f>
        <v>9.7097225299999987</v>
      </c>
      <c r="BP129" s="27">
        <f>(+'[2]Total P&amp;C'!$N$51+'[2]Total P&amp;C'!$N$59+'[2]Total P&amp;C'!$N$47+'[2]Total P&amp;C'!$N$55)/1000</f>
        <v>9.4759334225596756</v>
      </c>
      <c r="BR129" s="27">
        <f>(+'[3]Total P&amp;C'!$N$49+'[3]Total P&amp;C'!$N$57+'[3]Total P&amp;C'!$N$45+'[3]Total P&amp;C'!$N$53)/1000</f>
        <v>29.037815150000011</v>
      </c>
      <c r="BS129" s="27">
        <f>(+'[3]Total P&amp;C'!$N$50+'[3]Total P&amp;C'!$N$58+'[3]Total P&amp;C'!$N$46+'[3]Total P&amp;C'!$N$54)/1000</f>
        <v>29.10521022</v>
      </c>
      <c r="BT129" s="27">
        <f>(+'[3]Total P&amp;C'!$N$51+'[3]Total P&amp;C'!$N$59+'[3]Total P&amp;C'!$N$47+'[3]Total P&amp;C'!$N$55)/1000</f>
        <v>30.252534094351734</v>
      </c>
    </row>
    <row r="130" spans="2:72" ht="16.5" customHeight="1" x14ac:dyDescent="0.25">
      <c r="B130" s="202"/>
      <c r="C130" s="9"/>
      <c r="D130" s="37" t="s">
        <v>21</v>
      </c>
      <c r="J130" s="20">
        <f>+J131+J136+J137+J138+J139</f>
        <v>0.96915641204523673</v>
      </c>
      <c r="K130" s="20">
        <f>+K131+K136+K137+K138+K139</f>
        <v>1.2317778796146952</v>
      </c>
      <c r="L130" s="20" t="e">
        <f>+L131+L136+L137+L138+L139</f>
        <v>#DIV/0!</v>
      </c>
      <c r="M130" s="6"/>
      <c r="N130" s="20">
        <f>+N131+N136+N137+N138+N139</f>
        <v>2.2929837888248068</v>
      </c>
      <c r="O130" s="20">
        <f>+O131+O136+O137+O138+O139</f>
        <v>1.1177019588558064</v>
      </c>
      <c r="P130" s="20">
        <f>+P131+P136+P137+P138+P139</f>
        <v>0.87177193829006416</v>
      </c>
      <c r="Q130" s="6"/>
      <c r="R130" s="20">
        <f>+R131+R136+R137+R138+R139</f>
        <v>0.69826326792909432</v>
      </c>
      <c r="S130" s="20">
        <f>+S131+S136+S137+S138+S139</f>
        <v>0.66857845106173652</v>
      </c>
      <c r="T130" s="20">
        <f>+T131+T136+T137+T138+T139</f>
        <v>0.80116948141196476</v>
      </c>
      <c r="U130" s="6"/>
      <c r="V130" s="20">
        <f>+V131+V136+V137+V138+V139</f>
        <v>1.3548832450379704</v>
      </c>
      <c r="W130" s="20">
        <f>+W131+W136+W137+W138+W139</f>
        <v>1.7819863251297228</v>
      </c>
      <c r="X130" s="20">
        <f>+X131+X136+X137+X138+X139</f>
        <v>0.60280879551614963</v>
      </c>
      <c r="Y130" s="6"/>
      <c r="Z130" s="20" t="e">
        <f>+Z131+Z136+Z137+Z138+Z139</f>
        <v>#DIV/0!</v>
      </c>
      <c r="AA130" s="20" t="e">
        <f>+AA131+AA136+AA137+AA138+AA139</f>
        <v>#DIV/0!</v>
      </c>
      <c r="AB130" s="20">
        <f>+AB131+AB136+AB137+AB138+AB139</f>
        <v>0.8062853914047734</v>
      </c>
      <c r="AC130" s="6"/>
      <c r="AD130" s="20">
        <f>+AD131+AD136+AD137+AD138+AD139</f>
        <v>-2.1545842217483999</v>
      </c>
      <c r="AE130" s="20">
        <f>+AE131+AE136+AE137+AE138+AE139</f>
        <v>-0.31124424072578727</v>
      </c>
      <c r="AF130" s="20" t="e">
        <f>+AF131+AF136+AF137+AF138+AF139</f>
        <v>#DIV/0!</v>
      </c>
      <c r="AG130" s="6"/>
      <c r="AH130" s="28">
        <f>+AH131+AH136+AH137+AH138+AH139</f>
        <v>0.75576274632769025</v>
      </c>
      <c r="AI130" s="28">
        <f>+AI131+AI136+AI137+AI138+AI139</f>
        <v>0.71759654010535456</v>
      </c>
      <c r="AJ130" s="28">
        <f>+AJ131+AJ136+AJ137+AJ138+AJ139</f>
        <v>0.80495643393104455</v>
      </c>
      <c r="AL130" s="202"/>
      <c r="AM130" s="9"/>
      <c r="AN130" s="37" t="s">
        <v>21</v>
      </c>
      <c r="AT130" s="20">
        <f>+AT131+AT136+AT137+AT138+AT139</f>
        <v>-0.12169626460450816</v>
      </c>
      <c r="AU130" s="20">
        <f>+AU131+AU136+AU137+AU138+AU139</f>
        <v>0.40388936845004741</v>
      </c>
      <c r="AV130" s="20">
        <f>+AV131+AV136+AV137+AV138+AV139</f>
        <v>0.75962692199376292</v>
      </c>
      <c r="AW130" s="6"/>
      <c r="AX130" s="20">
        <f>+AX131+AX136+AX137+AX138+AX139</f>
        <v>0.69941551820895986</v>
      </c>
      <c r="AY130" s="20">
        <f>+AY131+AY136+AY137+AY138+AY139</f>
        <v>0.1242917752222929</v>
      </c>
      <c r="AZ130" s="20">
        <f>+AZ131+AZ136+AZ137+AZ138+AZ139</f>
        <v>0.78833170277610565</v>
      </c>
      <c r="BA130" s="6"/>
      <c r="BB130" s="20">
        <f>+BB131+BB136+BB137+BB138+BB139</f>
        <v>0.59078698049021749</v>
      </c>
      <c r="BC130" s="20">
        <f>+BC131+BC136+BC137+BC138+BC139</f>
        <v>1.0337106545994321</v>
      </c>
      <c r="BD130" s="20">
        <f>+BD131+BD136+BD137+BD138+BD139</f>
        <v>0.72287982898264236</v>
      </c>
      <c r="BJ130" s="20" t="e">
        <f>+BJ131+BJ136+BJ137+BJ138+BJ139</f>
        <v>#DIV/0!</v>
      </c>
      <c r="BK130" s="20" t="e">
        <f>+BK131+BK136+BK137+BK138+BK139</f>
        <v>#DIV/0!</v>
      </c>
      <c r="BL130" s="20" t="e">
        <f>+BL131+BL136+BL137+BL138+BL139</f>
        <v>#DIV/0!</v>
      </c>
      <c r="BM130" s="6"/>
      <c r="BN130" s="28">
        <f>+BN131+BN136+BN137+BN138+BN139</f>
        <v>0.45038399569275017</v>
      </c>
      <c r="BO130" s="28">
        <f>+BO131+BO136+BO137+BO138+BO139</f>
        <v>0.75737452200912736</v>
      </c>
      <c r="BP130" s="28">
        <f>+BP131+BP136+BP137+BP138+BP139</f>
        <v>0.73196571061937821</v>
      </c>
      <c r="BR130" s="28">
        <f>+BR131+BR136+BR137+BR138+BR139</f>
        <v>0.65427922734055965</v>
      </c>
      <c r="BS130" s="28">
        <f>+BS131+BS136+BS137+BS138+BS139</f>
        <v>0.73086678155592444</v>
      </c>
      <c r="BT130" s="28">
        <f>+BT131+BT136+BT137+BT138+BT139</f>
        <v>0.78209371332692279</v>
      </c>
    </row>
    <row r="131" spans="2:72" ht="16.5" customHeight="1" x14ac:dyDescent="0.25">
      <c r="B131" s="202"/>
      <c r="C131" s="9"/>
      <c r="D131" s="37" t="s">
        <v>22</v>
      </c>
      <c r="J131" s="20">
        <f>+J132+J133+J134+J135</f>
        <v>0.74506245341847843</v>
      </c>
      <c r="K131" s="20">
        <f>+K132+K133+K134+K135</f>
        <v>0.77008668582090423</v>
      </c>
      <c r="L131" s="20" t="e">
        <f>+L132+L133+L134+L135</f>
        <v>#DIV/0!</v>
      </c>
      <c r="M131" s="6"/>
      <c r="N131" s="20">
        <f>+N132+N133+N134+N135</f>
        <v>1.9653186445161024</v>
      </c>
      <c r="O131" s="20">
        <f>+O132+O133+O134+O135</f>
        <v>0.98271625531016704</v>
      </c>
      <c r="P131" s="20">
        <f>+P132+P133+P134+P135</f>
        <v>0.54822982487786232</v>
      </c>
      <c r="Q131" s="6"/>
      <c r="R131" s="20">
        <f>+R132+R133+R134+R135</f>
        <v>0.61823331200240095</v>
      </c>
      <c r="S131" s="20">
        <f>+S132+S133+S134+S135</f>
        <v>0.6584166784873986</v>
      </c>
      <c r="T131" s="20">
        <f>+T132+T133+T134+T135</f>
        <v>0.6101089118177816</v>
      </c>
      <c r="U131" s="6"/>
      <c r="V131" s="20">
        <f>+V132+V133+V134+V135</f>
        <v>2.6926187032143861E-2</v>
      </c>
      <c r="W131" s="20">
        <f>+W132+W133+W134+W135</f>
        <v>3.3182736485891789E-2</v>
      </c>
      <c r="X131" s="20">
        <f>+X132+X133+X134+X135</f>
        <v>0.22094208356575268</v>
      </c>
      <c r="Y131" s="6"/>
      <c r="Z131" s="20" t="e">
        <f>+Z132+Z133+Z134+Z135</f>
        <v>#DIV/0!</v>
      </c>
      <c r="AA131" s="20" t="e">
        <f>+AA132+AA133+AA134+AA135</f>
        <v>#DIV/0!</v>
      </c>
      <c r="AB131" s="20">
        <f>+AB132+AB133+AB134+AB135</f>
        <v>0.64336592295495154</v>
      </c>
      <c r="AC131" s="6"/>
      <c r="AD131" s="20">
        <f>+AD132+AD133+AD134+AD135</f>
        <v>0.80170575692963753</v>
      </c>
      <c r="AE131" s="20">
        <f>+AE132+AE133+AE134+AE135</f>
        <v>0</v>
      </c>
      <c r="AF131" s="20" t="e">
        <f>+AF132+AF133+AF134+AF135</f>
        <v>#DIV/0!</v>
      </c>
      <c r="AG131" s="6"/>
      <c r="AH131" s="28">
        <f>+AH132+AH133+AH134+AH135</f>
        <v>0.65087922782969632</v>
      </c>
      <c r="AI131" s="28">
        <f>+AI132+AI133+AI134+AI135</f>
        <v>0.67182275064515262</v>
      </c>
      <c r="AJ131" s="28">
        <f>+AJ132+AJ133+AJ134+AJ135</f>
        <v>0.60566069507051379</v>
      </c>
      <c r="AL131" s="202"/>
      <c r="AM131" s="9"/>
      <c r="AN131" s="37" t="s">
        <v>22</v>
      </c>
      <c r="AT131" s="20">
        <f>+AT132+AT133+AT134+AT135</f>
        <v>0.40412510301305576</v>
      </c>
      <c r="AU131" s="20">
        <f>+AU132+AU133+AU134+AU135</f>
        <v>0.44685912104449793</v>
      </c>
      <c r="AV131" s="20">
        <f>+AV132+AV133+AV134+AV135</f>
        <v>0.33921008233958444</v>
      </c>
      <c r="AW131" s="6"/>
      <c r="AX131" s="20">
        <f>+AX132+AX133+AX134+AX135</f>
        <v>0.50594634265080751</v>
      </c>
      <c r="AY131" s="20">
        <f>+AY132+AY133+AY134+AY135</f>
        <v>0.15321270355957187</v>
      </c>
      <c r="AZ131" s="20">
        <f>+AZ132+AZ133+AZ134+AZ135</f>
        <v>0.50558909320778911</v>
      </c>
      <c r="BA131" s="6"/>
      <c r="BB131" s="20">
        <f>+BB132+BB133+BB134+BB135</f>
        <v>0.50383731141218946</v>
      </c>
      <c r="BC131" s="20">
        <f>+BC132+BC133+BC134+BC135</f>
        <v>0.64938365309905111</v>
      </c>
      <c r="BD131" s="20">
        <f>+BD132+BD133+BD134+BD135</f>
        <v>0.47064926413999764</v>
      </c>
      <c r="BJ131" s="20" t="e">
        <f>+BJ132+BJ133+BJ134+BJ135</f>
        <v>#DIV/0!</v>
      </c>
      <c r="BK131" s="20" t="e">
        <f>+BK132+BK133+BK134+BK135</f>
        <v>#DIV/0!</v>
      </c>
      <c r="BL131" s="20" t="e">
        <f>+BL132+BL133+BL134+BL135</f>
        <v>#DIV/0!</v>
      </c>
      <c r="BM131" s="6"/>
      <c r="BN131" s="28">
        <f>+BN132+BN133+BN134+BN135</f>
        <v>0.48398753894636232</v>
      </c>
      <c r="BO131" s="28">
        <f>+BO132+BO133+BO134+BO135</f>
        <v>0.52322619872022247</v>
      </c>
      <c r="BP131" s="28">
        <f>+BP132+BP133+BP134+BP135</f>
        <v>0.44251579669070601</v>
      </c>
      <c r="BR131" s="28">
        <f>+BR132+BR133+BR134+BR135</f>
        <v>0.59541775304675415</v>
      </c>
      <c r="BS131" s="28">
        <f>+BS132+BS133+BS134+BS135</f>
        <v>0.62224979524645396</v>
      </c>
      <c r="BT131" s="28">
        <f>+BT132+BT133+BT134+BT135</f>
        <v>0.55455918435224427</v>
      </c>
    </row>
    <row r="132" spans="2:72" ht="16.5" customHeight="1" x14ac:dyDescent="0.25">
      <c r="B132" s="202"/>
      <c r="C132" s="9"/>
      <c r="D132" s="38" t="s">
        <v>23</v>
      </c>
      <c r="J132" s="20">
        <f>-SUM([1]Retail!$O$49,[1]Retail!$R$49:$V$49,[1]Retail!$Y$49,[1]Retail!$AB$49,[1]Retail!$AU$49,[1]Retail!$AX$49,[1]Retail!$BA$49,[1]Retail!$BD$49,[1]Retail!$O$57,[1]Retail!$R$57:$V$57,[1]Retail!$Y$57,[1]Retail!$AB$57,[1]Retail!$AU$57,[1]Retail!$AX$57,[1]Retail!$BA$57,[1]Retail!$BD$57,[1]Retail!$O$45,[1]Retail!$R$45:$V$45,[1]Retail!$Y$45,[1]Retail!$AB$45,[1]Retail!$AU$45,[1]Retail!$AX$45,[1]Retail!$BA$45,[1]Retail!$BD$45,[1]Retail!$O$53,[1]Retail!$R$53:$V$53,[1]Retail!$Y$53,[1]Retail!$AB$53,[1]Retail!$AU$53,[1]Retail!$AX$53,[1]Retail!$BA$53,[1]Retail!$BD$53)/1000/J129</f>
        <v>2.9331421159218599E-3</v>
      </c>
      <c r="K132" s="42">
        <f>-SUM([1]Retail!$O$50,[1]Retail!$R$50:$V$50,[1]Retail!$Y$50,[1]Retail!$AB$50,[1]Retail!$AU$50,[1]Retail!$AX$50,[1]Retail!$BA$50,[1]Retail!$BD$50,[1]Retail!$O$58,[1]Retail!$R$58:$V$58,[1]Retail!$Y$58,[1]Retail!$AB$58,[1]Retail!$AU$58,[1]Retail!$AX$58,[1]Retail!$BA$58,[1]Retail!$BD$58,[1]Retail!$O$46,[1]Retail!$R$46:$V$46,[1]Retail!$Y$46,[1]Retail!$AB$46,[1]Retail!$AU$46,[1]Retail!$AX$46,[1]Retail!$BA$46,[1]Retail!$BD$46,[1]Retail!$O$54,[1]Retail!$R$54:$V$54,[1]Retail!$Y$54,[1]Retail!$AB$54,[1]Retail!$AU$54,[1]Retail!$AX$54,[1]Retail!$BA$54,[1]Retail!$BD$54)/1000/K129</f>
        <v>1.5764402995496266E-2</v>
      </c>
      <c r="L132" s="42" t="e">
        <f>-SUM([1]Retail!$O$51,[1]Retail!$R$51:$V$51,[1]Retail!$Y$51,[1]Retail!$AB$51,[1]Retail!$AU$51,[1]Retail!$AX$51,[1]Retail!$BA$51,[1]Retail!$BD$51,[1]Retail!$O$59,[1]Retail!$R$59:$V$59,[1]Retail!$Y$59,[1]Retail!$AB$59,[1]Retail!$AU$59,[1]Retail!$AX$59,[1]Retail!$BA$59,[1]Retail!$BD$59,[1]Retail!$O$47,[1]Retail!$R$47:$V$47,[1]Retail!$Y$47,[1]Retail!$AB$47,[1]Retail!$AU$47,[1]Retail!$AX$47,[1]Retail!$BA$47,[1]Retail!$BD$47,[1]Retail!$O$55,[1]Retail!$R$55:$V$55,[1]Retail!$Y$55,[1]Retail!$AB$55,[1]Retail!$AU$55,[1]Retail!$AX$55,[1]Retail!$BA$55,[1]Retail!$BD$55)/1000/L129</f>
        <v>#DIV/0!</v>
      </c>
      <c r="M132" s="6"/>
      <c r="N132" s="20">
        <f>-SUM([1]SME!$O$49,[1]SME!$R$49:$V$49,[1]SME!$Y$49,[1]SME!$AB$49,[1]SME!$AU$49,[1]SME!$AX$49,[1]SME!$BA$49,[1]SME!$BD$49,[1]SME!$O$57,[1]SME!$R$57:$V$57,[1]SME!$Y$57,[1]SME!$AB$57,[1]SME!$AU$57,[1]SME!$AX$57,[1]SME!$BA$57,[1]SME!$BD$57,[1]SME!$O$45,[1]SME!$R$45:$V$45,[1]SME!$Y$45,[1]SME!$AB$45,[1]SME!$AU$45,[1]SME!$AX$45,[1]SME!$BA$45,[1]SME!$BD$45,[1]SME!$O$53,[1]SME!$R$53:$V$53,[1]SME!$Y$53,[1]SME!$AB$53,[1]SME!$AU$53,[1]SME!$AX$53,[1]SME!$BA$53,[1]SME!$BD$53)/1000/N129</f>
        <v>6.2678048746070747E-2</v>
      </c>
      <c r="O132" s="20">
        <f>-SUM([1]SME!$O$50,[1]SME!$R$50:$V$50,[1]SME!$Y$50,[1]SME!$AB$50,[1]SME!$AU$50,[1]SME!$AX$50,[1]SME!$BA$50,[1]SME!$BD$50,[1]SME!$O$58,[1]SME!$R$58:$V$58,[1]SME!$Y$58,[1]SME!$AB$58,[1]SME!$AU$58,[1]SME!$AX$58,[1]SME!$BA$58,[1]SME!$BD$58,[1]SME!$O$46,[1]SME!$R$46:$V$46,[1]SME!$Y$46,[1]SME!$AB$46,[1]SME!$AU$46,[1]SME!$AX$46,[1]SME!$BA$46,[1]SME!$BD$46,[1]SME!$O$54,[1]SME!$R$54:$V$54,[1]SME!$Y$54,[1]SME!$AB$54,[1]SME!$AU$54,[1]SME!$AX$54,[1]SME!$BA$54,[1]SME!$BD$54)/1000/O129</f>
        <v>4.3533003233034925E-2</v>
      </c>
      <c r="P132" s="20">
        <f>-SUM([1]SME!$O$51,[1]SME!$R$51:$V$51,[1]SME!$Y$51,[1]SME!$AB$51,[1]SME!$AU$51,[1]SME!$AX$51,[1]SME!$BA$51,[1]SME!$BD$51,[1]SME!$O$59,[1]SME!$R$59:$V$59,[1]SME!$Y$59,[1]SME!$AB$59,[1]SME!$AU$59,[1]SME!$AX$59,[1]SME!$BA$59,[1]SME!$BD$59,[1]SME!$O$47,[1]SME!$R$47:$V$47,[1]SME!$Y$47,[1]SME!$AB$47,[1]SME!$AU$47,[1]SME!$AX$47,[1]SME!$BA$47,[1]SME!$BD$47,[1]SME!$O$55,[1]SME!$R$55:$V$55,[1]SME!$Y$55,[1]SME!$AB$55,[1]SME!$AU$55,[1]SME!$AX$55,[1]SME!$BA$55,[1]SME!$BD$55)/1000/P129</f>
        <v>-0.14777194256754717</v>
      </c>
      <c r="Q132" s="6"/>
      <c r="R132" s="20">
        <f>-SUM([1]MidCorp!$O$49,[1]MidCorp!$R$49:$V$49,[1]MidCorp!$Y$49,[1]MidCorp!$AB$49,[1]MidCorp!$AU$49,[1]MidCorp!$AX$49,[1]MidCorp!$BA$49,[1]MidCorp!$BD$49,[1]MidCorp!$O$57,[1]MidCorp!$R$57:$V$57,[1]MidCorp!$Y$57,[1]MidCorp!$AB$57,[1]MidCorp!$AU$57,[1]MidCorp!$AX$57,[1]MidCorp!$BA$57,[1]MidCorp!$BD$57,[1]MidCorp!$O$45,[1]MidCorp!$R$45:$V$45,[1]MidCorp!$Y$45,[1]MidCorp!$AB$45,[1]MidCorp!$AU$45,[1]MidCorp!$AX$45,[1]MidCorp!$BA$45,[1]MidCorp!$BD$45,[1]MidCorp!$O$53,[1]MidCorp!$R$53:$V$53,[1]MidCorp!$Y$53,[1]MidCorp!$AB$53,[1]MidCorp!$AU$53,[1]MidCorp!$AX$53,[1]MidCorp!$BA$53,[1]MidCorp!$BD$53)/1000/R129</f>
        <v>0.52237878285322781</v>
      </c>
      <c r="S132" s="20">
        <f>-SUM([1]MidCorp!$O$50,[1]MidCorp!$R$50:$V$50,[1]MidCorp!$Y$50,[1]MidCorp!$AB$50,[1]MidCorp!$AU$50,[1]MidCorp!$AX$50,[1]MidCorp!$BA$50,[1]MidCorp!$BD$50,[1]MidCorp!$O$58,[1]MidCorp!$R$58:$V$58,[1]MidCorp!$Y$58,[1]MidCorp!$AB$58,[1]MidCorp!$AU$58,[1]MidCorp!$AX$58,[1]MidCorp!$BA$58,[1]MidCorp!$BD$58,[1]MidCorp!$O$46,[1]MidCorp!$R$46:$V$46,[1]MidCorp!$Y$46,[1]MidCorp!$AB$46,[1]MidCorp!$AU$46,[1]MidCorp!$AX$46,[1]MidCorp!$BA$46,[1]MidCorp!$BD$46,[1]MidCorp!$O$54,[1]MidCorp!$R$54:$V$54,[1]MidCorp!$Y$54,[1]MidCorp!$AB$54,[1]MidCorp!$AU$54,[1]MidCorp!$AX$54,[1]MidCorp!$BA$54,[1]MidCorp!$BD$54)/1000/S129</f>
        <v>0.5638164263400306</v>
      </c>
      <c r="T132" s="20">
        <f>-SUM([1]MidCorp!$O$51,[1]MidCorp!$R$51:$V$51,[1]MidCorp!$Y$51,[1]MidCorp!$AB$51,[1]MidCorp!$AU$51,[1]MidCorp!$AX$51,[1]MidCorp!$BA$51,[1]MidCorp!$BD$51,[1]MidCorp!$O$59,[1]MidCorp!$R$59:$V$59,[1]MidCorp!$Y$59,[1]MidCorp!$AB$59,[1]MidCorp!$AU$59,[1]MidCorp!$AX$59,[1]MidCorp!$BA$59,[1]MidCorp!$BD$59,[1]MidCorp!$O$47,[1]MidCorp!$R$47:$V$47,[1]MidCorp!$Y$47,[1]MidCorp!$AB$47,[1]MidCorp!$AU$47,[1]MidCorp!$AX$47,[1]MidCorp!$BA$47,[1]MidCorp!$BD$47,[1]MidCorp!$O$55,[1]MidCorp!$R$55:$V$55,[1]MidCorp!$Y$55,[1]MidCorp!$AB$55,[1]MidCorp!$AU$55,[1]MidCorp!$AX$55,[1]MidCorp!$BA$55,[1]MidCorp!$BD$55)/1000/T129</f>
        <v>0.48773906923431332</v>
      </c>
      <c r="U132" s="6"/>
      <c r="V132" s="20">
        <f>-SUM([1]MGA!$O$49,[1]MGA!$R$49:$V$49,[1]MGA!$Y$49,[1]MGA!$AB$49,[1]MGA!$AU$49,[1]MGA!$AX$49,[1]MGA!$BA$49,[1]MGA!$BD$49,[1]MGA!$O$57,[1]MGA!$R$57:$V$57,[1]MGA!$Y$57,[1]MGA!$AB$57,[1]MGA!$AU$57,[1]MGA!$AX$57,[1]MGA!$BA$57,[1]MGA!$BD$57,[1]MGA!$O$45,[1]MGA!$R$45:$V$45,[1]MGA!$Y$45,[1]MGA!$AB$45,[1]MGA!$AU$45,[1]MGA!$AX$45,[1]MGA!$BA$45,[1]MGA!$BD$45,[1]MGA!$O$53,[1]MGA!$R$53:$V$53,[1]MGA!$Y$53,[1]MGA!$AB$53,[1]MGA!$AU$53,[1]MGA!$AX$53,[1]MGA!$BA$53,[1]MGA!$BD$53)/1000/V129</f>
        <v>1.6568403872767853E-2</v>
      </c>
      <c r="W132" s="20">
        <f>-SUM([1]MGA!$O$50,[1]MGA!$R$50:$V$50,[1]MGA!$Y$50,[1]MGA!$AB$50,[1]MGA!$AU$50,[1]MGA!$AX$50,[1]MGA!$BA$50,[1]MGA!$BD$50,[1]MGA!$O$58,[1]MGA!$R$58:$V$58,[1]MGA!$Y$58,[1]MGA!$AB$58,[1]MGA!$AU$58,[1]MGA!$AX$58,[1]MGA!$BA$58,[1]MGA!$BD$58,[1]MGA!$O$46,[1]MGA!$R$46:$V$46,[1]MGA!$Y$46,[1]MGA!$AB$46,[1]MGA!$AU$46,[1]MGA!$AX$46,[1]MGA!$BA$46,[1]MGA!$BD$46,[1]MGA!$O$54,[1]MGA!$R$54:$V$54,[1]MGA!$Y$54,[1]MGA!$AB$54,[1]MGA!$AU$54,[1]MGA!$AX$54,[1]MGA!$BA$54,[1]MGA!$BD$54)/1000/W129</f>
        <v>1.6871265065293742E-3</v>
      </c>
      <c r="X132" s="20">
        <f>-SUM([1]MGA!$O$51,[1]MGA!$R$51:$V$51,[1]MGA!$Y$51,[1]MGA!$AB$51,[1]MGA!$AU$51,[1]MGA!$AX$51,[1]MGA!$BA$51,[1]MGA!$BD$51,[1]MGA!$O$59,[1]MGA!$R$59:$V$59,[1]MGA!$Y$59,[1]MGA!$AB$59,[1]MGA!$AU$59,[1]MGA!$AX$59,[1]MGA!$BA$59,[1]MGA!$BD$59,[1]MGA!$O$47,[1]MGA!$R$47:$V$47,[1]MGA!$Y$47,[1]MGA!$AB$47,[1]MGA!$AU$47,[1]MGA!$AX$47,[1]MGA!$BA$47,[1]MGA!$BD$47,[1]MGA!$O$55,[1]MGA!$R$55:$V$55,[1]MGA!$Y$55,[1]MGA!$AB$55,[1]MGA!$AU$55,[1]MGA!$AX$55,[1]MGA!$BA$55,[1]MGA!$BD$55)/1000/X129</f>
        <v>0.10766835552880043</v>
      </c>
      <c r="Y132" s="6"/>
      <c r="Z132" s="20" t="e">
        <f>-SUM([1]Bancassurance!$O$49,[1]Bancassurance!$R$49:$V$49,[1]Bancassurance!$Y$49,[1]Bancassurance!$AB$49,[1]Bancassurance!$AU$49,[1]Bancassurance!$AX$49,[1]Bancassurance!$BA$49,[1]Bancassurance!$BD$49,[1]Bancassurance!$O$57,[1]Bancassurance!$R$57:$V$57,[1]Bancassurance!$Y$57,[1]Bancassurance!$AB$57,[1]Bancassurance!$AU$57,[1]Bancassurance!$AX$57,[1]Bancassurance!$BA$57,[1]Bancassurance!$BD$57,[1]Bancassurance!$O$45,[1]Bancassurance!$R$45:$V$45,[1]Bancassurance!$Y$45,[1]Bancassurance!$AB$45,[1]Bancassurance!$AU$45,[1]Bancassurance!$AX$45,[1]Bancassurance!$BA$45,[1]Bancassurance!$BD$45,[1]Bancassurance!$O$53,[1]Bancassurance!$R$53:$V$53,[1]Bancassurance!$Y$53,[1]Bancassurance!$AB$53,[1]Bancassurance!$AU$53,[1]Bancassurance!$AX$53,[1]Bancassurance!$BA$53,[1]Bancassurance!$BD$53)/1000/Z129</f>
        <v>#DIV/0!</v>
      </c>
      <c r="AA132" s="20" t="e">
        <f>-SUM([1]Bancassurance!$O$50,[1]Bancassurance!$R$50:$V$50,[1]Bancassurance!$Y$50,[1]Bancassurance!$AB$50,[1]Bancassurance!$AU$50,[1]Bancassurance!$AX$50,[1]Bancassurance!$BA$50,[1]Bancassurance!$BD$50,[1]Bancassurance!$O$58,[1]Bancassurance!$R$58:$V$58,[1]Bancassurance!$Y$58,[1]Bancassurance!$AB$58,[1]Bancassurance!$AU$58,[1]Bancassurance!$AX$58,[1]Bancassurance!$BA$58,[1]Bancassurance!$BD$58,[1]Bancassurance!$O$46,[1]Bancassurance!$R$46:$V$46,[1]Bancassurance!$Y$46,[1]Bancassurance!$AB$46,[1]Bancassurance!$AU$46,[1]Bancassurance!$AX$46,[1]Bancassurance!$BA$46,[1]Bancassurance!$BD$46,[1]Bancassurance!$O$54,[1]Bancassurance!$R$54:$V$54,[1]Bancassurance!$Y$54,[1]Bancassurance!$AB$54,[1]Bancassurance!$AU$54,[1]Bancassurance!$AX$54,[1]Bancassurance!$BA$54,[1]Bancassurance!$BD$54)/1000/AA129</f>
        <v>#DIV/0!</v>
      </c>
      <c r="AB132" s="20">
        <f>-SUM([1]Bancassurance!$O$51,[1]Bancassurance!$R$51:$V$51,[1]Bancassurance!$Y$51,[1]Bancassurance!$AB$51,[1]Bancassurance!$AU$51,[1]Bancassurance!$AX$51,[1]Bancassurance!$BA$51,[1]Bancassurance!$BD$51,[1]Bancassurance!$O$59,[1]Bancassurance!$R$59:$V$59,[1]Bancassurance!$Y$59,[1]Bancassurance!$AB$59,[1]Bancassurance!$AU$59,[1]Bancassurance!$AX$59,[1]Bancassurance!$BA$59,[1]Bancassurance!$BD$59,[1]Bancassurance!$O$47,[1]Bancassurance!$R$47:$V$47,[1]Bancassurance!$Y$47,[1]Bancassurance!$AB$47,[1]Bancassurance!$AU$47,[1]Bancassurance!$AX$47,[1]Bancassurance!$BA$47,[1]Bancassurance!$BD$47,[1]Bancassurance!$O$55,[1]Bancassurance!$R$55:$V$55,[1]Bancassurance!$Y$55,[1]Bancassurance!$AB$55,[1]Bancassurance!$AU$55,[1]Bancassurance!$AX$55,[1]Bancassurance!$BA$55,[1]Bancassurance!$BD$55)/1000/AB129</f>
        <v>0.64336592295495154</v>
      </c>
      <c r="AC132" s="6"/>
      <c r="AD132" s="20">
        <f>-SUM([1]Specials!$O$49,[1]Specials!$R$49:$V$49,[1]Specials!$Y$49,[1]Specials!$AB$49,[1]Specials!$AU$49,[1]Specials!$AX$49,[1]Specials!$BA$49,[1]Specials!$BD$49,[1]Specials!$O$57,[1]Specials!$R$57:$V$57,[1]Specials!$Y$57,[1]Specials!$AB$57,[1]Specials!$AU$57,[1]Specials!$AX$57,[1]Specials!$BA$57,[1]Specials!$BD$57,[1]Specials!$O$45,[1]Specials!$R$45:$V$45,[1]Specials!$Y$45,[1]Specials!$AB$45,[1]Specials!$AU$45,[1]Specials!$AX$45,[1]Specials!$BA$45,[1]Specials!$BD$45,[1]Specials!$O$53,[1]Specials!$R$53:$V$53,[1]Specials!$Y$53,[1]Specials!$AB$53,[1]Specials!$AU$53,[1]Specials!$AX$53,[1]Specials!$BA$53,[1]Specials!$BD$53)/1000/AD129</f>
        <v>0</v>
      </c>
      <c r="AE132" s="20">
        <f>-SUM([1]Specials!$O$50,[1]Specials!$R$50:$V$50,[1]Specials!$Y$50,[1]Specials!$AB$50,[1]Specials!$AU$50,[1]Specials!$AX$50,[1]Specials!$BA$50,[1]Specials!$BD$50,[1]Specials!$O$58,[1]Specials!$R$58:$V$58,[1]Specials!$Y$58,[1]Specials!$AB$58,[1]Specials!$AU$58,[1]Specials!$AX$58,[1]Specials!$BA$58,[1]Specials!$BD$58,[1]Specials!$O$46,[1]Specials!$R$46:$V$46,[1]Specials!$Y$46,[1]Specials!$AB$46,[1]Specials!$AU$46,[1]Specials!$AX$46,[1]Specials!$BA$46,[1]Specials!$BD$46,[1]Specials!$O$54,[1]Specials!$R$54:$V$54,[1]Specials!$Y$54,[1]Specials!$AB$54,[1]Specials!$AU$54,[1]Specials!$AX$54,[1]Specials!$BA$54,[1]Specials!$BD$54)/1000/AE129</f>
        <v>0</v>
      </c>
      <c r="AF132" s="20" t="e">
        <f>-SUM([1]Specials!$O$51,[1]Specials!$R$51:$V$51,[1]Specials!$Y$51,[1]Specials!$AB$51,[1]Specials!$AU$51,[1]Specials!$AX$51,[1]Specials!$BA$51,[1]Specials!$BD$51,[1]Specials!$O$59,[1]Specials!$R$59:$V$59,[1]Specials!$Y$59,[1]Specials!$AB$59,[1]Specials!$AU$59,[1]Specials!$AX$59,[1]Specials!$BA$59,[1]Specials!$BD$59,[1]Specials!$O$47,[1]Specials!$R$47:$V$47,[1]Specials!$Y$47,[1]Specials!$AB$47,[1]Specials!$AU$47,[1]Specials!$AX$47,[1]Specials!$BA$47,[1]Specials!$BD$47,[1]Specials!$O$55,[1]Specials!$R$55:$V$55,[1]Specials!$Y$55,[1]Specials!$AB$55,[1]Specials!$AU$55,[1]Specials!$AX$55,[1]Specials!$BA$55,[1]Specials!$BD$55)/1000/AF129</f>
        <v>#DIV/0!</v>
      </c>
      <c r="AG132" s="6"/>
      <c r="AH132" s="28">
        <f>-SUM('[1]Total P&amp;C'!$O$49,'[1]Total P&amp;C'!$R$49:$V$49,'[1]Total P&amp;C'!$Y$49,'[1]Total P&amp;C'!$AB$49,'[1]Total P&amp;C'!$AU$49,'[1]Total P&amp;C'!$AX$49,'[1]Total P&amp;C'!$BA$49,'[1]Total P&amp;C'!$BD$49,'[1]Total P&amp;C'!$O$57,'[1]Total P&amp;C'!$R$57:$V$57,'[1]Total P&amp;C'!$Y$57,'[1]Total P&amp;C'!$AB$57,'[1]Total P&amp;C'!$AU$57,'[1]Total P&amp;C'!$AX$57,'[1]Total P&amp;C'!$BA$57,'[1]Total P&amp;C'!$BD$57,'[1]Total P&amp;C'!$O$45,'[1]Total P&amp;C'!$R$45:$V$45,'[1]Total P&amp;C'!$Y$45,'[1]Total P&amp;C'!$AB$45,'[1]Total P&amp;C'!$AU$45,'[1]Total P&amp;C'!$AX$45,'[1]Total P&amp;C'!$BA$45,'[1]Total P&amp;C'!$BD$45,'[1]Total P&amp;C'!$O$53,'[1]Total P&amp;C'!$R$53:$V$53,'[1]Total P&amp;C'!$Y$53,'[1]Total P&amp;C'!$AB$53,'[1]Total P&amp;C'!$AU$53,'[1]Total P&amp;C'!$AX$53,'[1]Total P&amp;C'!$BA$53,'[1]Total P&amp;C'!$BD$53)/1000/AH129</f>
        <v>0.49959844274638926</v>
      </c>
      <c r="AI132" s="28">
        <f>-SUM('[1]Total P&amp;C'!$O$50,'[1]Total P&amp;C'!$R$50:$V$50,'[1]Total P&amp;C'!$Y$50,'[1]Total P&amp;C'!$AB$50,'[1]Total P&amp;C'!$AU$50,'[1]Total P&amp;C'!$AX$50,'[1]Total P&amp;C'!$BA$50,'[1]Total P&amp;C'!$BD$50,'[1]Total P&amp;C'!$O$58,'[1]Total P&amp;C'!$R$58:$V$58,'[1]Total P&amp;C'!$Y$58,'[1]Total P&amp;C'!$AB$58,'[1]Total P&amp;C'!$AU$58,'[1]Total P&amp;C'!$AX$58,'[1]Total P&amp;C'!$BA$58,'[1]Total P&amp;C'!$BD$58,'[1]Total P&amp;C'!$O$46,'[1]Total P&amp;C'!$R$46:$V$46,'[1]Total P&amp;C'!$Y$46,'[1]Total P&amp;C'!$AB$46,'[1]Total P&amp;C'!$AU$46,'[1]Total P&amp;C'!$AX$46,'[1]Total P&amp;C'!$BA$46,'[1]Total P&amp;C'!$BD$46,'[1]Total P&amp;C'!$O$54,'[1]Total P&amp;C'!$R$54:$V$54,'[1]Total P&amp;C'!$Y$54,'[1]Total P&amp;C'!$AB$54,'[1]Total P&amp;C'!$AU$54,'[1]Total P&amp;C'!$AX$54,'[1]Total P&amp;C'!$BA$54,'[1]Total P&amp;C'!$BD$54)/1000/AI129</f>
        <v>0.52263120433039234</v>
      </c>
      <c r="AJ132" s="28">
        <f>-SUM('[1]Total P&amp;C'!$O$51,'[1]Total P&amp;C'!$R$51:$V$51,'[1]Total P&amp;C'!$Y$51,'[1]Total P&amp;C'!$AB$51,'[1]Total P&amp;C'!$AU$51,'[1]Total P&amp;C'!$AX$51,'[1]Total P&amp;C'!$BA$51,'[1]Total P&amp;C'!$BD$51,'[1]Total P&amp;C'!$O$59,'[1]Total P&amp;C'!$R$59:$V$59,'[1]Total P&amp;C'!$Y$59,'[1]Total P&amp;C'!$AB$59,'[1]Total P&amp;C'!$AU$59,'[1]Total P&amp;C'!$AX$59,'[1]Total P&amp;C'!$BA$59,'[1]Total P&amp;C'!$BD$59,'[1]Total P&amp;C'!$O$47,'[1]Total P&amp;C'!$R$47:$V$47,'[1]Total P&amp;C'!$Y$47,'[1]Total P&amp;C'!$AB$47,'[1]Total P&amp;C'!$AU$47,'[1]Total P&amp;C'!$AX$47,'[1]Total P&amp;C'!$BA$47,'[1]Total P&amp;C'!$BD$47,'[1]Total P&amp;C'!$O$55,'[1]Total P&amp;C'!$R$55:$V$55,'[1]Total P&amp;C'!$Y$55,'[1]Total P&amp;C'!$AB$55,'[1]Total P&amp;C'!$AU$55,'[1]Total P&amp;C'!$AX$55,'[1]Total P&amp;C'!$BA$55,'[1]Total P&amp;C'!$BD$55)/1000/AJ129</f>
        <v>0.45500535967083922</v>
      </c>
      <c r="AL132" s="202"/>
      <c r="AM132" s="9"/>
      <c r="AN132" s="38" t="s">
        <v>23</v>
      </c>
      <c r="AT132" s="20">
        <f>-SUM([2]Retail!$O$49,[2]Retail!$R$49:$V$49,[2]Retail!$Y$49,[2]Retail!$AB$49,[2]Retail!$AU$49,[2]Retail!$AX$49,[2]Retail!$BA$49,[2]Retail!$BD$49,[2]Retail!$O$57,[2]Retail!$R$57:$V$57,[2]Retail!$Y$57,[2]Retail!$AB$57,[2]Retail!$AU$57,[2]Retail!$AX$57,[2]Retail!$BA$57,[2]Retail!$BD$57,[2]Retail!$O$45,[2]Retail!$R$45:$V$45,[2]Retail!$Y$45,[2]Retail!$AB$45,[2]Retail!$AU$45,[2]Retail!$AX$45,[2]Retail!$BA$45,[2]Retail!$BD$45,[2]Retail!$O$53,[2]Retail!$R$53:$V$53,[2]Retail!$Y$53,[2]Retail!$AB$53,[2]Retail!$AU$53,[2]Retail!$AX$53,[2]Retail!$BA$53,[2]Retail!$BD$53)/1000/AT129</f>
        <v>0.38945453877571284</v>
      </c>
      <c r="AU132" s="42">
        <f>-SUM([2]Retail!$O$50,[2]Retail!$R$50:$V$50,[2]Retail!$Y$50,[2]Retail!$AB$50,[2]Retail!$AU$50,[2]Retail!$AX$50,[2]Retail!$BA$50,[2]Retail!$BD$50,[2]Retail!$O$58,[2]Retail!$R$58:$V$58,[2]Retail!$Y$58,[2]Retail!$AB$58,[2]Retail!$AU$58,[2]Retail!$AX$58,[2]Retail!$BA$58,[2]Retail!$BD$58,[2]Retail!$O$46,[2]Retail!$R$46:$V$46,[2]Retail!$Y$46,[2]Retail!$AB$46,[2]Retail!$AU$46,[2]Retail!$AX$46,[2]Retail!$BA$46,[2]Retail!$BD$46,[2]Retail!$O$54,[2]Retail!$R$54:$V$54,[2]Retail!$Y$54,[2]Retail!$AB$54,[2]Retail!$AU$54,[2]Retail!$AX$54,[2]Retail!$BA$54,[2]Retail!$BD$54)/1000/AU129</f>
        <v>0.43776116864595094</v>
      </c>
      <c r="AV132" s="42">
        <f>-SUM([2]Retail!$O$51,[2]Retail!$R$51:$V$51,[2]Retail!$Y$51,[2]Retail!$AB$51,[2]Retail!$AU$51,[2]Retail!$AX$51,[2]Retail!$BA$51,[2]Retail!$BD$51,[2]Retail!$O$59,[2]Retail!$R$59:$V$59,[2]Retail!$Y$59,[2]Retail!$AB$59,[2]Retail!$AU$59,[2]Retail!$AX$59,[2]Retail!$BA$59,[2]Retail!$BD$59,[2]Retail!$O$47,[2]Retail!$R$47:$V$47,[2]Retail!$Y$47,[2]Retail!$AB$47,[2]Retail!$AU$47,[2]Retail!$AX$47,[2]Retail!$BA$47,[2]Retail!$BD$47,[2]Retail!$O$55,[2]Retail!$R$55:$V$55,[2]Retail!$Y$55,[2]Retail!$AB$55,[2]Retail!$AU$55,[2]Retail!$AX$55,[2]Retail!$BA$55,[2]Retail!$BD$55)/1000/AV129</f>
        <v>0.32921751620591272</v>
      </c>
      <c r="AW132" s="6"/>
      <c r="AX132" s="20">
        <f>-SUM([2]SME!$O$49,[2]SME!$R$49:$V$49,[2]SME!$Y$49,[2]SME!$AB$49,[2]SME!$AU$49,[2]SME!$AX$49,[2]SME!$BA$49,[2]SME!$BD$49,[2]SME!$O$57,[2]SME!$R$57:$V$57,[2]SME!$Y$57,[2]SME!$AB$57,[2]SME!$AU$57,[2]SME!$AX$57,[2]SME!$BA$57,[2]SME!$BD$57,[2]SME!$O$45,[2]SME!$R$45:$V$45,[2]SME!$Y$45,[2]SME!$AB$45,[2]SME!$AU$45,[2]SME!$AX$45,[2]SME!$BA$45,[2]SME!$BD$45,[2]SME!$O$53,[2]SME!$R$53:$V$53,[2]SME!$Y$53,[2]SME!$AB$53,[2]SME!$AU$53,[2]SME!$AX$53,[2]SME!$BA$53,[2]SME!$BD$53)/1000/AX129</f>
        <v>0.50594634265080751</v>
      </c>
      <c r="AY132" s="20">
        <f>-SUM([2]SME!$O$50,[2]SME!$R$50:$V$50,[2]SME!$Y$50,[2]SME!$AB$50,[2]SME!$AU$50,[2]SME!$AX$50,[2]SME!$BA$50,[2]SME!$BD$50,[2]SME!$O$58,[2]SME!$R$58:$V$58,[2]SME!$Y$58,[2]SME!$AB$58,[2]SME!$AU$58,[2]SME!$AX$58,[2]SME!$BA$58,[2]SME!$BD$58,[2]SME!$O$46,[2]SME!$R$46:$V$46,[2]SME!$Y$46,[2]SME!$AB$46,[2]SME!$AU$46,[2]SME!$AX$46,[2]SME!$BA$46,[2]SME!$BD$46,[2]SME!$O$54,[2]SME!$R$54:$V$54,[2]SME!$Y$54,[2]SME!$AB$54,[2]SME!$AU$54,[2]SME!$AX$54,[2]SME!$BA$54,[2]SME!$BD$54)/1000/AY129</f>
        <v>0.14786387995507153</v>
      </c>
      <c r="AZ132" s="20">
        <f>-SUM([2]SME!$O$51,[2]SME!$R$51:$V$51,[2]SME!$Y$51,[2]SME!$AB$51,[2]SME!$AU$51,[2]SME!$AX$51,[2]SME!$BA$51,[2]SME!$BD$51,[2]SME!$O$59,[2]SME!$R$59:$V$59,[2]SME!$Y$59,[2]SME!$AB$59,[2]SME!$AU$59,[2]SME!$AX$59,[2]SME!$BA$59,[2]SME!$BD$59,[2]SME!$O$47,[2]SME!$R$47:$V$47,[2]SME!$Y$47,[2]SME!$AB$47,[2]SME!$AU$47,[2]SME!$AX$47,[2]SME!$BA$47,[2]SME!$BD$47,[2]SME!$O$55,[2]SME!$R$55:$V$55,[2]SME!$Y$55,[2]SME!$AB$55,[2]SME!$AU$55,[2]SME!$AX$55,[2]SME!$BA$55,[2]SME!$BD$55)/1000/AZ129</f>
        <v>0.50558909320778911</v>
      </c>
      <c r="BA132" s="6"/>
      <c r="BB132" s="20">
        <f>-SUM([2]MidCorp!$O$49,[2]MidCorp!$R$49:$V$49,[2]MidCorp!$Y$49,[2]MidCorp!$AB$49,[2]MidCorp!$AU$49,[2]MidCorp!$AX$49,[2]MidCorp!$BA$49,[2]MidCorp!$BD$49,[2]MidCorp!$O$57,[2]MidCorp!$R$57:$V$57,[2]MidCorp!$Y$57,[2]MidCorp!$AB$57,[2]MidCorp!$AU$57,[2]MidCorp!$AX$57,[2]MidCorp!$BA$57,[2]MidCorp!$BD$57,[2]MidCorp!$O$45,[2]MidCorp!$R$45:$V$45,[2]MidCorp!$Y$45,[2]MidCorp!$AB$45,[2]MidCorp!$AU$45,[2]MidCorp!$AX$45,[2]MidCorp!$BA$45,[2]MidCorp!$BD$45,[2]MidCorp!$O$53,[2]MidCorp!$R$53:$V$53,[2]MidCorp!$Y$53,[2]MidCorp!$AB$53,[2]MidCorp!$AU$53,[2]MidCorp!$AX$53,[2]MidCorp!$BA$53,[2]MidCorp!$BD$53)/1000/BB129</f>
        <v>0.34745362217958531</v>
      </c>
      <c r="BC132" s="20">
        <f>-SUM([2]MidCorp!$O$50,[2]MidCorp!$R$50:$V$50,[2]MidCorp!$Y$50,[2]MidCorp!$AB$50,[2]MidCorp!$AU$50,[2]MidCorp!$AX$50,[2]MidCorp!$BA$50,[2]MidCorp!$BD$50,[2]MidCorp!$O$58,[2]MidCorp!$R$58:$V$58,[2]MidCorp!$Y$58,[2]MidCorp!$AB$58,[2]MidCorp!$AU$58,[2]MidCorp!$AX$58,[2]MidCorp!$BA$58,[2]MidCorp!$BD$58,[2]MidCorp!$O$46,[2]MidCorp!$R$46:$V$46,[2]MidCorp!$Y$46,[2]MidCorp!$AB$46,[2]MidCorp!$AU$46,[2]MidCorp!$AX$46,[2]MidCorp!$BA$46,[2]MidCorp!$BD$46,[2]MidCorp!$O$54,[2]MidCorp!$R$54:$V$54,[2]MidCorp!$Y$54,[2]MidCorp!$AB$54,[2]MidCorp!$AU$54,[2]MidCorp!$AX$54,[2]MidCorp!$BA$54,[2]MidCorp!$BD$54)/1000/BC129</f>
        <v>0.46417001079025172</v>
      </c>
      <c r="BD132" s="20">
        <f>-SUM([2]MidCorp!$O$51,[2]MidCorp!$R$51:$V$51,[2]MidCorp!$Y$51,[2]MidCorp!$AB$51,[2]MidCorp!$AU$51,[2]MidCorp!$AX$51,[2]MidCorp!$BA$51,[2]MidCorp!$BD$51,[2]MidCorp!$O$59,[2]MidCorp!$R$59:$V$59,[2]MidCorp!$Y$59,[2]MidCorp!$AB$59,[2]MidCorp!$AU$59,[2]MidCorp!$AX$59,[2]MidCorp!$BA$59,[2]MidCorp!$BD$59,[2]MidCorp!$O$47,[2]MidCorp!$R$47:$V$47,[2]MidCorp!$Y$47,[2]MidCorp!$AB$47,[2]MidCorp!$AU$47,[2]MidCorp!$AX$47,[2]MidCorp!$BA$47,[2]MidCorp!$BD$47,[2]MidCorp!$O$55,[2]MidCorp!$R$55:$V$55,[2]MidCorp!$Y$55,[2]MidCorp!$AB$55,[2]MidCorp!$AU$55,[2]MidCorp!$AX$55,[2]MidCorp!$BA$55,[2]MidCorp!$BD$55)/1000/BD129</f>
        <v>0.31050817398026459</v>
      </c>
      <c r="BJ132" s="20" t="e">
        <f>-SUM([2]Specials!$O$49,[2]Specials!$R$49:$V$49,[2]Specials!$Y$49,[2]Specials!$AB$49,[2]Specials!$AU$49,[2]Specials!$AX$49,[2]Specials!$BA$49,[2]Specials!$BD$49,[2]Specials!$O$57,[2]Specials!$R$57:$V$57,[2]Specials!$Y$57,[2]Specials!$AB$57,[2]Specials!$AU$57,[2]Specials!$AX$57,[2]Specials!$BA$57,[2]Specials!$BD$57,[2]Specials!$O$45,[2]Specials!$R$45:$V$45,[2]Specials!$Y$45,[2]Specials!$AB$45,[2]Specials!$AU$45,[2]Specials!$AX$45,[2]Specials!$BA$45,[2]Specials!$BD$45,[2]Specials!$O$53,[2]Specials!$R$53:$V$53,[2]Specials!$Y$53,[2]Specials!$AB$53,[2]Specials!$AU$53,[2]Specials!$AX$53,[2]Specials!$BA$53,[2]Specials!$BD$53)/1000/BJ129</f>
        <v>#DIV/0!</v>
      </c>
      <c r="BK132" s="20" t="e">
        <f>-SUM([2]Specials!$O$50,[2]Specials!$R$50:$V$50,[2]Specials!$Y$50,[2]Specials!$AB$50,[2]Specials!$AU$50,[2]Specials!$AX$50,[2]Specials!$BA$50,[2]Specials!$BD$50,[2]Specials!$O$58,[2]Specials!$R$58:$V$58,[2]Specials!$Y$58,[2]Specials!$AB$58,[2]Specials!$AU$58,[2]Specials!$AX$58,[2]Specials!$BA$58,[2]Specials!$BD$58,[2]Specials!$O$46,[2]Specials!$R$46:$V$46,[2]Specials!$Y$46,[2]Specials!$AB$46,[2]Specials!$AU$46,[2]Specials!$AX$46,[2]Specials!$BA$46,[2]Specials!$BD$46,[2]Specials!$O$54,[2]Specials!$R$54:$V$54,[2]Specials!$Y$54,[2]Specials!$AB$54,[2]Specials!$AU$54,[2]Specials!$AX$54,[2]Specials!$BA$54,[2]Specials!$BD$54)/1000/BK129</f>
        <v>#DIV/0!</v>
      </c>
      <c r="BL132" s="20" t="e">
        <f>-SUM([2]Specials!$O$51,[2]Specials!$R$51:$V$51,[2]Specials!$Y$51,[2]Specials!$AB$51,[2]Specials!$AU$51,[2]Specials!$AX$51,[2]Specials!$BA$51,[2]Specials!$BD$51,[2]Specials!$O$59,[2]Specials!$R$59:$V$59,[2]Specials!$Y$59,[2]Specials!$AB$59,[2]Specials!$AU$59,[2]Specials!$AX$59,[2]Specials!$BA$59,[2]Specials!$BD$59,[2]Specials!$O$47,[2]Specials!$R$47:$V$47,[2]Specials!$Y$47,[2]Specials!$AB$47,[2]Specials!$AU$47,[2]Specials!$AX$47,[2]Specials!$BA$47,[2]Specials!$BD$47,[2]Specials!$O$55,[2]Specials!$R$55:$V$55,[2]Specials!$Y$55,[2]Specials!$AB$55,[2]Specials!$AU$55,[2]Specials!$AX$55,[2]Specials!$BA$55,[2]Specials!$BD$55)/1000/BL129</f>
        <v>#DIV/0!</v>
      </c>
      <c r="BM132" s="6"/>
      <c r="BN132" s="28">
        <f>-SUM('[2]Total P&amp;C'!$O$49,'[2]Total P&amp;C'!$R$49:$V$49,'[2]Total P&amp;C'!$Y$49,'[2]Total P&amp;C'!$AB$49,'[2]Total P&amp;C'!$AU$49,'[2]Total P&amp;C'!$AX$49,'[2]Total P&amp;C'!$BA$49,'[2]Total P&amp;C'!$BD$49,'[2]Total P&amp;C'!$O$57,'[2]Total P&amp;C'!$R$57:$V$57,'[2]Total P&amp;C'!$Y$57,'[2]Total P&amp;C'!$AB$57,'[2]Total P&amp;C'!$AU$57,'[2]Total P&amp;C'!$AX$57,'[2]Total P&amp;C'!$BA$57,'[2]Total P&amp;C'!$BD$57,'[2]Total P&amp;C'!$O$45,'[2]Total P&amp;C'!$R$45:$V$45,'[2]Total P&amp;C'!$Y$45,'[2]Total P&amp;C'!$AB$45,'[2]Total P&amp;C'!$AU$45,'[2]Total P&amp;C'!$AX$45,'[2]Total P&amp;C'!$BA$45,'[2]Total P&amp;C'!$BD$45,'[2]Total P&amp;C'!$O$53,'[2]Total P&amp;C'!$R$53:$V$53,'[2]Total P&amp;C'!$Y$53,'[2]Total P&amp;C'!$AB$53,'[2]Total P&amp;C'!$AU$53,'[2]Total P&amp;C'!$AX$53,'[2]Total P&amp;C'!$BA$53,'[2]Total P&amp;C'!$BD$53)/1000/BN129</f>
        <v>0.35825340115217985</v>
      </c>
      <c r="BO132" s="28">
        <f>-SUM('[2]Total P&amp;C'!$O$50,'[2]Total P&amp;C'!$R$50:$V$50,'[2]Total P&amp;C'!$Y$50,'[2]Total P&amp;C'!$AB$50,'[2]Total P&amp;C'!$AU$50,'[2]Total P&amp;C'!$AX$50,'[2]Total P&amp;C'!$BA$50,'[2]Total P&amp;C'!$BD$50,'[2]Total P&amp;C'!$O$58,'[2]Total P&amp;C'!$R$58:$V$58,'[2]Total P&amp;C'!$Y$58,'[2]Total P&amp;C'!$AB$58,'[2]Total P&amp;C'!$AU$58,'[2]Total P&amp;C'!$AX$58,'[2]Total P&amp;C'!$BA$58,'[2]Total P&amp;C'!$BD$58,'[2]Total P&amp;C'!$O$46,'[2]Total P&amp;C'!$R$46:$V$46,'[2]Total P&amp;C'!$Y$46,'[2]Total P&amp;C'!$AB$46,'[2]Total P&amp;C'!$AU$46,'[2]Total P&amp;C'!$AX$46,'[2]Total P&amp;C'!$BA$46,'[2]Total P&amp;C'!$BD$46,'[2]Total P&amp;C'!$O$54,'[2]Total P&amp;C'!$R$54:$V$54,'[2]Total P&amp;C'!$Y$54,'[2]Total P&amp;C'!$AB$54,'[2]Total P&amp;C'!$AU$54,'[2]Total P&amp;C'!$AX$54,'[2]Total P&amp;C'!$BA$54,'[2]Total P&amp;C'!$BD$54)/1000/BO129</f>
        <v>0.40165700182989689</v>
      </c>
      <c r="BP132" s="28">
        <f>-SUM('[2]Total P&amp;C'!$O$51,'[2]Total P&amp;C'!$R$51:$V$51,'[2]Total P&amp;C'!$Y$51,'[2]Total P&amp;C'!$AB$51,'[2]Total P&amp;C'!$AU$51,'[2]Total P&amp;C'!$AX$51,'[2]Total P&amp;C'!$BA$51,'[2]Total P&amp;C'!$BD$51,'[2]Total P&amp;C'!$O$59,'[2]Total P&amp;C'!$R$59:$V$59,'[2]Total P&amp;C'!$Y$59,'[2]Total P&amp;C'!$AB$59,'[2]Total P&amp;C'!$AU$59,'[2]Total P&amp;C'!$AX$59,'[2]Total P&amp;C'!$BA$59,'[2]Total P&amp;C'!$BD$59,'[2]Total P&amp;C'!$O$47,'[2]Total P&amp;C'!$R$47:$V$47,'[2]Total P&amp;C'!$Y$47,'[2]Total P&amp;C'!$AB$47,'[2]Total P&amp;C'!$AU$47,'[2]Total P&amp;C'!$AX$47,'[2]Total P&amp;C'!$BA$47,'[2]Total P&amp;C'!$BD$47,'[2]Total P&amp;C'!$O$55,'[2]Total P&amp;C'!$R$55:$V$55,'[2]Total P&amp;C'!$Y$55,'[2]Total P&amp;C'!$AB$55,'[2]Total P&amp;C'!$AU$55,'[2]Total P&amp;C'!$AX$55,'[2]Total P&amp;C'!$BA$55,'[2]Total P&amp;C'!$BD$55)/1000/BP129</f>
        <v>0.31775869805786772</v>
      </c>
      <c r="BR132" s="28">
        <f>-SUM('[3]Total P&amp;C'!$O$49,'[3]Total P&amp;C'!$R$49:$V$49,'[3]Total P&amp;C'!$Y$49,'[3]Total P&amp;C'!$AB$49,'[3]Total P&amp;C'!$AU$49,'[3]Total P&amp;C'!$AX$49,'[3]Total P&amp;C'!$BA$49,'[3]Total P&amp;C'!$BD$49,'[3]Total P&amp;C'!$O$57,'[3]Total P&amp;C'!$R$57:$V$57,'[3]Total P&amp;C'!$Y$57,'[3]Total P&amp;C'!$AB$57,'[3]Total P&amp;C'!$AU$57,'[3]Total P&amp;C'!$AX$57,'[3]Total P&amp;C'!$BA$57,'[3]Total P&amp;C'!$BD$57,'[3]Total P&amp;C'!$O$45,'[3]Total P&amp;C'!$R$45:$V$45,'[3]Total P&amp;C'!$Y$45,'[3]Total P&amp;C'!$AB$45,'[3]Total P&amp;C'!$AU$45,'[3]Total P&amp;C'!$AX$45,'[3]Total P&amp;C'!$BA$45,'[3]Total P&amp;C'!$BD$45,'[3]Total P&amp;C'!$O$53,'[3]Total P&amp;C'!$R$53:$V$53,'[3]Total P&amp;C'!$Y$53,'[3]Total P&amp;C'!$AB$53,'[3]Total P&amp;C'!$AU$53,'[3]Total P&amp;C'!$AX$53,'[3]Total P&amp;C'!$BA$53,'[3]Total P&amp;C'!$BD$53)/1000/BR129</f>
        <v>0.45262663418885729</v>
      </c>
      <c r="BS132" s="28">
        <f>-SUM('[3]Total P&amp;C'!$O$50,'[3]Total P&amp;C'!$R$50:$V$50,'[3]Total P&amp;C'!$Y$50,'[3]Total P&amp;C'!$AB$50,'[3]Total P&amp;C'!$AU$50,'[3]Total P&amp;C'!$AX$50,'[3]Total P&amp;C'!$BA$50,'[3]Total P&amp;C'!$BD$50,'[3]Total P&amp;C'!$O$58,'[3]Total P&amp;C'!$R$58:$V$58,'[3]Total P&amp;C'!$Y$58,'[3]Total P&amp;C'!$AB$58,'[3]Total P&amp;C'!$AU$58,'[3]Total P&amp;C'!$AX$58,'[3]Total P&amp;C'!$BA$58,'[3]Total P&amp;C'!$BD$58,'[3]Total P&amp;C'!$O$46,'[3]Total P&amp;C'!$R$46:$V$46,'[3]Total P&amp;C'!$Y$46,'[3]Total P&amp;C'!$AB$46,'[3]Total P&amp;C'!$AU$46,'[3]Total P&amp;C'!$AX$46,'[3]Total P&amp;C'!$BA$46,'[3]Total P&amp;C'!$BD$46,'[3]Total P&amp;C'!$O$54,'[3]Total P&amp;C'!$R$54:$V$54,'[3]Total P&amp;C'!$Y$54,'[3]Total P&amp;C'!$AB$54,'[3]Total P&amp;C'!$AU$54,'[3]Total P&amp;C'!$AX$54,'[3]Total P&amp;C'!$BA$54,'[3]Total P&amp;C'!$BD$54)/1000/BS129</f>
        <v>0.48227327766746503</v>
      </c>
      <c r="BT132" s="28">
        <f>-SUM('[3]Total P&amp;C'!$O$51,'[3]Total P&amp;C'!$R$51:$V$51,'[3]Total P&amp;C'!$Y$51,'[3]Total P&amp;C'!$AB$51,'[3]Total P&amp;C'!$AU$51,'[3]Total P&amp;C'!$AX$51,'[3]Total P&amp;C'!$BA$51,'[3]Total P&amp;C'!$BD$51,'[3]Total P&amp;C'!$O$59,'[3]Total P&amp;C'!$R$59:$V$59,'[3]Total P&amp;C'!$Y$59,'[3]Total P&amp;C'!$AB$59,'[3]Total P&amp;C'!$AU$59,'[3]Total P&amp;C'!$AX$59,'[3]Total P&amp;C'!$BA$59,'[3]Total P&amp;C'!$BD$59,'[3]Total P&amp;C'!$O$47,'[3]Total P&amp;C'!$R$47:$V$47,'[3]Total P&amp;C'!$Y$47,'[3]Total P&amp;C'!$AB$47,'[3]Total P&amp;C'!$AU$47,'[3]Total P&amp;C'!$AX$47,'[3]Total P&amp;C'!$BA$47,'[3]Total P&amp;C'!$BD$47,'[3]Total P&amp;C'!$O$55,'[3]Total P&amp;C'!$R$55:$V$55,'[3]Total P&amp;C'!$Y$55,'[3]Total P&amp;C'!$AB$55,'[3]Total P&amp;C'!$AU$55,'[3]Total P&amp;C'!$AX$55,'[3]Total P&amp;C'!$BA$55,'[3]Total P&amp;C'!$BD$55)/1000/BT129</f>
        <v>0.41201589558637702</v>
      </c>
    </row>
    <row r="133" spans="2:72" ht="16.5" customHeight="1" x14ac:dyDescent="0.25">
      <c r="B133" s="202"/>
      <c r="C133" s="9"/>
      <c r="D133" s="38" t="s">
        <v>24</v>
      </c>
      <c r="J133" s="20">
        <f>-([1]Retail!$P$49+[1]Retail!$W$49+[1]Retail!$AV$49+[1]Retail!$AY$49+[1]Retail!$P$57+[1]Retail!$W$57+[1]Retail!$AV$57+[1]Retail!$AY$57+[1]Retail!$P$45+[1]Retail!$W$45+[1]Retail!$AV$45+[1]Retail!$AY$45+[1]Retail!$P$53+[1]Retail!$W$53+[1]Retail!$AV$53+[1]Retail!$AY$53)/1000/J129</f>
        <v>0</v>
      </c>
      <c r="K133" s="42">
        <f>-([1]Retail!$P$50+[1]Retail!$W$50+[1]Retail!$AV$50+[1]Retail!$AY$50+[1]Retail!$P$58+[1]Retail!$W$58+[1]Retail!$AV$58+[1]Retail!$AY$58+[1]Retail!$P$46+[1]Retail!$W$46+[1]Retail!$AV$46+[1]Retail!$AY$46+[1]Retail!$P$54+[1]Retail!$W$54+[1]Retail!$AV$54+[1]Retail!$AY$54)/1000/K129</f>
        <v>0</v>
      </c>
      <c r="L133" s="42" t="e">
        <f>-([1]Retail!$P$51+[1]Retail!$W$51+[1]Retail!$AV$51+[1]Retail!$AY$51+[1]Retail!$P$59+[1]Retail!$W$59+[1]Retail!$AV$59+[1]Retail!$AY$59+[1]Retail!$P$47+[1]Retail!$W$47+[1]Retail!$AV$47+[1]Retail!$AY$47+[1]Retail!$P$55+[1]Retail!$W$55+[1]Retail!$AV$55+[1]Retail!$AY$55)/1000/L129</f>
        <v>#DIV/0!</v>
      </c>
      <c r="M133" s="7"/>
      <c r="N133" s="20">
        <f>-([1]SME!$P$49+[1]SME!$W$49+[1]SME!$AV$49+[1]SME!$AY$49+[1]SME!$P$57+[1]SME!$W$57+[1]SME!$AV$57+[1]SME!$AY$57+[1]SME!$P$45+[1]SME!$W$45+[1]SME!$AV$45+[1]SME!$AY$45+[1]SME!$P$53+[1]SME!$W$53+[1]SME!$AV$53+[1]SME!$AY$53)/1000/N129</f>
        <v>0</v>
      </c>
      <c r="O133" s="20">
        <f>-([1]SME!$P$50+[1]SME!$W$50+[1]SME!$AV$50+[1]SME!$AY$50+[1]SME!$P$58+[1]SME!$W$58+[1]SME!$AV$58+[1]SME!$AY$58+[1]SME!$P$46+[1]SME!$W$46+[1]SME!$AV$46+[1]SME!$AY$46+[1]SME!$P$54+[1]SME!$W$54+[1]SME!$AV$54+[1]SME!$AY$54)/1000/O129</f>
        <v>0</v>
      </c>
      <c r="P133" s="20">
        <f>-([1]SME!$P$51+[1]SME!$W$51+[1]SME!$AV$51+[1]SME!$AY$51+[1]SME!$P$59+[1]SME!$W$59+[1]SME!$AV$59+[1]SME!$AY$59+[1]SME!$P$47+[1]SME!$W$47+[1]SME!$AV$47+[1]SME!$AY$47+[1]SME!$P$55+[1]SME!$W$55+[1]SME!$AV$55+[1]SME!$AY$55)/1000/P129</f>
        <v>0</v>
      </c>
      <c r="Q133" s="7"/>
      <c r="R133" s="20">
        <f>-([1]MidCorp!$P$49+[1]MidCorp!$W$49+[1]MidCorp!$AV$49+[1]MidCorp!$AY$49+[1]MidCorp!$P$57+[1]MidCorp!$W$57+[1]MidCorp!$AV$57+[1]MidCorp!$AY$57+[1]MidCorp!$P$45+[1]MidCorp!$W$45+[1]MidCorp!$AV$45+[1]MidCorp!$AY$45+[1]MidCorp!$P$53+[1]MidCorp!$W$53+[1]MidCorp!$AV$53+[1]MidCorp!$AY$53)/1000/R129</f>
        <v>0</v>
      </c>
      <c r="S133" s="20">
        <f>-([1]MidCorp!$P$50+[1]MidCorp!$W$50+[1]MidCorp!$AV$50+[1]MidCorp!$AY$50+[1]MidCorp!$P$58+[1]MidCorp!$W$58+[1]MidCorp!$AV$58+[1]MidCorp!$AY$58+[1]MidCorp!$P$46+[1]MidCorp!$W$46+[1]MidCorp!$AV$46+[1]MidCorp!$AY$46+[1]MidCorp!$P$54+[1]MidCorp!$W$54+[1]MidCorp!$AV$54+[1]MidCorp!$AY$54)/1000/S129</f>
        <v>0</v>
      </c>
      <c r="T133" s="20">
        <f>-([1]MidCorp!$P$51+[1]MidCorp!$W$51+[1]MidCorp!$AV$51+[1]MidCorp!$AY$51+[1]MidCorp!$P$59+[1]MidCorp!$W$59+[1]MidCorp!$AV$59+[1]MidCorp!$AY$59+[1]MidCorp!$P$47+[1]MidCorp!$W$47+[1]MidCorp!$AV$47+[1]MidCorp!$AY$47+[1]MidCorp!$P$55+[1]MidCorp!$W$55+[1]MidCorp!$AV$55+[1]MidCorp!$AY$55)/1000/T129</f>
        <v>0</v>
      </c>
      <c r="U133" s="7"/>
      <c r="V133" s="20">
        <f>-([1]MGA!$P$49+[1]MGA!$W$49+[1]MGA!$AV$49+[1]MGA!$AY$49+[1]MGA!$P$57+[1]MGA!$W$57+[1]MGA!$AV$57+[1]MGA!$AY$57+[1]MGA!$P$45+[1]MGA!$W$45+[1]MGA!$AV$45+[1]MGA!$AY$45+[1]MGA!$P$53+[1]MGA!$W$53+[1]MGA!$AV$53+[1]MGA!$AY$53)/1000/V129</f>
        <v>0</v>
      </c>
      <c r="W133" s="20">
        <f>-([1]MGA!$P$50+[1]MGA!$W$50+[1]MGA!$AV$50+[1]MGA!$AY$50+[1]MGA!$P$58+[1]MGA!$W$58+[1]MGA!$AV$58+[1]MGA!$AY$58+[1]MGA!$P$46+[1]MGA!$W$46+[1]MGA!$AV$46+[1]MGA!$AY$46+[1]MGA!$P$54+[1]MGA!$W$54+[1]MGA!$AV$54+[1]MGA!$AY$54)/1000/W129</f>
        <v>0</v>
      </c>
      <c r="X133" s="20">
        <f>-([1]MGA!$P$51+[1]MGA!$W$51+[1]MGA!$AV$51+[1]MGA!$AY$51+[1]MGA!$P$59+[1]MGA!$W$59+[1]MGA!$AV$59+[1]MGA!$AY$59+[1]MGA!$P$47+[1]MGA!$W$47+[1]MGA!$AV$47+[1]MGA!$AY$47+[1]MGA!$P$55+[1]MGA!$W$55+[1]MGA!$AV$55+[1]MGA!$AY$55)/1000/X129</f>
        <v>0</v>
      </c>
      <c r="Y133" s="7"/>
      <c r="Z133" s="20" t="e">
        <f>-([1]Bancassurance!$P$49+[1]Bancassurance!$W$49+[1]Bancassurance!$AV$49+[1]Bancassurance!$AY$49+[1]Bancassurance!$P$57+[1]Bancassurance!$W$57+[1]Bancassurance!$AV$57+[1]Bancassurance!$AY$57+[1]Bancassurance!$P$45+[1]Bancassurance!$W$45+[1]Bancassurance!$AV$45+[1]Bancassurance!$AY$45+[1]Bancassurance!$P$53+[1]Bancassurance!$W$53+[1]Bancassurance!$AV$53+[1]Bancassurance!$AY$53)/1000/Z129</f>
        <v>#DIV/0!</v>
      </c>
      <c r="AA133" s="20" t="e">
        <f>-([1]Bancassurance!$P$50+[1]Bancassurance!$W$50+[1]Bancassurance!$AV$50+[1]Bancassurance!$AY$50+[1]Bancassurance!$P$58+[1]Bancassurance!$W$58+[1]Bancassurance!$AV$58+[1]Bancassurance!$AY$58+[1]Bancassurance!$P$46+[1]Bancassurance!$W$46+[1]Bancassurance!$AV$46+[1]Bancassurance!$AY$46+[1]Bancassurance!$P$54+[1]Bancassurance!$W$54+[1]Bancassurance!$AV$54+[1]Bancassurance!$AY$54)/1000/AA129</f>
        <v>#DIV/0!</v>
      </c>
      <c r="AB133" s="20">
        <f>-([1]Bancassurance!$P$51+[1]Bancassurance!$W$51+[1]Bancassurance!$AV$51+[1]Bancassurance!$AY$51+[1]Bancassurance!$P$59+[1]Bancassurance!$W$59+[1]Bancassurance!$AV$59+[1]Bancassurance!$AY$59+[1]Bancassurance!$P$47+[1]Bancassurance!$W$47+[1]Bancassurance!$AV$47+[1]Bancassurance!$AY$47+[1]Bancassurance!$P$55+[1]Bancassurance!$W$55+[1]Bancassurance!$AV$55+[1]Bancassurance!$AY$55)/1000/AB129</f>
        <v>0</v>
      </c>
      <c r="AC133" s="7"/>
      <c r="AD133" s="20">
        <f>-([1]Specials!$P$49+[1]Specials!$W$49+[1]Specials!$AV$49+[1]Specials!$AY$49+[1]Specials!$P$57+[1]Specials!$W$57+[1]Specials!$AV$57+[1]Specials!$AY$57+[1]Specials!$P$45+[1]Specials!$W$45+[1]Specials!$AV$45+[1]Specials!$AY$45+[1]Specials!$P$53+[1]Specials!$W$53+[1]Specials!$AV$53+[1]Specials!$AY$53)/1000/AD129</f>
        <v>0</v>
      </c>
      <c r="AE133" s="20">
        <f>-([1]Specials!$P$50+[1]Specials!$W$50+[1]Specials!$AV$50+[1]Specials!$AY$50+[1]Specials!$P$58+[1]Specials!$W$58+[1]Specials!$AV$58+[1]Specials!$AY$58+[1]Specials!$P$46+[1]Specials!$W$46+[1]Specials!$AV$46+[1]Specials!$AY$46+[1]Specials!$P$54+[1]Specials!$W$54+[1]Specials!$AV$54+[1]Specials!$AY$54)/1000/AE129</f>
        <v>0</v>
      </c>
      <c r="AF133" s="20" t="e">
        <f>-([1]Specials!$P$51+[1]Specials!$W$51+[1]Specials!$AV$51+[1]Specials!$AY$51+[1]Specials!$P$59+[1]Specials!$W$59+[1]Specials!$AV$59+[1]Specials!$AY$59+[1]Specials!$P$47+[1]Specials!$W$47+[1]Specials!$AV$47+[1]Specials!$AY$47+[1]Specials!$P$55+[1]Specials!$W$55+[1]Specials!$AV$55+[1]Specials!$AY$55)/1000/AF129</f>
        <v>#DIV/0!</v>
      </c>
      <c r="AG133" s="7"/>
      <c r="AH133" s="28">
        <f>-('[1]Total P&amp;C'!$P$49+'[1]Total P&amp;C'!$W$49+'[1]Total P&amp;C'!$AV$49+'[1]Total P&amp;C'!$AY$49+'[1]Total P&amp;C'!$P$57+'[1]Total P&amp;C'!$W$57+'[1]Total P&amp;C'!$AV$57+'[1]Total P&amp;C'!$AY$57+'[1]Total P&amp;C'!$P$45+'[1]Total P&amp;C'!$W$45+'[1]Total P&amp;C'!$AV$45+'[1]Total P&amp;C'!$AY$45+'[1]Total P&amp;C'!$P$53+'[1]Total P&amp;C'!$W$53+'[1]Total P&amp;C'!$AV$53+'[1]Total P&amp;C'!$AY$53)/1000/AH129</f>
        <v>0</v>
      </c>
      <c r="AI133" s="28">
        <f>-('[1]Total P&amp;C'!$P$50+'[1]Total P&amp;C'!$W$50+'[1]Total P&amp;C'!$AV$50+'[1]Total P&amp;C'!$AY$50+'[1]Total P&amp;C'!$P$58+'[1]Total P&amp;C'!$W$58+'[1]Total P&amp;C'!$AV$58+'[1]Total P&amp;C'!$AY$58+'[1]Total P&amp;C'!$P$46+'[1]Total P&amp;C'!$W$46+'[1]Total P&amp;C'!$AV$46+'[1]Total P&amp;C'!$AY$46+'[1]Total P&amp;C'!$P$54+'[1]Total P&amp;C'!$W$54+'[1]Total P&amp;C'!$AV$54+'[1]Total P&amp;C'!$AY$54)/1000/AI129</f>
        <v>0</v>
      </c>
      <c r="AJ133" s="28">
        <f>-('[1]Total P&amp;C'!$P$51+'[1]Total P&amp;C'!$W$51+'[1]Total P&amp;C'!$AV$51+'[1]Total P&amp;C'!$AY$51+'[1]Total P&amp;C'!$P$59+'[1]Total P&amp;C'!$W$59+'[1]Total P&amp;C'!$AV$59+'[1]Total P&amp;C'!$AY$59+'[1]Total P&amp;C'!$P$47+'[1]Total P&amp;C'!$W$47+'[1]Total P&amp;C'!$AV$47+'[1]Total P&amp;C'!$AY$47+'[1]Total P&amp;C'!$P$55+'[1]Total P&amp;C'!$W$55+'[1]Total P&amp;C'!$AV$55+'[1]Total P&amp;C'!$AY$55)/1000/AJ129</f>
        <v>0</v>
      </c>
      <c r="AL133" s="202"/>
      <c r="AM133" s="9"/>
      <c r="AN133" s="38" t="s">
        <v>24</v>
      </c>
      <c r="AT133" s="20">
        <f>-([2]Retail!$P$49+[2]Retail!$W$49+[2]Retail!$AV$49+[2]Retail!$AY$49+[2]Retail!$P$57+[2]Retail!$W$57+[2]Retail!$AV$57+[2]Retail!$AY$57+[2]Retail!$P$45+[2]Retail!$W$45+[2]Retail!$AV$45+[2]Retail!$AY$45+[2]Retail!$P$53+[2]Retail!$W$53+[2]Retail!$AV$53+[2]Retail!$AY$53)/1000/AT129</f>
        <v>0</v>
      </c>
      <c r="AU133" s="42">
        <f>-([2]Retail!$P$50+[2]Retail!$W$50+[2]Retail!$AV$50+[2]Retail!$AY$50+[2]Retail!$P$58+[2]Retail!$W$58+[2]Retail!$AV$58+[2]Retail!$AY$58+[2]Retail!$P$46+[2]Retail!$W$46+[2]Retail!$AV$46+[2]Retail!$AY$46+[2]Retail!$P$54+[2]Retail!$W$54+[2]Retail!$AV$54+[2]Retail!$AY$54)/1000/AU129</f>
        <v>0</v>
      </c>
      <c r="AV133" s="42">
        <f>-([2]Retail!$P$51+[2]Retail!$W$51+[2]Retail!$AV$51+[2]Retail!$AY$51+[2]Retail!$P$59+[2]Retail!$W$59+[2]Retail!$AV$59+[2]Retail!$AY$59+[2]Retail!$P$47+[2]Retail!$W$47+[2]Retail!$AV$47+[2]Retail!$AY$47+[2]Retail!$P$55+[2]Retail!$W$55+[2]Retail!$AV$55+[2]Retail!$AY$55)/1000/AV129</f>
        <v>0</v>
      </c>
      <c r="AW133" s="7"/>
      <c r="AX133" s="20">
        <f>-([2]SME!$P$49+[2]SME!$W$49+[2]SME!$AV$49+[2]SME!$AY$49+[2]SME!$P$57+[2]SME!$W$57+[2]SME!$AV$57+[2]SME!$AY$57+[2]SME!$P$45+[2]SME!$W$45+[2]SME!$AV$45+[2]SME!$AY$45+[2]SME!$P$53+[2]SME!$W$53+[2]SME!$AV$53+[2]SME!$AY$53)/1000/AX129</f>
        <v>0</v>
      </c>
      <c r="AY133" s="20">
        <f>-([2]SME!$P$50+[2]SME!$W$50+[2]SME!$AV$50+[2]SME!$AY$50+[2]SME!$P$58+[2]SME!$W$58+[2]SME!$AV$58+[2]SME!$AY$58+[2]SME!$P$46+[2]SME!$W$46+[2]SME!$AV$46+[2]SME!$AY$46+[2]SME!$P$54+[2]SME!$W$54+[2]SME!$AV$54+[2]SME!$AY$54)/1000/AY129</f>
        <v>0</v>
      </c>
      <c r="AZ133" s="20">
        <f>-([2]SME!$P$51+[2]SME!$W$51+[2]SME!$AV$51+[2]SME!$AY$51+[2]SME!$P$59+[2]SME!$W$59+[2]SME!$AV$59+[2]SME!$AY$59+[2]SME!$P$47+[2]SME!$W$47+[2]SME!$AV$47+[2]SME!$AY$47+[2]SME!$P$55+[2]SME!$W$55+[2]SME!$AV$55+[2]SME!$AY$55)/1000/AZ129</f>
        <v>0</v>
      </c>
      <c r="BA133" s="7"/>
      <c r="BB133" s="20">
        <f>-([2]MidCorp!$P$49+[2]MidCorp!$W$49+[2]MidCorp!$AV$49+[2]MidCorp!$AY$49+[2]MidCorp!$P$57+[2]MidCorp!$W$57+[2]MidCorp!$AV$57+[2]MidCorp!$AY$57+[2]MidCorp!$P$45+[2]MidCorp!$W$45+[2]MidCorp!$AV$45+[2]MidCorp!$AY$45+[2]MidCorp!$P$53+[2]MidCorp!$W$53+[2]MidCorp!$AV$53+[2]MidCorp!$AY$53)/1000/BB129</f>
        <v>0</v>
      </c>
      <c r="BC133" s="20">
        <f>-([2]MidCorp!$P$50+[2]MidCorp!$W$50+[2]MidCorp!$AV$50+[2]MidCorp!$AY$50+[2]MidCorp!$P$58+[2]MidCorp!$W$58+[2]MidCorp!$AV$58+[2]MidCorp!$AY$58+[2]MidCorp!$P$46+[2]MidCorp!$W$46+[2]MidCorp!$AV$46+[2]MidCorp!$AY$46+[2]MidCorp!$P$54+[2]MidCorp!$W$54+[2]MidCorp!$AV$54+[2]MidCorp!$AY$54)/1000/BC129</f>
        <v>0</v>
      </c>
      <c r="BD133" s="20">
        <f>-([2]MidCorp!$P$51+[2]MidCorp!$W$51+[2]MidCorp!$AV$51+[2]MidCorp!$AY$51+[2]MidCorp!$P$59+[2]MidCorp!$W$59+[2]MidCorp!$AV$59+[2]MidCorp!$AY$59+[2]MidCorp!$P$47+[2]MidCorp!$W$47+[2]MidCorp!$AV$47+[2]MidCorp!$AY$47+[2]MidCorp!$P$55+[2]MidCorp!$W$55+[2]MidCorp!$AV$55+[2]MidCorp!$AY$55)/1000/BD129</f>
        <v>0</v>
      </c>
      <c r="BJ133" s="20" t="e">
        <f>-([2]Specials!$P$49+[2]Specials!$W$49+[2]Specials!$AV$49+[2]Specials!$AY$49+[2]Specials!$P$57+[2]Specials!$W$57+[2]Specials!$AV$57+[2]Specials!$AY$57+[2]Specials!$P$45+[2]Specials!$W$45+[2]Specials!$AV$45+[2]Specials!$AY$45+[2]Specials!$P$53+[2]Specials!$W$53+[2]Specials!$AV$53+[2]Specials!$AY$53)/1000/BJ129</f>
        <v>#DIV/0!</v>
      </c>
      <c r="BK133" s="20" t="e">
        <f>-([2]Specials!$P$50+[2]Specials!$W$50+[2]Specials!$AV$50+[2]Specials!$AY$50+[2]Specials!$P$58+[2]Specials!$W$58+[2]Specials!$AV$58+[2]Specials!$AY$58+[2]Specials!$P$46+[2]Specials!$W$46+[2]Specials!$AV$46+[2]Specials!$AY$46+[2]Specials!$P$54+[2]Specials!$W$54+[2]Specials!$AV$54+[2]Specials!$AY$54)/1000/BK129</f>
        <v>#DIV/0!</v>
      </c>
      <c r="BL133" s="20" t="e">
        <f>-([2]Specials!$P$51+[2]Specials!$W$51+[2]Specials!$AV$51+[2]Specials!$AY$51+[2]Specials!$P$59+[2]Specials!$W$59+[2]Specials!$AV$59+[2]Specials!$AY$59+[2]Specials!$P$47+[2]Specials!$W$47+[2]Specials!$AV$47+[2]Specials!$AY$47+[2]Specials!$P$55+[2]Specials!$W$55+[2]Specials!$AV$55+[2]Specials!$AY$55)/1000/BL129</f>
        <v>#DIV/0!</v>
      </c>
      <c r="BM133" s="7"/>
      <c r="BN133" s="28">
        <f>-('[2]Total P&amp;C'!$P$49+'[2]Total P&amp;C'!$W$49+'[2]Total P&amp;C'!$AV$49+'[2]Total P&amp;C'!$AY$49+'[2]Total P&amp;C'!$P$57+'[2]Total P&amp;C'!$W$57+'[2]Total P&amp;C'!$AV$57+'[2]Total P&amp;C'!$AY$57+'[2]Total P&amp;C'!$P$45+'[2]Total P&amp;C'!$W$45+'[2]Total P&amp;C'!$AV$45+'[2]Total P&amp;C'!$AY$45+'[2]Total P&amp;C'!$P$53+'[2]Total P&amp;C'!$W$53+'[2]Total P&amp;C'!$AV$53+'[2]Total P&amp;C'!$AY$53)/1000/BN129</f>
        <v>0</v>
      </c>
      <c r="BO133" s="28">
        <f>-('[2]Total P&amp;C'!$P$50+'[2]Total P&amp;C'!$W$50+'[2]Total P&amp;C'!$AV$50+'[2]Total P&amp;C'!$AY$50+'[2]Total P&amp;C'!$P$58+'[2]Total P&amp;C'!$W$58+'[2]Total P&amp;C'!$AV$58+'[2]Total P&amp;C'!$AY$58+'[2]Total P&amp;C'!$P$46+'[2]Total P&amp;C'!$W$46+'[2]Total P&amp;C'!$AV$46+'[2]Total P&amp;C'!$AY$46+'[2]Total P&amp;C'!$P$54+'[2]Total P&amp;C'!$W$54+'[2]Total P&amp;C'!$AV$54+'[2]Total P&amp;C'!$AY$54)/1000/BO129</f>
        <v>0</v>
      </c>
      <c r="BP133" s="28">
        <f>-('[2]Total P&amp;C'!$P$51+'[2]Total P&amp;C'!$W$51+'[2]Total P&amp;C'!$AV$51+'[2]Total P&amp;C'!$AY$51+'[2]Total P&amp;C'!$P$59+'[2]Total P&amp;C'!$W$59+'[2]Total P&amp;C'!$AV$59+'[2]Total P&amp;C'!$AY$59+'[2]Total P&amp;C'!$P$47+'[2]Total P&amp;C'!$W$47+'[2]Total P&amp;C'!$AV$47+'[2]Total P&amp;C'!$AY$47+'[2]Total P&amp;C'!$P$55+'[2]Total P&amp;C'!$W$55+'[2]Total P&amp;C'!$AV$55+'[2]Total P&amp;C'!$AY$55)/1000/BP129</f>
        <v>0</v>
      </c>
      <c r="BR133" s="28">
        <f>-('[3]Total P&amp;C'!$P$49+'[3]Total P&amp;C'!$W$49+'[3]Total P&amp;C'!$AV$49+'[3]Total P&amp;C'!$AY$49+'[3]Total P&amp;C'!$P$57+'[3]Total P&amp;C'!$W$57+'[3]Total P&amp;C'!$AV$57+'[3]Total P&amp;C'!$AY$57+'[3]Total P&amp;C'!$P$45+'[3]Total P&amp;C'!$W$45+'[3]Total P&amp;C'!$AV$45+'[3]Total P&amp;C'!$AY$45+'[3]Total P&amp;C'!$P$53+'[3]Total P&amp;C'!$W$53+'[3]Total P&amp;C'!$AV$53+'[3]Total P&amp;C'!$AY$53)/1000/BR129</f>
        <v>0</v>
      </c>
      <c r="BS133" s="28">
        <f>-('[3]Total P&amp;C'!$P$50+'[3]Total P&amp;C'!$W$50+'[3]Total P&amp;C'!$AV$50+'[3]Total P&amp;C'!$AY$50+'[3]Total P&amp;C'!$P$58+'[3]Total P&amp;C'!$W$58+'[3]Total P&amp;C'!$AV$58+'[3]Total P&amp;C'!$AY$58+'[3]Total P&amp;C'!$P$46+'[3]Total P&amp;C'!$W$46+'[3]Total P&amp;C'!$AV$46+'[3]Total P&amp;C'!$AY$46+'[3]Total P&amp;C'!$P$54+'[3]Total P&amp;C'!$W$54+'[3]Total P&amp;C'!$AV$54+'[3]Total P&amp;C'!$AY$54)/1000/BS129</f>
        <v>0</v>
      </c>
      <c r="BT133" s="28">
        <f>-('[3]Total P&amp;C'!$P$51+'[3]Total P&amp;C'!$W$51+'[3]Total P&amp;C'!$AV$51+'[3]Total P&amp;C'!$AY$51+'[3]Total P&amp;C'!$P$59+'[3]Total P&amp;C'!$W$59+'[3]Total P&amp;C'!$AV$59+'[3]Total P&amp;C'!$AY$59+'[3]Total P&amp;C'!$P$47+'[3]Total P&amp;C'!$W$47+'[3]Total P&amp;C'!$AV$47+'[3]Total P&amp;C'!$AY$47+'[3]Total P&amp;C'!$P$55+'[3]Total P&amp;C'!$W$55+'[3]Total P&amp;C'!$AV$55+'[3]Total P&amp;C'!$AY$55)/1000/BT129</f>
        <v>0</v>
      </c>
    </row>
    <row r="134" spans="2:72" ht="16.5" customHeight="1" x14ac:dyDescent="0.25">
      <c r="B134" s="202"/>
      <c r="C134" s="9"/>
      <c r="D134" s="38" t="s">
        <v>25</v>
      </c>
      <c r="J134" s="20">
        <f>-([1]Retail!$Q$49+[1]Retail!$X$49+[1]Retail!$AW$49+[1]Retail!$AZ$49+[1]Retail!$Q$57+[1]Retail!$X$57+[1]Retail!$AW$57+[1]Retail!$AZ$57+[1]Retail!$Q$45+[1]Retail!$X$45+[1]Retail!$AW$45+[1]Retail!$AZ$45+[1]Retail!$Q$53+[1]Retail!$X$53+[1]Retail!$AW$53+[1]Retail!$AZ$53)/1000/J129</f>
        <v>0</v>
      </c>
      <c r="K134" s="42">
        <f>-([1]Retail!$Q$50+[1]Retail!$X$50+[1]Retail!$AW$50+[1]Retail!$AZ$50+[1]Retail!$Q$58+[1]Retail!$X$58+[1]Retail!$AW$58+[1]Retail!$AZ$58+[1]Retail!$Q$46+[1]Retail!$X$46+[1]Retail!$AW$46+[1]Retail!$AZ$46+[1]Retail!$Q$54+[1]Retail!$X$54+[1]Retail!$AW$54+[1]Retail!$AZ$54)/1000/K129</f>
        <v>0</v>
      </c>
      <c r="L134" s="42" t="e">
        <f>-([1]Retail!$Q$51+[1]Retail!$X$51+[1]Retail!$AW$51+[1]Retail!$AZ$51+[1]Retail!$Q$59+[1]Retail!$X$59+[1]Retail!$AW$59+[1]Retail!$AZ$59+[1]Retail!$Q$47+[1]Retail!$X$47+[1]Retail!$AW$47+[1]Retail!$AZ$47+[1]Retail!$Q$55+[1]Retail!$X$55+[1]Retail!$AW$55+[1]Retail!$AZ$55)/1000/L129</f>
        <v>#DIV/0!</v>
      </c>
      <c r="M134" s="7"/>
      <c r="N134" s="20">
        <f>-([1]SME!$Q$49+[1]SME!$X$49+[1]SME!$AW$49+[1]SME!$AZ$49+[1]SME!$Q$57+[1]SME!$X$57+[1]SME!$AW$57+[1]SME!$AZ$57+[1]SME!$Q$45+[1]SME!$X$45+[1]SME!$AW$45+[1]SME!$AZ$45+[1]SME!$Q$53+[1]SME!$X$53+[1]SME!$AW$53+[1]SME!$AZ$53)/1000/N129</f>
        <v>0</v>
      </c>
      <c r="O134" s="20">
        <f>-([1]SME!$Q$50+[1]SME!$X$50+[1]SME!$AW$50+[1]SME!$AZ$50+[1]SME!$Q$58+[1]SME!$X$58+[1]SME!$AW$58+[1]SME!$AZ$58+[1]SME!$Q$46+[1]SME!$X$46+[1]SME!$AW$46+[1]SME!$AZ$46+[1]SME!$Q$54+[1]SME!$X$54+[1]SME!$AW$54+[1]SME!$AZ$54)/1000/O129</f>
        <v>0</v>
      </c>
      <c r="P134" s="20">
        <f>-([1]SME!$Q$51+[1]SME!$X$51+[1]SME!$AW$51+[1]SME!$AZ$51+[1]SME!$Q$59+[1]SME!$X$59+[1]SME!$AW$59+[1]SME!$AZ$59+[1]SME!$Q$47+[1]SME!$X$47+[1]SME!$AW$47+[1]SME!$AZ$47+[1]SME!$Q$55+[1]SME!$X$55+[1]SME!$AW$55+[1]SME!$AZ$55)/1000/P129</f>
        <v>0</v>
      </c>
      <c r="Q134" s="7"/>
      <c r="R134" s="20">
        <f>-([1]MidCorp!$Q$49+[1]MidCorp!$X$49+[1]MidCorp!$AW$49+[1]MidCorp!$AZ$49+[1]MidCorp!$Q$57+[1]MidCorp!$X$57+[1]MidCorp!$AW$57+[1]MidCorp!$AZ$57+[1]MidCorp!$Q$45+[1]MidCorp!$X$45+[1]MidCorp!$AW$45+[1]MidCorp!$AZ$45+[1]MidCorp!$Q$53+[1]MidCorp!$X$53+[1]MidCorp!$AW$53+[1]MidCorp!$AZ$53)/1000/R129</f>
        <v>6.165341751467137E-2</v>
      </c>
      <c r="S134" s="20">
        <f>-([1]MidCorp!$Q$50+[1]MidCorp!$X$50+[1]MidCorp!$AW$50+[1]MidCorp!$AZ$50+[1]MidCorp!$Q$58+[1]MidCorp!$X$58+[1]MidCorp!$AW$58+[1]MidCorp!$AZ$58+[1]MidCorp!$Q$46+[1]MidCorp!$X$46+[1]MidCorp!$AW$46+[1]MidCorp!$AZ$46+[1]MidCorp!$Q$54+[1]MidCorp!$X$54+[1]MidCorp!$AW$54+[1]MidCorp!$AZ$54)/1000/S129</f>
        <v>5.4527910120322064E-2</v>
      </c>
      <c r="T134" s="20">
        <f>-([1]MidCorp!$Q$51+[1]MidCorp!$X$51+[1]MidCorp!$AW$51+[1]MidCorp!$AZ$51+[1]MidCorp!$Q$59+[1]MidCorp!$X$59+[1]MidCorp!$AW$59+[1]MidCorp!$AZ$59+[1]MidCorp!$Q$47+[1]MidCorp!$X$47+[1]MidCorp!$AW$47+[1]MidCorp!$AZ$47+[1]MidCorp!$Q$55+[1]MidCorp!$X$55+[1]MidCorp!$AW$55+[1]MidCorp!$AZ$55)/1000/T129</f>
        <v>8.4492361356163476E-2</v>
      </c>
      <c r="U134" s="7"/>
      <c r="V134" s="20">
        <f>-([1]MGA!$Q$49+[1]MGA!$X$49+[1]MGA!$AW$49+[1]MGA!$AZ$49+[1]MGA!$Q$57+[1]MGA!$X$57+[1]MGA!$AW$57+[1]MGA!$AZ$57+[1]MGA!$Q$45+[1]MGA!$X$45+[1]MGA!$AW$45+[1]MGA!$AZ$45+[1]MGA!$Q$53+[1]MGA!$X$53+[1]MGA!$AW$53+[1]MGA!$AZ$53)/1000/V129</f>
        <v>0</v>
      </c>
      <c r="W134" s="20">
        <f>-([1]MGA!$Q$50+[1]MGA!$X$50+[1]MGA!$AW$50+[1]MGA!$AZ$50+[1]MGA!$Q$58+[1]MGA!$X$58+[1]MGA!$AW$58+[1]MGA!$AZ$58+[1]MGA!$Q$46+[1]MGA!$X$46+[1]MGA!$AW$46+[1]MGA!$AZ$46+[1]MGA!$Q$54+[1]MGA!$X$54+[1]MGA!$AW$54+[1]MGA!$AZ$54)/1000/W129</f>
        <v>0</v>
      </c>
      <c r="X134" s="20">
        <f>-([1]MGA!$Q$51+[1]MGA!$X$51+[1]MGA!$AW$51+[1]MGA!$AZ$51+[1]MGA!$Q$59+[1]MGA!$X$59+[1]MGA!$AW$59+[1]MGA!$AZ$59+[1]MGA!$Q$47+[1]MGA!$X$47+[1]MGA!$AW$47+[1]MGA!$AZ$47+[1]MGA!$Q$55+[1]MGA!$X$55+[1]MGA!$AW$55+[1]MGA!$AZ$55)/1000/X129</f>
        <v>0</v>
      </c>
      <c r="Y134" s="7"/>
      <c r="Z134" s="20" t="e">
        <f>-([1]Bancassurance!$Q$49+[1]Bancassurance!$X$49+[1]Bancassurance!$AW$49+[1]Bancassurance!$AZ$49+[1]Bancassurance!$Q$57+[1]Bancassurance!$X$57+[1]Bancassurance!$AW$57+[1]Bancassurance!$AZ$57+[1]Bancassurance!$Q$45+[1]Bancassurance!$X$45+[1]Bancassurance!$AW$45+[1]Bancassurance!$AZ$45+[1]Bancassurance!$Q$53+[1]Bancassurance!$X$53+[1]Bancassurance!$AW$53+[1]Bancassurance!$AZ$53)/1000/Z129</f>
        <v>#DIV/0!</v>
      </c>
      <c r="AA134" s="20" t="e">
        <f>-([1]Bancassurance!$Q$50+[1]Bancassurance!$X$50+[1]Bancassurance!$AW$50+[1]Bancassurance!$AZ$50+[1]Bancassurance!$Q$58+[1]Bancassurance!$X$58+[1]Bancassurance!$AW$58+[1]Bancassurance!$AZ$58+[1]Bancassurance!$Q$46+[1]Bancassurance!$X$46+[1]Bancassurance!$AW$46+[1]Bancassurance!$AZ$46+[1]Bancassurance!$Q$54+[1]Bancassurance!$X$54+[1]Bancassurance!$AW$54+[1]Bancassurance!$AZ$54)/1000/AA129</f>
        <v>#DIV/0!</v>
      </c>
      <c r="AB134" s="20">
        <f>-([1]Bancassurance!$Q$51+[1]Bancassurance!$X$51+[1]Bancassurance!$AW$51+[1]Bancassurance!$AZ$51+[1]Bancassurance!$Q$59+[1]Bancassurance!$X$59+[1]Bancassurance!$AW$59+[1]Bancassurance!$AZ$59+[1]Bancassurance!$Q$47+[1]Bancassurance!$X$47+[1]Bancassurance!$AW$47+[1]Bancassurance!$AZ$47+[1]Bancassurance!$Q$55+[1]Bancassurance!$X$55+[1]Bancassurance!$AW$55+[1]Bancassurance!$AZ$55)/1000/AB129</f>
        <v>0</v>
      </c>
      <c r="AC134" s="7"/>
      <c r="AD134" s="20">
        <f>-([1]Specials!$Q$49+[1]Specials!$X$49+[1]Specials!$AW$49+[1]Specials!$AZ$49+[1]Specials!$Q$57+[1]Specials!$X$57+[1]Specials!$AW$57+[1]Specials!$AZ$57+[1]Specials!$Q$45+[1]Specials!$X$45+[1]Specials!$AW$45+[1]Specials!$AZ$45+[1]Specials!$Q$53+[1]Specials!$X$53+[1]Specials!$AW$53+[1]Specials!$AZ$53)/1000/AD129</f>
        <v>0</v>
      </c>
      <c r="AE134" s="20">
        <f>-([1]Specials!$Q$50+[1]Specials!$X$50+[1]Specials!$AW$50+[1]Specials!$AZ$50+[1]Specials!$Q$58+[1]Specials!$X$58+[1]Specials!$AW$58+[1]Specials!$AZ$58+[1]Specials!$Q$46+[1]Specials!$X$46+[1]Specials!$AW$46+[1]Specials!$AZ$46+[1]Specials!$Q$54+[1]Specials!$X$54+[1]Specials!$AW$54+[1]Specials!$AZ$54)/1000/AE129</f>
        <v>0</v>
      </c>
      <c r="AF134" s="20" t="e">
        <f>-([1]Specials!$Q$51+[1]Specials!$X$51+[1]Specials!$AW$51+[1]Specials!$AZ$51+[1]Specials!$Q$59+[1]Specials!$X$59+[1]Specials!$AW$59+[1]Specials!$AZ$59+[1]Specials!$Q$47+[1]Specials!$X$47+[1]Specials!$AW$47+[1]Specials!$AZ$47+[1]Specials!$Q$55+[1]Specials!$X$55+[1]Specials!$AW$55+[1]Specials!$AZ$55)/1000/AF129</f>
        <v>#DIV/0!</v>
      </c>
      <c r="AG134" s="7"/>
      <c r="AH134" s="28">
        <f>-('[1]Total P&amp;C'!$Q$49+'[1]Total P&amp;C'!$X$49+'[1]Total P&amp;C'!$AW$49+'[1]Total P&amp;C'!$AZ$49+'[1]Total P&amp;C'!$Q$57+'[1]Total P&amp;C'!$X$57+'[1]Total P&amp;C'!$AW$57+'[1]Total P&amp;C'!$AZ$57+'[1]Total P&amp;C'!$Q$45+'[1]Total P&amp;C'!$X$45+'[1]Total P&amp;C'!$AW$45+'[1]Total P&amp;C'!$AZ$45+'[1]Total P&amp;C'!$Q$53+'[1]Total P&amp;C'!$X$53+'[1]Total P&amp;C'!$AW$53+'[1]Total P&amp;C'!$AZ$53)/1000/AH129</f>
        <v>5.8666032770142255E-2</v>
      </c>
      <c r="AI134" s="28">
        <f>-('[1]Total P&amp;C'!$Q$50+'[1]Total P&amp;C'!$X$50+'[1]Total P&amp;C'!$AW$50+'[1]Total P&amp;C'!$AZ$50+'[1]Total P&amp;C'!$Q$58+'[1]Total P&amp;C'!$X$58+'[1]Total P&amp;C'!$AW$58+'[1]Total P&amp;C'!$AZ$58+'[1]Total P&amp;C'!$Q$46+'[1]Total P&amp;C'!$X$46+'[1]Total P&amp;C'!$AW$46+'[1]Total P&amp;C'!$AZ$46+'[1]Total P&amp;C'!$Q$54+'[1]Total P&amp;C'!$X$54+'[1]Total P&amp;C'!$AW$54+'[1]Total P&amp;C'!$AZ$54)/1000/AI129</f>
        <v>5.0166307522221412E-2</v>
      </c>
      <c r="AJ134" s="28">
        <f>-('[1]Total P&amp;C'!$Q$51+'[1]Total P&amp;C'!$X$51+'[1]Total P&amp;C'!$AW$51+'[1]Total P&amp;C'!$AZ$51+'[1]Total P&amp;C'!$Q$59+'[1]Total P&amp;C'!$X$59+'[1]Total P&amp;C'!$AW$59+'[1]Total P&amp;C'!$AZ$59+'[1]Total P&amp;C'!$Q$47+'[1]Total P&amp;C'!$X$47+'[1]Total P&amp;C'!$AW$47+'[1]Total P&amp;C'!$AZ$47+'[1]Total P&amp;C'!$Q$55+'[1]Total P&amp;C'!$X$55+'[1]Total P&amp;C'!$AW$55+'[1]Total P&amp;C'!$AZ$55)/1000/AJ129</f>
        <v>7.8816888733494392E-2</v>
      </c>
      <c r="AL134" s="202"/>
      <c r="AM134" s="9"/>
      <c r="AN134" s="38" t="s">
        <v>25</v>
      </c>
      <c r="AT134" s="20">
        <f>-([2]Retail!$Q$49+[2]Retail!$X$49+[2]Retail!$AW$49+[2]Retail!$AZ$49+[2]Retail!$Q$57+[2]Retail!$X$57+[2]Retail!$AW$57+[2]Retail!$AZ$57+[2]Retail!$Q$45+[2]Retail!$X$45+[2]Retail!$AW$45+[2]Retail!$AZ$45+[2]Retail!$Q$53+[2]Retail!$X$53+[2]Retail!$AW$53+[2]Retail!$AZ$53)/1000/AT129</f>
        <v>0</v>
      </c>
      <c r="AU134" s="42">
        <f>-([2]Retail!$Q$50+[2]Retail!$X$50+[2]Retail!$AW$50+[2]Retail!$AZ$50+[2]Retail!$Q$58+[2]Retail!$X$58+[2]Retail!$AW$58+[2]Retail!$AZ$58+[2]Retail!$Q$46+[2]Retail!$X$46+[2]Retail!$AW$46+[2]Retail!$AZ$46+[2]Retail!$Q$54+[2]Retail!$X$54+[2]Retail!$AW$54+[2]Retail!$AZ$54)/1000/AU129</f>
        <v>0</v>
      </c>
      <c r="AV134" s="42">
        <f>-([2]Retail!$Q$51+[2]Retail!$X$51+[2]Retail!$AW$51+[2]Retail!$AZ$51+[2]Retail!$Q$59+[2]Retail!$X$59+[2]Retail!$AW$59+[2]Retail!$AZ$59+[2]Retail!$Q$47+[2]Retail!$X$47+[2]Retail!$AW$47+[2]Retail!$AZ$47+[2]Retail!$Q$55+[2]Retail!$X$55+[2]Retail!$AW$55+[2]Retail!$AZ$55)/1000/AV129</f>
        <v>0</v>
      </c>
      <c r="AW134" s="7"/>
      <c r="AX134" s="20">
        <f>-([2]SME!$Q$49+[2]SME!$X$49+[2]SME!$AW$49+[2]SME!$AZ$49+[2]SME!$Q$57+[2]SME!$X$57+[2]SME!$AW$57+[2]SME!$AZ$57+[2]SME!$Q$45+[2]SME!$X$45+[2]SME!$AW$45+[2]SME!$AZ$45+[2]SME!$Q$53+[2]SME!$X$53+[2]SME!$AW$53+[2]SME!$AZ$53)/1000/AX129</f>
        <v>0</v>
      </c>
      <c r="AY134" s="20">
        <f>-([2]SME!$Q$50+[2]SME!$X$50+[2]SME!$AW$50+[2]SME!$AZ$50+[2]SME!$Q$58+[2]SME!$X$58+[2]SME!$AW$58+[2]SME!$AZ$58+[2]SME!$Q$46+[2]SME!$X$46+[2]SME!$AW$46+[2]SME!$AZ$46+[2]SME!$Q$54+[2]SME!$X$54+[2]SME!$AW$54+[2]SME!$AZ$54)/1000/AY129</f>
        <v>0</v>
      </c>
      <c r="AZ134" s="20">
        <f>-([2]SME!$Q$51+[2]SME!$X$51+[2]SME!$AW$51+[2]SME!$AZ$51+[2]SME!$Q$59+[2]SME!$X$59+[2]SME!$AW$59+[2]SME!$AZ$59+[2]SME!$Q$47+[2]SME!$X$47+[2]SME!$AW$47+[2]SME!$AZ$47+[2]SME!$Q$55+[2]SME!$X$55+[2]SME!$AW$55+[2]SME!$AZ$55)/1000/AZ129</f>
        <v>0</v>
      </c>
      <c r="BA134" s="7"/>
      <c r="BB134" s="20">
        <f>-([2]MidCorp!$Q$49+[2]MidCorp!$X$49+[2]MidCorp!$AW$49+[2]MidCorp!$AZ$49+[2]MidCorp!$Q$57+[2]MidCorp!$X$57+[2]MidCorp!$AW$57+[2]MidCorp!$AZ$57+[2]MidCorp!$Q$45+[2]MidCorp!$X$45+[2]MidCorp!$AW$45+[2]MidCorp!$AZ$45+[2]MidCorp!$Q$53+[2]MidCorp!$X$53+[2]MidCorp!$AW$53+[2]MidCorp!$AZ$53)/1000/BB129</f>
        <v>1.9767452657735007E-2</v>
      </c>
      <c r="BC134" s="20">
        <f>-([2]MidCorp!$Q$50+[2]MidCorp!$X$50+[2]MidCorp!$AW$50+[2]MidCorp!$AZ$50+[2]MidCorp!$Q$58+[2]MidCorp!$X$58+[2]MidCorp!$AW$58+[2]MidCorp!$AZ$58+[2]MidCorp!$Q$46+[2]MidCorp!$X$46+[2]MidCorp!$AW$46+[2]MidCorp!$AZ$46+[2]MidCorp!$Q$54+[2]MidCorp!$X$54+[2]MidCorp!$AW$54+[2]MidCorp!$AZ$54)/1000/BC129</f>
        <v>0</v>
      </c>
      <c r="BD134" s="20">
        <f>-([2]MidCorp!$Q$51+[2]MidCorp!$X$51+[2]MidCorp!$AW$51+[2]MidCorp!$AZ$51+[2]MidCorp!$Q$59+[2]MidCorp!$X$59+[2]MidCorp!$AW$59+[2]MidCorp!$AZ$59+[2]MidCorp!$Q$47+[2]MidCorp!$X$47+[2]MidCorp!$AW$47+[2]MidCorp!$AZ$47+[2]MidCorp!$Q$55+[2]MidCorp!$X$55+[2]MidCorp!$AW$55+[2]MidCorp!$AZ$55)/1000/BD129</f>
        <v>2.9580402711543215E-2</v>
      </c>
      <c r="BJ134" s="20" t="e">
        <f>-([2]Specials!$Q$49+[2]Specials!$X$49+[2]Specials!$AW$49+[2]Specials!$AZ$49+[2]Specials!$Q$57+[2]Specials!$X$57+[2]Specials!$AW$57+[2]Specials!$AZ$57+[2]Specials!$Q$45+[2]Specials!$X$45+[2]Specials!$AW$45+[2]Specials!$AZ$45+[2]Specials!$Q$53+[2]Specials!$X$53+[2]Specials!$AW$53+[2]Specials!$AZ$53)/1000/BJ129</f>
        <v>#DIV/0!</v>
      </c>
      <c r="BK134" s="20" t="e">
        <f>-([2]Specials!$Q$50+[2]Specials!$X$50+[2]Specials!$AW$50+[2]Specials!$AZ$50+[2]Specials!$Q$58+[2]Specials!$X$58+[2]Specials!$AW$58+[2]Specials!$AZ$58+[2]Specials!$Q$46+[2]Specials!$X$46+[2]Specials!$AW$46+[2]Specials!$AZ$46+[2]Specials!$Q$54+[2]Specials!$X$54+[2]Specials!$AW$54+[2]Specials!$AZ$54)/1000/BK129</f>
        <v>#DIV/0!</v>
      </c>
      <c r="BL134" s="20" t="e">
        <f>-([2]Specials!$Q$51+[2]Specials!$X$51+[2]Specials!$AW$51+[2]Specials!$AZ$51+[2]Specials!$Q$59+[2]Specials!$X$59+[2]Specials!$AW$59+[2]Specials!$AZ$59+[2]Specials!$Q$47+[2]Specials!$X$47+[2]Specials!$AW$47+[2]Specials!$AZ$47+[2]Specials!$Q$55+[2]Specials!$X$55+[2]Specials!$AW$55+[2]Specials!$AZ$55)/1000/BL129</f>
        <v>#DIV/0!</v>
      </c>
      <c r="BM134" s="7"/>
      <c r="BN134" s="28">
        <f>-('[2]Total P&amp;C'!$Q$49+'[2]Total P&amp;C'!$X$49+'[2]Total P&amp;C'!$AW$49+'[2]Total P&amp;C'!$AZ$49+'[2]Total P&amp;C'!$Q$57+'[2]Total P&amp;C'!$X$57+'[2]Total P&amp;C'!$AW$57+'[2]Total P&amp;C'!$AZ$57+'[2]Total P&amp;C'!$Q$45+'[2]Total P&amp;C'!$X$45+'[2]Total P&amp;C'!$AW$45+'[2]Total P&amp;C'!$AZ$45+'[2]Total P&amp;C'!$Q$53+'[2]Total P&amp;C'!$X$53+'[2]Total P&amp;C'!$AW$53+'[2]Total P&amp;C'!$AZ$53)/1000/BN129</f>
        <v>1.55234817388485E-2</v>
      </c>
      <c r="BO134" s="28">
        <f>-('[2]Total P&amp;C'!$Q$50+'[2]Total P&amp;C'!$X$50+'[2]Total P&amp;C'!$AW$50+'[2]Total P&amp;C'!$AZ$50+'[2]Total P&amp;C'!$Q$58+'[2]Total P&amp;C'!$X$58+'[2]Total P&amp;C'!$AW$58+'[2]Total P&amp;C'!$AZ$58+'[2]Total P&amp;C'!$Q$46+'[2]Total P&amp;C'!$X$46+'[2]Total P&amp;C'!$AW$46+'[2]Total P&amp;C'!$AZ$46+'[2]Total P&amp;C'!$Q$54+'[2]Total P&amp;C'!$X$54+'[2]Total P&amp;C'!$AW$54+'[2]Total P&amp;C'!$AZ$54)/1000/BO129</f>
        <v>0</v>
      </c>
      <c r="BP134" s="28">
        <f>-('[2]Total P&amp;C'!$Q$51+'[2]Total P&amp;C'!$X$51+'[2]Total P&amp;C'!$AW$51+'[2]Total P&amp;C'!$AZ$51+'[2]Total P&amp;C'!$Q$59+'[2]Total P&amp;C'!$X$59+'[2]Total P&amp;C'!$AW$59+'[2]Total P&amp;C'!$AZ$59+'[2]Total P&amp;C'!$Q$47+'[2]Total P&amp;C'!$X$47+'[2]Total P&amp;C'!$AW$47+'[2]Total P&amp;C'!$AZ$47+'[2]Total P&amp;C'!$Q$55+'[2]Total P&amp;C'!$X$55+'[2]Total P&amp;C'!$AW$55+'[2]Total P&amp;C'!$AZ$55)/1000/BP129</f>
        <v>2.2641428251500385E-2</v>
      </c>
      <c r="BR134" s="28">
        <f>-('[3]Total P&amp;C'!$Q$49+'[3]Total P&amp;C'!$X$49+'[3]Total P&amp;C'!$AW$49+'[3]Total P&amp;C'!$AZ$49+'[3]Total P&amp;C'!$Q$57+'[3]Total P&amp;C'!$X$57+'[3]Total P&amp;C'!$AW$57+'[3]Total P&amp;C'!$AZ$57+'[3]Total P&amp;C'!$Q$45+'[3]Total P&amp;C'!$X$45+'[3]Total P&amp;C'!$AW$45+'[3]Total P&amp;C'!$AZ$45+'[3]Total P&amp;C'!$Q$53+'[3]Total P&amp;C'!$X$53+'[3]Total P&amp;C'!$AW$53+'[3]Total P&amp;C'!$AZ$53)/1000/BR129</f>
        <v>4.4328892783701369E-2</v>
      </c>
      <c r="BS134" s="28">
        <f>-('[3]Total P&amp;C'!$Q$50+'[3]Total P&amp;C'!$X$50+'[3]Total P&amp;C'!$AW$50+'[3]Total P&amp;C'!$AZ$50+'[3]Total P&amp;C'!$Q$58+'[3]Total P&amp;C'!$X$58+'[3]Total P&amp;C'!$AW$58+'[3]Total P&amp;C'!$AZ$58+'[3]Total P&amp;C'!$Q$46+'[3]Total P&amp;C'!$X$46+'[3]Total P&amp;C'!$AW$46+'[3]Total P&amp;C'!$AZ$46+'[3]Total P&amp;C'!$Q$54+'[3]Total P&amp;C'!$X$54+'[3]Total P&amp;C'!$AW$54+'[3]Total P&amp;C'!$AZ$54)/1000/BS129</f>
        <v>3.3430440551547404E-2</v>
      </c>
      <c r="BT134" s="28">
        <f>-('[3]Total P&amp;C'!$Q$51+'[3]Total P&amp;C'!$X$51+'[3]Total P&amp;C'!$AW$51+'[3]Total P&amp;C'!$AZ$51+'[3]Total P&amp;C'!$Q$59+'[3]Total P&amp;C'!$X$59+'[3]Total P&amp;C'!$AW$59+'[3]Total P&amp;C'!$AZ$59+'[3]Total P&amp;C'!$Q$47+'[3]Total P&amp;C'!$X$47+'[3]Total P&amp;C'!$AW$47+'[3]Total P&amp;C'!$AZ$47+'[3]Total P&amp;C'!$Q$55+'[3]Total P&amp;C'!$X$55+'[3]Total P&amp;C'!$AW$55+'[3]Total P&amp;C'!$AZ$55)/1000/BT129</f>
        <v>6.1221175202561033E-2</v>
      </c>
    </row>
    <row r="135" spans="2:72" ht="16.5" customHeight="1" x14ac:dyDescent="0.25">
      <c r="B135" s="202"/>
      <c r="C135" s="9"/>
      <c r="D135" s="38" t="s">
        <v>26</v>
      </c>
      <c r="J135" s="20">
        <f>-([1]Retail!$AT$49+[1]Retail!$AT$57+[1]Retail!$AT$45+[1]Retail!$AT$53)/1000/J129</f>
        <v>0.74212931130255655</v>
      </c>
      <c r="K135" s="42">
        <f>-([1]Retail!$AT$50+[1]Retail!$AT$58+[1]Retail!$AT$46+[1]Retail!$AT$54)/1000/K129</f>
        <v>0.75432228282540792</v>
      </c>
      <c r="L135" s="42" t="e">
        <f>-([1]Retail!$AT$51+[1]Retail!$AT$59+[1]Retail!$AT$47+[1]Retail!$AT$55)/1000/L129</f>
        <v>#DIV/0!</v>
      </c>
      <c r="M135" s="7"/>
      <c r="N135" s="20">
        <f>-([1]SME!$AT$49+[1]SME!$AT$57+[1]SME!$AT$45+[1]SME!$AT$53)/1000/N129</f>
        <v>1.9026405957700316</v>
      </c>
      <c r="O135" s="20">
        <f>-([1]SME!$AT$50+[1]SME!$AT$58+[1]SME!$AT$46+[1]SME!$AT$54)/1000/O129</f>
        <v>0.93918325207713216</v>
      </c>
      <c r="P135" s="20">
        <f>-([1]SME!$AT$51+[1]SME!$AT$59+[1]SME!$AT$47+[1]SME!$AT$55)/1000/P129</f>
        <v>0.69600176744540954</v>
      </c>
      <c r="Q135" s="7"/>
      <c r="R135" s="20">
        <f>-([1]MidCorp!$AT$49+[1]MidCorp!$AT$57+[1]MidCorp!$AT$45+[1]MidCorp!$AT$53)/1000/R129</f>
        <v>3.4201111634501825E-2</v>
      </c>
      <c r="S135" s="20">
        <f>-([1]MidCorp!$AT$50+[1]MidCorp!$AT$58+[1]MidCorp!$AT$46+[1]MidCorp!$AT$54)/1000/S129</f>
        <v>4.0072342027045869E-2</v>
      </c>
      <c r="T135" s="20">
        <f>-([1]MidCorp!$AT$51+[1]MidCorp!$AT$59+[1]MidCorp!$AT$47+[1]MidCorp!$AT$55)/1000/T129</f>
        <v>3.7877481227304818E-2</v>
      </c>
      <c r="U135" s="7"/>
      <c r="V135" s="20">
        <f>-([1]MGA!$AT$49+[1]MGA!$AT$57+[1]MGA!$AT$45+[1]MGA!$AT$53)/1000/V129</f>
        <v>1.0357783159376008E-2</v>
      </c>
      <c r="W135" s="20">
        <f>-([1]MGA!$AT$50+[1]MGA!$AT$58+[1]MGA!$AT$46+[1]MGA!$AT$54)/1000/W129</f>
        <v>3.1495609979362418E-2</v>
      </c>
      <c r="X135" s="20">
        <f>-([1]MGA!$AT$51+[1]MGA!$AT$59+[1]MGA!$AT$47+[1]MGA!$AT$55)/1000/X129</f>
        <v>0.11327372803695224</v>
      </c>
      <c r="Y135" s="7"/>
      <c r="Z135" s="20" t="e">
        <f>-([1]Bancassurance!$AT$49+[1]Bancassurance!$AT$57+[1]Bancassurance!$AT$45+[1]Bancassurance!$AT$53)/1000/Z129</f>
        <v>#DIV/0!</v>
      </c>
      <c r="AA135" s="20" t="e">
        <f>-([1]Bancassurance!$AT$50+[1]Bancassurance!$AT$58+[1]Bancassurance!$AT$46+[1]Bancassurance!$AT$54)/1000/AA129</f>
        <v>#DIV/0!</v>
      </c>
      <c r="AB135" s="20">
        <f>-([1]Bancassurance!$AT$51+[1]Bancassurance!$AT$59+[1]Bancassurance!$AT$47+[1]Bancassurance!$AT$55)/1000/AB129</f>
        <v>0</v>
      </c>
      <c r="AC135" s="7"/>
      <c r="AD135" s="20">
        <f>-([1]Specials!$AT$49+[1]Specials!$AT$57+[1]Specials!$AT$45+[1]Specials!$AT$53)/1000/AD129</f>
        <v>0.80170575692963753</v>
      </c>
      <c r="AE135" s="20">
        <f>-([1]Specials!$AT$50+[1]Specials!$AT$58+[1]Specials!$AT$46+[1]Specials!$AT$54)/1000/AE129</f>
        <v>0</v>
      </c>
      <c r="AF135" s="20" t="e">
        <f>-([1]Specials!$AT$51+[1]Specials!$AT$59+[1]Specials!$AT$47+[1]Specials!$AT$55)/1000/AF129</f>
        <v>#DIV/0!</v>
      </c>
      <c r="AG135" s="7"/>
      <c r="AH135" s="28">
        <f>-('[1]Total P&amp;C'!$AT$49+'[1]Total P&amp;C'!$AT$57+'[1]Total P&amp;C'!$AT$45+'[1]Total P&amp;C'!$AT$53)/1000/AH129</f>
        <v>9.2614752313164836E-2</v>
      </c>
      <c r="AI135" s="28">
        <f>-('[1]Total P&amp;C'!$AT$50+'[1]Total P&amp;C'!$AT$58+'[1]Total P&amp;C'!$AT$46+'[1]Total P&amp;C'!$AT$54)/1000/AI129</f>
        <v>9.9025238792538911E-2</v>
      </c>
      <c r="AJ135" s="28">
        <f>-('[1]Total P&amp;C'!$AT$51+'[1]Total P&amp;C'!$AT$59+'[1]Total P&amp;C'!$AT$47+'[1]Total P&amp;C'!$AT$55)/1000/AJ129</f>
        <v>7.183844666618025E-2</v>
      </c>
      <c r="AL135" s="202"/>
      <c r="AM135" s="9"/>
      <c r="AN135" s="38" t="s">
        <v>26</v>
      </c>
      <c r="AT135" s="20">
        <f>-([2]Retail!$AT$49+[2]Retail!$AT$57+[2]Retail!$AT$45+[2]Retail!$AT$53)/1000/AT129</f>
        <v>1.4670564237342918E-2</v>
      </c>
      <c r="AU135" s="42">
        <f>-([2]Retail!$AT$50+[2]Retail!$AT$58+[2]Retail!$AT$46+[2]Retail!$AT$54)/1000/AU129</f>
        <v>9.0979523985469761E-3</v>
      </c>
      <c r="AV135" s="42">
        <f>-([2]Retail!$AT$51+[2]Retail!$AT$59+[2]Retail!$AT$47+[2]Retail!$AT$55)/1000/AV129</f>
        <v>9.9925661336717365E-3</v>
      </c>
      <c r="AW135" s="7"/>
      <c r="AX135" s="20">
        <f>-([2]SME!$AT$49+[2]SME!$AT$57+[2]SME!$AT$45+[2]SME!$AT$53)/1000/AX129</f>
        <v>0</v>
      </c>
      <c r="AY135" s="20">
        <f>-([2]SME!$AT$50+[2]SME!$AT$58+[2]SME!$AT$46+[2]SME!$AT$54)/1000/AY129</f>
        <v>5.3488236045003334E-3</v>
      </c>
      <c r="AZ135" s="20">
        <f>-([2]SME!$AT$51+[2]SME!$AT$59+[2]SME!$AT$47+[2]SME!$AT$55)/1000/AZ129</f>
        <v>0</v>
      </c>
      <c r="BA135" s="7"/>
      <c r="BB135" s="20">
        <f>-([2]MidCorp!$AT$49+[2]MidCorp!$AT$57+[2]MidCorp!$AT$45+[2]MidCorp!$AT$53)/1000/BB129</f>
        <v>0.1366162365748691</v>
      </c>
      <c r="BC135" s="20">
        <f>-([2]MidCorp!$AT$50+[2]MidCorp!$AT$58+[2]MidCorp!$AT$46+[2]MidCorp!$AT$54)/1000/BC129</f>
        <v>0.18521364230879941</v>
      </c>
      <c r="BD135" s="20">
        <f>-([2]MidCorp!$AT$51+[2]MidCorp!$AT$59+[2]MidCorp!$AT$47+[2]MidCorp!$AT$55)/1000/BD129</f>
        <v>0.13056068744818985</v>
      </c>
      <c r="BJ135" s="20" t="e">
        <f>-([2]Specials!$AT$49+[2]Specials!$AT$57+[2]Specials!$AT$45+[2]Specials!$AT$53)/1000/BJ129</f>
        <v>#DIV/0!</v>
      </c>
      <c r="BK135" s="20" t="e">
        <f>-([2]Specials!$AT$50+[2]Specials!$AT$58+[2]Specials!$AT$46+[2]Specials!$AT$54)/1000/BK129</f>
        <v>#DIV/0!</v>
      </c>
      <c r="BL135" s="20" t="e">
        <f>-([2]Specials!$AT$51+[2]Specials!$AT$59+[2]Specials!$AT$47+[2]Specials!$AT$55)/1000/BL129</f>
        <v>#DIV/0!</v>
      </c>
      <c r="BM135" s="7"/>
      <c r="BN135" s="28">
        <f>-('[2]Total P&amp;C'!$AT$49+'[2]Total P&amp;C'!$AT$57+'[2]Total P&amp;C'!$AT$45+'[2]Total P&amp;C'!$AT$53)/1000/BN129</f>
        <v>0.11021065605533396</v>
      </c>
      <c r="BO135" s="28">
        <f>-('[2]Total P&amp;C'!$AT$50+'[2]Total P&amp;C'!$AT$58+'[2]Total P&amp;C'!$AT$46+'[2]Total P&amp;C'!$AT$54)/1000/BO129</f>
        <v>0.12156919689032554</v>
      </c>
      <c r="BP135" s="28">
        <f>-('[2]Total P&amp;C'!$AT$51+'[2]Total P&amp;C'!$AT$59+'[2]Total P&amp;C'!$AT$47+'[2]Total P&amp;C'!$AT$55)/1000/BP129</f>
        <v>0.10211567038133791</v>
      </c>
      <c r="BR135" s="28">
        <f>-('[3]Total P&amp;C'!$AT$49+'[3]Total P&amp;C'!$AT$57+'[3]Total P&amp;C'!$AT$45+'[3]Total P&amp;C'!$AT$53)/1000/BR129</f>
        <v>9.8462226074195511E-2</v>
      </c>
      <c r="BS135" s="28">
        <f>-('[3]Total P&amp;C'!$AT$50+'[3]Total P&amp;C'!$AT$58+'[3]Total P&amp;C'!$AT$46+'[3]Total P&amp;C'!$AT$54)/1000/BS129</f>
        <v>0.10654607702744158</v>
      </c>
      <c r="BT135" s="28">
        <f>-('[3]Total P&amp;C'!$AT$51+'[3]Total P&amp;C'!$AT$59+'[3]Total P&amp;C'!$AT$47+'[3]Total P&amp;C'!$AT$55)/1000/BT129</f>
        <v>8.1322113563306236E-2</v>
      </c>
    </row>
    <row r="136" spans="2:72" ht="16.5" customHeight="1" x14ac:dyDescent="0.25">
      <c r="B136" s="202"/>
      <c r="C136" s="9"/>
      <c r="D136" s="37" t="s">
        <v>27</v>
      </c>
      <c r="J136" s="20">
        <f>-([1]Retail!$Z$49+[1]Retail!$AA$49+[1]Retail!$BB$49+[1]Retail!$BC$49+[1]Retail!$Z$57+[1]Retail!$AA$57+[1]Retail!$BB$57+[1]Retail!$BC$57+[1]Retail!$Z$45+[1]Retail!$AA$45+[1]Retail!$BB$45+[1]Retail!$BC$45+[1]Retail!$Z$53+[1]Retail!$AA$53+[1]Retail!$BB$53+[1]Retail!$BC$53)/1000/J129</f>
        <v>0</v>
      </c>
      <c r="K136" s="20">
        <f>-([1]Retail!$Z$50+[1]Retail!$AA$50+[1]Retail!$BB$50+[1]Retail!$BC$50+[1]Retail!$Z$58+[1]Retail!$AA$58+[1]Retail!$BB$58+[1]Retail!$BC$58+[1]Retail!$Z$46+[1]Retail!$AA$46+[1]Retail!$BB$46+[1]Retail!$BC$46+[1]Retail!$Z$54+[1]Retail!$AA$54+[1]Retail!$BB$54+[1]Retail!$BC$54)/1000/K129</f>
        <v>-4.7281426202590895E-4</v>
      </c>
      <c r="L136" s="20" t="e">
        <f>-([1]Retail!$Z$51+[1]Retail!$AA$51+[1]Retail!$BB$51+[1]Retail!$BC$51+[1]Retail!$Z$59+[1]Retail!$AA$59+[1]Retail!$BB$59+[1]Retail!$BC$59+[1]Retail!$Z$47+[1]Retail!$AA$47+[1]Retail!$BB$47+[1]Retail!$BC$47+[1]Retail!$Z$55+[1]Retail!$AA$55+[1]Retail!$BB$55+[1]Retail!$BC$55)/1000/L129</f>
        <v>#DIV/0!</v>
      </c>
      <c r="M136" s="7"/>
      <c r="N136" s="20">
        <f>-([1]SME!$Z$49+[1]SME!$AA$49+[1]SME!$BB$49+[1]SME!$BC$49+[1]SME!$Z$57+[1]SME!$AA$57+[1]SME!$BB$57+[1]SME!$BC$57+[1]SME!$Z$45+[1]SME!$AA$45+[1]SME!$BB$45+[1]SME!$BC$45+[1]SME!$Z$53+[1]SME!$AA$53+[1]SME!$BB$53+[1]SME!$BC$53)/1000/N129</f>
        <v>7.1895725700492385E-4</v>
      </c>
      <c r="O136" s="20">
        <f>-([1]SME!$Z$50+[1]SME!$AA$50+[1]SME!$BB$50+[1]SME!$BC$50+[1]SME!$Z$58+[1]SME!$AA$58+[1]SME!$BB$58+[1]SME!$BC$58+[1]SME!$Z$46+[1]SME!$AA$46+[1]SME!$BB$46+[1]SME!$BC$46+[1]SME!$Z$54+[1]SME!$AA$54+[1]SME!$BB$54+[1]SME!$BC$54)/1000/O129</f>
        <v>-1.6276343340377055E-3</v>
      </c>
      <c r="P136" s="20">
        <f>-([1]SME!$Z$51+[1]SME!$AA$51+[1]SME!$BB$51+[1]SME!$BC$51+[1]SME!$Z$59+[1]SME!$AA$59+[1]SME!$BB$59+[1]SME!$BC$59+[1]SME!$Z$47+[1]SME!$AA$47+[1]SME!$BB$47+[1]SME!$BC$47+[1]SME!$Z$55+[1]SME!$AA$55+[1]SME!$BB$55+[1]SME!$BC$55)/1000/P129</f>
        <v>1.2025466292386062E-3</v>
      </c>
      <c r="Q136" s="7"/>
      <c r="R136" s="20">
        <f>-([1]MidCorp!$Z$49+[1]MidCorp!$AA$49+[1]MidCorp!$BB$49+[1]MidCorp!$BC$49+[1]MidCorp!$Z$57+[1]MidCorp!$AA$57+[1]MidCorp!$BB$57+[1]MidCorp!$BC$57+[1]MidCorp!$Z$45+[1]MidCorp!$AA$45+[1]MidCorp!$BB$45+[1]MidCorp!$BC$45+[1]MidCorp!$Z$53+[1]MidCorp!$AA$53+[1]MidCorp!$BB$53+[1]MidCorp!$BC$53)/1000/R129</f>
        <v>-3.89275381811066E-2</v>
      </c>
      <c r="S136" s="20">
        <f>-([1]MidCorp!$Z$50+[1]MidCorp!$AA$50+[1]MidCorp!$BB$50+[1]MidCorp!$BC$50+[1]MidCorp!$Z$58+[1]MidCorp!$AA$58+[1]MidCorp!$BB$58+[1]MidCorp!$BC$58+[1]MidCorp!$Z$46+[1]MidCorp!$AA$46+[1]MidCorp!$BB$46+[1]MidCorp!$BC$46+[1]MidCorp!$Z$54+[1]MidCorp!$AA$54+[1]MidCorp!$BB$54+[1]MidCorp!$BC$54)/1000/S129</f>
        <v>-3.9153383662157253E-2</v>
      </c>
      <c r="T136" s="20">
        <f>-([1]MidCorp!$Z$51+[1]MidCorp!$AA$51+[1]MidCorp!$BB$51+[1]MidCorp!$BC$51+[1]MidCorp!$Z$59+[1]MidCorp!$AA$59+[1]MidCorp!$BB$59+[1]MidCorp!$BC$59+[1]MidCorp!$Z$47+[1]MidCorp!$AA$47+[1]MidCorp!$BB$47+[1]MidCorp!$BC$47+[1]MidCorp!$Z$55+[1]MidCorp!$AA$55+[1]MidCorp!$BB$55+[1]MidCorp!$BC$55)/1000/T129</f>
        <v>-2.8757101363366271E-2</v>
      </c>
      <c r="U136" s="7"/>
      <c r="V136" s="20">
        <f>-([1]MGA!$Z$49+[1]MGA!$AA$49+[1]MGA!$BB$49+[1]MGA!$BC$49+[1]MGA!$Z$57+[1]MGA!$AA$57+[1]MGA!$BB$57+[1]MGA!$BC$57+[1]MGA!$Z$45+[1]MGA!$AA$45+[1]MGA!$BB$45+[1]MGA!$BC$45+[1]MGA!$Z$53+[1]MGA!$AA$53+[1]MGA!$BB$53+[1]MGA!$BC$53)/1000/V129</f>
        <v>-5.5988692616953549E-4</v>
      </c>
      <c r="W136" s="20">
        <f>-([1]MGA!$Z$50+[1]MGA!$AA$50+[1]MGA!$BB$50+[1]MGA!$BC$50+[1]MGA!$Z$58+[1]MGA!$AA$58+[1]MGA!$BB$58+[1]MGA!$BC$58+[1]MGA!$Z$46+[1]MGA!$AA$46+[1]MGA!$BB$46+[1]MGA!$BC$46+[1]MGA!$Z$54+[1]MGA!$AA$54+[1]MGA!$BB$54+[1]MGA!$BC$54)/1000/W129</f>
        <v>-9.2781188614006651E-6</v>
      </c>
      <c r="X136" s="20">
        <f>-([1]MGA!$Z$51+[1]MGA!$AA$51+[1]MGA!$BB$51+[1]MGA!$BC$51+[1]MGA!$Z$59+[1]MGA!$AA$59+[1]MGA!$BB$59+[1]MGA!$BC$59+[1]MGA!$Z$47+[1]MGA!$AA$47+[1]MGA!$BB$47+[1]MGA!$BC$47+[1]MGA!$Z$55+[1]MGA!$AA$55+[1]MGA!$BB$55+[1]MGA!$BC$55)/1000/X129</f>
        <v>-4.7300705520847133E-3</v>
      </c>
      <c r="Y136" s="7"/>
      <c r="Z136" s="20" t="e">
        <f>-([1]Bancassurance!$Z$49+[1]Bancassurance!$AA$49+[1]Bancassurance!$BB$49+[1]Bancassurance!$BC$49+[1]Bancassurance!$Z$57+[1]Bancassurance!$AA$57+[1]Bancassurance!$BB$57+[1]Bancassurance!$BC$57+[1]Bancassurance!$Z$45+[1]Bancassurance!$AA$45+[1]Bancassurance!$BB$45+[1]Bancassurance!$BC$45+[1]Bancassurance!$Z$53+[1]Bancassurance!$AA$53+[1]Bancassurance!$BB$53+[1]Bancassurance!$BC$53)/1000/Z129</f>
        <v>#DIV/0!</v>
      </c>
      <c r="AA136" s="20" t="e">
        <f>-([1]Bancassurance!$Z$50+[1]Bancassurance!$AA$50+[1]Bancassurance!$BB$50+[1]Bancassurance!$BC$50+[1]Bancassurance!$Z$58+[1]Bancassurance!$AA$58+[1]Bancassurance!$BB$58+[1]Bancassurance!$BC$58+[1]Bancassurance!$Z$46+[1]Bancassurance!$AA$46+[1]Bancassurance!$BB$46+[1]Bancassurance!$BC$46+[1]Bancassurance!$Z$54+[1]Bancassurance!$AA$54+[1]Bancassurance!$BB$54+[1]Bancassurance!$BC$54)/1000/AA129</f>
        <v>#DIV/0!</v>
      </c>
      <c r="AB136" s="20">
        <f>-([1]Bancassurance!$Z$51+[1]Bancassurance!$AA$51+[1]Bancassurance!$BB$51+[1]Bancassurance!$BC$51+[1]Bancassurance!$Z$59+[1]Bancassurance!$AA$59+[1]Bancassurance!$BB$59+[1]Bancassurance!$BC$59+[1]Bancassurance!$Z$47+[1]Bancassurance!$AA$47+[1]Bancassurance!$BB$47+[1]Bancassurance!$BC$47+[1]Bancassurance!$Z$55+[1]Bancassurance!$AA$55+[1]Bancassurance!$BB$55+[1]Bancassurance!$BC$55)/1000/AB129</f>
        <v>-1.5387380409313126E-2</v>
      </c>
      <c r="AC136" s="7"/>
      <c r="AD136" s="20">
        <f>-([1]Specials!$Z$49+[1]Specials!$AA$49+[1]Specials!$BB$49+[1]Specials!$BC$49+[1]Specials!$Z$57+[1]Specials!$AA$57+[1]Specials!$BB$57+[1]Specials!$BC$57+[1]Specials!$Z$45+[1]Specials!$AA$45+[1]Specials!$BB$45+[1]Specials!$BC$45+[1]Specials!$Z$53+[1]Specials!$AA$53+[1]Specials!$BB$53+[1]Specials!$BC$53)/1000/AD129</f>
        <v>0</v>
      </c>
      <c r="AE136" s="20">
        <f>-([1]Specials!$Z$50+[1]Specials!$AA$50+[1]Specials!$BB$50+[1]Specials!$BC$50+[1]Specials!$Z$58+[1]Specials!$AA$58+[1]Specials!$BB$58+[1]Specials!$BC$58+[1]Specials!$Z$46+[1]Specials!$AA$46+[1]Specials!$BB$46+[1]Specials!$BC$46+[1]Specials!$Z$54+[1]Specials!$AA$54+[1]Specials!$BB$54+[1]Specials!$BC$54)/1000/AE129</f>
        <v>0</v>
      </c>
      <c r="AF136" s="20" t="e">
        <f>-([1]Specials!$Z$51+[1]Specials!$AA$51+[1]Specials!$BB$51+[1]Specials!$BC$51+[1]Specials!$Z$59+[1]Specials!$AA$59+[1]Specials!$BB$59+[1]Specials!$BC$59+[1]Specials!$Z$47+[1]Specials!$AA$47+[1]Specials!$BB$47+[1]Specials!$BC$47+[1]Specials!$Z$55+[1]Specials!$AA$55+[1]Specials!$BB$55+[1]Specials!$BC$55)/1000/AF129</f>
        <v>#DIV/0!</v>
      </c>
      <c r="AG136" s="7"/>
      <c r="AH136" s="28">
        <f>-('[1]Total P&amp;C'!$Z$49+'[1]Total P&amp;C'!$AA$49+'[1]Total P&amp;C'!$BB$49+'[1]Total P&amp;C'!$BC$49+'[1]Total P&amp;C'!$Z$57+'[1]Total P&amp;C'!$AA$57+'[1]Total P&amp;C'!$BB$57+'[1]Total P&amp;C'!$BC$57+'[1]Total P&amp;C'!$Z$45+'[1]Total P&amp;C'!$AA$45+'[1]Total P&amp;C'!$BB$45+'[1]Total P&amp;C'!$BC$45+'[1]Total P&amp;C'!$Z$53+'[1]Total P&amp;C'!$AA$53+'[1]Total P&amp;C'!$BB$53+'[1]Total P&amp;C'!$BC$53)/1000/AH129</f>
        <v>-3.7027706028135259E-2</v>
      </c>
      <c r="AI136" s="28">
        <f>-('[1]Total P&amp;C'!$Z$50+'[1]Total P&amp;C'!$AA$50+'[1]Total P&amp;C'!$BB$50+'[1]Total P&amp;C'!$BC$50+'[1]Total P&amp;C'!$Z$58+'[1]Total P&amp;C'!$AA$58+'[1]Total P&amp;C'!$BB$58+'[1]Total P&amp;C'!$BC$58+'[1]Total P&amp;C'!$Z$46+'[1]Total P&amp;C'!$AA$46+'[1]Total P&amp;C'!$BB$46+'[1]Total P&amp;C'!$BC$46+'[1]Total P&amp;C'!$Z$54+'[1]Total P&amp;C'!$AA$54+'[1]Total P&amp;C'!$BB$54+'[1]Total P&amp;C'!$BC$54)/1000/AI129</f>
        <v>-3.6121567098372866E-2</v>
      </c>
      <c r="AJ136" s="28">
        <f>-('[1]Total P&amp;C'!$Z$51+'[1]Total P&amp;C'!$AA$51+'[1]Total P&amp;C'!$BB$51+'[1]Total P&amp;C'!$BC$51+'[1]Total P&amp;C'!$Z$59+'[1]Total P&amp;C'!$AA$59+'[1]Total P&amp;C'!$BB$59+'[1]Total P&amp;C'!$BC$59+'[1]Total P&amp;C'!$Z$47+'[1]Total P&amp;C'!$AA$47+'[1]Total P&amp;C'!$BB$47+'[1]Total P&amp;C'!$BC$47+'[1]Total P&amp;C'!$Z$55+'[1]Total P&amp;C'!$AA$55+'[1]Total P&amp;C'!$BB$55+'[1]Total P&amp;C'!$BC$55)/1000/AJ129</f>
        <v>-2.6948014787108579E-2</v>
      </c>
      <c r="AL136" s="202"/>
      <c r="AM136" s="9"/>
      <c r="AN136" s="37" t="s">
        <v>27</v>
      </c>
      <c r="AT136" s="20">
        <f>-([2]Retail!$Z$49+[2]Retail!$AA$49+[2]Retail!$BB$49+[2]Retail!$BC$49+[2]Retail!$Z$57+[2]Retail!$AA$57+[2]Retail!$BB$57+[2]Retail!$BC$57+[2]Retail!$Z$45+[2]Retail!$AA$45+[2]Retail!$BB$45+[2]Retail!$BC$45+[2]Retail!$Z$53+[2]Retail!$AA$53+[2]Retail!$BB$53+[2]Retail!$BC$53)/1000/AT129</f>
        <v>-1.639746344135723E-2</v>
      </c>
      <c r="AU136" s="20">
        <f>-([2]Retail!$Z$50+[2]Retail!$AA$50+[2]Retail!$BB$50+[2]Retail!$BC$50+[2]Retail!$Z$58+[2]Retail!$AA$58+[2]Retail!$BB$58+[2]Retail!$BC$58+[2]Retail!$Z$46+[2]Retail!$AA$46+[2]Retail!$BB$46+[2]Retail!$BC$46+[2]Retail!$Z$54+[2]Retail!$AA$54+[2]Retail!$BB$54+[2]Retail!$BC$54)/1000/AU129</f>
        <v>-2.5878339336641454E-2</v>
      </c>
      <c r="AV136" s="20">
        <f>-([2]Retail!$Z$51+[2]Retail!$AA$51+[2]Retail!$BB$51+[2]Retail!$BC$51+[2]Retail!$Z$59+[2]Retail!$AA$59+[2]Retail!$BB$59+[2]Retail!$BC$59+[2]Retail!$Z$47+[2]Retail!$AA$47+[2]Retail!$BB$47+[2]Retail!$BC$47+[2]Retail!$Z$55+[2]Retail!$AA$55+[2]Retail!$BB$55+[2]Retail!$BC$55)/1000/AV129</f>
        <v>-1.1612084713996735E-2</v>
      </c>
      <c r="AW136" s="7"/>
      <c r="AX136" s="20">
        <f>-([2]SME!$Z$49+[2]SME!$AA$49+[2]SME!$BB$49+[2]SME!$BC$49+[2]SME!$Z$57+[2]SME!$AA$57+[2]SME!$BB$57+[2]SME!$BC$57+[2]SME!$Z$45+[2]SME!$AA$45+[2]SME!$BB$45+[2]SME!$BC$45+[2]SME!$Z$53+[2]SME!$AA$53+[2]SME!$BB$53+[2]SME!$BC$53)/1000/AX129</f>
        <v>-1.8566700941708002E-2</v>
      </c>
      <c r="AY136" s="20">
        <f>-([2]SME!$Z$50+[2]SME!$AA$50+[2]SME!$BB$50+[2]SME!$BC$50+[2]SME!$Z$58+[2]SME!$AA$58+[2]SME!$BB$58+[2]SME!$BC$58+[2]SME!$Z$46+[2]SME!$AA$46+[2]SME!$BB$46+[2]SME!$BC$46+[2]SME!$Z$54+[2]SME!$AA$54+[2]SME!$BB$54+[2]SME!$BC$54)/1000/AY129</f>
        <v>-8.1233148892116518E-3</v>
      </c>
      <c r="AZ136" s="20">
        <f>-([2]SME!$Z$51+[2]SME!$AA$51+[2]SME!$BB$51+[2]SME!$BC$51+[2]SME!$Z$59+[2]SME!$AA$59+[2]SME!$BB$59+[2]SME!$BC$59+[2]SME!$Z$47+[2]SME!$AA$47+[2]SME!$BB$47+[2]SME!$BC$47+[2]SME!$Z$55+[2]SME!$AA$55+[2]SME!$BB$55+[2]SME!$BC$55)/1000/AZ129</f>
        <v>-1.9364818571206862E-2</v>
      </c>
      <c r="BA136" s="7"/>
      <c r="BB136" s="20">
        <f>-([2]MidCorp!$Z$49+[2]MidCorp!$AA$49+[2]MidCorp!$BB$49+[2]MidCorp!$BC$49+[2]MidCorp!$Z$57+[2]MidCorp!$AA$57+[2]MidCorp!$BB$57+[2]MidCorp!$BC$57+[2]MidCorp!$Z$45+[2]MidCorp!$AA$45+[2]MidCorp!$BB$45+[2]MidCorp!$BC$45+[2]MidCorp!$Z$53+[2]MidCorp!$AA$53+[2]MidCorp!$BB$53+[2]MidCorp!$BC$53)/1000/BB129</f>
        <v>-2.6492642504422875E-2</v>
      </c>
      <c r="BC136" s="20">
        <f>-([2]MidCorp!$Z$50+[2]MidCorp!$AA$50+[2]MidCorp!$BB$50+[2]MidCorp!$BC$50+[2]MidCorp!$Z$58+[2]MidCorp!$AA$58+[2]MidCorp!$BB$58+[2]MidCorp!$BC$58+[2]MidCorp!$Z$46+[2]MidCorp!$AA$46+[2]MidCorp!$BB$46+[2]MidCorp!$BC$46+[2]MidCorp!$Z$54+[2]MidCorp!$AA$54+[2]MidCorp!$BB$54+[2]MidCorp!$BC$54)/1000/BC129</f>
        <v>-3.0945145371941443E-2</v>
      </c>
      <c r="BD136" s="20">
        <f>-([2]MidCorp!$Z$51+[2]MidCorp!$AA$51+[2]MidCorp!$BB$51+[2]MidCorp!$BC$51+[2]MidCorp!$Z$59+[2]MidCorp!$AA$59+[2]MidCorp!$BB$59+[2]MidCorp!$BC$59+[2]MidCorp!$Z$47+[2]MidCorp!$AA$47+[2]MidCorp!$BB$47+[2]MidCorp!$BC$47+[2]MidCorp!$Z$55+[2]MidCorp!$AA$55+[2]MidCorp!$BB$55+[2]MidCorp!$BC$55)/1000/BD129</f>
        <v>-1.6198972502174915E-2</v>
      </c>
      <c r="BJ136" s="20" t="e">
        <f>-([2]Specials!$Z$49+[2]Specials!$AA$49+[2]Specials!$BB$49+[2]Specials!$BC$49+[2]Specials!$Z$57+[2]Specials!$AA$57+[2]Specials!$BB$57+[2]Specials!$BC$57+[2]Specials!$Z$45+[2]Specials!$AA$45+[2]Specials!$BB$45+[2]Specials!$BC$45+[2]Specials!$Z$53+[2]Specials!$AA$53+[2]Specials!$BB$53+[2]Specials!$BC$53)/1000/BJ129</f>
        <v>#DIV/0!</v>
      </c>
      <c r="BK136" s="20" t="e">
        <f>-([2]Specials!$Z$50+[2]Specials!$AA$50+[2]Specials!$BB$50+[2]Specials!$BC$50+[2]Specials!$Z$58+[2]Specials!$AA$58+[2]Specials!$BB$58+[2]Specials!$BC$58+[2]Specials!$Z$46+[2]Specials!$AA$46+[2]Specials!$BB$46+[2]Specials!$BC$46+[2]Specials!$Z$54+[2]Specials!$AA$54+[2]Specials!$BB$54+[2]Specials!$BC$54)/1000/BK129</f>
        <v>#DIV/0!</v>
      </c>
      <c r="BL136" s="20" t="e">
        <f>-([2]Specials!$Z$51+[2]Specials!$AA$51+[2]Specials!$BB$51+[2]Specials!$BC$51+[2]Specials!$Z$59+[2]Specials!$AA$59+[2]Specials!$BB$59+[2]Specials!$BC$59+[2]Specials!$Z$47+[2]Specials!$AA$47+[2]Specials!$BB$47+[2]Specials!$BC$47+[2]Specials!$Z$55+[2]Specials!$AA$55+[2]Specials!$BB$55+[2]Specials!$BC$55)/1000/BL129</f>
        <v>#DIV/0!</v>
      </c>
      <c r="BM136" s="7"/>
      <c r="BN136" s="28">
        <f>-('[2]Total P&amp;C'!$Z$49+'[2]Total P&amp;C'!$AA$49+'[2]Total P&amp;C'!$BB$49+'[2]Total P&amp;C'!$BC$49+'[2]Total P&amp;C'!$Z$57+'[2]Total P&amp;C'!$AA$57+'[2]Total P&amp;C'!$BB$57+'[2]Total P&amp;C'!$BC$57+'[2]Total P&amp;C'!$Z$45+'[2]Total P&amp;C'!$AA$45+'[2]Total P&amp;C'!$BB$45+'[2]Total P&amp;C'!$BC$45+'[2]Total P&amp;C'!$Z$53+'[2]Total P&amp;C'!$AA$53+'[2]Total P&amp;C'!$BB$53+'[2]Total P&amp;C'!$BC$53)/1000/BN129</f>
        <v>-2.4358449909571808E-2</v>
      </c>
      <c r="BO136" s="28">
        <f>-('[2]Total P&amp;C'!$Z$50+'[2]Total P&amp;C'!$AA$50+'[2]Total P&amp;C'!$BB$50+'[2]Total P&amp;C'!$BC$50+'[2]Total P&amp;C'!$Z$58+'[2]Total P&amp;C'!$AA$58+'[2]Total P&amp;C'!$BB$58+'[2]Total P&amp;C'!$BC$58+'[2]Total P&amp;C'!$Z$46+'[2]Total P&amp;C'!$AA$46+'[2]Total P&amp;C'!$BB$46+'[2]Total P&amp;C'!$BC$46+'[2]Total P&amp;C'!$Z$54+'[2]Total P&amp;C'!$AA$54+'[2]Total P&amp;C'!$BB$54+'[2]Total P&amp;C'!$BC$54)/1000/BO129</f>
        <v>-2.5883392571054247E-2</v>
      </c>
      <c r="BP136" s="28">
        <f>-('[2]Total P&amp;C'!$Z$51+'[2]Total P&amp;C'!$AA$51+'[2]Total P&amp;C'!$BB$51+'[2]Total P&amp;C'!$BC$51+'[2]Total P&amp;C'!$Z$59+'[2]Total P&amp;C'!$AA$59+'[2]Total P&amp;C'!$BB$59+'[2]Total P&amp;C'!$BC$59+'[2]Total P&amp;C'!$Z$47+'[2]Total P&amp;C'!$AA$47+'[2]Total P&amp;C'!$BB$47+'[2]Total P&amp;C'!$BC$47+'[2]Total P&amp;C'!$Z$55+'[2]Total P&amp;C'!$AA$55+'[2]Total P&amp;C'!$BB$55+'[2]Total P&amp;C'!$BC$55)/1000/BP129</f>
        <v>-1.524877035293413E-2</v>
      </c>
      <c r="BR136" s="28">
        <f>-('[3]Total P&amp;C'!$Z$49+'[3]Total P&amp;C'!$AA$49+'[3]Total P&amp;C'!$BB$49+'[3]Total P&amp;C'!$BC$49+'[3]Total P&amp;C'!$Z$57+'[3]Total P&amp;C'!$AA$57+'[3]Total P&amp;C'!$BB$57+'[3]Total P&amp;C'!$BC$57+'[3]Total P&amp;C'!$Z$45+'[3]Total P&amp;C'!$AA$45+'[3]Total P&amp;C'!$BB$45+'[3]Total P&amp;C'!$BC$45+'[3]Total P&amp;C'!$Z$53+'[3]Total P&amp;C'!$AA$53+'[3]Total P&amp;C'!$BB$53+'[3]Total P&amp;C'!$BC$53)/1000/BR129</f>
        <v>-3.2817456653587096E-2</v>
      </c>
      <c r="BS136" s="28">
        <f>-('[3]Total P&amp;C'!$Z$50+'[3]Total P&amp;C'!$AA$50+'[3]Total P&amp;C'!$BB$50+'[3]Total P&amp;C'!$BC$50+'[3]Total P&amp;C'!$Z$58+'[3]Total P&amp;C'!$AA$58+'[3]Total P&amp;C'!$BB$58+'[3]Total P&amp;C'!$BC$58+'[3]Total P&amp;C'!$Z$46+'[3]Total P&amp;C'!$AA$46+'[3]Total P&amp;C'!$BB$46+'[3]Total P&amp;C'!$BC$46+'[3]Total P&amp;C'!$Z$54+'[3]Total P&amp;C'!$AA$54+'[3]Total P&amp;C'!$BB$54+'[3]Total P&amp;C'!$BC$54)/1000/BS129</f>
        <v>-3.2706033139931742E-2</v>
      </c>
      <c r="BT136" s="28">
        <f>-('[3]Total P&amp;C'!$Z$51+'[3]Total P&amp;C'!$AA$51+'[3]Total P&amp;C'!$BB$51+'[3]Total P&amp;C'!$BC$51+'[3]Total P&amp;C'!$Z$59+'[3]Total P&amp;C'!$AA$59+'[3]Total P&amp;C'!$BB$59+'[3]Total P&amp;C'!$BC$59+'[3]Total P&amp;C'!$Z$47+'[3]Total P&amp;C'!$AA$47+'[3]Total P&amp;C'!$BB$47+'[3]Total P&amp;C'!$BC$47+'[3]Total P&amp;C'!$Z$55+'[3]Total P&amp;C'!$AA$55+'[3]Total P&amp;C'!$BB$55+'[3]Total P&amp;C'!$BC$55)/1000/BT129</f>
        <v>-2.3283486684876398E-2</v>
      </c>
    </row>
    <row r="137" spans="2:72" ht="16.5" customHeight="1" x14ac:dyDescent="0.25">
      <c r="B137" s="202"/>
      <c r="C137" s="9"/>
      <c r="D137" s="37" t="s">
        <v>28</v>
      </c>
      <c r="J137" s="20">
        <f>-SUM([1]Retail!$AC$49:$AI$49,[1]Retail!$BE$49:$BG$49,[1]Retail!$AC$57:$AI$57,[1]Retail!$BE$57:$BG$57,[1]Retail!$AC$45:$AI$45,[1]Retail!$BE$45:$BG$45,[1]Retail!$AC$53:$AI$53,[1]Retail!$BE$53:$BG$53)/1000/J129</f>
        <v>-7.39378276634024E-2</v>
      </c>
      <c r="K137" s="20">
        <f>-SUM([1]Retail!$AC$50:$AI$50,[1]Retail!$BE$50:$BG$50,[1]Retail!$AC$58:$AI$58,[1]Retail!$BE$58:$BG$58,[1]Retail!$AC$46:$AI$46,[1]Retail!$BE$46:$BG$46,[1]Retail!$AC$54:$AI$54,[1]Retail!$BE$54:$BG$54)/1000/K129</f>
        <v>-0.11650293706929335</v>
      </c>
      <c r="L137" s="20" t="e">
        <f>-SUM([1]Retail!$AC$51:$AI$51,[1]Retail!$BE$51:$BG$51,[1]Retail!$AC$59:$AI$59,[1]Retail!$BE$59:$BG$59,[1]Retail!$AC$47:$AI$47,[1]Retail!$BE$47:$BG$47,[1]Retail!$AC$55:$AI$55,[1]Retail!$BE$55:$BG$55)/1000/L129</f>
        <v>#DIV/0!</v>
      </c>
      <c r="M137" s="7"/>
      <c r="N137" s="20">
        <f>-SUM([1]SME!$AC$49:$AI$49,[1]SME!$BE$49:$BG$49,[1]SME!$AC$57:$AI$57,[1]SME!$BE$57:$BG$57,[1]SME!$AC$45:$AI$45,[1]SME!$BE$45:$BG$45,[1]SME!$AC$53:$AI$53,[1]SME!$BE$53:$BG$53)/1000/N129</f>
        <v>-9.5737469283086699E-2</v>
      </c>
      <c r="O137" s="20">
        <f>-SUM([1]SME!$AC$50:$AI$50,[1]SME!$BE$50:$BG$50,[1]SME!$AC$58:$AI$58,[1]SME!$BE$58:$BG$58,[1]SME!$AC$46:$AI$46,[1]SME!$BE$46:$BG$46,[1]SME!$AC$54:$AI$54,[1]SME!$BE$54:$BG$54)/1000/O129</f>
        <v>-0.13109613832810327</v>
      </c>
      <c r="P137" s="20">
        <f>-SUM([1]SME!$AC$51:$AI$51,[1]SME!$BE$51:$BG$51,[1]SME!$AC$59:$AI$59,[1]SME!$BE$59:$BG$59,[1]SME!$AC$47:$AI$47,[1]SME!$BE$47:$BG$47,[1]SME!$AC$55:$AI$55,[1]SME!$BE$55:$BG$55)/1000/P129</f>
        <v>7.6461897916611505E-4</v>
      </c>
      <c r="Q137" s="7"/>
      <c r="R137" s="20">
        <f>-SUM([1]MidCorp!$AC$49:$AI$49,[1]MidCorp!$BE$49:$BG$49,[1]MidCorp!$AC$57:$AI$57,[1]MidCorp!$BE$57:$BG$57,[1]MidCorp!$AC$45:$AI$45,[1]MidCorp!$BE$45:$BG$45,[1]MidCorp!$AC$53:$AI$53,[1]MidCorp!$BE$53:$BG$53)/1000/R129</f>
        <v>-0.15697675665001334</v>
      </c>
      <c r="S137" s="20">
        <f>-SUM([1]MidCorp!$AC$50:$AI$50,[1]MidCorp!$BE$50:$BG$50,[1]MidCorp!$AC$58:$AI$58,[1]MidCorp!$BE$58:$BG$58,[1]MidCorp!$AC$46:$AI$46,[1]MidCorp!$BE$46:$BG$46,[1]MidCorp!$AC$54:$AI$54,[1]MidCorp!$BE$54:$BG$54)/1000/S129</f>
        <v>-0.2032718512485068</v>
      </c>
      <c r="T137" s="20">
        <f>-SUM([1]MidCorp!$AC$51:$AI$51,[1]MidCorp!$BE$51:$BG$51,[1]MidCorp!$AC$59:$AI$59,[1]MidCorp!$BE$59:$BG$59,[1]MidCorp!$AC$47:$AI$47,[1]MidCorp!$BE$47:$BG$47,[1]MidCorp!$AC$55:$AI$55,[1]MidCorp!$BE$55:$BG$55)/1000/T129</f>
        <v>-2.2423364864134491E-2</v>
      </c>
      <c r="U137" s="7"/>
      <c r="V137" s="20">
        <f>-SUM([1]MGA!$AC$49:$AI$49,[1]MGA!$BE$49:$BG$49,[1]MGA!$AC$57:$AI$57,[1]MGA!$BE$57:$BG$57,[1]MGA!$AC$45:$AI$45,[1]MGA!$BE$45:$BG$45,[1]MGA!$AC$53:$AI$53,[1]MGA!$BE$53:$BG$53)/1000/V129</f>
        <v>0.99643126240296342</v>
      </c>
      <c r="W137" s="20">
        <f>-SUM([1]MGA!$AC$50:$AI$50,[1]MGA!$BE$50:$BG$50,[1]MGA!$AC$58:$AI$58,[1]MGA!$BE$58:$BG$58,[1]MGA!$AC$46:$AI$46,[1]MGA!$BE$46:$BG$46,[1]MGA!$AC$54:$AI$54,[1]MGA!$BE$54:$BG$54)/1000/W129</f>
        <v>1.441777588165428</v>
      </c>
      <c r="X137" s="20">
        <f>-SUM([1]MGA!$AC$51:$AI$51,[1]MGA!$BE$51:$BG$51,[1]MGA!$AC$59:$AI$59,[1]MGA!$BE$59:$BG$59,[1]MGA!$AC$47:$AI$47,[1]MGA!$BE$47:$BG$47,[1]MGA!$AC$55:$AI$55,[1]MGA!$BE$55:$BG$55)/1000/X129</f>
        <v>-2.5430708189796401E-2</v>
      </c>
      <c r="Y137" s="7"/>
      <c r="Z137" s="20" t="e">
        <f>-SUM([1]Bancassurance!$AC$49:$AI$49,[1]Bancassurance!$BE$49:$BG$49,[1]Bancassurance!$AC$57:$AI$57,[1]Bancassurance!$BE$57:$BG$57,[1]Bancassurance!$AC$45:$AI$45,[1]Bancassurance!$BE$45:$BG$45,[1]Bancassurance!$AC$53:$AI$53,[1]Bancassurance!$BE$53:$BG$53)/1000/Z129</f>
        <v>#DIV/0!</v>
      </c>
      <c r="AA137" s="20" t="e">
        <f>-SUM([1]Bancassurance!$AC$50:$AI$50,[1]Bancassurance!$BE$50:$BG$50,[1]Bancassurance!$AC$58:$AI$58,[1]Bancassurance!$BE$58:$BG$58,[1]Bancassurance!$AC$46:$AI$46,[1]Bancassurance!$BE$46:$BG$46,[1]Bancassurance!$AC$54:$AI$54,[1]Bancassurance!$BE$54:$BG$54)/1000/AA129</f>
        <v>#DIV/0!</v>
      </c>
      <c r="AB137" s="20">
        <f>-SUM([1]Bancassurance!$AC$51:$AI$51,[1]Bancassurance!$BE$51:$BG$51,[1]Bancassurance!$AC$59:$AI$59,[1]Bancassurance!$BE$59:$BG$59,[1]Bancassurance!$AC$47:$AI$47,[1]Bancassurance!$BE$47:$BG$47,[1]Bancassurance!$AC$55:$AI$55,[1]Bancassurance!$BE$55:$BG$55)/1000/AB129</f>
        <v>-8.1830144923878776E-3</v>
      </c>
      <c r="AC137" s="7"/>
      <c r="AD137" s="20">
        <f>-SUM([1]Specials!$AC$49:$AI$49,[1]Specials!$BE$49:$BG$49,[1]Specials!$AC$57:$AI$57,[1]Specials!$BE$57:$BG$57,[1]Specials!$AC$45:$AI$45,[1]Specials!$BE$45:$BG$45,[1]Specials!$AC$53:$AI$53,[1]Specials!$BE$53:$BG$53)/1000/AD129</f>
        <v>-2.9957356076759054</v>
      </c>
      <c r="AE137" s="20">
        <f>-SUM([1]Specials!$AC$50:$AI$50,[1]Specials!$BE$50:$BG$50,[1]Specials!$AC$58:$AI$58,[1]Specials!$BE$58:$BG$58,[1]Specials!$AC$46:$AI$46,[1]Specials!$BE$46:$BG$46,[1]Specials!$AC$54:$AI$54,[1]Specials!$BE$54:$BG$54)/1000/AE129</f>
        <v>-0.36180116847955163</v>
      </c>
      <c r="AF137" s="20" t="e">
        <f>-SUM([1]Specials!$AC$51:$AI$51,[1]Specials!$BE$51:$BG$51,[1]Specials!$AC$59:$AI$59,[1]Specials!$BE$59:$BG$59,[1]Specials!$AC$47:$AI$47,[1]Specials!$BE$47:$BG$47,[1]Specials!$AC$55:$AI$55,[1]Specials!$BE$55:$BG$55)/1000/AF129</f>
        <v>#DIV/0!</v>
      </c>
      <c r="AG137" s="7"/>
      <c r="AH137" s="28">
        <f>-SUM('[1]Total P&amp;C'!$AC$49:$AI$49,'[1]Total P&amp;C'!$BE$49:$BG$49,'[1]Total P&amp;C'!$AC$57:$AI$57,'[1]Total P&amp;C'!$BE$57:$BG$57,'[1]Total P&amp;C'!$AC$45:$AI$45,'[1]Total P&amp;C'!$BE$45:$BG$45,'[1]Total P&amp;C'!$AC$53:$AI$53,'[1]Total P&amp;C'!$BE$53:$BG$53)/1000/AH129</f>
        <v>-0.14031575370075666</v>
      </c>
      <c r="AI137" s="28">
        <f>-SUM('[1]Total P&amp;C'!$AC$50:$AI$50,'[1]Total P&amp;C'!$BE$50:$BG$50,'[1]Total P&amp;C'!$AC$58:$AI$58,'[1]Total P&amp;C'!$BE$58:$BG$58,'[1]Total P&amp;C'!$AC$46:$AI$46,'[1]Total P&amp;C'!$BE$46:$BG$46,'[1]Total P&amp;C'!$AC$54:$AI$54,'[1]Total P&amp;C'!$BE$54:$BG$54)/1000/AI129</f>
        <v>-0.17772575225201773</v>
      </c>
      <c r="AJ137" s="28">
        <f>-SUM('[1]Total P&amp;C'!$AC$51:$AI$51,'[1]Total P&amp;C'!$BE$51:$BG$51,'[1]Total P&amp;C'!$AC$59:$AI$59,'[1]Total P&amp;C'!$BE$59:$BG$59,'[1]Total P&amp;C'!$AC$47:$AI$47,'[1]Total P&amp;C'!$BE$47:$BG$47,'[1]Total P&amp;C'!$AC$55:$AI$55,'[1]Total P&amp;C'!$BE$55:$BG$55)/1000/AJ129</f>
        <v>-2.1093613349748297E-2</v>
      </c>
      <c r="AL137" s="202"/>
      <c r="AM137" s="9"/>
      <c r="AN137" s="37" t="s">
        <v>28</v>
      </c>
      <c r="AT137" s="20">
        <f>-SUM([2]Retail!$AC$49:$AI$49,[2]Retail!$BE$49:$BG$49,[2]Retail!$AC$57:$AI$57,[2]Retail!$BE$57:$BG$57,[2]Retail!$AC$45:$AI$45,[2]Retail!$BE$45:$BG$45,[2]Retail!$AC$53:$AI$53,[2]Retail!$BE$53:$BG$53)/1000/AT129</f>
        <v>-1.2144010765537359</v>
      </c>
      <c r="AU137" s="20">
        <f>-SUM([2]Retail!$AC$50:$AI$50,[2]Retail!$BE$50:$BG$50,[2]Retail!$AC$58:$AI$58,[2]Retail!$BE$58:$BG$58,[2]Retail!$AC$46:$AI$46,[2]Retail!$BE$46:$BG$46,[2]Retail!$AC$54:$AI$54,[2]Retail!$BE$54:$BG$54)/1000/AU129</f>
        <v>-0.48135049965249493</v>
      </c>
      <c r="AV137" s="20">
        <f>-SUM([2]Retail!$AC$51:$AI$51,[2]Retail!$BE$51:$BG$51,[2]Retail!$AC$59:$AI$59,[2]Retail!$BE$59:$BG$59,[2]Retail!$AC$47:$AI$47,[2]Retail!$BE$47:$BG$47,[2]Retail!$AC$55:$AI$55,[2]Retail!$BE$55:$BG$55)/1000/AV129</f>
        <v>-4.2902013827559897E-3</v>
      </c>
      <c r="AW137" s="7"/>
      <c r="AX137" s="20">
        <f>-SUM([2]SME!$AC$49:$AI$49,[2]SME!$BE$49:$BG$49,[2]SME!$AC$57:$AI$57,[2]SME!$BE$57:$BG$57,[2]SME!$AC$45:$AI$45,[2]SME!$BE$45:$BG$45,[2]SME!$AC$53:$AI$53,[2]SME!$BE$53:$BG$53)/1000/AX129</f>
        <v>-0.15848831490197623</v>
      </c>
      <c r="AY137" s="20">
        <f>-SUM([2]SME!$AC$50:$AI$50,[2]SME!$BE$50:$BG$50,[2]SME!$AC$58:$AI$58,[2]SME!$BE$58:$BG$58,[2]SME!$AC$46:$AI$46,[2]SME!$BE$46:$BG$46,[2]SME!$AC$54:$AI$54,[2]SME!$BE$54:$BG$54)/1000/AY129</f>
        <v>-0.23037288191887384</v>
      </c>
      <c r="AZ137" s="20">
        <f>-SUM([2]SME!$AC$51:$AI$51,[2]SME!$BE$51:$BG$51,[2]SME!$AC$59:$AI$59,[2]SME!$BE$59:$BG$59,[2]SME!$AC$47:$AI$47,[2]SME!$BE$47:$BG$47,[2]SME!$AC$55:$AI$55,[2]SME!$BE$55:$BG$55)/1000/AZ129</f>
        <v>-5.6108451703700234E-3</v>
      </c>
      <c r="BA137" s="7"/>
      <c r="BB137" s="20">
        <f>-SUM([2]MidCorp!$AC$49:$AI$49,[2]MidCorp!$BE$49:$BG$49,[2]MidCorp!$AC$57:$AI$57,[2]MidCorp!$BE$57:$BG$57,[2]MidCorp!$AC$45:$AI$45,[2]MidCorp!$BE$45:$BG$45,[2]MidCorp!$AC$53:$AI$53,[2]MidCorp!$BE$53:$BG$53)/1000/BB129</f>
        <v>-0.14790211546979384</v>
      </c>
      <c r="BC137" s="20">
        <f>-SUM([2]MidCorp!$AC$50:$AI$50,[2]MidCorp!$BE$50:$BG$50,[2]MidCorp!$AC$58:$AI$58,[2]MidCorp!$BE$58:$BG$58,[2]MidCorp!$AC$46:$AI$46,[2]MidCorp!$BE$46:$BG$46,[2]MidCorp!$AC$54:$AI$54,[2]MidCorp!$BE$54:$BG$54)/1000/BC129</f>
        <v>1.8706064115259432E-2</v>
      </c>
      <c r="BD137" s="20">
        <f>-SUM([2]MidCorp!$AC$51:$AI$51,[2]MidCorp!$BE$51:$BG$51,[2]MidCorp!$AC$59:$AI$59,[2]MidCorp!$BE$59:$BG$59,[2]MidCorp!$AC$47:$AI$47,[2]MidCorp!$BE$47:$BG$47,[2]MidCorp!$AC$55:$AI$55,[2]MidCorp!$BE$55:$BG$55)/1000/BD129</f>
        <v>-5.1734101643841086E-3</v>
      </c>
      <c r="BJ137" s="20" t="e">
        <f>-SUM([2]Specials!$AC$49:$AI$49,[2]Specials!$BE$49:$BG$49,[2]Specials!$AC$57:$AI$57,[2]Specials!$BE$57:$BG$57,[2]Specials!$AC$45:$AI$45,[2]Specials!$BE$45:$BG$45,[2]Specials!$AC$53:$AI$53,[2]Specials!$BE$53:$BG$53)/1000/BJ129</f>
        <v>#DIV/0!</v>
      </c>
      <c r="BK137" s="20" t="e">
        <f>-SUM([2]Specials!$AC$50:$AI$50,[2]Specials!$BE$50:$BG$50,[2]Specials!$AC$58:$AI$58,[2]Specials!$BE$58:$BG$58,[2]Specials!$AC$46:$AI$46,[2]Specials!$BE$46:$BG$46,[2]Specials!$AC$54:$AI$54,[2]Specials!$BE$54:$BG$54)/1000/BK129</f>
        <v>#DIV/0!</v>
      </c>
      <c r="BL137" s="20" t="e">
        <f>-SUM([2]Specials!$AC$51:$AI$51,[2]Specials!$BE$51:$BG$51,[2]Specials!$AC$59:$AI$59,[2]Specials!$BE$59:$BG$59,[2]Specials!$AC$47:$AI$47,[2]Specials!$BE$47:$BG$47,[2]Specials!$AC$55:$AI$55,[2]Specials!$BE$55:$BG$55)/1000/BL129</f>
        <v>#DIV/0!</v>
      </c>
      <c r="BM137" s="7"/>
      <c r="BN137" s="28">
        <f>-SUM('[2]Total P&amp;C'!$AC$49:$AI$49,'[2]Total P&amp;C'!$BE$49:$BG$49,'[2]Total P&amp;C'!$AC$57:$AI$57,'[2]Total P&amp;C'!$BE$57:$BG$57,'[2]Total P&amp;C'!$AC$45:$AI$45,'[2]Total P&amp;C'!$BE$45:$BG$45,'[2]Total P&amp;C'!$AC$53:$AI$53,'[2]Total P&amp;C'!$BE$53:$BG$53)/1000/BN129</f>
        <v>-0.36071786151682117</v>
      </c>
      <c r="BO137" s="28">
        <f>-SUM('[2]Total P&amp;C'!$AC$50:$AI$50,'[2]Total P&amp;C'!$BE$50:$BG$50,'[2]Total P&amp;C'!$AC$58:$AI$58,'[2]Total P&amp;C'!$BE$58:$BG$58,'[2]Total P&amp;C'!$AC$46:$AI$46,'[2]Total P&amp;C'!$BE$46:$BG$46,'[2]Total P&amp;C'!$AC$54:$AI$54,'[2]Total P&amp;C'!$BE$54:$BG$54)/1000/BO129</f>
        <v>-0.11410764896491828</v>
      </c>
      <c r="BP137" s="28">
        <f>-SUM('[2]Total P&amp;C'!$AC$51:$AI$51,'[2]Total P&amp;C'!$BE$51:$BG$51,'[2]Total P&amp;C'!$AC$59:$AI$59,'[2]Total P&amp;C'!$BE$59:$BG$59,'[2]Total P&amp;C'!$AC$47:$AI$47,'[2]Total P&amp;C'!$BE$47:$BG$47,'[2]Total P&amp;C'!$AC$55:$AI$55,'[2]Total P&amp;C'!$BE$55:$BG$55)/1000/BP129</f>
        <v>-4.9876548019429081E-3</v>
      </c>
      <c r="BR137" s="28">
        <f>-SUM('[3]Total P&amp;C'!$AC$49:$AI$49,'[3]Total P&amp;C'!$BE$49:$BG$49,'[3]Total P&amp;C'!$AC$57:$AI$57,'[3]Total P&amp;C'!$BE$57:$BG$57,'[3]Total P&amp;C'!$AC$45:$AI$45,'[3]Total P&amp;C'!$BE$45:$BG$45,'[3]Total P&amp;C'!$AC$53:$AI$53,'[3]Total P&amp;C'!$BE$53:$BG$53)/1000/BR129</f>
        <v>-0.21355982011614941</v>
      </c>
      <c r="BS137" s="28">
        <f>-SUM('[3]Total P&amp;C'!$AC$50:$AI$50,'[3]Total P&amp;C'!$BE$50:$BG$50,'[3]Total P&amp;C'!$AC$58:$AI$58,'[3]Total P&amp;C'!$BE$58:$BG$58,'[3]Total P&amp;C'!$AC$46:$AI$46,'[3]Total P&amp;C'!$BE$46:$BG$46,'[3]Total P&amp;C'!$AC$54:$AI$54,'[3]Total P&amp;C'!$BE$54:$BG$54)/1000/BS129</f>
        <v>-0.15650226250109522</v>
      </c>
      <c r="BT137" s="28">
        <f>-SUM('[3]Total P&amp;C'!$AC$51:$AI$51,'[3]Total P&amp;C'!$BE$51:$BG$51,'[3]Total P&amp;C'!$AC$59:$AI$59,'[3]Total P&amp;C'!$BE$59:$BG$59,'[3]Total P&amp;C'!$AC$47:$AI$47,'[3]Total P&amp;C'!$BE$47:$BG$47,'[3]Total P&amp;C'!$AC$55:$AI$55,'[3]Total P&amp;C'!$BE$55:$BG$55)/1000/BT129</f>
        <v>-1.6048780066377027E-2</v>
      </c>
    </row>
    <row r="138" spans="2:72" ht="16.5" customHeight="1" x14ac:dyDescent="0.25">
      <c r="B138" s="202"/>
      <c r="C138" s="9"/>
      <c r="D138" s="37" t="s">
        <v>29</v>
      </c>
      <c r="J138" s="20">
        <f>-SUM([1]Retail!$AJ$49:$AK$49,[1]Retail!$BH$49:$BI$49,[1]Retail!$AJ$57:$AK$57,[1]Retail!$BH$57:$BI$57,[1]Retail!$AJ$45:$AK$45,[1]Retail!$BH$45:$BI$45,[1]Retail!$AJ$53:$AK$53,[1]Retail!$BH$53:$BI$53)/1000/J129</f>
        <v>3.3941274205258384E-3</v>
      </c>
      <c r="K138" s="20">
        <f>-SUM([1]Retail!$AJ$50:$AK$50,[1]Retail!$BH$50:$BI$50,[1]Retail!$AJ$58:$AK$58,[1]Retail!$BH$58:$BI$58,[1]Retail!$AJ$46:$AK$46,[1]Retail!$BH$46:$BI$46,[1]Retail!$AJ$54:$AK$54,[1]Retail!$BH$54:$BI$54)/1000/K129</f>
        <v>2.2002545442019392E-3</v>
      </c>
      <c r="L138" s="20" t="e">
        <f>-SUM([1]Retail!$AJ$51:$AK$51,[1]Retail!$BH$51:$BI$51,[1]Retail!$AJ$59:$AK$59,[1]Retail!$BH$59:$BI$59,[1]Retail!$AJ$47:$AK$47,[1]Retail!$BH$47:$BI$47,[1]Retail!$AJ$55:$AK$55,[1]Retail!$BH$55:$BI$55)/1000/L129</f>
        <v>#DIV/0!</v>
      </c>
      <c r="M138" s="7"/>
      <c r="N138" s="20">
        <f>-SUM([1]SME!$AJ$49:$AK$49,[1]SME!$BH$49:$BI$49,[1]SME!$AJ$57:$AK$57,[1]SME!$BH$57:$BI$57,[1]SME!$AJ$45:$AK$45,[1]SME!$BH$45:$BI$45,[1]SME!$AJ$53:$AK$53,[1]SME!$BH$53:$BI$53)/1000/N129</f>
        <v>6.8733201571720016E-3</v>
      </c>
      <c r="O138" s="20">
        <f>-SUM([1]SME!$AJ$50:$AK$50,[1]SME!$BH$50:$BI$50,[1]SME!$AJ$58:$AK$58,[1]SME!$BH$58:$BI$58,[1]SME!$AJ$46:$AK$46,[1]SME!$BH$46:$BI$46,[1]SME!$AJ$54:$AK$54,[1]SME!$BH$54:$BI$54)/1000/O129</f>
        <v>6.7084430436612297E-3</v>
      </c>
      <c r="P138" s="20">
        <f>-SUM([1]SME!$AJ$51:$AK$51,[1]SME!$BH$51:$BI$51,[1]SME!$AJ$59:$AK$59,[1]SME!$BH$59:$BI$59,[1]SME!$AJ$47:$AK$47,[1]SME!$BH$47:$BI$47,[1]SME!$AJ$55:$AK$55,[1]SME!$BH$55:$BI$55)/1000/P129</f>
        <v>0</v>
      </c>
      <c r="Q138" s="7"/>
      <c r="R138" s="20">
        <f>-SUM([1]MidCorp!$AJ$49:$AK$49,[1]MidCorp!$BH$49:$BI$49,[1]MidCorp!$AJ$57:$AK$57,[1]MidCorp!$BH$57:$BI$57,[1]MidCorp!$AJ$45:$AK$45,[1]MidCorp!$BH$45:$BI$45,[1]MidCorp!$AJ$53:$AK$53,[1]MidCorp!$BH$53:$BI$53)/1000/R129</f>
        <v>3.5116963486952896E-2</v>
      </c>
      <c r="S138" s="20">
        <f>-SUM([1]MidCorp!$AJ$50:$AK$50,[1]MidCorp!$BH$50:$BI$50,[1]MidCorp!$AJ$58:$AK$58,[1]MidCorp!$BH$58:$BI$58,[1]MidCorp!$AJ$46:$AK$46,[1]MidCorp!$BH$46:$BI$46,[1]MidCorp!$AJ$54:$AK$54,[1]MidCorp!$BH$54:$BI$54)/1000/S129</f>
        <v>2.3837975994274181E-2</v>
      </c>
      <c r="T138" s="20">
        <f>-SUM([1]MidCorp!$AJ$51:$AK$51,[1]MidCorp!$BH$51:$BI$51,[1]MidCorp!$AJ$59:$AK$59,[1]MidCorp!$BH$59:$BI$59,[1]MidCorp!$AJ$47:$AK$47,[1]MidCorp!$BH$47:$BI$47,[1]MidCorp!$AJ$55:$AK$55,[1]MidCorp!$BH$55:$BI$55)/1000/T129</f>
        <v>0</v>
      </c>
      <c r="U138" s="7"/>
      <c r="V138" s="20">
        <f>-SUM([1]MGA!$AJ$49:$AK$49,[1]MGA!$BH$49:$BI$49,[1]MGA!$AJ$57:$AK$57,[1]MGA!$BH$57:$BI$57,[1]MGA!$AJ$45:$AK$45,[1]MGA!$BH$45:$BI$45,[1]MGA!$AJ$53:$AK$53,[1]MGA!$BH$53:$BI$53)/1000/V129</f>
        <v>1.0551868962130853E-2</v>
      </c>
      <c r="W138" s="20">
        <f>-SUM([1]MGA!$AJ$50:$AK$50,[1]MGA!$BH$50:$BI$50,[1]MGA!$AJ$58:$AK$58,[1]MGA!$BH$58:$BI$58,[1]MGA!$AJ$46:$AK$46,[1]MGA!$BH$46:$BI$46,[1]MGA!$AJ$54:$AK$54,[1]MGA!$BH$54:$BI$54)/1000/W129</f>
        <v>-5.5797157126392653E-2</v>
      </c>
      <c r="X138" s="20">
        <f>-SUM([1]MGA!$AJ$51:$AK$51,[1]MGA!$BH$51:$BI$51,[1]MGA!$AJ$59:$AK$59,[1]MGA!$BH$59:$BI$59,[1]MGA!$AJ$47:$AK$47,[1]MGA!$BH$47:$BI$47,[1]MGA!$AJ$55:$AK$55,[1]MGA!$BH$55:$BI$55)/1000/X129</f>
        <v>0</v>
      </c>
      <c r="Y138" s="7"/>
      <c r="Z138" s="20" t="e">
        <f>-SUM([1]Bancassurance!$AJ$49:$AK$49,[1]Bancassurance!$BH$49:$BI$49,[1]Bancassurance!$AJ$57:$AK$57,[1]Bancassurance!$BH$57:$BI$57,[1]Bancassurance!$AJ$45:$AK$45,[1]Bancassurance!$BH$45:$BI$45,[1]Bancassurance!$AJ$53:$AK$53,[1]Bancassurance!$BH$53:$BI$53)/1000/Z129</f>
        <v>#DIV/0!</v>
      </c>
      <c r="AA138" s="20" t="e">
        <f>-SUM([1]Bancassurance!$AJ$50:$AK$50,[1]Bancassurance!$BH$50:$BI$50,[1]Bancassurance!$AJ$58:$AK$58,[1]Bancassurance!$BH$58:$BI$58,[1]Bancassurance!$AJ$46:$AK$46,[1]Bancassurance!$BH$46:$BI$46,[1]Bancassurance!$AJ$54:$AK$54,[1]Bancassurance!$BH$54:$BI$54)/1000/AA129</f>
        <v>#DIV/0!</v>
      </c>
      <c r="AB138" s="20">
        <f>-SUM([1]Bancassurance!$AJ$51:$AK$51,[1]Bancassurance!$BH$51:$BI$51,[1]Bancassurance!$AJ$59:$AK$59,[1]Bancassurance!$BH$59:$BI$59,[1]Bancassurance!$AJ$47:$AK$47,[1]Bancassurance!$BH$47:$BI$47,[1]Bancassurance!$AJ$55:$AK$55,[1]Bancassurance!$BH$55:$BI$55)/1000/AB129</f>
        <v>0</v>
      </c>
      <c r="AC138" s="7"/>
      <c r="AD138" s="20">
        <f>-SUM([1]Specials!$AJ$49:$AK$49,[1]Specials!$BH$49:$BI$49,[1]Specials!$AJ$57:$AK$57,[1]Specials!$BH$57:$BI$57,[1]Specials!$AJ$45:$AK$45,[1]Specials!$BH$45:$BI$45,[1]Specials!$AJ$53:$AK$53,[1]Specials!$BH$53:$BI$53)/1000/AD129</f>
        <v>-1.0660980810234541E-2</v>
      </c>
      <c r="AE138" s="20">
        <f>-SUM([1]Specials!$AJ$50:$AK$50,[1]Specials!$BH$50:$BI$50,[1]Specials!$AJ$58:$AK$58,[1]Specials!$BH$58:$BI$58,[1]Specials!$AJ$46:$AK$46,[1]Specials!$BH$46:$BI$46,[1]Specials!$AJ$54:$AK$54,[1]Specials!$BH$54:$BI$54)/1000/AE129</f>
        <v>3.5624376573409962E-4</v>
      </c>
      <c r="AF138" s="20" t="e">
        <f>-SUM([1]Specials!$AJ$51:$AK$51,[1]Specials!$BH$51:$BI$51,[1]Specials!$AJ$59:$AK$59,[1]Specials!$BH$59:$BI$59,[1]Specials!$AJ$47:$AK$47,[1]Specials!$BH$47:$BI$47,[1]Specials!$AJ$55:$AK$55,[1]Specials!$BH$55:$BI$55)/1000/AF129</f>
        <v>#DIV/0!</v>
      </c>
      <c r="AG138" s="7"/>
      <c r="AH138" s="28">
        <f>-SUM('[1]Total P&amp;C'!$AJ$49:$AK$49,'[1]Total P&amp;C'!$BH$49:$BI$49,'[1]Total P&amp;C'!$AJ$57:$AK$57,'[1]Total P&amp;C'!$BH$57:$BI$57,'[1]Total P&amp;C'!$AJ$45:$AK$45,'[1]Total P&amp;C'!$BH$45:$BI$45,'[1]Total P&amp;C'!$AJ$53:$AK$53,'[1]Total P&amp;C'!$BH$53:$BI$53)/1000/AH129</f>
        <v>3.3767906190943296E-2</v>
      </c>
      <c r="AI138" s="28">
        <f>-SUM('[1]Total P&amp;C'!$AJ$50:$AK$50,'[1]Total P&amp;C'!$BH$50:$BI$50,'[1]Total P&amp;C'!$AJ$58:$AK$58,'[1]Total P&amp;C'!$BH$58:$BI$58,'[1]Total P&amp;C'!$AJ$46:$AK$46,'[1]Total P&amp;C'!$BH$46:$BI$46,'[1]Total P&amp;C'!$AJ$54:$AK$54,'[1]Total P&amp;C'!$BH$54:$BI$54)/1000/AI129</f>
        <v>2.1650547627967372E-2</v>
      </c>
      <c r="AJ138" s="28">
        <f>-SUM('[1]Total P&amp;C'!$AJ$51:$AK$51,'[1]Total P&amp;C'!$BH$51:$BI$51,'[1]Total P&amp;C'!$AJ$59:$AK$59,'[1]Total P&amp;C'!$BH$59:$BI$59,'[1]Total P&amp;C'!$AJ$47:$AK$47,'[1]Total P&amp;C'!$BH$47:$BI$47,'[1]Total P&amp;C'!$AJ$55:$AK$55,'[1]Total P&amp;C'!$BH$55:$BI$55)/1000/AJ129</f>
        <v>0</v>
      </c>
      <c r="AL138" s="202"/>
      <c r="AM138" s="9"/>
      <c r="AN138" s="37" t="s">
        <v>29</v>
      </c>
      <c r="AT138" s="20">
        <f>-SUM([2]Retail!$AJ$49:$AK$49,[2]Retail!$BH$49:$BI$49,[2]Retail!$AJ$57:$AK$57,[2]Retail!$BH$57:$BI$57,[2]Retail!$AJ$45:$AK$45,[2]Retail!$BH$45:$BI$45,[2]Retail!$AJ$53:$AK$53,[2]Retail!$BH$53:$BI$53)/1000/AT129</f>
        <v>0.24237447167155005</v>
      </c>
      <c r="AU138" s="20">
        <f>-SUM([2]Retail!$AJ$50:$AK$50,[2]Retail!$BH$50:$BI$50,[2]Retail!$AJ$58:$AK$58,[2]Retail!$BH$58:$BI$58,[2]Retail!$AJ$46:$AK$46,[2]Retail!$BH$46:$BI$46,[2]Retail!$AJ$54:$AK$54,[2]Retail!$BH$54:$BI$54)/1000/AU129</f>
        <v>3.0714532584472695E-2</v>
      </c>
      <c r="AV138" s="20">
        <f>-SUM([2]Retail!$AJ$51:$AK$51,[2]Retail!$BH$51:$BI$51,[2]Retail!$AJ$59:$AK$59,[2]Retail!$BH$59:$BI$59,[2]Retail!$AJ$47:$AK$47,[2]Retail!$BH$47:$BI$47,[2]Retail!$AJ$55:$AK$55,[2]Retail!$BH$55:$BI$55)/1000/AV129</f>
        <v>0</v>
      </c>
      <c r="AW138" s="7"/>
      <c r="AX138" s="20">
        <f>-SUM([2]SME!$AJ$49:$AK$49,[2]SME!$BH$49:$BI$49,[2]SME!$AJ$57:$AK$57,[2]SME!$BH$57:$BI$57,[2]SME!$AJ$45:$AK$45,[2]SME!$BH$45:$BI$45,[2]SME!$AJ$53:$AK$53,[2]SME!$BH$53:$BI$53)/1000/AX129</f>
        <v>7.165580959241509E-2</v>
      </c>
      <c r="AY138" s="20">
        <f>-SUM([2]SME!$AJ$50:$AK$50,[2]SME!$BH$50:$BI$50,[2]SME!$AJ$58:$AK$58,[2]SME!$BH$58:$BI$58,[2]SME!$AJ$46:$AK$46,[2]SME!$BH$46:$BI$46,[2]SME!$AJ$54:$AK$54,[2]SME!$BH$54:$BI$54)/1000/AY129</f>
        <v>1.7761891649159284E-2</v>
      </c>
      <c r="AZ138" s="20">
        <f>-SUM([2]SME!$AJ$51:$AK$51,[2]SME!$BH$51:$BI$51,[2]SME!$AJ$59:$AK$59,[2]SME!$BH$59:$BI$59,[2]SME!$AJ$47:$AK$47,[2]SME!$BH$47:$BI$47,[2]SME!$AJ$55:$AK$55,[2]SME!$BH$55:$BI$55)/1000/AZ129</f>
        <v>0</v>
      </c>
      <c r="BA138" s="7"/>
      <c r="BB138" s="20">
        <f>-SUM([2]MidCorp!$AJ$49:$AK$49,[2]MidCorp!$BH$49:$BI$49,[2]MidCorp!$AJ$57:$AK$57,[2]MidCorp!$BH$57:$BI$57,[2]MidCorp!$AJ$45:$AK$45,[2]MidCorp!$BH$45:$BI$45,[2]MidCorp!$AJ$53:$AK$53,[2]MidCorp!$BH$53:$BI$53)/1000/BB129</f>
        <v>-1.4537597887865466E-2</v>
      </c>
      <c r="BC138" s="20">
        <f>-SUM([2]MidCorp!$AJ$50:$AK$50,[2]MidCorp!$BH$50:$BI$50,[2]MidCorp!$AJ$58:$AK$58,[2]MidCorp!$BH$58:$BI$58,[2]MidCorp!$AJ$46:$AK$46,[2]MidCorp!$BH$46:$BI$46,[2]MidCorp!$AJ$54:$AK$54,[2]MidCorp!$BH$54:$BI$54)/1000/BC129</f>
        <v>4.5978198619575042E-2</v>
      </c>
      <c r="BD138" s="20">
        <f>-SUM([2]MidCorp!$AJ$51:$AK$51,[2]MidCorp!$BH$51:$BI$51,[2]MidCorp!$AJ$59:$AK$59,[2]MidCorp!$BH$59:$BI$59,[2]MidCorp!$AJ$47:$AK$47,[2]MidCorp!$BH$47:$BI$47,[2]MidCorp!$AJ$55:$AK$55,[2]MidCorp!$BH$55:$BI$55)/1000/BD129</f>
        <v>0</v>
      </c>
      <c r="BJ138" s="20" t="e">
        <f>-SUM([2]Specials!$AJ$49:$AK$49,[2]Specials!$BH$49:$BI$49,[2]Specials!$AJ$57:$AK$57,[2]Specials!$BH$57:$BI$57,[2]Specials!$AJ$45:$AK$45,[2]Specials!$BH$45:$BI$45,[2]Specials!$AJ$53:$AK$53,[2]Specials!$BH$53:$BI$53)/1000/BJ129</f>
        <v>#DIV/0!</v>
      </c>
      <c r="BK138" s="20" t="e">
        <f>-SUM([2]Specials!$AJ$50:$AK$50,[2]Specials!$BH$50:$BI$50,[2]Specials!$AJ$58:$AK$58,[2]Specials!$BH$58:$BI$58,[2]Specials!$AJ$46:$AK$46,[2]Specials!$BH$46:$BI$46,[2]Specials!$AJ$54:$AK$54,[2]Specials!$BH$54:$BI$54)/1000/BK129</f>
        <v>#DIV/0!</v>
      </c>
      <c r="BL138" s="20" t="e">
        <f>-SUM([2]Specials!$AJ$51:$AK$51,[2]Specials!$BH$51:$BI$51,[2]Specials!$AJ$59:$AK$59,[2]Specials!$BH$59:$BI$59,[2]Specials!$AJ$47:$AK$47,[2]Specials!$BH$47:$BI$47,[2]Specials!$AJ$55:$AK$55,[2]Specials!$BH$55:$BI$55)/1000/BL129</f>
        <v>#DIV/0!</v>
      </c>
      <c r="BM138" s="7"/>
      <c r="BN138" s="28">
        <f>-SUM('[2]Total P&amp;C'!$AJ$49:$AK$49,'[2]Total P&amp;C'!$BH$49:$BI$49,'[2]Total P&amp;C'!$AJ$57:$AK$57,'[2]Total P&amp;C'!$BH$57:$BI$57,'[2]Total P&amp;C'!$AJ$45:$AK$45,'[2]Total P&amp;C'!$BH$45:$BI$45,'[2]Total P&amp;C'!$AJ$53:$AK$53,'[2]Total P&amp;C'!$BH$53:$BI$53)/1000/BN129</f>
        <v>3.8008006782089668E-2</v>
      </c>
      <c r="BO138" s="28">
        <f>-SUM('[2]Total P&amp;C'!$AJ$50:$AK$50,'[2]Total P&amp;C'!$BH$50:$BI$50,'[2]Total P&amp;C'!$AJ$58:$AK$58,'[2]Total P&amp;C'!$BH$58:$BI$58,'[2]Total P&amp;C'!$AJ$46:$AK$46,'[2]Total P&amp;C'!$BH$46:$BI$46,'[2]Total P&amp;C'!$AJ$54:$AK$54,'[2]Total P&amp;C'!$BH$54:$BI$54)/1000/BO129</f>
        <v>3.8150444449415177E-2</v>
      </c>
      <c r="BP138" s="28">
        <f>-SUM('[2]Total P&amp;C'!$AJ$51:$AK$51,'[2]Total P&amp;C'!$BH$51:$BI$51,'[2]Total P&amp;C'!$AJ$59:$AK$59,'[2]Total P&amp;C'!$BH$59:$BI$59,'[2]Total P&amp;C'!$AJ$47:$AK$47,'[2]Total P&amp;C'!$BH$47:$BI$47,'[2]Total P&amp;C'!$AJ$55:$AK$55,'[2]Total P&amp;C'!$BH$55:$BI$55)/1000/BP129</f>
        <v>0</v>
      </c>
      <c r="BR138" s="28">
        <f>-SUM('[3]Total P&amp;C'!$AJ$49:$AK$49,'[3]Total P&amp;C'!$BH$49:$BI$49,'[3]Total P&amp;C'!$AJ$57:$AK$57,'[3]Total P&amp;C'!$BH$57:$BI$57,'[3]Total P&amp;C'!$AJ$45:$AK$45,'[3]Total P&amp;C'!$BH$45:$BI$45,'[3]Total P&amp;C'!$AJ$53:$AK$53,'[3]Total P&amp;C'!$BH$53:$BI$53)/1000/BR129</f>
        <v>3.5176977149398235E-2</v>
      </c>
      <c r="BS138" s="28">
        <f>-SUM('[3]Total P&amp;C'!$AJ$50:$AK$50,'[3]Total P&amp;C'!$BH$50:$BI$50,'[3]Total P&amp;C'!$AJ$58:$AK$58,'[3]Total P&amp;C'!$BH$58:$BI$58,'[3]Total P&amp;C'!$AJ$46:$AK$46,'[3]Total P&amp;C'!$BH$46:$BI$46,'[3]Total P&amp;C'!$AJ$54:$AK$54,'[3]Total P&amp;C'!$BH$54:$BI$54)/1000/BS129</f>
        <v>2.7155040421487798E-2</v>
      </c>
      <c r="BT138" s="28">
        <f>-SUM('[3]Total P&amp;C'!$AJ$51:$AK$51,'[3]Total P&amp;C'!$BH$51:$BI$51,'[3]Total P&amp;C'!$AJ$59:$AK$59,'[3]Total P&amp;C'!$BH$59:$BI$59,'[3]Total P&amp;C'!$AJ$47:$AK$47,'[3]Total P&amp;C'!$BH$47:$BI$47,'[3]Total P&amp;C'!$AJ$55:$AK$55,'[3]Total P&amp;C'!$BH$55:$BI$55)/1000/BT129</f>
        <v>0</v>
      </c>
    </row>
    <row r="139" spans="2:72" ht="16.5" customHeight="1" x14ac:dyDescent="0.25">
      <c r="B139" s="202"/>
      <c r="C139" s="9"/>
      <c r="D139" s="37" t="s">
        <v>30</v>
      </c>
      <c r="J139" s="20">
        <f>+J140+J141+J142</f>
        <v>0.29463765886963494</v>
      </c>
      <c r="K139" s="20">
        <f>+K140+K141+K142</f>
        <v>0.57646669058090838</v>
      </c>
      <c r="L139" s="20" t="e">
        <f>+L140+L141+L142</f>
        <v>#DIV/0!</v>
      </c>
      <c r="M139" s="7"/>
      <c r="N139" s="20">
        <f>+N140+N141+N142</f>
        <v>0.41581033617761415</v>
      </c>
      <c r="O139" s="20">
        <f>+O140+O141+O142</f>
        <v>0.26100103316411899</v>
      </c>
      <c r="P139" s="20">
        <f>+P140+P141+P142</f>
        <v>0.3215749478037972</v>
      </c>
      <c r="Q139" s="7"/>
      <c r="R139" s="20">
        <f>+R140+R141+R142</f>
        <v>0.24081728727086044</v>
      </c>
      <c r="S139" s="20">
        <f>+S140+S141+S142</f>
        <v>0.22874903149072776</v>
      </c>
      <c r="T139" s="20">
        <f>+T140+T141+T142</f>
        <v>0.24224103582168402</v>
      </c>
      <c r="U139" s="7"/>
      <c r="V139" s="20">
        <f>+V140+V141+V142</f>
        <v>0.32153381356690164</v>
      </c>
      <c r="W139" s="20">
        <f>+W140+W141+W142</f>
        <v>0.36283243572365692</v>
      </c>
      <c r="X139" s="20">
        <f>+X140+X141+X142</f>
        <v>0.41202749069227806</v>
      </c>
      <c r="Y139" s="7"/>
      <c r="Z139" s="20" t="e">
        <f>+Z140+Z141+Z142</f>
        <v>#DIV/0!</v>
      </c>
      <c r="AA139" s="20" t="e">
        <f>+AA140+AA141+AA142</f>
        <v>#DIV/0!</v>
      </c>
      <c r="AB139" s="20">
        <f>+AB140+AB141+AB142</f>
        <v>0.18648986335152282</v>
      </c>
      <c r="AC139" s="7"/>
      <c r="AD139" s="20">
        <f>+AD140+AD141+AD142</f>
        <v>5.0106609808102338E-2</v>
      </c>
      <c r="AE139" s="20">
        <f>+AE140+AE141+AE142</f>
        <v>5.0200683988030223E-2</v>
      </c>
      <c r="AF139" s="20" t="e">
        <f>+AF140+AF141+AF142</f>
        <v>#DIV/0!</v>
      </c>
      <c r="AG139" s="7"/>
      <c r="AH139" s="28">
        <f>+AH140+AH141+AH142</f>
        <v>0.24845907203594256</v>
      </c>
      <c r="AI139" s="28">
        <f>+AI140+AI141+AI142</f>
        <v>0.23797056118262519</v>
      </c>
      <c r="AJ139" s="28">
        <f>+AJ140+AJ141+AJ142</f>
        <v>0.24733736699738762</v>
      </c>
      <c r="AL139" s="202"/>
      <c r="AM139" s="9"/>
      <c r="AN139" s="37" t="s">
        <v>30</v>
      </c>
      <c r="AT139" s="20">
        <f>+AT140+AT141+AT142</f>
        <v>0.46260270070597914</v>
      </c>
      <c r="AU139" s="20">
        <f>+AU140+AU141+AU142</f>
        <v>0.43354455381021317</v>
      </c>
      <c r="AV139" s="20">
        <f>+AV140+AV141+AV142</f>
        <v>0.43631912575093118</v>
      </c>
      <c r="AW139" s="7"/>
      <c r="AX139" s="20">
        <f>+AX140+AX141+AX142</f>
        <v>0.29886838180942144</v>
      </c>
      <c r="AY139" s="20">
        <f>+AY140+AY141+AY142</f>
        <v>0.19181337682164723</v>
      </c>
      <c r="AZ139" s="20">
        <f>+AZ140+AZ141+AZ142</f>
        <v>0.30771827330989338</v>
      </c>
      <c r="BA139" s="7"/>
      <c r="BB139" s="20">
        <f>+BB140+BB141+BB142</f>
        <v>0.27588202494011016</v>
      </c>
      <c r="BC139" s="20">
        <f>+BC140+BC141+BC142</f>
        <v>0.35058788413748787</v>
      </c>
      <c r="BD139" s="20">
        <f>+BD140+BD141+BD142</f>
        <v>0.27360294750920372</v>
      </c>
      <c r="BJ139" s="20" t="e">
        <f>+BJ140+BJ141+BJ142</f>
        <v>#DIV/0!</v>
      </c>
      <c r="BK139" s="20" t="e">
        <f>+BK140+BK141+BK142</f>
        <v>#DIV/0!</v>
      </c>
      <c r="BL139" s="20" t="e">
        <f>+BL140+BL141+BL142</f>
        <v>#DIV/0!</v>
      </c>
      <c r="BM139" s="7"/>
      <c r="BN139" s="28">
        <f>+BN140+BN141+BN142</f>
        <v>0.31346476139069118</v>
      </c>
      <c r="BO139" s="28">
        <f>+BO140+BO141+BO142</f>
        <v>0.33598892037546224</v>
      </c>
      <c r="BP139" s="28">
        <f>+BP140+BP141+BP142</f>
        <v>0.30968633908354931</v>
      </c>
      <c r="BR139" s="28">
        <f>+BR140+BR141+BR142</f>
        <v>0.27006177391414371</v>
      </c>
      <c r="BS139" s="28">
        <f>+BS140+BS141+BS142</f>
        <v>0.27067024152900965</v>
      </c>
      <c r="BT139" s="28">
        <f>+BT140+BT141+BT142</f>
        <v>0.26686679572593197</v>
      </c>
    </row>
    <row r="140" spans="2:72" ht="16.5" customHeight="1" x14ac:dyDescent="0.25">
      <c r="B140" s="202"/>
      <c r="C140" s="9"/>
      <c r="D140" s="39" t="s">
        <v>31</v>
      </c>
      <c r="J140" s="20">
        <f>-SUM([1]Retail!$AL$49:$AN$49,[1]Retail!$BJ$49,[1]Retail!$AL$57:$AN$57,[1]Retail!$BJ$57,[1]Retail!$AL$45:$AN$45,[1]Retail!$BJ$45,[1]Retail!$AL$53:$AN$53,[1]Retail!$BJ$53)/1000/J129</f>
        <v>0.18685153924529144</v>
      </c>
      <c r="K140" s="42">
        <f>-SUM([1]Retail!$AL$50:$AN$50,[1]Retail!$BJ$50,[1]Retail!$AL$58:$AN$58,[1]Retail!$BJ$58,[1]Retail!$AL$46:$AN$46,[1]Retail!$BJ$46,[1]Retail!$AL$54:$AN$54,[1]Retail!$BJ$54)/1000/K129</f>
        <v>0.1877227720153351</v>
      </c>
      <c r="L140" s="42" t="e">
        <f>-SUM([1]Retail!$AL$51:$AN$51,[1]Retail!$BJ$51,[1]Retail!$AL$59:$AN$59,[1]Retail!$BJ$59,[1]Retail!$AL$47:$AN$47,[1]Retail!$BJ$47,[1]Retail!$AL$55:$AN$55,[1]Retail!$BJ$55)/1000/L129</f>
        <v>#DIV/0!</v>
      </c>
      <c r="M140" s="8"/>
      <c r="N140" s="20">
        <f>-SUM([1]SME!$AL$49:$AN$49,[1]SME!$BJ$49,[1]SME!$AL$57:$AN$57,[1]SME!$BJ$57,[1]SME!$AL$45:$AN$45,[1]SME!$BJ$45,[1]SME!$AL$53:$AN$53,[1]SME!$BJ$53)/1000/N129</f>
        <v>0.18520099306072621</v>
      </c>
      <c r="O140" s="20">
        <f>-SUM([1]SME!$AL$50:$AN$50,[1]SME!$BJ$50,[1]SME!$AL$58:$AN$58,[1]SME!$BJ$58,[1]SME!$AL$46:$AN$46,[1]SME!$BJ$46,[1]SME!$AL$54:$AN$54,[1]SME!$BJ$54)/1000/O129</f>
        <v>0.18385730956455429</v>
      </c>
      <c r="P140" s="20">
        <f>-SUM([1]SME!$AL$51:$AN$51,[1]SME!$BJ$51,[1]SME!$AL$59:$AN$59,[1]SME!$BJ$59,[1]SME!$AL$47:$AN$47,[1]SME!$BJ$47,[1]SME!$AL$55:$AN$55,[1]SME!$BJ$55)/1000/P129</f>
        <v>0.18301145186390624</v>
      </c>
      <c r="Q140" s="8"/>
      <c r="R140" s="20">
        <f>-SUM([1]MidCorp!$AL$49:$AN$49,[1]MidCorp!$BJ$49,[1]MidCorp!$AL$57:$AN$57,[1]MidCorp!$BJ$57,[1]MidCorp!$AL$45:$AN$45,[1]MidCorp!$BJ$45,[1]MidCorp!$AL$53:$AN$53,[1]MidCorp!$BJ$53)/1000/R129</f>
        <v>0.15551493120379353</v>
      </c>
      <c r="S140" s="20">
        <f>-SUM([1]MidCorp!$AL$50:$AN$50,[1]MidCorp!$BJ$50,[1]MidCorp!$AL$58:$AN$58,[1]MidCorp!$BJ$58,[1]MidCorp!$AL$46:$AN$46,[1]MidCorp!$BJ$46,[1]MidCorp!$AL$54:$AN$54,[1]MidCorp!$BJ$54)/1000/S129</f>
        <v>0.14941426231030783</v>
      </c>
      <c r="T140" s="20">
        <f>-SUM([1]MidCorp!$AL$51:$AN$51,[1]MidCorp!$BJ$51,[1]MidCorp!$AL$59:$AN$59,[1]MidCorp!$BJ$59,[1]MidCorp!$AL$47:$AN$47,[1]MidCorp!$BJ$47,[1]MidCorp!$AL$55:$AN$55,[1]MidCorp!$BJ$55)/1000/T129</f>
        <v>0.1465163537485813</v>
      </c>
      <c r="U140" s="8"/>
      <c r="V140" s="20">
        <f>-SUM([1]MGA!$AL$49:$AN$49,[1]MGA!$BJ$49,[1]MGA!$AL$57:$AN$57,[1]MGA!$BJ$57,[1]MGA!$AL$45:$AN$45,[1]MGA!$BJ$45,[1]MGA!$AL$53:$AN$53,[1]MGA!$BJ$53)/1000/V129</f>
        <v>0.28207890681411124</v>
      </c>
      <c r="W140" s="20">
        <f>-SUM([1]MGA!$AL$50:$AN$50,[1]MGA!$BJ$50,[1]MGA!$AL$58:$AN$58,[1]MGA!$BJ$58,[1]MGA!$AL$46:$AN$46,[1]MGA!$BJ$46,[1]MGA!$AL$54:$AN$54,[1]MGA!$BJ$54)/1000/W129</f>
        <v>0.27835421082661194</v>
      </c>
      <c r="X140" s="20">
        <f>-SUM([1]MGA!$AL$51:$AN$51,[1]MGA!$BJ$51,[1]MGA!$AL$59:$AN$59,[1]MGA!$BJ$59,[1]MGA!$AL$47:$AN$47,[1]MGA!$BJ$47,[1]MGA!$AL$55:$AN$55,[1]MGA!$BJ$55)/1000/X129</f>
        <v>0.30379685596609063</v>
      </c>
      <c r="Y140" s="8"/>
      <c r="Z140" s="20" t="e">
        <f>-SUM([1]Bancassurance!$AL$49:$AN$49,[1]Bancassurance!$BJ$49,[1]Bancassurance!$AL$57:$AN$57,[1]Bancassurance!$BJ$57,[1]Bancassurance!$AL$45:$AN$45,[1]Bancassurance!$BJ$45,[1]Bancassurance!$AL$53:$AN$53,[1]Bancassurance!$BJ$53)/1000/Z129</f>
        <v>#DIV/0!</v>
      </c>
      <c r="AA140" s="20" t="e">
        <f>-SUM([1]Bancassurance!$AL$50:$AN$50,[1]Bancassurance!$BJ$50,[1]Bancassurance!$AL$58:$AN$58,[1]Bancassurance!$BJ$58,[1]Bancassurance!$AL$46:$AN$46,[1]Bancassurance!$BJ$46,[1]Bancassurance!$AL$54:$AN$54,[1]Bancassurance!$BJ$54)/1000/AA129</f>
        <v>#DIV/0!</v>
      </c>
      <c r="AB140" s="20">
        <f>-SUM([1]Bancassurance!$AL$51:$AN$51,[1]Bancassurance!$BJ$51,[1]Bancassurance!$AL$59:$AN$59,[1]Bancassurance!$BJ$59,[1]Bancassurance!$AL$47:$AN$47,[1]Bancassurance!$BJ$47,[1]Bancassurance!$AL$55:$AN$55,[1]Bancassurance!$BJ$55)/1000/AB129</f>
        <v>0.15</v>
      </c>
      <c r="AC140" s="8"/>
      <c r="AD140" s="20">
        <f>-SUM([1]Specials!$AL$49:$AN$49,[1]Specials!$BJ$49,[1]Specials!$AL$57:$AN$57,[1]Specials!$BJ$57,[1]Specials!$AL$45:$AN$45,[1]Specials!$BJ$45,[1]Specials!$AL$53:$AN$53,[1]Specials!$BJ$53)/1000/AD129</f>
        <v>5.0106609808102338E-2</v>
      </c>
      <c r="AE140" s="20">
        <f>-SUM([1]Specials!$AL$50:$AN$50,[1]Specials!$BJ$50,[1]Specials!$AL$58:$AN$58,[1]Specials!$BJ$58,[1]Specials!$AL$46:$AN$46,[1]Specials!$BJ$46,[1]Specials!$AL$54:$AN$54,[1]Specials!$BJ$54)/1000/AE129</f>
        <v>5.0200683988030223E-2</v>
      </c>
      <c r="AF140" s="20" t="e">
        <f>-SUM([1]Specials!$AL$51:$AN$51,[1]Specials!$BJ$51,[1]Specials!$AL$59:$AN$59,[1]Specials!$BJ$59,[1]Specials!$AL$47:$AN$47,[1]Specials!$BJ$47,[1]Specials!$AL$55:$AN$55,[1]Specials!$BJ$55)/1000/AF129</f>
        <v>#DIV/0!</v>
      </c>
      <c r="AG140" s="8"/>
      <c r="AH140" s="28">
        <f>-SUM('[1]Total P&amp;C'!$AL$49:$AN$49,'[1]Total P&amp;C'!$BJ$49,'[1]Total P&amp;C'!$AL$57:$AN$57,'[1]Total P&amp;C'!$BJ$57,'[1]Total P&amp;C'!$AL$45:$AN$45,'[1]Total P&amp;C'!$BJ$45,'[1]Total P&amp;C'!$AL$53:$AN$53,'[1]Total P&amp;C'!$BJ$53)/1000/AH129</f>
        <v>0.15816505960789559</v>
      </c>
      <c r="AI140" s="28">
        <f>-SUM('[1]Total P&amp;C'!$AL$50:$AN$50,'[1]Total P&amp;C'!$BJ$50,'[1]Total P&amp;C'!$AL$58:$AN$58,'[1]Total P&amp;C'!$BJ$58,'[1]Total P&amp;C'!$AL$46:$AN$46,'[1]Total P&amp;C'!$BJ$46,'[1]Total P&amp;C'!$AL$54:$AN$54,'[1]Total P&amp;C'!$BJ$54)/1000/AI129</f>
        <v>0.15336711804022696</v>
      </c>
      <c r="AJ140" s="28">
        <f>-SUM('[1]Total P&amp;C'!$AL$51:$AN$51,'[1]Total P&amp;C'!$BJ$51,'[1]Total P&amp;C'!$AL$59:$AN$59,'[1]Total P&amp;C'!$BJ$59,'[1]Total P&amp;C'!$AL$47:$AN$47,'[1]Total P&amp;C'!$BJ$47,'[1]Total P&amp;C'!$AL$55:$AN$55,'[1]Total P&amp;C'!$BJ$55)/1000/AJ129</f>
        <v>0.14924437031620999</v>
      </c>
      <c r="AL140" s="202"/>
      <c r="AM140" s="9"/>
      <c r="AN140" s="39" t="s">
        <v>31</v>
      </c>
      <c r="AT140" s="20">
        <f>-SUM([2]Retail!$AL$49:$AN$49,[2]Retail!$BJ$49,[2]Retail!$AL$57:$AN$57,[2]Retail!$BJ$57,[2]Retail!$AL$45:$AN$45,[2]Retail!$BJ$45,[2]Retail!$AL$53:$AN$53,[2]Retail!$BJ$53)/1000/AT129</f>
        <v>0.22106758196962092</v>
      </c>
      <c r="AU140" s="42">
        <f>-SUM([2]Retail!$AL$50:$AN$50,[2]Retail!$BJ$50,[2]Retail!$AL$58:$AN$58,[2]Retail!$BJ$58,[2]Retail!$AL$46:$AN$46,[2]Retail!$BJ$46,[2]Retail!$AL$54:$AN$54,[2]Retail!$BJ$54)/1000/AU129</f>
        <v>0.23531043997507631</v>
      </c>
      <c r="AV140" s="42">
        <f>-SUM([2]Retail!$AL$51:$AN$51,[2]Retail!$BJ$51,[2]Retail!$AL$59:$AN$59,[2]Retail!$BJ$59,[2]Retail!$AL$47:$AN$47,[2]Retail!$BJ$47,[2]Retail!$AL$55:$AN$55,[2]Retail!$BJ$55)/1000/AV129</f>
        <v>0.21728834574731601</v>
      </c>
      <c r="AW140" s="8"/>
      <c r="AX140" s="20">
        <f>-SUM([2]SME!$AL$49:$AN$49,[2]SME!$BJ$49,[2]SME!$AL$57:$AN$57,[2]SME!$BJ$57,[2]SME!$AL$45:$AN$45,[2]SME!$BJ$45,[2]SME!$AL$53:$AN$53,[2]SME!$BJ$53)/1000/AX129</f>
        <v>0.20562857495431386</v>
      </c>
      <c r="AY140" s="20">
        <f>-SUM([2]SME!$AL$50:$AN$50,[2]SME!$BJ$50,[2]SME!$AL$58:$AN$58,[2]SME!$BJ$58,[2]SME!$AL$46:$AN$46,[2]SME!$BJ$46,[2]SME!$AL$54:$AN$54,[2]SME!$BJ$54)/1000/AY129</f>
        <v>0.15270359771337927</v>
      </c>
      <c r="AZ140" s="20">
        <f>-SUM([2]SME!$AL$51:$AN$51,[2]SME!$BJ$51,[2]SME!$AL$59:$AN$59,[2]SME!$BJ$59,[2]SME!$AL$47:$AN$47,[2]SME!$BJ$47,[2]SME!$AL$55:$AN$55,[2]SME!$BJ$55)/1000/AZ129</f>
        <v>0.2111548514466525</v>
      </c>
      <c r="BA140" s="8"/>
      <c r="BB140" s="20">
        <f>-SUM([2]MidCorp!$AL$49:$AN$49,[2]MidCorp!$BJ$49,[2]MidCorp!$AL$57:$AN$57,[2]MidCorp!$BJ$57,[2]MidCorp!$AL$45:$AN$45,[2]MidCorp!$BJ$45,[2]MidCorp!$AL$53:$AN$53,[2]MidCorp!$BJ$53)/1000/BB129</f>
        <v>0.14844538515204897</v>
      </c>
      <c r="BC140" s="20">
        <f>-SUM([2]MidCorp!$AL$50:$AN$50,[2]MidCorp!$BJ$50,[2]MidCorp!$AL$58:$AN$58,[2]MidCorp!$BJ$58,[2]MidCorp!$AL$46:$AN$46,[2]MidCorp!$BJ$46,[2]MidCorp!$AL$54:$AN$54,[2]MidCorp!$BJ$54)/1000/BC129</f>
        <v>0.15722869967328967</v>
      </c>
      <c r="BD140" s="20">
        <f>-SUM([2]MidCorp!$AL$51:$AN$51,[2]MidCorp!$BJ$51,[2]MidCorp!$AL$59:$AN$59,[2]MidCorp!$BJ$59,[2]MidCorp!$AL$47:$AN$47,[2]MidCorp!$BJ$47,[2]MidCorp!$AL$55:$AN$55,[2]MidCorp!$BJ$55)/1000/BD129</f>
        <v>0.12819060398140678</v>
      </c>
      <c r="BJ140" s="20" t="e">
        <f>-SUM([2]Specials!$AL$49:$AN$49,[2]Specials!$BJ$49,[2]Specials!$AL$57:$AN$57,[2]Specials!$BJ$57,[2]Specials!$AL$45:$AN$45,[2]Specials!$BJ$45,[2]Specials!$AL$53:$AN$53,[2]Specials!$BJ$53)/1000/BJ129</f>
        <v>#DIV/0!</v>
      </c>
      <c r="BK140" s="20" t="e">
        <f>-SUM([2]Specials!$AL$50:$AN$50,[2]Specials!$BJ$50,[2]Specials!$AL$58:$AN$58,[2]Specials!$BJ$58,[2]Specials!$AL$46:$AN$46,[2]Specials!$BJ$46,[2]Specials!$AL$54:$AN$54,[2]Specials!$BJ$54)/1000/BK129</f>
        <v>#DIV/0!</v>
      </c>
      <c r="BL140" s="20" t="e">
        <f>-SUM([2]Specials!$AL$51:$AN$51,[2]Specials!$BJ$51,[2]Specials!$AL$59:$AN$59,[2]Specials!$BJ$59,[2]Specials!$AL$47:$AN$47,[2]Specials!$BJ$47,[2]Specials!$AL$55:$AN$55,[2]Specials!$BJ$55)/1000/BL129</f>
        <v>#DIV/0!</v>
      </c>
      <c r="BM140" s="8"/>
      <c r="BN140" s="28">
        <f>-SUM('[2]Total P&amp;C'!$AL$49:$AN$49,'[2]Total P&amp;C'!$BJ$49,'[2]Total P&amp;C'!$AL$57:$AN$57,'[2]Total P&amp;C'!$BJ$57,'[2]Total P&amp;C'!$AL$45:$AN$45,'[2]Total P&amp;C'!$BJ$45,'[2]Total P&amp;C'!$AL$53:$AN$53,'[2]Total P&amp;C'!$BJ$53)/1000/BN129</f>
        <v>0.16380077271923013</v>
      </c>
      <c r="BO140" s="28">
        <f>-SUM('[2]Total P&amp;C'!$AL$50:$AN$50,'[2]Total P&amp;C'!$BJ$50,'[2]Total P&amp;C'!$AL$58:$AN$58,'[2]Total P&amp;C'!$BJ$58,'[2]Total P&amp;C'!$AL$46:$AN$46,'[2]Total P&amp;C'!$BJ$46,'[2]Total P&amp;C'!$AL$54:$AN$54,'[2]Total P&amp;C'!$BJ$54)/1000/BO129</f>
        <v>0.17001839392417747</v>
      </c>
      <c r="BP140" s="28">
        <f>-SUM('[2]Total P&amp;C'!$AL$51:$AN$51,'[2]Total P&amp;C'!$BJ$51,'[2]Total P&amp;C'!$AL$59:$AN$59,'[2]Total P&amp;C'!$BJ$59,'[2]Total P&amp;C'!$AL$47:$AN$47,'[2]Total P&amp;C'!$BJ$47,'[2]Total P&amp;C'!$AL$55:$AN$55,'[2]Total P&amp;C'!$BJ$55)/1000/BP129</f>
        <v>0.14899164519001826</v>
      </c>
      <c r="BR140" s="28">
        <f>-SUM('[3]Total P&amp;C'!$AL$49:$AN$49,'[3]Total P&amp;C'!$BJ$49,'[3]Total P&amp;C'!$AL$57:$AN$57,'[3]Total P&amp;C'!$BJ$57,'[3]Total P&amp;C'!$AL$45:$AN$45,'[3]Total P&amp;C'!$BJ$45,'[3]Total P&amp;C'!$AL$53:$AN$53,'[3]Total P&amp;C'!$BJ$53)/1000/BR129</f>
        <v>0.16003792075933779</v>
      </c>
      <c r="BS140" s="28">
        <f>-SUM('[3]Total P&amp;C'!$AL$50:$AN$50,'[3]Total P&amp;C'!$BJ$50,'[3]Total P&amp;C'!$AL$58:$AN$58,'[3]Total P&amp;C'!$BJ$58,'[3]Total P&amp;C'!$AL$46:$AN$46,'[3]Total P&amp;C'!$BJ$46,'[3]Total P&amp;C'!$AL$54:$AN$54,'[3]Total P&amp;C'!$BJ$54)/1000/BS129</f>
        <v>0.15892211205612794</v>
      </c>
      <c r="BT140" s="28">
        <f>-SUM('[3]Total P&amp;C'!$AL$51:$AN$51,'[3]Total P&amp;C'!$BJ$51,'[3]Total P&amp;C'!$AL$59:$AN$59,'[3]Total P&amp;C'!$BJ$59,'[3]Total P&amp;C'!$AL$47:$AN$47,'[3]Total P&amp;C'!$BJ$47,'[3]Total P&amp;C'!$AL$55:$AN$55,'[3]Total P&amp;C'!$BJ$55)/1000/BT129</f>
        <v>0.14916520979158973</v>
      </c>
    </row>
    <row r="141" spans="2:72" ht="16.5" customHeight="1" x14ac:dyDescent="0.25">
      <c r="B141" s="202"/>
      <c r="C141" s="9"/>
      <c r="D141" s="39" t="s">
        <v>32</v>
      </c>
      <c r="J141" s="20">
        <f>-SUM([1]Retail!$AO$49:$AP$49,[1]Retail!$AO$57:$AP$57,[1]Retail!$AO$45:$AP$45,[1]Retail!$AO$53:$AP$53)/1000/J129</f>
        <v>2.4678176399164095E-3</v>
      </c>
      <c r="K141" s="42">
        <f>-SUM([1]Retail!$AO$50:$AP$50,[1]Retail!$AO$58:$AP$58,[1]Retail!$AO$46:$AP$46,[1]Retail!$AO$54:$AP$54)/1000/K129</f>
        <v>5.0838925196094661E-2</v>
      </c>
      <c r="L141" s="42" t="e">
        <f>-SUM([1]Retail!$AO$51:$AP$51,[1]Retail!$AO$59:$AP$59,[1]Retail!$AO$47:$AP$47,[1]Retail!$AO$55:$AP$55)/1000/L129</f>
        <v>#DIV/0!</v>
      </c>
      <c r="M141" s="8"/>
      <c r="N141" s="20">
        <f>-SUM([1]SME!$AO$49:$AP$49,[1]SME!$AO$57:$AP$57,[1]SME!$AO$45:$AP$45,[1]SME!$AO$53:$AP$53)/1000/N129</f>
        <v>6.8560639559604009E-2</v>
      </c>
      <c r="O141" s="20">
        <f>-SUM([1]SME!$AO$50:$AP$50,[1]SME!$AO$58:$AP$58,[1]SME!$AO$46:$AP$46,[1]SME!$AO$54:$AP$54)/1000/O129</f>
        <v>2.4650635784782868E-2</v>
      </c>
      <c r="P141" s="20">
        <f>-SUM([1]SME!$AO$51:$AP$51,[1]SME!$AO$59:$AP$59,[1]SME!$AO$47:$AP$47,[1]SME!$AO$55:$AP$55)/1000/P129</f>
        <v>3.925787695347395E-2</v>
      </c>
      <c r="Q141" s="8"/>
      <c r="R141" s="20">
        <f>-SUM([1]MidCorp!$AO$49:$AP$49,[1]MidCorp!$AO$57:$AP$57,[1]MidCorp!$AO$45:$AP$45,[1]MidCorp!$AO$53:$AP$53)/1000/R129</f>
        <v>4.3587403325405068E-2</v>
      </c>
      <c r="S141" s="20">
        <f>-SUM([1]MidCorp!$AO$50:$AP$50,[1]MidCorp!$AO$58:$AP$58,[1]MidCorp!$AO$46:$AP$46,[1]MidCorp!$AO$54:$AP$54)/1000/S129</f>
        <v>3.9736434409219791E-2</v>
      </c>
      <c r="T141" s="20">
        <f>-SUM([1]MidCorp!$AO$51:$AP$51,[1]MidCorp!$AO$59:$AP$59,[1]MidCorp!$AO$47:$AP$47,[1]MidCorp!$AO$55:$AP$55)/1000/T129</f>
        <v>4.1450494520357567E-2</v>
      </c>
      <c r="U141" s="8"/>
      <c r="V141" s="20">
        <f>-SUM([1]MGA!$AO$49:$AP$49,[1]MGA!$AO$57:$AP$57,[1]MGA!$AO$45:$AP$45,[1]MGA!$AO$53:$AP$53)/1000/V129</f>
        <v>1.8577164853414804E-2</v>
      </c>
      <c r="W141" s="20">
        <f>-SUM([1]MGA!$AO$50:$AP$50,[1]MGA!$AO$58:$AP$58,[1]MGA!$AO$46:$AP$46,[1]MGA!$AO$54:$AP$54)/1000/W129</f>
        <v>1.7868414321853394E-2</v>
      </c>
      <c r="X141" s="20">
        <f>-SUM([1]MGA!$AO$51:$AP$51,[1]MGA!$AO$59:$AP$59,[1]MGA!$AO$47:$AP$47,[1]MGA!$AO$55:$AP$55)/1000/X129</f>
        <v>4.52359040262083E-2</v>
      </c>
      <c r="Y141" s="8"/>
      <c r="Z141" s="20" t="e">
        <f>-SUM([1]Bancassurance!$AO$49:$AP$49,[1]Bancassurance!$AO$57:$AP$57,[1]Bancassurance!$AO$45:$AP$45,[1]Bancassurance!$AO$53:$AP$53)/1000/Z129</f>
        <v>#DIV/0!</v>
      </c>
      <c r="AA141" s="20" t="e">
        <f>-SUM([1]Bancassurance!$AO$50:$AP$50,[1]Bancassurance!$AO$58:$AP$58,[1]Bancassurance!$AO$46:$AP$46,[1]Bancassurance!$AO$54:$AP$54)/1000/AA129</f>
        <v>#DIV/0!</v>
      </c>
      <c r="AB141" s="20">
        <f>-SUM([1]Bancassurance!$AO$51:$AP$51,[1]Bancassurance!$AO$59:$AP$59,[1]Bancassurance!$AO$47:$AP$47,[1]Bancassurance!$AO$55:$AP$55)/1000/AB129</f>
        <v>3.02731904088684E-3</v>
      </c>
      <c r="AC141" s="8"/>
      <c r="AD141" s="20">
        <f>-SUM([1]Specials!$AO$49:$AP$49,[1]Specials!$AO$57:$AP$57,[1]Specials!$AO$45:$AP$45,[1]Specials!$AO$53:$AP$53)/1000/AD129</f>
        <v>0</v>
      </c>
      <c r="AE141" s="20">
        <f>-SUM([1]Specials!$AO$50:$AP$50,[1]Specials!$AO$58:$AP$58,[1]Specials!$AO$46:$AP$46,[1]Specials!$AO$54:$AP$54)/1000/AE129</f>
        <v>0</v>
      </c>
      <c r="AF141" s="20" t="e">
        <f>-SUM([1]Specials!$AO$51:$AP$51,[1]Specials!$AO$59:$AP$59,[1]Specials!$AO$47:$AP$47,[1]Specials!$AO$55:$AP$55)/1000/AF129</f>
        <v>#DIV/0!</v>
      </c>
      <c r="AG141" s="8"/>
      <c r="AH141" s="28">
        <f>-SUM('[1]Total P&amp;C'!$AO$49:$AP$49,'[1]Total P&amp;C'!$AO$57:$AP$57,'[1]Total P&amp;C'!$AO$45:$AP$45,'[1]Total P&amp;C'!$AO$53:$AP$53)/1000/AH129</f>
        <v>4.3866130834694969E-2</v>
      </c>
      <c r="AI141" s="28">
        <f>-SUM('[1]Total P&amp;C'!$AO$50:$AP$50,'[1]Total P&amp;C'!$AO$58:$AP$58,'[1]Total P&amp;C'!$AO$46:$AP$46,'[1]Total P&amp;C'!$AO$54:$AP$54)/1000/AI129</f>
        <v>3.8998483672570139E-2</v>
      </c>
      <c r="AJ141" s="28">
        <f>-SUM('[1]Total P&amp;C'!$AO$51:$AP$51,'[1]Total P&amp;C'!$AO$59:$AP$59,'[1]Total P&amp;C'!$AO$47:$AP$47,'[1]Total P&amp;C'!$AO$55:$AP$55)/1000/AJ129</f>
        <v>4.0961335642473708E-2</v>
      </c>
      <c r="AL141" s="202"/>
      <c r="AM141" s="9"/>
      <c r="AN141" s="39" t="s">
        <v>32</v>
      </c>
      <c r="AT141" s="20">
        <f>-SUM([2]Retail!$AO$49:$AP$49,[2]Retail!$AO$57:$AP$57,[2]Retail!$AO$45:$AP$45,[2]Retail!$AO$53:$AP$53)/1000/AT129</f>
        <v>0.15180160536760129</v>
      </c>
      <c r="AU141" s="42">
        <f>-SUM([2]Retail!$AO$50:$AP$50,[2]Retail!$AO$58:$AP$58,[2]Retail!$AO$46:$AP$46,[2]Retail!$AO$54:$AP$54)/1000/AU129</f>
        <v>0.13759564401825683</v>
      </c>
      <c r="AV141" s="42">
        <f>-SUM([2]Retail!$AO$51:$AP$51,[2]Retail!$AO$59:$AP$59,[2]Retail!$AO$47:$AP$47,[2]Retail!$AO$55:$AP$55)/1000/AV129</f>
        <v>0.13594720900364765</v>
      </c>
      <c r="AW141" s="8"/>
      <c r="AX141" s="20">
        <f>-SUM([2]SME!$AO$49:$AP$49,[2]SME!$AO$57:$AP$57,[2]SME!$AO$45:$AP$45,[2]SME!$AO$53:$AP$53)/1000/AX129</f>
        <v>3.6130684217149434E-2</v>
      </c>
      <c r="AY141" s="20">
        <f>-SUM([2]SME!$AO$50:$AP$50,[2]SME!$AO$58:$AP$58,[2]SME!$AO$46:$AP$46,[2]SME!$AO$54:$AP$54)/1000/AY129</f>
        <v>1.6255737630143631E-2</v>
      </c>
      <c r="AZ141" s="20">
        <f>-SUM([2]SME!$AO$51:$AP$51,[2]SME!$AO$59:$AP$59,[2]SME!$AO$47:$AP$47,[2]SME!$AO$55:$AP$55)/1000/AZ129</f>
        <v>3.1376445051859894E-2</v>
      </c>
      <c r="BA141" s="8"/>
      <c r="BB141" s="20">
        <f>-SUM([2]MidCorp!$AO$49:$AP$49,[2]MidCorp!$AO$57:$AP$57,[2]MidCorp!$AO$45:$AP$45,[2]MidCorp!$AO$53:$AP$53)/1000/BB129</f>
        <v>4.6236626531401627E-2</v>
      </c>
      <c r="BC141" s="20">
        <f>-SUM([2]MidCorp!$AO$50:$AP$50,[2]MidCorp!$AO$58:$AP$58,[2]MidCorp!$AO$46:$AP$46,[2]MidCorp!$AO$54:$AP$54)/1000/BC129</f>
        <v>7.5413774037680931E-2</v>
      </c>
      <c r="BD141" s="20">
        <f>-SUM([2]MidCorp!$AO$51:$AP$51,[2]MidCorp!$AO$59:$AP$59,[2]MidCorp!$AO$47:$AP$47,[2]MidCorp!$AO$55:$AP$55)/1000/BD129</f>
        <v>4.7849668324085402E-2</v>
      </c>
      <c r="BJ141" s="20" t="e">
        <f>-SUM([2]Specials!$AO$49:$AP$49,[2]Specials!$AO$57:$AP$57,[2]Specials!$AO$45:$AP$45,[2]Specials!$AO$53:$AP$53)/1000/BJ129</f>
        <v>#DIV/0!</v>
      </c>
      <c r="BK141" s="20" t="e">
        <f>-SUM([2]Specials!$AO$50:$AP$50,[2]Specials!$AO$58:$AP$58,[2]Specials!$AO$46:$AP$46,[2]Specials!$AO$54:$AP$54)/1000/BK129</f>
        <v>#DIV/0!</v>
      </c>
      <c r="BL141" s="20" t="e">
        <f>-SUM([2]Specials!$AO$51:$AP$51,[2]Specials!$AO$59:$AP$59,[2]Specials!$AO$47:$AP$47,[2]Specials!$AO$55:$AP$55)/1000/BL129</f>
        <v>#DIV/0!</v>
      </c>
      <c r="BM141" s="8"/>
      <c r="BN141" s="28">
        <f>-SUM('[2]Total P&amp;C'!$AO$49:$AP$49,'[2]Total P&amp;C'!$AO$57:$AP$57,'[2]Total P&amp;C'!$AO$45:$AP$45,'[2]Total P&amp;C'!$AO$53:$AP$53)/1000/BN129</f>
        <v>6.7131050105782242E-2</v>
      </c>
      <c r="BO141" s="28">
        <f>-SUM('[2]Total P&amp;C'!$AO$50:$AP$50,'[2]Total P&amp;C'!$AO$58:$AP$58,'[2]Total P&amp;C'!$AO$46:$AP$46,'[2]Total P&amp;C'!$AO$54:$AP$54)/1000/BO129</f>
        <v>7.5428585908314319E-2</v>
      </c>
      <c r="BP141" s="28">
        <f>-SUM('[2]Total P&amp;C'!$AO$51:$AP$51,'[2]Total P&amp;C'!$AO$59:$AP$59,'[2]Total P&amp;C'!$AO$47:$AP$47,'[2]Total P&amp;C'!$AO$55:$AP$55)/1000/BP129</f>
        <v>6.6818906581401868E-2</v>
      </c>
      <c r="BR141" s="28">
        <f>-SUM('[3]Total P&amp;C'!$AO$49:$AP$49,'[3]Total P&amp;C'!$AO$57:$AP$57,'[3]Total P&amp;C'!$AO$45:$AP$45,'[3]Total P&amp;C'!$AO$53:$AP$53)/1000/BR129</f>
        <v>5.1597532812312816E-2</v>
      </c>
      <c r="BS141" s="28">
        <f>-SUM('[3]Total P&amp;C'!$AO$50:$AP$50,'[3]Total P&amp;C'!$AO$58:$AP$58,'[3]Total P&amp;C'!$AO$46:$AP$46,'[3]Total P&amp;C'!$AO$54:$AP$54)/1000/BS129</f>
        <v>5.115184665379819E-2</v>
      </c>
      <c r="BT141" s="28">
        <f>-SUM('[3]Total P&amp;C'!$AO$51:$AP$51,'[3]Total P&amp;C'!$AO$59:$AP$59,'[3]Total P&amp;C'!$AO$47:$AP$47,'[3]Total P&amp;C'!$AO$55:$AP$55)/1000/BT129</f>
        <v>4.9060644610185743E-2</v>
      </c>
    </row>
    <row r="142" spans="2:72" ht="16.5" customHeight="1" x14ac:dyDescent="0.25">
      <c r="B142" s="202"/>
      <c r="C142" s="9"/>
      <c r="D142" s="39" t="s">
        <v>33</v>
      </c>
      <c r="J142" s="20">
        <f>-SUM([1]Retail!$AQ$49:$AR$49,[1]Retail!$AQ$57:$AR$57,[1]Retail!$AQ$45:$AR$45,[1]Retail!$AQ$53:$AR$53)/1000/J129</f>
        <v>0.10531830198442708</v>
      </c>
      <c r="K142" s="42">
        <f>-SUM([1]Retail!$AQ$50:$AR$50,[1]Retail!$AQ$58:$AR$58,[1]Retail!$AQ$46:$AR$46,[1]Retail!$AQ$54:$AR$54)/1000/K129</f>
        <v>0.33790499336947866</v>
      </c>
      <c r="L142" s="42" t="e">
        <f>-SUM([1]Retail!$AQ$51:$AR$51,[1]Retail!$AQ$59:$AR$59,[1]Retail!$AQ$47:$AR$47,[1]Retail!$AQ$55:$AR$55)/1000/L129</f>
        <v>#DIV/0!</v>
      </c>
      <c r="M142" s="8"/>
      <c r="N142" s="20">
        <f>-SUM([1]SME!$AQ$49:$AR$49,[1]SME!$AQ$57:$AR$57,[1]SME!$AQ$45:$AR$45,[1]SME!$AQ$53:$AR$53)/1000/N129</f>
        <v>0.1620487035572839</v>
      </c>
      <c r="O142" s="20">
        <f>-SUM([1]SME!$AQ$50:$AR$50,[1]SME!$AQ$58:$AR$58,[1]SME!$AQ$46:$AR$46,[1]SME!$AQ$54:$AR$54)/1000/O129</f>
        <v>5.2493087814781833E-2</v>
      </c>
      <c r="P142" s="20">
        <f>-SUM([1]SME!$AQ$51:$AR$51,[1]SME!$AQ$59:$AR$59,[1]SME!$AQ$47:$AR$47,[1]SME!$AQ$55:$AR$55)/1000/P129</f>
        <v>9.9305618986417002E-2</v>
      </c>
      <c r="Q142" s="8"/>
      <c r="R142" s="20">
        <f>-SUM([1]MidCorp!$AQ$49:$AR$49,[1]MidCorp!$AQ$57:$AR$57,[1]MidCorp!$AQ$45:$AR$45,[1]MidCorp!$AQ$53:$AR$53)/1000/R129</f>
        <v>4.1714952741661836E-2</v>
      </c>
      <c r="S142" s="20">
        <f>-SUM([1]MidCorp!$AQ$50:$AR$50,[1]MidCorp!$AQ$58:$AR$58,[1]MidCorp!$AQ$46:$AR$46,[1]MidCorp!$AQ$54:$AR$54)/1000/S129</f>
        <v>3.9598334771200137E-2</v>
      </c>
      <c r="T142" s="20">
        <f>-SUM([1]MidCorp!$AQ$51:$AR$51,[1]MidCorp!$AQ$59:$AR$59,[1]MidCorp!$AQ$47:$AR$47,[1]MidCorp!$AQ$55:$AR$55)/1000/T129</f>
        <v>5.427418755274515E-2</v>
      </c>
      <c r="U142" s="8"/>
      <c r="V142" s="20">
        <f>-SUM([1]MGA!$AQ$49:$AR$49,[1]MGA!$AQ$57:$AR$57,[1]MGA!$AQ$45:$AR$45,[1]MGA!$AQ$53:$AR$53)/1000/V129</f>
        <v>2.0877741899375565E-2</v>
      </c>
      <c r="W142" s="20">
        <f>-SUM([1]MGA!$AQ$50:$AR$50,[1]MGA!$AQ$58:$AR$58,[1]MGA!$AQ$46:$AR$46,[1]MGA!$AQ$54:$AR$54)/1000/W129</f>
        <v>6.6609810575191622E-2</v>
      </c>
      <c r="X142" s="20">
        <f>-SUM([1]MGA!$AQ$51:$AR$51,[1]MGA!$AQ$59:$AR$59,[1]MGA!$AQ$47:$AR$47,[1]MGA!$AQ$55:$AR$55)/1000/X129</f>
        <v>6.2994730699979129E-2</v>
      </c>
      <c r="Y142" s="8"/>
      <c r="Z142" s="20" t="e">
        <f>-SUM([1]Bancassurance!$AQ$49:$AR$49,[1]Bancassurance!$AQ$57:$AR$57,[1]Bancassurance!$AQ$45:$AR$45,[1]Bancassurance!$AQ$53:$AR$53)/1000/Z129</f>
        <v>#DIV/0!</v>
      </c>
      <c r="AA142" s="20" t="e">
        <f>-SUM([1]Bancassurance!$AQ$50:$AR$50,[1]Bancassurance!$AQ$58:$AR$58,[1]Bancassurance!$AQ$46:$AR$46,[1]Bancassurance!$AQ$54:$AR$54)/1000/AA129</f>
        <v>#DIV/0!</v>
      </c>
      <c r="AB142" s="20">
        <f>-SUM([1]Bancassurance!$AQ$51:$AR$51,[1]Bancassurance!$AQ$59:$AR$59,[1]Bancassurance!$AQ$47:$AR$47,[1]Bancassurance!$AQ$55:$AR$55)/1000/AB129</f>
        <v>3.3462544310635979E-2</v>
      </c>
      <c r="AC142" s="8"/>
      <c r="AD142" s="20">
        <f>-SUM([1]Specials!$AQ$49:$AR$49,[1]Specials!$AQ$57:$AR$57,[1]Specials!$AQ$45:$AR$45,[1]Specials!$AQ$53:$AR$53)/1000/AD129</f>
        <v>0</v>
      </c>
      <c r="AE142" s="20">
        <f>-SUM([1]Specials!$AQ$50:$AR$50,[1]Specials!$AQ$58:$AR$58,[1]Specials!$AQ$46:$AR$46,[1]Specials!$AQ$54:$AR$54)/1000/AE129</f>
        <v>0</v>
      </c>
      <c r="AF142" s="20" t="e">
        <f>-SUM([1]Specials!$AQ$51:$AR$51,[1]Specials!$AQ$59:$AR$59,[1]Specials!$AQ$47:$AR$47,[1]Specials!$AQ$55:$AR$55)/1000/AF129</f>
        <v>#DIV/0!</v>
      </c>
      <c r="AG142" s="8"/>
      <c r="AH142" s="28">
        <f>-SUM('[1]Total P&amp;C'!$AQ$49:$AR$49,'[1]Total P&amp;C'!$AQ$57:$AR$57,'[1]Total P&amp;C'!$AQ$45:$AR$45,'[1]Total P&amp;C'!$AQ$53:$AR$53)/1000/AH129</f>
        <v>4.6427881593352011E-2</v>
      </c>
      <c r="AI142" s="28">
        <f>-SUM('[1]Total P&amp;C'!$AQ$50:$AR$50,'[1]Total P&amp;C'!$AQ$58:$AR$58,'[1]Total P&amp;C'!$AQ$46:$AR$46,'[1]Total P&amp;C'!$AQ$54:$AR$54)/1000/AI129</f>
        <v>4.5604959469828101E-2</v>
      </c>
      <c r="AJ142" s="28">
        <f>-SUM('[1]Total P&amp;C'!$AQ$51:$AR$51,'[1]Total P&amp;C'!$AQ$59:$AR$59,'[1]Total P&amp;C'!$AQ$47:$AR$47,'[1]Total P&amp;C'!$AQ$55:$AR$55)/1000/AJ129</f>
        <v>5.7131661038703922E-2</v>
      </c>
      <c r="AL142" s="202"/>
      <c r="AM142" s="9"/>
      <c r="AN142" s="39" t="s">
        <v>33</v>
      </c>
      <c r="AT142" s="20">
        <f>-SUM([2]Retail!$AQ$49:$AR$49,[2]Retail!$AQ$57:$AR$57,[2]Retail!$AQ$45:$AR$45,[2]Retail!$AQ$53:$AR$53)/1000/AT129</f>
        <v>8.973351336875697E-2</v>
      </c>
      <c r="AU142" s="42">
        <f>-SUM([2]Retail!$AQ$50:$AR$50,[2]Retail!$AQ$58:$AR$58,[2]Retail!$AQ$46:$AR$46,[2]Retail!$AQ$54:$AR$54)/1000/AU129</f>
        <v>6.0638469816880043E-2</v>
      </c>
      <c r="AV142" s="42">
        <f>-SUM([2]Retail!$AQ$51:$AR$51,[2]Retail!$AQ$59:$AR$59,[2]Retail!$AQ$47:$AR$47,[2]Retail!$AQ$55:$AR$55)/1000/AV129</f>
        <v>8.3083570999967479E-2</v>
      </c>
      <c r="AW142" s="8"/>
      <c r="AX142" s="20">
        <f>-SUM([2]SME!$AQ$49:$AR$49,[2]SME!$AQ$57:$AR$57,[2]SME!$AQ$45:$AR$45,[2]SME!$AQ$53:$AR$53)/1000/AX129</f>
        <v>5.7109122637958157E-2</v>
      </c>
      <c r="AY142" s="20">
        <f>-SUM([2]SME!$AQ$50:$AR$50,[2]SME!$AQ$58:$AR$58,[2]SME!$AQ$46:$AR$46,[2]SME!$AQ$54:$AR$54)/1000/AY129</f>
        <v>2.2854041478124351E-2</v>
      </c>
      <c r="AZ142" s="20">
        <f>-SUM([2]SME!$AQ$51:$AR$51,[2]SME!$AQ$59:$AR$59,[2]SME!$AQ$47:$AR$47,[2]SME!$AQ$55:$AR$55)/1000/AZ129</f>
        <v>6.5186976811380984E-2</v>
      </c>
      <c r="BA142" s="8"/>
      <c r="BB142" s="20">
        <f>-SUM([2]MidCorp!$AQ$49:$AR$49,[2]MidCorp!$AQ$57:$AR$57,[2]MidCorp!$AQ$45:$AR$45,[2]MidCorp!$AQ$53:$AR$53)/1000/BB129</f>
        <v>8.1200013256659542E-2</v>
      </c>
      <c r="BC142" s="20">
        <f>-SUM([2]MidCorp!$AQ$50:$AR$50,[2]MidCorp!$AQ$58:$AR$58,[2]MidCorp!$AQ$46:$AR$46,[2]MidCorp!$AQ$54:$AR$54)/1000/BC129</f>
        <v>0.11794541042651727</v>
      </c>
      <c r="BD142" s="20">
        <f>-SUM([2]MidCorp!$AQ$51:$AR$51,[2]MidCorp!$AQ$59:$AR$59,[2]MidCorp!$AQ$47:$AR$47,[2]MidCorp!$AQ$55:$AR$55)/1000/BD129</f>
        <v>9.7562675203711521E-2</v>
      </c>
      <c r="BJ142" s="20" t="e">
        <f>-SUM([2]Specials!$AQ$49:$AR$49,[2]Specials!$AQ$57:$AR$57,[2]Specials!$AQ$45:$AR$45,[2]Specials!$AQ$53:$AR$53)/1000/BJ129</f>
        <v>#DIV/0!</v>
      </c>
      <c r="BK142" s="20" t="e">
        <f>-SUM([2]Specials!$AQ$50:$AR$50,[2]Specials!$AQ$58:$AR$58,[2]Specials!$AQ$46:$AR$46,[2]Specials!$AQ$54:$AR$54)/1000/BK129</f>
        <v>#DIV/0!</v>
      </c>
      <c r="BL142" s="20" t="e">
        <f>-SUM([2]Specials!$AQ$51:$AR$51,[2]Specials!$AQ$59:$AR$59,[2]Specials!$AQ$47:$AR$47,[2]Specials!$AQ$55:$AR$55)/1000/BL129</f>
        <v>#DIV/0!</v>
      </c>
      <c r="BM142" s="8"/>
      <c r="BN142" s="28">
        <f>-SUM('[2]Total P&amp;C'!$AQ$49:$AR$49,'[2]Total P&amp;C'!$AQ$57:$AR$57,'[2]Total P&amp;C'!$AQ$45:$AR$45,'[2]Total P&amp;C'!$AQ$53:$AR$53)/1000/BN129</f>
        <v>8.2532938565678823E-2</v>
      </c>
      <c r="BO142" s="28">
        <f>-SUM('[2]Total P&amp;C'!$AQ$50:$AR$50,'[2]Total P&amp;C'!$AQ$58:$AR$58,'[2]Total P&amp;C'!$AQ$46:$AR$46,'[2]Total P&amp;C'!$AQ$54:$AR$54)/1000/BO129</f>
        <v>9.0541940542970406E-2</v>
      </c>
      <c r="BP142" s="28">
        <f>-SUM('[2]Total P&amp;C'!$AQ$51:$AR$51,'[2]Total P&amp;C'!$AQ$59:$AR$59,'[2]Total P&amp;C'!$AQ$47:$AR$47,'[2]Total P&amp;C'!$AQ$55:$AR$55)/1000/BP129</f>
        <v>9.38757873121292E-2</v>
      </c>
      <c r="BR142" s="28">
        <f>-SUM('[3]Total P&amp;C'!$AQ$49:$AR$49,'[3]Total P&amp;C'!$AQ$57:$AR$57,'[3]Total P&amp;C'!$AQ$45:$AR$45,'[3]Total P&amp;C'!$AQ$53:$AR$53)/1000/BR129</f>
        <v>5.84263203424931E-2</v>
      </c>
      <c r="BS142" s="28">
        <f>-SUM('[3]Total P&amp;C'!$AQ$50:$AR$50,'[3]Total P&amp;C'!$AQ$58:$AR$58,'[3]Total P&amp;C'!$AQ$46:$AR$46,'[3]Total P&amp;C'!$AQ$54:$AR$54)/1000/BS129</f>
        <v>6.0596282819083518E-2</v>
      </c>
      <c r="BT142" s="28">
        <f>-SUM('[3]Total P&amp;C'!$AQ$51:$AR$51,'[3]Total P&amp;C'!$AQ$59:$AR$59,'[3]Total P&amp;C'!$AQ$47:$AR$47,'[3]Total P&amp;C'!$AQ$55:$AR$55)/1000/BT129</f>
        <v>6.8640941324156476E-2</v>
      </c>
    </row>
    <row r="143" spans="2:72" ht="16.5" customHeight="1" x14ac:dyDescent="0.25">
      <c r="B143" s="202"/>
      <c r="C143" s="9"/>
      <c r="D143" s="37" t="s">
        <v>34</v>
      </c>
      <c r="J143" s="19">
        <f>([1]Retail!$BK$49+[1]Retail!$BK$57+[1]Retail!$BK$45+[1]Retail!$BK$53)/1000</f>
        <v>4.4781499999999672E-3</v>
      </c>
      <c r="K143" s="19">
        <f>([1]Retail!$BK$50+[1]Retail!$BK$58+[1]Retail!$BK$46+[1]Retail!$BK$54)/1000</f>
        <v>-3.8554949999999928E-2</v>
      </c>
      <c r="L143" s="19">
        <f>([1]Retail!$BK$51+[1]Retail!$BK$59+[1]Retail!$BK$47+[1]Retail!$BK$55)/1000</f>
        <v>-2.3035289410899492E-2</v>
      </c>
      <c r="M143" s="6"/>
      <c r="N143" s="19">
        <f>([1]SME!$BK$49+[1]SME!$BK$57+[1]SME!$BK$45+[1]SME!$BK$53)/1000</f>
        <v>-0.71654264000000012</v>
      </c>
      <c r="O143" s="19">
        <f>([1]SME!$BK$50+[1]SME!$BK$58+[1]SME!$BK$46+[1]SME!$BK$54)/1000</f>
        <v>-0.13441068999999997</v>
      </c>
      <c r="P143" s="19">
        <f>([1]SME!$BK$51+[1]SME!$BK$59+[1]SME!$BK$47+[1]SME!$BK$55)/1000</f>
        <v>0.13750648750013383</v>
      </c>
      <c r="Q143" s="6"/>
      <c r="R143" s="19">
        <f>([1]MidCorp!$BK$49+[1]MidCorp!$BK$57+[1]MidCorp!$BK$45+[1]MidCorp!$BK$53)/1000</f>
        <v>5.5665990299999999</v>
      </c>
      <c r="S143" s="19">
        <f>([1]MidCorp!$BK$50+[1]MidCorp!$BK$58+[1]MidCorp!$BK$46+[1]MidCorp!$BK$54)/1000</f>
        <v>5.913910259999998</v>
      </c>
      <c r="T143" s="19">
        <f>([1]MidCorp!$BK$51+[1]MidCorp!$BK$59+[1]MidCorp!$BK$47+[1]MidCorp!$BK$55)/1000</f>
        <v>3.8535356173109205</v>
      </c>
      <c r="U143" s="6"/>
      <c r="V143" s="19">
        <f>([1]MGA!$BK$49+[1]MGA!$BK$57+[1]MGA!$BK$45+[1]MGA!$BK$53)/1000</f>
        <v>-8.5189179999999878E-2</v>
      </c>
      <c r="W143" s="19">
        <f>([1]MGA!$BK$50+[1]MGA!$BK$58+[1]MGA!$BK$46+[1]MGA!$BK$54)/1000</f>
        <v>-0.18879358999999998</v>
      </c>
      <c r="X143" s="19">
        <f>([1]MGA!$BK$51+[1]MGA!$BK$59+[1]MGA!$BK$47+[1]MGA!$BK$55)/1000</f>
        <v>4.239814843160785E-2</v>
      </c>
      <c r="Y143" s="6"/>
      <c r="Z143" s="19">
        <f>([1]Bancassurance!$BK$49+[1]Bancassurance!$BK$57+[1]Bancassurance!$BK$45+[1]Bancassurance!$BK$53)/1000</f>
        <v>-3.4141599999999994E-2</v>
      </c>
      <c r="AA143" s="19">
        <f>([1]Bancassurance!$BK$50+[1]Bancassurance!$BK$58+[1]Bancassurance!$BK$46+[1]Bancassurance!$BK$54)/1000</f>
        <v>-7.700665000000001E-2</v>
      </c>
      <c r="AB143" s="19">
        <f>([1]Bancassurance!$BK$51+[1]Bancassurance!$BK$59+[1]Bancassurance!$BK$47+[1]Bancassurance!$BK$55)/1000</f>
        <v>4.1937321985215069E-2</v>
      </c>
      <c r="AC143" s="6"/>
      <c r="AD143" s="19">
        <f>([1]Specials!$BK$49+[1]Specials!$BK$57+[1]Specials!$BK$45+[1]Specials!$BK$53)/1000</f>
        <v>5.9179999999999999E-5</v>
      </c>
      <c r="AE143" s="19">
        <f>([1]Specials!$BK$50+[1]Specials!$BK$58+[1]Specials!$BK$46+[1]Specials!$BK$54)/1000</f>
        <v>2.2084499999999998E-3</v>
      </c>
      <c r="AF143" s="19">
        <f>([1]Specials!$BK$51+[1]Specials!$BK$59+[1]Specials!$BK$47+[1]Specials!$BK$55)/1000</f>
        <v>0</v>
      </c>
      <c r="AG143" s="6"/>
      <c r="AH143" s="27">
        <f>('[1]Total P&amp;C'!$BK$49+'[1]Total P&amp;C'!$BK$57+'[1]Total P&amp;C'!$BK$45+'[1]Total P&amp;C'!$BK$53)/1000</f>
        <v>4.735262940000001</v>
      </c>
      <c r="AI143" s="27">
        <f>('[1]Total P&amp;C'!$BK$50+'[1]Total P&amp;C'!$BK$58+'[1]Total P&amp;C'!$BK$46+'[1]Total P&amp;C'!$BK$54)/1000</f>
        <v>5.4773528300000027</v>
      </c>
      <c r="AJ143" s="27">
        <f>('[1]Total P&amp;C'!$BK$51+'[1]Total P&amp;C'!$BK$59+'[1]Total P&amp;C'!$BK$47+'[1]Total P&amp;C'!$BK$55)/1000</f>
        <v>4.0523422858169802</v>
      </c>
      <c r="AL143" s="202"/>
      <c r="AM143" s="9"/>
      <c r="AN143" s="37" t="s">
        <v>34</v>
      </c>
      <c r="AT143" s="19">
        <f>([2]Retail!$BK$49+[2]Retail!$BK$57+[2]Retail!$BK$45+[2]Retail!$BK$53)/1000</f>
        <v>2.1582838699999987</v>
      </c>
      <c r="AU143" s="19">
        <f>([2]Retail!$BK$50+[2]Retail!$BK$58+[2]Retail!$BK$46+[2]Retail!$BK$54)/1000</f>
        <v>1.0094883000000012</v>
      </c>
      <c r="AV143" s="19">
        <f>([2]Retail!$BK$51+[2]Retail!$BK$59+[2]Retail!$BK$47+[2]Retail!$BK$55)/1000</f>
        <v>0.49735968863153479</v>
      </c>
      <c r="AW143" s="6"/>
      <c r="AX143" s="19">
        <f>([2]SME!$BK$49+[2]SME!$BK$57+[2]SME!$BK$45+[2]SME!$BK$53)/1000</f>
        <v>4.4380920000000039E-2</v>
      </c>
      <c r="AY143" s="19">
        <f>([2]SME!$BK$50+[2]SME!$BK$58+[2]SME!$BK$46+[2]SME!$BK$54)/1000</f>
        <v>1.5566476699999989</v>
      </c>
      <c r="AZ143" s="19">
        <f>([2]SME!$BK$51+[2]SME!$BK$59+[2]SME!$BK$47+[2]SME!$BK$55)/1000</f>
        <v>3.2544000698173772E-2</v>
      </c>
      <c r="BA143" s="6"/>
      <c r="BB143" s="19">
        <f>([2]MidCorp!$BK$49+[2]MidCorp!$BK$57+[2]MidCorp!$BK$45+[2]MidCorp!$BK$53)/1000</f>
        <v>3.1010481600000075</v>
      </c>
      <c r="BC143" s="19">
        <f>([2]MidCorp!$BK$50+[2]MidCorp!$BK$58+[2]MidCorp!$BK$46+[2]MidCorp!$BK$54)/1000</f>
        <v>-0.21030990000000224</v>
      </c>
      <c r="BD143" s="19">
        <f>([2]MidCorp!$BK$51+[2]MidCorp!$BK$59+[2]MidCorp!$BK$47+[2]MidCorp!$BK$55)/1000</f>
        <v>2.0099713918041568</v>
      </c>
      <c r="BJ143" s="19">
        <f>([2]Specials!$BK$49+[2]Specials!$BK$57+[2]Specials!$BK$45+[2]Specials!$BK$53)/1000</f>
        <v>0</v>
      </c>
      <c r="BK143" s="19">
        <f>([2]Specials!$BK$50+[2]Specials!$BK$58+[2]Specials!$BK$46+[2]Specials!$BK$54)/1000</f>
        <v>0</v>
      </c>
      <c r="BL143" s="19">
        <f>([2]Specials!$BK$51+[2]Specials!$BK$59+[2]Specials!$BK$47+[2]Specials!$BK$55)/1000</f>
        <v>0</v>
      </c>
      <c r="BM143" s="6"/>
      <c r="BN143" s="27">
        <f>('[2]Total P&amp;C'!$BK$49+'[2]Total P&amp;C'!$BK$57+'[2]Total P&amp;C'!$BK$45+'[2]Total P&amp;C'!$BK$53)/1000</f>
        <v>5.3037129500000058</v>
      </c>
      <c r="BO143" s="27">
        <f>('[2]Total P&amp;C'!$BK$50+'[2]Total P&amp;C'!$BK$58+'[2]Total P&amp;C'!$BK$46+'[2]Total P&amp;C'!$BK$54)/1000</f>
        <v>2.3558260699999964</v>
      </c>
      <c r="BP143" s="27">
        <f>('[2]Total P&amp;C'!$BK$51+'[2]Total P&amp;C'!$BK$59+'[2]Total P&amp;C'!$BK$47+'[2]Total P&amp;C'!$BK$55)/1000</f>
        <v>2.5398750811338675</v>
      </c>
      <c r="BR143" s="27">
        <f>('[3]Total P&amp;C'!$BK$49+'[3]Total P&amp;C'!$BK$57+'[3]Total P&amp;C'!$BK$45+'[3]Total P&amp;C'!$BK$53)/1000</f>
        <v>10.038975890000009</v>
      </c>
      <c r="BS143" s="27">
        <f>('[3]Total P&amp;C'!$BK$50+'[3]Total P&amp;C'!$BK$58+'[3]Total P&amp;C'!$BK$46+'[3]Total P&amp;C'!$BK$54)/1000</f>
        <v>7.8331788999999983</v>
      </c>
      <c r="BT143" s="27">
        <f>('[3]Total P&amp;C'!$BK$51+'[3]Total P&amp;C'!$BK$59+'[3]Total P&amp;C'!$BK$47+'[3]Total P&amp;C'!$BK$55)/1000</f>
        <v>6.5922173669508464</v>
      </c>
    </row>
    <row r="144" spans="2:72" x14ac:dyDescent="0.25">
      <c r="B144"/>
      <c r="C144"/>
      <c r="D144"/>
      <c r="J144" s="47"/>
      <c r="K144" s="47"/>
      <c r="L144" s="47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L144"/>
      <c r="AM144"/>
      <c r="AN144"/>
      <c r="AT144" s="47"/>
      <c r="AU144" s="47"/>
      <c r="AV144" s="47"/>
      <c r="AW144"/>
      <c r="AX144"/>
      <c r="AY144"/>
      <c r="AZ144"/>
      <c r="BA144"/>
      <c r="BB144"/>
      <c r="BC144"/>
      <c r="BD144"/>
      <c r="BJ144"/>
      <c r="BK144"/>
      <c r="BL144"/>
      <c r="BM144"/>
      <c r="BN144"/>
      <c r="BO144"/>
      <c r="BP144"/>
      <c r="BR144"/>
      <c r="BS144"/>
      <c r="BT144"/>
    </row>
    <row r="145" spans="2:72" ht="16.5" hidden="1" customHeight="1" outlineLevel="1" x14ac:dyDescent="0.25">
      <c r="B145" s="202" t="s">
        <v>42</v>
      </c>
      <c r="C145" s="9"/>
      <c r="D145" s="37" t="s">
        <v>19</v>
      </c>
      <c r="J145" s="19">
        <f>+[1]Retail!$C$49/1000</f>
        <v>0</v>
      </c>
      <c r="K145" s="19">
        <f>+[1]Retail!$C$50/1000</f>
        <v>0</v>
      </c>
      <c r="L145" s="19">
        <f>+[1]Retail!$C$51/1000</f>
        <v>0</v>
      </c>
      <c r="M145" s="6"/>
      <c r="N145" s="19">
        <f>+[1]SME!$C$49/1000</f>
        <v>0</v>
      </c>
      <c r="O145" s="19">
        <f>+[1]SME!$C$50/1000</f>
        <v>0</v>
      </c>
      <c r="P145" s="19">
        <f>+[1]SME!$C$51/1000</f>
        <v>0</v>
      </c>
      <c r="Q145" s="6"/>
      <c r="R145" s="19">
        <f>+[1]MidCorp!$C$49/1000</f>
        <v>19.322857210000002</v>
      </c>
      <c r="S145" s="19">
        <f>+[1]MidCorp!$C$50/1000</f>
        <v>19.452615629999997</v>
      </c>
      <c r="T145" s="19">
        <f>+[1]MidCorp!$C$51/1000</f>
        <v>17.744019999999999</v>
      </c>
      <c r="U145" s="6"/>
      <c r="V145" s="19">
        <f>+[1]MGA!$C$49/1000</f>
        <v>0.10787987999999998</v>
      </c>
      <c r="W145" s="19">
        <f>+[1]MGA!$C$50/1000</f>
        <v>0.11686347</v>
      </c>
      <c r="X145" s="19">
        <f>+[1]MGA!$C$51/1000</f>
        <v>1.686E-2</v>
      </c>
      <c r="Y145" s="6"/>
      <c r="Z145" s="19">
        <f>+[1]Bancassurance!$C$49/1000</f>
        <v>0</v>
      </c>
      <c r="AA145" s="19">
        <f>+[1]Bancassurance!$C$50/1000</f>
        <v>0</v>
      </c>
      <c r="AB145" s="19">
        <f>+[1]Bancassurance!$C$51/1000</f>
        <v>0</v>
      </c>
      <c r="AC145" s="6"/>
      <c r="AD145" s="19">
        <f>+[1]Specials!$C$49/1000</f>
        <v>0</v>
      </c>
      <c r="AE145" s="19">
        <f>+[1]Specials!$C$50/1000</f>
        <v>6.7525500000000004E-3</v>
      </c>
      <c r="AF145" s="19">
        <f>+[1]Specials!$C$51/1000</f>
        <v>0</v>
      </c>
      <c r="AG145" s="6"/>
      <c r="AH145" s="27">
        <f>+'[1]Total P&amp;C'!$C$49/1000</f>
        <v>19.430737090000001</v>
      </c>
      <c r="AI145" s="27">
        <f>+'[1]Total P&amp;C'!$C$50/1000</f>
        <v>19.576231649999997</v>
      </c>
      <c r="AJ145" s="27">
        <f>+'[1]Total P&amp;C'!$C$51/1000</f>
        <v>17.76088</v>
      </c>
      <c r="AL145" s="202" t="s">
        <v>42</v>
      </c>
      <c r="AM145" s="9"/>
      <c r="AN145" s="37" t="s">
        <v>19</v>
      </c>
      <c r="AT145" s="19">
        <f>+[2]Retail!$C$49/1000</f>
        <v>-1.13E-5</v>
      </c>
      <c r="AU145" s="19">
        <f>+[2]Retail!$C$50/1000</f>
        <v>0</v>
      </c>
      <c r="AV145" s="19">
        <f>+[2]Retail!$C$51/1000</f>
        <v>0</v>
      </c>
      <c r="AW145" s="6"/>
      <c r="AX145" s="19">
        <f>+[2]SME!$C$49/1000</f>
        <v>6.8904999999999999E-3</v>
      </c>
      <c r="AY145" s="19">
        <f>+[2]SME!$C$50/1000</f>
        <v>7.2917499999999996E-3</v>
      </c>
      <c r="AZ145" s="19">
        <f>+[2]SME!$C$51/1000</f>
        <v>0</v>
      </c>
      <c r="BA145" s="6"/>
      <c r="BB145" s="19">
        <f>+[2]MidCorp!$C$49/1000</f>
        <v>2.59850789</v>
      </c>
      <c r="BC145" s="19">
        <f>+[2]MidCorp!$C$50/1000</f>
        <v>2.96470754</v>
      </c>
      <c r="BD145" s="19">
        <f>+[2]MidCorp!$C$51/1000</f>
        <v>2.3872297670028235</v>
      </c>
      <c r="BJ145" s="19">
        <f>+[2]Specials!$C$49/1000</f>
        <v>0</v>
      </c>
      <c r="BK145" s="19">
        <f>+[2]Specials!$C$50/1000</f>
        <v>0</v>
      </c>
      <c r="BL145" s="19">
        <f>+[2]Specials!$C$51/1000</f>
        <v>0</v>
      </c>
      <c r="BM145" s="6"/>
      <c r="BN145" s="27">
        <f>+'[2]Total P&amp;C'!$C$49/1000</f>
        <v>2.6053870899999998</v>
      </c>
      <c r="BO145" s="27">
        <f>+'[2]Total P&amp;C'!$C$50/1000</f>
        <v>2.9719992899999998</v>
      </c>
      <c r="BP145" s="27">
        <f>+'[2]Total P&amp;C'!$C$51/1000</f>
        <v>2.3872297670028235</v>
      </c>
      <c r="BR145" s="27">
        <f>+'[3]Total P&amp;C'!$C$49/1000</f>
        <v>22.036124180000002</v>
      </c>
      <c r="BS145" s="27">
        <f>+'[3]Total P&amp;C'!$C$50/1000</f>
        <v>22.548230939999996</v>
      </c>
      <c r="BT145" s="27">
        <f>+'[3]Total P&amp;C'!$C$51/1000</f>
        <v>20.148109767002826</v>
      </c>
    </row>
    <row r="146" spans="2:72" ht="16.5" hidden="1" customHeight="1" outlineLevel="1" x14ac:dyDescent="0.25">
      <c r="B146" s="202"/>
      <c r="C146" s="9"/>
      <c r="D146" s="37" t="s">
        <v>20</v>
      </c>
      <c r="J146" s="19">
        <f>+[1]Retail!$N$49/1000</f>
        <v>0</v>
      </c>
      <c r="K146" s="19">
        <f>+[1]Retail!$N$50/1000</f>
        <v>0</v>
      </c>
      <c r="L146" s="19">
        <f>+[1]Retail!$N$51/1000</f>
        <v>0</v>
      </c>
      <c r="M146" s="6"/>
      <c r="N146" s="19">
        <f>+[1]SME!$N$49/1000</f>
        <v>0</v>
      </c>
      <c r="O146" s="19">
        <f>+[1]SME!$N$50/1000</f>
        <v>0</v>
      </c>
      <c r="P146" s="19">
        <f>+[1]SME!$N$51/1000</f>
        <v>0</v>
      </c>
      <c r="Q146" s="6"/>
      <c r="R146" s="19">
        <f>+[1]MidCorp!$N$49/1000</f>
        <v>11.585330679999998</v>
      </c>
      <c r="S146" s="19">
        <f>+[1]MidCorp!$N$50/1000</f>
        <v>11.519039879999998</v>
      </c>
      <c r="T146" s="19">
        <f>+[1]MidCorp!$N$51/1000</f>
        <v>11.947373838708574</v>
      </c>
      <c r="U146" s="6"/>
      <c r="V146" s="19">
        <f>+[1]MGA!$N$49/1000</f>
        <v>9.9852920000000053E-2</v>
      </c>
      <c r="W146" s="19">
        <f>+[1]MGA!$N$50/1000</f>
        <v>0.10783339999999997</v>
      </c>
      <c r="X146" s="19">
        <f>+[1]MGA!$N$51/1000</f>
        <v>1.6100000000000021E-2</v>
      </c>
      <c r="Y146" s="6"/>
      <c r="Z146" s="19">
        <f>+[1]Bancassurance!$N$49/1000</f>
        <v>0</v>
      </c>
      <c r="AA146" s="19">
        <f>+[1]Bancassurance!$N$50/1000</f>
        <v>0</v>
      </c>
      <c r="AB146" s="19">
        <f>+[1]Bancassurance!$N$51/1000</f>
        <v>0</v>
      </c>
      <c r="AC146" s="6"/>
      <c r="AD146" s="19">
        <f>+[1]Specials!$N$49/1000</f>
        <v>1.8760000000000003E-5</v>
      </c>
      <c r="AE146" s="19">
        <f>+[1]Specials!$N$50/1000</f>
        <v>1.6842400000000003E-3</v>
      </c>
      <c r="AF146" s="19">
        <f>+[1]Specials!$N$51/1000</f>
        <v>0</v>
      </c>
      <c r="AG146" s="6"/>
      <c r="AH146" s="27">
        <f>+'[1]Total P&amp;C'!$N$49/1000</f>
        <v>11.68520236</v>
      </c>
      <c r="AI146" s="27">
        <f>+'[1]Total P&amp;C'!$N$50/1000</f>
        <v>11.628557519999999</v>
      </c>
      <c r="AJ146" s="27">
        <f>+'[1]Total P&amp;C'!$N$51/1000</f>
        <v>11.963473838708575</v>
      </c>
      <c r="AL146" s="202"/>
      <c r="AM146" s="9"/>
      <c r="AN146" s="37" t="s">
        <v>20</v>
      </c>
      <c r="AT146" s="19">
        <f>+[2]Retail!$N$49/1000</f>
        <v>-1.1280000000000002E-5</v>
      </c>
      <c r="AU146" s="19">
        <f>+[2]Retail!$N$50/1000</f>
        <v>0</v>
      </c>
      <c r="AV146" s="19">
        <f>+[2]Retail!$N$51/1000</f>
        <v>0</v>
      </c>
      <c r="AW146" s="6"/>
      <c r="AX146" s="19">
        <f>+[2]SME!$N$49/1000</f>
        <v>6.4492899999999999E-3</v>
      </c>
      <c r="AY146" s="19">
        <f>+[2]SME!$N$50/1000</f>
        <v>6.8124100000000022E-3</v>
      </c>
      <c r="AZ146" s="19">
        <f>+[2]SME!$N$51/1000</f>
        <v>0</v>
      </c>
      <c r="BA146" s="6"/>
      <c r="BB146" s="19">
        <f>+[2]MidCorp!$N$49/1000</f>
        <v>2.1006284200000001</v>
      </c>
      <c r="BC146" s="19">
        <f>+[2]MidCorp!$N$50/1000</f>
        <v>2.3870117999999998</v>
      </c>
      <c r="BD146" s="19">
        <f>+[2]MidCorp!$N$51/1000</f>
        <v>2.0983124239665396</v>
      </c>
      <c r="BJ146" s="19">
        <f>+[2]Specials!$N$49/1000</f>
        <v>0</v>
      </c>
      <c r="BK146" s="19">
        <f>+[2]Specials!$N$50/1000</f>
        <v>0</v>
      </c>
      <c r="BL146" s="19">
        <f>+[2]Specials!$N$51/1000</f>
        <v>0</v>
      </c>
      <c r="BM146" s="6"/>
      <c r="BN146" s="27">
        <f>+'[2]Total P&amp;C'!$N$49/1000</f>
        <v>2.1070664299999997</v>
      </c>
      <c r="BO146" s="27">
        <f>+'[2]Total P&amp;C'!$N$50/1000</f>
        <v>2.3938242099999996</v>
      </c>
      <c r="BP146" s="27">
        <f>+'[2]Total P&amp;C'!$N$51/1000</f>
        <v>2.0983124239665396</v>
      </c>
      <c r="BR146" s="27">
        <f>+'[3]Total P&amp;C'!$N$49/1000</f>
        <v>13.79226879</v>
      </c>
      <c r="BS146" s="27">
        <f>+'[3]Total P&amp;C'!$N$50/1000</f>
        <v>14.022381729999999</v>
      </c>
      <c r="BT146" s="27">
        <f>+'[3]Total P&amp;C'!$N$51/1000</f>
        <v>14.061786262675113</v>
      </c>
    </row>
    <row r="147" spans="2:72" ht="16.5" hidden="1" customHeight="1" outlineLevel="1" x14ac:dyDescent="0.25">
      <c r="B147" s="202"/>
      <c r="C147" s="9"/>
      <c r="D147" s="37" t="s">
        <v>21</v>
      </c>
      <c r="J147" s="20" t="e">
        <f>+J148+J153+J154+J155+J156</f>
        <v>#DIV/0!</v>
      </c>
      <c r="K147" s="20" t="e">
        <f>+K148+K153+K154+K155+K156</f>
        <v>#DIV/0!</v>
      </c>
      <c r="L147" s="20" t="e">
        <f>+L148+L153+L154+L155+L156</f>
        <v>#DIV/0!</v>
      </c>
      <c r="M147" s="6"/>
      <c r="N147" s="20" t="e">
        <f>+N148+N153+N154+N155+N156</f>
        <v>#DIV/0!</v>
      </c>
      <c r="O147" s="20" t="e">
        <f>+O148+O153+O154+O155+O156</f>
        <v>#DIV/0!</v>
      </c>
      <c r="P147" s="20" t="e">
        <f>+P148+P153+P154+P155+P156</f>
        <v>#DIV/0!</v>
      </c>
      <c r="Q147" s="6"/>
      <c r="R147" s="20">
        <f>+R148+R153+R154+R155+R156</f>
        <v>0.69840045515213567</v>
      </c>
      <c r="S147" s="20">
        <f>+S148+S153+S154+S155+S156</f>
        <v>0.89133483059006502</v>
      </c>
      <c r="T147" s="20">
        <f>+T148+T153+T154+T155+T156</f>
        <v>0.84289647219674313</v>
      </c>
      <c r="U147" s="6"/>
      <c r="V147" s="20">
        <f>+V148+V153+V154+V155+V156</f>
        <v>2.6303008464850088</v>
      </c>
      <c r="W147" s="20">
        <f>+W148+W153+W154+W155+W156</f>
        <v>3.4833272436925857</v>
      </c>
      <c r="X147" s="20">
        <f>+X148+X153+X154+X155+X156</f>
        <v>0.51347491672933976</v>
      </c>
      <c r="Y147" s="6"/>
      <c r="Z147" s="20" t="e">
        <f>+Z148+Z153+Z154+Z155+Z156</f>
        <v>#DIV/0!</v>
      </c>
      <c r="AA147" s="20" t="e">
        <f>+AA148+AA153+AA154+AA155+AA156</f>
        <v>#DIV/0!</v>
      </c>
      <c r="AB147" s="20" t="e">
        <f>+AB148+AB153+AB154+AB155+AB156</f>
        <v>#DIV/0!</v>
      </c>
      <c r="AC147" s="6"/>
      <c r="AD147" s="20">
        <f>+AD148+AD153+AD154+AD155+AD156</f>
        <v>-2.1545842217483999</v>
      </c>
      <c r="AE147" s="20">
        <f>+AE148+AE153+AE154+AE155+AE156</f>
        <v>-0.31111955540778036</v>
      </c>
      <c r="AF147" s="20" t="e">
        <f>+AF148+AF153+AF154+AF155+AF156</f>
        <v>#DIV/0!</v>
      </c>
      <c r="AG147" s="6"/>
      <c r="AH147" s="28">
        <f>+AH148+AH153+AH154+AH155+AH156</f>
        <v>0.71505567918979551</v>
      </c>
      <c r="AI147" s="28">
        <f>+AI148+AI153+AI154+AI155+AI156</f>
        <v>0.91528345641274322</v>
      </c>
      <c r="AJ147" s="28">
        <f>+AJ148+AJ153+AJ154+AJ155+AJ156</f>
        <v>0.84245314886820744</v>
      </c>
      <c r="AL147" s="202"/>
      <c r="AM147" s="9"/>
      <c r="AN147" s="37" t="s">
        <v>21</v>
      </c>
      <c r="AT147" s="20">
        <f>+AT148+AT153+AT154+AT155+AT156</f>
        <v>0.175531914893617</v>
      </c>
      <c r="AU147" s="20" t="e">
        <f>+AU148+AU153+AU154+AU155+AU156</f>
        <v>#DIV/0!</v>
      </c>
      <c r="AV147" s="20" t="e">
        <f>+AV148+AV153+AV154+AV155+AV156</f>
        <v>#DIV/0!</v>
      </c>
      <c r="AW147" s="6"/>
      <c r="AX147" s="20">
        <f>+AX148+AX153+AX154+AX155+AX156</f>
        <v>0.16841078630360862</v>
      </c>
      <c r="AY147" s="20">
        <f>+AY148+AY153+AY154+AY155+AY156</f>
        <v>1.2286180661469286</v>
      </c>
      <c r="AZ147" s="20" t="e">
        <f>+AZ148+AZ153+AZ154+AZ155+AZ156</f>
        <v>#DIV/0!</v>
      </c>
      <c r="BA147" s="6"/>
      <c r="BB147" s="20">
        <f>+BB148+BB153+BB154+BB155+BB156</f>
        <v>0.72425026507067858</v>
      </c>
      <c r="BC147" s="20">
        <f>+BC148+BC153+BC154+BC155+BC156</f>
        <v>1.1803555684140314</v>
      </c>
      <c r="BD147" s="20">
        <f>+BD148+BD153+BD154+BD155+BD156</f>
        <v>0.8587145603395574</v>
      </c>
      <c r="BJ147" s="20" t="e">
        <f>+BJ148+BJ153+BJ154+BJ155+BJ156</f>
        <v>#DIV/0!</v>
      </c>
      <c r="BK147" s="20" t="e">
        <f>+BK148+BK153+BK154+BK155+BK156</f>
        <v>#DIV/0!</v>
      </c>
      <c r="BL147" s="20" t="e">
        <f>+BL148+BL153+BL154+BL155+BL156</f>
        <v>#DIV/0!</v>
      </c>
      <c r="BM147" s="6"/>
      <c r="BN147" s="28">
        <f>+BN148+BN153+BN154+BN155+BN156</f>
        <v>0.72255189410425968</v>
      </c>
      <c r="BO147" s="28">
        <f>+BO148+BO153+BO154+BO155+BO156</f>
        <v>1.1804929151418353</v>
      </c>
      <c r="BP147" s="28">
        <f>+BP148+BP153+BP154+BP155+BP156</f>
        <v>0.8587145603395574</v>
      </c>
      <c r="BR147" s="28">
        <f>+BR148+BR153+BR154+BR155+BR156</f>
        <v>0.71620088764235867</v>
      </c>
      <c r="BS147" s="28">
        <f>+BS148+BS153+BS154+BS155+BS156</f>
        <v>0.96055856268576978</v>
      </c>
      <c r="BT147" s="28">
        <f>+BT148+BT153+BT154+BT155+BT156</f>
        <v>0.84487969134895446</v>
      </c>
    </row>
    <row r="148" spans="2:72" ht="16.5" hidden="1" customHeight="1" outlineLevel="1" x14ac:dyDescent="0.25">
      <c r="B148" s="202"/>
      <c r="C148" s="9"/>
      <c r="D148" s="37" t="s">
        <v>22</v>
      </c>
      <c r="J148" s="20" t="e">
        <f>+J149+J150+J151+J152</f>
        <v>#DIV/0!</v>
      </c>
      <c r="K148" s="20" t="e">
        <f>+K149+K150+K151+K152</f>
        <v>#DIV/0!</v>
      </c>
      <c r="L148" s="20" t="e">
        <f>+L149+L150+L151+L152</f>
        <v>#DIV/0!</v>
      </c>
      <c r="M148" s="6"/>
      <c r="N148" s="20" t="e">
        <f>+N149+N150+N151+N152</f>
        <v>#DIV/0!</v>
      </c>
      <c r="O148" s="20" t="e">
        <f>+O149+O150+O151+O152</f>
        <v>#DIV/0!</v>
      </c>
      <c r="P148" s="20" t="e">
        <f>+P149+P150+P151+P152</f>
        <v>#DIV/0!</v>
      </c>
      <c r="Q148" s="6"/>
      <c r="R148" s="20">
        <f>+R149+R150+R151+R152</f>
        <v>0.66353323891485172</v>
      </c>
      <c r="S148" s="20">
        <f>+S149+S150+S151+S152</f>
        <v>0.70303897150844852</v>
      </c>
      <c r="T148" s="20">
        <f>+T149+T150+T151+T152</f>
        <v>0.63920930812318855</v>
      </c>
      <c r="U148" s="6"/>
      <c r="V148" s="20">
        <f>+V149+V150+V151+V152</f>
        <v>3.4874994141383141E-2</v>
      </c>
      <c r="W148" s="20">
        <f>+W149+W150+W151+W152</f>
        <v>5.8446640836698122E-2</v>
      </c>
      <c r="X148" s="20">
        <f>+X149+X150+X151+X152</f>
        <v>8.0037080775631E-2</v>
      </c>
      <c r="Y148" s="6"/>
      <c r="Z148" s="20" t="e">
        <f>+Z149+Z150+Z151+Z152</f>
        <v>#DIV/0!</v>
      </c>
      <c r="AA148" s="20" t="e">
        <f>+AA149+AA150+AA151+AA152</f>
        <v>#DIV/0!</v>
      </c>
      <c r="AB148" s="20" t="e">
        <f>+AB149+AB150+AB151+AB152</f>
        <v>#DIV/0!</v>
      </c>
      <c r="AC148" s="6"/>
      <c r="AD148" s="20">
        <f>+AD149+AD150+AD151+AD152</f>
        <v>0.80170575692963753</v>
      </c>
      <c r="AE148" s="20">
        <f>+AE149+AE150+AE151+AE152</f>
        <v>0</v>
      </c>
      <c r="AF148" s="20" t="e">
        <f>+AF149+AF150+AF151+AF152</f>
        <v>#DIV/0!</v>
      </c>
      <c r="AG148" s="6"/>
      <c r="AH148" s="28">
        <f>+AH149+AH150+AH151+AH152</f>
        <v>0.65816120278125856</v>
      </c>
      <c r="AI148" s="28">
        <f>+AI149+AI150+AI151+AI152</f>
        <v>0.69695955461894632</v>
      </c>
      <c r="AJ148" s="28">
        <f>+AJ149+AJ150+AJ151+AJ152</f>
        <v>0.6384567948497305</v>
      </c>
      <c r="AL148" s="202"/>
      <c r="AM148" s="9"/>
      <c r="AN148" s="37" t="s">
        <v>22</v>
      </c>
      <c r="AT148" s="20">
        <f>+AT149+AT150+AT151+AT152</f>
        <v>0</v>
      </c>
      <c r="AU148" s="20" t="e">
        <f>+AU149+AU150+AU151+AU152</f>
        <v>#DIV/0!</v>
      </c>
      <c r="AV148" s="20" t="e">
        <f>+AV149+AV150+AV151+AV152</f>
        <v>#DIV/0!</v>
      </c>
      <c r="AW148" s="6"/>
      <c r="AX148" s="20">
        <f>+AX149+AX150+AX151+AX152</f>
        <v>4.6516748355245304E-6</v>
      </c>
      <c r="AY148" s="20">
        <f>+AY149+AY150+AY151+AY152</f>
        <v>0.72786135890235593</v>
      </c>
      <c r="AZ148" s="20" t="e">
        <f>+AZ149+AZ150+AZ151+AZ152</f>
        <v>#DIV/0!</v>
      </c>
      <c r="BA148" s="6"/>
      <c r="BB148" s="20">
        <f>+BB149+BB150+BB151+BB152</f>
        <v>0.62022357576215215</v>
      </c>
      <c r="BC148" s="20">
        <f>+BC149+BC150+BC151+BC152</f>
        <v>0.68634367035806021</v>
      </c>
      <c r="BD148" s="20">
        <f>+BD149+BD150+BD151+BD152</f>
        <v>0.54654019402813114</v>
      </c>
      <c r="BJ148" s="20" t="e">
        <f>+BJ149+BJ150+BJ151+BJ152</f>
        <v>#DIV/0!</v>
      </c>
      <c r="BK148" s="20" t="e">
        <f>+BK149+BK150+BK151+BK152</f>
        <v>#DIV/0!</v>
      </c>
      <c r="BL148" s="20" t="e">
        <f>+BL149+BL150+BL151+BL152</f>
        <v>#DIV/0!</v>
      </c>
      <c r="BM148" s="6"/>
      <c r="BN148" s="28">
        <f>+BN149+BN150+BN151+BN152</f>
        <v>0.61832853556496559</v>
      </c>
      <c r="BO148" s="28">
        <f>+BO149+BO150+BO151+BO152</f>
        <v>0.68646182252455379</v>
      </c>
      <c r="BP148" s="28">
        <f>+BP149+BP150+BP151+BP152</f>
        <v>0.54654019402813114</v>
      </c>
      <c r="BR148" s="28">
        <f>+BR149+BR150+BR151+BR152</f>
        <v>0.65207590403986027</v>
      </c>
      <c r="BS148" s="28">
        <f>+BS149+BS150+BS151+BS152</f>
        <v>0.69516743929064317</v>
      </c>
      <c r="BT148" s="28">
        <f>+BT149+BT150+BT151+BT152</f>
        <v>0.62474091680479971</v>
      </c>
    </row>
    <row r="149" spans="2:72" ht="16.5" hidden="1" customHeight="1" outlineLevel="1" x14ac:dyDescent="0.25">
      <c r="B149" s="202"/>
      <c r="C149" s="9"/>
      <c r="D149" s="38" t="s">
        <v>23</v>
      </c>
      <c r="J149" s="20" t="e">
        <f>-SUM([1]Retail!$O$49,[1]Retail!$R$49:$V$49,[1]Retail!$Y$49,[1]Retail!$AB$49,[1]Retail!$AU$49,[1]Retail!$AX$49,[1]Retail!$BA$49,[1]Retail!$BD$49)/1000/J146</f>
        <v>#DIV/0!</v>
      </c>
      <c r="K149" s="42" t="e">
        <f>-SUM([1]Retail!$O$50,[1]Retail!$R$50:$V$50,[1]Retail!$Y$50,[1]Retail!$AB$50,[1]Retail!$AU$50,[1]Retail!$AX$50,[1]Retail!$BA$50,[1]Retail!$BD$50)/1000/K146</f>
        <v>#DIV/0!</v>
      </c>
      <c r="L149" s="42" t="e">
        <f>-SUM([1]Retail!$O$51,[1]Retail!$R$51:$V$51,[1]Retail!$Y$51,[1]Retail!$AB$51,[1]Retail!$AU$51,[1]Retail!$AX$51,[1]Retail!$BA$51,[1]Retail!$BD$51)/1000/L146</f>
        <v>#DIV/0!</v>
      </c>
      <c r="M149" s="6"/>
      <c r="N149" s="20" t="e">
        <f>-SUM([1]SME!$O$49,[1]SME!$R$49:$V$49,[1]SME!$Y$49,[1]SME!$AB$49,[1]SME!$AU$49,[1]SME!$AX$49,[1]SME!$BA$49,[1]SME!$BD$49)/1000/N146</f>
        <v>#DIV/0!</v>
      </c>
      <c r="O149" s="20" t="e">
        <f>-SUM([1]SME!$O$50,[1]SME!$R$50:$V$50,[1]SME!$Y$50,[1]SME!$AB$50,[1]SME!$AU$50,[1]SME!$AX$50,[1]SME!$BA$50,[1]SME!$BD$50)/1000/O146</f>
        <v>#DIV/0!</v>
      </c>
      <c r="P149" s="20" t="e">
        <f>-SUM([1]SME!$O$51,[1]SME!$R$51:$V$51,[1]SME!$Y$51,[1]SME!$AB$51,[1]SME!$AU$51,[1]SME!$AX$51,[1]SME!$BA$51,[1]SME!$BD$51)/1000/P146</f>
        <v>#DIV/0!</v>
      </c>
      <c r="Q149" s="6"/>
      <c r="R149" s="20">
        <f>-SUM([1]MidCorp!$O$49,[1]MidCorp!$R$49:$V$49,[1]MidCorp!$Y$49,[1]MidCorp!$AB$49,[1]MidCorp!$AU$49,[1]MidCorp!$AX$49,[1]MidCorp!$BA$49,[1]MidCorp!$BD$49)/1000/R146</f>
        <v>0.56696219567899298</v>
      </c>
      <c r="S149" s="20">
        <f>-SUM([1]MidCorp!$O$50,[1]MidCorp!$R$50:$V$50,[1]MidCorp!$Y$50,[1]MidCorp!$AB$50,[1]MidCorp!$AU$50,[1]MidCorp!$AX$50,[1]MidCorp!$BA$50,[1]MidCorp!$BD$50)/1000/S146</f>
        <v>0.57456777986256979</v>
      </c>
      <c r="T149" s="20">
        <f>-SUM([1]MidCorp!$O$51,[1]MidCorp!$R$51:$V$51,[1]MidCorp!$Y$51,[1]MidCorp!$AB$51,[1]MidCorp!$AU$51,[1]MidCorp!$AX$51,[1]MidCorp!$BA$51,[1]MidCorp!$BD$51)/1000/T146</f>
        <v>0.53364215982592589</v>
      </c>
      <c r="U149" s="6"/>
      <c r="V149" s="20">
        <f>-SUM([1]MGA!$O$49,[1]MGA!$R$49:$V$49,[1]MGA!$Y$49,[1]MGA!$AB$49,[1]MGA!$AU$49,[1]MGA!$AX$49,[1]MGA!$BA$49,[1]MGA!$BD$49)/1000/V146</f>
        <v>2.8770014937970753E-2</v>
      </c>
      <c r="W149" s="20">
        <f>-SUM([1]MGA!$O$50,[1]MGA!$R$50:$V$50,[1]MGA!$Y$50,[1]MGA!$AB$50,[1]MGA!$AU$50,[1]MGA!$AX$50,[1]MGA!$BA$50,[1]MGA!$BD$50)/1000/W146</f>
        <v>2.9387926189844739E-3</v>
      </c>
      <c r="X149" s="20">
        <f>-SUM([1]MGA!$O$51,[1]MGA!$R$51:$V$51,[1]MGA!$Y$51,[1]MGA!$AB$51,[1]MGA!$AU$51,[1]MGA!$AX$51,[1]MGA!$BA$51,[1]MGA!$BD$51)/1000/X146</f>
        <v>7.0985267525890778E-4</v>
      </c>
      <c r="Y149" s="6"/>
      <c r="Z149" s="20" t="e">
        <f>-SUM([1]Bancassurance!$O$49,[1]Bancassurance!$R$49:$V$49,[1]Bancassurance!$Y$49,[1]Bancassurance!$AB$49,[1]Bancassurance!$AU$49,[1]Bancassurance!$AX$49,[1]Bancassurance!$BA$49,[1]Bancassurance!$BD$49)/1000/Z146</f>
        <v>#DIV/0!</v>
      </c>
      <c r="AA149" s="20" t="e">
        <f>-SUM([1]Bancassurance!$O$50,[1]Bancassurance!$R$50:$V$50,[1]Bancassurance!$Y$50,[1]Bancassurance!$AB$50,[1]Bancassurance!$AU$50,[1]Bancassurance!$AX$50,[1]Bancassurance!$BA$50,[1]Bancassurance!$BD$50)/1000/AA146</f>
        <v>#DIV/0!</v>
      </c>
      <c r="AB149" s="20" t="e">
        <f>-SUM([1]Bancassurance!$O$51,[1]Bancassurance!$R$51:$V$51,[1]Bancassurance!$Y$51,[1]Bancassurance!$AB$51,[1]Bancassurance!$AU$51,[1]Bancassurance!$AX$51,[1]Bancassurance!$BA$51,[1]Bancassurance!$BD$51)/1000/AB146</f>
        <v>#DIV/0!</v>
      </c>
      <c r="AC149" s="6"/>
      <c r="AD149" s="20">
        <f>-SUM([1]Specials!$O$49,[1]Specials!$R$49:$V$49,[1]Specials!$Y$49,[1]Specials!$AB$49,[1]Specials!$AU$49,[1]Specials!$AX$49,[1]Specials!$BA$49,[1]Specials!$BD$49)/1000/AD146</f>
        <v>0</v>
      </c>
      <c r="AE149" s="20">
        <f>-SUM([1]Specials!$O$50,[1]Specials!$R$50:$V$50,[1]Specials!$Y$50,[1]Specials!$AB$50,[1]Specials!$AU$50,[1]Specials!$AX$50,[1]Specials!$BA$50,[1]Specials!$BD$50)/1000/AE146</f>
        <v>0</v>
      </c>
      <c r="AF149" s="20" t="e">
        <f>-SUM([1]Specials!$O$51,[1]Specials!$R$51:$V$51,[1]Specials!$Y$51,[1]Specials!$AB$51,[1]Specials!$AU$51,[1]Specials!$AX$51,[1]Specials!$BA$51,[1]Specials!$BD$51)/1000/AF146</f>
        <v>#DIV/0!</v>
      </c>
      <c r="AG149" s="6"/>
      <c r="AH149" s="28">
        <f>-SUM('[1]Total P&amp;C'!$O$49,'[1]Total P&amp;C'!$R$49:$V$49,'[1]Total P&amp;C'!$Y$49,'[1]Total P&amp;C'!$AB$49,'[1]Total P&amp;C'!$AU$49,'[1]Total P&amp;C'!$AX$49,'[1]Total P&amp;C'!$BA$49,'[1]Total P&amp;C'!$BD$49)/1000/AH146</f>
        <v>0.56236230127211939</v>
      </c>
      <c r="AI149" s="28">
        <f>-SUM('[1]Total P&amp;C'!$O$50,'[1]Total P&amp;C'!$R$50:$V$50,'[1]Total P&amp;C'!$Y$50,'[1]Total P&amp;C'!$AB$50,'[1]Total P&amp;C'!$AU$50,'[1]Total P&amp;C'!$AX$50,'[1]Total P&amp;C'!$BA$50,'[1]Total P&amp;C'!$BD$50)/1000/AI146</f>
        <v>0.5691837907338313</v>
      </c>
      <c r="AJ149" s="28">
        <f>-SUM('[1]Total P&amp;C'!$O$51,'[1]Total P&amp;C'!$R$51:$V$51,'[1]Total P&amp;C'!$Y$51,'[1]Total P&amp;C'!$AB$51,'[1]Total P&amp;C'!$AU$51,'[1]Total P&amp;C'!$AX$51,'[1]Total P&amp;C'!$BA$51,'[1]Total P&amp;C'!$BD$51)/1000/AJ146</f>
        <v>0.53292495926521888</v>
      </c>
      <c r="AL149" s="202"/>
      <c r="AM149" s="9"/>
      <c r="AN149" s="38" t="s">
        <v>23</v>
      </c>
      <c r="AT149" s="20">
        <f>-SUM([2]Retail!$O$49,[2]Retail!$R$49:$V$49,[2]Retail!$Y$49,[2]Retail!$AB$49,[2]Retail!$AU$49,[2]Retail!$AX$49,[2]Retail!$BA$49,[2]Retail!$BD$49)/1000/AT146</f>
        <v>0</v>
      </c>
      <c r="AU149" s="42" t="e">
        <f>-SUM([2]Retail!$O$50,[2]Retail!$R$50:$V$50,[2]Retail!$Y$50,[2]Retail!$AB$50,[2]Retail!$AU$50,[2]Retail!$AX$50,[2]Retail!$BA$50,[2]Retail!$BD$50)/1000/AU146</f>
        <v>#DIV/0!</v>
      </c>
      <c r="AV149" s="42" t="e">
        <f>-SUM([2]Retail!$O$51,[2]Retail!$R$51:$V$51,[2]Retail!$Y$51,[2]Retail!$AB$51,[2]Retail!$AU$51,[2]Retail!$AX$51,[2]Retail!$BA$51,[2]Retail!$BD$51)/1000/AV146</f>
        <v>#DIV/0!</v>
      </c>
      <c r="AW149" s="6"/>
      <c r="AX149" s="20">
        <f>-SUM([2]SME!$O$49,[2]SME!$R$49:$V$49,[2]SME!$Y$49,[2]SME!$AB$49,[2]SME!$AU$49,[2]SME!$AX$49,[2]SME!$BA$49,[2]SME!$BD$49)/1000/AX146</f>
        <v>4.6516748355245304E-6</v>
      </c>
      <c r="AY149" s="20">
        <f>-SUM([2]SME!$O$50,[2]SME!$R$50:$V$50,[2]SME!$Y$50,[2]SME!$AB$50,[2]SME!$AU$50,[2]SME!$AX$50,[2]SME!$BA$50,[2]SME!$BD$50)/1000/AY146</f>
        <v>0.72786135890235593</v>
      </c>
      <c r="AZ149" s="20" t="e">
        <f>-SUM([2]SME!$O$51,[2]SME!$R$51:$V$51,[2]SME!$Y$51,[2]SME!$AB$51,[2]SME!$AU$51,[2]SME!$AX$51,[2]SME!$BA$51,[2]SME!$BD$51)/1000/AZ146</f>
        <v>#DIV/0!</v>
      </c>
      <c r="BA149" s="6"/>
      <c r="BB149" s="20">
        <f>-SUM([2]MidCorp!$O$49,[2]MidCorp!$R$49:$V$49,[2]MidCorp!$Y$49,[2]MidCorp!$AB$49,[2]MidCorp!$AU$49,[2]MidCorp!$AX$49,[2]MidCorp!$BA$49,[2]MidCorp!$BD$49)/1000/BB146</f>
        <v>0.35620667742846207</v>
      </c>
      <c r="BC149" s="20">
        <f>-SUM([2]MidCorp!$O$50,[2]MidCorp!$R$50:$V$50,[2]MidCorp!$Y$50,[2]MidCorp!$AB$50,[2]MidCorp!$AU$50,[2]MidCorp!$AX$50,[2]MidCorp!$BA$50,[2]MidCorp!$BD$50)/1000/BC146</f>
        <v>0.34759935413809012</v>
      </c>
      <c r="BD149" s="20">
        <f>-SUM([2]MidCorp!$O$51,[2]MidCorp!$R$51:$V$51,[2]MidCorp!$Y$51,[2]MidCorp!$AB$51,[2]MidCorp!$AU$51,[2]MidCorp!$AX$51,[2]MidCorp!$BA$51,[2]MidCorp!$BD$51)/1000/BD146</f>
        <v>0.29714040066303432</v>
      </c>
      <c r="BJ149" s="20" t="e">
        <f>-SUM([2]Specials!$O$49,[2]Specials!$R$49:$V$49,[2]Specials!$Y$49,[2]Specials!$AB$49,[2]Specials!$AU$49,[2]Specials!$AX$49,[2]Specials!$BA$49,[2]Specials!$BD$49)/1000/BJ146</f>
        <v>#DIV/0!</v>
      </c>
      <c r="BK149" s="20" t="e">
        <f>-SUM([2]Specials!$O$50,[2]Specials!$R$50:$V$50,[2]Specials!$Y$50,[2]Specials!$AB$50,[2]Specials!$AU$50,[2]Specials!$AX$50,[2]Specials!$BA$50,[2]Specials!$BD$50)/1000/BK146</f>
        <v>#DIV/0!</v>
      </c>
      <c r="BL149" s="20" t="e">
        <f>-SUM([2]Specials!$O$51,[2]Specials!$R$51:$V$51,[2]Specials!$Y$51,[2]Specials!$AB$51,[2]Specials!$AU$51,[2]Specials!$AX$51,[2]Specials!$BA$51,[2]Specials!$BD$51)/1000/BL146</f>
        <v>#DIV/0!</v>
      </c>
      <c r="BM149" s="6"/>
      <c r="BN149" s="28">
        <f>-SUM('[2]Total P&amp;C'!$O$49,'[2]Total P&amp;C'!$R$49:$V$49,'[2]Total P&amp;C'!$Y$49,'[2]Total P&amp;C'!$AB$49,'[2]Total P&amp;C'!$AU$49,'[2]Total P&amp;C'!$AX$49,'[2]Total P&amp;C'!$BA$49,'[2]Total P&amp;C'!$BD$49)/1000/BN146</f>
        <v>0.35511832438999086</v>
      </c>
      <c r="BO149" s="28">
        <f>-SUM('[2]Total P&amp;C'!$O$50,'[2]Total P&amp;C'!$R$50:$V$50,'[2]Total P&amp;C'!$Y$50,'[2]Total P&amp;C'!$AB$50,'[2]Total P&amp;C'!$AU$50,'[2]Total P&amp;C'!$AX$50,'[2]Total P&amp;C'!$BA$50,'[2]Total P&amp;C'!$BD$50)/1000/BO146</f>
        <v>0.34868151408661713</v>
      </c>
      <c r="BP149" s="28">
        <f>-SUM('[2]Total P&amp;C'!$O$51,'[2]Total P&amp;C'!$R$51:$V$51,'[2]Total P&amp;C'!$Y$51,'[2]Total P&amp;C'!$AB$51,'[2]Total P&amp;C'!$AU$51,'[2]Total P&amp;C'!$AX$51,'[2]Total P&amp;C'!$BA$51,'[2]Total P&amp;C'!$BD$51)/1000/BP146</f>
        <v>0.29714040066303432</v>
      </c>
      <c r="BR149" s="28">
        <f>-SUM('[3]Total P&amp;C'!$O$49,'[3]Total P&amp;C'!$R$49:$V$49,'[3]Total P&amp;C'!$Y$49,'[3]Total P&amp;C'!$AB$49,'[3]Total P&amp;C'!$AU$49,'[3]Total P&amp;C'!$AX$49,'[3]Total P&amp;C'!$BA$49,'[3]Total P&amp;C'!$BD$49)/1000/BR146</f>
        <v>0.53070131545775945</v>
      </c>
      <c r="BS149" s="28">
        <f>-SUM('[3]Total P&amp;C'!$O$50,'[3]Total P&amp;C'!$R$50:$V$50,'[3]Total P&amp;C'!$Y$50,'[3]Total P&amp;C'!$AB$50,'[3]Total P&amp;C'!$AU$50,'[3]Total P&amp;C'!$AX$50,'[3]Total P&amp;C'!$BA$50,'[3]Total P&amp;C'!$BD$50)/1000/BS146</f>
        <v>0.53154084972981264</v>
      </c>
      <c r="BT149" s="28">
        <f>-SUM('[3]Total P&amp;C'!$O$51,'[3]Total P&amp;C'!$R$51:$V$51,'[3]Total P&amp;C'!$Y$51,'[3]Total P&amp;C'!$AB$51,'[3]Total P&amp;C'!$AU$51,'[3]Total P&amp;C'!$AX$51,'[3]Total P&amp;C'!$BA$51,'[3]Total P&amp;C'!$BD$51)/1000/BT146</f>
        <v>0.49774097485154101</v>
      </c>
    </row>
    <row r="150" spans="2:72" ht="16.5" hidden="1" customHeight="1" outlineLevel="1" x14ac:dyDescent="0.25">
      <c r="B150" s="202"/>
      <c r="C150" s="9"/>
      <c r="D150" s="38" t="s">
        <v>24</v>
      </c>
      <c r="J150" s="20" t="e">
        <f>-([1]Retail!$P$49+[1]Retail!$W$49+[1]Retail!$AV$49+[1]Retail!$AY$49)/1000/J146</f>
        <v>#DIV/0!</v>
      </c>
      <c r="K150" s="42" t="e">
        <f>-([1]Retail!$P$50+[1]Retail!$W$50+[1]Retail!$AV$50+[1]Retail!$AY$50)/1000/K146</f>
        <v>#DIV/0!</v>
      </c>
      <c r="L150" s="42" t="e">
        <f>-([1]Retail!$P$51+[1]Retail!$W$51+[1]Retail!$AV$51+[1]Retail!$AY$51)/1000/L146</f>
        <v>#DIV/0!</v>
      </c>
      <c r="M150" s="7"/>
      <c r="N150" s="20" t="e">
        <f>-([1]SME!$P$49+[1]SME!$W$49+[1]SME!$AV$49+[1]SME!$AY$49)/1000/N146</f>
        <v>#DIV/0!</v>
      </c>
      <c r="O150" s="20" t="e">
        <f>-([1]SME!$P$50+[1]SME!$W$50+[1]SME!$AV$50+[1]SME!$AY$50)/1000/O146</f>
        <v>#DIV/0!</v>
      </c>
      <c r="P150" s="20" t="e">
        <f>-([1]SME!$P$51+[1]SME!$W$51+[1]SME!$AV$51+[1]SME!$AY$51)/1000/P146</f>
        <v>#DIV/0!</v>
      </c>
      <c r="Q150" s="7"/>
      <c r="R150" s="20">
        <f>-([1]MidCorp!$P$49+[1]MidCorp!$W$49+[1]MidCorp!$AV$49+[1]MidCorp!$AY$49)/1000/R146</f>
        <v>0</v>
      </c>
      <c r="S150" s="20">
        <f>-([1]MidCorp!$P$50+[1]MidCorp!$W$50+[1]MidCorp!$AV$50+[1]MidCorp!$AY$50)/1000/S146</f>
        <v>0</v>
      </c>
      <c r="T150" s="20">
        <f>-([1]MidCorp!$P$51+[1]MidCorp!$W$51+[1]MidCorp!$AV$51+[1]MidCorp!$AY$51)/1000/T146</f>
        <v>0</v>
      </c>
      <c r="U150" s="7"/>
      <c r="V150" s="20">
        <f>-([1]MGA!$P$49+[1]MGA!$W$49+[1]MGA!$AV$49+[1]MGA!$AY$49)/1000/V146</f>
        <v>0</v>
      </c>
      <c r="W150" s="20">
        <f>-([1]MGA!$P$50+[1]MGA!$W$50+[1]MGA!$AV$50+[1]MGA!$AY$50)/1000/W146</f>
        <v>0</v>
      </c>
      <c r="X150" s="20">
        <f>-([1]MGA!$P$51+[1]MGA!$W$51+[1]MGA!$AV$51+[1]MGA!$AY$51)/1000/X146</f>
        <v>0</v>
      </c>
      <c r="Y150" s="7"/>
      <c r="Z150" s="20" t="e">
        <f>-([1]Bancassurance!$P$49+[1]Bancassurance!$W$49+[1]Bancassurance!$AV$49+[1]Bancassurance!$AY$49)/1000/Z146</f>
        <v>#DIV/0!</v>
      </c>
      <c r="AA150" s="20" t="e">
        <f>-([1]Bancassurance!$P$50+[1]Bancassurance!$W$50+[1]Bancassurance!$AV$50+[1]Bancassurance!$AY$50)/1000/AA146</f>
        <v>#DIV/0!</v>
      </c>
      <c r="AB150" s="20" t="e">
        <f>-([1]Bancassurance!$P$51+[1]Bancassurance!$W$51+[1]Bancassurance!$AV$51+[1]Bancassurance!$AY$51)/1000/AB146</f>
        <v>#DIV/0!</v>
      </c>
      <c r="AC150" s="7"/>
      <c r="AD150" s="20">
        <f>-([1]Specials!$P$49+[1]Specials!$W$49+[1]Specials!$AV$49+[1]Specials!$AY$49)/1000/AD146</f>
        <v>0</v>
      </c>
      <c r="AE150" s="20">
        <f>-([1]Specials!$P$50+[1]Specials!$W$50+[1]Specials!$AV$50+[1]Specials!$AY$50)/1000/AE146</f>
        <v>0</v>
      </c>
      <c r="AF150" s="20" t="e">
        <f>-([1]Specials!$P$51+[1]Specials!$W$51+[1]Specials!$AV$51+[1]Specials!$AY$51)/1000/AF146</f>
        <v>#DIV/0!</v>
      </c>
      <c r="AG150" s="7"/>
      <c r="AH150" s="28">
        <f>-('[1]Total P&amp;C'!$P$49+'[1]Total P&amp;C'!$W$49+'[1]Total P&amp;C'!$AV$49+'[1]Total P&amp;C'!$AY$49)/1000/AH146</f>
        <v>0</v>
      </c>
      <c r="AI150" s="28">
        <f>-('[1]Total P&amp;C'!$P$50+'[1]Total P&amp;C'!$W$50+'[1]Total P&amp;C'!$AV$50+'[1]Total P&amp;C'!$AY$50)/1000/AI146</f>
        <v>0</v>
      </c>
      <c r="AJ150" s="28">
        <f>-('[1]Total P&amp;C'!$P$51+'[1]Total P&amp;C'!$W$51+'[1]Total P&amp;C'!$AV$51+'[1]Total P&amp;C'!$AY$51)/1000/AJ146</f>
        <v>0</v>
      </c>
      <c r="AL150" s="202"/>
      <c r="AM150" s="9"/>
      <c r="AN150" s="38" t="s">
        <v>24</v>
      </c>
      <c r="AT150" s="20">
        <f>-([2]Retail!$P$49+[2]Retail!$W$49+[2]Retail!$AV$49+[2]Retail!$AY$49)/1000/AT146</f>
        <v>0</v>
      </c>
      <c r="AU150" s="42" t="e">
        <f>-([2]Retail!$P$50+[2]Retail!$W$50+[2]Retail!$AV$50+[2]Retail!$AY$50)/1000/AU146</f>
        <v>#DIV/0!</v>
      </c>
      <c r="AV150" s="42" t="e">
        <f>-([2]Retail!$P$51+[2]Retail!$W$51+[2]Retail!$AV$51+[2]Retail!$AY$51)/1000/AV146</f>
        <v>#DIV/0!</v>
      </c>
      <c r="AW150" s="7"/>
      <c r="AX150" s="20">
        <f>-([2]SME!$P$49+[2]SME!$W$49+[2]SME!$AV$49+[2]SME!$AY$49)/1000/AX146</f>
        <v>0</v>
      </c>
      <c r="AY150" s="20">
        <f>-([2]SME!$P$50+[2]SME!$W$50+[2]SME!$AV$50+[2]SME!$AY$50)/1000/AY146</f>
        <v>0</v>
      </c>
      <c r="AZ150" s="20" t="e">
        <f>-([2]SME!$P$51+[2]SME!$W$51+[2]SME!$AV$51+[2]SME!$AY$51)/1000/AZ146</f>
        <v>#DIV/0!</v>
      </c>
      <c r="BA150" s="7"/>
      <c r="BB150" s="20">
        <f>-([2]MidCorp!$P$49+[2]MidCorp!$W$49+[2]MidCorp!$AV$49+[2]MidCorp!$AY$49)/1000/BB146</f>
        <v>0</v>
      </c>
      <c r="BC150" s="20">
        <f>-([2]MidCorp!$P$50+[2]MidCorp!$W$50+[2]MidCorp!$AV$50+[2]MidCorp!$AY$50)/1000/BC146</f>
        <v>0</v>
      </c>
      <c r="BD150" s="20">
        <f>-([2]MidCorp!$P$51+[2]MidCorp!$W$51+[2]MidCorp!$AV$51+[2]MidCorp!$AY$51)/1000/BD146</f>
        <v>0</v>
      </c>
      <c r="BJ150" s="20" t="e">
        <f>-([2]Specials!$P$49+[2]Specials!$W$49+[2]Specials!$AV$49+[2]Specials!$AY$49)/1000/BJ146</f>
        <v>#DIV/0!</v>
      </c>
      <c r="BK150" s="20" t="e">
        <f>-([2]Specials!$P$50+[2]Specials!$W$50+[2]Specials!$AV$50+[2]Specials!$AY$50)/1000/BK146</f>
        <v>#DIV/0!</v>
      </c>
      <c r="BL150" s="20" t="e">
        <f>-([2]Specials!$P$51+[2]Specials!$W$51+[2]Specials!$AV$51+[2]Specials!$AY$51)/1000/BL146</f>
        <v>#DIV/0!</v>
      </c>
      <c r="BM150" s="7"/>
      <c r="BN150" s="28">
        <f>-('[2]Total P&amp;C'!$P$49+'[2]Total P&amp;C'!$W$49+'[2]Total P&amp;C'!$AV$49+'[2]Total P&amp;C'!$AY$49)/1000/BN146</f>
        <v>0</v>
      </c>
      <c r="BO150" s="28">
        <f>-('[2]Total P&amp;C'!$P$50+'[2]Total P&amp;C'!$W$50+'[2]Total P&amp;C'!$AV$50+'[2]Total P&amp;C'!$AY$50)/1000/BO146</f>
        <v>0</v>
      </c>
      <c r="BP150" s="28">
        <f>-('[2]Total P&amp;C'!$P$51+'[2]Total P&amp;C'!$W$51+'[2]Total P&amp;C'!$AV$51+'[2]Total P&amp;C'!$AY$51)/1000/BP146</f>
        <v>0</v>
      </c>
      <c r="BR150" s="28">
        <f>-('[3]Total P&amp;C'!$P$49+'[3]Total P&amp;C'!$W$49+'[3]Total P&amp;C'!$AV$49+'[3]Total P&amp;C'!$AY$49)/1000/BR146</f>
        <v>0</v>
      </c>
      <c r="BS150" s="28">
        <f>-('[3]Total P&amp;C'!$P$50+'[3]Total P&amp;C'!$W$50+'[3]Total P&amp;C'!$AV$50+'[3]Total P&amp;C'!$AY$50)/1000/BS146</f>
        <v>0</v>
      </c>
      <c r="BT150" s="28">
        <f>-('[3]Total P&amp;C'!$P$51+'[3]Total P&amp;C'!$W$51+'[3]Total P&amp;C'!$AV$51+'[3]Total P&amp;C'!$AY$51)/1000/BT146</f>
        <v>0</v>
      </c>
    </row>
    <row r="151" spans="2:72" ht="16.5" hidden="1" customHeight="1" outlineLevel="1" x14ac:dyDescent="0.25">
      <c r="B151" s="202"/>
      <c r="C151" s="9"/>
      <c r="D151" s="38" t="s">
        <v>25</v>
      </c>
      <c r="J151" s="20" t="e">
        <f>-([1]Retail!$Q$49+[1]Retail!$X$49+[1]Retail!$AW$49+[1]Retail!$AZ$49)/1000/J146</f>
        <v>#DIV/0!</v>
      </c>
      <c r="K151" s="42" t="e">
        <f>-([1]Retail!$Q$50+[1]Retail!$X$50+[1]Retail!$AW$50+[1]Retail!$AZ$50)/1000/K146</f>
        <v>#DIV/0!</v>
      </c>
      <c r="L151" s="42" t="e">
        <f>-([1]Retail!$Q$51+[1]Retail!$X$51+[1]Retail!$AW$51+[1]Retail!$AZ$51)/1000/L146</f>
        <v>#DIV/0!</v>
      </c>
      <c r="M151" s="7"/>
      <c r="N151" s="20" t="e">
        <f>-([1]SME!$Q$49+[1]SME!$X$49+[1]SME!$AW$49+[1]SME!$AZ$49)/1000/N146</f>
        <v>#DIV/0!</v>
      </c>
      <c r="O151" s="20" t="e">
        <f>-([1]SME!$Q$50+[1]SME!$X$50+[1]SME!$AW$50+[1]SME!$AZ$50)/1000/O146</f>
        <v>#DIV/0!</v>
      </c>
      <c r="P151" s="20" t="e">
        <f>-([1]SME!$Q$51+[1]SME!$X$51+[1]SME!$AW$51+[1]SME!$AZ$51)/1000/P146</f>
        <v>#DIV/0!</v>
      </c>
      <c r="Q151" s="7"/>
      <c r="R151" s="20">
        <f>-([1]MidCorp!$Q$49+[1]MidCorp!$X$49+[1]MidCorp!$AW$49+[1]MidCorp!$AZ$49)/1000/R146</f>
        <v>5.6105433496353177E-2</v>
      </c>
      <c r="S151" s="20">
        <f>-([1]MidCorp!$Q$50+[1]MidCorp!$X$50+[1]MidCorp!$AW$50+[1]MidCorp!$AZ$50)/1000/S146</f>
        <v>8.4468845505898199E-2</v>
      </c>
      <c r="T151" s="20">
        <f>-([1]MidCorp!$Q$51+[1]MidCorp!$X$51+[1]MidCorp!$AW$51+[1]MidCorp!$AZ$51)/1000/T146</f>
        <v>6.1886227938741808E-2</v>
      </c>
      <c r="U151" s="7"/>
      <c r="V151" s="20">
        <f>-([1]MGA!$Q$49+[1]MGA!$X$49+[1]MGA!$AW$49+[1]MGA!$AZ$49)/1000/V146</f>
        <v>0</v>
      </c>
      <c r="W151" s="20">
        <f>-([1]MGA!$Q$50+[1]MGA!$X$50+[1]MGA!$AW$50+[1]MGA!$AZ$50)/1000/W146</f>
        <v>0</v>
      </c>
      <c r="X151" s="20">
        <f>-([1]MGA!$Q$51+[1]MGA!$X$51+[1]MGA!$AW$51+[1]MGA!$AZ$51)/1000/X146</f>
        <v>0</v>
      </c>
      <c r="Y151" s="7"/>
      <c r="Z151" s="20" t="e">
        <f>-([1]Bancassurance!$Q$49+[1]Bancassurance!$X$49+[1]Bancassurance!$AW$49+[1]Bancassurance!$AZ$49)/1000/Z146</f>
        <v>#DIV/0!</v>
      </c>
      <c r="AA151" s="20" t="e">
        <f>-([1]Bancassurance!$Q$50+[1]Bancassurance!$X$50+[1]Bancassurance!$AW$50+[1]Bancassurance!$AZ$50)/1000/AA146</f>
        <v>#DIV/0!</v>
      </c>
      <c r="AB151" s="20" t="e">
        <f>-([1]Bancassurance!$Q$51+[1]Bancassurance!$X$51+[1]Bancassurance!$AW$51+[1]Bancassurance!$AZ$51)/1000/AB146</f>
        <v>#DIV/0!</v>
      </c>
      <c r="AC151" s="7"/>
      <c r="AD151" s="20">
        <f>-([1]Specials!$Q$49+[1]Specials!$X$49+[1]Specials!$AW$49+[1]Specials!$AZ$49)/1000/AD146</f>
        <v>0</v>
      </c>
      <c r="AE151" s="20">
        <f>-([1]Specials!$Q$50+[1]Specials!$X$50+[1]Specials!$AW$50+[1]Specials!$AZ$50)/1000/AE146</f>
        <v>0</v>
      </c>
      <c r="AF151" s="20" t="e">
        <f>-([1]Specials!$Q$51+[1]Specials!$X$51+[1]Specials!$AW$51+[1]Specials!$AZ$51)/1000/AF146</f>
        <v>#DIV/0!</v>
      </c>
      <c r="AG151" s="7"/>
      <c r="AH151" s="28">
        <f>-('[1]Total P&amp;C'!$Q$49+'[1]Total P&amp;C'!$X$49+'[1]Total P&amp;C'!$AW$49+'[1]Total P&amp;C'!$AZ$49)/1000/AH146</f>
        <v>5.5625908732658012E-2</v>
      </c>
      <c r="AI151" s="28">
        <f>-('[1]Total P&amp;C'!$Q$50+'[1]Total P&amp;C'!$X$50+'[1]Total P&amp;C'!$AW$50+'[1]Total P&amp;C'!$AZ$50)/1000/AI146</f>
        <v>8.3673318752264303E-2</v>
      </c>
      <c r="AJ151" s="28">
        <f>-('[1]Total P&amp;C'!$Q$51+'[1]Total P&amp;C'!$X$51+'[1]Total P&amp;C'!$AW$51+'[1]Total P&amp;C'!$AZ$51)/1000/AJ146</f>
        <v>6.1802943745267E-2</v>
      </c>
      <c r="AL151" s="202"/>
      <c r="AM151" s="9"/>
      <c r="AN151" s="38" t="s">
        <v>25</v>
      </c>
      <c r="AT151" s="20">
        <f>-([2]Retail!$Q$49+[2]Retail!$X$49+[2]Retail!$AW$49+[2]Retail!$AZ$49)/1000/AT146</f>
        <v>0</v>
      </c>
      <c r="AU151" s="42" t="e">
        <f>-([2]Retail!$Q$50+[2]Retail!$X$50+[2]Retail!$AW$50+[2]Retail!$AZ$50)/1000/AU146</f>
        <v>#DIV/0!</v>
      </c>
      <c r="AV151" s="42" t="e">
        <f>-([2]Retail!$Q$51+[2]Retail!$X$51+[2]Retail!$AW$51+[2]Retail!$AZ$51)/1000/AV146</f>
        <v>#DIV/0!</v>
      </c>
      <c r="AW151" s="7"/>
      <c r="AX151" s="20">
        <f>-([2]SME!$Q$49+[2]SME!$X$49+[2]SME!$AW$49+[2]SME!$AZ$49)/1000/AX146</f>
        <v>0</v>
      </c>
      <c r="AY151" s="20">
        <f>-([2]SME!$Q$50+[2]SME!$X$50+[2]SME!$AW$50+[2]SME!$AZ$50)/1000/AY146</f>
        <v>0</v>
      </c>
      <c r="AZ151" s="20" t="e">
        <f>-([2]SME!$Q$51+[2]SME!$X$51+[2]SME!$AW$51+[2]SME!$AZ$51)/1000/AZ146</f>
        <v>#DIV/0!</v>
      </c>
      <c r="BA151" s="7"/>
      <c r="BB151" s="20">
        <f>-([2]MidCorp!$Q$49+[2]MidCorp!$X$49+[2]MidCorp!$AW$49+[2]MidCorp!$AZ$49)/1000/BB146</f>
        <v>0</v>
      </c>
      <c r="BC151" s="20">
        <f>-([2]MidCorp!$Q$50+[2]MidCorp!$X$50+[2]MidCorp!$AW$50+[2]MidCorp!$AZ$50)/1000/BC146</f>
        <v>0</v>
      </c>
      <c r="BD151" s="20">
        <f>-([2]MidCorp!$Q$51+[2]MidCorp!$X$51+[2]MidCorp!$AW$51+[2]MidCorp!$AZ$51)/1000/BD146</f>
        <v>0</v>
      </c>
      <c r="BJ151" s="20" t="e">
        <f>-([2]Specials!$Q$49+[2]Specials!$X$49+[2]Specials!$AW$49+[2]Specials!$AZ$49)/1000/BJ146</f>
        <v>#DIV/0!</v>
      </c>
      <c r="BK151" s="20" t="e">
        <f>-([2]Specials!$Q$50+[2]Specials!$X$50+[2]Specials!$AW$50+[2]Specials!$AZ$50)/1000/BK146</f>
        <v>#DIV/0!</v>
      </c>
      <c r="BL151" s="20" t="e">
        <f>-([2]Specials!$Q$51+[2]Specials!$X$51+[2]Specials!$AW$51+[2]Specials!$AZ$51)/1000/BL146</f>
        <v>#DIV/0!</v>
      </c>
      <c r="BM151" s="7"/>
      <c r="BN151" s="28">
        <f>-('[2]Total P&amp;C'!$Q$49+'[2]Total P&amp;C'!$X$49+'[2]Total P&amp;C'!$AW$49+'[2]Total P&amp;C'!$AZ$49)/1000/BN146</f>
        <v>0</v>
      </c>
      <c r="BO151" s="28">
        <f>-('[2]Total P&amp;C'!$Q$50+'[2]Total P&amp;C'!$X$50+'[2]Total P&amp;C'!$AW$50+'[2]Total P&amp;C'!$AZ$50)/1000/BO146</f>
        <v>0</v>
      </c>
      <c r="BP151" s="28">
        <f>-('[2]Total P&amp;C'!$Q$51+'[2]Total P&amp;C'!$X$51+'[2]Total P&amp;C'!$AW$51+'[2]Total P&amp;C'!$AZ$51)/1000/BP146</f>
        <v>0</v>
      </c>
      <c r="BR151" s="28">
        <f>-('[3]Total P&amp;C'!$Q$49+'[3]Total P&amp;C'!$X$49+'[3]Total P&amp;C'!$AW$49+'[3]Total P&amp;C'!$AZ$49)/1000/BR146</f>
        <v>4.7127851834737916E-2</v>
      </c>
      <c r="BS151" s="28">
        <f>-('[3]Total P&amp;C'!$Q$50+'[3]Total P&amp;C'!$X$50+'[3]Total P&amp;C'!$AW$50+'[3]Total P&amp;C'!$AZ$50)/1000/BS146</f>
        <v>6.9389068043863619E-2</v>
      </c>
      <c r="BT151" s="28">
        <f>-('[3]Total P&amp;C'!$Q$51+'[3]Total P&amp;C'!$X$51+'[3]Total P&amp;C'!$AW$51+'[3]Total P&amp;C'!$AZ$51)/1000/BT146</f>
        <v>5.2580652759190799E-2</v>
      </c>
    </row>
    <row r="152" spans="2:72" ht="16.5" hidden="1" customHeight="1" outlineLevel="1" x14ac:dyDescent="0.25">
      <c r="B152" s="202"/>
      <c r="C152" s="9"/>
      <c r="D152" s="38" t="s">
        <v>26</v>
      </c>
      <c r="J152" s="20" t="e">
        <f>-[1]Retail!$AT$49/1000/J146</f>
        <v>#DIV/0!</v>
      </c>
      <c r="K152" s="42" t="e">
        <f>-[1]Retail!$AT$50/1000/K146</f>
        <v>#DIV/0!</v>
      </c>
      <c r="L152" s="42" t="e">
        <f>-[1]Retail!$AT$51/1000/L146</f>
        <v>#DIV/0!</v>
      </c>
      <c r="M152" s="7"/>
      <c r="N152" s="20" t="e">
        <f>-[1]SME!$AT$49/1000/N146</f>
        <v>#DIV/0!</v>
      </c>
      <c r="O152" s="20" t="e">
        <f>-[1]SME!$AT$50/1000/O146</f>
        <v>#DIV/0!</v>
      </c>
      <c r="P152" s="20" t="e">
        <f>-[1]SME!$AT$51/1000/P146</f>
        <v>#DIV/0!</v>
      </c>
      <c r="Q152" s="7"/>
      <c r="R152" s="20">
        <f>-[1]MidCorp!$AT$49/1000/R146</f>
        <v>4.0465609739505547E-2</v>
      </c>
      <c r="S152" s="20">
        <f>-[1]MidCorp!$AT$50/1000/S146</f>
        <v>4.4002346139980553E-2</v>
      </c>
      <c r="T152" s="20">
        <f>-[1]MidCorp!$AT$51/1000/T146</f>
        <v>4.3680920358520878E-2</v>
      </c>
      <c r="U152" s="7"/>
      <c r="V152" s="20">
        <f>-[1]MGA!$AT$49/1000/V146</f>
        <v>6.1049792034123859E-3</v>
      </c>
      <c r="W152" s="20">
        <f>-[1]MGA!$AT$50/1000/W146</f>
        <v>5.5507848217713651E-2</v>
      </c>
      <c r="X152" s="20">
        <f>-[1]MGA!$AT$51/1000/X146</f>
        <v>7.9327228100372099E-2</v>
      </c>
      <c r="Y152" s="7"/>
      <c r="Z152" s="20" t="e">
        <f>-[1]Bancassurance!$AT$49/1000/Z146</f>
        <v>#DIV/0!</v>
      </c>
      <c r="AA152" s="20" t="e">
        <f>-[1]Bancassurance!$AT$50/1000/AA146</f>
        <v>#DIV/0!</v>
      </c>
      <c r="AB152" s="20" t="e">
        <f>-[1]Bancassurance!$AT$51/1000/AB146</f>
        <v>#DIV/0!</v>
      </c>
      <c r="AC152" s="7"/>
      <c r="AD152" s="20">
        <f>-[1]Specials!$AT$49/1000/AD146</f>
        <v>0.80170575692963753</v>
      </c>
      <c r="AE152" s="20">
        <f>-[1]Specials!$AT$50/1000/AE146</f>
        <v>0</v>
      </c>
      <c r="AF152" s="20" t="e">
        <f>-[1]Specials!$AT$51/1000/AF146</f>
        <v>#DIV/0!</v>
      </c>
      <c r="AG152" s="7"/>
      <c r="AH152" s="28">
        <f>-'[1]Total P&amp;C'!$AT$49/1000/AH146</f>
        <v>4.0172992776481141E-2</v>
      </c>
      <c r="AI152" s="28">
        <f>-'[1]Total P&amp;C'!$AT$50/1000/AI146</f>
        <v>4.4102445132850825E-2</v>
      </c>
      <c r="AJ152" s="28">
        <f>-'[1]Total P&amp;C'!$AT$51/1000/AJ146</f>
        <v>4.3728891839244714E-2</v>
      </c>
      <c r="AL152" s="202"/>
      <c r="AM152" s="9"/>
      <c r="AN152" s="38" t="s">
        <v>26</v>
      </c>
      <c r="AT152" s="20">
        <f>-[2]Retail!$AT$49/1000/AT146</f>
        <v>0</v>
      </c>
      <c r="AU152" s="42" t="e">
        <f>-[2]Retail!$AT$50/1000/AU146</f>
        <v>#DIV/0!</v>
      </c>
      <c r="AV152" s="42" t="e">
        <f>-[2]Retail!$AT$51/1000/AV146</f>
        <v>#DIV/0!</v>
      </c>
      <c r="AW152" s="7"/>
      <c r="AX152" s="20">
        <f>-[2]SME!$AT$49/1000/AX146</f>
        <v>0</v>
      </c>
      <c r="AY152" s="20">
        <f>-[2]SME!$AT$50/1000/AY146</f>
        <v>0</v>
      </c>
      <c r="AZ152" s="20" t="e">
        <f>-[2]SME!$AT$51/1000/AZ146</f>
        <v>#DIV/0!</v>
      </c>
      <c r="BA152" s="7"/>
      <c r="BB152" s="20">
        <f>-[2]MidCorp!$AT$49/1000/BB146</f>
        <v>0.26401689833369008</v>
      </c>
      <c r="BC152" s="20">
        <f>-[2]MidCorp!$AT$50/1000/BC146</f>
        <v>0.33874431621997009</v>
      </c>
      <c r="BD152" s="20">
        <f>-[2]MidCorp!$AT$51/1000/BD146</f>
        <v>0.24939979336509688</v>
      </c>
      <c r="BJ152" s="20" t="e">
        <f>-[2]Specials!$AT$49/1000/BJ146</f>
        <v>#DIV/0!</v>
      </c>
      <c r="BK152" s="20" t="e">
        <f>-[2]Specials!$AT$50/1000/BK146</f>
        <v>#DIV/0!</v>
      </c>
      <c r="BL152" s="20" t="e">
        <f>-[2]Specials!$AT$51/1000/BL146</f>
        <v>#DIV/0!</v>
      </c>
      <c r="BM152" s="7"/>
      <c r="BN152" s="28">
        <f>-'[2]Total P&amp;C'!$AT$49/1000/BN146</f>
        <v>0.26321021117497473</v>
      </c>
      <c r="BO152" s="28">
        <f>-'[2]Total P&amp;C'!$AT$50/1000/BO146</f>
        <v>0.33778030843793666</v>
      </c>
      <c r="BP152" s="28">
        <f>-'[2]Total P&amp;C'!$AT$51/1000/BP146</f>
        <v>0.24939979336509688</v>
      </c>
      <c r="BR152" s="28">
        <f>-'[3]Total P&amp;C'!$AT$49/1000/BR146</f>
        <v>7.4246736747362971E-2</v>
      </c>
      <c r="BS152" s="28">
        <f>-'[3]Total P&amp;C'!$AT$50/1000/BS146</f>
        <v>9.4237521516967002E-2</v>
      </c>
      <c r="BT152" s="28">
        <f>-'[3]Total P&amp;C'!$AT$51/1000/BT146</f>
        <v>7.4419289194067983E-2</v>
      </c>
    </row>
    <row r="153" spans="2:72" ht="16.5" hidden="1" customHeight="1" outlineLevel="1" x14ac:dyDescent="0.25">
      <c r="B153" s="202"/>
      <c r="C153" s="9"/>
      <c r="D153" s="37" t="s">
        <v>27</v>
      </c>
      <c r="J153" s="20" t="e">
        <f>-([1]Retail!$Z$49+[1]Retail!$AA$49+[1]Retail!$BB$49+[1]Retail!$BC$49)/1000/J146</f>
        <v>#DIV/0!</v>
      </c>
      <c r="K153" s="20" t="e">
        <f>-([1]Retail!$Z$50+[1]Retail!$AA$50+[1]Retail!$BB$50+[1]Retail!$BC$50)/1000/K146</f>
        <v>#DIV/0!</v>
      </c>
      <c r="L153" s="20" t="e">
        <f>-([1]Retail!$Z$51+[1]Retail!$AA$51+[1]Retail!$BB$51+[1]Retail!$BC$51)/1000/L146</f>
        <v>#DIV/0!</v>
      </c>
      <c r="M153" s="7"/>
      <c r="N153" s="20" t="e">
        <f>-([1]SME!$Z$49+[1]SME!$AA$49+[1]SME!$BB$49+[1]SME!$BC$49)/1000/N146</f>
        <v>#DIV/0!</v>
      </c>
      <c r="O153" s="20" t="e">
        <f>-([1]SME!$Z$50+[1]SME!$AA$50+[1]SME!$BB$50+[1]SME!$BC$50)/1000/O146</f>
        <v>#DIV/0!</v>
      </c>
      <c r="P153" s="20" t="e">
        <f>-([1]SME!$Z$51+[1]SME!$AA$51+[1]SME!$BB$51+[1]SME!$BC$51)/1000/P146</f>
        <v>#DIV/0!</v>
      </c>
      <c r="Q153" s="7"/>
      <c r="R153" s="20">
        <f>-([1]MidCorp!$Z$49+[1]MidCorp!$AA$49+[1]MidCorp!$BB$49+[1]MidCorp!$BC$49)/1000/R146</f>
        <v>-2.5761407096927168E-2</v>
      </c>
      <c r="S153" s="20">
        <f>-([1]MidCorp!$Z$50+[1]MidCorp!$AA$50+[1]MidCorp!$BB$50+[1]MidCorp!$BC$50)/1000/S146</f>
        <v>-2.8391031145557598E-2</v>
      </c>
      <c r="T153" s="20">
        <f>-([1]MidCorp!$Z$51+[1]MidCorp!$AA$51+[1]MidCorp!$BB$51+[1]MidCorp!$BC$51)/1000/T146</f>
        <v>-1.6323729459004482E-2</v>
      </c>
      <c r="U153" s="7"/>
      <c r="V153" s="20">
        <f>-([1]MGA!$Z$49+[1]MGA!$AA$49+[1]MGA!$BB$49+[1]MGA!$BC$49)/1000/V146</f>
        <v>-8.7678958211737806E-4</v>
      </c>
      <c r="W153" s="20">
        <f>-([1]MGA!$Z$50+[1]MGA!$AA$50+[1]MGA!$BB$50+[1]MGA!$BC$50)/1000/W146</f>
        <v>-1.1591955739130489E-5</v>
      </c>
      <c r="X153" s="20">
        <f>-([1]MGA!$Z$51+[1]MGA!$AA$51+[1]MGA!$BB$51+[1]MGA!$BC$51)/1000/X146</f>
        <v>1.0397048288950021E-4</v>
      </c>
      <c r="Y153" s="7"/>
      <c r="Z153" s="20" t="e">
        <f>-([1]Bancassurance!$Z$49+[1]Bancassurance!$AA$49+[1]Bancassurance!$BB$49+[1]Bancassurance!$BC$49)/1000/Z146</f>
        <v>#DIV/0!</v>
      </c>
      <c r="AA153" s="20" t="e">
        <f>-([1]Bancassurance!$Z$50+[1]Bancassurance!$AA$50+[1]Bancassurance!$BB$50+[1]Bancassurance!$BC$50)/1000/AA146</f>
        <v>#DIV/0!</v>
      </c>
      <c r="AB153" s="20" t="e">
        <f>-([1]Bancassurance!$Z$51+[1]Bancassurance!$AA$51+[1]Bancassurance!$BB$51+[1]Bancassurance!$BC$51)/1000/AB146</f>
        <v>#DIV/0!</v>
      </c>
      <c r="AC153" s="7"/>
      <c r="AD153" s="20">
        <f>-([1]Specials!$Z$49+[1]Specials!$AA$49+[1]Specials!$BB$49+[1]Specials!$BC$49)/1000/AD146</f>
        <v>0</v>
      </c>
      <c r="AE153" s="20">
        <f>-([1]Specials!$Z$50+[1]Specials!$AA$50+[1]Specials!$BB$50+[1]Specials!$BC$50)/1000/AE146</f>
        <v>0</v>
      </c>
      <c r="AF153" s="20" t="e">
        <f>-([1]Specials!$Z$51+[1]Specials!$AA$51+[1]Specials!$BB$51+[1]Specials!$BC$51)/1000/AF146</f>
        <v>#DIV/0!</v>
      </c>
      <c r="AG153" s="7"/>
      <c r="AH153" s="28">
        <f>-('[1]Total P&amp;C'!$Z$49+'[1]Total P&amp;C'!$AA$49+'[1]Total P&amp;C'!$BB$49+'[1]Total P&amp;C'!$BC$49)/1000/AH146</f>
        <v>-2.554872057859681E-2</v>
      </c>
      <c r="AI153" s="28">
        <f>-('[1]Total P&amp;C'!$Z$50+'[1]Total P&amp;C'!$AA$50+'[1]Total P&amp;C'!$BB$50+'[1]Total P&amp;C'!$BC$50)/1000/AI146</f>
        <v>-2.8123752188310969E-2</v>
      </c>
      <c r="AJ153" s="28">
        <f>-('[1]Total P&amp;C'!$Z$51+'[1]Total P&amp;C'!$AA$51+'[1]Total P&amp;C'!$BB$51+'[1]Total P&amp;C'!$BC$51)/1000/AJ146</f>
        <v>-1.6301621668856712E-2</v>
      </c>
      <c r="AL153" s="202"/>
      <c r="AM153" s="9"/>
      <c r="AN153" s="37" t="s">
        <v>27</v>
      </c>
      <c r="AT153" s="20">
        <f>-([2]Retail!$Z$49+[2]Retail!$AA$49+[2]Retail!$BB$49+[2]Retail!$BC$49)/1000/AT146</f>
        <v>0</v>
      </c>
      <c r="AU153" s="20" t="e">
        <f>-([2]Retail!$Z$50+[2]Retail!$AA$50+[2]Retail!$BB$50+[2]Retail!$BC$50)/1000/AU146</f>
        <v>#DIV/0!</v>
      </c>
      <c r="AV153" s="20" t="e">
        <f>-([2]Retail!$Z$51+[2]Retail!$AA$51+[2]Retail!$BB$51+[2]Retail!$BC$51)/1000/AV146</f>
        <v>#DIV/0!</v>
      </c>
      <c r="AW153" s="7"/>
      <c r="AX153" s="20">
        <f>-([2]SME!$Z$49+[2]SME!$AA$49+[2]SME!$BB$49+[2]SME!$BC$49)/1000/AX146</f>
        <v>0</v>
      </c>
      <c r="AY153" s="20">
        <f>-([2]SME!$Z$50+[2]SME!$AA$50+[2]SME!$BB$50+[2]SME!$BC$50)/1000/AY146</f>
        <v>0</v>
      </c>
      <c r="AZ153" s="20" t="e">
        <f>-([2]SME!$Z$51+[2]SME!$AA$51+[2]SME!$BB$51+[2]SME!$BC$51)/1000/AZ146</f>
        <v>#DIV/0!</v>
      </c>
      <c r="BA153" s="7"/>
      <c r="BB153" s="20">
        <f>-([2]MidCorp!$Z$49+[2]MidCorp!$AA$49+[2]MidCorp!$BB$49+[2]MidCorp!$BC$49)/1000/BB146</f>
        <v>-1.0743999169543749E-2</v>
      </c>
      <c r="BC153" s="20">
        <f>-([2]MidCorp!$Z$50+[2]MidCorp!$AA$50+[2]MidCorp!$BB$50+[2]MidCorp!$BC$50)/1000/BC146</f>
        <v>-1.0175203155677739E-2</v>
      </c>
      <c r="BD153" s="20">
        <f>-([2]MidCorp!$Z$51+[2]MidCorp!$AA$51+[2]MidCorp!$BB$51+[2]MidCorp!$BC$51)/1000/BD146</f>
        <v>-2.7013320046334215E-3</v>
      </c>
      <c r="BJ153" s="20" t="e">
        <f>-([2]Specials!$Z$49+[2]Specials!$AA$49+[2]Specials!$BB$49+[2]Specials!$BC$49)/1000/BJ146</f>
        <v>#DIV/0!</v>
      </c>
      <c r="BK153" s="20" t="e">
        <f>-([2]Specials!$Z$50+[2]Specials!$AA$50+[2]Specials!$BB$50+[2]Specials!$BC$50)/1000/BK146</f>
        <v>#DIV/0!</v>
      </c>
      <c r="BL153" s="20" t="e">
        <f>-([2]Specials!$Z$51+[2]Specials!$AA$51+[2]Specials!$BB$51+[2]Specials!$BC$51)/1000/BL146</f>
        <v>#DIV/0!</v>
      </c>
      <c r="BM153" s="7"/>
      <c r="BN153" s="28">
        <f>-('[2]Total P&amp;C'!$Z$49+'[2]Total P&amp;C'!$AA$49+'[2]Total P&amp;C'!$BB$49+'[2]Total P&amp;C'!$BC$49)/1000/BN146</f>
        <v>-1.0711171550485954E-2</v>
      </c>
      <c r="BO153" s="28">
        <f>-('[2]Total P&amp;C'!$Z$50+'[2]Total P&amp;C'!$AA$50+'[2]Total P&amp;C'!$BB$50+'[2]Total P&amp;C'!$BC$50)/1000/BO146</f>
        <v>-1.0146246285979372E-2</v>
      </c>
      <c r="BP153" s="28">
        <f>-('[2]Total P&amp;C'!$Z$51+'[2]Total P&amp;C'!$AA$51+'[2]Total P&amp;C'!$BB$51+'[2]Total P&amp;C'!$BC$51)/1000/BP146</f>
        <v>-2.7013320046334215E-3</v>
      </c>
      <c r="BR153" s="28">
        <f>-('[3]Total P&amp;C'!$Z$49+'[3]Total P&amp;C'!$AA$49+'[3]Total P&amp;C'!$BB$49+'[3]Total P&amp;C'!$BC$49)/1000/BR146</f>
        <v>-2.3281965055148842E-2</v>
      </c>
      <c r="BS153" s="28">
        <f>-('[3]Total P&amp;C'!$Z$50+'[3]Total P&amp;C'!$AA$50+'[3]Total P&amp;C'!$BB$50+'[3]Total P&amp;C'!$BC$50)/1000/BS146</f>
        <v>-2.5054730841363282E-2</v>
      </c>
      <c r="BT153" s="28">
        <f>-('[3]Total P&amp;C'!$Z$51+'[3]Total P&amp;C'!$AA$51+'[3]Total P&amp;C'!$BB$51+'[3]Total P&amp;C'!$BC$51)/1000/BT146</f>
        <v>-1.4272174183388076E-2</v>
      </c>
    </row>
    <row r="154" spans="2:72" ht="16.5" hidden="1" customHeight="1" outlineLevel="1" x14ac:dyDescent="0.25">
      <c r="B154" s="202"/>
      <c r="C154" s="9"/>
      <c r="D154" s="37" t="s">
        <v>28</v>
      </c>
      <c r="J154" s="20" t="e">
        <f>-SUM([1]Retail!$AC$49:$AI$49,[1]Retail!$BE$49:$BG$49)/1000/J146</f>
        <v>#DIV/0!</v>
      </c>
      <c r="K154" s="20" t="e">
        <f>-SUM([1]Retail!$AC$50:$AI$50,[1]Retail!$BE$50:$BG$50)/1000/K146</f>
        <v>#DIV/0!</v>
      </c>
      <c r="L154" s="20" t="e">
        <f>-SUM([1]Retail!$AC$51:$AI$51,[1]Retail!$BE$51:$BG$51)/1000/L146</f>
        <v>#DIV/0!</v>
      </c>
      <c r="M154" s="7"/>
      <c r="N154" s="20" t="e">
        <f>-SUM([1]SME!$AC$49:$AI$49,[1]SME!$BE$49:$BG$49)/1000/N146</f>
        <v>#DIV/0!</v>
      </c>
      <c r="O154" s="20" t="e">
        <f>-SUM([1]SME!$AC$50:$AI$50,[1]SME!$BE$50:$BG$50)/1000/O146</f>
        <v>#DIV/0!</v>
      </c>
      <c r="P154" s="20" t="e">
        <f>-SUM([1]SME!$AC$51:$AI$51,[1]SME!$BE$51:$BG$51)/1000/P146</f>
        <v>#DIV/0!</v>
      </c>
      <c r="Q154" s="7"/>
      <c r="R154" s="20">
        <f>-SUM([1]MidCorp!$AC$49:$AI$49,[1]MidCorp!$BE$49:$BG$49)/1000/R146</f>
        <v>-0.24571569587688291</v>
      </c>
      <c r="S154" s="20">
        <f>-SUM([1]MidCorp!$AC$50:$AI$50,[1]MidCorp!$BE$50:$BG$50)/1000/S146</f>
        <v>-2.7306784530378766E-2</v>
      </c>
      <c r="T154" s="20">
        <f>-SUM([1]MidCorp!$AC$51:$AI$51,[1]MidCorp!$BE$51:$BG$51)/1000/T146</f>
        <v>-3.0156579880395797E-2</v>
      </c>
      <c r="U154" s="7"/>
      <c r="V154" s="20">
        <f>-SUM([1]MGA!$AC$49:$AI$49,[1]MGA!$BE$49:$BG$49)/1000/V146</f>
        <v>2.2689236328792375</v>
      </c>
      <c r="W154" s="20">
        <f>-SUM([1]MGA!$AC$50:$AI$50,[1]MGA!$BE$50:$BG$50)/1000/W146</f>
        <v>3.2160356624199928</v>
      </c>
      <c r="X154" s="20">
        <f>-SUM([1]MGA!$AC$51:$AI$51,[1]MGA!$BE$51:$BG$51)/1000/X146</f>
        <v>5.872539790502868E-5</v>
      </c>
      <c r="Y154" s="7"/>
      <c r="Z154" s="20" t="e">
        <f>-SUM([1]Bancassurance!$AC$49:$AI$49,[1]Bancassurance!$BE$49:$BG$49)/1000/Z146</f>
        <v>#DIV/0!</v>
      </c>
      <c r="AA154" s="20" t="e">
        <f>-SUM([1]Bancassurance!$AC$50:$AI$50,[1]Bancassurance!$BE$50:$BG$50)/1000/AA146</f>
        <v>#DIV/0!</v>
      </c>
      <c r="AB154" s="20" t="e">
        <f>-SUM([1]Bancassurance!$AC$51:$AI$51,[1]Bancassurance!$BE$51:$BG$51)/1000/AB146</f>
        <v>#DIV/0!</v>
      </c>
      <c r="AC154" s="7"/>
      <c r="AD154" s="20">
        <f>-SUM([1]Specials!$AC$49:$AI$49,[1]Specials!$BE$49:$BG$49)/1000/AD146</f>
        <v>-2.9957356076759054</v>
      </c>
      <c r="AE154" s="20">
        <f>-SUM([1]Specials!$AC$50:$AI$50,[1]Specials!$BE$50:$BG$50)/1000/AE146</f>
        <v>-0.36180116847955163</v>
      </c>
      <c r="AF154" s="20" t="e">
        <f>-SUM([1]Specials!$AC$51:$AI$51,[1]Specials!$BE$51:$BG$51)/1000/AF146</f>
        <v>#DIV/0!</v>
      </c>
      <c r="AG154" s="7"/>
      <c r="AH154" s="28">
        <f>-SUM('[1]Total P&amp;C'!$AC$49:$AI$49,'[1]Total P&amp;C'!$BE$49:$BG$49)/1000/AH146</f>
        <v>-0.2240301176949408</v>
      </c>
      <c r="AI154" s="28">
        <f>-SUM('[1]Total P&amp;C'!$AC$50:$AI$50,'[1]Total P&amp;C'!$BE$50:$BG$50)/1000/AI146</f>
        <v>2.8061193268277265E-3</v>
      </c>
      <c r="AJ154" s="28">
        <f>-SUM('[1]Total P&amp;C'!$AC$51:$AI$51,'[1]Total P&amp;C'!$BE$51:$BG$51)/1000/AJ146</f>
        <v>-3.011591724163893E-2</v>
      </c>
      <c r="AL154" s="202"/>
      <c r="AM154" s="9"/>
      <c r="AN154" s="37" t="s">
        <v>28</v>
      </c>
      <c r="AT154" s="20">
        <f>-SUM([2]Retail!$AC$49:$AI$49,[2]Retail!$BE$49:$BG$49)/1000/AT146</f>
        <v>0</v>
      </c>
      <c r="AU154" s="20" t="e">
        <f>-SUM([2]Retail!$AC$50:$AI$50,[2]Retail!$BE$50:$BG$50)/1000/AU146</f>
        <v>#DIV/0!</v>
      </c>
      <c r="AV154" s="20" t="e">
        <f>-SUM([2]Retail!$AC$51:$AI$51,[2]Retail!$BE$51:$BG$51)/1000/AV146</f>
        <v>#DIV/0!</v>
      </c>
      <c r="AW154" s="7"/>
      <c r="AX154" s="20">
        <f>-SUM([2]SME!$AC$49:$AI$49,[2]SME!$BE$49:$BG$49)/1000/AX146</f>
        <v>0</v>
      </c>
      <c r="AY154" s="20">
        <f>-SUM([2]SME!$AC$50:$AI$50,[2]SME!$BE$50:$BG$50)/1000/AY146</f>
        <v>0.331586031962257</v>
      </c>
      <c r="AZ154" s="20" t="e">
        <f>-SUM([2]SME!$AC$51:$AI$51,[2]SME!$BE$51:$BG$51)/1000/AZ146</f>
        <v>#DIV/0!</v>
      </c>
      <c r="BA154" s="7"/>
      <c r="BB154" s="20">
        <f>-SUM([2]MidCorp!$AC$49:$AI$49,[2]MidCorp!$BE$49:$BG$49)/1000/BB146</f>
        <v>-0.19273521968249838</v>
      </c>
      <c r="BC154" s="20">
        <f>-SUM([2]MidCorp!$AC$50:$AI$50,[2]MidCorp!$BE$50:$BG$50)/1000/BC146</f>
        <v>0.18652421408222622</v>
      </c>
      <c r="BD154" s="20">
        <f>-SUM([2]MidCorp!$AC$51:$AI$51,[2]MidCorp!$BE$51:$BG$51)/1000/BD146</f>
        <v>-3.9885937637191568E-3</v>
      </c>
      <c r="BJ154" s="20" t="e">
        <f>-SUM([2]Specials!$AC$49:$AI$49,[2]Specials!$BE$49:$BG$49)/1000/BJ146</f>
        <v>#DIV/0!</v>
      </c>
      <c r="BK154" s="20" t="e">
        <f>-SUM([2]Specials!$AC$50:$AI$50,[2]Specials!$BE$50:$BG$50)/1000/BK146</f>
        <v>#DIV/0!</v>
      </c>
      <c r="BL154" s="20" t="e">
        <f>-SUM([2]Specials!$AC$51:$AI$51,[2]Specials!$BE$51:$BG$51)/1000/BL146</f>
        <v>#DIV/0!</v>
      </c>
      <c r="BM154" s="7"/>
      <c r="BN154" s="28">
        <f>-SUM('[2]Total P&amp;C'!$AC$49:$AI$49,'[2]Total P&amp;C'!$BE$49:$BG$49)/1000/BN146</f>
        <v>-0.19214632924506303</v>
      </c>
      <c r="BO154" s="28">
        <f>-SUM('[2]Total P&amp;C'!$AC$50:$AI$50,'[2]Total P&amp;C'!$BE$50:$BG$50)/1000/BO146</f>
        <v>0.18693703494627129</v>
      </c>
      <c r="BP154" s="28">
        <f>-SUM('[2]Total P&amp;C'!$AC$51:$AI$51,'[2]Total P&amp;C'!$BE$51:$BG$51)/1000/BP146</f>
        <v>-3.9885937637191568E-3</v>
      </c>
      <c r="BR154" s="28">
        <f>-SUM('[3]Total P&amp;C'!$AC$49:$AI$49,'[3]Total P&amp;C'!$BE$49:$BG$49)/1000/BR146</f>
        <v>-0.21915918156928552</v>
      </c>
      <c r="BS154" s="28">
        <f>-SUM('[3]Total P&amp;C'!$AC$50:$AI$50,'[3]Total P&amp;C'!$BE$50:$BG$50)/1000/BS146</f>
        <v>3.4239940777878015E-2</v>
      </c>
      <c r="BT154" s="28">
        <f>-SUM('[3]Total P&amp;C'!$AC$51:$AI$51,'[3]Total P&amp;C'!$BE$51:$BG$51)/1000/BT146</f>
        <v>-2.6217174476345195E-2</v>
      </c>
    </row>
    <row r="155" spans="2:72" ht="16.5" hidden="1" customHeight="1" outlineLevel="1" x14ac:dyDescent="0.25">
      <c r="B155" s="202"/>
      <c r="C155" s="9"/>
      <c r="D155" s="37" t="s">
        <v>29</v>
      </c>
      <c r="J155" s="20" t="e">
        <f>-SUM([1]Retail!$AJ$49:$AK$49,[1]Retail!$BH$49:$BI$49)/1000/J146</f>
        <v>#DIV/0!</v>
      </c>
      <c r="K155" s="20" t="e">
        <f>-SUM([1]Retail!$AJ$50:$AK$50,[1]Retail!$BH$50:$BI$50)/1000/K146</f>
        <v>#DIV/0!</v>
      </c>
      <c r="L155" s="20" t="e">
        <f>-SUM([1]Retail!$AJ$51:$AK$51,[1]Retail!$BH$51:$BI$51)/1000/L146</f>
        <v>#DIV/0!</v>
      </c>
      <c r="M155" s="7"/>
      <c r="N155" s="20" t="e">
        <f>-SUM([1]SME!$AJ$49:$AK$49,[1]SME!$BH$49:$BI$49)/1000/N146</f>
        <v>#DIV/0!</v>
      </c>
      <c r="O155" s="20" t="e">
        <f>-SUM([1]SME!$AJ$50:$AK$50,[1]SME!$BH$50:$BI$50)/1000/O146</f>
        <v>#DIV/0!</v>
      </c>
      <c r="P155" s="20" t="e">
        <f>-SUM([1]SME!$AJ$51:$AK$51,[1]SME!$BH$51:$BI$51)/1000/P146</f>
        <v>#DIV/0!</v>
      </c>
      <c r="Q155" s="7"/>
      <c r="R155" s="20">
        <f>-SUM([1]MidCorp!$AJ$49:$AK$49,[1]MidCorp!$BH$49:$BI$49)/1000/R146</f>
        <v>5.5407826304704172E-2</v>
      </c>
      <c r="S155" s="20">
        <f>-SUM([1]MidCorp!$AJ$50:$AK$50,[1]MidCorp!$BH$50:$BI$50)/1000/S146</f>
        <v>9.7894651962955066E-3</v>
      </c>
      <c r="T155" s="20">
        <f>-SUM([1]MidCorp!$AJ$51:$AK$51,[1]MidCorp!$BH$51:$BI$51)/1000/T146</f>
        <v>0</v>
      </c>
      <c r="U155" s="7"/>
      <c r="V155" s="20">
        <f>-SUM([1]MGA!$AJ$49:$AK$49,[1]MGA!$BH$49:$BI$49)/1000/V146</f>
        <v>2.6485454806930025E-2</v>
      </c>
      <c r="W155" s="20">
        <f>-SUM([1]MGA!$AJ$50:$AK$50,[1]MGA!$BH$50:$BI$50)/1000/W146</f>
        <v>-0.13355324046167519</v>
      </c>
      <c r="X155" s="20">
        <f>-SUM([1]MGA!$AJ$51:$AK$51,[1]MGA!$BH$51:$BI$51)/1000/X146</f>
        <v>0</v>
      </c>
      <c r="Y155" s="7"/>
      <c r="Z155" s="20" t="e">
        <f>-SUM([1]Bancassurance!$AJ$49:$AK$49,[1]Bancassurance!$BH$49:$BI$49)/1000/Z146</f>
        <v>#DIV/0!</v>
      </c>
      <c r="AA155" s="20" t="e">
        <f>-SUM([1]Bancassurance!$AJ$50:$AK$50,[1]Bancassurance!$BH$50:$BI$50)/1000/AA146</f>
        <v>#DIV/0!</v>
      </c>
      <c r="AB155" s="20" t="e">
        <f>-SUM([1]Bancassurance!$AJ$51:$AK$51,[1]Bancassurance!$BH$51:$BI$51)/1000/AB146</f>
        <v>#DIV/0!</v>
      </c>
      <c r="AC155" s="7"/>
      <c r="AD155" s="20">
        <f>-SUM([1]Specials!$AJ$49:$AK$49,[1]Specials!$BH$49:$BI$49)/1000/AD146</f>
        <v>-1.0660980810234541E-2</v>
      </c>
      <c r="AE155" s="20">
        <f>-SUM([1]Specials!$AJ$50:$AK$50,[1]Specials!$BH$50:$BI$50)/1000/AE146</f>
        <v>3.5624376573409962E-4</v>
      </c>
      <c r="AF155" s="20" t="e">
        <f>-SUM([1]Specials!$AJ$51:$AK$51,[1]Specials!$BH$51:$BI$51)/1000/AF146</f>
        <v>#DIV/0!</v>
      </c>
      <c r="AG155" s="7"/>
      <c r="AH155" s="28">
        <f>-SUM('[1]Total P&amp;C'!$AJ$49:$AK$49,'[1]Total P&amp;C'!$BH$49:$BI$49)/1000/AH146</f>
        <v>5.5109609586598551E-2</v>
      </c>
      <c r="AI155" s="28">
        <f>-SUM('[1]Total P&amp;C'!$AJ$50:$AK$50,'[1]Total P&amp;C'!$BH$50:$BI$50)/1000/AI146</f>
        <v>8.4598773176124721E-3</v>
      </c>
      <c r="AJ155" s="28">
        <f>-SUM('[1]Total P&amp;C'!$AJ$51:$AK$51,'[1]Total P&amp;C'!$BH$51:$BI$51)/1000/AJ146</f>
        <v>0</v>
      </c>
      <c r="AL155" s="202"/>
      <c r="AM155" s="9"/>
      <c r="AN155" s="37" t="s">
        <v>29</v>
      </c>
      <c r="AT155" s="20">
        <f>-SUM([2]Retail!$AJ$49:$AK$49,[2]Retail!$BH$49:$BI$49)/1000/AT146</f>
        <v>0</v>
      </c>
      <c r="AU155" s="20" t="e">
        <f>-SUM([2]Retail!$AJ$50:$AK$50,[2]Retail!$BH$50:$BI$50)/1000/AU146</f>
        <v>#DIV/0!</v>
      </c>
      <c r="AV155" s="20" t="e">
        <f>-SUM([2]Retail!$AJ$51:$AK$51,[2]Retail!$BH$51:$BI$51)/1000/AV146</f>
        <v>#DIV/0!</v>
      </c>
      <c r="AW155" s="7"/>
      <c r="AX155" s="20">
        <f>-SUM([2]SME!$AJ$49:$AK$49,[2]SME!$BH$49:$BI$49)/1000/AX146</f>
        <v>0</v>
      </c>
      <c r="AY155" s="20">
        <f>-SUM([2]SME!$AJ$50:$AK$50,[2]SME!$BH$50:$BI$50)/1000/AY146</f>
        <v>0</v>
      </c>
      <c r="AZ155" s="20" t="e">
        <f>-SUM([2]SME!$AJ$51:$AK$51,[2]SME!$BH$51:$BI$51)/1000/AZ146</f>
        <v>#DIV/0!</v>
      </c>
      <c r="BA155" s="7"/>
      <c r="BB155" s="20">
        <f>-SUM([2]MidCorp!$AJ$49:$AK$49,[2]MidCorp!$BH$49:$BI$49)/1000/BB146</f>
        <v>7.594541637211594E-3</v>
      </c>
      <c r="BC155" s="20">
        <f>-SUM([2]MidCorp!$AJ$50:$AK$50,[2]MidCorp!$BH$50:$BI$50)/1000/BC146</f>
        <v>3.0566417811591887E-3</v>
      </c>
      <c r="BD155" s="20">
        <f>-SUM([2]MidCorp!$AJ$51:$AK$51,[2]MidCorp!$BH$51:$BI$51)/1000/BD146</f>
        <v>0</v>
      </c>
      <c r="BJ155" s="20" t="e">
        <f>-SUM([2]Specials!$AJ$49:$AK$49,[2]Specials!$BH$49:$BI$49)/1000/BJ146</f>
        <v>#DIV/0!</v>
      </c>
      <c r="BK155" s="20" t="e">
        <f>-SUM([2]Specials!$AJ$50:$AK$50,[2]Specials!$BH$50:$BI$50)/1000/BK146</f>
        <v>#DIV/0!</v>
      </c>
      <c r="BL155" s="20" t="e">
        <f>-SUM([2]Specials!$AJ$51:$AK$51,[2]Specials!$BH$51:$BI$51)/1000/BL146</f>
        <v>#DIV/0!</v>
      </c>
      <c r="BM155" s="7"/>
      <c r="BN155" s="28">
        <f>-SUM('[2]Total P&amp;C'!$AJ$49:$AK$49,'[2]Total P&amp;C'!$BH$49:$BI$49)/1000/BN146</f>
        <v>7.5713369891237878E-3</v>
      </c>
      <c r="BO155" s="28">
        <f>-SUM('[2]Total P&amp;C'!$AJ$50:$AK$50,'[2]Total P&amp;C'!$BH$50:$BI$50)/1000/BO146</f>
        <v>3.0479431069000687E-3</v>
      </c>
      <c r="BP155" s="28">
        <f>-SUM('[2]Total P&amp;C'!$AJ$51:$AK$51,'[2]Total P&amp;C'!$BH$51:$BI$51)/1000/BP146</f>
        <v>0</v>
      </c>
      <c r="BR155" s="28">
        <f>-SUM('[3]Total P&amp;C'!$AJ$49:$AK$49,'[3]Total P&amp;C'!$BH$49:$BI$49)/1000/BR146</f>
        <v>4.7847113484220313E-2</v>
      </c>
      <c r="BS155" s="28">
        <f>-SUM('[3]Total P&amp;C'!$AJ$50:$AK$50,'[3]Total P&amp;C'!$BH$50:$BI$50)/1000/BS146</f>
        <v>7.5359815496906998E-3</v>
      </c>
      <c r="BT155" s="28">
        <f>-SUM('[3]Total P&amp;C'!$AJ$51:$AK$51,'[3]Total P&amp;C'!$BH$51:$BI$51)/1000/BT146</f>
        <v>0</v>
      </c>
    </row>
    <row r="156" spans="2:72" ht="16.5" hidden="1" customHeight="1" outlineLevel="1" x14ac:dyDescent="0.25">
      <c r="B156" s="202"/>
      <c r="C156" s="9"/>
      <c r="D156" s="37" t="s">
        <v>30</v>
      </c>
      <c r="J156" s="20" t="e">
        <f>+J157+J158+J159</f>
        <v>#DIV/0!</v>
      </c>
      <c r="K156" s="20" t="e">
        <f>+K157+K158+K159</f>
        <v>#DIV/0!</v>
      </c>
      <c r="L156" s="20" t="e">
        <f>+L157+L158+L159</f>
        <v>#DIV/0!</v>
      </c>
      <c r="M156" s="7"/>
      <c r="N156" s="20" t="e">
        <f>+N157+N158+N159</f>
        <v>#DIV/0!</v>
      </c>
      <c r="O156" s="20" t="e">
        <f>+O157+O158+O159</f>
        <v>#DIV/0!</v>
      </c>
      <c r="P156" s="20" t="e">
        <f>+P157+P158+P159</f>
        <v>#DIV/0!</v>
      </c>
      <c r="Q156" s="7"/>
      <c r="R156" s="20">
        <f>+R157+R158+R159</f>
        <v>0.25093649290638981</v>
      </c>
      <c r="S156" s="20">
        <f>+S157+S158+S159</f>
        <v>0.23420420956125729</v>
      </c>
      <c r="T156" s="20">
        <f>+T157+T158+T159</f>
        <v>0.25016747341295487</v>
      </c>
      <c r="U156" s="7"/>
      <c r="V156" s="20">
        <f>+V157+V158+V159</f>
        <v>0.30089355423957542</v>
      </c>
      <c r="W156" s="20">
        <f>+W157+W158+W159</f>
        <v>0.3424097728533087</v>
      </c>
      <c r="X156" s="20">
        <f>+X157+X158+X159</f>
        <v>0.43327514007291423</v>
      </c>
      <c r="Y156" s="7"/>
      <c r="Z156" s="20" t="e">
        <f>+Z157+Z158+Z159</f>
        <v>#DIV/0!</v>
      </c>
      <c r="AA156" s="20" t="e">
        <f>+AA157+AA158+AA159</f>
        <v>#DIV/0!</v>
      </c>
      <c r="AB156" s="20" t="e">
        <f>+AB157+AB158+AB159</f>
        <v>#DIV/0!</v>
      </c>
      <c r="AC156" s="7"/>
      <c r="AD156" s="20">
        <f>+AD157+AD158+AD159</f>
        <v>5.0106609808102338E-2</v>
      </c>
      <c r="AE156" s="20">
        <f>+AE157+AE158+AE159</f>
        <v>5.0325369306037163E-2</v>
      </c>
      <c r="AF156" s="20" t="e">
        <f>+AF157+AF158+AF159</f>
        <v>#DIV/0!</v>
      </c>
      <c r="AG156" s="7"/>
      <c r="AH156" s="28">
        <f>+AH157+AH158+AH159</f>
        <v>0.25136370509547595</v>
      </c>
      <c r="AI156" s="28">
        <f>+AI157+AI158+AI159</f>
        <v>0.23518165733766777</v>
      </c>
      <c r="AJ156" s="28">
        <f>+AJ157+AJ158+AJ159</f>
        <v>0.25041389292897259</v>
      </c>
      <c r="AL156" s="202"/>
      <c r="AM156" s="9"/>
      <c r="AN156" s="37" t="s">
        <v>30</v>
      </c>
      <c r="AT156" s="20">
        <f>+AT157+AT158+AT159</f>
        <v>0.175531914893617</v>
      </c>
      <c r="AU156" s="20" t="e">
        <f>+AU157+AU158+AU159</f>
        <v>#DIV/0!</v>
      </c>
      <c r="AV156" s="20" t="e">
        <f>+AV157+AV158+AV159</f>
        <v>#DIV/0!</v>
      </c>
      <c r="AW156" s="7"/>
      <c r="AX156" s="20">
        <f>+AX157+AX158+AX159</f>
        <v>0.1684061346287731</v>
      </c>
      <c r="AY156" s="20">
        <f>+AY157+AY158+AY159</f>
        <v>0.16917067528231575</v>
      </c>
      <c r="AZ156" s="20" t="e">
        <f>+AZ157+AZ158+AZ159</f>
        <v>#DIV/0!</v>
      </c>
      <c r="BA156" s="7"/>
      <c r="BB156" s="20">
        <f>+BB157+BB158+BB159</f>
        <v>0.29991136652335693</v>
      </c>
      <c r="BC156" s="20">
        <f>+BC157+BC158+BC159</f>
        <v>0.31460624534826354</v>
      </c>
      <c r="BD156" s="20">
        <f>+BD157+BD158+BD159</f>
        <v>0.31886429207977884</v>
      </c>
      <c r="BJ156" s="20" t="e">
        <f>+BJ157+BJ158+BJ159</f>
        <v>#DIV/0!</v>
      </c>
      <c r="BK156" s="20" t="e">
        <f>+BK157+BK158+BK159</f>
        <v>#DIV/0!</v>
      </c>
      <c r="BL156" s="20" t="e">
        <f>+BL157+BL158+BL159</f>
        <v>#DIV/0!</v>
      </c>
      <c r="BM156" s="7"/>
      <c r="BN156" s="28">
        <f>+BN157+BN158+BN159</f>
        <v>0.29950952234571937</v>
      </c>
      <c r="BO156" s="28">
        <f>+BO157+BO158+BO159</f>
        <v>0.31419236085008939</v>
      </c>
      <c r="BP156" s="28">
        <f>+BP157+BP158+BP159</f>
        <v>0.31886429207977884</v>
      </c>
      <c r="BR156" s="28">
        <f>+BR157+BR158+BR159</f>
        <v>0.25871901674271236</v>
      </c>
      <c r="BS156" s="28">
        <f>+BS157+BS158+BS159</f>
        <v>0.24866993190892109</v>
      </c>
      <c r="BT156" s="28">
        <f>+BT157+BT158+BT159</f>
        <v>0.26062812320388801</v>
      </c>
    </row>
    <row r="157" spans="2:72" ht="16.5" hidden="1" customHeight="1" outlineLevel="1" x14ac:dyDescent="0.25">
      <c r="B157" s="202"/>
      <c r="C157" s="9"/>
      <c r="D157" s="39" t="s">
        <v>31</v>
      </c>
      <c r="J157" s="20" t="e">
        <f>-SUM([1]Retail!$AL$49:$AN$49,[1]Retail!$BJ$49)/1000/J146</f>
        <v>#DIV/0!</v>
      </c>
      <c r="K157" s="42" t="e">
        <f>-SUM([1]Retail!$AL$50:$AN$50,[1]Retail!$BJ$50)/1000/K146</f>
        <v>#DIV/0!</v>
      </c>
      <c r="L157" s="42" t="e">
        <f>-SUM([1]Retail!$AL$51:$AN$51,[1]Retail!$BJ$51)/1000/L146</f>
        <v>#DIV/0!</v>
      </c>
      <c r="M157" s="8"/>
      <c r="N157" s="20" t="e">
        <f>-SUM([1]SME!$AL$49:$AN$49,[1]SME!$BJ$49)/1000/N146</f>
        <v>#DIV/0!</v>
      </c>
      <c r="O157" s="20" t="e">
        <f>-SUM([1]SME!$AL$50:$AN$50,[1]SME!$BJ$50)/1000/O146</f>
        <v>#DIV/0!</v>
      </c>
      <c r="P157" s="20" t="e">
        <f>-SUM([1]SME!$AL$51:$AN$51,[1]SME!$BJ$51)/1000/P146</f>
        <v>#DIV/0!</v>
      </c>
      <c r="Q157" s="8"/>
      <c r="R157" s="20">
        <f>-SUM([1]MidCorp!$AL$49:$AN$49,[1]MidCorp!$BJ$49)/1000/R146</f>
        <v>0.15000521245371998</v>
      </c>
      <c r="S157" s="20">
        <f>-SUM([1]MidCorp!$AL$50:$AN$50,[1]MidCorp!$BJ$50)/1000/S146</f>
        <v>0.14501752988114491</v>
      </c>
      <c r="T157" s="20">
        <f>-SUM([1]MidCorp!$AL$51:$AN$51,[1]MidCorp!$BJ$51)/1000/T146</f>
        <v>0.1441423546560118</v>
      </c>
      <c r="U157" s="8"/>
      <c r="V157" s="20">
        <f>-SUM([1]MGA!$AL$49:$AN$49,[1]MGA!$BJ$49)/1000/V146</f>
        <v>0.27388292700904476</v>
      </c>
      <c r="W157" s="20">
        <f>-SUM([1]MGA!$AL$50:$AN$50,[1]MGA!$BJ$50)/1000/W146</f>
        <v>0.25421084747397349</v>
      </c>
      <c r="X157" s="20">
        <f>-SUM([1]MGA!$AL$51:$AN$51,[1]MGA!$BJ$51)/1000/X146</f>
        <v>0.25988731019807038</v>
      </c>
      <c r="Y157" s="8"/>
      <c r="Z157" s="20" t="e">
        <f>-SUM([1]Bancassurance!$AL$49:$AN$49,[1]Bancassurance!$BJ$49)/1000/Z146</f>
        <v>#DIV/0!</v>
      </c>
      <c r="AA157" s="20" t="e">
        <f>-SUM([1]Bancassurance!$AL$50:$AN$50,[1]Bancassurance!$BJ$50)/1000/AA146</f>
        <v>#DIV/0!</v>
      </c>
      <c r="AB157" s="20" t="e">
        <f>-SUM([1]Bancassurance!$AL$51:$AN$51,[1]Bancassurance!$BJ$51)/1000/AB146</f>
        <v>#DIV/0!</v>
      </c>
      <c r="AC157" s="8"/>
      <c r="AD157" s="20">
        <f>-SUM([1]Specials!$AL$49:$AN$49,[1]Specials!$BJ$49)/1000/AD146</f>
        <v>5.0106609808102338E-2</v>
      </c>
      <c r="AE157" s="20">
        <f>-SUM([1]Specials!$AL$50:$AN$50,[1]Specials!$BJ$50)/1000/AE146</f>
        <v>5.0325369306037163E-2</v>
      </c>
      <c r="AF157" s="20" t="e">
        <f>-SUM([1]Specials!$AL$51:$AN$51,[1]Specials!$BJ$51)/1000/AF146</f>
        <v>#DIV/0!</v>
      </c>
      <c r="AG157" s="8"/>
      <c r="AH157" s="28">
        <f>-SUM('[1]Total P&amp;C'!$AL$49:$AN$49,'[1]Total P&amp;C'!$BJ$49)/1000/AH146</f>
        <v>0.15106361752386457</v>
      </c>
      <c r="AI157" s="28">
        <f>-SUM('[1]Total P&amp;C'!$AL$50:$AN$50,'[1]Total P&amp;C'!$BJ$50)/1000/AI146</f>
        <v>0.14601638140239423</v>
      </c>
      <c r="AJ157" s="28">
        <f>-SUM('[1]Total P&amp;C'!$AL$51:$AN$51,'[1]Total P&amp;C'!$BJ$51)/1000/AJ146</f>
        <v>0.14429811993032515</v>
      </c>
      <c r="AL157" s="202"/>
      <c r="AM157" s="9"/>
      <c r="AN157" s="39" t="s">
        <v>31</v>
      </c>
      <c r="AT157" s="20">
        <f>-SUM([2]Retail!$AL$49:$AN$49,[2]Retail!$BJ$49)/1000/AT146</f>
        <v>0.175531914893617</v>
      </c>
      <c r="AU157" s="42" t="e">
        <f>-SUM([2]Retail!$AL$50:$AN$50,[2]Retail!$BJ$50)/1000/AU146</f>
        <v>#DIV/0!</v>
      </c>
      <c r="AV157" s="42" t="e">
        <f>-SUM([2]Retail!$AL$51:$AN$51,[2]Retail!$BJ$51)/1000/AV146</f>
        <v>#DIV/0!</v>
      </c>
      <c r="AW157" s="8"/>
      <c r="AX157" s="20">
        <f>-SUM([2]SME!$AL$49:$AN$49,[2]SME!$BJ$49)/1000/AX146</f>
        <v>0.16839838183738057</v>
      </c>
      <c r="AY157" s="20">
        <f>-SUM([2]SME!$AL$50:$AN$50,[2]SME!$BJ$50)/1000/AY146</f>
        <v>0.16917067528231575</v>
      </c>
      <c r="AZ157" s="20" t="e">
        <f>-SUM([2]SME!$AL$51:$AN$51,[2]SME!$BJ$51)/1000/AZ146</f>
        <v>#DIV/0!</v>
      </c>
      <c r="BA157" s="8"/>
      <c r="BB157" s="20">
        <f>-SUM([2]MidCorp!$AL$49:$AN$49,[2]MidCorp!$BJ$49)/1000/BB146</f>
        <v>0.1306453618293901</v>
      </c>
      <c r="BC157" s="20">
        <f>-SUM([2]MidCorp!$AL$50:$AN$50,[2]MidCorp!$BJ$50)/1000/BC146</f>
        <v>0.1426375060232212</v>
      </c>
      <c r="BD157" s="20">
        <f>-SUM([2]MidCorp!$AL$51:$AN$51,[2]MidCorp!$BJ$51)/1000/BD146</f>
        <v>0.14226267186887673</v>
      </c>
      <c r="BJ157" s="20" t="e">
        <f>-SUM([2]Specials!$AL$49:$AN$49,[2]Specials!$BJ$49)/1000/BJ146</f>
        <v>#DIV/0!</v>
      </c>
      <c r="BK157" s="20" t="e">
        <f>-SUM([2]Specials!$AL$50:$AN$50,[2]Specials!$BJ$50)/1000/BK146</f>
        <v>#DIV/0!</v>
      </c>
      <c r="BL157" s="20" t="e">
        <f>-SUM([2]Specials!$AL$51:$AN$51,[2]Specials!$BJ$51)/1000/BL146</f>
        <v>#DIV/0!</v>
      </c>
      <c r="BM157" s="8"/>
      <c r="BN157" s="28">
        <f>-SUM('[2]Total P&amp;C'!$AL$49:$AN$49,'[2]Total P&amp;C'!$BJ$49)/1000/BN146</f>
        <v>0.13076067563754981</v>
      </c>
      <c r="BO157" s="28">
        <f>-SUM('[2]Total P&amp;C'!$AL$50:$AN$50,'[2]Total P&amp;C'!$BJ$50)/1000/BO146</f>
        <v>0.14271301483745966</v>
      </c>
      <c r="BP157" s="28">
        <f>-SUM('[2]Total P&amp;C'!$AL$51:$AN$51,'[2]Total P&amp;C'!$BJ$51)/1000/BP146</f>
        <v>0.14226267186887673</v>
      </c>
      <c r="BR157" s="28">
        <f>-SUM('[3]Total P&amp;C'!$AL$49:$AN$49,'[3]Total P&amp;C'!$BJ$49)/1000/BR146</f>
        <v>0.14796190540309212</v>
      </c>
      <c r="BS157" s="28">
        <f>-SUM('[3]Total P&amp;C'!$AL$50:$AN$50,'[3]Total P&amp;C'!$BJ$50)/1000/BS146</f>
        <v>0.14545244875458108</v>
      </c>
      <c r="BT157" s="28">
        <f>-SUM('[3]Total P&amp;C'!$AL$51:$AN$51,'[3]Total P&amp;C'!$BJ$51)/1000/BT146</f>
        <v>0.14399438853547297</v>
      </c>
    </row>
    <row r="158" spans="2:72" ht="16.5" hidden="1" customHeight="1" outlineLevel="1" x14ac:dyDescent="0.25">
      <c r="B158" s="202"/>
      <c r="C158" s="9"/>
      <c r="D158" s="39" t="s">
        <v>32</v>
      </c>
      <c r="J158" s="20" t="e">
        <f>-SUM([1]Retail!$AO$49:$AP$49)/1000/J146</f>
        <v>#DIV/0!</v>
      </c>
      <c r="K158" s="42" t="e">
        <f>-SUM([1]Retail!$AO$50:$AP$50)/1000/K146</f>
        <v>#DIV/0!</v>
      </c>
      <c r="L158" s="42" t="e">
        <f>-SUM([1]Retail!$AO$51:$AP$51)/1000/L146</f>
        <v>#DIV/0!</v>
      </c>
      <c r="M158" s="8"/>
      <c r="N158" s="20" t="e">
        <f>-SUM([1]SME!$AO$49:$AP$49)/1000/N146</f>
        <v>#DIV/0!</v>
      </c>
      <c r="O158" s="20" t="e">
        <f>-SUM([1]SME!$AO$50:$AP$50)/1000/O146</f>
        <v>#DIV/0!</v>
      </c>
      <c r="P158" s="20" t="e">
        <f>-SUM([1]SME!$AO$51:$AP$51)/1000/P146</f>
        <v>#DIV/0!</v>
      </c>
      <c r="Q158" s="8"/>
      <c r="R158" s="20">
        <f>-SUM([1]MidCorp!$AO$49:$AP$49)/1000/R146</f>
        <v>5.4051484355213932E-2</v>
      </c>
      <c r="S158" s="20">
        <f>-SUM([1]MidCorp!$AO$50:$AP$50)/1000/S146</f>
        <v>4.5563364261917996E-2</v>
      </c>
      <c r="T158" s="20">
        <f>-SUM([1]MidCorp!$AO$51:$AP$51)/1000/T146</f>
        <v>4.7670620283245813E-2</v>
      </c>
      <c r="U158" s="8"/>
      <c r="V158" s="20">
        <f>-SUM([1]MGA!$AO$49:$AP$49)/1000/V146</f>
        <v>1.7131797447686049E-2</v>
      </c>
      <c r="W158" s="20">
        <f>-SUM([1]MGA!$AO$50:$AP$50)/1000/W146</f>
        <v>1.960570658070691E-2</v>
      </c>
      <c r="X158" s="20">
        <f>-SUM([1]MGA!$AO$51:$AP$51)/1000/X146</f>
        <v>0.10980817136102185</v>
      </c>
      <c r="Y158" s="8"/>
      <c r="Z158" s="20" t="e">
        <f>-SUM([1]Bancassurance!$AO$49:$AP$49)/1000/Z146</f>
        <v>#DIV/0!</v>
      </c>
      <c r="AA158" s="20" t="e">
        <f>-SUM([1]Bancassurance!$AO$50:$AP$50)/1000/AA146</f>
        <v>#DIV/0!</v>
      </c>
      <c r="AB158" s="20" t="e">
        <f>-SUM([1]Bancassurance!$AO$51:$AP$51)/1000/AB146</f>
        <v>#DIV/0!</v>
      </c>
      <c r="AC158" s="8"/>
      <c r="AD158" s="20">
        <f>-SUM([1]Specials!$AO$49:$AP$49)/1000/AD146</f>
        <v>0</v>
      </c>
      <c r="AE158" s="20">
        <f>-SUM([1]Specials!$AO$50:$AP$50)/1000/AE146</f>
        <v>0</v>
      </c>
      <c r="AF158" s="20" t="e">
        <f>-SUM([1]Specials!$AO$51:$AP$51)/1000/AF146</f>
        <v>#DIV/0!</v>
      </c>
      <c r="AG158" s="8"/>
      <c r="AH158" s="28">
        <f>-SUM('[1]Total P&amp;C'!$AO$49:$AP$49)/1000/AH146</f>
        <v>5.3735909798998116E-2</v>
      </c>
      <c r="AI158" s="28">
        <f>-SUM('[1]Total P&amp;C'!$AO$50:$AP$50)/1000/AI146</f>
        <v>4.5316055675321633E-2</v>
      </c>
      <c r="AJ158" s="28">
        <f>-SUM('[1]Total P&amp;C'!$AO$51:$AP$51)/1000/AJ146</f>
        <v>4.7754242698092843E-2</v>
      </c>
      <c r="AL158" s="202"/>
      <c r="AM158" s="9"/>
      <c r="AN158" s="39" t="s">
        <v>32</v>
      </c>
      <c r="AT158" s="20">
        <f>-SUM([2]Retail!$AO$49:$AP$49)/1000/AT146</f>
        <v>0</v>
      </c>
      <c r="AU158" s="42" t="e">
        <f>-SUM([2]Retail!$AO$50:$AP$50)/1000/AU146</f>
        <v>#DIV/0!</v>
      </c>
      <c r="AV158" s="42" t="e">
        <f>-SUM([2]Retail!$AO$51:$AP$51)/1000/AV146</f>
        <v>#DIV/0!</v>
      </c>
      <c r="AW158" s="8"/>
      <c r="AX158" s="20">
        <f>-SUM([2]SME!$AO$49:$AP$49)/1000/AX146</f>
        <v>6.2022331140327075E-6</v>
      </c>
      <c r="AY158" s="20">
        <f>-SUM([2]SME!$AO$50:$AP$50)/1000/AY146</f>
        <v>0</v>
      </c>
      <c r="AZ158" s="20" t="e">
        <f>-SUM([2]SME!$AO$51:$AP$51)/1000/AZ146</f>
        <v>#DIV/0!</v>
      </c>
      <c r="BA158" s="8"/>
      <c r="BB158" s="20">
        <f>-SUM([2]MidCorp!$AO$49:$AP$49)/1000/BB146</f>
        <v>6.4724226667370335E-2</v>
      </c>
      <c r="BC158" s="20">
        <f>-SUM([2]MidCorp!$AO$50:$AP$50)/1000/BC146</f>
        <v>6.7872362424014829E-2</v>
      </c>
      <c r="BD158" s="20">
        <f>-SUM([2]MidCorp!$AO$51:$AP$51)/1000/BD146</f>
        <v>6.2218571165748408E-2</v>
      </c>
      <c r="BJ158" s="20" t="e">
        <f>-SUM([2]Specials!$AO$49:$AP$49)/1000/BJ146</f>
        <v>#DIV/0!</v>
      </c>
      <c r="BK158" s="20" t="e">
        <f>-SUM([2]Specials!$AO$50:$AP$50)/1000/BK146</f>
        <v>#DIV/0!</v>
      </c>
      <c r="BL158" s="20" t="e">
        <f>-SUM([2]Specials!$AO$51:$AP$51)/1000/BL146</f>
        <v>#DIV/0!</v>
      </c>
      <c r="BM158" s="8"/>
      <c r="BN158" s="28">
        <f>-SUM('[2]Total P&amp;C'!$AO$49:$AP$49)/1000/BN146</f>
        <v>6.4526484815194005E-2</v>
      </c>
      <c r="BO158" s="28">
        <f>-SUM('[2]Total P&amp;C'!$AO$50:$AP$50)/1000/BO146</f>
        <v>6.7679209410284977E-2</v>
      </c>
      <c r="BP158" s="28">
        <f>-SUM('[2]Total P&amp;C'!$AO$51:$AP$51)/1000/BP146</f>
        <v>6.2218571165748408E-2</v>
      </c>
      <c r="BR158" s="28">
        <f>-SUM('[3]Total P&amp;C'!$AO$49:$AP$49)/1000/BR146</f>
        <v>5.538440278613508E-2</v>
      </c>
      <c r="BS158" s="28">
        <f>-SUM('[3]Total P&amp;C'!$AO$50:$AP$50)/1000/BS146</f>
        <v>4.9133770800575696E-2</v>
      </c>
      <c r="BT158" s="28">
        <f>-SUM('[3]Total P&amp;C'!$AO$51:$AP$51)/1000/BT146</f>
        <v>4.9912622832811296E-2</v>
      </c>
    </row>
    <row r="159" spans="2:72" ht="16.5" hidden="1" customHeight="1" outlineLevel="1" x14ac:dyDescent="0.25">
      <c r="B159" s="202"/>
      <c r="C159" s="9"/>
      <c r="D159" s="39" t="s">
        <v>33</v>
      </c>
      <c r="J159" s="20" t="e">
        <f>-SUM([1]Retail!$AQ$49:$AR$49)/1000/J146</f>
        <v>#DIV/0!</v>
      </c>
      <c r="K159" s="42" t="e">
        <f>-SUM([1]Retail!$AQ$50:$AR$50)/1000/K146</f>
        <v>#DIV/0!</v>
      </c>
      <c r="L159" s="42" t="e">
        <f>-SUM([1]Retail!$AQ$51:$AR$51)/1000/L146</f>
        <v>#DIV/0!</v>
      </c>
      <c r="M159" s="8"/>
      <c r="N159" s="20" t="e">
        <f>-SUM([1]SME!$AQ$49:$AR$49)/1000/N146</f>
        <v>#DIV/0!</v>
      </c>
      <c r="O159" s="20" t="e">
        <f>-SUM([1]SME!$AQ$50:$AR$50)/1000/O146</f>
        <v>#DIV/0!</v>
      </c>
      <c r="P159" s="20" t="e">
        <f>-SUM([1]SME!$AQ$51:$AR$51)/1000/P146</f>
        <v>#DIV/0!</v>
      </c>
      <c r="Q159" s="8"/>
      <c r="R159" s="20">
        <f>-SUM([1]MidCorp!$AQ$49:$AR$49)/1000/R146</f>
        <v>4.6879796097455899E-2</v>
      </c>
      <c r="S159" s="20">
        <f>-SUM([1]MidCorp!$AQ$50:$AR$50)/1000/S146</f>
        <v>4.3623315418194399E-2</v>
      </c>
      <c r="T159" s="20">
        <f>-SUM([1]MidCorp!$AQ$51:$AR$51)/1000/T146</f>
        <v>5.835449847369726E-2</v>
      </c>
      <c r="U159" s="8"/>
      <c r="V159" s="20">
        <f>-SUM([1]MGA!$AQ$49:$AR$49)/1000/V146</f>
        <v>9.8788297828446021E-3</v>
      </c>
      <c r="W159" s="20">
        <f>-SUM([1]MGA!$AQ$50:$AR$50)/1000/W146</f>
        <v>6.8593218798628272E-2</v>
      </c>
      <c r="X159" s="20">
        <f>-SUM([1]MGA!$AQ$51:$AR$51)/1000/X146</f>
        <v>6.3579658513822024E-2</v>
      </c>
      <c r="Y159" s="8"/>
      <c r="Z159" s="20" t="e">
        <f>-SUM([1]Bancassurance!$AQ$49:$AR$49)/1000/Z146</f>
        <v>#DIV/0!</v>
      </c>
      <c r="AA159" s="20" t="e">
        <f>-SUM([1]Bancassurance!$AQ$50:$AR$50)/1000/AA146</f>
        <v>#DIV/0!</v>
      </c>
      <c r="AB159" s="20" t="e">
        <f>-SUM([1]Bancassurance!$AQ$51:$AR$51)/1000/AB146</f>
        <v>#DIV/0!</v>
      </c>
      <c r="AC159" s="8"/>
      <c r="AD159" s="20">
        <f>-SUM([1]Specials!$AQ$49:$AR$49)/1000/AD146</f>
        <v>0</v>
      </c>
      <c r="AE159" s="20">
        <f>-SUM([1]Specials!$AQ$50:$AR$50)/1000/AE146</f>
        <v>0</v>
      </c>
      <c r="AF159" s="20" t="e">
        <f>-SUM([1]Specials!$AQ$51:$AR$51)/1000/AF146</f>
        <v>#DIV/0!</v>
      </c>
      <c r="AG159" s="8"/>
      <c r="AH159" s="28">
        <f>-SUM('[1]Total P&amp;C'!$AQ$49:$AR$49)/1000/AH146</f>
        <v>4.6564177772613249E-2</v>
      </c>
      <c r="AI159" s="28">
        <f>-SUM('[1]Total P&amp;C'!$AQ$50:$AR$50)/1000/AI146</f>
        <v>4.3849220259951902E-2</v>
      </c>
      <c r="AJ159" s="28">
        <f>-SUM('[1]Total P&amp;C'!$AQ$51:$AR$51)/1000/AJ146</f>
        <v>5.8361530300554583E-2</v>
      </c>
      <c r="AL159" s="202"/>
      <c r="AM159" s="9"/>
      <c r="AN159" s="39" t="s">
        <v>33</v>
      </c>
      <c r="AT159" s="20">
        <f>-SUM([2]Retail!$AQ$49:$AR$49)/1000/AT146</f>
        <v>0</v>
      </c>
      <c r="AU159" s="42" t="e">
        <f>-SUM([2]Retail!$AQ$50:$AR$50)/1000/AU146</f>
        <v>#DIV/0!</v>
      </c>
      <c r="AV159" s="42" t="e">
        <f>-SUM([2]Retail!$AQ$51:$AR$51)/1000/AV146</f>
        <v>#DIV/0!</v>
      </c>
      <c r="AW159" s="8"/>
      <c r="AX159" s="20">
        <f>-SUM([2]SME!$AQ$49:$AR$49)/1000/AX146</f>
        <v>1.5505582785081769E-6</v>
      </c>
      <c r="AY159" s="20">
        <f>-SUM([2]SME!$AQ$50:$AR$50)/1000/AY146</f>
        <v>0</v>
      </c>
      <c r="AZ159" s="20" t="e">
        <f>-SUM([2]SME!$AQ$51:$AR$51)/1000/AZ146</f>
        <v>#DIV/0!</v>
      </c>
      <c r="BA159" s="8"/>
      <c r="BB159" s="20">
        <f>-SUM([2]MidCorp!$AQ$49:$AR$49)/1000/BB146</f>
        <v>0.10454177802659645</v>
      </c>
      <c r="BC159" s="20">
        <f>-SUM([2]MidCorp!$AQ$50:$AR$50)/1000/BC146</f>
        <v>0.10409637690102749</v>
      </c>
      <c r="BD159" s="20">
        <f>-SUM([2]MidCorp!$AQ$51:$AR$51)/1000/BD146</f>
        <v>0.11438304904515369</v>
      </c>
      <c r="BJ159" s="20" t="e">
        <f>-SUM([2]Specials!$AQ$49:$AR$49)/1000/BJ146</f>
        <v>#DIV/0!</v>
      </c>
      <c r="BK159" s="20" t="e">
        <f>-SUM([2]Specials!$AQ$50:$AR$50)/1000/BK146</f>
        <v>#DIV/0!</v>
      </c>
      <c r="BL159" s="20" t="e">
        <f>-SUM([2]Specials!$AQ$51:$AR$51)/1000/BL146</f>
        <v>#DIV/0!</v>
      </c>
      <c r="BM159" s="8"/>
      <c r="BN159" s="28">
        <f>-SUM('[2]Total P&amp;C'!$AQ$49:$AR$49)/1000/BN146</f>
        <v>0.10422236189297555</v>
      </c>
      <c r="BO159" s="28">
        <f>-SUM('[2]Total P&amp;C'!$AQ$50:$AR$50)/1000/BO146</f>
        <v>0.10380013660234477</v>
      </c>
      <c r="BP159" s="28">
        <f>-SUM('[2]Total P&amp;C'!$AQ$51:$AR$51)/1000/BP146</f>
        <v>0.11438304904515369</v>
      </c>
      <c r="BR159" s="28">
        <f>-SUM('[3]Total P&amp;C'!$AQ$49:$AR$49)/1000/BR146</f>
        <v>5.5372708553485195E-2</v>
      </c>
      <c r="BS159" s="28">
        <f>-SUM('[3]Total P&amp;C'!$AQ$50:$AR$50)/1000/BS146</f>
        <v>5.4083712353764322E-2</v>
      </c>
      <c r="BT159" s="28">
        <f>-SUM('[3]Total P&amp;C'!$AQ$51:$AR$51)/1000/BT146</f>
        <v>6.6721111835603739E-2</v>
      </c>
    </row>
    <row r="160" spans="2:72" ht="16.5" hidden="1" customHeight="1" outlineLevel="1" x14ac:dyDescent="0.25">
      <c r="B160" s="202"/>
      <c r="C160" s="9"/>
      <c r="D160" s="37" t="s">
        <v>34</v>
      </c>
      <c r="J160" s="19">
        <f>+[1]Retail!$BK$49/1000</f>
        <v>-3.7212900000000004E-3</v>
      </c>
      <c r="K160" s="19">
        <f>+[1]Retail!$BK$50/1000</f>
        <v>-6.8238000000000012E-4</v>
      </c>
      <c r="L160" s="19">
        <f>+[1]Retail!$BK$51/1000</f>
        <v>0</v>
      </c>
      <c r="M160" s="6"/>
      <c r="N160" s="19">
        <f>+[1]SME!$BK$49/1000</f>
        <v>1.9539999999999996E-3</v>
      </c>
      <c r="O160" s="19">
        <f>+[1]SME!$BK$50/1000</f>
        <v>-3.2746000000000007E-4</v>
      </c>
      <c r="P160" s="19">
        <f>+[1]SME!$BK$51/1000</f>
        <v>0</v>
      </c>
      <c r="Q160" s="6"/>
      <c r="R160" s="19">
        <f>+[1]MidCorp!$BK$49/1000</f>
        <v>3.4941304599999996</v>
      </c>
      <c r="S160" s="19">
        <f>+[1]MidCorp!$BK$50/1000</f>
        <v>1.2517184199999978</v>
      </c>
      <c r="T160" s="19">
        <f>+[1]MidCorp!$BK$51/1000</f>
        <v>1.8769745780454543</v>
      </c>
      <c r="U160" s="6"/>
      <c r="V160" s="19">
        <f>+[1]MGA!$BK$49/1000</f>
        <v>-0.16279029999999994</v>
      </c>
      <c r="W160" s="19">
        <f>+[1]MGA!$BK$50/1000</f>
        <v>-0.26778561999999995</v>
      </c>
      <c r="X160" s="19">
        <f>+[1]MGA!$BK$51/1000</f>
        <v>7.8330538406576403E-3</v>
      </c>
      <c r="Y160" s="6"/>
      <c r="Z160" s="19">
        <f>+[1]Bancassurance!$BK$49/1000</f>
        <v>0</v>
      </c>
      <c r="AA160" s="19">
        <f>+[1]Bancassurance!$BK$50/1000</f>
        <v>0</v>
      </c>
      <c r="AB160" s="19">
        <f>+[1]Bancassurance!$BK$51/1000</f>
        <v>0</v>
      </c>
      <c r="AC160" s="6"/>
      <c r="AD160" s="19">
        <f>+[1]Specials!$BK$49/1000</f>
        <v>5.9179999999999999E-5</v>
      </c>
      <c r="AE160" s="19">
        <f>+[1]Specials!$BK$50/1000</f>
        <v>2.2082399999999998E-3</v>
      </c>
      <c r="AF160" s="19">
        <f>+[1]Specials!$BK$51/1000</f>
        <v>0</v>
      </c>
      <c r="AG160" s="6"/>
      <c r="AH160" s="27">
        <f>+'[1]Total P&amp;C'!$BK$49/1000</f>
        <v>3.3296320499999998</v>
      </c>
      <c r="AI160" s="27">
        <f>+'[1]Total P&amp;C'!$BK$50/1000</f>
        <v>0.98513120000000132</v>
      </c>
      <c r="AJ160" s="27">
        <f>+'[1]Total P&amp;C'!$BK$51/1000</f>
        <v>1.8848076318861149</v>
      </c>
      <c r="AL160" s="202"/>
      <c r="AM160" s="9"/>
      <c r="AN160" s="37" t="s">
        <v>34</v>
      </c>
      <c r="AT160" s="19">
        <f>+[2]Retail!$BK$49/1000</f>
        <v>-9.3000000000000024E-6</v>
      </c>
      <c r="AU160" s="19">
        <f>+[2]Retail!$BK$50/1000</f>
        <v>0</v>
      </c>
      <c r="AV160" s="19">
        <f>+[2]Retail!$BK$51/1000</f>
        <v>0</v>
      </c>
      <c r="AW160" s="6"/>
      <c r="AX160" s="19">
        <f>+[2]SME!$BK$49/1000</f>
        <v>5.3631599999999988E-3</v>
      </c>
      <c r="AY160" s="19">
        <f>+[2]SME!$BK$50/1000</f>
        <v>-1.5574399999999985E-3</v>
      </c>
      <c r="AZ160" s="19">
        <f>+[2]SME!$BK$51/1000</f>
        <v>0</v>
      </c>
      <c r="BA160" s="6"/>
      <c r="BB160" s="19">
        <f>+[2]MidCorp!$BK$49/1000</f>
        <v>0.57924772999999896</v>
      </c>
      <c r="BC160" s="19">
        <f>+[2]MidCorp!$BK$50/1000</f>
        <v>-0.43051087000000043</v>
      </c>
      <c r="BD160" s="19">
        <f>+[2]MidCorp!$BK$51/1000</f>
        <v>0.29646099336508142</v>
      </c>
      <c r="BJ160" s="19">
        <f>+[2]Specials!$BK$49/1000</f>
        <v>0</v>
      </c>
      <c r="BK160" s="19">
        <f>+[2]Specials!$BK$50/1000</f>
        <v>0</v>
      </c>
      <c r="BL160" s="19">
        <f>+[2]Specials!$BK$51/1000</f>
        <v>0</v>
      </c>
      <c r="BM160" s="6"/>
      <c r="BN160" s="27">
        <f>+'[2]Total P&amp;C'!$BK$49/1000</f>
        <v>0.58460158999999867</v>
      </c>
      <c r="BO160" s="27">
        <f>+'[2]Total P&amp;C'!$BK$50/1000</f>
        <v>-0.43206831000000034</v>
      </c>
      <c r="BP160" s="27">
        <f>+'[2]Total P&amp;C'!$BK$51/1000</f>
        <v>0.29646099336508142</v>
      </c>
      <c r="BR160" s="27">
        <f>+'[3]Total P&amp;C'!$BK$49/1000</f>
        <v>3.9142336400000013</v>
      </c>
      <c r="BS160" s="27">
        <f>+'[3]Total P&amp;C'!$BK$50/1000</f>
        <v>0.55306289000000042</v>
      </c>
      <c r="BT160" s="27">
        <f>+'[3]Total P&amp;C'!$BK$51/1000</f>
        <v>2.1812686252511964</v>
      </c>
    </row>
    <row r="161" spans="2:72" hidden="1" outlineLevel="1" x14ac:dyDescent="0.25">
      <c r="B161"/>
      <c r="C161"/>
      <c r="D161"/>
      <c r="J161" s="47"/>
      <c r="K161" s="47"/>
      <c r="L161" s="47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L161"/>
      <c r="AM161"/>
      <c r="AN161"/>
      <c r="AT161" s="47"/>
      <c r="AU161" s="47"/>
      <c r="AV161" s="47"/>
      <c r="AW161"/>
      <c r="AX161"/>
      <c r="AY161"/>
      <c r="AZ161"/>
      <c r="BA161"/>
      <c r="BB161"/>
      <c r="BC161"/>
      <c r="BD161"/>
      <c r="BJ161"/>
      <c r="BK161"/>
      <c r="BL161"/>
      <c r="BM161"/>
      <c r="BN161"/>
      <c r="BO161"/>
      <c r="BP161"/>
      <c r="BR161"/>
      <c r="BS161"/>
      <c r="BT161"/>
    </row>
    <row r="162" spans="2:72" ht="16.5" hidden="1" customHeight="1" outlineLevel="1" x14ac:dyDescent="0.25">
      <c r="B162" s="202" t="s">
        <v>43</v>
      </c>
      <c r="C162" s="9"/>
      <c r="D162" s="37" t="s">
        <v>19</v>
      </c>
      <c r="J162" s="19">
        <f>+[1]Retail!$C$57/1000</f>
        <v>0.14378951999999995</v>
      </c>
      <c r="K162" s="19">
        <f>+[1]Retail!$C$58/1000</f>
        <v>0.16438716999999997</v>
      </c>
      <c r="L162" s="19">
        <f>+[1]Retail!$C$59/1000</f>
        <v>0</v>
      </c>
      <c r="M162" s="6"/>
      <c r="N162" s="19">
        <f>+[1]SME!$C$57/1000</f>
        <v>1.6063378800000003</v>
      </c>
      <c r="O162" s="19">
        <f>+[1]SME!$C$58/1000</f>
        <v>1.6000535299999998</v>
      </c>
      <c r="P162" s="19">
        <f>+[1]SME!$C$59/1000</f>
        <v>1.46513</v>
      </c>
      <c r="Q162" s="6"/>
      <c r="R162" s="19">
        <f>+[1]MidCorp!$C$57/1000</f>
        <v>1.973784E-2</v>
      </c>
      <c r="S162" s="19">
        <f>+[1]MidCorp!$C$58/1000</f>
        <v>1.9352150000000002E-2</v>
      </c>
      <c r="T162" s="19">
        <f>+[1]MidCorp!$C$59/1000</f>
        <v>1.533E-2</v>
      </c>
      <c r="U162" s="6"/>
      <c r="V162" s="19">
        <f>+[1]MGA!$C$57/1000</f>
        <v>0.10141809</v>
      </c>
      <c r="W162" s="19">
        <f>+[1]MGA!$C$58/1000</f>
        <v>7.7724169999999995E-2</v>
      </c>
      <c r="X162" s="19">
        <f>+[1]MGA!$C$59/1000</f>
        <v>0</v>
      </c>
      <c r="Y162" s="6"/>
      <c r="Z162" s="19">
        <f>+[1]Bancassurance!$C$57/1000</f>
        <v>0</v>
      </c>
      <c r="AA162" s="19">
        <f>+[1]Bancassurance!$C$58/1000</f>
        <v>0</v>
      </c>
      <c r="AB162" s="19">
        <f>+[1]Bancassurance!$C$59/1000</f>
        <v>0.21</v>
      </c>
      <c r="AC162" s="6"/>
      <c r="AD162" s="19">
        <f>+[1]Specials!$C$57/1000</f>
        <v>0</v>
      </c>
      <c r="AE162" s="19">
        <f>+[1]Specials!$C$58/1000</f>
        <v>0</v>
      </c>
      <c r="AF162" s="19">
        <f>+[1]Specials!$C$59/1000</f>
        <v>0</v>
      </c>
      <c r="AG162" s="6"/>
      <c r="AH162" s="27">
        <f>+'[1]Total P&amp;C'!$C$57/1000</f>
        <v>1.8712833300000002</v>
      </c>
      <c r="AI162" s="27">
        <f>+'[1]Total P&amp;C'!$C$58/1000</f>
        <v>1.8615170199999997</v>
      </c>
      <c r="AJ162" s="27">
        <f>+'[1]Total P&amp;C'!$C$59/1000</f>
        <v>1.6904600000000001</v>
      </c>
      <c r="AL162" s="202" t="s">
        <v>43</v>
      </c>
      <c r="AM162" s="9"/>
      <c r="AN162" s="37" t="s">
        <v>19</v>
      </c>
      <c r="AT162" s="19">
        <f>+[2]Retail!$C$57/1000</f>
        <v>0.85430343999999947</v>
      </c>
      <c r="AU162" s="19">
        <f>+[2]Retail!$C$58/1000</f>
        <v>0.85419222000000061</v>
      </c>
      <c r="AV162" s="19">
        <f>+[2]Retail!$C$59/1000</f>
        <v>0.93951843763641796</v>
      </c>
      <c r="AW162" s="6"/>
      <c r="AX162" s="19">
        <f>+[2]SME!$C$57/1000</f>
        <v>0.16236426999999998</v>
      </c>
      <c r="AY162" s="19">
        <f>+[2]SME!$C$58/1000</f>
        <v>0.17219625999999988</v>
      </c>
      <c r="AZ162" s="19">
        <f>+[2]SME!$C$59/1000</f>
        <v>0.20300508586223162</v>
      </c>
      <c r="BA162" s="6"/>
      <c r="BB162" s="19">
        <f>+[2]MidCorp!$C$57/1000</f>
        <v>0.24553109000000012</v>
      </c>
      <c r="BC162" s="19">
        <f>+[2]MidCorp!$C$58/1000</f>
        <v>0.27042227000000008</v>
      </c>
      <c r="BD162" s="19">
        <f>+[2]MidCorp!$C$59/1000</f>
        <v>0.24976026194465598</v>
      </c>
      <c r="BJ162" s="19">
        <f>+[2]Specials!$C$57/1000</f>
        <v>0</v>
      </c>
      <c r="BK162" s="19">
        <f>+[2]Specials!$C$58/1000</f>
        <v>0</v>
      </c>
      <c r="BL162" s="19">
        <f>+[2]Specials!$C$59/1000</f>
        <v>0</v>
      </c>
      <c r="BM162" s="6"/>
      <c r="BN162" s="27">
        <f>+'[2]Total P&amp;C'!$C$57/1000</f>
        <v>1.2621987999999997</v>
      </c>
      <c r="BO162" s="27">
        <f>+'[2]Total P&amp;C'!$C$58/1000</f>
        <v>1.2968107500000006</v>
      </c>
      <c r="BP162" s="27">
        <f>+'[2]Total P&amp;C'!$C$59/1000</f>
        <v>1.3922837854433054</v>
      </c>
      <c r="BR162" s="27">
        <f>+'[3]Total P&amp;C'!$C$57/1000</f>
        <v>3.13348213</v>
      </c>
      <c r="BS162" s="27">
        <f>+'[3]Total P&amp;C'!$C$58/1000</f>
        <v>3.158327770000001</v>
      </c>
      <c r="BT162" s="27">
        <f>+'[3]Total P&amp;C'!$C$59/1000</f>
        <v>3.0827437854433057</v>
      </c>
    </row>
    <row r="163" spans="2:72" ht="16.5" hidden="1" customHeight="1" outlineLevel="1" x14ac:dyDescent="0.25">
      <c r="B163" s="202"/>
      <c r="C163" s="9"/>
      <c r="D163" s="37" t="s">
        <v>20</v>
      </c>
      <c r="J163" s="19">
        <f>+[1]Retail!$N$57/1000</f>
        <v>0.14518900999999998</v>
      </c>
      <c r="K163" s="19">
        <f>+[1]Retail!$N$58/1000</f>
        <v>0.16634439000000006</v>
      </c>
      <c r="L163" s="19">
        <f>+[1]Retail!$N$59/1000</f>
        <v>0</v>
      </c>
      <c r="M163" s="6"/>
      <c r="N163" s="19">
        <f>+[1]SME!$N$57/1000</f>
        <v>0.97058493000000012</v>
      </c>
      <c r="O163" s="19">
        <f>+[1]SME!$N$58/1000</f>
        <v>0.95968913</v>
      </c>
      <c r="P163" s="19">
        <f>+[1]SME!$N$59/1000</f>
        <v>0.90570850502999289</v>
      </c>
      <c r="Q163" s="6"/>
      <c r="R163" s="19">
        <f>+[1]MidCorp!$N$57/1000</f>
        <v>2.0557409999999998E-2</v>
      </c>
      <c r="S163" s="19">
        <f>+[1]MidCorp!$N$58/1000</f>
        <v>2.0293139999999998E-2</v>
      </c>
      <c r="T163" s="19">
        <f>+[1]MidCorp!$N$59/1000</f>
        <v>1.7489798607679127E-2</v>
      </c>
      <c r="U163" s="6"/>
      <c r="V163" s="19">
        <f>+[1]MGA!$N$57/1000</f>
        <v>7.7954689999999993E-2</v>
      </c>
      <c r="W163" s="19">
        <f>+[1]MGA!$N$58/1000</f>
        <v>5.6675369999999975E-2</v>
      </c>
      <c r="X163" s="19">
        <f>+[1]MGA!$N$59/1000</f>
        <v>0</v>
      </c>
      <c r="Y163" s="6"/>
      <c r="Z163" s="19">
        <f>+[1]Bancassurance!$N$57/1000</f>
        <v>0</v>
      </c>
      <c r="AA163" s="19">
        <f>+[1]Bancassurance!$N$58/1000</f>
        <v>0</v>
      </c>
      <c r="AB163" s="19">
        <f>+[1]Bancassurance!$N$59/1000</f>
        <v>0.216490239375</v>
      </c>
      <c r="AC163" s="6"/>
      <c r="AD163" s="19">
        <f>+[1]Specials!$N$57/1000</f>
        <v>0</v>
      </c>
      <c r="AE163" s="19">
        <f>+[1]Specials!$N$58/1000</f>
        <v>0</v>
      </c>
      <c r="AF163" s="19">
        <f>+[1]Specials!$N$59/1000</f>
        <v>0</v>
      </c>
      <c r="AG163" s="6"/>
      <c r="AH163" s="27">
        <f>+'[1]Total P&amp;C'!$N$57/1000</f>
        <v>1.21428604</v>
      </c>
      <c r="AI163" s="27">
        <f>+'[1]Total P&amp;C'!$N$58/1000</f>
        <v>1.2030020299999999</v>
      </c>
      <c r="AJ163" s="27">
        <f>+'[1]Total P&amp;C'!$N$59/1000</f>
        <v>1.1396885430126722</v>
      </c>
      <c r="AL163" s="202"/>
      <c r="AM163" s="9"/>
      <c r="AN163" s="37" t="s">
        <v>20</v>
      </c>
      <c r="AT163" s="19">
        <f>+[2]Retail!$N$57/1000</f>
        <v>0.82357932999999939</v>
      </c>
      <c r="AU163" s="19">
        <f>+[2]Retail!$N$58/1000</f>
        <v>0.80595925000000013</v>
      </c>
      <c r="AV163" s="19">
        <f>+[2]Retail!$N$59/1000</f>
        <v>0.85</v>
      </c>
      <c r="AW163" s="6"/>
      <c r="AX163" s="19">
        <f>+[2]SME!$N$57/1000</f>
        <v>0.14119945</v>
      </c>
      <c r="AY163" s="19">
        <f>+[2]SME!$N$58/1000</f>
        <v>0.14751210999999995</v>
      </c>
      <c r="AZ163" s="19">
        <f>+[2]SME!$N$59/1000</f>
        <v>0.15375</v>
      </c>
      <c r="BA163" s="6"/>
      <c r="BB163" s="19">
        <f>+[2]MidCorp!$N$57/1000</f>
        <v>0.1892058800000001</v>
      </c>
      <c r="BC163" s="19">
        <f>+[2]MidCorp!$N$58/1000</f>
        <v>0.19741176000000013</v>
      </c>
      <c r="BD163" s="19">
        <f>+[2]MidCorp!$N$59/1000</f>
        <v>0.1885</v>
      </c>
      <c r="BJ163" s="19">
        <f>+[2]Specials!$N$57/1000</f>
        <v>0</v>
      </c>
      <c r="BK163" s="19">
        <f>+[2]Specials!$N$58/1000</f>
        <v>0</v>
      </c>
      <c r="BL163" s="19">
        <f>+[2]Specials!$N$59/1000</f>
        <v>0</v>
      </c>
      <c r="BM163" s="6"/>
      <c r="BN163" s="27">
        <f>+'[2]Total P&amp;C'!$N$57/1000</f>
        <v>1.1539846599999997</v>
      </c>
      <c r="BO163" s="27">
        <f>+'[2]Total P&amp;C'!$N$58/1000</f>
        <v>1.1508831200000003</v>
      </c>
      <c r="BP163" s="27">
        <f>+'[2]Total P&amp;C'!$N$59/1000</f>
        <v>1.19225</v>
      </c>
      <c r="BR163" s="27">
        <f>+'[3]Total P&amp;C'!$N$57/1000</f>
        <v>2.3682706999999996</v>
      </c>
      <c r="BS163" s="27">
        <f>+'[3]Total P&amp;C'!$N$58/1000</f>
        <v>2.35388515</v>
      </c>
      <c r="BT163" s="27">
        <f>+'[3]Total P&amp;C'!$N$59/1000</f>
        <v>2.3319385430126718</v>
      </c>
    </row>
    <row r="164" spans="2:72" ht="16.5" hidden="1" customHeight="1" outlineLevel="1" x14ac:dyDescent="0.25">
      <c r="B164" s="202"/>
      <c r="C164" s="9"/>
      <c r="D164" s="37" t="s">
        <v>21</v>
      </c>
      <c r="J164" s="20">
        <f>+J165+J170+J171+J172+J173</f>
        <v>0.94772097419770285</v>
      </c>
      <c r="K164" s="20">
        <f>+K165+K170+K171+K172+K173</f>
        <v>1.2192411177798055</v>
      </c>
      <c r="L164" s="20" t="e">
        <f>+L165+L170+L171+L172+L173</f>
        <v>#DIV/0!</v>
      </c>
      <c r="M164" s="6"/>
      <c r="N164" s="20">
        <f>+N165+N170+N171+N172+N173</f>
        <v>1.2613870380204646</v>
      </c>
      <c r="O164" s="20">
        <f>+O165+O170+O171+O172+O173</f>
        <v>1.2495530088998714</v>
      </c>
      <c r="P164" s="20">
        <f>+P165+P170+P171+P172+P173</f>
        <v>0.89553716020650542</v>
      </c>
      <c r="Q164" s="6"/>
      <c r="R164" s="20">
        <f>+R165+R170+R171+R172+R173</f>
        <v>0.91021534327524733</v>
      </c>
      <c r="S164" s="20">
        <f>+S165+S170+S171+S172+S173</f>
        <v>0.85767702780348443</v>
      </c>
      <c r="T164" s="20">
        <f>+T165+T170+T171+T172+T173</f>
        <v>0.94940787981991492</v>
      </c>
      <c r="U164" s="6"/>
      <c r="V164" s="20">
        <f>+V165+V170+V171+V172+V173</f>
        <v>0.13668196230399993</v>
      </c>
      <c r="W164" s="20">
        <f>+W165+W170+W171+W172+W173</f>
        <v>0.30405835903673861</v>
      </c>
      <c r="X164" s="20" t="e">
        <f>+X165+X170+X171+X172+X173</f>
        <v>#DIV/0!</v>
      </c>
      <c r="Y164" s="6"/>
      <c r="Z164" s="20" t="e">
        <f>+Z165+Z170+Z171+Z172+Z173</f>
        <v>#DIV/0!</v>
      </c>
      <c r="AA164" s="20" t="e">
        <f>+AA165+AA170+AA171+AA172+AA173</f>
        <v>#DIV/0!</v>
      </c>
      <c r="AB164" s="20">
        <f>+AB165+AB170+AB171+AB172+AB173</f>
        <v>0.8062853914047734</v>
      </c>
      <c r="AC164" s="6"/>
      <c r="AD164" s="20" t="e">
        <f>+AD165+AD170+AD171+AD172+AD173</f>
        <v>#DIV/0!</v>
      </c>
      <c r="AE164" s="20" t="e">
        <f>+AE165+AE170+AE171+AE172+AE173</f>
        <v>#DIV/0!</v>
      </c>
      <c r="AF164" s="20" t="e">
        <f>+AF165+AF170+AF171+AF172+AF173</f>
        <v>#DIV/0!</v>
      </c>
      <c r="AG164" s="6"/>
      <c r="AH164" s="28">
        <f>+AH165+AH170+AH171+AH172+AH173</f>
        <v>1.173850429837767</v>
      </c>
      <c r="AI164" s="28">
        <f>+AI165+AI170+AI171+AI172+AI173</f>
        <v>1.2582194811425214</v>
      </c>
      <c r="AJ164" s="28">
        <f>+AJ165+AJ170+AJ171+AJ172+AJ173</f>
        <v>0.90126896919091215</v>
      </c>
      <c r="AL164" s="202"/>
      <c r="AM164" s="9"/>
      <c r="AN164" s="37" t="s">
        <v>21</v>
      </c>
      <c r="AT164" s="20">
        <f>+AT165+AT170+AT171+AT172+AT173</f>
        <v>0.73106472936857259</v>
      </c>
      <c r="AU164" s="20">
        <f>+AU165+AU170+AU171+AU172+AU173</f>
        <v>0.49061320407948655</v>
      </c>
      <c r="AV164" s="20">
        <f>+AV165+AV170+AV171+AV172+AV173</f>
        <v>0.77642728958113461</v>
      </c>
      <c r="AW164" s="6"/>
      <c r="AX164" s="20">
        <f>+AX165+AX170+AX171+AX172+AX173</f>
        <v>0.7014938797566137</v>
      </c>
      <c r="AY164" s="20">
        <f>+AY165+AY170+AY171+AY172+AY173</f>
        <v>0.27954355747470516</v>
      </c>
      <c r="AZ164" s="20">
        <f>+AZ165+AZ170+AZ171+AZ172+AZ173</f>
        <v>0.78833170277610565</v>
      </c>
      <c r="BA164" s="6"/>
      <c r="BB164" s="20">
        <f>+BB165+BB170+BB171+BB172+BB173</f>
        <v>0.6156751048117528</v>
      </c>
      <c r="BC164" s="20">
        <f>+BC165+BC170+BC171+BC172+BC173</f>
        <v>1.0887734854296414</v>
      </c>
      <c r="BD164" s="20">
        <f>+BD165+BD170+BD171+BD172+BD173</f>
        <v>1.4394128875503838</v>
      </c>
      <c r="BJ164" s="20" t="e">
        <f>+BJ165+BJ170+BJ171+BJ172+BJ173</f>
        <v>#DIV/0!</v>
      </c>
      <c r="BK164" s="20" t="e">
        <f>+BK165+BK170+BK171+BK172+BK173</f>
        <v>#DIV/0!</v>
      </c>
      <c r="BL164" s="20" t="e">
        <f>+BL165+BL170+BL171+BL172+BL173</f>
        <v>#DIV/0!</v>
      </c>
      <c r="BM164" s="6"/>
      <c r="BN164" s="28">
        <f>+BN165+BN170+BN171+BN172+BN173</f>
        <v>0.70852735598755712</v>
      </c>
      <c r="BO164" s="28">
        <f>+BO165+BO170+BO171+BO172+BO173</f>
        <v>0.56616261779910348</v>
      </c>
      <c r="BP164" s="28">
        <f>+BP165+BP170+BP171+BP172+BP173</f>
        <v>0.88278341350307232</v>
      </c>
      <c r="BR164" s="28">
        <f>+BR165+BR170+BR171+BR172+BR173</f>
        <v>0.94711296728030281</v>
      </c>
      <c r="BS164" s="28">
        <f>+BS165+BS170+BS171+BS172+BS173</f>
        <v>0.91985269119863389</v>
      </c>
      <c r="BT164" s="28">
        <f>+BT165+BT170+BT171+BT172+BT173</f>
        <v>0.89181786086952664</v>
      </c>
    </row>
    <row r="165" spans="2:72" ht="16.5" hidden="1" customHeight="1" outlineLevel="1" x14ac:dyDescent="0.25">
      <c r="B165" s="202"/>
      <c r="C165" s="9"/>
      <c r="D165" s="37" t="s">
        <v>22</v>
      </c>
      <c r="J165" s="20">
        <f>+J166+J167+J168+J169</f>
        <v>0.74500556206010371</v>
      </c>
      <c r="K165" s="20">
        <f>+K166+K167+K168+K169</f>
        <v>0.76966569176153121</v>
      </c>
      <c r="L165" s="20" t="e">
        <f>+L166+L167+L168+L169</f>
        <v>#DIV/0!</v>
      </c>
      <c r="M165" s="6"/>
      <c r="N165" s="20">
        <f>+N166+N167+N168+N169</f>
        <v>0.98530212085613156</v>
      </c>
      <c r="O165" s="20">
        <f>+O166+O167+O168+O169</f>
        <v>0.99170343838321884</v>
      </c>
      <c r="P165" s="20">
        <f>+P166+P167+P168+P169</f>
        <v>0.59687030882149994</v>
      </c>
      <c r="Q165" s="6"/>
      <c r="R165" s="20">
        <f>+R166+R167+R168+R169</f>
        <v>0.64730965622614922</v>
      </c>
      <c r="S165" s="20">
        <f>+S166+S167+S168+S169</f>
        <v>0.62258181828933323</v>
      </c>
      <c r="T165" s="20">
        <f>+T166+T167+T168+T169</f>
        <v>0.63325715773136015</v>
      </c>
      <c r="U165" s="6"/>
      <c r="V165" s="20">
        <f>+V166+V167+V168+V169</f>
        <v>1.2517527810065052E-3</v>
      </c>
      <c r="W165" s="20">
        <f>+W166+W167+W168+W169</f>
        <v>3.2465601900790434E-4</v>
      </c>
      <c r="X165" s="20" t="e">
        <f>+X166+X167+X168+X169</f>
        <v>#DIV/0!</v>
      </c>
      <c r="Y165" s="6"/>
      <c r="Z165" s="20" t="e">
        <f>+Z166+Z167+Z168+Z169</f>
        <v>#DIV/0!</v>
      </c>
      <c r="AA165" s="20" t="e">
        <f>+AA166+AA167+AA168+AA169</f>
        <v>#DIV/0!</v>
      </c>
      <c r="AB165" s="20">
        <f>+AB166+AB167+AB168+AB169</f>
        <v>0.64336592295495154</v>
      </c>
      <c r="AC165" s="6"/>
      <c r="AD165" s="20" t="e">
        <f>+AD166+AD167+AD168+AD169</f>
        <v>#DIV/0!</v>
      </c>
      <c r="AE165" s="20" t="e">
        <f>+AE166+AE167+AE168+AE169</f>
        <v>#DIV/0!</v>
      </c>
      <c r="AF165" s="20" t="e">
        <f>+AF166+AF167+AF168+AF169</f>
        <v>#DIV/0!</v>
      </c>
      <c r="AG165" s="6"/>
      <c r="AH165" s="28">
        <f>+AH166+AH167+AH168+AH169</f>
        <v>0.89585864793438619</v>
      </c>
      <c r="AI165" s="28">
        <f>+AI166+AI167+AI168+AI169</f>
        <v>0.92732373028497705</v>
      </c>
      <c r="AJ165" s="28">
        <f>+AJ166+AJ167+AJ168+AJ169</f>
        <v>0.61361328111370528</v>
      </c>
      <c r="AL165" s="202"/>
      <c r="AM165" s="9"/>
      <c r="AN165" s="37" t="s">
        <v>22</v>
      </c>
      <c r="AT165" s="20">
        <f>+AT166+AT167+AT168+AT169</f>
        <v>0.62462315561028015</v>
      </c>
      <c r="AU165" s="20">
        <f>+AU166+AU167+AU168+AU169</f>
        <v>0.63274762340651824</v>
      </c>
      <c r="AV165" s="20">
        <f>+AV166+AV167+AV168+AV169</f>
        <v>0.51781782716808489</v>
      </c>
      <c r="AW165" s="6"/>
      <c r="AX165" s="20">
        <f>+AX166+AX167+AX168+AX169</f>
        <v>0.52905524773644652</v>
      </c>
      <c r="AY165" s="20">
        <f>+AY166+AY167+AY168+AY169</f>
        <v>0.56039243150952167</v>
      </c>
      <c r="AZ165" s="20">
        <f>+AZ166+AZ167+AZ168+AZ169</f>
        <v>0.50558909320778911</v>
      </c>
      <c r="BA165" s="6"/>
      <c r="BB165" s="20">
        <f>+BB166+BB167+BB168+BB169</f>
        <v>1.2279847222507032</v>
      </c>
      <c r="BC165" s="20">
        <f>+BC166+BC167+BC168+BC169</f>
        <v>1.547852569674673</v>
      </c>
      <c r="BD165" s="20">
        <f>+BD166+BD167+BD168+BD169</f>
        <v>1.2665125323835278</v>
      </c>
      <c r="BJ165" s="20" t="e">
        <f>+BJ166+BJ167+BJ168+BJ169</f>
        <v>#DIV/0!</v>
      </c>
      <c r="BK165" s="20" t="e">
        <f>+BK166+BK167+BK168+BK169</f>
        <v>#DIV/0!</v>
      </c>
      <c r="BL165" s="20" t="e">
        <f>+BL166+BL167+BL168+BL169</f>
        <v>#DIV/0!</v>
      </c>
      <c r="BM165" s="6"/>
      <c r="BN165" s="28">
        <f>+BN166+BN167+BN168+BN169</f>
        <v>0.71185604841575645</v>
      </c>
      <c r="BO165" s="28">
        <f>+BO166+BO167+BO168+BO169</f>
        <v>0.78044221380186707</v>
      </c>
      <c r="BP165" s="28">
        <f>+BP166+BP167+BP168+BP169</f>
        <v>0.6346127813192407</v>
      </c>
      <c r="BR165" s="28">
        <f>+BR166+BR167+BR168+BR169</f>
        <v>0.80619990358365712</v>
      </c>
      <c r="BS165" s="28">
        <f>+BS166+BS167+BS168+BS169</f>
        <v>0.85550907188483682</v>
      </c>
      <c r="BT165" s="28">
        <f>+BT166+BT167+BT168+BT169</f>
        <v>0.62434969361268333</v>
      </c>
    </row>
    <row r="166" spans="2:72" ht="16.5" hidden="1" customHeight="1" outlineLevel="1" x14ac:dyDescent="0.25">
      <c r="B166" s="202"/>
      <c r="C166" s="9"/>
      <c r="D166" s="38" t="s">
        <v>23</v>
      </c>
      <c r="J166" s="20">
        <f>-SUM([1]Retail!$O$57,[1]Retail!$R$57:$V$57,[1]Retail!$Y$57,[1]Retail!$AB$57,[1]Retail!$AU$57,[1]Retail!$AX$57,[1]Retail!$BA$57,[1]Retail!$BD$57)/1000/J163</f>
        <v>2.8921610526857376E-3</v>
      </c>
      <c r="K166" s="42">
        <f>-SUM([1]Retail!$O$58,[1]Retail!$R$58:$V$58,[1]Retail!$Y$58,[1]Retail!$AB$58,[1]Retail!$AU$58,[1]Retail!$AX$58,[1]Retail!$BA$58,[1]Retail!$BD$58)/1000/K163</f>
        <v>1.5358798694683956E-2</v>
      </c>
      <c r="L166" s="42" t="e">
        <f>-SUM([1]Retail!$O$59,[1]Retail!$R$59:$V$59,[1]Retail!$Y$59,[1]Retail!$AB$59,[1]Retail!$AU$59,[1]Retail!$AX$59,[1]Retail!$BA$59,[1]Retail!$BD$59)/1000/L163</f>
        <v>#DIV/0!</v>
      </c>
      <c r="M166" s="6"/>
      <c r="N166" s="20">
        <f>-SUM([1]SME!$O$57,[1]SME!$R$57:$V$57,[1]SME!$Y$57,[1]SME!$AB$57,[1]SME!$AU$57,[1]SME!$AX$57,[1]SME!$BA$57,[1]SME!$BD$57)/1000/N163</f>
        <v>2.0287518785192759E-2</v>
      </c>
      <c r="O166" s="20">
        <f>-SUM([1]SME!$O$58,[1]SME!$R$58:$V$58,[1]SME!$Y$58,[1]SME!$AB$58,[1]SME!$AU$58,[1]SME!$AX$58,[1]SME!$BA$58,[1]SME!$BD$58)/1000/O163</f>
        <v>1.4686547507316249E-2</v>
      </c>
      <c r="P166" s="20">
        <f>-SUM([1]SME!$O$59,[1]SME!$R$59:$V$59,[1]SME!$Y$59,[1]SME!$AB$59,[1]SME!$AU$59,[1]SME!$AX$59,[1]SME!$BA$59,[1]SME!$BD$59)/1000/P163</f>
        <v>-0.22257411900034776</v>
      </c>
      <c r="Q166" s="6"/>
      <c r="R166" s="20">
        <f>-SUM([1]MidCorp!$O$57,[1]MidCorp!$R$57:$V$57,[1]MidCorp!$Y$57,[1]MidCorp!$AB$57,[1]MidCorp!$AU$57,[1]MidCorp!$AX$57,[1]MidCorp!$BA$57,[1]MidCorp!$BD$57)/1000/R163</f>
        <v>8.5774423918188146E-3</v>
      </c>
      <c r="S166" s="20">
        <f>-SUM([1]MidCorp!$O$58,[1]MidCorp!$R$58:$V$58,[1]MidCorp!$Y$58,[1]MidCorp!$AB$58,[1]MidCorp!$AU$58,[1]MidCorp!$AX$58,[1]MidCorp!$BA$58,[1]MidCorp!$BD$58)/1000/S163</f>
        <v>2.0992315629813821E-4</v>
      </c>
      <c r="T166" s="20">
        <f>-SUM([1]MidCorp!$O$59,[1]MidCorp!$R$59:$V$59,[1]MidCorp!$Y$59,[1]MidCorp!$AB$59,[1]MidCorp!$AU$59,[1]MidCorp!$AX$59,[1]MidCorp!$BA$59,[1]MidCorp!$BD$59)/1000/T163</f>
        <v>-0.16732227931132659</v>
      </c>
      <c r="U166" s="6"/>
      <c r="V166" s="20">
        <f>-SUM([1]MGA!$O$57,[1]MGA!$R$57:$V$57,[1]MGA!$Y$57,[1]MGA!$AB$57,[1]MGA!$AU$57,[1]MGA!$AX$57,[1]MGA!$BA$57,[1]MGA!$BD$57)/1000/V163</f>
        <v>1.2517527810065052E-3</v>
      </c>
      <c r="W166" s="20">
        <f>-SUM([1]MGA!$O$58,[1]MGA!$R$58:$V$58,[1]MGA!$Y$58,[1]MGA!$AB$58,[1]MGA!$AU$58,[1]MGA!$AX$58,[1]MGA!$BA$58,[1]MGA!$BD$58)/1000/W163</f>
        <v>3.2465601900790434E-4</v>
      </c>
      <c r="X166" s="20" t="e">
        <f>-SUM([1]MGA!$O$59,[1]MGA!$R$59:$V$59,[1]MGA!$Y$59,[1]MGA!$AB$59,[1]MGA!$AU$59,[1]MGA!$AX$59,[1]MGA!$BA$59,[1]MGA!$BD$59)/1000/X163</f>
        <v>#DIV/0!</v>
      </c>
      <c r="Y166" s="6"/>
      <c r="Z166" s="20" t="e">
        <f>-SUM([1]Bancassurance!$O$57,[1]Bancassurance!$R$57:$V$57,[1]Bancassurance!$Y$57,[1]Bancassurance!$AB$57,[1]Bancassurance!$AU$57,[1]Bancassurance!$AX$57,[1]Bancassurance!$BA$57,[1]Bancassurance!$BD$57)/1000/Z163</f>
        <v>#DIV/0!</v>
      </c>
      <c r="AA166" s="20" t="e">
        <f>-SUM([1]Bancassurance!$O$58,[1]Bancassurance!$R$58:$V$58,[1]Bancassurance!$Y$58,[1]Bancassurance!$AB$58,[1]Bancassurance!$AU$58,[1]Bancassurance!$AX$58,[1]Bancassurance!$BA$58,[1]Bancassurance!$BD$58)/1000/AA163</f>
        <v>#DIV/0!</v>
      </c>
      <c r="AB166" s="20">
        <f>-SUM([1]Bancassurance!$O$59,[1]Bancassurance!$R$59:$V$59,[1]Bancassurance!$Y$59,[1]Bancassurance!$AB$59,[1]Bancassurance!$AU$59,[1]Bancassurance!$AX$59,[1]Bancassurance!$BA$59,[1]Bancassurance!$BD$59)/1000/AB163</f>
        <v>0.64336592295495154</v>
      </c>
      <c r="AC166" s="6"/>
      <c r="AD166" s="20" t="e">
        <f>-SUM([1]Specials!$O$57,[1]Specials!$R$57:$V$57,[1]Specials!$Y$57,[1]Specials!$AB$57,[1]Specials!$AU$57,[1]Specials!$AX$57,[1]Specials!$BA$57,[1]Specials!$BD$57)/1000/AD163</f>
        <v>#DIV/0!</v>
      </c>
      <c r="AE166" s="20" t="e">
        <f>-SUM([1]Specials!$O$58,[1]Specials!$R$58:$V$58,[1]Specials!$Y$58,[1]Specials!$AB$58,[1]Specials!$AU$58,[1]Specials!$AX$58,[1]Specials!$BA$58,[1]Specials!$BD$58)/1000/AE163</f>
        <v>#DIV/0!</v>
      </c>
      <c r="AF166" s="20" t="e">
        <f>-SUM([1]Specials!$O$59,[1]Specials!$R$59:$V$59,[1]Specials!$Y$59,[1]Specials!$AB$59,[1]Specials!$AU$59,[1]Specials!$AX$59,[1]Specials!$BA$59,[1]Specials!$BD$59)/1000/AF163</f>
        <v>#DIV/0!</v>
      </c>
      <c r="AG166" s="6"/>
      <c r="AH166" s="28">
        <f>-SUM('[1]Total P&amp;C'!$O$57,'[1]Total P&amp;C'!$R$57:$V$57,'[1]Total P&amp;C'!$Y$57,'[1]Total P&amp;C'!$AB$57,'[1]Total P&amp;C'!$AU$57,'[1]Total P&amp;C'!$AX$57,'[1]Total P&amp;C'!$BA$57,'[1]Total P&amp;C'!$BD$57)/1000/AH163</f>
        <v>2.497157094880215E-2</v>
      </c>
      <c r="AI166" s="28">
        <f>-SUM('[1]Total P&amp;C'!$O$58,'[1]Total P&amp;C'!$R$58:$V$58,'[1]Total P&amp;C'!$Y$58,'[1]Total P&amp;C'!$AB$58,'[1]Total P&amp;C'!$AU$58,'[1]Total P&amp;C'!$AX$58,'[1]Total P&amp;C'!$BA$58,'[1]Total P&amp;C'!$BD$58)/1000/AI163</f>
        <v>3.3113194331018711E-2</v>
      </c>
      <c r="AJ166" s="28">
        <f>-SUM('[1]Total P&amp;C'!$O$59,'[1]Total P&amp;C'!$R$59:$V$59,'[1]Total P&amp;C'!$Y$59,'[1]Total P&amp;C'!$AB$59,'[1]Total P&amp;C'!$AU$59,'[1]Total P&amp;C'!$AX$59,'[1]Total P&amp;C'!$BA$59,'[1]Total P&amp;C'!$BD$59)/1000/AJ163</f>
        <v>-4.9883571107087209E-2</v>
      </c>
      <c r="AL166" s="202"/>
      <c r="AM166" s="9"/>
      <c r="AN166" s="38" t="s">
        <v>23</v>
      </c>
      <c r="AT166" s="20">
        <f>-SUM([2]Retail!$O$57,[2]Retail!$R$57:$V$57,[2]Retail!$Y$57,[2]Retail!$AB$57,[2]Retail!$AU$57,[2]Retail!$AX$57,[2]Retail!$BA$57,[2]Retail!$BD$57)/1000/AT163</f>
        <v>0.62462315561028015</v>
      </c>
      <c r="AU166" s="42">
        <f>-SUM([2]Retail!$O$58,[2]Retail!$R$58:$V$58,[2]Retail!$Y$58,[2]Retail!$AB$58,[2]Retail!$AU$58,[2]Retail!$AX$58,[2]Retail!$BA$58,[2]Retail!$BD$58)/1000/AU163</f>
        <v>0.63274762340651824</v>
      </c>
      <c r="AV166" s="42">
        <f>-SUM([2]Retail!$O$59,[2]Retail!$R$59:$V$59,[2]Retail!$Y$59,[2]Retail!$AB$59,[2]Retail!$AU$59,[2]Retail!$AX$59,[2]Retail!$BA$59,[2]Retail!$BD$59)/1000/AV163</f>
        <v>0.51781782716808489</v>
      </c>
      <c r="AW166" s="6"/>
      <c r="AX166" s="20">
        <f>-SUM([2]SME!$O$57,[2]SME!$R$57:$V$57,[2]SME!$Y$57,[2]SME!$AB$57,[2]SME!$AU$57,[2]SME!$AX$57,[2]SME!$BA$57,[2]SME!$BD$57)/1000/AX163</f>
        <v>0.52905524773644652</v>
      </c>
      <c r="AY166" s="20">
        <f>-SUM([2]SME!$O$58,[2]SME!$R$58:$V$58,[2]SME!$Y$58,[2]SME!$AB$58,[2]SME!$AU$58,[2]SME!$AX$58,[2]SME!$BA$58,[2]SME!$BD$58)/1000/AY163</f>
        <v>0.56039243150952167</v>
      </c>
      <c r="AZ166" s="20">
        <f>-SUM([2]SME!$O$59,[2]SME!$R$59:$V$59,[2]SME!$Y$59,[2]SME!$AB$59,[2]SME!$AU$59,[2]SME!$AX$59,[2]SME!$BA$59,[2]SME!$BD$59)/1000/AZ163</f>
        <v>0.50558909320778911</v>
      </c>
      <c r="BA166" s="6"/>
      <c r="BB166" s="20">
        <f>-SUM([2]MidCorp!$O$57,[2]MidCorp!$R$57:$V$57,[2]MidCorp!$Y$57,[2]MidCorp!$AB$57,[2]MidCorp!$AU$57,[2]MidCorp!$AX$57,[2]MidCorp!$BA$57,[2]MidCorp!$BD$57)/1000/BB163</f>
        <v>1.2279847222507032</v>
      </c>
      <c r="BC166" s="20">
        <f>-SUM([2]MidCorp!$O$58,[2]MidCorp!$R$58:$V$58,[2]MidCorp!$Y$58,[2]MidCorp!$AB$58,[2]MidCorp!$AU$58,[2]MidCorp!$AX$58,[2]MidCorp!$BA$58,[2]MidCorp!$BD$58)/1000/BC163</f>
        <v>1.547852569674673</v>
      </c>
      <c r="BD166" s="20">
        <f>-SUM([2]MidCorp!$O$59,[2]MidCorp!$R$59:$V$59,[2]MidCorp!$Y$59,[2]MidCorp!$AB$59,[2]MidCorp!$AU$59,[2]MidCorp!$AX$59,[2]MidCorp!$BA$59,[2]MidCorp!$BD$59)/1000/BD163</f>
        <v>1.2665125323835278</v>
      </c>
      <c r="BJ166" s="20" t="e">
        <f>-SUM([2]Specials!$O$57,[2]Specials!$R$57:$V$57,[2]Specials!$Y$57,[2]Specials!$AB$57,[2]Specials!$AU$57,[2]Specials!$AX$57,[2]Specials!$BA$57,[2]Specials!$BD$57)/1000/BJ163</f>
        <v>#DIV/0!</v>
      </c>
      <c r="BK166" s="20" t="e">
        <f>-SUM([2]Specials!$O$58,[2]Specials!$R$58:$V$58,[2]Specials!$Y$58,[2]Specials!$AB$58,[2]Specials!$AU$58,[2]Specials!$AX$58,[2]Specials!$BA$58,[2]Specials!$BD$58)/1000/BK163</f>
        <v>#DIV/0!</v>
      </c>
      <c r="BL166" s="20" t="e">
        <f>-SUM([2]Specials!$O$59,[2]Specials!$R$59:$V$59,[2]Specials!$Y$59,[2]Specials!$AB$59,[2]Specials!$AU$59,[2]Specials!$AX$59,[2]Specials!$BA$59,[2]Specials!$BD$59)/1000/BL163</f>
        <v>#DIV/0!</v>
      </c>
      <c r="BM166" s="6"/>
      <c r="BN166" s="28">
        <f>-SUM('[2]Total P&amp;C'!$O$57,'[2]Total P&amp;C'!$R$57:$V$57,'[2]Total P&amp;C'!$Y$57,'[2]Total P&amp;C'!$AB$57,'[2]Total P&amp;C'!$AU$57,'[2]Total P&amp;C'!$AX$57,'[2]Total P&amp;C'!$BA$57,'[2]Total P&amp;C'!$BD$57)/1000/BN163</f>
        <v>0.71185604841575645</v>
      </c>
      <c r="BO166" s="28">
        <f>-SUM('[2]Total P&amp;C'!$O$58,'[2]Total P&amp;C'!$R$58:$V$58,'[2]Total P&amp;C'!$Y$58,'[2]Total P&amp;C'!$AB$58,'[2]Total P&amp;C'!$AU$58,'[2]Total P&amp;C'!$AX$58,'[2]Total P&amp;C'!$BA$58,'[2]Total P&amp;C'!$BD$58)/1000/BO163</f>
        <v>0.78044221380186707</v>
      </c>
      <c r="BP166" s="28">
        <f>-SUM('[2]Total P&amp;C'!$O$59,'[2]Total P&amp;C'!$R$59:$V$59,'[2]Total P&amp;C'!$Y$59,'[2]Total P&amp;C'!$AB$59,'[2]Total P&amp;C'!$AU$59,'[2]Total P&amp;C'!$AX$59,'[2]Total P&amp;C'!$BA$59,'[2]Total P&amp;C'!$BD$59)/1000/BP163</f>
        <v>0.6346127813192407</v>
      </c>
      <c r="BR166" s="28">
        <f>-SUM('[3]Total P&amp;C'!$O$57,'[3]Total P&amp;C'!$R$57:$V$57,'[3]Total P&amp;C'!$Y$57,'[3]Total P&amp;C'!$AB$57,'[3]Total P&amp;C'!$AU$57,'[3]Total P&amp;C'!$AX$57,'[3]Total P&amp;C'!$BA$57,'[3]Total P&amp;C'!$BD$57)/1000/BR163</f>
        <v>0.35966901503278326</v>
      </c>
      <c r="BS166" s="28">
        <f>-SUM('[3]Total P&amp;C'!$O$58,'[3]Total P&amp;C'!$R$58:$V$58,'[3]Total P&amp;C'!$Y$58,'[3]Total P&amp;C'!$AB$58,'[3]Total P&amp;C'!$AU$58,'[3]Total P&amp;C'!$AX$58,'[3]Total P&amp;C'!$BA$58,'[3]Total P&amp;C'!$BD$58)/1000/BS163</f>
        <v>0.3985041538666404</v>
      </c>
      <c r="BT166" s="28">
        <f>-SUM('[3]Total P&amp;C'!$O$59,'[3]Total P&amp;C'!$R$59:$V$59,'[3]Total P&amp;C'!$Y$59,'[3]Total P&amp;C'!$AB$59,'[3]Total P&amp;C'!$AU$59,'[3]Total P&amp;C'!$AX$59,'[3]Total P&amp;C'!$BA$59,'[3]Total P&amp;C'!$BD$59)/1000/BT163</f>
        <v>0.30007881474805959</v>
      </c>
    </row>
    <row r="167" spans="2:72" ht="16.5" hidden="1" customHeight="1" outlineLevel="1" x14ac:dyDescent="0.25">
      <c r="B167" s="202"/>
      <c r="C167" s="9"/>
      <c r="D167" s="38" t="s">
        <v>24</v>
      </c>
      <c r="J167" s="20">
        <f>-([1]Retail!$P$57+[1]Retail!$W$57+[1]Retail!$AV$57+[1]Retail!$AY$57)/1000/J163</f>
        <v>0</v>
      </c>
      <c r="K167" s="42">
        <f>-([1]Retail!$P$58+[1]Retail!$W$58+[1]Retail!$AV$58+[1]Retail!$AY$58)/1000/K163</f>
        <v>0</v>
      </c>
      <c r="L167" s="42" t="e">
        <f>-([1]Retail!$P$59+[1]Retail!$W$59+[1]Retail!$AV$59+[1]Retail!$AY$59)/1000/L163</f>
        <v>#DIV/0!</v>
      </c>
      <c r="M167" s="7"/>
      <c r="N167" s="20">
        <f>-([1]SME!$P$57+[1]SME!$W$57+[1]SME!$AV$57+[1]SME!$AY$57)/1000/N163</f>
        <v>0</v>
      </c>
      <c r="O167" s="20">
        <f>-([1]SME!$P$58+[1]SME!$W$58+[1]SME!$AV$58+[1]SME!$AY$58)/1000/O163</f>
        <v>0</v>
      </c>
      <c r="P167" s="20">
        <f>-([1]SME!$P$59+[1]SME!$W$59+[1]SME!$AV$59+[1]SME!$AY$59)/1000/P163</f>
        <v>0</v>
      </c>
      <c r="Q167" s="7"/>
      <c r="R167" s="20">
        <f>-([1]MidCorp!$P$57+[1]MidCorp!$W$57+[1]MidCorp!$AV$57+[1]MidCorp!$AY$57)/1000/R163</f>
        <v>0</v>
      </c>
      <c r="S167" s="20">
        <f>-([1]MidCorp!$P$58+[1]MidCorp!$W$58+[1]MidCorp!$AV$58+[1]MidCorp!$AY$58)/1000/S163</f>
        <v>0</v>
      </c>
      <c r="T167" s="20">
        <f>-([1]MidCorp!$P$59+[1]MidCorp!$W$59+[1]MidCorp!$AV$59+[1]MidCorp!$AY$59)/1000/T163</f>
        <v>0</v>
      </c>
      <c r="U167" s="7"/>
      <c r="V167" s="20">
        <f>-([1]MGA!$P$57+[1]MGA!$W$57+[1]MGA!$AV$57+[1]MGA!$AY$57)/1000/V163</f>
        <v>0</v>
      </c>
      <c r="W167" s="20">
        <f>-([1]MGA!$P$58+[1]MGA!$W$58+[1]MGA!$AV$58+[1]MGA!$AY$58)/1000/W163</f>
        <v>0</v>
      </c>
      <c r="X167" s="20" t="e">
        <f>-([1]MGA!$P$59+[1]MGA!$W$59+[1]MGA!$AV$59+[1]MGA!$AY$59)/1000/X163</f>
        <v>#DIV/0!</v>
      </c>
      <c r="Y167" s="7"/>
      <c r="Z167" s="20" t="e">
        <f>-([1]Bancassurance!$P$57+[1]Bancassurance!$W$57+[1]Bancassurance!$AV$57+[1]Bancassurance!$AY$57)/1000/Z163</f>
        <v>#DIV/0!</v>
      </c>
      <c r="AA167" s="20" t="e">
        <f>-([1]Bancassurance!$P$58+[1]Bancassurance!$W$58+[1]Bancassurance!$AV$58+[1]Bancassurance!$AY$58)/1000/AA163</f>
        <v>#DIV/0!</v>
      </c>
      <c r="AB167" s="20">
        <f>-([1]Bancassurance!$P$59+[1]Bancassurance!$W$59+[1]Bancassurance!$AV$59+[1]Bancassurance!$AY$59)/1000/AB163</f>
        <v>0</v>
      </c>
      <c r="AC167" s="7"/>
      <c r="AD167" s="20" t="e">
        <f>-([1]Specials!$P$57+[1]Specials!$W$57+[1]Specials!$AV$57+[1]Specials!$AY$57)/1000/AD163</f>
        <v>#DIV/0!</v>
      </c>
      <c r="AE167" s="20" t="e">
        <f>-([1]Specials!$P$58+[1]Specials!$W$58+[1]Specials!$AV$58+[1]Specials!$AY$58)/1000/AE163</f>
        <v>#DIV/0!</v>
      </c>
      <c r="AF167" s="20" t="e">
        <f>-([1]Specials!$P$59+[1]Specials!$W$59+[1]Specials!$AV$59+[1]Specials!$AY$59)/1000/AF163</f>
        <v>#DIV/0!</v>
      </c>
      <c r="AG167" s="7"/>
      <c r="AH167" s="28">
        <f>-('[1]Total P&amp;C'!$P$57+'[1]Total P&amp;C'!$W$57+'[1]Total P&amp;C'!$AV$57+'[1]Total P&amp;C'!$AY$57)/1000/AH163</f>
        <v>0</v>
      </c>
      <c r="AI167" s="28">
        <f>-('[1]Total P&amp;C'!$P$58+'[1]Total P&amp;C'!$W$58+'[1]Total P&amp;C'!$AV$58+'[1]Total P&amp;C'!$AY$58)/1000/AI163</f>
        <v>0</v>
      </c>
      <c r="AJ167" s="28">
        <f>-('[1]Total P&amp;C'!$P$59+'[1]Total P&amp;C'!$W$59+'[1]Total P&amp;C'!$AV$59+'[1]Total P&amp;C'!$AY$59)/1000/AJ163</f>
        <v>0</v>
      </c>
      <c r="AL167" s="202"/>
      <c r="AM167" s="9"/>
      <c r="AN167" s="38" t="s">
        <v>24</v>
      </c>
      <c r="AT167" s="20">
        <f>-([2]Retail!$P$57+[2]Retail!$W$57+[2]Retail!$AV$57+[2]Retail!$AY$57)/1000/AT163</f>
        <v>0</v>
      </c>
      <c r="AU167" s="42">
        <f>-([2]Retail!$P$58+[2]Retail!$W$58+[2]Retail!$AV$58+[2]Retail!$AY$58)/1000/AU163</f>
        <v>0</v>
      </c>
      <c r="AV167" s="42">
        <f>-([2]Retail!$P$59+[2]Retail!$W$59+[2]Retail!$AV$59+[2]Retail!$AY$59)/1000/AV163</f>
        <v>0</v>
      </c>
      <c r="AW167" s="7"/>
      <c r="AX167" s="20">
        <f>-([2]SME!$P$57+[2]SME!$W$57+[2]SME!$AV$57+[2]SME!$AY$57)/1000/AX163</f>
        <v>0</v>
      </c>
      <c r="AY167" s="20">
        <f>-([2]SME!$P$58+[2]SME!$W$58+[2]SME!$AV$58+[2]SME!$AY$58)/1000/AY163</f>
        <v>0</v>
      </c>
      <c r="AZ167" s="20">
        <f>-([2]SME!$P$59+[2]SME!$W$59+[2]SME!$AV$59+[2]SME!$AY$59)/1000/AZ163</f>
        <v>0</v>
      </c>
      <c r="BA167" s="7"/>
      <c r="BB167" s="20">
        <f>-([2]MidCorp!$P$57+[2]MidCorp!$W$57+[2]MidCorp!$AV$57+[2]MidCorp!$AY$57)/1000/BB163</f>
        <v>0</v>
      </c>
      <c r="BC167" s="20">
        <f>-([2]MidCorp!$P$58+[2]MidCorp!$W$58+[2]MidCorp!$AV$58+[2]MidCorp!$AY$58)/1000/BC163</f>
        <v>0</v>
      </c>
      <c r="BD167" s="20">
        <f>-([2]MidCorp!$P$59+[2]MidCorp!$W$59+[2]MidCorp!$AV$59+[2]MidCorp!$AY$59)/1000/BD163</f>
        <v>0</v>
      </c>
      <c r="BJ167" s="20" t="e">
        <f>-([2]Specials!$P$57+[2]Specials!$W$57+[2]Specials!$AV$57+[2]Specials!$AY$57)/1000/BJ163</f>
        <v>#DIV/0!</v>
      </c>
      <c r="BK167" s="20" t="e">
        <f>-([2]Specials!$P$58+[2]Specials!$W$58+[2]Specials!$AV$58+[2]Specials!$AY$58)/1000/BK163</f>
        <v>#DIV/0!</v>
      </c>
      <c r="BL167" s="20" t="e">
        <f>-([2]Specials!$P$59+[2]Specials!$W$59+[2]Specials!$AV$59+[2]Specials!$AY$59)/1000/BL163</f>
        <v>#DIV/0!</v>
      </c>
      <c r="BM167" s="7"/>
      <c r="BN167" s="28">
        <f>-('[2]Total P&amp;C'!$P$57+'[2]Total P&amp;C'!$W$57+'[2]Total P&amp;C'!$AV$57+'[2]Total P&amp;C'!$AY$57)/1000/BN163</f>
        <v>0</v>
      </c>
      <c r="BO167" s="28">
        <f>-('[2]Total P&amp;C'!$P$58+'[2]Total P&amp;C'!$W$58+'[2]Total P&amp;C'!$AV$58+'[2]Total P&amp;C'!$AY$58)/1000/BO163</f>
        <v>0</v>
      </c>
      <c r="BP167" s="28">
        <f>-('[2]Total P&amp;C'!$P$59+'[2]Total P&amp;C'!$W$59+'[2]Total P&amp;C'!$AV$59+'[2]Total P&amp;C'!$AY$59)/1000/BP163</f>
        <v>0</v>
      </c>
      <c r="BR167" s="28">
        <f>-('[3]Total P&amp;C'!$P$57+'[3]Total P&amp;C'!$W$57+'[3]Total P&amp;C'!$AV$57+'[3]Total P&amp;C'!$AY$57)/1000/BR163</f>
        <v>0</v>
      </c>
      <c r="BS167" s="28">
        <f>-('[3]Total P&amp;C'!$P$58+'[3]Total P&amp;C'!$W$58+'[3]Total P&amp;C'!$AV$58+'[3]Total P&amp;C'!$AY$58)/1000/BS163</f>
        <v>0</v>
      </c>
      <c r="BT167" s="28">
        <f>-('[3]Total P&amp;C'!$P$59+'[3]Total P&amp;C'!$W$59+'[3]Total P&amp;C'!$AV$59+'[3]Total P&amp;C'!$AY$59)/1000/BT163</f>
        <v>0</v>
      </c>
    </row>
    <row r="168" spans="2:72" ht="16.5" hidden="1" customHeight="1" outlineLevel="1" x14ac:dyDescent="0.25">
      <c r="B168" s="202"/>
      <c r="C168" s="9"/>
      <c r="D168" s="38" t="s">
        <v>25</v>
      </c>
      <c r="J168" s="20">
        <f>-([1]Retail!$Q$57+[1]Retail!$X$57+[1]Retail!$AW$57+[1]Retail!$AZ$57)/1000/J163</f>
        <v>0</v>
      </c>
      <c r="K168" s="42">
        <f>-([1]Retail!$Q$58+[1]Retail!$X$58+[1]Retail!$AW$58+[1]Retail!$AZ$58)/1000/K163</f>
        <v>0</v>
      </c>
      <c r="L168" s="42" t="e">
        <f>-([1]Retail!$Q$59+[1]Retail!$X$59+[1]Retail!$AW$59+[1]Retail!$AZ$59)/1000/L163</f>
        <v>#DIV/0!</v>
      </c>
      <c r="M168" s="7"/>
      <c r="N168" s="20">
        <f>-([1]SME!$Q$57+[1]SME!$X$57+[1]SME!$AW$57+[1]SME!$AZ$57)/1000/N163</f>
        <v>0</v>
      </c>
      <c r="O168" s="20">
        <f>-([1]SME!$Q$58+[1]SME!$X$58+[1]SME!$AW$58+[1]SME!$AZ$58)/1000/O163</f>
        <v>0</v>
      </c>
      <c r="P168" s="20">
        <f>-([1]SME!$Q$59+[1]SME!$X$59+[1]SME!$AW$59+[1]SME!$AZ$59)/1000/P163</f>
        <v>0</v>
      </c>
      <c r="Q168" s="7"/>
      <c r="R168" s="20">
        <f>-([1]MidCorp!$Q$57+[1]MidCorp!$X$57+[1]MidCorp!$AW$57+[1]MidCorp!$AZ$57)/1000/R163</f>
        <v>0</v>
      </c>
      <c r="S168" s="20">
        <f>-([1]MidCorp!$Q$58+[1]MidCorp!$X$58+[1]MidCorp!$AW$58+[1]MidCorp!$AZ$58)/1000/S163</f>
        <v>0</v>
      </c>
      <c r="T168" s="20">
        <f>-([1]MidCorp!$Q$59+[1]MidCorp!$X$59+[1]MidCorp!$AW$59+[1]MidCorp!$AZ$59)/1000/T163</f>
        <v>0</v>
      </c>
      <c r="U168" s="7"/>
      <c r="V168" s="20">
        <f>-([1]MGA!$Q$57+[1]MGA!$X$57+[1]MGA!$AW$57+[1]MGA!$AZ$57)/1000/V163</f>
        <v>0</v>
      </c>
      <c r="W168" s="20">
        <f>-([1]MGA!$Q$58+[1]MGA!$X$58+[1]MGA!$AW$58+[1]MGA!$AZ$58)/1000/W163</f>
        <v>0</v>
      </c>
      <c r="X168" s="20" t="e">
        <f>-([1]MGA!$Q$59+[1]MGA!$X$59+[1]MGA!$AW$59+[1]MGA!$AZ$59)/1000/X163</f>
        <v>#DIV/0!</v>
      </c>
      <c r="Y168" s="7"/>
      <c r="Z168" s="20" t="e">
        <f>-([1]Bancassurance!$Q$57+[1]Bancassurance!$X$57+[1]Bancassurance!$AW$57+[1]Bancassurance!$AZ$57)/1000/Z163</f>
        <v>#DIV/0!</v>
      </c>
      <c r="AA168" s="20" t="e">
        <f>-([1]Bancassurance!$Q$58+[1]Bancassurance!$X$58+[1]Bancassurance!$AW$58+[1]Bancassurance!$AZ$58)/1000/AA163</f>
        <v>#DIV/0!</v>
      </c>
      <c r="AB168" s="20">
        <f>-([1]Bancassurance!$Q$59+[1]Bancassurance!$X$59+[1]Bancassurance!$AW$59+[1]Bancassurance!$AZ$59)/1000/AB163</f>
        <v>0</v>
      </c>
      <c r="AC168" s="7"/>
      <c r="AD168" s="20" t="e">
        <f>-([1]Specials!$Q$57+[1]Specials!$X$57+[1]Specials!$AW$57+[1]Specials!$AZ$57)/1000/AD163</f>
        <v>#DIV/0!</v>
      </c>
      <c r="AE168" s="20" t="e">
        <f>-([1]Specials!$Q$58+[1]Specials!$X$58+[1]Specials!$AW$58+[1]Specials!$AZ$58)/1000/AE163</f>
        <v>#DIV/0!</v>
      </c>
      <c r="AF168" s="20" t="e">
        <f>-([1]Specials!$Q$59+[1]Specials!$X$59+[1]Specials!$AW$59+[1]Specials!$AZ$59)/1000/AF163</f>
        <v>#DIV/0!</v>
      </c>
      <c r="AG168" s="7"/>
      <c r="AH168" s="28">
        <f>-('[1]Total P&amp;C'!$Q$57+'[1]Total P&amp;C'!$X$57+'[1]Total P&amp;C'!$AW$57+'[1]Total P&amp;C'!$AZ$57)/1000/AH163</f>
        <v>0</v>
      </c>
      <c r="AI168" s="28">
        <f>-('[1]Total P&amp;C'!$Q$58+'[1]Total P&amp;C'!$X$58+'[1]Total P&amp;C'!$AW$58+'[1]Total P&amp;C'!$AZ$58)/1000/AI163</f>
        <v>0</v>
      </c>
      <c r="AJ168" s="28">
        <f>-('[1]Total P&amp;C'!$Q$59+'[1]Total P&amp;C'!$X$59+'[1]Total P&amp;C'!$AW$59+'[1]Total P&amp;C'!$AZ$59)/1000/AJ163</f>
        <v>0</v>
      </c>
      <c r="AL168" s="202"/>
      <c r="AM168" s="9"/>
      <c r="AN168" s="38" t="s">
        <v>25</v>
      </c>
      <c r="AT168" s="20">
        <f>-([2]Retail!$Q$57+[2]Retail!$X$57+[2]Retail!$AW$57+[2]Retail!$AZ$57)/1000/AT163</f>
        <v>0</v>
      </c>
      <c r="AU168" s="42">
        <f>-([2]Retail!$Q$58+[2]Retail!$X$58+[2]Retail!$AW$58+[2]Retail!$AZ$58)/1000/AU163</f>
        <v>0</v>
      </c>
      <c r="AV168" s="42">
        <f>-([2]Retail!$Q$59+[2]Retail!$X$59+[2]Retail!$AW$59+[2]Retail!$AZ$59)/1000/AV163</f>
        <v>0</v>
      </c>
      <c r="AW168" s="7"/>
      <c r="AX168" s="20">
        <f>-([2]SME!$Q$57+[2]SME!$X$57+[2]SME!$AW$57+[2]SME!$AZ$57)/1000/AX163</f>
        <v>0</v>
      </c>
      <c r="AY168" s="20">
        <f>-([2]SME!$Q$58+[2]SME!$X$58+[2]SME!$AW$58+[2]SME!$AZ$58)/1000/AY163</f>
        <v>0</v>
      </c>
      <c r="AZ168" s="20">
        <f>-([2]SME!$Q$59+[2]SME!$X$59+[2]SME!$AW$59+[2]SME!$AZ$59)/1000/AZ163</f>
        <v>0</v>
      </c>
      <c r="BA168" s="7"/>
      <c r="BB168" s="20">
        <f>-([2]MidCorp!$Q$57+[2]MidCorp!$X$57+[2]MidCorp!$AW$57+[2]MidCorp!$AZ$57)/1000/BB163</f>
        <v>0</v>
      </c>
      <c r="BC168" s="20">
        <f>-([2]MidCorp!$Q$58+[2]MidCorp!$X$58+[2]MidCorp!$AW$58+[2]MidCorp!$AZ$58)/1000/BC163</f>
        <v>0</v>
      </c>
      <c r="BD168" s="20">
        <f>-([2]MidCorp!$Q$59+[2]MidCorp!$X$59+[2]MidCorp!$AW$59+[2]MidCorp!$AZ$59)/1000/BD163</f>
        <v>0</v>
      </c>
      <c r="BJ168" s="20" t="e">
        <f>-([2]Specials!$Q$57+[2]Specials!$X$57+[2]Specials!$AW$57+[2]Specials!$AZ$57)/1000/BJ163</f>
        <v>#DIV/0!</v>
      </c>
      <c r="BK168" s="20" t="e">
        <f>-([2]Specials!$Q$58+[2]Specials!$X$58+[2]Specials!$AW$58+[2]Specials!$AZ$58)/1000/BK163</f>
        <v>#DIV/0!</v>
      </c>
      <c r="BL168" s="20" t="e">
        <f>-([2]Specials!$Q$59+[2]Specials!$X$59+[2]Specials!$AW$59+[2]Specials!$AZ$59)/1000/BL163</f>
        <v>#DIV/0!</v>
      </c>
      <c r="BM168" s="7"/>
      <c r="BN168" s="28">
        <f>-('[2]Total P&amp;C'!$Q$57+'[2]Total P&amp;C'!$X$57+'[2]Total P&amp;C'!$AW$57+'[2]Total P&amp;C'!$AZ$57)/1000/BN163</f>
        <v>0</v>
      </c>
      <c r="BO168" s="28">
        <f>-('[2]Total P&amp;C'!$Q$58+'[2]Total P&amp;C'!$X$58+'[2]Total P&amp;C'!$AW$58+'[2]Total P&amp;C'!$AZ$58)/1000/BO163</f>
        <v>0</v>
      </c>
      <c r="BP168" s="28">
        <f>-('[2]Total P&amp;C'!$Q$59+'[2]Total P&amp;C'!$X$59+'[2]Total P&amp;C'!$AW$59+'[2]Total P&amp;C'!$AZ$59)/1000/BP163</f>
        <v>0</v>
      </c>
      <c r="BR168" s="28">
        <f>-('[3]Total P&amp;C'!$Q$57+'[3]Total P&amp;C'!$X$57+'[3]Total P&amp;C'!$AW$57+'[3]Total P&amp;C'!$AZ$57)/1000/BR163</f>
        <v>0</v>
      </c>
      <c r="BS168" s="28">
        <f>-('[3]Total P&amp;C'!$Q$58+'[3]Total P&amp;C'!$X$58+'[3]Total P&amp;C'!$AW$58+'[3]Total P&amp;C'!$AZ$58)/1000/BS163</f>
        <v>0</v>
      </c>
      <c r="BT168" s="28">
        <f>-('[3]Total P&amp;C'!$Q$59+'[3]Total P&amp;C'!$X$59+'[3]Total P&amp;C'!$AW$59+'[3]Total P&amp;C'!$AZ$59)/1000/BT163</f>
        <v>0</v>
      </c>
    </row>
    <row r="169" spans="2:72" ht="16.5" hidden="1" customHeight="1" outlineLevel="1" x14ac:dyDescent="0.25">
      <c r="B169" s="202"/>
      <c r="C169" s="9"/>
      <c r="D169" s="38" t="s">
        <v>26</v>
      </c>
      <c r="J169" s="20">
        <f>-[1]Retail!$AT$57/1000/J163</f>
        <v>0.74211340100741796</v>
      </c>
      <c r="K169" s="42">
        <f>-[1]Retail!$AT$58/1000/K163</f>
        <v>0.75430689306684728</v>
      </c>
      <c r="L169" s="42" t="e">
        <f>-[1]Retail!$AT$59/1000/L163</f>
        <v>#DIV/0!</v>
      </c>
      <c r="M169" s="7"/>
      <c r="N169" s="20">
        <f>-[1]SME!$AT$57/1000/N163</f>
        <v>0.96501460207093881</v>
      </c>
      <c r="O169" s="20">
        <f>-[1]SME!$AT$58/1000/O163</f>
        <v>0.9770168908759026</v>
      </c>
      <c r="P169" s="20">
        <f>-[1]SME!$AT$59/1000/P163</f>
        <v>0.81944442782184768</v>
      </c>
      <c r="Q169" s="7"/>
      <c r="R169" s="20">
        <f>-[1]MidCorp!$AT$57/1000/R163</f>
        <v>0.63873221383433043</v>
      </c>
      <c r="S169" s="20">
        <f>-[1]MidCorp!$AT$58/1000/S163</f>
        <v>0.62237189513303515</v>
      </c>
      <c r="T169" s="20">
        <f>-[1]MidCorp!$AT$59/1000/T163</f>
        <v>0.80057943704268675</v>
      </c>
      <c r="U169" s="7"/>
      <c r="V169" s="20">
        <f>-[1]MGA!$AT$57/1000/V163</f>
        <v>0</v>
      </c>
      <c r="W169" s="20">
        <f>-[1]MGA!$AT$58/1000/W163</f>
        <v>0</v>
      </c>
      <c r="X169" s="20" t="e">
        <f>-[1]MGA!$AT$59/1000/X163</f>
        <v>#DIV/0!</v>
      </c>
      <c r="Y169" s="7"/>
      <c r="Z169" s="20" t="e">
        <f>-[1]Bancassurance!$AT$57/1000/Z163</f>
        <v>#DIV/0!</v>
      </c>
      <c r="AA169" s="20" t="e">
        <f>-[1]Bancassurance!$AT$58/1000/AA163</f>
        <v>#DIV/0!</v>
      </c>
      <c r="AB169" s="20">
        <f>-[1]Bancassurance!$AT$59/1000/AB163</f>
        <v>0</v>
      </c>
      <c r="AC169" s="7"/>
      <c r="AD169" s="20" t="e">
        <f>-[1]Specials!$AT$57/1000/AD163</f>
        <v>#DIV/0!</v>
      </c>
      <c r="AE169" s="20" t="e">
        <f>-[1]Specials!$AT$58/1000/AE163</f>
        <v>#DIV/0!</v>
      </c>
      <c r="AF169" s="20" t="e">
        <f>-[1]Specials!$AT$59/1000/AF163</f>
        <v>#DIV/0!</v>
      </c>
      <c r="AG169" s="7"/>
      <c r="AH169" s="28">
        <f>-'[1]Total P&amp;C'!$AT$57/1000/AH163</f>
        <v>0.87088707698558399</v>
      </c>
      <c r="AI169" s="28">
        <f>-'[1]Total P&amp;C'!$AT$58/1000/AI163</f>
        <v>0.89421053595395839</v>
      </c>
      <c r="AJ169" s="28">
        <f>-'[1]Total P&amp;C'!$AT$59/1000/AJ163</f>
        <v>0.66349685222079247</v>
      </c>
      <c r="AL169" s="202"/>
      <c r="AM169" s="9"/>
      <c r="AN169" s="38" t="s">
        <v>26</v>
      </c>
      <c r="AT169" s="20">
        <f>-[2]Retail!$AT$57/1000/AT163</f>
        <v>0</v>
      </c>
      <c r="AU169" s="42">
        <f>-[2]Retail!$AT$58/1000/AU163</f>
        <v>0</v>
      </c>
      <c r="AV169" s="42">
        <f>-[2]Retail!$AT$59/1000/AV163</f>
        <v>0</v>
      </c>
      <c r="AW169" s="7"/>
      <c r="AX169" s="20">
        <f>-[2]SME!$AT$57/1000/AX163</f>
        <v>0</v>
      </c>
      <c r="AY169" s="20">
        <f>-[2]SME!$AT$58/1000/AY163</f>
        <v>0</v>
      </c>
      <c r="AZ169" s="20">
        <f>-[2]SME!$AT$59/1000/AZ163</f>
        <v>0</v>
      </c>
      <c r="BA169" s="7"/>
      <c r="BB169" s="20">
        <f>-[2]MidCorp!$AT$57/1000/BB163</f>
        <v>0</v>
      </c>
      <c r="BC169" s="20">
        <f>-[2]MidCorp!$AT$58/1000/BC163</f>
        <v>0</v>
      </c>
      <c r="BD169" s="20">
        <f>-[2]MidCorp!$AT$59/1000/BD163</f>
        <v>0</v>
      </c>
      <c r="BJ169" s="20" t="e">
        <f>-[2]Specials!$AT$57/1000/BJ163</f>
        <v>#DIV/0!</v>
      </c>
      <c r="BK169" s="20" t="e">
        <f>-[2]Specials!$AT$58/1000/BK163</f>
        <v>#DIV/0!</v>
      </c>
      <c r="BL169" s="20" t="e">
        <f>-[2]Specials!$AT$59/1000/BL163</f>
        <v>#DIV/0!</v>
      </c>
      <c r="BM169" s="7"/>
      <c r="BN169" s="28">
        <f>-'[2]Total P&amp;C'!$AT$57/1000/BN163</f>
        <v>0</v>
      </c>
      <c r="BO169" s="28">
        <f>-'[2]Total P&amp;C'!$AT$58/1000/BO163</f>
        <v>0</v>
      </c>
      <c r="BP169" s="28">
        <f>-'[2]Total P&amp;C'!$AT$59/1000/BP163</f>
        <v>0</v>
      </c>
      <c r="BR169" s="28">
        <f>-'[3]Total P&amp;C'!$AT$57/1000/BR163</f>
        <v>0.44653088855087392</v>
      </c>
      <c r="BS169" s="28">
        <f>-'[3]Total P&amp;C'!$AT$58/1000/BS163</f>
        <v>0.45700491801819637</v>
      </c>
      <c r="BT169" s="28">
        <f>-'[3]Total P&amp;C'!$AT$59/1000/BT163</f>
        <v>0.32427087886462375</v>
      </c>
    </row>
    <row r="170" spans="2:72" ht="16.5" hidden="1" customHeight="1" outlineLevel="1" x14ac:dyDescent="0.25">
      <c r="B170" s="202"/>
      <c r="C170" s="9"/>
      <c r="D170" s="37" t="s">
        <v>27</v>
      </c>
      <c r="J170" s="20">
        <f>-([1]Retail!$Z$57+[1]Retail!$AA$57+[1]Retail!$BB$57+[1]Retail!$BC$57)/1000/J163</f>
        <v>0</v>
      </c>
      <c r="K170" s="20">
        <f>-([1]Retail!$Z$58+[1]Retail!$AA$58+[1]Retail!$BB$58+[1]Retail!$BC$58)/1000/K163</f>
        <v>-4.5435857500213849E-4</v>
      </c>
      <c r="L170" s="20" t="e">
        <f>-([1]Retail!$Z$59+[1]Retail!$AA$59+[1]Retail!$BB$59+[1]Retail!$BC$59)/1000/L163</f>
        <v>#DIV/0!</v>
      </c>
      <c r="M170" s="7"/>
      <c r="N170" s="20">
        <f>-([1]SME!$Z$57+[1]SME!$AA$57+[1]SME!$BB$57+[1]SME!$BC$57)/1000/N163</f>
        <v>0</v>
      </c>
      <c r="O170" s="20">
        <f>-([1]SME!$Z$58+[1]SME!$AA$58+[1]SME!$BB$58+[1]SME!$BC$58)/1000/O163</f>
        <v>0</v>
      </c>
      <c r="P170" s="20">
        <f>-([1]SME!$Z$59+[1]SME!$AA$59+[1]SME!$BB$59+[1]SME!$BC$59)/1000/P163</f>
        <v>3.4214829449201144E-3</v>
      </c>
      <c r="Q170" s="7"/>
      <c r="R170" s="20">
        <f>-([1]MidCorp!$Z$57+[1]MidCorp!$AA$57+[1]MidCorp!$BB$57+[1]MidCorp!$BC$57)/1000/R163</f>
        <v>0</v>
      </c>
      <c r="S170" s="20">
        <f>-([1]MidCorp!$Z$58+[1]MidCorp!$AA$58+[1]MidCorp!$BB$58+[1]MidCorp!$BC$58)/1000/S163</f>
        <v>0</v>
      </c>
      <c r="T170" s="20">
        <f>-([1]MidCorp!$Z$59+[1]MidCorp!$AA$59+[1]MidCorp!$BB$59+[1]MidCorp!$BC$59)/1000/T163</f>
        <v>2.823999586949762E-2</v>
      </c>
      <c r="U170" s="7"/>
      <c r="V170" s="20">
        <f>-([1]MGA!$Z$57+[1]MGA!$AA$57+[1]MGA!$BB$57+[1]MGA!$BC$57)/1000/V163</f>
        <v>0</v>
      </c>
      <c r="W170" s="20">
        <f>-([1]MGA!$Z$58+[1]MGA!$AA$58+[1]MGA!$BB$58+[1]MGA!$BC$58)/1000/W163</f>
        <v>-5.293304657737569E-7</v>
      </c>
      <c r="X170" s="20" t="e">
        <f>-([1]MGA!$Z$59+[1]MGA!$AA$59+[1]MGA!$BB$59+[1]MGA!$BC$59)/1000/X163</f>
        <v>#DIV/0!</v>
      </c>
      <c r="Y170" s="7"/>
      <c r="Z170" s="20" t="e">
        <f>-([1]Bancassurance!$Z$57+[1]Bancassurance!$AA$57+[1]Bancassurance!$BB$57+[1]Bancassurance!$BC$57)/1000/Z163</f>
        <v>#DIV/0!</v>
      </c>
      <c r="AA170" s="20" t="e">
        <f>-([1]Bancassurance!$Z$58+[1]Bancassurance!$AA$58+[1]Bancassurance!$BB$58+[1]Bancassurance!$BC$58)/1000/AA163</f>
        <v>#DIV/0!</v>
      </c>
      <c r="AB170" s="20">
        <f>-([1]Bancassurance!$Z$59+[1]Bancassurance!$AA$59+[1]Bancassurance!$BB$59+[1]Bancassurance!$BC$59)/1000/AB163</f>
        <v>-1.5387380409313126E-2</v>
      </c>
      <c r="AC170" s="7"/>
      <c r="AD170" s="20" t="e">
        <f>-([1]Specials!$Z$57+[1]Specials!$AA$57+[1]Specials!$BB$57+[1]Specials!$BC$57)/1000/AD163</f>
        <v>#DIV/0!</v>
      </c>
      <c r="AE170" s="20" t="e">
        <f>-([1]Specials!$Z$58+[1]Specials!$AA$58+[1]Specials!$BB$58+[1]Specials!$BC$58)/1000/AE163</f>
        <v>#DIV/0!</v>
      </c>
      <c r="AF170" s="20" t="e">
        <f>-([1]Specials!$Z$59+[1]Specials!$AA$59+[1]Specials!$BB$59+[1]Specials!$BC$59)/1000/AF163</f>
        <v>#DIV/0!</v>
      </c>
      <c r="AG170" s="7"/>
      <c r="AH170" s="28">
        <f>-('[1]Total P&amp;C'!$Z$57+'[1]Total P&amp;C'!$AA$57+'[1]Total P&amp;C'!$BB$57+'[1]Total P&amp;C'!$BC$57)/1000/AH163</f>
        <v>0</v>
      </c>
      <c r="AI170" s="28">
        <f>-('[1]Total P&amp;C'!$Z$58+'[1]Total P&amp;C'!$AA$58+'[1]Total P&amp;C'!$BB$58+'[1]Total P&amp;C'!$BC$58)/1000/AI163</f>
        <v>-6.2851099262068588E-5</v>
      </c>
      <c r="AJ170" s="28">
        <f>-('[1]Total P&amp;C'!$Z$59+'[1]Total P&amp;C'!$AA$59+'[1]Total P&amp;C'!$BB$59+'[1]Total P&amp;C'!$BC$59)/1000/AJ163</f>
        <v>2.2950162735743657E-4</v>
      </c>
      <c r="AL170" s="202"/>
      <c r="AM170" s="9"/>
      <c r="AN170" s="37" t="s">
        <v>27</v>
      </c>
      <c r="AT170" s="20">
        <f>-([2]Retail!$Z$57+[2]Retail!$AA$57+[2]Retail!$BB$57+[2]Retail!$BC$57)/1000/AT163</f>
        <v>-2.7369846691028557E-2</v>
      </c>
      <c r="AU170" s="20">
        <f>-([2]Retail!$Z$58+[2]Retail!$AA$58+[2]Retail!$BB$58+[2]Retail!$BC$58)/1000/AU163</f>
        <v>-3.0427295176524122E-2</v>
      </c>
      <c r="AV170" s="20">
        <f>-([2]Retail!$Z$59+[2]Retail!$AA$59+[2]Retail!$BB$59+[2]Retail!$BC$59)/1000/AV163</f>
        <v>-2.0313399033802321E-2</v>
      </c>
      <c r="AW170" s="7"/>
      <c r="AX170" s="20">
        <f>-([2]SME!$Z$57+[2]SME!$AA$57+[2]SME!$BB$57+[2]SME!$BC$57)/1000/AX163</f>
        <v>-1.941473568062765E-2</v>
      </c>
      <c r="AY170" s="20">
        <f>-([2]SME!$Z$58+[2]SME!$AA$58+[2]SME!$BB$58+[2]SME!$BC$58)/1000/AY163</f>
        <v>-2.4575609419457165E-2</v>
      </c>
      <c r="AZ170" s="20">
        <f>-([2]SME!$Z$59+[2]SME!$AA$59+[2]SME!$BB$59+[2]SME!$BC$59)/1000/AZ163</f>
        <v>-1.9364818571206862E-2</v>
      </c>
      <c r="BA170" s="7"/>
      <c r="BB170" s="20">
        <f>-([2]MidCorp!$Z$57+[2]MidCorp!$AA$57+[2]MidCorp!$BB$57+[2]MidCorp!$BC$57)/1000/BB163</f>
        <v>-5.7958399601534545E-2</v>
      </c>
      <c r="BC170" s="20">
        <f>-([2]MidCorp!$Z$58+[2]MidCorp!$AA$58+[2]MidCorp!$BB$58+[2]MidCorp!$BC$58)/1000/BC163</f>
        <v>-9.2896694705523045E-2</v>
      </c>
      <c r="BD170" s="20">
        <f>-([2]MidCorp!$Z$59+[2]MidCorp!$AA$59+[2]MidCorp!$BB$59+[2]MidCorp!$BC$59)/1000/BD163</f>
        <v>-5.8113225594990353E-2</v>
      </c>
      <c r="BJ170" s="20" t="e">
        <f>-([2]Specials!$Z$57+[2]Specials!$AA$57+[2]Specials!$BB$57+[2]Specials!$BC$57)/1000/BJ163</f>
        <v>#DIV/0!</v>
      </c>
      <c r="BK170" s="20" t="e">
        <f>-([2]Specials!$Z$58+[2]Specials!$AA$58+[2]Specials!$BB$58+[2]Specials!$BC$58)/1000/BK163</f>
        <v>#DIV/0!</v>
      </c>
      <c r="BL170" s="20" t="e">
        <f>-([2]Specials!$Z$59+[2]Specials!$AA$59+[2]Specials!$BB$59+[2]Specials!$BC$59)/1000/BL163</f>
        <v>#DIV/0!</v>
      </c>
      <c r="BM170" s="7"/>
      <c r="BN170" s="28">
        <f>-('[2]Total P&amp;C'!$Z$57+'[2]Total P&amp;C'!$AA$57+'[2]Total P&amp;C'!$BB$57+'[2]Total P&amp;C'!$BC$57)/1000/BN163</f>
        <v>-3.1411734710581E-2</v>
      </c>
      <c r="BO170" s="28">
        <f>-('[2]Total P&amp;C'!$Z$58+'[2]Total P&amp;C'!$AA$58+'[2]Total P&amp;C'!$BB$58+'[2]Total P&amp;C'!$BC$58)/1000/BO163</f>
        <v>-4.0392685575230257E-2</v>
      </c>
      <c r="BP170" s="28">
        <f>-('[2]Total P&amp;C'!$Z$59+'[2]Total P&amp;C'!$AA$59+'[2]Total P&amp;C'!$BB$59+'[2]Total P&amp;C'!$BC$59)/1000/BP163</f>
        <v>-2.6167391955303591E-2</v>
      </c>
      <c r="BR170" s="28">
        <f>-('[3]Total P&amp;C'!$Z$57+'[3]Total P&amp;C'!$AA$57+'[3]Total P&amp;C'!$BB$57+'[3]Total P&amp;C'!$BC$57)/1000/BR163</f>
        <v>-1.5305961434222873E-2</v>
      </c>
      <c r="BS170" s="28">
        <f>-('[3]Total P&amp;C'!$Z$58+'[3]Total P&amp;C'!$AA$58+'[3]Total P&amp;C'!$BB$58+'[3]Total P&amp;C'!$BC$58)/1000/BS163</f>
        <v>-1.9781283721510376E-2</v>
      </c>
      <c r="BT170" s="28">
        <f>-('[3]Total P&amp;C'!$Z$59+'[3]Total P&amp;C'!$AA$59+'[3]Total P&amp;C'!$BB$59+'[3]Total P&amp;C'!$BC$59)/1000/BT163</f>
        <v>-1.3266435676920227E-2</v>
      </c>
    </row>
    <row r="171" spans="2:72" ht="16.5" hidden="1" customHeight="1" outlineLevel="1" x14ac:dyDescent="0.25">
      <c r="B171" s="202"/>
      <c r="C171" s="9"/>
      <c r="D171" s="37" t="s">
        <v>28</v>
      </c>
      <c r="J171" s="20">
        <f>-SUM([1]Retail!$AC$57:$AI$57,[1]Retail!$BE$57:$BG$57)/1000/J163</f>
        <v>-9.7025801057531863E-2</v>
      </c>
      <c r="K171" s="20">
        <f>-SUM([1]Retail!$AC$58:$AI$58,[1]Retail!$BE$58:$BG$58)/1000/K163</f>
        <v>-9.0734349382026028E-2</v>
      </c>
      <c r="L171" s="20" t="e">
        <f>-SUM([1]Retail!$AC$59:$AI$59,[1]Retail!$BE$59:$BG$59)/1000/L163</f>
        <v>#DIV/0!</v>
      </c>
      <c r="M171" s="7"/>
      <c r="N171" s="20">
        <f>-SUM([1]SME!$AC$57:$AI$57,[1]SME!$BE$57:$BG$57)/1000/N163</f>
        <v>7.035798505546545E-3</v>
      </c>
      <c r="O171" s="20">
        <f>-SUM([1]SME!$AC$58:$AI$58,[1]SME!$BE$58:$BG$58)/1000/O163</f>
        <v>5.392954695652331E-3</v>
      </c>
      <c r="P171" s="20">
        <f>-SUM([1]SME!$AC$59:$AI$59,[1]SME!$BE$59:$BG$59)/1000/P163</f>
        <v>1.7552923336068053E-3</v>
      </c>
      <c r="Q171" s="7"/>
      <c r="R171" s="20">
        <f>-SUM([1]MidCorp!$AC$57:$AI$57,[1]MidCorp!$BE$57:$BG$57)/1000/R163</f>
        <v>7.4085208204730066E-4</v>
      </c>
      <c r="S171" s="20">
        <f>-SUM([1]MidCorp!$AC$58:$AI$58,[1]MidCorp!$BE$58:$BG$58)/1000/S163</f>
        <v>8.8207147834194231E-5</v>
      </c>
      <c r="T171" s="20">
        <f>-SUM([1]MidCorp!$AC$59:$AI$59,[1]MidCorp!$BE$59:$BG$59)/1000/T163</f>
        <v>1.4907127840095605E-2</v>
      </c>
      <c r="U171" s="7"/>
      <c r="V171" s="20">
        <f>-SUM([1]MGA!$AC$57:$AI$57,[1]MGA!$BE$57:$BG$57)/1000/V163</f>
        <v>-0.15659045017047724</v>
      </c>
      <c r="W171" s="20">
        <f>-SUM([1]MGA!$AC$58:$AI$58,[1]MGA!$BE$58:$BG$58)/1000/W163</f>
        <v>-3.9314079466971304E-2</v>
      </c>
      <c r="X171" s="20" t="e">
        <f>-SUM([1]MGA!$AC$59:$AI$59,[1]MGA!$BE$59:$BG$59)/1000/X163</f>
        <v>#DIV/0!</v>
      </c>
      <c r="Y171" s="7"/>
      <c r="Z171" s="20" t="e">
        <f>-SUM([1]Bancassurance!$AC$57:$AI$57,[1]Bancassurance!$BE$57:$BG$57)/1000/Z163</f>
        <v>#DIV/0!</v>
      </c>
      <c r="AA171" s="20" t="e">
        <f>-SUM([1]Bancassurance!$AC$58:$AI$58,[1]Bancassurance!$BE$58:$BG$58)/1000/AA163</f>
        <v>#DIV/0!</v>
      </c>
      <c r="AB171" s="20">
        <f>-SUM([1]Bancassurance!$AC$59:$AI$59,[1]Bancassurance!$BE$59:$BG$59)/1000/AB163</f>
        <v>-8.1830144923878776E-3</v>
      </c>
      <c r="AC171" s="7"/>
      <c r="AD171" s="20" t="e">
        <f>-SUM([1]Specials!$AC$57:$AI$57,[1]Specials!$BE$57:$BG$57)/1000/AD163</f>
        <v>#DIV/0!</v>
      </c>
      <c r="AE171" s="20" t="e">
        <f>-SUM([1]Specials!$AC$58:$AI$58,[1]Specials!$BE$58:$BG$58)/1000/AE163</f>
        <v>#DIV/0!</v>
      </c>
      <c r="AF171" s="20" t="e">
        <f>-SUM([1]Specials!$AC$59:$AI$59,[1]Specials!$BE$59:$BG$59)/1000/AF163</f>
        <v>#DIV/0!</v>
      </c>
      <c r="AG171" s="7"/>
      <c r="AH171" s="28">
        <f>-SUM('[1]Total P&amp;C'!$AC$57:$AI$57,'[1]Total P&amp;C'!$BE$57:$BG$57)/1000/AH163</f>
        <v>-1.5845862808403856E-2</v>
      </c>
      <c r="AI171" s="28">
        <f>-SUM('[1]Total P&amp;C'!$AC$58:$AI$58,'[1]Total P&amp;C'!$BE$58:$BG$58)/1000/AI163</f>
        <v>-8.6570510608365327E-3</v>
      </c>
      <c r="AJ171" s="28">
        <f>-SUM('[1]Total P&amp;C'!$AC$59:$AI$59,'[1]Total P&amp;C'!$BE$59:$BG$59)/1000/AJ163</f>
        <v>6.9284800063838242E-5</v>
      </c>
      <c r="AL171" s="202"/>
      <c r="AM171" s="9"/>
      <c r="AN171" s="37" t="s">
        <v>28</v>
      </c>
      <c r="AT171" s="20">
        <f>-SUM([2]Retail!$AC$57:$AI$57,[2]Retail!$BE$57:$BG$57)/1000/AT163</f>
        <v>-0.2389106584304394</v>
      </c>
      <c r="AU171" s="20">
        <f>-SUM([2]Retail!$AC$58:$AI$58,[2]Retail!$BE$58:$BG$58)/1000/AU163</f>
        <v>-0.3653222914185798</v>
      </c>
      <c r="AV171" s="20">
        <f>-SUM([2]Retail!$AC$59:$AI$59,[2]Retail!$BE$59:$BG$59)/1000/AV163</f>
        <v>-5.8856909133332639E-3</v>
      </c>
      <c r="AW171" s="7"/>
      <c r="AX171" s="20">
        <f>-SUM([2]SME!$AC$57:$AI$57,[2]SME!$BE$57:$BG$57)/1000/AX163</f>
        <v>-0.19802357587086927</v>
      </c>
      <c r="AY171" s="20">
        <f>-SUM([2]SME!$AC$58:$AI$58,[2]SME!$BE$58:$BG$58)/1000/AY163</f>
        <v>-0.53807311142115732</v>
      </c>
      <c r="AZ171" s="20">
        <f>-SUM([2]SME!$AC$59:$AI$59,[2]SME!$BE$59:$BG$59)/1000/AZ163</f>
        <v>-5.6108451703700234E-3</v>
      </c>
      <c r="BA171" s="7"/>
      <c r="BB171" s="20">
        <f>-SUM([2]MidCorp!$AC$57:$AI$57,[2]MidCorp!$BE$57:$BG$57)/1000/BB163</f>
        <v>-0.97722285375063367</v>
      </c>
      <c r="BC171" s="20">
        <f>-SUM([2]MidCorp!$AC$58:$AI$58,[2]MidCorp!$BE$58:$BG$58)/1000/BC163</f>
        <v>-0.52093299811520877</v>
      </c>
      <c r="BD171" s="20">
        <f>-SUM([2]MidCorp!$AC$59:$AI$59,[2]MidCorp!$BE$59:$BG$59)/1000/BD163</f>
        <v>-1.6837973978390579E-2</v>
      </c>
      <c r="BJ171" s="20" t="e">
        <f>-SUM([2]Specials!$AC$57:$AI$57,[2]Specials!$BE$57:$BG$57)/1000/BJ163</f>
        <v>#DIV/0!</v>
      </c>
      <c r="BK171" s="20" t="e">
        <f>-SUM([2]Specials!$AC$58:$AI$58,[2]Specials!$BE$58:$BG$58)/1000/BK163</f>
        <v>#DIV/0!</v>
      </c>
      <c r="BL171" s="20" t="e">
        <f>-SUM([2]Specials!$AC$59:$AI$59,[2]Specials!$BE$59:$BG$59)/1000/BL163</f>
        <v>#DIV/0!</v>
      </c>
      <c r="BM171" s="7"/>
      <c r="BN171" s="28">
        <f>-SUM('[2]Total P&amp;C'!$AC$57:$AI$57,'[2]Total P&amp;C'!$BE$57:$BG$57)/1000/BN163</f>
        <v>-0.35496053301089836</v>
      </c>
      <c r="BO171" s="28">
        <f>-SUM('[2]Total P&amp;C'!$AC$58:$AI$58,'[2]Total P&amp;C'!$BE$58:$BG$58)/1000/BO163</f>
        <v>-0.41415628721707215</v>
      </c>
      <c r="BP171" s="28">
        <f>-SUM('[2]Total P&amp;C'!$AC$59:$AI$59,'[2]Total P&amp;C'!$BE$59:$BG$59)/1000/BP163</f>
        <v>-7.5818518064200355E-3</v>
      </c>
      <c r="BR171" s="28">
        <f>-SUM('[3]Total P&amp;C'!$AC$57:$AI$57,'[3]Total P&amp;C'!$BE$57:$BG$57)/1000/BR163</f>
        <v>-0.18108589529060182</v>
      </c>
      <c r="BS171" s="28">
        <f>-SUM('[3]Total P&amp;C'!$AC$58:$AI$58,'[3]Total P&amp;C'!$BE$58:$BG$58)/1000/BS163</f>
        <v>-0.20691745729395511</v>
      </c>
      <c r="BT171" s="28">
        <f>-SUM('[3]Total P&amp;C'!$AC$59:$AI$59,'[3]Total P&amp;C'!$BE$59:$BG$59)/1000/BT163</f>
        <v>-3.8425110945635751E-3</v>
      </c>
    </row>
    <row r="172" spans="2:72" ht="16.5" hidden="1" customHeight="1" outlineLevel="1" x14ac:dyDescent="0.25">
      <c r="B172" s="202"/>
      <c r="C172" s="9"/>
      <c r="D172" s="37" t="s">
        <v>29</v>
      </c>
      <c r="J172" s="20">
        <f>-SUM([1]Retail!$AJ$57:$AK$57,[1]Retail!$BH$57:$BI$57)/1000/J163</f>
        <v>5.2364844970015307E-3</v>
      </c>
      <c r="K172" s="20">
        <f>-SUM([1]Retail!$AJ$58:$AK$58,[1]Retail!$BH$58:$BI$58)/1000/K163</f>
        <v>2.0061993073526526E-3</v>
      </c>
      <c r="L172" s="20" t="e">
        <f>-SUM([1]Retail!$AJ$59:$AK$59,[1]Retail!$BH$59:$BI$59)/1000/L163</f>
        <v>#DIV/0!</v>
      </c>
      <c r="M172" s="7"/>
      <c r="N172" s="20">
        <f>-SUM([1]SME!$AJ$57:$AK$57,[1]SME!$BH$57:$BI$57)/1000/N163</f>
        <v>0</v>
      </c>
      <c r="O172" s="20">
        <f>-SUM([1]SME!$AJ$58:$AK$58,[1]SME!$BH$58:$BI$58)/1000/O163</f>
        <v>0</v>
      </c>
      <c r="P172" s="20">
        <f>-SUM([1]SME!$AJ$59:$AK$59,[1]SME!$BH$59:$BI$59)/1000/P163</f>
        <v>0</v>
      </c>
      <c r="Q172" s="7"/>
      <c r="R172" s="20">
        <f>-SUM([1]MidCorp!$AJ$57:$AK$57,[1]MidCorp!$BH$57:$BI$57)/1000/R163</f>
        <v>0</v>
      </c>
      <c r="S172" s="20">
        <f>-SUM([1]MidCorp!$AJ$58:$AK$58,[1]MidCorp!$BH$58:$BI$58)/1000/S163</f>
        <v>0</v>
      </c>
      <c r="T172" s="20">
        <f>-SUM([1]MidCorp!$AJ$59:$AK$59,[1]MidCorp!$BH$59:$BI$59)/1000/T163</f>
        <v>0</v>
      </c>
      <c r="U172" s="7"/>
      <c r="V172" s="20">
        <f>-SUM([1]MGA!$AJ$57:$AK$57,[1]MGA!$BH$57:$BI$57)/1000/V163</f>
        <v>5.513459164548022E-3</v>
      </c>
      <c r="W172" s="20">
        <f>-SUM([1]MGA!$AJ$58:$AK$58,[1]MGA!$BH$58:$BI$58)/1000/W163</f>
        <v>-8.1181649100835185E-4</v>
      </c>
      <c r="X172" s="20" t="e">
        <f>-SUM([1]MGA!$AJ$59:$AK$59,[1]MGA!$BH$59:$BI$59)/1000/X163</f>
        <v>#DIV/0!</v>
      </c>
      <c r="Y172" s="7"/>
      <c r="Z172" s="20" t="e">
        <f>-SUM([1]Bancassurance!$AJ$57:$AK$57,[1]Bancassurance!$BH$57:$BI$57)/1000/Z163</f>
        <v>#DIV/0!</v>
      </c>
      <c r="AA172" s="20" t="e">
        <f>-SUM([1]Bancassurance!$AJ$58:$AK$58,[1]Bancassurance!$BH$58:$BI$58)/1000/AA163</f>
        <v>#DIV/0!</v>
      </c>
      <c r="AB172" s="20">
        <f>-SUM([1]Bancassurance!$AJ$59:$AK$59,[1]Bancassurance!$BH$59:$BI$59)/1000/AB163</f>
        <v>0</v>
      </c>
      <c r="AC172" s="7"/>
      <c r="AD172" s="20" t="e">
        <f>-SUM([1]Specials!$AJ$57:$AK$57,[1]Specials!$BH$57:$BI$57)/1000/AD163</f>
        <v>#DIV/0!</v>
      </c>
      <c r="AE172" s="20" t="e">
        <f>-SUM([1]Specials!$AJ$58:$AK$58,[1]Specials!$BH$58:$BI$58)/1000/AE163</f>
        <v>#DIV/0!</v>
      </c>
      <c r="AF172" s="20" t="e">
        <f>-SUM([1]Specials!$AJ$59:$AK$59,[1]Specials!$BH$59:$BI$59)/1000/AF163</f>
        <v>#DIV/0!</v>
      </c>
      <c r="AG172" s="7"/>
      <c r="AH172" s="28">
        <f>-SUM('[1]Total P&amp;C'!$AJ$57:$AK$57,'[1]Total P&amp;C'!$BH$57:$BI$57)/1000/AH163</f>
        <v>9.8006561946475165E-4</v>
      </c>
      <c r="AI172" s="28">
        <f>-SUM('[1]Total P&amp;C'!$AJ$58:$AK$58,'[1]Total P&amp;C'!$BH$58:$BI$58)/1000/AI163</f>
        <v>2.3916002868257805E-4</v>
      </c>
      <c r="AJ172" s="28">
        <f>-SUM('[1]Total P&amp;C'!$AJ$59:$AK$59,'[1]Total P&amp;C'!$BH$59:$BI$59)/1000/AJ163</f>
        <v>0</v>
      </c>
      <c r="AL172" s="202"/>
      <c r="AM172" s="9"/>
      <c r="AN172" s="37" t="s">
        <v>29</v>
      </c>
      <c r="AT172" s="20">
        <f>-SUM([2]Retail!$AJ$57:$AK$57,[2]Retail!$BH$57:$BI$57)/1000/AT163</f>
        <v>7.6211844704747553E-2</v>
      </c>
      <c r="AU172" s="20">
        <f>-SUM([2]Retail!$AJ$58:$AK$58,[2]Retail!$BH$58:$BI$58)/1000/AU163</f>
        <v>-2.0500577417530703E-2</v>
      </c>
      <c r="AV172" s="20">
        <f>-SUM([2]Retail!$AJ$59:$AK$59,[2]Retail!$BH$59:$BI$59)/1000/AV163</f>
        <v>0</v>
      </c>
      <c r="AW172" s="7"/>
      <c r="AX172" s="20">
        <f>-SUM([2]SME!$AJ$57:$AK$57,[2]SME!$BH$57:$BI$57)/1000/AX163</f>
        <v>8.5049693890450709E-2</v>
      </c>
      <c r="AY172" s="20">
        <f>-SUM([2]SME!$AJ$58:$AK$58,[2]SME!$BH$58:$BI$58)/1000/AY163</f>
        <v>-1.1319341849289526E-2</v>
      </c>
      <c r="AZ172" s="20">
        <f>-SUM([2]SME!$AJ$59:$AK$59,[2]SME!$BH$59:$BI$59)/1000/AZ163</f>
        <v>0</v>
      </c>
      <c r="BA172" s="7"/>
      <c r="BB172" s="20">
        <f>-SUM([2]MidCorp!$AJ$57:$AK$57,[2]MidCorp!$BH$57:$BI$57)/1000/BB163</f>
        <v>0.20699340845009667</v>
      </c>
      <c r="BC172" s="20">
        <f>-SUM([2]MidCorp!$AJ$58:$AK$58,[2]MidCorp!$BH$58:$BI$58)/1000/BC163</f>
        <v>-7.0231378313024206E-3</v>
      </c>
      <c r="BD172" s="20">
        <f>-SUM([2]MidCorp!$AJ$59:$AK$59,[2]MidCorp!$BH$59:$BI$59)/1000/BD163</f>
        <v>0</v>
      </c>
      <c r="BJ172" s="20" t="e">
        <f>-SUM([2]Specials!$AJ$57:$AK$57,[2]Specials!$BH$57:$BI$57)/1000/BJ163</f>
        <v>#DIV/0!</v>
      </c>
      <c r="BK172" s="20" t="e">
        <f>-SUM([2]Specials!$AJ$58:$AK$58,[2]Specials!$BH$58:$BI$58)/1000/BK163</f>
        <v>#DIV/0!</v>
      </c>
      <c r="BL172" s="20" t="e">
        <f>-SUM([2]Specials!$AJ$59:$AK$59,[2]Specials!$BH$59:$BI$59)/1000/BL163</f>
        <v>#DIV/0!</v>
      </c>
      <c r="BM172" s="7"/>
      <c r="BN172" s="28">
        <f>-SUM('[2]Total P&amp;C'!$AJ$57:$AK$57,'[2]Total P&amp;C'!$BH$57:$BI$57)/1000/BN163</f>
        <v>9.8736009194437674E-2</v>
      </c>
      <c r="BO172" s="28">
        <f>-SUM('[2]Total P&amp;C'!$AJ$58:$AK$58,'[2]Total P&amp;C'!$BH$58:$BI$58)/1000/BO163</f>
        <v>-1.7011996839435769E-2</v>
      </c>
      <c r="BP172" s="28">
        <f>-SUM('[2]Total P&amp;C'!$AJ$59:$AK$59,'[2]Total P&amp;C'!$BH$59:$BI$59)/1000/BP163</f>
        <v>0</v>
      </c>
      <c r="BR172" s="28">
        <f>-SUM('[3]Total P&amp;C'!$AJ$57:$AK$57,'[3]Total P&amp;C'!$BH$57:$BI$57)/1000/BR163</f>
        <v>4.8613496759470957E-2</v>
      </c>
      <c r="BS172" s="28">
        <f>-SUM('[3]Total P&amp;C'!$AJ$58:$AK$58,'[3]Total P&amp;C'!$BH$58:$BI$58)/1000/BS163</f>
        <v>-8.1954338341443649E-3</v>
      </c>
      <c r="BT172" s="28">
        <f>-SUM('[3]Total P&amp;C'!$AJ$59:$AK$59,'[3]Total P&amp;C'!$BH$59:$BI$59)/1000/BT163</f>
        <v>0</v>
      </c>
    </row>
    <row r="173" spans="2:72" ht="16.5" hidden="1" customHeight="1" outlineLevel="1" x14ac:dyDescent="0.25">
      <c r="B173" s="202"/>
      <c r="C173" s="9"/>
      <c r="D173" s="37" t="s">
        <v>30</v>
      </c>
      <c r="J173" s="20">
        <f>+J174+J175+J176</f>
        <v>0.29450472869812955</v>
      </c>
      <c r="K173" s="20">
        <f>+K174+K175+K176</f>
        <v>0.53875793466794974</v>
      </c>
      <c r="L173" s="20" t="e">
        <f>+L174+L175+L176</f>
        <v>#DIV/0!</v>
      </c>
      <c r="M173" s="7"/>
      <c r="N173" s="20">
        <f>+N174+N175+N176</f>
        <v>0.26904911865878645</v>
      </c>
      <c r="O173" s="20">
        <f>+O174+O175+O176</f>
        <v>0.25245661582100026</v>
      </c>
      <c r="P173" s="20">
        <f>+P174+P175+P176</f>
        <v>0.29349007610647859</v>
      </c>
      <c r="Q173" s="7"/>
      <c r="R173" s="20">
        <f>+R174+R175+R176</f>
        <v>0.26216483496705079</v>
      </c>
      <c r="S173" s="20">
        <f>+S174+S175+S176</f>
        <v>0.23500700236631697</v>
      </c>
      <c r="T173" s="20">
        <f>+T174+T175+T176</f>
        <v>0.27300359837896149</v>
      </c>
      <c r="U173" s="7"/>
      <c r="V173" s="20">
        <f>+V174+V175+V176</f>
        <v>0.28650720052892265</v>
      </c>
      <c r="W173" s="20">
        <f>+W174+W175+W176</f>
        <v>0.34386012830617613</v>
      </c>
      <c r="X173" s="20" t="e">
        <f>+X174+X175+X176</f>
        <v>#DIV/0!</v>
      </c>
      <c r="Y173" s="7"/>
      <c r="Z173" s="20" t="e">
        <f>+Z174+Z175+Z176</f>
        <v>#DIV/0!</v>
      </c>
      <c r="AA173" s="20" t="e">
        <f>+AA174+AA175+AA176</f>
        <v>#DIV/0!</v>
      </c>
      <c r="AB173" s="20">
        <f>+AB174+AB175+AB176</f>
        <v>0.18648986335152282</v>
      </c>
      <c r="AC173" s="7"/>
      <c r="AD173" s="20" t="e">
        <f>+AD174+AD175+AD176</f>
        <v>#DIV/0!</v>
      </c>
      <c r="AE173" s="20" t="e">
        <f>+AE174+AE175+AE176</f>
        <v>#DIV/0!</v>
      </c>
      <c r="AF173" s="20" t="e">
        <f>+AF174+AF175+AF176</f>
        <v>#DIV/0!</v>
      </c>
      <c r="AG173" s="7"/>
      <c r="AH173" s="28">
        <f>+AH174+AH175+AH176</f>
        <v>0.29285757909232002</v>
      </c>
      <c r="AI173" s="28">
        <f>+AI174+AI175+AI176</f>
        <v>0.33937649298896033</v>
      </c>
      <c r="AJ173" s="28">
        <f>+AJ174+AJ175+AJ176</f>
        <v>0.2873569016497855</v>
      </c>
      <c r="AL173" s="202"/>
      <c r="AM173" s="9"/>
      <c r="AN173" s="37" t="s">
        <v>30</v>
      </c>
      <c r="AT173" s="20">
        <f>+AT174+AT175+AT176</f>
        <v>0.29651023417501288</v>
      </c>
      <c r="AU173" s="20">
        <f>+AU174+AU175+AU176</f>
        <v>0.2741157446856029</v>
      </c>
      <c r="AV173" s="20">
        <f>+AV174+AV175+AV176</f>
        <v>0.28480855236018526</v>
      </c>
      <c r="AW173" s="7"/>
      <c r="AX173" s="20">
        <f>+AX174+AX175+AX176</f>
        <v>0.30482724968121339</v>
      </c>
      <c r="AY173" s="20">
        <f>+AY174+AY175+AY176</f>
        <v>0.29311918865508746</v>
      </c>
      <c r="AZ173" s="20">
        <f>+AZ174+AZ175+AZ176</f>
        <v>0.30771827330989338</v>
      </c>
      <c r="BA173" s="7"/>
      <c r="BB173" s="20">
        <f>+BB174+BB175+BB176</f>
        <v>0.21587822746312102</v>
      </c>
      <c r="BC173" s="20">
        <f>+BC174+BC175+BC176</f>
        <v>0.1617737464070024</v>
      </c>
      <c r="BD173" s="20">
        <f>+BD174+BD175+BD176</f>
        <v>0.2478515547402369</v>
      </c>
      <c r="BJ173" s="20" t="e">
        <f>+BJ174+BJ175+BJ176</f>
        <v>#DIV/0!</v>
      </c>
      <c r="BK173" s="20" t="e">
        <f>+BK174+BK175+BK176</f>
        <v>#DIV/0!</v>
      </c>
      <c r="BL173" s="20" t="e">
        <f>+BL174+BL175+BL176</f>
        <v>#DIV/0!</v>
      </c>
      <c r="BM173" s="7"/>
      <c r="BN173" s="28">
        <f>+BN174+BN175+BN176</f>
        <v>0.28430756609884233</v>
      </c>
      <c r="BO173" s="28">
        <f>+BO174+BO175+BO176</f>
        <v>0.25728137362897457</v>
      </c>
      <c r="BP173" s="28">
        <f>+BP174+BP175+BP176</f>
        <v>0.28191987594555523</v>
      </c>
      <c r="BR173" s="28">
        <f>+BR174+BR175+BR176</f>
        <v>0.28869142366199951</v>
      </c>
      <c r="BS173" s="28">
        <f>+BS174+BS175+BS176</f>
        <v>0.2992377941634069</v>
      </c>
      <c r="BT173" s="28">
        <f>+BT174+BT175+BT176</f>
        <v>0.28457711402832708</v>
      </c>
    </row>
    <row r="174" spans="2:72" ht="16.5" hidden="1" customHeight="1" outlineLevel="1" x14ac:dyDescent="0.25">
      <c r="B174" s="202"/>
      <c r="C174" s="9"/>
      <c r="D174" s="39" t="s">
        <v>31</v>
      </c>
      <c r="J174" s="20">
        <f>-SUM([1]Retail!$AL$57:$AN$57,[1]Retail!$BJ$57)/1000/J163</f>
        <v>0.18685153924529144</v>
      </c>
      <c r="K174" s="42">
        <f>-SUM([1]Retail!$AL$58:$AN$58,[1]Retail!$BJ$58)/1000/K163</f>
        <v>0.1877227720153351</v>
      </c>
      <c r="L174" s="42" t="e">
        <f>-SUM([1]Retail!$AL$59:$AN$59,[1]Retail!$BJ$59)/1000/L163</f>
        <v>#DIV/0!</v>
      </c>
      <c r="M174" s="8"/>
      <c r="N174" s="20">
        <f>-SUM([1]SME!$AL$57:$AN$57,[1]SME!$BJ$57)/1000/N163</f>
        <v>0.18108560576970834</v>
      </c>
      <c r="O174" s="20">
        <f>-SUM([1]SME!$AL$58:$AN$58,[1]SME!$BJ$58)/1000/O163</f>
        <v>0.18130850351509137</v>
      </c>
      <c r="P174" s="20">
        <f>-SUM([1]SME!$AL$59:$AN$59,[1]SME!$BJ$59)/1000/P163</f>
        <v>0.18055557217815249</v>
      </c>
      <c r="Q174" s="8"/>
      <c r="R174" s="20">
        <f>-SUM([1]MidCorp!$AL$57:$AN$57,[1]MidCorp!$BJ$57)/1000/R163</f>
        <v>0.2000140095469225</v>
      </c>
      <c r="S174" s="20">
        <f>-SUM([1]MidCorp!$AL$58:$AN$58,[1]MidCorp!$BJ$58)/1000/S163</f>
        <v>0.20000699743854333</v>
      </c>
      <c r="T174" s="20">
        <f>-SUM([1]MidCorp!$AL$59:$AN$59,[1]MidCorp!$BJ$59)/1000/T163</f>
        <v>0.19942056295731317</v>
      </c>
      <c r="U174" s="8"/>
      <c r="V174" s="20">
        <f>-SUM([1]MGA!$AL$57:$AN$57,[1]MGA!$BJ$57)/1000/V163</f>
        <v>0.27112159640427025</v>
      </c>
      <c r="W174" s="20">
        <f>-SUM([1]MGA!$AL$58:$AN$58,[1]MGA!$BJ$58)/1000/W163</f>
        <v>0.27428334389347619</v>
      </c>
      <c r="X174" s="20" t="e">
        <f>-SUM([1]MGA!$AL$59:$AN$59,[1]MGA!$BJ$59)/1000/X163</f>
        <v>#DIV/0!</v>
      </c>
      <c r="Y174" s="8"/>
      <c r="Z174" s="20" t="e">
        <f>-SUM([1]Bancassurance!$AL$57:$AN$57,[1]Bancassurance!$BJ$57)/1000/Z163</f>
        <v>#DIV/0!</v>
      </c>
      <c r="AA174" s="20" t="e">
        <f>-SUM([1]Bancassurance!$AL$58:$AN$58,[1]Bancassurance!$BJ$58)/1000/AA163</f>
        <v>#DIV/0!</v>
      </c>
      <c r="AB174" s="20">
        <f>-SUM([1]Bancassurance!$AL$59:$AN$59,[1]Bancassurance!$BJ$59)/1000/AB163</f>
        <v>0.15</v>
      </c>
      <c r="AC174" s="8"/>
      <c r="AD174" s="20" t="e">
        <f>-SUM([1]Specials!$AL$57:$AN$57,[1]Specials!$BJ$57)/1000/AD163</f>
        <v>#DIV/0!</v>
      </c>
      <c r="AE174" s="20" t="e">
        <f>-SUM([1]Specials!$AL$58:$AN$58,[1]Specials!$BJ$58)/1000/AE163</f>
        <v>#DIV/0!</v>
      </c>
      <c r="AF174" s="20" t="e">
        <f>-SUM([1]Specials!$AL$59:$AN$59,[1]Specials!$BJ$59)/1000/AF163</f>
        <v>#DIV/0!</v>
      </c>
      <c r="AG174" s="8"/>
      <c r="AH174" s="28">
        <f>-SUM('[1]Total P&amp;C'!$AL$57:$AN$57,'[1]Total P&amp;C'!$BJ$57)/1000/AH163</f>
        <v>0.18787560136983872</v>
      </c>
      <c r="AI174" s="28">
        <f>-SUM('[1]Total P&amp;C'!$AL$58:$AN$58,'[1]Total P&amp;C'!$BJ$58)/1000/AI163</f>
        <v>0.18689104788958669</v>
      </c>
      <c r="AJ174" s="28">
        <f>-SUM('[1]Total P&amp;C'!$AL$59:$AN$59,'[1]Total P&amp;C'!$BJ$59)/1000/AJ163</f>
        <v>0.17504087407562427</v>
      </c>
      <c r="AL174" s="202"/>
      <c r="AM174" s="9"/>
      <c r="AN174" s="39" t="s">
        <v>31</v>
      </c>
      <c r="AT174" s="20">
        <f>-SUM([2]Retail!$AL$57:$AN$57,[2]Retail!$BJ$57)/1000/AT163</f>
        <v>0.17822811313149414</v>
      </c>
      <c r="AU174" s="42">
        <f>-SUM([2]Retail!$AL$58:$AN$58,[2]Retail!$BJ$58)/1000/AU163</f>
        <v>0.17913344874446196</v>
      </c>
      <c r="AV174" s="42">
        <f>-SUM([2]Retail!$AL$59:$AN$59,[2]Retail!$BJ$59)/1000/AV163</f>
        <v>0.17877729792260658</v>
      </c>
      <c r="AW174" s="8"/>
      <c r="AX174" s="20">
        <f>-SUM([2]SME!$AL$57:$AN$57,[2]SME!$BJ$57)/1000/AX163</f>
        <v>0.20732906537525467</v>
      </c>
      <c r="AY174" s="20">
        <f>-SUM([2]SME!$AL$58:$AN$58,[2]SME!$BJ$58)/1000/AY163</f>
        <v>0.20321816290201536</v>
      </c>
      <c r="AZ174" s="20">
        <f>-SUM([2]SME!$AL$59:$AN$59,[2]SME!$BJ$59)/1000/AZ163</f>
        <v>0.2111548514466525</v>
      </c>
      <c r="BA174" s="8"/>
      <c r="BB174" s="20">
        <f>-SUM([2]MidCorp!$AL$57:$AN$57,[2]MidCorp!$BJ$57)/1000/BB163</f>
        <v>9.4095278645674213E-2</v>
      </c>
      <c r="BC174" s="20">
        <f>-SUM([2]MidCorp!$AL$58:$AN$58,[2]MidCorp!$BJ$58)/1000/BC163</f>
        <v>0.10458434695075929</v>
      </c>
      <c r="BD174" s="20">
        <f>-SUM([2]MidCorp!$AL$59:$AN$59,[2]MidCorp!$BJ$59)/1000/BD163</f>
        <v>0.11669750654634628</v>
      </c>
      <c r="BJ174" s="20" t="e">
        <f>-SUM([2]Specials!$AL$57:$AN$57,[2]Specials!$BJ$57)/1000/BJ163</f>
        <v>#DIV/0!</v>
      </c>
      <c r="BK174" s="20" t="e">
        <f>-SUM([2]Specials!$AL$58:$AN$58,[2]Specials!$BJ$58)/1000/BK163</f>
        <v>#DIV/0!</v>
      </c>
      <c r="BL174" s="20" t="e">
        <f>-SUM([2]Specials!$AL$59:$AN$59,[2]Specials!$BJ$59)/1000/BL163</f>
        <v>#DIV/0!</v>
      </c>
      <c r="BM174" s="8"/>
      <c r="BN174" s="28">
        <f>-SUM('[2]Total P&amp;C'!$AL$57:$AN$57,'[2]Total P&amp;C'!$BJ$57)/1000/BN163</f>
        <v>0.16799453815963206</v>
      </c>
      <c r="BO174" s="28">
        <f>-SUM('[2]Total P&amp;C'!$AL$58:$AN$58,'[2]Total P&amp;C'!$BJ$58)/1000/BO163</f>
        <v>0.16943300028590219</v>
      </c>
      <c r="BP174" s="28">
        <f>-SUM('[2]Total P&amp;C'!$AL$59:$AN$59,'[2]Total P&amp;C'!$BJ$59)/1000/BP163</f>
        <v>0.17313754802107334</v>
      </c>
      <c r="BR174" s="28">
        <f>-SUM('[3]Total P&amp;C'!$AL$57:$AN$57,'[3]Total P&amp;C'!$BJ$57)/1000/BR163</f>
        <v>0.178188177559263</v>
      </c>
      <c r="BS174" s="28">
        <f>-SUM('[3]Total P&amp;C'!$AL$58:$AN$58,'[3]Total P&amp;C'!$BJ$58)/1000/BS163</f>
        <v>0.17835529911049405</v>
      </c>
      <c r="BT174" s="28">
        <f>-SUM('[3]Total P&amp;C'!$AL$59:$AN$59,'[3]Total P&amp;C'!$BJ$59)/1000/BT163</f>
        <v>0.17406776074236868</v>
      </c>
    </row>
    <row r="175" spans="2:72" ht="16.5" hidden="1" customHeight="1" outlineLevel="1" x14ac:dyDescent="0.25">
      <c r="B175" s="202"/>
      <c r="C175" s="9"/>
      <c r="D175" s="39" t="s">
        <v>32</v>
      </c>
      <c r="J175" s="20">
        <f>-SUM([1]Retail!$AO$57:$AP$57)/1000/J163</f>
        <v>2.4548690014485259E-3</v>
      </c>
      <c r="K175" s="42">
        <f>-SUM([1]Retail!$AO$58:$AP$58)/1000/K163</f>
        <v>1.7197694493935135E-2</v>
      </c>
      <c r="L175" s="42" t="e">
        <f>-SUM([1]Retail!$AO$59:$AP$59)/1000/L163</f>
        <v>#DIV/0!</v>
      </c>
      <c r="M175" s="8"/>
      <c r="N175" s="20">
        <f>-SUM([1]SME!$AO$57:$AP$57)/1000/N163</f>
        <v>3.0999234657393654E-2</v>
      </c>
      <c r="O175" s="20">
        <f>-SUM([1]SME!$AO$58:$AP$58)/1000/O163</f>
        <v>1.8303458329261266E-2</v>
      </c>
      <c r="P175" s="20">
        <f>-SUM([1]SME!$AO$59:$AP$59)/1000/P163</f>
        <v>3.6264985200240726E-2</v>
      </c>
      <c r="Q175" s="8"/>
      <c r="R175" s="20">
        <f>-SUM([1]MidCorp!$AO$57:$AP$57)/1000/R163</f>
        <v>1.4193422225854331E-2</v>
      </c>
      <c r="S175" s="20">
        <f>-SUM([1]MidCorp!$AO$58:$AP$58)/1000/S163</f>
        <v>5.1101012460368393E-4</v>
      </c>
      <c r="T175" s="20">
        <f>-SUM([1]MidCorp!$AO$59:$AP$59)/1000/T163</f>
        <v>6.0614397409239854E-3</v>
      </c>
      <c r="U175" s="8"/>
      <c r="V175" s="20">
        <f>-SUM([1]MGA!$AO$57:$AP$57)/1000/V163</f>
        <v>1.0807175296316361E-2</v>
      </c>
      <c r="W175" s="20">
        <f>-SUM([1]MGA!$AO$58:$AP$58)/1000/W163</f>
        <v>1.0486918744421083E-2</v>
      </c>
      <c r="X175" s="20" t="e">
        <f>-SUM([1]MGA!$AO$59:$AP$59)/1000/X163</f>
        <v>#DIV/0!</v>
      </c>
      <c r="Y175" s="8"/>
      <c r="Z175" s="20" t="e">
        <f>-SUM([1]Bancassurance!$AO$57:$AP$57)/1000/Z163</f>
        <v>#DIV/0!</v>
      </c>
      <c r="AA175" s="20" t="e">
        <f>-SUM([1]Bancassurance!$AO$58:$AP$58)/1000/AA163</f>
        <v>#DIV/0!</v>
      </c>
      <c r="AB175" s="20">
        <f>-SUM([1]Bancassurance!$AO$59:$AP$59)/1000/AB163</f>
        <v>3.02731904088684E-3</v>
      </c>
      <c r="AC175" s="8"/>
      <c r="AD175" s="20" t="e">
        <f>-SUM([1]Specials!$AO$57:$AP$57)/1000/AD163</f>
        <v>#DIV/0!</v>
      </c>
      <c r="AE175" s="20" t="e">
        <f>-SUM([1]Specials!$AO$58:$AP$58)/1000/AE163</f>
        <v>#DIV/0!</v>
      </c>
      <c r="AF175" s="20" t="e">
        <f>-SUM([1]Specials!$AO$59:$AP$59)/1000/AF163</f>
        <v>#DIV/0!</v>
      </c>
      <c r="AG175" s="8"/>
      <c r="AH175" s="28">
        <f>-SUM('[1]Total P&amp;C'!$AO$57:$AP$57)/1000/AH163</f>
        <v>2.8919882830902015E-2</v>
      </c>
      <c r="AI175" s="28">
        <f>-SUM('[1]Total P&amp;C'!$AO$58:$AP$58)/1000/AI163</f>
        <v>2.2813901652352156E-2</v>
      </c>
      <c r="AJ175" s="28">
        <f>-SUM('[1]Total P&amp;C'!$AO$59:$AP$59)/1000/AJ163</f>
        <v>3.03136072165891E-2</v>
      </c>
      <c r="AL175" s="202"/>
      <c r="AM175" s="9"/>
      <c r="AN175" s="39" t="s">
        <v>32</v>
      </c>
      <c r="AT175" s="20">
        <f>-SUM([2]Retail!$AO$57:$AP$57)/1000/AT163</f>
        <v>5.8768072773268898E-2</v>
      </c>
      <c r="AU175" s="42">
        <f>-SUM([2]Retail!$AO$58:$AP$58)/1000/AU163</f>
        <v>5.1420602220273524E-2</v>
      </c>
      <c r="AV175" s="42">
        <f>-SUM([2]Retail!$AO$59:$AP$59)/1000/AV163</f>
        <v>4.6801077519779265E-2</v>
      </c>
      <c r="AW175" s="8"/>
      <c r="AX175" s="20">
        <f>-SUM([2]SME!$AO$57:$AP$57)/1000/AX163</f>
        <v>3.7780671241991387E-2</v>
      </c>
      <c r="AY175" s="20">
        <f>-SUM([2]SME!$AO$58:$AP$58)/1000/AY163</f>
        <v>3.3660761818131421E-2</v>
      </c>
      <c r="AZ175" s="20">
        <f>-SUM([2]SME!$AO$59:$AP$59)/1000/AZ163</f>
        <v>3.1376445051859894E-2</v>
      </c>
      <c r="BA175" s="8"/>
      <c r="BB175" s="20">
        <f>-SUM([2]MidCorp!$AO$57:$AP$57)/1000/BB163</f>
        <v>2.9355430180076837E-2</v>
      </c>
      <c r="BC175" s="20">
        <f>-SUM([2]MidCorp!$AO$58:$AP$58)/1000/BC163</f>
        <v>1.4472845994585115E-2</v>
      </c>
      <c r="BD175" s="20">
        <f>-SUM([2]MidCorp!$AO$59:$AP$59)/1000/BD163</f>
        <v>2.7796975229307595E-2</v>
      </c>
      <c r="BJ175" s="20" t="e">
        <f>-SUM([2]Specials!$AO$57:$AP$57)/1000/BJ163</f>
        <v>#DIV/0!</v>
      </c>
      <c r="BK175" s="20" t="e">
        <f>-SUM([2]Specials!$AO$58:$AP$58)/1000/BK163</f>
        <v>#DIV/0!</v>
      </c>
      <c r="BL175" s="20" t="e">
        <f>-SUM([2]Specials!$AO$59:$AP$59)/1000/BL163</f>
        <v>#DIV/0!</v>
      </c>
      <c r="BM175" s="8"/>
      <c r="BN175" s="28">
        <f>-SUM('[2]Total P&amp;C'!$AO$57:$AP$57)/1000/BN163</f>
        <v>5.1377632697474529E-2</v>
      </c>
      <c r="BO175" s="28">
        <f>-SUM('[2]Total P&amp;C'!$AO$58:$AP$58)/1000/BO163</f>
        <v>4.2806597076512853E-2</v>
      </c>
      <c r="BP175" s="28">
        <f>-SUM('[2]Total P&amp;C'!$AO$59:$AP$59)/1000/BP163</f>
        <v>4.1807317382478774E-2</v>
      </c>
      <c r="BR175" s="28">
        <f>-SUM('[3]Total P&amp;C'!$AO$57:$AP$57)/1000/BR163</f>
        <v>3.9862845915376151E-2</v>
      </c>
      <c r="BS175" s="28">
        <f>-SUM('[3]Total P&amp;C'!$AO$58:$AP$58)/1000/BS163</f>
        <v>3.2588913694451056E-2</v>
      </c>
      <c r="BT175" s="28">
        <f>-SUM('[3]Total P&amp;C'!$AO$59:$AP$59)/1000/BT163</f>
        <v>3.618999533425294E-2</v>
      </c>
    </row>
    <row r="176" spans="2:72" ht="16.5" hidden="1" customHeight="1" outlineLevel="1" x14ac:dyDescent="0.25">
      <c r="B176" s="202"/>
      <c r="C176" s="9"/>
      <c r="D176" s="39" t="s">
        <v>33</v>
      </c>
      <c r="J176" s="20">
        <f>-SUM([1]Retail!$AQ$57:$AR$57)/1000/J163</f>
        <v>0.10519832045138956</v>
      </c>
      <c r="K176" s="42">
        <f>-SUM([1]Retail!$AQ$58:$AR$58)/1000/K163</f>
        <v>0.33383746815867954</v>
      </c>
      <c r="L176" s="42" t="e">
        <f>-SUM([1]Retail!$AQ$59:$AR$59)/1000/L163</f>
        <v>#DIV/0!</v>
      </c>
      <c r="M176" s="8"/>
      <c r="N176" s="20">
        <f>-SUM([1]SME!$AQ$57:$AR$57)/1000/N163</f>
        <v>5.6964278231684463E-2</v>
      </c>
      <c r="O176" s="20">
        <f>-SUM([1]SME!$AQ$58:$AR$58)/1000/O163</f>
        <v>5.2844653976647622E-2</v>
      </c>
      <c r="P176" s="20">
        <f>-SUM([1]SME!$AQ$59:$AR$59)/1000/P163</f>
        <v>7.6669518728085376E-2</v>
      </c>
      <c r="Q176" s="8"/>
      <c r="R176" s="20">
        <f>-SUM([1]MidCorp!$AQ$57:$AR$57)/1000/R163</f>
        <v>4.7957403194273988E-2</v>
      </c>
      <c r="S176" s="20">
        <f>-SUM([1]MidCorp!$AQ$58:$AR$58)/1000/S163</f>
        <v>3.4488994803169935E-2</v>
      </c>
      <c r="T176" s="20">
        <f>-SUM([1]MidCorp!$AQ$59:$AR$59)/1000/T163</f>
        <v>6.7521595680724314E-2</v>
      </c>
      <c r="U176" s="8"/>
      <c r="V176" s="20">
        <f>-SUM([1]MGA!$AQ$57:$AR$57)/1000/V163</f>
        <v>4.5784288283360498E-3</v>
      </c>
      <c r="W176" s="20">
        <f>-SUM([1]MGA!$AQ$58:$AR$58)/1000/W163</f>
        <v>5.9089865668278861E-2</v>
      </c>
      <c r="X176" s="20" t="e">
        <f>-SUM([1]MGA!$AQ$59:$AR$59)/1000/X163</f>
        <v>#DIV/0!</v>
      </c>
      <c r="Y176" s="8"/>
      <c r="Z176" s="20" t="e">
        <f>-SUM([1]Bancassurance!$AQ$57:$AR$57)/1000/Z163</f>
        <v>#DIV/0!</v>
      </c>
      <c r="AA176" s="20" t="e">
        <f>-SUM([1]Bancassurance!$AQ$58:$AR$58)/1000/AA163</f>
        <v>#DIV/0!</v>
      </c>
      <c r="AB176" s="20">
        <f>-SUM([1]Bancassurance!$AQ$59:$AR$59)/1000/AB163</f>
        <v>3.3462544310635979E-2</v>
      </c>
      <c r="AC176" s="8"/>
      <c r="AD176" s="20" t="e">
        <f>-SUM([1]Specials!$AQ$57:$AR$57)/1000/AD163</f>
        <v>#DIV/0!</v>
      </c>
      <c r="AE176" s="20" t="e">
        <f>-SUM([1]Specials!$AQ$58:$AR$58)/1000/AE163</f>
        <v>#DIV/0!</v>
      </c>
      <c r="AF176" s="20" t="e">
        <f>-SUM([1]Specials!$AQ$59:$AR$59)/1000/AF163</f>
        <v>#DIV/0!</v>
      </c>
      <c r="AG176" s="8"/>
      <c r="AH176" s="28">
        <f>-SUM('[1]Total P&amp;C'!$AQ$57:$AR$57)/1000/AH163</f>
        <v>7.6062094891579252E-2</v>
      </c>
      <c r="AI176" s="28">
        <f>-SUM('[1]Total P&amp;C'!$AQ$58:$AR$58)/1000/AI163</f>
        <v>0.12967154344702148</v>
      </c>
      <c r="AJ176" s="28">
        <f>-SUM('[1]Total P&amp;C'!$AQ$59:$AR$59)/1000/AJ163</f>
        <v>8.2002420357572145E-2</v>
      </c>
      <c r="AL176" s="202"/>
      <c r="AM176" s="9"/>
      <c r="AN176" s="39" t="s">
        <v>33</v>
      </c>
      <c r="AT176" s="20">
        <f>-SUM([2]Retail!$AQ$57:$AR$57)/1000/AT163</f>
        <v>5.951404827024985E-2</v>
      </c>
      <c r="AU176" s="42">
        <f>-SUM([2]Retail!$AQ$58:$AR$58)/1000/AU163</f>
        <v>4.3561693720867392E-2</v>
      </c>
      <c r="AV176" s="42">
        <f>-SUM([2]Retail!$AQ$59:$AR$59)/1000/AV163</f>
        <v>5.9230176917799408E-2</v>
      </c>
      <c r="AW176" s="8"/>
      <c r="AX176" s="20">
        <f>-SUM([2]SME!$AQ$57:$AR$57)/1000/AX163</f>
        <v>5.971751306396731E-2</v>
      </c>
      <c r="AY176" s="20">
        <f>-SUM([2]SME!$AQ$58:$AR$58)/1000/AY163</f>
        <v>5.6240263934940686E-2</v>
      </c>
      <c r="AZ176" s="20">
        <f>-SUM([2]SME!$AQ$59:$AR$59)/1000/AZ163</f>
        <v>6.5186976811380984E-2</v>
      </c>
      <c r="BA176" s="8"/>
      <c r="BB176" s="20">
        <f>-SUM([2]MidCorp!$AQ$57:$AR$57)/1000/BB163</f>
        <v>9.242751863736999E-2</v>
      </c>
      <c r="BC176" s="20">
        <f>-SUM([2]MidCorp!$AQ$58:$AR$58)/1000/BC163</f>
        <v>4.2716553461657987E-2</v>
      </c>
      <c r="BD176" s="20">
        <f>-SUM([2]MidCorp!$AQ$59:$AR$59)/1000/BD163</f>
        <v>0.10335707296458302</v>
      </c>
      <c r="BJ176" s="20" t="e">
        <f>-SUM([2]Specials!$AQ$57:$AR$57)/1000/BJ163</f>
        <v>#DIV/0!</v>
      </c>
      <c r="BK176" s="20" t="e">
        <f>-SUM([2]Specials!$AQ$58:$AR$58)/1000/BK163</f>
        <v>#DIV/0!</v>
      </c>
      <c r="BL176" s="20" t="e">
        <f>-SUM([2]Specials!$AQ$59:$AR$59)/1000/BL163</f>
        <v>#DIV/0!</v>
      </c>
      <c r="BM176" s="8"/>
      <c r="BN176" s="28">
        <f>-SUM('[2]Total P&amp;C'!$AQ$57:$AR$57)/1000/BN163</f>
        <v>6.4935395241735722E-2</v>
      </c>
      <c r="BO176" s="28">
        <f>-SUM('[2]Total P&amp;C'!$AQ$58:$AR$58)/1000/BO163</f>
        <v>4.5041776266559537E-2</v>
      </c>
      <c r="BP176" s="28">
        <f>-SUM('[2]Total P&amp;C'!$AQ$59:$AR$59)/1000/BP163</f>
        <v>6.6975010542003124E-2</v>
      </c>
      <c r="BR176" s="28">
        <f>-SUM('[3]Total P&amp;C'!$AQ$57:$AR$57)/1000/BR163</f>
        <v>7.0640400187360342E-2</v>
      </c>
      <c r="BS176" s="28">
        <f>-SUM('[3]Total P&amp;C'!$AQ$58:$AR$58)/1000/BS163</f>
        <v>8.829358135846177E-2</v>
      </c>
      <c r="BT176" s="28">
        <f>-SUM('[3]Total P&amp;C'!$AQ$59:$AR$59)/1000/BT163</f>
        <v>7.4319357951705495E-2</v>
      </c>
    </row>
    <row r="177" spans="2:72" ht="16.5" hidden="1" customHeight="1" outlineLevel="1" x14ac:dyDescent="0.25">
      <c r="B177" s="202"/>
      <c r="C177" s="9"/>
      <c r="D177" s="37" t="s">
        <v>34</v>
      </c>
      <c r="J177" s="19">
        <f>+[1]Retail!$BK$57/1000</f>
        <v>7.5903399999999671E-3</v>
      </c>
      <c r="K177" s="19">
        <f>+[1]Retail!$BK$58/1000</f>
        <v>-3.6469529999999931E-2</v>
      </c>
      <c r="L177" s="19">
        <f>+[1]Retail!$BK$59/1000</f>
        <v>-2.3003678130788085E-2</v>
      </c>
      <c r="M177" s="6"/>
      <c r="N177" s="19">
        <f>+[1]SME!$BK$57/1000</f>
        <v>-0.25369831999999998</v>
      </c>
      <c r="O177" s="19">
        <f>+[1]SME!$BK$58/1000</f>
        <v>-0.23949330999999999</v>
      </c>
      <c r="P177" s="19">
        <f>+[1]SME!$BK$59/1000</f>
        <v>9.4612882460553646E-2</v>
      </c>
      <c r="Q177" s="6"/>
      <c r="R177" s="19">
        <f>+[1]MidCorp!$BK$57/1000</f>
        <v>1.8457399999999981E-3</v>
      </c>
      <c r="S177" s="19">
        <f>+[1]MidCorp!$BK$58/1000</f>
        <v>2.8881799999999976E-3</v>
      </c>
      <c r="T177" s="19">
        <f>+[1]MidCorp!$BK$59/1000</f>
        <v>8.8484599308518829E-4</v>
      </c>
      <c r="U177" s="6"/>
      <c r="V177" s="19">
        <f>+[1]MGA!$BK$57/1000</f>
        <v>6.7299690000000009E-2</v>
      </c>
      <c r="W177" s="19">
        <f>+[1]MGA!$BK$58/1000</f>
        <v>3.9442749999999971E-2</v>
      </c>
      <c r="X177" s="19">
        <f>+[1]MGA!$BK$59/1000</f>
        <v>-1.9087476551173691E-3</v>
      </c>
      <c r="Y177" s="6"/>
      <c r="Z177" s="19">
        <f>+[1]Bancassurance!$BK$57/1000</f>
        <v>-3.4141599999999994E-2</v>
      </c>
      <c r="AA177" s="19">
        <f>+[1]Bancassurance!$BK$58/1000</f>
        <v>-7.700665000000001E-2</v>
      </c>
      <c r="AB177" s="19">
        <f>+[1]Bancassurance!$BK$59/1000</f>
        <v>4.1937321985215069E-2</v>
      </c>
      <c r="AC177" s="6"/>
      <c r="AD177" s="19">
        <f>+[1]Specials!$BK$57/1000</f>
        <v>0</v>
      </c>
      <c r="AE177" s="19">
        <f>+[1]Specials!$BK$58/1000</f>
        <v>0</v>
      </c>
      <c r="AF177" s="19">
        <f>+[1]Specials!$BK$59/1000</f>
        <v>0</v>
      </c>
      <c r="AG177" s="6"/>
      <c r="AH177" s="27">
        <f>+'[1]Total P&amp;C'!$BK$57/1000</f>
        <v>-0.2111041500000001</v>
      </c>
      <c r="AI177" s="27">
        <f>+'[1]Total P&amp;C'!$BK$58/1000</f>
        <v>-0.31063856000000001</v>
      </c>
      <c r="AJ177" s="27">
        <f>+'[1]Total P&amp;C'!$BK$59/1000</f>
        <v>0.11252262465294866</v>
      </c>
      <c r="AL177" s="202"/>
      <c r="AM177" s="9"/>
      <c r="AN177" s="37" t="s">
        <v>34</v>
      </c>
      <c r="AT177" s="19">
        <f>+[2]Retail!$BK$57/1000</f>
        <v>0.22148952999999927</v>
      </c>
      <c r="AU177" s="19">
        <f>+[2]Retail!$BK$58/1000</f>
        <v>0.4105450000000001</v>
      </c>
      <c r="AV177" s="19">
        <f>+[2]Retail!$BK$59/1000</f>
        <v>0.19003680385603558</v>
      </c>
      <c r="AW177" s="6"/>
      <c r="AX177" s="19">
        <f>+[2]SME!$BK$57/1000</f>
        <v>4.2148900000000038E-2</v>
      </c>
      <c r="AY177" s="19">
        <f>+[2]SME!$BK$58/1000</f>
        <v>0.10627604999999996</v>
      </c>
      <c r="AZ177" s="19">
        <f>+[2]SME!$BK$59/1000</f>
        <v>3.2544000698173772E-2</v>
      </c>
      <c r="BA177" s="6"/>
      <c r="BB177" s="19">
        <f>+[2]MidCorp!$BK$57/1000</f>
        <v>7.271653000000014E-2</v>
      </c>
      <c r="BC177" s="19">
        <f>+[2]MidCorp!$BK$58/1000</f>
        <v>-1.7524929999999838E-2</v>
      </c>
      <c r="BD177" s="19">
        <f>+[2]MidCorp!$BK$59/1000</f>
        <v>-8.2829329303247337E-2</v>
      </c>
      <c r="BJ177" s="19">
        <f>+[2]Specials!$BK$57/1000</f>
        <v>0</v>
      </c>
      <c r="BK177" s="19">
        <f>+[2]Specials!$BK$58/1000</f>
        <v>0</v>
      </c>
      <c r="BL177" s="19">
        <f>+[2]Specials!$BK$59/1000</f>
        <v>0</v>
      </c>
      <c r="BM177" s="6"/>
      <c r="BN177" s="27">
        <f>+'[2]Total P&amp;C'!$BK$57/1000</f>
        <v>0.33635495999999954</v>
      </c>
      <c r="BO177" s="27">
        <f>+'[2]Total P&amp;C'!$BK$58/1000</f>
        <v>0.49929612000000012</v>
      </c>
      <c r="BP177" s="27">
        <f>+'[2]Total P&amp;C'!$BK$59/1000</f>
        <v>0.13975147525096202</v>
      </c>
      <c r="BR177" s="27">
        <f>+'[3]Total P&amp;C'!$BK$57/1000</f>
        <v>0.12525080999999944</v>
      </c>
      <c r="BS177" s="27">
        <f>+'[3]Total P&amp;C'!$BK$58/1000</f>
        <v>0.18865755999999997</v>
      </c>
      <c r="BT177" s="27">
        <f>+'[3]Total P&amp;C'!$BK$59/1000</f>
        <v>0.25227409990391031</v>
      </c>
    </row>
    <row r="178" spans="2:72" hidden="1" outlineLevel="1" x14ac:dyDescent="0.25">
      <c r="B178"/>
      <c r="C178"/>
      <c r="D178"/>
      <c r="J178" s="47"/>
      <c r="K178" s="47"/>
      <c r="L178" s="47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L178"/>
      <c r="AM178"/>
      <c r="AN178"/>
      <c r="AT178" s="47"/>
      <c r="AU178" s="47"/>
      <c r="AV178" s="47"/>
      <c r="AW178"/>
      <c r="AX178"/>
      <c r="AY178"/>
      <c r="AZ178"/>
      <c r="BA178"/>
      <c r="BB178"/>
      <c r="BC178"/>
      <c r="BD178"/>
      <c r="BJ178"/>
      <c r="BK178"/>
      <c r="BL178"/>
      <c r="BM178"/>
      <c r="BN178"/>
      <c r="BO178"/>
      <c r="BP178"/>
      <c r="BR178"/>
      <c r="BS178"/>
      <c r="BT178"/>
    </row>
    <row r="179" spans="2:72" ht="16.5" hidden="1" customHeight="1" outlineLevel="1" x14ac:dyDescent="0.25">
      <c r="B179" s="202" t="s">
        <v>44</v>
      </c>
      <c r="C179" s="9"/>
      <c r="D179" s="37" t="s">
        <v>19</v>
      </c>
      <c r="J179" s="19">
        <f>+[1]Retail!$C$45/1000</f>
        <v>0</v>
      </c>
      <c r="K179" s="19">
        <f>+[1]Retail!$C$46/1000</f>
        <v>0</v>
      </c>
      <c r="L179" s="19">
        <f>+[1]Retail!$C$47/1000</f>
        <v>0</v>
      </c>
      <c r="M179" s="6"/>
      <c r="N179" s="19">
        <f>+[1]SME!$C$45/1000</f>
        <v>0</v>
      </c>
      <c r="O179" s="19">
        <f>+[1]SME!$C$46/1000</f>
        <v>0</v>
      </c>
      <c r="P179" s="19">
        <f>+[1]SME!$C$47/1000</f>
        <v>0</v>
      </c>
      <c r="Q179" s="6"/>
      <c r="R179" s="19">
        <f>+[1]MidCorp!$C$45/1000</f>
        <v>14.84662047</v>
      </c>
      <c r="S179" s="19">
        <f>+[1]MidCorp!$C$46/1000</f>
        <v>14.408480090000001</v>
      </c>
      <c r="T179" s="19">
        <f>+[1]MidCorp!$C$47/1000</f>
        <v>15.67407</v>
      </c>
      <c r="U179" s="6"/>
      <c r="V179" s="19">
        <f>+[1]MGA!$C$45/1000</f>
        <v>0</v>
      </c>
      <c r="W179" s="19">
        <f>+[1]MGA!$C$46/1000</f>
        <v>0</v>
      </c>
      <c r="X179" s="19">
        <f>+[1]MGA!$C$47/1000</f>
        <v>0</v>
      </c>
      <c r="Y179" s="6"/>
      <c r="Z179" s="19">
        <f>+[1]Bancassurance!$C$45/1000</f>
        <v>0</v>
      </c>
      <c r="AA179" s="19">
        <f>+[1]Bancassurance!$C$46/1000</f>
        <v>0</v>
      </c>
      <c r="AB179" s="19">
        <f>+[1]Bancassurance!$C$47/1000</f>
        <v>0</v>
      </c>
      <c r="AC179" s="6"/>
      <c r="AD179" s="19">
        <f>+[1]Specials!$C$45/1000</f>
        <v>0</v>
      </c>
      <c r="AE179" s="19">
        <f>+[1]Specials!$C$46/1000</f>
        <v>0</v>
      </c>
      <c r="AF179" s="19">
        <f>+[1]Specials!$C$47/1000</f>
        <v>0</v>
      </c>
      <c r="AG179" s="6"/>
      <c r="AH179" s="27">
        <f>+'[1]Total P&amp;C'!$C$45/1000</f>
        <v>14.84662047</v>
      </c>
      <c r="AI179" s="27">
        <f>+'[1]Total P&amp;C'!$C$46/1000</f>
        <v>14.408480090000001</v>
      </c>
      <c r="AJ179" s="27">
        <f>+'[1]Total P&amp;C'!$C$47/1000</f>
        <v>15.67407</v>
      </c>
      <c r="AL179" s="202" t="s">
        <v>44</v>
      </c>
      <c r="AM179" s="9"/>
      <c r="AN179" s="37" t="s">
        <v>19</v>
      </c>
      <c r="AT179" s="19">
        <f>+[2]Retail!$C$45/1000</f>
        <v>0</v>
      </c>
      <c r="AU179" s="19">
        <f>+[2]Retail!$C$46/1000</f>
        <v>0</v>
      </c>
      <c r="AV179" s="19">
        <f>+[2]Retail!$C$47/1000</f>
        <v>0</v>
      </c>
      <c r="AW179" s="6"/>
      <c r="AX179" s="19">
        <f>+[2]SME!$C$45/1000</f>
        <v>0</v>
      </c>
      <c r="AY179" s="19">
        <f>+[2]SME!$C$46/1000</f>
        <v>0</v>
      </c>
      <c r="AZ179" s="19">
        <f>+[2]SME!$C$47/1000</f>
        <v>0</v>
      </c>
      <c r="BA179" s="6"/>
      <c r="BB179" s="19">
        <f>+[2]MidCorp!$C$45/1000</f>
        <v>5.9281893200000004</v>
      </c>
      <c r="BC179" s="19">
        <f>+[2]MidCorp!$C$46/1000</f>
        <v>4.9159755299999999</v>
      </c>
      <c r="BD179" s="19">
        <f>+[2]MidCorp!$C$47/1000</f>
        <v>4.8998894861386102</v>
      </c>
      <c r="BJ179" s="19">
        <f>+[2]Specials!$C$45/1000</f>
        <v>0</v>
      </c>
      <c r="BK179" s="19">
        <f>+[2]Specials!$C$46/1000</f>
        <v>0</v>
      </c>
      <c r="BL179" s="19">
        <f>+[2]Specials!$C$47/1000</f>
        <v>0</v>
      </c>
      <c r="BM179" s="6"/>
      <c r="BN179" s="27">
        <f>+'[2]Total P&amp;C'!$C$45/1000</f>
        <v>5.9281893200000004</v>
      </c>
      <c r="BO179" s="27">
        <f>+'[2]Total P&amp;C'!$C$46/1000</f>
        <v>4.9159755299999999</v>
      </c>
      <c r="BP179" s="27">
        <f>+'[2]Total P&amp;C'!$C$47/1000</f>
        <v>4.8998894861386102</v>
      </c>
      <c r="BR179" s="27">
        <f>+'[3]Total P&amp;C'!$C$45/1000</f>
        <v>20.774809789999999</v>
      </c>
      <c r="BS179" s="27">
        <f>+'[3]Total P&amp;C'!$C$46/1000</f>
        <v>19.324455620000002</v>
      </c>
      <c r="BT179" s="27">
        <f>+'[3]Total P&amp;C'!$C$47/1000</f>
        <v>20.573959486138609</v>
      </c>
    </row>
    <row r="180" spans="2:72" ht="16.5" hidden="1" customHeight="1" outlineLevel="1" x14ac:dyDescent="0.25">
      <c r="B180" s="202"/>
      <c r="C180" s="9"/>
      <c r="D180" s="37" t="s">
        <v>20</v>
      </c>
      <c r="J180" s="19">
        <f>+[1]Retail!$N$45/1000</f>
        <v>0</v>
      </c>
      <c r="K180" s="19">
        <f>+[1]Retail!$N$46/1000</f>
        <v>0</v>
      </c>
      <c r="L180" s="19">
        <f>+[1]Retail!$N$47/1000</f>
        <v>0</v>
      </c>
      <c r="M180" s="6"/>
      <c r="N180" s="19">
        <f>+[1]SME!$N$45/1000</f>
        <v>0</v>
      </c>
      <c r="O180" s="19">
        <f>+[1]SME!$N$46/1000</f>
        <v>0</v>
      </c>
      <c r="P180" s="19">
        <f>+[1]SME!$N$47/1000</f>
        <v>0</v>
      </c>
      <c r="Q180" s="6"/>
      <c r="R180" s="19">
        <f>+[1]MidCorp!$N$45/1000</f>
        <v>5.9122976300000012</v>
      </c>
      <c r="S180" s="19">
        <f>+[1]MidCorp!$N$46/1000</f>
        <v>5.9173515700000019</v>
      </c>
      <c r="T180" s="19">
        <f>+[1]MidCorp!$N$47/1000</f>
        <v>6.9978755012949225</v>
      </c>
      <c r="U180" s="6"/>
      <c r="V180" s="19">
        <f>+[1]MGA!$N$45/1000</f>
        <v>0</v>
      </c>
      <c r="W180" s="19">
        <f>+[1]MGA!$N$46/1000</f>
        <v>0</v>
      </c>
      <c r="X180" s="19">
        <f>+[1]MGA!$N$47/1000</f>
        <v>0</v>
      </c>
      <c r="Y180" s="6"/>
      <c r="Z180" s="19">
        <f>+[1]Bancassurance!$N$45/1000</f>
        <v>0</v>
      </c>
      <c r="AA180" s="19">
        <f>+[1]Bancassurance!$N$46/1000</f>
        <v>0</v>
      </c>
      <c r="AB180" s="19">
        <f>+[1]Bancassurance!$N$47/1000</f>
        <v>0</v>
      </c>
      <c r="AC180" s="6"/>
      <c r="AD180" s="19">
        <f>+[1]Specials!$N$45/1000</f>
        <v>0</v>
      </c>
      <c r="AE180" s="19">
        <f>+[1]Specials!$N$46/1000</f>
        <v>0</v>
      </c>
      <c r="AF180" s="19">
        <f>+[1]Specials!$N$47/1000</f>
        <v>0</v>
      </c>
      <c r="AG180" s="6"/>
      <c r="AH180" s="27">
        <f>+'[1]Total P&amp;C'!$N$45/1000</f>
        <v>5.9122976300000012</v>
      </c>
      <c r="AI180" s="27">
        <f>+'[1]Total P&amp;C'!$N$46/1000</f>
        <v>5.9173515700000019</v>
      </c>
      <c r="AJ180" s="27">
        <f>+'[1]Total P&amp;C'!$N$47/1000</f>
        <v>6.9978755012949225</v>
      </c>
      <c r="AL180" s="202"/>
      <c r="AM180" s="9"/>
      <c r="AN180" s="37" t="s">
        <v>20</v>
      </c>
      <c r="AT180" s="19">
        <f>+[2]Retail!$N$45/1000</f>
        <v>0</v>
      </c>
      <c r="AU180" s="19">
        <f>+[2]Retail!$N$46/1000</f>
        <v>0</v>
      </c>
      <c r="AV180" s="19">
        <f>+[2]Retail!$N$47/1000</f>
        <v>0</v>
      </c>
      <c r="AW180" s="6"/>
      <c r="AX180" s="19">
        <f>+[2]SME!$N$45/1000</f>
        <v>0</v>
      </c>
      <c r="AY180" s="19">
        <f>+[2]SME!$N$46/1000</f>
        <v>0</v>
      </c>
      <c r="AZ180" s="19">
        <f>+[2]SME!$N$47/1000</f>
        <v>0</v>
      </c>
      <c r="BA180" s="6"/>
      <c r="BB180" s="19">
        <f>+[2]MidCorp!$N$45/1000</f>
        <v>2.1760641500000006</v>
      </c>
      <c r="BC180" s="19">
        <f>+[2]MidCorp!$N$46/1000</f>
        <v>2.3070754900000003</v>
      </c>
      <c r="BD180" s="19">
        <f>+[2]MidCorp!$N$47/1000</f>
        <v>2.182891792640985</v>
      </c>
      <c r="BJ180" s="19">
        <f>+[2]Specials!$N$45/1000</f>
        <v>0</v>
      </c>
      <c r="BK180" s="19">
        <f>+[2]Specials!$N$46/1000</f>
        <v>0</v>
      </c>
      <c r="BL180" s="19">
        <f>+[2]Specials!$N$47/1000</f>
        <v>0</v>
      </c>
      <c r="BM180" s="6"/>
      <c r="BN180" s="27">
        <f>+'[2]Total P&amp;C'!$N$45/1000</f>
        <v>2.1760641500000006</v>
      </c>
      <c r="BO180" s="27">
        <f>+'[2]Total P&amp;C'!$N$46/1000</f>
        <v>2.3070754900000003</v>
      </c>
      <c r="BP180" s="27">
        <f>+'[2]Total P&amp;C'!$N$47/1000</f>
        <v>2.182891792640985</v>
      </c>
      <c r="BR180" s="27">
        <f>+'[3]Total P&amp;C'!$N$45/1000</f>
        <v>8.0883617800000014</v>
      </c>
      <c r="BS180" s="27">
        <f>+'[3]Total P&amp;C'!$N$46/1000</f>
        <v>8.2244270600000018</v>
      </c>
      <c r="BT180" s="27">
        <f>+'[3]Total P&amp;C'!$N$47/1000</f>
        <v>9.180767293935908</v>
      </c>
    </row>
    <row r="181" spans="2:72" ht="16.5" hidden="1" customHeight="1" outlineLevel="1" x14ac:dyDescent="0.25">
      <c r="B181" s="202"/>
      <c r="C181" s="9"/>
      <c r="D181" s="37" t="s">
        <v>21</v>
      </c>
      <c r="J181" s="20" t="e">
        <f>+J182+J187+J188+J189+J190</f>
        <v>#DIV/0!</v>
      </c>
      <c r="K181" s="20" t="e">
        <f>+K182+K187+K188+K189+K190</f>
        <v>#DIV/0!</v>
      </c>
      <c r="L181" s="20" t="e">
        <f>+L182+L187+L188+L189+L190</f>
        <v>#DIV/0!</v>
      </c>
      <c r="M181" s="6"/>
      <c r="N181" s="20" t="e">
        <f>+N182+N187+N188+N189+N190</f>
        <v>#DIV/0!</v>
      </c>
      <c r="O181" s="20" t="e">
        <f>+O182+O187+O188+O189+O190</f>
        <v>#DIV/0!</v>
      </c>
      <c r="P181" s="20" t="e">
        <f>+P182+P187+P188+P189+P190</f>
        <v>#DIV/0!</v>
      </c>
      <c r="Q181" s="6"/>
      <c r="R181" s="20">
        <f>+R182+R187+R188+R189+R190</f>
        <v>0.80091138442906828</v>
      </c>
      <c r="S181" s="20">
        <f>+S182+S187+S188+S189+S190</f>
        <v>0.29201241967105207</v>
      </c>
      <c r="T181" s="20">
        <f>+T182+T187+T188+T189+T190</f>
        <v>0.74793334543076417</v>
      </c>
      <c r="U181" s="6"/>
      <c r="V181" s="20" t="e">
        <f>+V182+V187+V188+V189+V190</f>
        <v>#DIV/0!</v>
      </c>
      <c r="W181" s="20" t="e">
        <f>+W182+W187+W188+W189+W190</f>
        <v>#DIV/0!</v>
      </c>
      <c r="X181" s="20" t="e">
        <f>+X182+X187+X188+X189+X190</f>
        <v>#DIV/0!</v>
      </c>
      <c r="Y181" s="6"/>
      <c r="Z181" s="20" t="e">
        <f>+Z182+Z187+Z188+Z189+Z190</f>
        <v>#DIV/0!</v>
      </c>
      <c r="AA181" s="20" t="e">
        <f>+AA182+AA187+AA188+AA189+AA190</f>
        <v>#DIV/0!</v>
      </c>
      <c r="AB181" s="20" t="e">
        <f>+AB182+AB187+AB188+AB189+AB190</f>
        <v>#DIV/0!</v>
      </c>
      <c r="AC181" s="6"/>
      <c r="AD181" s="20" t="e">
        <f>+AD182+AD187+AD188+AD189+AD190</f>
        <v>#DIV/0!</v>
      </c>
      <c r="AE181" s="20" t="e">
        <f>+AE182+AE187+AE188+AE189+AE190</f>
        <v>#DIV/0!</v>
      </c>
      <c r="AF181" s="20" t="e">
        <f>+AF182+AF187+AF188+AF189+AF190</f>
        <v>#DIV/0!</v>
      </c>
      <c r="AG181" s="6"/>
      <c r="AH181" s="28">
        <f>+AH182+AH187+AH188+AH189+AH190</f>
        <v>0.81479008018072319</v>
      </c>
      <c r="AI181" s="28">
        <f>+AI182+AI187+AI188+AI189+AI190</f>
        <v>0.31299836389474461</v>
      </c>
      <c r="AJ181" s="28">
        <f>+AJ182+AJ187+AJ188+AJ189+AJ190</f>
        <v>0.74920248163070424</v>
      </c>
      <c r="AL181" s="202"/>
      <c r="AM181" s="9"/>
      <c r="AN181" s="37" t="s">
        <v>21</v>
      </c>
      <c r="AT181" s="20" t="e">
        <f>+AT182+AT187+AT188+AT189+AT190</f>
        <v>#DIV/0!</v>
      </c>
      <c r="AU181" s="20" t="e">
        <f>+AU182+AU187+AU188+AU189+AU190</f>
        <v>#DIV/0!</v>
      </c>
      <c r="AV181" s="20" t="e">
        <f>+AV182+AV187+AV188+AV189+AV190</f>
        <v>#DIV/0!</v>
      </c>
      <c r="AW181" s="6"/>
      <c r="AX181" s="20" t="e">
        <f>+AX182+AX187+AX188+AX189+AX190</f>
        <v>#DIV/0!</v>
      </c>
      <c r="AY181" s="20" t="e">
        <f>+AY182+AY187+AY188+AY189+AY190</f>
        <v>#DIV/0!</v>
      </c>
      <c r="AZ181" s="20" t="e">
        <f>+AZ182+AZ187+AZ188+AZ189+AZ190</f>
        <v>#DIV/0!</v>
      </c>
      <c r="BA181" s="6"/>
      <c r="BB181" s="20">
        <f>+BB182+BB187+BB188+BB189+BB190</f>
        <v>1.4028187174537112</v>
      </c>
      <c r="BC181" s="20">
        <f>+BC182+BC187+BC188+BC189+BC190</f>
        <v>1.409225187512178</v>
      </c>
      <c r="BD181" s="20">
        <f>+BD182+BD187+BD188+BD189+BD190</f>
        <v>0.92926059407721606</v>
      </c>
      <c r="BJ181" s="20" t="e">
        <f>+BJ182+BJ187+BJ188+BJ189+BJ190</f>
        <v>#DIV/0!</v>
      </c>
      <c r="BK181" s="20" t="e">
        <f>+BK182+BK187+BK188+BK189+BK190</f>
        <v>#DIV/0!</v>
      </c>
      <c r="BL181" s="20" t="e">
        <f>+BL182+BL187+BL188+BL189+BL190</f>
        <v>#DIV/0!</v>
      </c>
      <c r="BM181" s="6"/>
      <c r="BN181" s="28">
        <f>+BN182+BN187+BN188+BN189+BN190</f>
        <v>1.4042576180486226</v>
      </c>
      <c r="BO181" s="28">
        <f>+BO182+BO187+BO188+BO189+BO190</f>
        <v>1.3924329238138626</v>
      </c>
      <c r="BP181" s="28">
        <f>+BP182+BP187+BP188+BP189+BP190</f>
        <v>0.92926059407721606</v>
      </c>
      <c r="BR181" s="28">
        <f>+BR182+BR187+BR188+BR189+BR190</f>
        <v>0.97337833471637847</v>
      </c>
      <c r="BS181" s="28">
        <f>+BS182+BS187+BS188+BS189+BS190</f>
        <v>0.61579599321049849</v>
      </c>
      <c r="BT181" s="28">
        <f>+BT182+BT187+BT188+BT189+BT190</f>
        <v>0.79201452154783991</v>
      </c>
    </row>
    <row r="182" spans="2:72" ht="16.5" hidden="1" customHeight="1" outlineLevel="1" x14ac:dyDescent="0.25">
      <c r="B182" s="202"/>
      <c r="C182" s="9"/>
      <c r="D182" s="37" t="s">
        <v>22</v>
      </c>
      <c r="J182" s="20" t="e">
        <f>+J183+J184+J185+J186</f>
        <v>#DIV/0!</v>
      </c>
      <c r="K182" s="20" t="e">
        <f>+K183+K184+K185+K186</f>
        <v>#DIV/0!</v>
      </c>
      <c r="L182" s="20" t="e">
        <f>+L183+L184+L185+L186</f>
        <v>#DIV/0!</v>
      </c>
      <c r="M182" s="6"/>
      <c r="N182" s="20" t="e">
        <f>+N183+N184+N185+N186</f>
        <v>#DIV/0!</v>
      </c>
      <c r="O182" s="20" t="e">
        <f>+O183+O184+O185+O186</f>
        <v>#DIV/0!</v>
      </c>
      <c r="P182" s="20" t="e">
        <f>+P183+P184+P185+P186</f>
        <v>#DIV/0!</v>
      </c>
      <c r="Q182" s="6"/>
      <c r="R182" s="20">
        <f>+R183+R184+R185+R186</f>
        <v>0.61426119205707153</v>
      </c>
      <c r="S182" s="20">
        <f>+S183+S184+S185+S186</f>
        <v>0.59645802150640148</v>
      </c>
      <c r="T182" s="20">
        <f>+T183+T184+T185+T186</f>
        <v>0.58026748907981318</v>
      </c>
      <c r="U182" s="6"/>
      <c r="V182" s="20" t="e">
        <f>+V183+V184+V185+V186</f>
        <v>#DIV/0!</v>
      </c>
      <c r="W182" s="20" t="e">
        <f>+W183+W184+W185+W186</f>
        <v>#DIV/0!</v>
      </c>
      <c r="X182" s="20" t="e">
        <f>+X183+X184+X185+X186</f>
        <v>#DIV/0!</v>
      </c>
      <c r="Y182" s="6"/>
      <c r="Z182" s="20" t="e">
        <f>+Z183+Z184+Z185+Z186</f>
        <v>#DIV/0!</v>
      </c>
      <c r="AA182" s="20" t="e">
        <f>+AA183+AA184+AA185+AA186</f>
        <v>#DIV/0!</v>
      </c>
      <c r="AB182" s="20" t="e">
        <f>+AB183+AB184+AB185+AB186</f>
        <v>#DIV/0!</v>
      </c>
      <c r="AC182" s="6"/>
      <c r="AD182" s="20" t="e">
        <f>+AD183+AD184+AD185+AD186</f>
        <v>#DIV/0!</v>
      </c>
      <c r="AE182" s="20" t="e">
        <f>+AE183+AE184+AE185+AE186</f>
        <v>#DIV/0!</v>
      </c>
      <c r="AF182" s="20" t="e">
        <f>+AF183+AF184+AF185+AF186</f>
        <v>#DIV/0!</v>
      </c>
      <c r="AG182" s="6"/>
      <c r="AH182" s="28">
        <f>+AH183+AH184+AH185+AH186</f>
        <v>0.62756571509069969</v>
      </c>
      <c r="AI182" s="28">
        <f>+AI183+AI184+AI185+AI186</f>
        <v>0.61694382644227408</v>
      </c>
      <c r="AJ182" s="28">
        <f>+AJ183+AJ184+AJ185+AJ186</f>
        <v>0.58153662527975325</v>
      </c>
      <c r="AL182" s="202"/>
      <c r="AM182" s="9"/>
      <c r="AN182" s="37" t="s">
        <v>22</v>
      </c>
      <c r="AT182" s="20" t="e">
        <f>+AT183+AT184+AT185+AT186</f>
        <v>#DIV/0!</v>
      </c>
      <c r="AU182" s="20" t="e">
        <f>+AU183+AU184+AU185+AU186</f>
        <v>#DIV/0!</v>
      </c>
      <c r="AV182" s="20" t="e">
        <f>+AV183+AV184+AV185+AV186</f>
        <v>#DIV/0!</v>
      </c>
      <c r="AW182" s="6"/>
      <c r="AX182" s="20" t="e">
        <f>+AX183+AX184+AX185+AX186</f>
        <v>#DIV/0!</v>
      </c>
      <c r="AY182" s="20" t="e">
        <f>+AY183+AY184+AY185+AY186</f>
        <v>#DIV/0!</v>
      </c>
      <c r="AZ182" s="20" t="e">
        <f>+AZ183+AZ184+AZ185+AZ186</f>
        <v>#DIV/0!</v>
      </c>
      <c r="BA182" s="6"/>
      <c r="BB182" s="20">
        <f>+BB183+BB184+BB185+BB186</f>
        <v>0.72797226589115016</v>
      </c>
      <c r="BC182" s="20">
        <f>+BC183+BC184+BC185+BC186</f>
        <v>0.66229187411635138</v>
      </c>
      <c r="BD182" s="20">
        <f>+BD183+BD184+BD185+BD186</f>
        <v>0.65792936519284884</v>
      </c>
      <c r="BJ182" s="20" t="e">
        <f>+BJ183+BJ184+BJ185+BJ186</f>
        <v>#DIV/0!</v>
      </c>
      <c r="BK182" s="20" t="e">
        <f>+BK183+BK184+BK185+BK186</f>
        <v>#DIV/0!</v>
      </c>
      <c r="BL182" s="20" t="e">
        <f>+BL183+BL184+BL185+BL186</f>
        <v>#DIV/0!</v>
      </c>
      <c r="BM182" s="6"/>
      <c r="BN182" s="28">
        <f>+BN183+BN184+BN185+BN186</f>
        <v>0.72797226589115016</v>
      </c>
      <c r="BO182" s="28">
        <f>+BO183+BO184+BO185+BO186</f>
        <v>0.66229187411635138</v>
      </c>
      <c r="BP182" s="28">
        <f>+BP183+BP184+BP185+BP186</f>
        <v>0.65792936519284884</v>
      </c>
      <c r="BR182" s="28">
        <f>+BR183+BR184+BR185+BR186</f>
        <v>0.65457873720381499</v>
      </c>
      <c r="BS182" s="28">
        <f>+BS183+BS184+BS185+BS186</f>
        <v>0.62966463587312782</v>
      </c>
      <c r="BT182" s="28">
        <f>+BT183+BT184+BT185+BT186</f>
        <v>0.59970036689684014</v>
      </c>
    </row>
    <row r="183" spans="2:72" ht="16.5" hidden="1" customHeight="1" outlineLevel="1" x14ac:dyDescent="0.25">
      <c r="B183" s="202"/>
      <c r="C183" s="9"/>
      <c r="D183" s="38" t="s">
        <v>23</v>
      </c>
      <c r="J183" s="20" t="e">
        <f>-SUM([1]Retail!$O$45,[1]Retail!$R$45:$V$45,[1]Retail!$Y$45,[1]Retail!$AB$45,[1]Retail!$AU$45,[1]Retail!$AX$45,[1]Retail!$BA$45,[1]Retail!$BD$45)/1000/J180</f>
        <v>#DIV/0!</v>
      </c>
      <c r="K183" s="42" t="e">
        <f>-SUM([1]Retail!$O$46,[1]Retail!$R$46:$V$46,[1]Retail!$Y$46,[1]Retail!$AB$46,[1]Retail!$AU$46,[1]Retail!$AX$46,[1]Retail!$BA$46,[1]Retail!$BD$46)/1000/K180</f>
        <v>#DIV/0!</v>
      </c>
      <c r="L183" s="42" t="e">
        <f>-SUM([1]Retail!$O$47,[1]Retail!$R$47:$V$47,[1]Retail!$Y$47,[1]Retail!$AB$47,[1]Retail!$AU$47,[1]Retail!$AX$47,[1]Retail!$BA$47,[1]Retail!$BD$47)/1000/L180</f>
        <v>#DIV/0!</v>
      </c>
      <c r="M183" s="6"/>
      <c r="N183" s="20" t="e">
        <f>-SUM([1]SME!$O$45,[1]SME!$R$45:$V$45,[1]SME!$Y$45,[1]SME!$AB$45,[1]SME!$AU$45,[1]SME!$AX$45,[1]SME!$BA$45,[1]SME!$BD$45)/1000/N180</f>
        <v>#DIV/0!</v>
      </c>
      <c r="O183" s="20" t="e">
        <f>-SUM([1]SME!$O$46,[1]SME!$R$46:$V$46,[1]SME!$Y$46,[1]SME!$AB$46,[1]SME!$AU$46,[1]SME!$AX$46,[1]SME!$BA$46,[1]SME!$BD$46)/1000/O180</f>
        <v>#DIV/0!</v>
      </c>
      <c r="P183" s="20" t="e">
        <f>-SUM([1]SME!$O$47,[1]SME!$R$47:$V$47,[1]SME!$Y$47,[1]SME!$AB$47,[1]SME!$AU$47,[1]SME!$AX$47,[1]SME!$BA$47,[1]SME!$BD$47)/1000/P180</f>
        <v>#DIV/0!</v>
      </c>
      <c r="Q183" s="6"/>
      <c r="R183" s="20">
        <f>-SUM([1]MidCorp!$O$45,[1]MidCorp!$R$45:$V$45,[1]MidCorp!$Y$45,[1]MidCorp!$AB$45,[1]MidCorp!$AU$45,[1]MidCorp!$AX$45,[1]MidCorp!$BA$45,[1]MidCorp!$BD$45)/1000/R180</f>
        <v>0.50785489847809984</v>
      </c>
      <c r="S183" s="20">
        <f>-SUM([1]MidCorp!$O$46,[1]MidCorp!$R$46:$V$46,[1]MidCorp!$Y$46,[1]MidCorp!$AB$46,[1]MidCorp!$AU$46,[1]MidCorp!$AX$46,[1]MidCorp!$BA$46,[1]MidCorp!$BD$46)/1000/S180</f>
        <v>0.56405198516876343</v>
      </c>
      <c r="T183" s="20">
        <f>-SUM([1]MidCorp!$O$47,[1]MidCorp!$R$47:$V$47,[1]MidCorp!$Y$47,[1]MidCorp!$AB$47,[1]MidCorp!$AU$47,[1]MidCorp!$AX$47,[1]MidCorp!$BA$47,[1]MidCorp!$BD$47)/1000/T180</f>
        <v>0.42614361484952967</v>
      </c>
      <c r="U183" s="6"/>
      <c r="V183" s="20" t="e">
        <f>-SUM([1]MGA!$O$45,[1]MGA!$R$45:$V$45,[1]MGA!$Y$45,[1]MGA!$AB$45,[1]MGA!$AU$45,[1]MGA!$AX$45,[1]MGA!$BA$45,[1]MGA!$BD$45)/1000/V180</f>
        <v>#DIV/0!</v>
      </c>
      <c r="W183" s="20" t="e">
        <f>-SUM([1]MGA!$O$46,[1]MGA!$R$46:$V$46,[1]MGA!$Y$46,[1]MGA!$AB$46,[1]MGA!$AU$46,[1]MGA!$AX$46,[1]MGA!$BA$46,[1]MGA!$BD$46)/1000/W180</f>
        <v>#DIV/0!</v>
      </c>
      <c r="X183" s="20" t="e">
        <f>-SUM([1]MGA!$O$47,[1]MGA!$R$47:$V$47,[1]MGA!$Y$47,[1]MGA!$AB$47,[1]MGA!$AU$47,[1]MGA!$AX$47,[1]MGA!$BA$47,[1]MGA!$BD$47)/1000/X180</f>
        <v>#DIV/0!</v>
      </c>
      <c r="Y183" s="6"/>
      <c r="Z183" s="20" t="e">
        <f>-SUM([1]Bancassurance!$O$45,[1]Bancassurance!$R$45:$V$45,[1]Bancassurance!$Y$45,[1]Bancassurance!$AB$45,[1]Bancassurance!$AU$45,[1]Bancassurance!$AX$45,[1]Bancassurance!$BA$45,[1]Bancassurance!$BD$45)/1000/Z180</f>
        <v>#DIV/0!</v>
      </c>
      <c r="AA183" s="20" t="e">
        <f>-SUM([1]Bancassurance!$O$46,[1]Bancassurance!$R$46:$V$46,[1]Bancassurance!$Y$46,[1]Bancassurance!$AB$46,[1]Bancassurance!$AU$46,[1]Bancassurance!$AX$46,[1]Bancassurance!$BA$46,[1]Bancassurance!$BD$46)/1000/AA180</f>
        <v>#DIV/0!</v>
      </c>
      <c r="AB183" s="20" t="e">
        <f>-SUM([1]Bancassurance!$O$47,[1]Bancassurance!$R$47:$V$47,[1]Bancassurance!$Y$47,[1]Bancassurance!$AB$47,[1]Bancassurance!$AU$47,[1]Bancassurance!$AX$47,[1]Bancassurance!$BA$47,[1]Bancassurance!$BD$47)/1000/AB180</f>
        <v>#DIV/0!</v>
      </c>
      <c r="AC183" s="6"/>
      <c r="AD183" s="20" t="e">
        <f>-SUM([1]Specials!$O$45,[1]Specials!$R$45:$V$45,[1]Specials!$Y$45,[1]Specials!$AB$45,[1]Specials!$AU$45,[1]Specials!$AX$45,[1]Specials!$BA$45,[1]Specials!$BD$45)/1000/AD180</f>
        <v>#DIV/0!</v>
      </c>
      <c r="AE183" s="20" t="e">
        <f>-SUM([1]Specials!$O$46,[1]Specials!$R$46:$V$46,[1]Specials!$Y$46,[1]Specials!$AB$46,[1]Specials!$AU$46,[1]Specials!$AX$46,[1]Specials!$BA$46,[1]Specials!$BD$46)/1000/AE180</f>
        <v>#DIV/0!</v>
      </c>
      <c r="AF183" s="20" t="e">
        <f>-SUM([1]Specials!$O$47,[1]Specials!$R$47:$V$47,[1]Specials!$Y$47,[1]Specials!$AB$47,[1]Specials!$AU$47,[1]Specials!$AX$47,[1]Specials!$BA$47,[1]Specials!$BD$47)/1000/AF180</f>
        <v>#DIV/0!</v>
      </c>
      <c r="AG183" s="6"/>
      <c r="AH183" s="28">
        <f>-SUM('[1]Total P&amp;C'!$O$45,'[1]Total P&amp;C'!$R$45:$V$45,'[1]Total P&amp;C'!$Y$45,'[1]Total P&amp;C'!$AB$45,'[1]Total P&amp;C'!$AU$45,'[1]Total P&amp;C'!$AX$45,'[1]Total P&amp;C'!$BA$45,'[1]Total P&amp;C'!$BD$45)/1000/AH180</f>
        <v>0.50374267146898699</v>
      </c>
      <c r="AI183" s="28">
        <f>-SUM('[1]Total P&amp;C'!$O$46,'[1]Total P&amp;C'!$R$46:$V$46,'[1]Total P&amp;C'!$Y$46,'[1]Total P&amp;C'!$AB$46,'[1]Total P&amp;C'!$AU$46,'[1]Total P&amp;C'!$AX$46,'[1]Total P&amp;C'!$BA$46,'[1]Total P&amp;C'!$BD$46)/1000/AI180</f>
        <v>0.56246574681720296</v>
      </c>
      <c r="AJ183" s="28">
        <f>-SUM('[1]Total P&amp;C'!$O$47,'[1]Total P&amp;C'!$R$47:$V$47,'[1]Total P&amp;C'!$Y$47,'[1]Total P&amp;C'!$AB$47,'[1]Total P&amp;C'!$AU$47,'[1]Total P&amp;C'!$AX$47,'[1]Total P&amp;C'!$BA$47,'[1]Total P&amp;C'!$BD$47)/1000/AJ180</f>
        <v>0.42614361484952967</v>
      </c>
      <c r="AL183" s="202"/>
      <c r="AM183" s="9"/>
      <c r="AN183" s="38" t="s">
        <v>23</v>
      </c>
      <c r="AT183" s="20" t="e">
        <f>-SUM([2]Retail!$O$45,[2]Retail!$R$45:$V$45,[2]Retail!$Y$45,[2]Retail!$AB$45,[2]Retail!$AU$45,[2]Retail!$AX$45,[2]Retail!$BA$45,[2]Retail!$BD$45)/1000/AT180</f>
        <v>#DIV/0!</v>
      </c>
      <c r="AU183" s="42" t="e">
        <f>-SUM([2]Retail!$O$46,[2]Retail!$R$46:$V$46,[2]Retail!$Y$46,[2]Retail!$AB$46,[2]Retail!$AU$46,[2]Retail!$AX$46,[2]Retail!$BA$46,[2]Retail!$BD$46)/1000/AU180</f>
        <v>#DIV/0!</v>
      </c>
      <c r="AV183" s="42" t="e">
        <f>-SUM([2]Retail!$O$47,[2]Retail!$R$47:$V$47,[2]Retail!$Y$47,[2]Retail!$AB$47,[2]Retail!$AU$47,[2]Retail!$AX$47,[2]Retail!$BA$47,[2]Retail!$BD$47)/1000/AV180</f>
        <v>#DIV/0!</v>
      </c>
      <c r="AW183" s="6"/>
      <c r="AX183" s="20" t="e">
        <f>-SUM([2]SME!$O$45,[2]SME!$R$45:$V$45,[2]SME!$Y$45,[2]SME!$AB$45,[2]SME!$AU$45,[2]SME!$AX$45,[2]SME!$BA$45,[2]SME!$BD$45)/1000/AX180</f>
        <v>#DIV/0!</v>
      </c>
      <c r="AY183" s="20" t="e">
        <f>-SUM([2]SME!$O$46,[2]SME!$R$46:$V$46,[2]SME!$Y$46,[2]SME!$AB$46,[2]SME!$AU$46,[2]SME!$AX$46,[2]SME!$BA$46,[2]SME!$BD$46)/1000/AY180</f>
        <v>#DIV/0!</v>
      </c>
      <c r="AZ183" s="20" t="e">
        <f>-SUM([2]SME!$O$47,[2]SME!$R$47:$V$47,[2]SME!$Y$47,[2]SME!$AB$47,[2]SME!$AU$47,[2]SME!$AX$47,[2]SME!$BA$47,[2]SME!$BD$47)/1000/AZ180</f>
        <v>#DIV/0!</v>
      </c>
      <c r="BA183" s="6"/>
      <c r="BB183" s="20">
        <f>-SUM([2]MidCorp!$O$45,[2]MidCorp!$R$45:$V$45,[2]MidCorp!$Y$45,[2]MidCorp!$AB$45,[2]MidCorp!$AU$45,[2]MidCorp!$AX$45,[2]MidCorp!$BA$45,[2]MidCorp!$BD$45)/1000/BB180</f>
        <v>0.50749455290035861</v>
      </c>
      <c r="BC183" s="20">
        <f>-SUM([2]MidCorp!$O$46,[2]MidCorp!$R$46:$V$46,[2]MidCorp!$Y$46,[2]MidCorp!$AB$46,[2]MidCorp!$AU$46,[2]MidCorp!$AX$46,[2]MidCorp!$BA$46,[2]MidCorp!$BD$46)/1000/BC180</f>
        <v>0.55634062498752468</v>
      </c>
      <c r="BD183" s="20">
        <f>-SUM([2]MidCorp!$O$47,[2]MidCorp!$R$47:$V$47,[2]MidCorp!$Y$47,[2]MidCorp!$AB$47,[2]MidCorp!$AU$47,[2]MidCorp!$AX$47,[2]MidCorp!$BA$47,[2]MidCorp!$BD$47)/1000/BD180</f>
        <v>0.42568551136957866</v>
      </c>
      <c r="BJ183" s="20" t="e">
        <f>-SUM([2]Specials!$O$45,[2]Specials!$R$45:$V$45,[2]Specials!$Y$45,[2]Specials!$AB$45,[2]Specials!$AU$45,[2]Specials!$AX$45,[2]Specials!$BA$45,[2]Specials!$BD$45)/1000/BJ180</f>
        <v>#DIV/0!</v>
      </c>
      <c r="BK183" s="20" t="e">
        <f>-SUM([2]Specials!$O$46,[2]Specials!$R$46:$V$46,[2]Specials!$Y$46,[2]Specials!$AB$46,[2]Specials!$AU$46,[2]Specials!$AX$46,[2]Specials!$BA$46,[2]Specials!$BD$46)/1000/BK180</f>
        <v>#DIV/0!</v>
      </c>
      <c r="BL183" s="20" t="e">
        <f>-SUM([2]Specials!$O$47,[2]Specials!$R$47:$V$47,[2]Specials!$Y$47,[2]Specials!$AB$47,[2]Specials!$AU$47,[2]Specials!$AX$47,[2]Specials!$BA$47,[2]Specials!$BD$47)/1000/BL180</f>
        <v>#DIV/0!</v>
      </c>
      <c r="BM183" s="6"/>
      <c r="BN183" s="28">
        <f>-SUM('[2]Total P&amp;C'!$O$45,'[2]Total P&amp;C'!$R$45:$V$45,'[2]Total P&amp;C'!$Y$45,'[2]Total P&amp;C'!$AB$45,'[2]Total P&amp;C'!$AU$45,'[2]Total P&amp;C'!$AX$45,'[2]Total P&amp;C'!$BA$45,'[2]Total P&amp;C'!$BD$45)/1000/BN180</f>
        <v>0.50749455290035861</v>
      </c>
      <c r="BO183" s="28">
        <f>-SUM('[2]Total P&amp;C'!$O$46,'[2]Total P&amp;C'!$R$46:$V$46,'[2]Total P&amp;C'!$Y$46,'[2]Total P&amp;C'!$AB$46,'[2]Total P&amp;C'!$AU$46,'[2]Total P&amp;C'!$AX$46,'[2]Total P&amp;C'!$BA$46,'[2]Total P&amp;C'!$BD$46)/1000/BO180</f>
        <v>0.55634062498752468</v>
      </c>
      <c r="BP183" s="28">
        <f>-SUM('[2]Total P&amp;C'!$O$47,'[2]Total P&amp;C'!$R$47:$V$47,'[2]Total P&amp;C'!$Y$47,'[2]Total P&amp;C'!$AB$47,'[2]Total P&amp;C'!$AU$47,'[2]Total P&amp;C'!$AX$47,'[2]Total P&amp;C'!$BA$47,'[2]Total P&amp;C'!$BD$47)/1000/BP180</f>
        <v>0.42568551136957866</v>
      </c>
      <c r="BR183" s="28">
        <f>-SUM('[3]Total P&amp;C'!$O$45,'[3]Total P&amp;C'!$R$45:$V$45,'[3]Total P&amp;C'!$Y$45,'[3]Total P&amp;C'!$AB$45,'[3]Total P&amp;C'!$AU$45,'[3]Total P&amp;C'!$AX$45,'[3]Total P&amp;C'!$BA$45,'[3]Total P&amp;C'!$BD$45)/1000/BR180</f>
        <v>0.50475206433492525</v>
      </c>
      <c r="BS183" s="28">
        <f>-SUM('[3]Total P&amp;C'!$O$46,'[3]Total P&amp;C'!$R$46:$V$46,'[3]Total P&amp;C'!$Y$46,'[3]Total P&amp;C'!$AB$46,'[3]Total P&amp;C'!$AU$46,'[3]Total P&amp;C'!$AX$46,'[3]Total P&amp;C'!$BA$46,'[3]Total P&amp;C'!$BD$46)/1000/BS180</f>
        <v>0.56074755801895326</v>
      </c>
      <c r="BT183" s="28">
        <f>-SUM('[3]Total P&amp;C'!$O$47,'[3]Total P&amp;C'!$R$47:$V$47,'[3]Total P&amp;C'!$Y$47,'[3]Total P&amp;C'!$AB$47,'[3]Total P&amp;C'!$AU$47,'[3]Total P&amp;C'!$AX$47,'[3]Total P&amp;C'!$BA$47,'[3]Total P&amp;C'!$BD$47)/1000/BT180</f>
        <v>0.42603469254548376</v>
      </c>
    </row>
    <row r="184" spans="2:72" ht="16.5" hidden="1" customHeight="1" outlineLevel="1" x14ac:dyDescent="0.25">
      <c r="B184" s="202"/>
      <c r="C184" s="9"/>
      <c r="D184" s="38" t="s">
        <v>24</v>
      </c>
      <c r="J184" s="20" t="e">
        <f>-([1]Retail!$P$45+[1]Retail!$W$45+[1]Retail!$AV$45+[1]Retail!$AY$45)/1000/J180</f>
        <v>#DIV/0!</v>
      </c>
      <c r="K184" s="42" t="e">
        <f>-([1]Retail!$P$46+[1]Retail!$W$46+[1]Retail!$AV$46+[1]Retail!$AY$46)/1000/K180</f>
        <v>#DIV/0!</v>
      </c>
      <c r="L184" s="42" t="e">
        <f>-([1]Retail!$P$47+[1]Retail!$W$47+[1]Retail!$AV$47+[1]Retail!$AY$47)/1000/L180</f>
        <v>#DIV/0!</v>
      </c>
      <c r="M184" s="7"/>
      <c r="N184" s="20" t="e">
        <f>-([1]SME!$P$45+[1]SME!$W$45+[1]SME!$AV$45+[1]SME!$AY$45)/1000/N180</f>
        <v>#DIV/0!</v>
      </c>
      <c r="O184" s="20" t="e">
        <f>-([1]SME!$P$46+[1]SME!$W$46+[1]SME!$AV$46+[1]SME!$AY$46)/1000/O180</f>
        <v>#DIV/0!</v>
      </c>
      <c r="P184" s="20" t="e">
        <f>-([1]SME!$P$47+[1]SME!$W$47+[1]SME!$AV$47+[1]SME!$AY$47)/1000/P180</f>
        <v>#DIV/0!</v>
      </c>
      <c r="Q184" s="7"/>
      <c r="R184" s="20">
        <f>-([1]MidCorp!$P$45+[1]MidCorp!$W$45+[1]MidCorp!$AV$45+[1]MidCorp!$AY$45)/1000/R180</f>
        <v>0</v>
      </c>
      <c r="S184" s="20">
        <f>-([1]MidCorp!$P$46+[1]MidCorp!$W$46+[1]MidCorp!$AV$46+[1]MidCorp!$AY$46)/1000/S180</f>
        <v>0</v>
      </c>
      <c r="T184" s="20">
        <f>-([1]MidCorp!$P$47+[1]MidCorp!$W$47+[1]MidCorp!$AV$47+[1]MidCorp!$AY$47)/1000/T180</f>
        <v>0</v>
      </c>
      <c r="U184" s="7"/>
      <c r="V184" s="20" t="e">
        <f>-([1]MGA!$P$45+[1]MGA!$W$45+[1]MGA!$AV$45+[1]MGA!$AY$45)/1000/V180</f>
        <v>#DIV/0!</v>
      </c>
      <c r="W184" s="20" t="e">
        <f>-([1]MGA!$P$46+[1]MGA!$W$46+[1]MGA!$AV$46+[1]MGA!$AY$46)/1000/W180</f>
        <v>#DIV/0!</v>
      </c>
      <c r="X184" s="20" t="e">
        <f>-([1]MGA!$P$47+[1]MGA!$W$47+[1]MGA!$AV$47+[1]MGA!$AY$47)/1000/X180</f>
        <v>#DIV/0!</v>
      </c>
      <c r="Y184" s="7"/>
      <c r="Z184" s="20" t="e">
        <f>-([1]Bancassurance!$P$45+[1]Bancassurance!$W$45+[1]Bancassurance!$AV$45+[1]Bancassurance!$AY$45)/1000/Z180</f>
        <v>#DIV/0!</v>
      </c>
      <c r="AA184" s="20" t="e">
        <f>-([1]Bancassurance!$P$46+[1]Bancassurance!$W$46+[1]Bancassurance!$AV$46+[1]Bancassurance!$AY$46)/1000/AA180</f>
        <v>#DIV/0!</v>
      </c>
      <c r="AB184" s="20" t="e">
        <f>-([1]Bancassurance!$P$47+[1]Bancassurance!$W$47+[1]Bancassurance!$AV$47+[1]Bancassurance!$AY$47)/1000/AB180</f>
        <v>#DIV/0!</v>
      </c>
      <c r="AC184" s="7"/>
      <c r="AD184" s="20" t="e">
        <f>-([1]Specials!$P$45+[1]Specials!$W$45+[1]Specials!$AV$45+[1]Specials!$AY$45)/1000/AD180</f>
        <v>#DIV/0!</v>
      </c>
      <c r="AE184" s="20" t="e">
        <f>-([1]Specials!$P$46+[1]Specials!$W$46+[1]Specials!$AV$46+[1]Specials!$AY$46)/1000/AE180</f>
        <v>#DIV/0!</v>
      </c>
      <c r="AF184" s="20" t="e">
        <f>-([1]Specials!$P$47+[1]Specials!$W$47+[1]Specials!$AV$47+[1]Specials!$AY$47)/1000/AF180</f>
        <v>#DIV/0!</v>
      </c>
      <c r="AG184" s="7"/>
      <c r="AH184" s="28">
        <f>-('[1]Total P&amp;C'!$P$45+'[1]Total P&amp;C'!$W$45+'[1]Total P&amp;C'!$AV$45+'[1]Total P&amp;C'!$AY$45)/1000/AH180</f>
        <v>0</v>
      </c>
      <c r="AI184" s="28">
        <f>-('[1]Total P&amp;C'!$P$46+'[1]Total P&amp;C'!$W$46+'[1]Total P&amp;C'!$AV$46+'[1]Total P&amp;C'!$AY$46)/1000/AI180</f>
        <v>0</v>
      </c>
      <c r="AJ184" s="28">
        <f>-('[1]Total P&amp;C'!$P$47+'[1]Total P&amp;C'!$W$47+'[1]Total P&amp;C'!$AV$47+'[1]Total P&amp;C'!$AY$47)/1000/AJ180</f>
        <v>0</v>
      </c>
      <c r="AL184" s="202"/>
      <c r="AM184" s="9"/>
      <c r="AN184" s="38" t="s">
        <v>24</v>
      </c>
      <c r="AT184" s="20" t="e">
        <f>-([2]Retail!$P$45+[2]Retail!$W$45+[2]Retail!$AV$45+[2]Retail!$AY$45)/1000/AT180</f>
        <v>#DIV/0!</v>
      </c>
      <c r="AU184" s="42" t="e">
        <f>-([2]Retail!$P$46+[2]Retail!$W$46+[2]Retail!$AV$46+[2]Retail!$AY$46)/1000/AU180</f>
        <v>#DIV/0!</v>
      </c>
      <c r="AV184" s="42" t="e">
        <f>-([2]Retail!$P$47+[2]Retail!$W$47+[2]Retail!$AV$47+[2]Retail!$AY$47)/1000/AV180</f>
        <v>#DIV/0!</v>
      </c>
      <c r="AW184" s="7"/>
      <c r="AX184" s="20" t="e">
        <f>-([2]SME!$P$45+[2]SME!$W$45+[2]SME!$AV$45+[2]SME!$AY$45)/1000/AX180</f>
        <v>#DIV/0!</v>
      </c>
      <c r="AY184" s="20" t="e">
        <f>-([2]SME!$P$46+[2]SME!$W$46+[2]SME!$AV$46+[2]SME!$AY$46)/1000/AY180</f>
        <v>#DIV/0!</v>
      </c>
      <c r="AZ184" s="20" t="e">
        <f>-([2]SME!$P$47+[2]SME!$W$47+[2]SME!$AV$47+[2]SME!$AY$47)/1000/AZ180</f>
        <v>#DIV/0!</v>
      </c>
      <c r="BA184" s="7"/>
      <c r="BB184" s="20">
        <f>-([2]MidCorp!$P$45+[2]MidCorp!$W$45+[2]MidCorp!$AV$45+[2]MidCorp!$AY$45)/1000/BB180</f>
        <v>0</v>
      </c>
      <c r="BC184" s="20">
        <f>-([2]MidCorp!$P$46+[2]MidCorp!$W$46+[2]MidCorp!$AV$46+[2]MidCorp!$AY$46)/1000/BC180</f>
        <v>0</v>
      </c>
      <c r="BD184" s="20">
        <f>-([2]MidCorp!$P$47+[2]MidCorp!$W$47+[2]MidCorp!$AV$47+[2]MidCorp!$AY$47)/1000/BD180</f>
        <v>0</v>
      </c>
      <c r="BJ184" s="20" t="e">
        <f>-([2]Specials!$P$45+[2]Specials!$W$45+[2]Specials!$AV$45+[2]Specials!$AY$45)/1000/BJ180</f>
        <v>#DIV/0!</v>
      </c>
      <c r="BK184" s="20" t="e">
        <f>-([2]Specials!$P$46+[2]Specials!$W$46+[2]Specials!$AV$46+[2]Specials!$AY$46)/1000/BK180</f>
        <v>#DIV/0!</v>
      </c>
      <c r="BL184" s="20" t="e">
        <f>-([2]Specials!$P$47+[2]Specials!$W$47+[2]Specials!$AV$47+[2]Specials!$AY$47)/1000/BL180</f>
        <v>#DIV/0!</v>
      </c>
      <c r="BM184" s="7"/>
      <c r="BN184" s="28">
        <f>-('[2]Total P&amp;C'!$P$45+'[2]Total P&amp;C'!$W$45+'[2]Total P&amp;C'!$AV$45+'[2]Total P&amp;C'!$AY$45)/1000/BN180</f>
        <v>0</v>
      </c>
      <c r="BO184" s="28">
        <f>-('[2]Total P&amp;C'!$P$46+'[2]Total P&amp;C'!$W$46+'[2]Total P&amp;C'!$AV$46+'[2]Total P&amp;C'!$AY$46)/1000/BO180</f>
        <v>0</v>
      </c>
      <c r="BP184" s="28">
        <f>-('[2]Total P&amp;C'!$P$47+'[2]Total P&amp;C'!$W$47+'[2]Total P&amp;C'!$AV$47+'[2]Total P&amp;C'!$AY$47)/1000/BP180</f>
        <v>0</v>
      </c>
      <c r="BR184" s="28">
        <f>-('[3]Total P&amp;C'!$P$45+'[3]Total P&amp;C'!$W$45+'[3]Total P&amp;C'!$AV$45+'[3]Total P&amp;C'!$AY$45)/1000/BR180</f>
        <v>0</v>
      </c>
      <c r="BS184" s="28">
        <f>-('[3]Total P&amp;C'!$P$46+'[3]Total P&amp;C'!$W$46+'[3]Total P&amp;C'!$AV$46+'[3]Total P&amp;C'!$AY$46)/1000/BS180</f>
        <v>0</v>
      </c>
      <c r="BT184" s="28">
        <f>-('[3]Total P&amp;C'!$P$47+'[3]Total P&amp;C'!$W$47+'[3]Total P&amp;C'!$AV$47+'[3]Total P&amp;C'!$AY$47)/1000/BT180</f>
        <v>0</v>
      </c>
    </row>
    <row r="185" spans="2:72" ht="16.5" hidden="1" customHeight="1" outlineLevel="1" x14ac:dyDescent="0.25">
      <c r="B185" s="202"/>
      <c r="C185" s="9"/>
      <c r="D185" s="38" t="s">
        <v>25</v>
      </c>
      <c r="J185" s="20" t="e">
        <f>-([1]Retail!$Q$45+[1]Retail!$X$45+[1]Retail!$AW$45+[1]Retail!$AZ$45)/1000/J180</f>
        <v>#DIV/0!</v>
      </c>
      <c r="K185" s="42" t="e">
        <f>-([1]Retail!$Q$46+[1]Retail!$X$46+[1]Retail!$AW$46+[1]Retail!$AZ$46)/1000/K180</f>
        <v>#DIV/0!</v>
      </c>
      <c r="L185" s="42" t="e">
        <f>-([1]Retail!$Q$47+[1]Retail!$X$47+[1]Retail!$AW$47+[1]Retail!$AZ$47)/1000/L180</f>
        <v>#DIV/0!</v>
      </c>
      <c r="M185" s="7"/>
      <c r="N185" s="20" t="e">
        <f>-([1]SME!$Q$45+[1]SME!$X$45+[1]SME!$AW$45+[1]SME!$AZ$45)/1000/N180</f>
        <v>#DIV/0!</v>
      </c>
      <c r="O185" s="20" t="e">
        <f>-([1]SME!$Q$46+[1]SME!$X$46+[1]SME!$AW$46+[1]SME!$AZ$46)/1000/O180</f>
        <v>#DIV/0!</v>
      </c>
      <c r="P185" s="20" t="e">
        <f>-([1]SME!$Q$47+[1]SME!$X$47+[1]SME!$AW$47+[1]SME!$AZ$47)/1000/P180</f>
        <v>#DIV/0!</v>
      </c>
      <c r="Q185" s="7"/>
      <c r="R185" s="20">
        <f>-([1]MidCorp!$Q$45+[1]MidCorp!$X$45+[1]MidCorp!$AW$45+[1]MidCorp!$AZ$45)/1000/R180</f>
        <v>8.2440859348963266E-2</v>
      </c>
      <c r="S185" s="20">
        <f>-([1]MidCorp!$Q$46+[1]MidCorp!$X$46+[1]MidCorp!$AW$46+[1]MidCorp!$AZ$46)/1000/S180</f>
        <v>0</v>
      </c>
      <c r="T185" s="20">
        <f>-([1]MidCorp!$Q$47+[1]MidCorp!$X$47+[1]MidCorp!$AW$47+[1]MidCorp!$AZ$47)/1000/T180</f>
        <v>0.12834882852531426</v>
      </c>
      <c r="U185" s="7"/>
      <c r="V185" s="20" t="e">
        <f>-([1]MGA!$Q$45+[1]MGA!$X$45+[1]MGA!$AW$45+[1]MGA!$AZ$45)/1000/V180</f>
        <v>#DIV/0!</v>
      </c>
      <c r="W185" s="20" t="e">
        <f>-([1]MGA!$Q$46+[1]MGA!$X$46+[1]MGA!$AW$46+[1]MGA!$AZ$46)/1000/W180</f>
        <v>#DIV/0!</v>
      </c>
      <c r="X185" s="20" t="e">
        <f>-([1]MGA!$Q$47+[1]MGA!$X$47+[1]MGA!$AW$47+[1]MGA!$AZ$47)/1000/X180</f>
        <v>#DIV/0!</v>
      </c>
      <c r="Y185" s="7"/>
      <c r="Z185" s="20" t="e">
        <f>-([1]Bancassurance!$Q$45+[1]Bancassurance!$X$45+[1]Bancassurance!$AW$45+[1]Bancassurance!$AZ$45)/1000/Z180</f>
        <v>#DIV/0!</v>
      </c>
      <c r="AA185" s="20" t="e">
        <f>-([1]Bancassurance!$Q$46+[1]Bancassurance!$X$46+[1]Bancassurance!$AW$46+[1]Bancassurance!$AZ$46)/1000/AA180</f>
        <v>#DIV/0!</v>
      </c>
      <c r="AB185" s="20" t="e">
        <f>-([1]Bancassurance!$Q$47+[1]Bancassurance!$X$47+[1]Bancassurance!$AW$47+[1]Bancassurance!$AZ$47)/1000/AB180</f>
        <v>#DIV/0!</v>
      </c>
      <c r="AC185" s="7"/>
      <c r="AD185" s="20" t="e">
        <f>-([1]Specials!$Q$45+[1]Specials!$X$45+[1]Specials!$AW$45+[1]Specials!$AZ$45)/1000/AD180</f>
        <v>#DIV/0!</v>
      </c>
      <c r="AE185" s="20" t="e">
        <f>-([1]Specials!$Q$46+[1]Specials!$X$46+[1]Specials!$AW$46+[1]Specials!$AZ$46)/1000/AE180</f>
        <v>#DIV/0!</v>
      </c>
      <c r="AF185" s="20" t="e">
        <f>-([1]Specials!$Q$47+[1]Specials!$X$47+[1]Specials!$AW$47+[1]Specials!$AZ$47)/1000/AF180</f>
        <v>#DIV/0!</v>
      </c>
      <c r="AG185" s="7"/>
      <c r="AH185" s="28">
        <f>-('[1]Total P&amp;C'!$Q$45+'[1]Total P&amp;C'!$X$45+'[1]Total P&amp;C'!$AW$45+'[1]Total P&amp;C'!$AZ$45)/1000/AH180</f>
        <v>8.2440859348963266E-2</v>
      </c>
      <c r="AI185" s="28">
        <f>-('[1]Total P&amp;C'!$Q$46+'[1]Total P&amp;C'!$X$46+'[1]Total P&amp;C'!$AW$46+'[1]Total P&amp;C'!$AZ$46)/1000/AI180</f>
        <v>0</v>
      </c>
      <c r="AJ185" s="28">
        <f>-('[1]Total P&amp;C'!$Q$47+'[1]Total P&amp;C'!$X$47+'[1]Total P&amp;C'!$AW$47+'[1]Total P&amp;C'!$AZ$47)/1000/AJ180</f>
        <v>0.12834882852531426</v>
      </c>
      <c r="AL185" s="202"/>
      <c r="AM185" s="9"/>
      <c r="AN185" s="38" t="s">
        <v>25</v>
      </c>
      <c r="AT185" s="20" t="e">
        <f>-([2]Retail!$Q$45+[2]Retail!$X$45+[2]Retail!$AW$45+[2]Retail!$AZ$45)/1000/AT180</f>
        <v>#DIV/0!</v>
      </c>
      <c r="AU185" s="42" t="e">
        <f>-([2]Retail!$Q$46+[2]Retail!$X$46+[2]Retail!$AW$46+[2]Retail!$AZ$46)/1000/AU180</f>
        <v>#DIV/0!</v>
      </c>
      <c r="AV185" s="42" t="e">
        <f>-([2]Retail!$Q$47+[2]Retail!$X$47+[2]Retail!$AW$47+[2]Retail!$AZ$47)/1000/AV180</f>
        <v>#DIV/0!</v>
      </c>
      <c r="AW185" s="7"/>
      <c r="AX185" s="20" t="e">
        <f>-([2]SME!$Q$45+[2]SME!$X$45+[2]SME!$AW$45+[2]SME!$AZ$45)/1000/AX180</f>
        <v>#DIV/0!</v>
      </c>
      <c r="AY185" s="20" t="e">
        <f>-([2]SME!$Q$46+[2]SME!$X$46+[2]SME!$AW$46+[2]SME!$AZ$46)/1000/AY180</f>
        <v>#DIV/0!</v>
      </c>
      <c r="AZ185" s="20" t="e">
        <f>-([2]SME!$Q$47+[2]SME!$X$47+[2]SME!$AW$47+[2]SME!$AZ$47)/1000/AZ180</f>
        <v>#DIV/0!</v>
      </c>
      <c r="BA185" s="7"/>
      <c r="BB185" s="20">
        <f>-([2]MidCorp!$Q$45+[2]MidCorp!$X$45+[2]MidCorp!$AW$45+[2]MidCorp!$AZ$45)/1000/BB180</f>
        <v>6.8839559308603415E-2</v>
      </c>
      <c r="BC185" s="20">
        <f>-([2]MidCorp!$Q$46+[2]MidCorp!$X$46+[2]MidCorp!$AW$46+[2]MidCorp!$AZ$46)/1000/BC180</f>
        <v>0</v>
      </c>
      <c r="BD185" s="20">
        <f>-([2]MidCorp!$Q$47+[2]MidCorp!$X$47+[2]MidCorp!$AW$47+[2]MidCorp!$AZ$47)/1000/BD180</f>
        <v>9.8286441602909849E-2</v>
      </c>
      <c r="BJ185" s="20" t="e">
        <f>-([2]Specials!$Q$45+[2]Specials!$X$45+[2]Specials!$AW$45+[2]Specials!$AZ$45)/1000/BJ180</f>
        <v>#DIV/0!</v>
      </c>
      <c r="BK185" s="20" t="e">
        <f>-([2]Specials!$Q$46+[2]Specials!$X$46+[2]Specials!$AW$46+[2]Specials!$AZ$46)/1000/BK180</f>
        <v>#DIV/0!</v>
      </c>
      <c r="BL185" s="20" t="e">
        <f>-([2]Specials!$Q$47+[2]Specials!$X$47+[2]Specials!$AW$47+[2]Specials!$AZ$47)/1000/BL180</f>
        <v>#DIV/0!</v>
      </c>
      <c r="BM185" s="7"/>
      <c r="BN185" s="28">
        <f>-('[2]Total P&amp;C'!$Q$45+'[2]Total P&amp;C'!$X$45+'[2]Total P&amp;C'!$AW$45+'[2]Total P&amp;C'!$AZ$45)/1000/BN180</f>
        <v>6.8839559308603415E-2</v>
      </c>
      <c r="BO185" s="28">
        <f>-('[2]Total P&amp;C'!$Q$46+'[2]Total P&amp;C'!$X$46+'[2]Total P&amp;C'!$AW$46+'[2]Total P&amp;C'!$AZ$46)/1000/BO180</f>
        <v>0</v>
      </c>
      <c r="BP185" s="28">
        <f>-('[2]Total P&amp;C'!$Q$47+'[2]Total P&amp;C'!$X$47+'[2]Total P&amp;C'!$AW$47+'[2]Total P&amp;C'!$AZ$47)/1000/BP180</f>
        <v>9.8286441602909849E-2</v>
      </c>
      <c r="BR185" s="28">
        <f>-('[3]Total P&amp;C'!$Q$45+'[3]Total P&amp;C'!$X$45+'[3]Total P&amp;C'!$AW$45+'[3]Total P&amp;C'!$AZ$45)/1000/BR180</f>
        <v>7.878161385324306E-2</v>
      </c>
      <c r="BS185" s="28">
        <f>-('[3]Total P&amp;C'!$Q$46+'[3]Total P&amp;C'!$X$46+'[3]Total P&amp;C'!$AW$46+'[3]Total P&amp;C'!$AZ$46)/1000/BS180</f>
        <v>0</v>
      </c>
      <c r="BT185" s="28">
        <f>-('[3]Total P&amp;C'!$Q$47+'[3]Total P&amp;C'!$X$47+'[3]Total P&amp;C'!$AW$47+'[3]Total P&amp;C'!$AZ$47)/1000/BT180</f>
        <v>0.12120095781047112</v>
      </c>
    </row>
    <row r="186" spans="2:72" ht="16.5" hidden="1" customHeight="1" outlineLevel="1" x14ac:dyDescent="0.25">
      <c r="B186" s="202"/>
      <c r="C186" s="9"/>
      <c r="D186" s="38" t="s">
        <v>26</v>
      </c>
      <c r="J186" s="20" t="e">
        <f>-[1]Retail!$AT$45/1000/J180</f>
        <v>#DIV/0!</v>
      </c>
      <c r="K186" s="42" t="e">
        <f>-[1]Retail!$AT$46/1000/K180</f>
        <v>#DIV/0!</v>
      </c>
      <c r="L186" s="42" t="e">
        <f>-[1]Retail!$AT$47/1000/L180</f>
        <v>#DIV/0!</v>
      </c>
      <c r="M186" s="7"/>
      <c r="N186" s="20" t="e">
        <f>-[1]SME!$AT$45/1000/N180</f>
        <v>#DIV/0!</v>
      </c>
      <c r="O186" s="20" t="e">
        <f>-[1]SME!$AT$46/1000/O180</f>
        <v>#DIV/0!</v>
      </c>
      <c r="P186" s="20" t="e">
        <f>-[1]SME!$AT$47/1000/P180</f>
        <v>#DIV/0!</v>
      </c>
      <c r="Q186" s="7"/>
      <c r="R186" s="20">
        <f>-[1]MidCorp!$AT$45/1000/R180</f>
        <v>2.3965434230008461E-2</v>
      </c>
      <c r="S186" s="20">
        <f>-[1]MidCorp!$AT$46/1000/S180</f>
        <v>3.2406036337638104E-2</v>
      </c>
      <c r="T186" s="20">
        <f>-[1]MidCorp!$AT$47/1000/T180</f>
        <v>2.5775045704969236E-2</v>
      </c>
      <c r="U186" s="7"/>
      <c r="V186" s="20" t="e">
        <f>-[1]MGA!$AT$45/1000/V180</f>
        <v>#DIV/0!</v>
      </c>
      <c r="W186" s="20" t="e">
        <f>-[1]MGA!$AT$46/1000/W180</f>
        <v>#DIV/0!</v>
      </c>
      <c r="X186" s="20" t="e">
        <f>-[1]MGA!$AT$47/1000/X180</f>
        <v>#DIV/0!</v>
      </c>
      <c r="Y186" s="7"/>
      <c r="Z186" s="20" t="e">
        <f>-[1]Bancassurance!$AT$45/1000/Z180</f>
        <v>#DIV/0!</v>
      </c>
      <c r="AA186" s="20" t="e">
        <f>-[1]Bancassurance!$AT$46/1000/AA180</f>
        <v>#DIV/0!</v>
      </c>
      <c r="AB186" s="20" t="e">
        <f>-[1]Bancassurance!$AT$47/1000/AB180</f>
        <v>#DIV/0!</v>
      </c>
      <c r="AC186" s="7"/>
      <c r="AD186" s="20" t="e">
        <f>-[1]Specials!$AT$45/1000/AD180</f>
        <v>#DIV/0!</v>
      </c>
      <c r="AE186" s="20" t="e">
        <f>-[1]Specials!$AT$46/1000/AE180</f>
        <v>#DIV/0!</v>
      </c>
      <c r="AF186" s="20" t="e">
        <f>-[1]Specials!$AT$47/1000/AF180</f>
        <v>#DIV/0!</v>
      </c>
      <c r="AG186" s="7"/>
      <c r="AH186" s="28">
        <f>-'[1]Total P&amp;C'!$AT$45/1000/AH180</f>
        <v>4.1382184272749457E-2</v>
      </c>
      <c r="AI186" s="28">
        <f>-'[1]Total P&amp;C'!$AT$46/1000/AI180</f>
        <v>5.447807962507116E-2</v>
      </c>
      <c r="AJ186" s="28">
        <f>-'[1]Total P&amp;C'!$AT$47/1000/AJ180</f>
        <v>2.704418190490928E-2</v>
      </c>
      <c r="AL186" s="202"/>
      <c r="AM186" s="9"/>
      <c r="AN186" s="38" t="s">
        <v>26</v>
      </c>
      <c r="AT186" s="20" t="e">
        <f>-[2]Retail!$AT$45/1000/AT180</f>
        <v>#DIV/0!</v>
      </c>
      <c r="AU186" s="42" t="e">
        <f>-[2]Retail!$AT$46/1000/AU180</f>
        <v>#DIV/0!</v>
      </c>
      <c r="AV186" s="42" t="e">
        <f>-[2]Retail!$AT$47/1000/AV180</f>
        <v>#DIV/0!</v>
      </c>
      <c r="AW186" s="7"/>
      <c r="AX186" s="20" t="e">
        <f>-[2]SME!$AT$45/1000/AX180</f>
        <v>#DIV/0!</v>
      </c>
      <c r="AY186" s="20" t="e">
        <f>-[2]SME!$AT$46/1000/AY180</f>
        <v>#DIV/0!</v>
      </c>
      <c r="AZ186" s="20" t="e">
        <f>-[2]SME!$AT$47/1000/AZ180</f>
        <v>#DIV/0!</v>
      </c>
      <c r="BA186" s="7"/>
      <c r="BB186" s="20">
        <f>-[2]MidCorp!$AT$45/1000/BB180</f>
        <v>0.15163815368218814</v>
      </c>
      <c r="BC186" s="20">
        <f>-[2]MidCorp!$AT$46/1000/BC180</f>
        <v>0.10595124912882672</v>
      </c>
      <c r="BD186" s="20">
        <f>-[2]MidCorp!$AT$47/1000/BD180</f>
        <v>0.13395741222036023</v>
      </c>
      <c r="BJ186" s="20" t="e">
        <f>-[2]Specials!$AT$45/1000/BJ180</f>
        <v>#DIV/0!</v>
      </c>
      <c r="BK186" s="20" t="e">
        <f>-[2]Specials!$AT$46/1000/BK180</f>
        <v>#DIV/0!</v>
      </c>
      <c r="BL186" s="20" t="e">
        <f>-[2]Specials!$AT$47/1000/BL180</f>
        <v>#DIV/0!</v>
      </c>
      <c r="BM186" s="7"/>
      <c r="BN186" s="28">
        <f>-'[2]Total P&amp;C'!$AT$45/1000/BN180</f>
        <v>0.15163815368218814</v>
      </c>
      <c r="BO186" s="28">
        <f>-'[2]Total P&amp;C'!$AT$46/1000/BO180</f>
        <v>0.10595124912882672</v>
      </c>
      <c r="BP186" s="28">
        <f>-'[2]Total P&amp;C'!$AT$47/1000/BP180</f>
        <v>0.13395741222036023</v>
      </c>
      <c r="BR186" s="28">
        <f>-'[3]Total P&amp;C'!$AT$45/1000/BR180</f>
        <v>7.1045059015646561E-2</v>
      </c>
      <c r="BS186" s="28">
        <f>-'[3]Total P&amp;C'!$AT$46/1000/BS180</f>
        <v>6.891707785417453E-2</v>
      </c>
      <c r="BT186" s="28">
        <f>-'[3]Total P&amp;C'!$AT$47/1000/BT180</f>
        <v>5.2464716540885262E-2</v>
      </c>
    </row>
    <row r="187" spans="2:72" ht="16.5" hidden="1" customHeight="1" outlineLevel="1" x14ac:dyDescent="0.25">
      <c r="B187" s="202"/>
      <c r="C187" s="9"/>
      <c r="D187" s="37" t="s">
        <v>27</v>
      </c>
      <c r="J187" s="20" t="e">
        <f>-([1]Retail!$Z$45+[1]Retail!$AA$45+[1]Retail!$BB$45+[1]Retail!$BC$45)/1000/J180</f>
        <v>#DIV/0!</v>
      </c>
      <c r="K187" s="20" t="e">
        <f>-([1]Retail!$Z$46+[1]Retail!$AA$46+[1]Retail!$BB$46+[1]Retail!$BC$46)/1000/K180</f>
        <v>#DIV/0!</v>
      </c>
      <c r="L187" s="20" t="e">
        <f>-([1]Retail!$Z$47+[1]Retail!$AA$47+[1]Retail!$BB$47+[1]Retail!$BC$47)/1000/L180</f>
        <v>#DIV/0!</v>
      </c>
      <c r="M187" s="7"/>
      <c r="N187" s="20" t="e">
        <f>-([1]SME!$Z$45+[1]SME!$AA$45+[1]SME!$BB$45+[1]SME!$BC$45)/1000/N180</f>
        <v>#DIV/0!</v>
      </c>
      <c r="O187" s="20" t="e">
        <f>-([1]SME!$Z$46+[1]SME!$AA$46+[1]SME!$BB$46+[1]SME!$BC$46)/1000/O180</f>
        <v>#DIV/0!</v>
      </c>
      <c r="P187" s="20" t="e">
        <f>-([1]SME!$Z$47+[1]SME!$AA$47+[1]SME!$BB$47+[1]SME!$BC$47)/1000/P180</f>
        <v>#DIV/0!</v>
      </c>
      <c r="Q187" s="7"/>
      <c r="R187" s="20">
        <f>-([1]MidCorp!$Z$45+[1]MidCorp!$AA$45+[1]MidCorp!$BB$45+[1]MidCorp!$BC$45)/1000/R180</f>
        <v>-7.0249193459497747E-2</v>
      </c>
      <c r="S187" s="20">
        <f>-([1]MidCorp!$Z$46+[1]MidCorp!$AA$46+[1]MidCorp!$BB$46+[1]MidCorp!$BC$46)/1000/S180</f>
        <v>-6.1712711452093061E-2</v>
      </c>
      <c r="T187" s="20">
        <f>-([1]MidCorp!$Z$47+[1]MidCorp!$AA$47+[1]MidCorp!$BB$47+[1]MidCorp!$BC$47)/1000/T180</f>
        <v>-5.1241797535216974E-2</v>
      </c>
      <c r="U187" s="7"/>
      <c r="V187" s="20" t="e">
        <f>-([1]MGA!$Z$45+[1]MGA!$AA$45+[1]MGA!$BB$45+[1]MGA!$BC$45)/1000/V180</f>
        <v>#DIV/0!</v>
      </c>
      <c r="W187" s="20" t="e">
        <f>-([1]MGA!$Z$46+[1]MGA!$AA$46+[1]MGA!$BB$46+[1]MGA!$BC$46)/1000/W180</f>
        <v>#DIV/0!</v>
      </c>
      <c r="X187" s="20" t="e">
        <f>-([1]MGA!$Z$47+[1]MGA!$AA$47+[1]MGA!$BB$47+[1]MGA!$BC$47)/1000/X180</f>
        <v>#DIV/0!</v>
      </c>
      <c r="Y187" s="7"/>
      <c r="Z187" s="20" t="e">
        <f>-([1]Bancassurance!$Z$45+[1]Bancassurance!$AA$45+[1]Bancassurance!$BB$45+[1]Bancassurance!$BC$45)/1000/Z180</f>
        <v>#DIV/0!</v>
      </c>
      <c r="AA187" s="20" t="e">
        <f>-([1]Bancassurance!$Z$46+[1]Bancassurance!$AA$46+[1]Bancassurance!$BB$46+[1]Bancassurance!$BC$46)/1000/AA180</f>
        <v>#DIV/0!</v>
      </c>
      <c r="AB187" s="20" t="e">
        <f>-([1]Bancassurance!$Z$47+[1]Bancassurance!$AA$47+[1]Bancassurance!$BB$47+[1]Bancassurance!$BC$47)/1000/AB180</f>
        <v>#DIV/0!</v>
      </c>
      <c r="AC187" s="7"/>
      <c r="AD187" s="20" t="e">
        <f>-([1]Specials!$Z$45+[1]Specials!$AA$45+[1]Specials!$BB$45+[1]Specials!$BC$45)/1000/AD180</f>
        <v>#DIV/0!</v>
      </c>
      <c r="AE187" s="20" t="e">
        <f>-([1]Specials!$Z$46+[1]Specials!$AA$46+[1]Specials!$BB$46+[1]Specials!$BC$46)/1000/AE180</f>
        <v>#DIV/0!</v>
      </c>
      <c r="AF187" s="20" t="e">
        <f>-([1]Specials!$Z$47+[1]Specials!$AA$47+[1]Specials!$BB$47+[1]Specials!$BC$47)/1000/AF180</f>
        <v>#DIV/0!</v>
      </c>
      <c r="AG187" s="7"/>
      <c r="AH187" s="28">
        <f>-('[1]Total P&amp;C'!$Z$45+'[1]Total P&amp;C'!$AA$45+'[1]Total P&amp;C'!$BB$45+'[1]Total P&amp;C'!$BC$45)/1000/AH180</f>
        <v>-6.9740499515414278E-2</v>
      </c>
      <c r="AI187" s="28">
        <f>-('[1]Total P&amp;C'!$Z$46+'[1]Total P&amp;C'!$AA$46+'[1]Total P&amp;C'!$BB$46+'[1]Total P&amp;C'!$BC$46)/1000/AI180</f>
        <v>-6.1533513040868702E-2</v>
      </c>
      <c r="AJ187" s="28">
        <f>-('[1]Total P&amp;C'!$Z$47+'[1]Total P&amp;C'!$AA$47+'[1]Total P&amp;C'!$BB$47+'[1]Total P&amp;C'!$BC$47)/1000/AJ180</f>
        <v>-5.1241797535216974E-2</v>
      </c>
      <c r="AL187" s="202"/>
      <c r="AM187" s="9"/>
      <c r="AN187" s="37" t="s">
        <v>27</v>
      </c>
      <c r="AT187" s="20" t="e">
        <f>-([2]Retail!$Z$45+[2]Retail!$AA$45+[2]Retail!$BB$45+[2]Retail!$BC$45)/1000/AT180</f>
        <v>#DIV/0!</v>
      </c>
      <c r="AU187" s="20" t="e">
        <f>-([2]Retail!$Z$46+[2]Retail!$AA$46+[2]Retail!$BB$46+[2]Retail!$BC$46)/1000/AU180</f>
        <v>#DIV/0!</v>
      </c>
      <c r="AV187" s="20" t="e">
        <f>-([2]Retail!$Z$47+[2]Retail!$AA$47+[2]Retail!$BB$47+[2]Retail!$BC$47)/1000/AV180</f>
        <v>#DIV/0!</v>
      </c>
      <c r="AW187" s="7"/>
      <c r="AX187" s="20" t="e">
        <f>-([2]SME!$Z$45+[2]SME!$AA$45+[2]SME!$BB$45+[2]SME!$BC$45)/1000/AX180</f>
        <v>#DIV/0!</v>
      </c>
      <c r="AY187" s="20" t="e">
        <f>-([2]SME!$Z$46+[2]SME!$AA$46+[2]SME!$BB$46+[2]SME!$BC$46)/1000/AY180</f>
        <v>#DIV/0!</v>
      </c>
      <c r="AZ187" s="20" t="e">
        <f>-([2]SME!$Z$47+[2]SME!$AA$47+[2]SME!$BB$47+[2]SME!$BC$47)/1000/AZ180</f>
        <v>#DIV/0!</v>
      </c>
      <c r="BA187" s="7"/>
      <c r="BB187" s="20">
        <f>-([2]MidCorp!$Z$45+[2]MidCorp!$AA$45+[2]MidCorp!$BB$45+[2]MidCorp!$BC$45)/1000/BB180</f>
        <v>-6.3727905264189907E-2</v>
      </c>
      <c r="BC187" s="20">
        <f>-([2]MidCorp!$Z$46+[2]MidCorp!$AA$46+[2]MidCorp!$BB$46+[2]MidCorp!$BC$46)/1000/BC180</f>
        <v>-5.2544331785172739E-2</v>
      </c>
      <c r="BD187" s="20">
        <f>-([2]MidCorp!$Z$47+[2]MidCorp!$AA$47+[2]MidCorp!$BB$47+[2]MidCorp!$BC$47)/1000/BD180</f>
        <v>-3.9836245818584234E-2</v>
      </c>
      <c r="BJ187" s="20" t="e">
        <f>-([2]Specials!$Z$45+[2]Specials!$AA$45+[2]Specials!$BB$45+[2]Specials!$BC$45)/1000/BJ180</f>
        <v>#DIV/0!</v>
      </c>
      <c r="BK187" s="20" t="e">
        <f>-([2]Specials!$Z$46+[2]Specials!$AA$46+[2]Specials!$BB$46+[2]Specials!$BC$46)/1000/BK180</f>
        <v>#DIV/0!</v>
      </c>
      <c r="BL187" s="20" t="e">
        <f>-([2]Specials!$Z$47+[2]Specials!$AA$47+[2]Specials!$BB$47+[2]Specials!$BC$47)/1000/BL180</f>
        <v>#DIV/0!</v>
      </c>
      <c r="BM187" s="7"/>
      <c r="BN187" s="28">
        <f>-('[2]Total P&amp;C'!$Z$45+'[2]Total P&amp;C'!$AA$45+'[2]Total P&amp;C'!$BB$45+'[2]Total P&amp;C'!$BC$45)/1000/BN180</f>
        <v>-6.3727905264189907E-2</v>
      </c>
      <c r="BO187" s="28">
        <f>-('[2]Total P&amp;C'!$Z$46+'[2]Total P&amp;C'!$AA$46+'[2]Total P&amp;C'!$BB$46+'[2]Total P&amp;C'!$BC$46)/1000/BO180</f>
        <v>-5.2544331785172739E-2</v>
      </c>
      <c r="BP187" s="28">
        <f>-('[2]Total P&amp;C'!$Z$47+'[2]Total P&amp;C'!$AA$47+'[2]Total P&amp;C'!$BB$47+'[2]Total P&amp;C'!$BC$47)/1000/BP180</f>
        <v>-3.9836245818584234E-2</v>
      </c>
      <c r="BR187" s="28">
        <f>-('[3]Total P&amp;C'!$Z$45+'[3]Total P&amp;C'!$AA$45+'[3]Total P&amp;C'!$BB$45+'[3]Total P&amp;C'!$BC$45)/1000/BR180</f>
        <v>-6.8122892495048604E-2</v>
      </c>
      <c r="BS187" s="28">
        <f>-('[3]Total P&amp;C'!$Z$46+'[3]Total P&amp;C'!$AA$46+'[3]Total P&amp;C'!$BB$46+'[3]Total P&amp;C'!$BC$46)/1000/BS180</f>
        <v>-5.9011912496674257E-2</v>
      </c>
      <c r="BT187" s="28">
        <f>-('[3]Total P&amp;C'!$Z$47+'[3]Total P&amp;C'!$AA$47+'[3]Total P&amp;C'!$BB$47+'[3]Total P&amp;C'!$BC$47)/1000/BT180</f>
        <v>-4.8529923414496696E-2</v>
      </c>
    </row>
    <row r="188" spans="2:72" ht="16.5" hidden="1" customHeight="1" outlineLevel="1" x14ac:dyDescent="0.25">
      <c r="B188" s="202"/>
      <c r="C188" s="9"/>
      <c r="D188" s="37" t="s">
        <v>28</v>
      </c>
      <c r="J188" s="20" t="e">
        <f>-SUM([1]Retail!$AC$45:$AI$45,[1]Retail!$BE$45:$BG$45)/1000/J180</f>
        <v>#DIV/0!</v>
      </c>
      <c r="K188" s="20" t="e">
        <f>-SUM([1]Retail!$AC$46:$AI$46,[1]Retail!$BE$46:$BG$46)/1000/K180</f>
        <v>#DIV/0!</v>
      </c>
      <c r="L188" s="20" t="e">
        <f>-SUM([1]Retail!$AC$47:$AI$47,[1]Retail!$BE$47:$BG$47)/1000/L180</f>
        <v>#DIV/0!</v>
      </c>
      <c r="M188" s="7"/>
      <c r="N188" s="20" t="e">
        <f>-SUM([1]SME!$AC$45:$AI$45,[1]SME!$BE$45:$BG$45)/1000/N180</f>
        <v>#DIV/0!</v>
      </c>
      <c r="O188" s="20" t="e">
        <f>-SUM([1]SME!$AC$46:$AI$46,[1]SME!$BE$46:$BG$46)/1000/O180</f>
        <v>#DIV/0!</v>
      </c>
      <c r="P188" s="20" t="e">
        <f>-SUM([1]SME!$AC$47:$AI$47,[1]SME!$BE$47:$BG$47)/1000/P180</f>
        <v>#DIV/0!</v>
      </c>
      <c r="Q188" s="7"/>
      <c r="R188" s="20">
        <f>-SUM([1]MidCorp!$AC$45:$AI$45,[1]MidCorp!$BE$45:$BG$45)/1000/R180</f>
        <v>3.0852443739372445E-2</v>
      </c>
      <c r="S188" s="20">
        <f>-SUM([1]MidCorp!$AC$46:$AI$46,[1]MidCorp!$BE$46:$BG$46)/1000/S180</f>
        <v>-0.51103155934336342</v>
      </c>
      <c r="T188" s="20">
        <f>-SUM([1]MidCorp!$AC$47:$AI$47,[1]MidCorp!$BE$47:$BG$47)/1000/T180</f>
        <v>-1.0397160648591345E-2</v>
      </c>
      <c r="U188" s="7"/>
      <c r="V188" s="20" t="e">
        <f>-SUM([1]MGA!$AC$45:$AI$45,[1]MGA!$BE$45:$BG$45)/1000/V180</f>
        <v>#DIV/0!</v>
      </c>
      <c r="W188" s="20" t="e">
        <f>-SUM([1]MGA!$AC$46:$AI$46,[1]MGA!$BE$46:$BG$46)/1000/W180</f>
        <v>#DIV/0!</v>
      </c>
      <c r="X188" s="20" t="e">
        <f>-SUM([1]MGA!$AC$47:$AI$47,[1]MGA!$BE$47:$BG$47)/1000/X180</f>
        <v>#DIV/0!</v>
      </c>
      <c r="Y188" s="7"/>
      <c r="Z188" s="20" t="e">
        <f>-SUM([1]Bancassurance!$AC$45:$AI$45,[1]Bancassurance!$BE$45:$BG$45)/1000/Z180</f>
        <v>#DIV/0!</v>
      </c>
      <c r="AA188" s="20" t="e">
        <f>-SUM([1]Bancassurance!$AC$46:$AI$46,[1]Bancassurance!$BE$46:$BG$46)/1000/AA180</f>
        <v>#DIV/0!</v>
      </c>
      <c r="AB188" s="20" t="e">
        <f>-SUM([1]Bancassurance!$AC$47:$AI$47,[1]Bancassurance!$BE$47:$BG$47)/1000/AB180</f>
        <v>#DIV/0!</v>
      </c>
      <c r="AC188" s="7"/>
      <c r="AD188" s="20" t="e">
        <f>-SUM([1]Specials!$AC$45:$AI$45,[1]Specials!$BE$45:$BG$45)/1000/AD180</f>
        <v>#DIV/0!</v>
      </c>
      <c r="AE188" s="20" t="e">
        <f>-SUM([1]Specials!$AC$46:$AI$46,[1]Specials!$BE$46:$BG$46)/1000/AE180</f>
        <v>#DIV/0!</v>
      </c>
      <c r="AF188" s="20" t="e">
        <f>-SUM([1]Specials!$AC$47:$AI$47,[1]Specials!$BE$47:$BG$47)/1000/AF180</f>
        <v>#DIV/0!</v>
      </c>
      <c r="AG188" s="7"/>
      <c r="AH188" s="28">
        <f>-SUM('[1]Total P&amp;C'!$AC$45:$AI$45,'[1]Total P&amp;C'!$BE$45:$BG$45)/1000/AH180</f>
        <v>3.0892752941465165E-2</v>
      </c>
      <c r="AI188" s="28">
        <f>-SUM('[1]Total P&amp;C'!$AC$46:$AI$46,'[1]Total P&amp;C'!$BE$46:$BG$46)/1000/AI180</f>
        <v>-0.51052985178637933</v>
      </c>
      <c r="AJ188" s="28">
        <f>-SUM('[1]Total P&amp;C'!$AC$47:$AI$47,'[1]Total P&amp;C'!$BE$47:$BG$47)/1000/AJ180</f>
        <v>-1.0397160648591345E-2</v>
      </c>
      <c r="AL188" s="202"/>
      <c r="AM188" s="9"/>
      <c r="AN188" s="37" t="s">
        <v>28</v>
      </c>
      <c r="AT188" s="20" t="e">
        <f>-SUM([2]Retail!$AC$45:$AI$45,[2]Retail!$BE$45:$BG$45)/1000/AT180</f>
        <v>#DIV/0!</v>
      </c>
      <c r="AU188" s="20" t="e">
        <f>-SUM([2]Retail!$AC$46:$AI$46,[2]Retail!$BE$46:$BG$46)/1000/AU180</f>
        <v>#DIV/0!</v>
      </c>
      <c r="AV188" s="20" t="e">
        <f>-SUM([2]Retail!$AC$47:$AI$47,[2]Retail!$BE$47:$BG$47)/1000/AV180</f>
        <v>#DIV/0!</v>
      </c>
      <c r="AW188" s="7"/>
      <c r="AX188" s="20" t="e">
        <f>-SUM([2]SME!$AC$45:$AI$45,[2]SME!$BE$45:$BG$45)/1000/AX180</f>
        <v>#DIV/0!</v>
      </c>
      <c r="AY188" s="20" t="e">
        <f>-SUM([2]SME!$AC$46:$AI$46,[2]SME!$BE$46:$BG$46)/1000/AY180</f>
        <v>#DIV/0!</v>
      </c>
      <c r="AZ188" s="20" t="e">
        <f>-SUM([2]SME!$AC$47:$AI$47,[2]SME!$BE$47:$BG$47)/1000/AZ180</f>
        <v>#DIV/0!</v>
      </c>
      <c r="BA188" s="7"/>
      <c r="BB188" s="20">
        <f>-SUM([2]MidCorp!$AC$45:$AI$45,[2]MidCorp!$BE$45:$BG$45)/1000/BB180</f>
        <v>0.46939273366550321</v>
      </c>
      <c r="BC188" s="20">
        <f>-SUM([2]MidCorp!$AC$46:$AI$46,[2]MidCorp!$BE$46:$BG$46)/1000/BC180</f>
        <v>0.20844994976735676</v>
      </c>
      <c r="BD188" s="20">
        <f>-SUM([2]MidCorp!$AC$47:$AI$47,[2]MidCorp!$BE$47:$BG$47)/1000/BD180</f>
        <v>-8.248595134402804E-3</v>
      </c>
      <c r="BJ188" s="20" t="e">
        <f>-SUM([2]Specials!$AC$45:$AI$45,[2]Specials!$BE$45:$BG$45)/1000/BJ180</f>
        <v>#DIV/0!</v>
      </c>
      <c r="BK188" s="20" t="e">
        <f>-SUM([2]Specials!$AC$46:$AI$46,[2]Specials!$BE$46:$BG$46)/1000/BK180</f>
        <v>#DIV/0!</v>
      </c>
      <c r="BL188" s="20" t="e">
        <f>-SUM([2]Specials!$AC$47:$AI$47,[2]Specials!$BE$47:$BG$47)/1000/BL180</f>
        <v>#DIV/0!</v>
      </c>
      <c r="BM188" s="7"/>
      <c r="BN188" s="28">
        <f>-SUM('[2]Total P&amp;C'!$AC$45:$AI$45,'[2]Total P&amp;C'!$BE$45:$BG$45)/1000/BN180</f>
        <v>0.47148836122317422</v>
      </c>
      <c r="BO188" s="28">
        <f>-SUM('[2]Total P&amp;C'!$AC$46:$AI$46,'[2]Total P&amp;C'!$BE$46:$BG$46)/1000/BO180</f>
        <v>0.19037348014997113</v>
      </c>
      <c r="BP188" s="28">
        <f>-SUM('[2]Total P&amp;C'!$AC$47:$AI$47,'[2]Total P&amp;C'!$BE$47:$BG$47)/1000/BP180</f>
        <v>-8.248595134402804E-3</v>
      </c>
      <c r="BR188" s="28">
        <f>-SUM('[3]Total P&amp;C'!$AC$45:$AI$45,'[3]Total P&amp;C'!$BE$45:$BG$45)/1000/BR180</f>
        <v>0.14942903184530898</v>
      </c>
      <c r="BS188" s="28">
        <f>-SUM('[3]Total P&amp;C'!$AC$46:$AI$46,'[3]Total P&amp;C'!$BE$46:$BG$46)/1000/BS180</f>
        <v>-0.31391592522677186</v>
      </c>
      <c r="BT188" s="28">
        <f>-SUM('[3]Total P&amp;C'!$AC$47:$AI$47,'[3]Total P&amp;C'!$BE$47:$BG$47)/1000/BT180</f>
        <v>-9.8863007306004488E-3</v>
      </c>
    </row>
    <row r="189" spans="2:72" ht="16.5" hidden="1" customHeight="1" outlineLevel="1" x14ac:dyDescent="0.25">
      <c r="B189" s="202"/>
      <c r="C189" s="9"/>
      <c r="D189" s="37" t="s">
        <v>29</v>
      </c>
      <c r="J189" s="20" t="e">
        <f>-SUM([1]Retail!$AJ$45:$AK$45,[1]Retail!$BH$45:$BI$45)/1000/J180</f>
        <v>#DIV/0!</v>
      </c>
      <c r="K189" s="20" t="e">
        <f>-SUM([1]Retail!$AJ$46:$AK$46,[1]Retail!$BH$46:$BI$46)/1000/K180</f>
        <v>#DIV/0!</v>
      </c>
      <c r="L189" s="20" t="e">
        <f>-SUM([1]Retail!$AJ$47:$AK$47,[1]Retail!$BH$47:$BI$47)/1000/L180</f>
        <v>#DIV/0!</v>
      </c>
      <c r="M189" s="7"/>
      <c r="N189" s="20" t="e">
        <f>-SUM([1]SME!$AJ$45:$AK$45,[1]SME!$BH$45:$BI$45)/1000/N180</f>
        <v>#DIV/0!</v>
      </c>
      <c r="O189" s="20" t="e">
        <f>-SUM([1]SME!$AJ$46:$AK$46,[1]SME!$BH$46:$BI$46)/1000/O180</f>
        <v>#DIV/0!</v>
      </c>
      <c r="P189" s="20" t="e">
        <f>-SUM([1]SME!$AJ$47:$AK$47,[1]SME!$BH$47:$BI$47)/1000/P180</f>
        <v>#DIV/0!</v>
      </c>
      <c r="Q189" s="7"/>
      <c r="R189" s="20">
        <f>-SUM([1]MidCorp!$AJ$45:$AK$45,[1]MidCorp!$BH$45:$BI$45)/1000/R180</f>
        <v>-1.2624871863901597E-3</v>
      </c>
      <c r="S189" s="20">
        <f>-SUM([1]MidCorp!$AJ$46:$AK$46,[1]MidCorp!$BH$46:$BI$46)/1000/S180</f>
        <v>5.0144963754452036E-2</v>
      </c>
      <c r="T189" s="20">
        <f>-SUM([1]MidCorp!$AJ$47:$AK$47,[1]MidCorp!$BH$47:$BI$47)/1000/T180</f>
        <v>0</v>
      </c>
      <c r="U189" s="7"/>
      <c r="V189" s="20" t="e">
        <f>-SUM([1]MGA!$AJ$45:$AK$45,[1]MGA!$BH$45:$BI$45)/1000/V180</f>
        <v>#DIV/0!</v>
      </c>
      <c r="W189" s="20" t="e">
        <f>-SUM([1]MGA!$AJ$46:$AK$46,[1]MGA!$BH$46:$BI$46)/1000/W180</f>
        <v>#DIV/0!</v>
      </c>
      <c r="X189" s="20" t="e">
        <f>-SUM([1]MGA!$AJ$47:$AK$47,[1]MGA!$BH$47:$BI$47)/1000/X180</f>
        <v>#DIV/0!</v>
      </c>
      <c r="Y189" s="7"/>
      <c r="Z189" s="20" t="e">
        <f>-SUM([1]Bancassurance!$AJ$45:$AK$45,[1]Bancassurance!$BH$45:$BI$45)/1000/Z180</f>
        <v>#DIV/0!</v>
      </c>
      <c r="AA189" s="20" t="e">
        <f>-SUM([1]Bancassurance!$AJ$46:$AK$46,[1]Bancassurance!$BH$46:$BI$46)/1000/AA180</f>
        <v>#DIV/0!</v>
      </c>
      <c r="AB189" s="20" t="e">
        <f>-SUM([1]Bancassurance!$AJ$47:$AK$47,[1]Bancassurance!$BH$47:$BI$47)/1000/AB180</f>
        <v>#DIV/0!</v>
      </c>
      <c r="AC189" s="7"/>
      <c r="AD189" s="20" t="e">
        <f>-SUM([1]Specials!$AJ$45:$AK$45,[1]Specials!$BH$45:$BI$45)/1000/AD180</f>
        <v>#DIV/0!</v>
      </c>
      <c r="AE189" s="20" t="e">
        <f>-SUM([1]Specials!$AJ$46:$AK$46,[1]Specials!$BH$46:$BI$46)/1000/AE180</f>
        <v>#DIV/0!</v>
      </c>
      <c r="AF189" s="20" t="e">
        <f>-SUM([1]Specials!$AJ$47:$AK$47,[1]Specials!$BH$47:$BI$47)/1000/AF180</f>
        <v>#DIV/0!</v>
      </c>
      <c r="AG189" s="7"/>
      <c r="AH189" s="28">
        <f>-SUM('[1]Total P&amp;C'!$AJ$45:$AK$45,'[1]Total P&amp;C'!$BH$45:$BI$45)/1000/AH180</f>
        <v>-1.2373176145396309E-3</v>
      </c>
      <c r="AI189" s="28">
        <f>-SUM('[1]Total P&amp;C'!$AJ$46:$AK$46,'[1]Total P&amp;C'!$BH$46:$BI$46)/1000/AI180</f>
        <v>4.9964197074063625E-2</v>
      </c>
      <c r="AJ189" s="28">
        <f>-SUM('[1]Total P&amp;C'!$AJ$47:$AK$47,'[1]Total P&amp;C'!$BH$47:$BI$47)/1000/AJ180</f>
        <v>0</v>
      </c>
      <c r="AL189" s="202"/>
      <c r="AM189" s="9"/>
      <c r="AN189" s="37" t="s">
        <v>29</v>
      </c>
      <c r="AT189" s="20" t="e">
        <f>-SUM([2]Retail!$AJ$45:$AK$45,[2]Retail!$BH$45:$BI$45)/1000/AT180</f>
        <v>#DIV/0!</v>
      </c>
      <c r="AU189" s="20" t="e">
        <f>-SUM([2]Retail!$AJ$46:$AK$46,[2]Retail!$BH$46:$BI$46)/1000/AU180</f>
        <v>#DIV/0!</v>
      </c>
      <c r="AV189" s="20" t="e">
        <f>-SUM([2]Retail!$AJ$47:$AK$47,[2]Retail!$BH$47:$BI$47)/1000/AV180</f>
        <v>#DIV/0!</v>
      </c>
      <c r="AW189" s="7"/>
      <c r="AX189" s="20" t="e">
        <f>-SUM([2]SME!$AJ$45:$AK$45,[2]SME!$BH$45:$BI$45)/1000/AX180</f>
        <v>#DIV/0!</v>
      </c>
      <c r="AY189" s="20" t="e">
        <f>-SUM([2]SME!$AJ$46:$AK$46,[2]SME!$BH$46:$BI$46)/1000/AY180</f>
        <v>#DIV/0!</v>
      </c>
      <c r="AZ189" s="20" t="e">
        <f>-SUM([2]SME!$AJ$47:$AK$47,[2]SME!$BH$47:$BI$47)/1000/AZ180</f>
        <v>#DIV/0!</v>
      </c>
      <c r="BA189" s="7"/>
      <c r="BB189" s="20">
        <f>-SUM([2]MidCorp!$AJ$45:$AK$45,[2]MidCorp!$BH$45:$BI$45)/1000/BB180</f>
        <v>-0.10967337980362385</v>
      </c>
      <c r="BC189" s="20">
        <f>-SUM([2]MidCorp!$AJ$46:$AK$46,[2]MidCorp!$BH$46:$BI$46)/1000/BC180</f>
        <v>8.8548333544126889E-2</v>
      </c>
      <c r="BD189" s="20">
        <f>-SUM([2]MidCorp!$AJ$47:$AK$47,[2]MidCorp!$BH$47:$BI$47)/1000/BD180</f>
        <v>0</v>
      </c>
      <c r="BJ189" s="20" t="e">
        <f>-SUM([2]Specials!$AJ$45:$AK$45,[2]Specials!$BH$45:$BI$45)/1000/BJ180</f>
        <v>#DIV/0!</v>
      </c>
      <c r="BK189" s="20" t="e">
        <f>-SUM([2]Specials!$AJ$46:$AK$46,[2]Specials!$BH$46:$BI$46)/1000/BK180</f>
        <v>#DIV/0!</v>
      </c>
      <c r="BL189" s="20" t="e">
        <f>-SUM([2]Specials!$AJ$47:$AK$47,[2]Specials!$BH$47:$BI$47)/1000/BL180</f>
        <v>#DIV/0!</v>
      </c>
      <c r="BM189" s="7"/>
      <c r="BN189" s="28">
        <f>-SUM('[2]Total P&amp;C'!$AJ$45:$AK$45,'[2]Total P&amp;C'!$BH$45:$BI$45)/1000/BN180</f>
        <v>-0.11033010676638365</v>
      </c>
      <c r="BO189" s="28">
        <f>-SUM('[2]Total P&amp;C'!$AJ$46:$AK$46,'[2]Total P&amp;C'!$BH$46:$BI$46)/1000/BO180</f>
        <v>8.9832539463197164E-2</v>
      </c>
      <c r="BP189" s="28">
        <f>-SUM('[2]Total P&amp;C'!$AJ$47:$AK$47,'[2]Total P&amp;C'!$BH$47:$BI$47)/1000/BP180</f>
        <v>0</v>
      </c>
      <c r="BR189" s="28">
        <f>-SUM('[3]Total P&amp;C'!$AJ$45:$AK$45,'[3]Total P&amp;C'!$BH$45:$BI$45)/1000/BR180</f>
        <v>-3.0587254468728751E-2</v>
      </c>
      <c r="BS189" s="28">
        <f>-SUM('[3]Total P&amp;C'!$AJ$46:$AK$46,'[3]Total P&amp;C'!$BH$46:$BI$46)/1000/BS180</f>
        <v>6.1147866754866657E-2</v>
      </c>
      <c r="BT189" s="28">
        <f>-SUM('[3]Total P&amp;C'!$AJ$47:$AK$47,'[3]Total P&amp;C'!$BH$47:$BI$47)/1000/BT180</f>
        <v>0</v>
      </c>
    </row>
    <row r="190" spans="2:72" ht="16.5" hidden="1" customHeight="1" outlineLevel="1" x14ac:dyDescent="0.25">
      <c r="B190" s="202"/>
      <c r="C190" s="9"/>
      <c r="D190" s="37" t="s">
        <v>30</v>
      </c>
      <c r="J190" s="20" t="e">
        <f>+J191+J192+J193</f>
        <v>#DIV/0!</v>
      </c>
      <c r="K190" s="20" t="e">
        <f>+K191+K192+K193</f>
        <v>#DIV/0!</v>
      </c>
      <c r="L190" s="20" t="e">
        <f>+L191+L192+L193</f>
        <v>#DIV/0!</v>
      </c>
      <c r="M190" s="7"/>
      <c r="N190" s="20" t="e">
        <f>+N191+N192+N193</f>
        <v>#DIV/0!</v>
      </c>
      <c r="O190" s="20" t="e">
        <f>+O191+O192+O193</f>
        <v>#DIV/0!</v>
      </c>
      <c r="P190" s="20" t="e">
        <f>+P191+P192+P193</f>
        <v>#DIV/0!</v>
      </c>
      <c r="Q190" s="7"/>
      <c r="R190" s="20">
        <f>+R191+R192+R193</f>
        <v>0.22730942927851217</v>
      </c>
      <c r="S190" s="20">
        <f>+S191+S192+S193</f>
        <v>0.21815370520565497</v>
      </c>
      <c r="T190" s="20">
        <f>+T191+T192+T193</f>
        <v>0.22930481453475929</v>
      </c>
      <c r="U190" s="7"/>
      <c r="V190" s="20" t="e">
        <f>+V191+V192+V193</f>
        <v>#DIV/0!</v>
      </c>
      <c r="W190" s="20" t="e">
        <f>+W191+W192+W193</f>
        <v>#DIV/0!</v>
      </c>
      <c r="X190" s="20" t="e">
        <f>+X191+X192+X193</f>
        <v>#DIV/0!</v>
      </c>
      <c r="Y190" s="7"/>
      <c r="Z190" s="20" t="e">
        <f>+Z191+Z192+Z193</f>
        <v>#DIV/0!</v>
      </c>
      <c r="AA190" s="20" t="e">
        <f>+AA191+AA192+AA193</f>
        <v>#DIV/0!</v>
      </c>
      <c r="AB190" s="20" t="e">
        <f>+AB191+AB192+AB193</f>
        <v>#DIV/0!</v>
      </c>
      <c r="AC190" s="7"/>
      <c r="AD190" s="20" t="e">
        <f>+AD191+AD192+AD193</f>
        <v>#DIV/0!</v>
      </c>
      <c r="AE190" s="20" t="e">
        <f>+AE191+AE192+AE193</f>
        <v>#DIV/0!</v>
      </c>
      <c r="AF190" s="20" t="e">
        <f>+AF191+AF192+AF193</f>
        <v>#DIV/0!</v>
      </c>
      <c r="AG190" s="7"/>
      <c r="AH190" s="28">
        <f>+AH191+AH192+AH193</f>
        <v>0.22730942927851217</v>
      </c>
      <c r="AI190" s="28">
        <f>+AI191+AI192+AI193</f>
        <v>0.21815370520565497</v>
      </c>
      <c r="AJ190" s="28">
        <f>+AJ191+AJ192+AJ193</f>
        <v>0.22930481453475929</v>
      </c>
      <c r="AL190" s="202"/>
      <c r="AM190" s="9"/>
      <c r="AN190" s="37" t="s">
        <v>30</v>
      </c>
      <c r="AT190" s="20" t="e">
        <f>+AT191+AT192+AT193</f>
        <v>#DIV/0!</v>
      </c>
      <c r="AU190" s="20" t="e">
        <f>+AU191+AU192+AU193</f>
        <v>#DIV/0!</v>
      </c>
      <c r="AV190" s="20" t="e">
        <f>+AV191+AV192+AV193</f>
        <v>#DIV/0!</v>
      </c>
      <c r="AW190" s="7"/>
      <c r="AX190" s="20" t="e">
        <f>+AX191+AX192+AX193</f>
        <v>#DIV/0!</v>
      </c>
      <c r="AY190" s="20" t="e">
        <f>+AY191+AY192+AY193</f>
        <v>#DIV/0!</v>
      </c>
      <c r="AZ190" s="20" t="e">
        <f>+AZ191+AZ192+AZ193</f>
        <v>#DIV/0!</v>
      </c>
      <c r="BA190" s="7"/>
      <c r="BB190" s="20">
        <f>+BB191+BB192+BB193</f>
        <v>0.37885500296487168</v>
      </c>
      <c r="BC190" s="20">
        <f>+BC191+BC192+BC193</f>
        <v>0.50247936186951569</v>
      </c>
      <c r="BD190" s="20">
        <f>+BD191+BD192+BD193</f>
        <v>0.31941606983735427</v>
      </c>
      <c r="BJ190" s="20" t="e">
        <f>+BJ191+BJ192+BJ193</f>
        <v>#DIV/0!</v>
      </c>
      <c r="BK190" s="20" t="e">
        <f>+BK191+BK192+BK193</f>
        <v>#DIV/0!</v>
      </c>
      <c r="BL190" s="20" t="e">
        <f>+BL191+BL192+BL193</f>
        <v>#DIV/0!</v>
      </c>
      <c r="BM190" s="7"/>
      <c r="BN190" s="28">
        <f>+BN191+BN192+BN193</f>
        <v>0.37885500296487168</v>
      </c>
      <c r="BO190" s="28">
        <f>+BO191+BO192+BO193</f>
        <v>0.50247936186951569</v>
      </c>
      <c r="BP190" s="28">
        <f>+BP191+BP192+BP193</f>
        <v>0.31941606983735427</v>
      </c>
      <c r="BR190" s="28">
        <f>+BR191+BR192+BR193</f>
        <v>0.26808071263103184</v>
      </c>
      <c r="BS190" s="28">
        <f>+BS191+BS192+BS193</f>
        <v>0.29791132830595013</v>
      </c>
      <c r="BT190" s="28">
        <f>+BT191+BT192+BT193</f>
        <v>0.25073037879609694</v>
      </c>
    </row>
    <row r="191" spans="2:72" ht="16.5" hidden="1" customHeight="1" outlineLevel="1" x14ac:dyDescent="0.25">
      <c r="B191" s="202"/>
      <c r="C191" s="9"/>
      <c r="D191" s="39" t="s">
        <v>31</v>
      </c>
      <c r="J191" s="20" t="e">
        <f>-SUM([1]Retail!$AL$45:$AN$45,[1]Retail!$BJ$45)/1000/J180</f>
        <v>#DIV/0!</v>
      </c>
      <c r="K191" s="42" t="e">
        <f>-SUM([1]Retail!$AL$46:$AN$46,[1]Retail!$BJ$46)/1000/K180</f>
        <v>#DIV/0!</v>
      </c>
      <c r="L191" s="42" t="e">
        <f>-SUM([1]Retail!$AL$47:$AN$47,[1]Retail!$BJ$47)/1000/L180</f>
        <v>#DIV/0!</v>
      </c>
      <c r="M191" s="8"/>
      <c r="N191" s="20" t="e">
        <f>-SUM([1]SME!$AL$45:$AN$45,[1]SME!$BJ$45)/1000/N180</f>
        <v>#DIV/0!</v>
      </c>
      <c r="O191" s="20" t="e">
        <f>-SUM([1]SME!$AL$46:$AN$46,[1]SME!$BJ$46)/1000/O180</f>
        <v>#DIV/0!</v>
      </c>
      <c r="P191" s="20" t="e">
        <f>-SUM([1]SME!$AL$47:$AN$47,[1]SME!$BJ$47)/1000/P180</f>
        <v>#DIV/0!</v>
      </c>
      <c r="Q191" s="8"/>
      <c r="R191" s="20">
        <f>-SUM([1]MidCorp!$AL$45:$AN$45,[1]MidCorp!$BJ$45)/1000/R180</f>
        <v>0.16153917643689397</v>
      </c>
      <c r="S191" s="20">
        <f>-SUM([1]MidCorp!$AL$46:$AN$46,[1]MidCorp!$BJ$46)/1000/S180</f>
        <v>0.15517563375062399</v>
      </c>
      <c r="T191" s="20">
        <f>-SUM([1]MidCorp!$AL$47:$AN$47,[1]MidCorp!$BJ$47)/1000/T180</f>
        <v>0.14792480474771946</v>
      </c>
      <c r="U191" s="8"/>
      <c r="V191" s="20" t="e">
        <f>-SUM([1]MGA!$AL$45:$AN$45,[1]MGA!$BJ$45)/1000/V180</f>
        <v>#DIV/0!</v>
      </c>
      <c r="W191" s="20" t="e">
        <f>-SUM([1]MGA!$AL$46:$AN$46,[1]MGA!$BJ$46)/1000/W180</f>
        <v>#DIV/0!</v>
      </c>
      <c r="X191" s="20" t="e">
        <f>-SUM([1]MGA!$AL$47:$AN$47,[1]MGA!$BJ$47)/1000/X180</f>
        <v>#DIV/0!</v>
      </c>
      <c r="Y191" s="8"/>
      <c r="Z191" s="20" t="e">
        <f>-SUM([1]Bancassurance!$AL$45:$AN$45,[1]Bancassurance!$BJ$45)/1000/Z180</f>
        <v>#DIV/0!</v>
      </c>
      <c r="AA191" s="20" t="e">
        <f>-SUM([1]Bancassurance!$AL$46:$AN$46,[1]Bancassurance!$BJ$46)/1000/AA180</f>
        <v>#DIV/0!</v>
      </c>
      <c r="AB191" s="20" t="e">
        <f>-SUM([1]Bancassurance!$AL$47:$AN$47,[1]Bancassurance!$BJ$47)/1000/AB180</f>
        <v>#DIV/0!</v>
      </c>
      <c r="AC191" s="8"/>
      <c r="AD191" s="20" t="e">
        <f>-SUM([1]Specials!$AL$45:$AN$45,[1]Specials!$BJ$45)/1000/AD180</f>
        <v>#DIV/0!</v>
      </c>
      <c r="AE191" s="20" t="e">
        <f>-SUM([1]Specials!$AL$46:$AN$46,[1]Specials!$BJ$46)/1000/AE180</f>
        <v>#DIV/0!</v>
      </c>
      <c r="AF191" s="20" t="e">
        <f>-SUM([1]Specials!$AL$47:$AN$47,[1]Specials!$BJ$47)/1000/AF180</f>
        <v>#DIV/0!</v>
      </c>
      <c r="AG191" s="8"/>
      <c r="AH191" s="28">
        <f>-SUM('[1]Total P&amp;C'!$AL$45:$AN$45,'[1]Total P&amp;C'!$BJ$45)/1000/AH180</f>
        <v>0.16153917643689397</v>
      </c>
      <c r="AI191" s="28">
        <f>-SUM('[1]Total P&amp;C'!$AL$46:$AN$46,'[1]Total P&amp;C'!$BJ$46)/1000/AI180</f>
        <v>0.15517563375062399</v>
      </c>
      <c r="AJ191" s="28">
        <f>-SUM('[1]Total P&amp;C'!$AL$47:$AN$47,'[1]Total P&amp;C'!$BJ$47)/1000/AJ180</f>
        <v>0.14792480474771946</v>
      </c>
      <c r="AL191" s="202"/>
      <c r="AM191" s="9"/>
      <c r="AN191" s="39" t="s">
        <v>31</v>
      </c>
      <c r="AT191" s="20" t="e">
        <f>-SUM([2]Retail!$AL$45:$AN$45,[2]Retail!$BJ$45)/1000/AT180</f>
        <v>#DIV/0!</v>
      </c>
      <c r="AU191" s="42" t="e">
        <f>-SUM([2]Retail!$AL$46:$AN$46,[2]Retail!$BJ$46)/1000/AU180</f>
        <v>#DIV/0!</v>
      </c>
      <c r="AV191" s="42" t="e">
        <f>-SUM([2]Retail!$AL$47:$AN$47,[2]Retail!$BJ$47)/1000/AV180</f>
        <v>#DIV/0!</v>
      </c>
      <c r="AW191" s="8"/>
      <c r="AX191" s="20" t="e">
        <f>-SUM([2]SME!$AL$45:$AN$45,[2]SME!$BJ$45)/1000/AX180</f>
        <v>#DIV/0!</v>
      </c>
      <c r="AY191" s="20" t="e">
        <f>-SUM([2]SME!$AL$46:$AN$46,[2]SME!$BJ$46)/1000/AY180</f>
        <v>#DIV/0!</v>
      </c>
      <c r="AZ191" s="20" t="e">
        <f>-SUM([2]SME!$AL$47:$AN$47,[2]SME!$BJ$47)/1000/AZ180</f>
        <v>#DIV/0!</v>
      </c>
      <c r="BA191" s="8"/>
      <c r="BB191" s="20">
        <f>-SUM([2]MidCorp!$AL$45:$AN$45,[2]MidCorp!$BJ$45)/1000/BB180</f>
        <v>0.21025180254911197</v>
      </c>
      <c r="BC191" s="20">
        <f>-SUM([2]MidCorp!$AL$46:$AN$46,[2]MidCorp!$BJ$46)/1000/BC180</f>
        <v>0.21050558688047108</v>
      </c>
      <c r="BD191" s="20">
        <f>-SUM([2]MidCorp!$AL$47:$AN$47,[2]MidCorp!$BJ$47)/1000/BD180</f>
        <v>0.12542056772371679</v>
      </c>
      <c r="BJ191" s="20" t="e">
        <f>-SUM([2]Specials!$AL$45:$AN$45,[2]Specials!$BJ$45)/1000/BJ180</f>
        <v>#DIV/0!</v>
      </c>
      <c r="BK191" s="20" t="e">
        <f>-SUM([2]Specials!$AL$46:$AN$46,[2]Specials!$BJ$46)/1000/BK180</f>
        <v>#DIV/0!</v>
      </c>
      <c r="BL191" s="20" t="e">
        <f>-SUM([2]Specials!$AL$47:$AN$47,[2]Specials!$BJ$47)/1000/BL180</f>
        <v>#DIV/0!</v>
      </c>
      <c r="BM191" s="8"/>
      <c r="BN191" s="28">
        <f>-SUM('[2]Total P&amp;C'!$AL$45:$AN$45,'[2]Total P&amp;C'!$BJ$45)/1000/BN180</f>
        <v>0.21025180254911197</v>
      </c>
      <c r="BO191" s="28">
        <f>-SUM('[2]Total P&amp;C'!$AL$46:$AN$46,'[2]Total P&amp;C'!$BJ$46)/1000/BO180</f>
        <v>0.21050558688047108</v>
      </c>
      <c r="BP191" s="28">
        <f>-SUM('[2]Total P&amp;C'!$AL$47:$AN$47,'[2]Total P&amp;C'!$BJ$47)/1000/BP180</f>
        <v>0.12542056772371679</v>
      </c>
      <c r="BR191" s="28">
        <f>-SUM('[3]Total P&amp;C'!$AL$45:$AN$45,'[3]Total P&amp;C'!$BJ$45)/1000/BR180</f>
        <v>0.17464464849889555</v>
      </c>
      <c r="BS191" s="28">
        <f>-SUM('[3]Total P&amp;C'!$AL$46:$AN$46,'[3]Total P&amp;C'!$BJ$46)/1000/BS180</f>
        <v>0.17069651779488215</v>
      </c>
      <c r="BT191" s="28">
        <f>-SUM('[3]Total P&amp;C'!$AL$47:$AN$47,'[3]Total P&amp;C'!$BJ$47)/1000/BT180</f>
        <v>0.14257401948908532</v>
      </c>
    </row>
    <row r="192" spans="2:72" ht="16.5" hidden="1" customHeight="1" outlineLevel="1" x14ac:dyDescent="0.25">
      <c r="B192" s="202"/>
      <c r="C192" s="9"/>
      <c r="D192" s="39" t="s">
        <v>32</v>
      </c>
      <c r="J192" s="20" t="e">
        <f>-SUM([1]Retail!$AO$45:$AP$45)/1000/J180</f>
        <v>#DIV/0!</v>
      </c>
      <c r="K192" s="42" t="e">
        <f>-SUM([1]Retail!$AO$46:$AP$46)/1000/K180</f>
        <v>#DIV/0!</v>
      </c>
      <c r="L192" s="42" t="e">
        <f>-SUM([1]Retail!$AO$47:$AP$47)/1000/L180</f>
        <v>#DIV/0!</v>
      </c>
      <c r="M192" s="8"/>
      <c r="N192" s="20" t="e">
        <f>-SUM([1]SME!$AO$45:$AP$45)/1000/N180</f>
        <v>#DIV/0!</v>
      </c>
      <c r="O192" s="20" t="e">
        <f>-SUM([1]SME!$AO$46:$AP$46)/1000/O180</f>
        <v>#DIV/0!</v>
      </c>
      <c r="P192" s="20" t="e">
        <f>-SUM([1]SME!$AO$47:$AP$47)/1000/P180</f>
        <v>#DIV/0!</v>
      </c>
      <c r="Q192" s="8"/>
      <c r="R192" s="20">
        <f>-SUM([1]MidCorp!$AO$45:$AP$45)/1000/R180</f>
        <v>2.9656411258849286E-2</v>
      </c>
      <c r="S192" s="20">
        <f>-SUM([1]MidCorp!$AO$46:$AP$46)/1000/S180</f>
        <v>3.081585365393456E-2</v>
      </c>
      <c r="T192" s="20">
        <f>-SUM([1]MidCorp!$AO$47:$AP$47)/1000/T180</f>
        <v>3.3152904377682806E-2</v>
      </c>
      <c r="U192" s="8"/>
      <c r="V192" s="20" t="e">
        <f>-SUM([1]MGA!$AO$45:$AP$45)/1000/V180</f>
        <v>#DIV/0!</v>
      </c>
      <c r="W192" s="20" t="e">
        <f>-SUM([1]MGA!$AO$46:$AP$46)/1000/W180</f>
        <v>#DIV/0!</v>
      </c>
      <c r="X192" s="20" t="e">
        <f>-SUM([1]MGA!$AO$47:$AP$47)/1000/X180</f>
        <v>#DIV/0!</v>
      </c>
      <c r="Y192" s="8"/>
      <c r="Z192" s="20" t="e">
        <f>-SUM([1]Bancassurance!$AO$45:$AP$45)/1000/Z180</f>
        <v>#DIV/0!</v>
      </c>
      <c r="AA192" s="20" t="e">
        <f>-SUM([1]Bancassurance!$AO$46:$AP$46)/1000/AA180</f>
        <v>#DIV/0!</v>
      </c>
      <c r="AB192" s="20" t="e">
        <f>-SUM([1]Bancassurance!$AO$47:$AP$47)/1000/AB180</f>
        <v>#DIV/0!</v>
      </c>
      <c r="AC192" s="8"/>
      <c r="AD192" s="20" t="e">
        <f>-SUM([1]Specials!$AO$45:$AP$45)/1000/AD180</f>
        <v>#DIV/0!</v>
      </c>
      <c r="AE192" s="20" t="e">
        <f>-SUM([1]Specials!$AO$46:$AP$46)/1000/AE180</f>
        <v>#DIV/0!</v>
      </c>
      <c r="AF192" s="20" t="e">
        <f>-SUM([1]Specials!$AO$47:$AP$47)/1000/AF180</f>
        <v>#DIV/0!</v>
      </c>
      <c r="AG192" s="8"/>
      <c r="AH192" s="28">
        <f>-SUM('[1]Total P&amp;C'!$AO$45:$AP$45)/1000/AH180</f>
        <v>2.9656411258849286E-2</v>
      </c>
      <c r="AI192" s="28">
        <f>-SUM('[1]Total P&amp;C'!$AO$46:$AP$46)/1000/AI180</f>
        <v>3.081585365393456E-2</v>
      </c>
      <c r="AJ192" s="28">
        <f>-SUM('[1]Total P&amp;C'!$AO$47:$AP$47)/1000/AJ180</f>
        <v>3.3152904377682806E-2</v>
      </c>
      <c r="AL192" s="202"/>
      <c r="AM192" s="9"/>
      <c r="AN192" s="39" t="s">
        <v>32</v>
      </c>
      <c r="AT192" s="20" t="e">
        <f>-SUM([2]Retail!$AO$45:$AP$45)/1000/AT180</f>
        <v>#DIV/0!</v>
      </c>
      <c r="AU192" s="42" t="e">
        <f>-SUM([2]Retail!$AO$46:$AP$46)/1000/AU180</f>
        <v>#DIV/0!</v>
      </c>
      <c r="AV192" s="42" t="e">
        <f>-SUM([2]Retail!$AO$47:$AP$47)/1000/AV180</f>
        <v>#DIV/0!</v>
      </c>
      <c r="AW192" s="8"/>
      <c r="AX192" s="20" t="e">
        <f>-SUM([2]SME!$AO$45:$AP$45)/1000/AX180</f>
        <v>#DIV/0!</v>
      </c>
      <c r="AY192" s="20" t="e">
        <f>-SUM([2]SME!$AO$46:$AP$46)/1000/AY180</f>
        <v>#DIV/0!</v>
      </c>
      <c r="AZ192" s="20" t="e">
        <f>-SUM([2]SME!$AO$47:$AP$47)/1000/AZ180</f>
        <v>#DIV/0!</v>
      </c>
      <c r="BA192" s="8"/>
      <c r="BB192" s="20">
        <f>-SUM([2]MidCorp!$AO$45:$AP$45)/1000/BB180</f>
        <v>6.3611479468562507E-2</v>
      </c>
      <c r="BC192" s="20">
        <f>-SUM([2]MidCorp!$AO$46:$AP$46)/1000/BC180</f>
        <v>0.1193364678327019</v>
      </c>
      <c r="BD192" s="20">
        <f>-SUM([2]MidCorp!$AO$47:$AP$47)/1000/BD180</f>
        <v>6.7906380504213687E-2</v>
      </c>
      <c r="BJ192" s="20" t="e">
        <f>-SUM([2]Specials!$AO$45:$AP$45)/1000/BJ180</f>
        <v>#DIV/0!</v>
      </c>
      <c r="BK192" s="20" t="e">
        <f>-SUM([2]Specials!$AO$46:$AP$46)/1000/BK180</f>
        <v>#DIV/0!</v>
      </c>
      <c r="BL192" s="20" t="e">
        <f>-SUM([2]Specials!$AO$47:$AP$47)/1000/BL180</f>
        <v>#DIV/0!</v>
      </c>
      <c r="BM192" s="8"/>
      <c r="BN192" s="28">
        <f>-SUM('[2]Total P&amp;C'!$AO$45:$AP$45)/1000/BN180</f>
        <v>6.3611479468562507E-2</v>
      </c>
      <c r="BO192" s="28">
        <f>-SUM('[2]Total P&amp;C'!$AO$46:$AP$46)/1000/BO180</f>
        <v>0.1193364678327019</v>
      </c>
      <c r="BP192" s="28">
        <f>-SUM('[2]Total P&amp;C'!$AO$47:$AP$47)/1000/BP180</f>
        <v>6.7906380504213687E-2</v>
      </c>
      <c r="BR192" s="28">
        <f>-SUM('[3]Total P&amp;C'!$AO$45:$AP$45)/1000/BR180</f>
        <v>3.8791562313128865E-2</v>
      </c>
      <c r="BS192" s="28">
        <f>-SUM('[3]Total P&amp;C'!$AO$46:$AP$46)/1000/BS180</f>
        <v>5.5647217327257796E-2</v>
      </c>
      <c r="BT192" s="28">
        <f>-SUM('[3]Total P&amp;C'!$AO$47:$AP$47)/1000/BT180</f>
        <v>4.1416165538049846E-2</v>
      </c>
    </row>
    <row r="193" spans="2:72" ht="16.5" hidden="1" customHeight="1" outlineLevel="1" x14ac:dyDescent="0.25">
      <c r="B193" s="202"/>
      <c r="C193" s="9"/>
      <c r="D193" s="39" t="s">
        <v>33</v>
      </c>
      <c r="J193" s="20" t="e">
        <f>-SUM([1]Retail!$AQ$45:$AR$45)/1000/J180</f>
        <v>#DIV/0!</v>
      </c>
      <c r="K193" s="42" t="e">
        <f>-SUM([1]Retail!$AQ$46:$AR$46)/1000/K180</f>
        <v>#DIV/0!</v>
      </c>
      <c r="L193" s="42" t="e">
        <f>-SUM([1]Retail!$AQ$47:$AR$47)/1000/L180</f>
        <v>#DIV/0!</v>
      </c>
      <c r="M193" s="8"/>
      <c r="N193" s="20" t="e">
        <f>-SUM([1]SME!$AQ$45:$AR$45)/1000/N180</f>
        <v>#DIV/0!</v>
      </c>
      <c r="O193" s="20" t="e">
        <f>-SUM([1]SME!$AQ$46:$AR$46)/1000/O180</f>
        <v>#DIV/0!</v>
      </c>
      <c r="P193" s="20" t="e">
        <f>-SUM([1]SME!$AQ$47:$AR$47)/1000/P180</f>
        <v>#DIV/0!</v>
      </c>
      <c r="Q193" s="8"/>
      <c r="R193" s="20">
        <f>-SUM([1]MidCorp!$AQ$45:$AR$45)/1000/R180</f>
        <v>3.6113841582768889E-2</v>
      </c>
      <c r="S193" s="20">
        <f>-SUM([1]MidCorp!$AQ$46:$AR$46)/1000/S180</f>
        <v>3.2162217801096439E-2</v>
      </c>
      <c r="T193" s="20">
        <f>-SUM([1]MidCorp!$AQ$47:$AR$47)/1000/T180</f>
        <v>4.8227105409357013E-2</v>
      </c>
      <c r="U193" s="8"/>
      <c r="V193" s="20" t="e">
        <f>-SUM([1]MGA!$AQ$45:$AR$45)/1000/V180</f>
        <v>#DIV/0!</v>
      </c>
      <c r="W193" s="20" t="e">
        <f>-SUM([1]MGA!$AQ$46:$AR$46)/1000/W180</f>
        <v>#DIV/0!</v>
      </c>
      <c r="X193" s="20" t="e">
        <f>-SUM([1]MGA!$AQ$47:$AR$47)/1000/X180</f>
        <v>#DIV/0!</v>
      </c>
      <c r="Y193" s="8"/>
      <c r="Z193" s="20" t="e">
        <f>-SUM([1]Bancassurance!$AQ$45:$AR$45)/1000/Z180</f>
        <v>#DIV/0!</v>
      </c>
      <c r="AA193" s="20" t="e">
        <f>-SUM([1]Bancassurance!$AQ$46:$AR$46)/1000/AA180</f>
        <v>#DIV/0!</v>
      </c>
      <c r="AB193" s="20" t="e">
        <f>-SUM([1]Bancassurance!$AQ$47:$AR$47)/1000/AB180</f>
        <v>#DIV/0!</v>
      </c>
      <c r="AC193" s="8"/>
      <c r="AD193" s="20" t="e">
        <f>-SUM([1]Specials!$AQ$45:$AR$45)/1000/AD180</f>
        <v>#DIV/0!</v>
      </c>
      <c r="AE193" s="20" t="e">
        <f>-SUM([1]Specials!$AQ$46:$AR$46)/1000/AE180</f>
        <v>#DIV/0!</v>
      </c>
      <c r="AF193" s="20" t="e">
        <f>-SUM([1]Specials!$AQ$47:$AR$47)/1000/AF180</f>
        <v>#DIV/0!</v>
      </c>
      <c r="AG193" s="8"/>
      <c r="AH193" s="28">
        <f>-SUM('[1]Total P&amp;C'!$AQ$45:$AR$45)/1000/AH180</f>
        <v>3.6113841582768889E-2</v>
      </c>
      <c r="AI193" s="28">
        <f>-SUM('[1]Total P&amp;C'!$AQ$46:$AR$46)/1000/AI180</f>
        <v>3.2162217801096439E-2</v>
      </c>
      <c r="AJ193" s="28">
        <f>-SUM('[1]Total P&amp;C'!$AQ$47:$AR$47)/1000/AJ180</f>
        <v>4.8227105409357013E-2</v>
      </c>
      <c r="AL193" s="202"/>
      <c r="AM193" s="9"/>
      <c r="AN193" s="39" t="s">
        <v>33</v>
      </c>
      <c r="AT193" s="20" t="e">
        <f>-SUM([2]Retail!$AQ$45:$AR$45)/1000/AT180</f>
        <v>#DIV/0!</v>
      </c>
      <c r="AU193" s="42" t="e">
        <f>-SUM([2]Retail!$AQ$46:$AR$46)/1000/AU180</f>
        <v>#DIV/0!</v>
      </c>
      <c r="AV193" s="42" t="e">
        <f>-SUM([2]Retail!$AQ$47:$AR$47)/1000/AV180</f>
        <v>#DIV/0!</v>
      </c>
      <c r="AW193" s="8"/>
      <c r="AX193" s="20" t="e">
        <f>-SUM([2]SME!$AQ$45:$AR$45)/1000/AX180</f>
        <v>#DIV/0!</v>
      </c>
      <c r="AY193" s="20" t="e">
        <f>-SUM([2]SME!$AQ$46:$AR$46)/1000/AY180</f>
        <v>#DIV/0!</v>
      </c>
      <c r="AZ193" s="20" t="e">
        <f>-SUM([2]SME!$AQ$47:$AR$47)/1000/AZ180</f>
        <v>#DIV/0!</v>
      </c>
      <c r="BA193" s="8"/>
      <c r="BB193" s="20">
        <f>-SUM([2]MidCorp!$AQ$45:$AR$45)/1000/BB180</f>
        <v>0.10499172094719723</v>
      </c>
      <c r="BC193" s="20">
        <f>-SUM([2]MidCorp!$AQ$46:$AR$46)/1000/BC180</f>
        <v>0.17263730715634276</v>
      </c>
      <c r="BD193" s="20">
        <f>-SUM([2]MidCorp!$AQ$47:$AR$47)/1000/BD180</f>
        <v>0.12608912160942376</v>
      </c>
      <c r="BJ193" s="20" t="e">
        <f>-SUM([2]Specials!$AQ$45:$AR$45)/1000/BJ180</f>
        <v>#DIV/0!</v>
      </c>
      <c r="BK193" s="20" t="e">
        <f>-SUM([2]Specials!$AQ$46:$AR$46)/1000/BK180</f>
        <v>#DIV/0!</v>
      </c>
      <c r="BL193" s="20" t="e">
        <f>-SUM([2]Specials!$AQ$47:$AR$47)/1000/BL180</f>
        <v>#DIV/0!</v>
      </c>
      <c r="BM193" s="8"/>
      <c r="BN193" s="28">
        <f>-SUM('[2]Total P&amp;C'!$AQ$45:$AR$45)/1000/BN180</f>
        <v>0.10499172094719723</v>
      </c>
      <c r="BO193" s="28">
        <f>-SUM('[2]Total P&amp;C'!$AQ$46:$AR$46)/1000/BO180</f>
        <v>0.17263730715634276</v>
      </c>
      <c r="BP193" s="28">
        <f>-SUM('[2]Total P&amp;C'!$AQ$47:$AR$47)/1000/BP180</f>
        <v>0.12608912160942376</v>
      </c>
      <c r="BR193" s="28">
        <f>-SUM('[3]Total P&amp;C'!$AQ$45:$AR$45)/1000/BR180</f>
        <v>5.4644501819007402E-2</v>
      </c>
      <c r="BS193" s="28">
        <f>-SUM('[3]Total P&amp;C'!$AQ$46:$AR$46)/1000/BS180</f>
        <v>7.1567593183810174E-2</v>
      </c>
      <c r="BT193" s="28">
        <f>-SUM('[3]Total P&amp;C'!$AQ$47:$AR$47)/1000/BT180</f>
        <v>6.6740193768961786E-2</v>
      </c>
    </row>
    <row r="194" spans="2:72" ht="16.5" hidden="1" customHeight="1" outlineLevel="1" x14ac:dyDescent="0.25">
      <c r="B194" s="202"/>
      <c r="C194" s="9"/>
      <c r="D194" s="37" t="s">
        <v>34</v>
      </c>
      <c r="J194" s="19">
        <f>+[1]Retail!$BK$45/1000</f>
        <v>0</v>
      </c>
      <c r="K194" s="19">
        <f>+[1]Retail!$BK$46/1000</f>
        <v>0</v>
      </c>
      <c r="L194" s="19">
        <f>+[1]Retail!$BK$47/1000</f>
        <v>0</v>
      </c>
      <c r="M194" s="6"/>
      <c r="N194" s="19">
        <f>+[1]SME!$BK$45/1000</f>
        <v>-8.2054980000000041E-2</v>
      </c>
      <c r="O194" s="19">
        <f>+[1]SME!$BK$46/1000</f>
        <v>-0.12418120999999999</v>
      </c>
      <c r="P194" s="19">
        <f>+[1]SME!$BK$47/1000</f>
        <v>0</v>
      </c>
      <c r="Q194" s="6"/>
      <c r="R194" s="19">
        <f>+[1]MidCorp!$BK$45/1000</f>
        <v>1.1770711500000011</v>
      </c>
      <c r="S194" s="19">
        <f>+[1]MidCorp!$BK$46/1000</f>
        <v>4.1894114200000008</v>
      </c>
      <c r="T194" s="19">
        <f>+[1]MidCorp!$BK$47/1000</f>
        <v>1.7639310667034251</v>
      </c>
      <c r="U194" s="6"/>
      <c r="V194" s="19">
        <f>+[1]MGA!$BK$45/1000</f>
        <v>2.3092638912203255E-17</v>
      </c>
      <c r="W194" s="19">
        <f>+[1]MGA!$BK$46/1000</f>
        <v>0</v>
      </c>
      <c r="X194" s="19">
        <f>+[1]MGA!$BK$47/1000</f>
        <v>-8.8812571213669877E-3</v>
      </c>
      <c r="Y194" s="6"/>
      <c r="Z194" s="19">
        <f>+[1]Bancassurance!$BK$45/1000</f>
        <v>0</v>
      </c>
      <c r="AA194" s="19">
        <f>+[1]Bancassurance!$BK$46/1000</f>
        <v>0</v>
      </c>
      <c r="AB194" s="19">
        <f>+[1]Bancassurance!$BK$47/1000</f>
        <v>0</v>
      </c>
      <c r="AC194" s="6"/>
      <c r="AD194" s="19">
        <f>+[1]Specials!$BK$45/1000</f>
        <v>0</v>
      </c>
      <c r="AE194" s="19">
        <f>+[1]Specials!$BK$46/1000</f>
        <v>0</v>
      </c>
      <c r="AF194" s="19">
        <f>+[1]Specials!$BK$47/1000</f>
        <v>0</v>
      </c>
      <c r="AG194" s="6"/>
      <c r="AH194" s="27">
        <f>+'[1]Total P&amp;C'!$BK$45/1000</f>
        <v>1.0950161700000021</v>
      </c>
      <c r="AI194" s="27">
        <f>+'[1]Total P&amp;C'!$BK$46/1000</f>
        <v>4.065230210000002</v>
      </c>
      <c r="AJ194" s="27">
        <f>+'[1]Total P&amp;C'!$BK$47/1000</f>
        <v>1.7550498095820577</v>
      </c>
      <c r="AL194" s="202"/>
      <c r="AM194" s="9"/>
      <c r="AN194" s="37" t="s">
        <v>34</v>
      </c>
      <c r="AT194" s="19">
        <f>+[2]Retail!$BK$45/1000</f>
        <v>0</v>
      </c>
      <c r="AU194" s="19">
        <f>+[2]Retail!$BK$46/1000</f>
        <v>0</v>
      </c>
      <c r="AV194" s="19">
        <f>+[2]Retail!$BK$47/1000</f>
        <v>0</v>
      </c>
      <c r="AW194" s="6"/>
      <c r="AX194" s="19">
        <f>+[2]SME!$BK$45/1000</f>
        <v>-3.1311399999999988E-3</v>
      </c>
      <c r="AY194" s="19">
        <f>+[2]SME!$BK$46/1000</f>
        <v>3.8741019999999987E-2</v>
      </c>
      <c r="AZ194" s="19">
        <f>+[2]SME!$BK$47/1000</f>
        <v>0</v>
      </c>
      <c r="BA194" s="6"/>
      <c r="BB194" s="19">
        <f>+[2]MidCorp!$BK$45/1000</f>
        <v>-0.87655937000000106</v>
      </c>
      <c r="BC194" s="19">
        <f>+[2]MidCorp!$BK$46/1000</f>
        <v>-0.9441134000000001</v>
      </c>
      <c r="BD194" s="19">
        <f>+[2]MidCorp!$BK$47/1000</f>
        <v>0.15441646860514441</v>
      </c>
      <c r="BJ194" s="19">
        <f>+[2]Specials!$BK$45/1000</f>
        <v>0</v>
      </c>
      <c r="BK194" s="19">
        <f>+[2]Specials!$BK$46/1000</f>
        <v>0</v>
      </c>
      <c r="BL194" s="19">
        <f>+[2]Specials!$BK$47/1000</f>
        <v>0</v>
      </c>
      <c r="BM194" s="6"/>
      <c r="BN194" s="27">
        <f>+'[2]Total P&amp;C'!$BK$45/1000</f>
        <v>-0.87969051000000109</v>
      </c>
      <c r="BO194" s="27">
        <f>+'[2]Total P&amp;C'!$BK$46/1000</f>
        <v>-0.90537237999999998</v>
      </c>
      <c r="BP194" s="27">
        <f>+'[2]Total P&amp;C'!$BK$47/1000</f>
        <v>0.15441646860514441</v>
      </c>
      <c r="BR194" s="27">
        <f>+'[3]Total P&amp;C'!$BK$45/1000</f>
        <v>0.21532565999999864</v>
      </c>
      <c r="BS194" s="27">
        <f>+'[3]Total P&amp;C'!$BK$46/1000</f>
        <v>3.1598578300000022</v>
      </c>
      <c r="BT194" s="27">
        <f>+'[3]Total P&amp;C'!$BK$47/1000</f>
        <v>1.9094662781872027</v>
      </c>
    </row>
    <row r="195" spans="2:72" hidden="1" outlineLevel="1" x14ac:dyDescent="0.25">
      <c r="B195"/>
      <c r="C195"/>
      <c r="D195"/>
      <c r="J195" s="47"/>
      <c r="K195" s="47"/>
      <c r="L195" s="47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L195"/>
      <c r="AM195"/>
      <c r="AN195"/>
      <c r="AT195" s="47"/>
      <c r="AU195" s="47"/>
      <c r="AV195" s="47"/>
      <c r="AW195"/>
      <c r="AX195"/>
      <c r="AY195"/>
      <c r="AZ195"/>
      <c r="BA195"/>
      <c r="BB195"/>
      <c r="BC195"/>
      <c r="BD195"/>
      <c r="BJ195"/>
      <c r="BK195"/>
      <c r="BL195"/>
      <c r="BM195"/>
      <c r="BN195"/>
      <c r="BO195"/>
      <c r="BP195"/>
      <c r="BR195"/>
      <c r="BS195"/>
      <c r="BT195"/>
    </row>
    <row r="196" spans="2:72" ht="16.5" hidden="1" customHeight="1" outlineLevel="1" x14ac:dyDescent="0.25">
      <c r="B196" s="202" t="s">
        <v>45</v>
      </c>
      <c r="C196" s="9"/>
      <c r="D196" s="37" t="s">
        <v>19</v>
      </c>
      <c r="J196" s="19">
        <f>+[1]Retail!$C$53/1000</f>
        <v>0</v>
      </c>
      <c r="K196" s="19">
        <f>+[1]Retail!$C$54/1000</f>
        <v>0</v>
      </c>
      <c r="L196" s="19">
        <f>+[1]Retail!$C$55/1000</f>
        <v>0</v>
      </c>
      <c r="M196" s="6"/>
      <c r="N196" s="19">
        <f>+[1]SME!$C$53/1000</f>
        <v>0.40433286000000007</v>
      </c>
      <c r="O196" s="19">
        <f>+[1]SME!$C$54/1000</f>
        <v>0.37757544999999998</v>
      </c>
      <c r="P196" s="19">
        <f>+[1]SME!$C$55/1000</f>
        <v>0.37413000000000002</v>
      </c>
      <c r="Q196" s="6"/>
      <c r="R196" s="19">
        <f>+[1]MidCorp!$C$53/1000</f>
        <v>1.1140608300000001</v>
      </c>
      <c r="S196" s="19">
        <f>+[1]MidCorp!$C$54/1000</f>
        <v>1.2487556599999998</v>
      </c>
      <c r="T196" s="19">
        <f>+[1]MidCorp!$C$55/1000</f>
        <v>1.19591</v>
      </c>
      <c r="U196" s="6"/>
      <c r="V196" s="19">
        <f>+[1]MGA!$C$53/1000</f>
        <v>7.1004310000000001E-2</v>
      </c>
      <c r="W196" s="19">
        <f>+[1]MGA!$C$54/1000</f>
        <v>8.5579470000000019E-2</v>
      </c>
      <c r="X196" s="19">
        <f>+[1]MGA!$C$55/1000</f>
        <v>9.4920000000000004E-2</v>
      </c>
      <c r="Y196" s="6"/>
      <c r="Z196" s="19">
        <f>+[1]Bancassurance!$C$53/1000</f>
        <v>0</v>
      </c>
      <c r="AA196" s="19">
        <f>+[1]Bancassurance!$C$54/1000</f>
        <v>0</v>
      </c>
      <c r="AB196" s="19">
        <f>+[1]Bancassurance!$C$55/1000</f>
        <v>0</v>
      </c>
      <c r="AC196" s="6"/>
      <c r="AD196" s="19">
        <f>+[1]Specials!$C$53/1000</f>
        <v>0</v>
      </c>
      <c r="AE196" s="19">
        <f>+[1]Specials!$C$54/1000</f>
        <v>0</v>
      </c>
      <c r="AF196" s="19">
        <f>+[1]Specials!$C$55/1000</f>
        <v>0</v>
      </c>
      <c r="AG196" s="6"/>
      <c r="AH196" s="27">
        <f>+'[1]Total P&amp;C'!$C$53/1000</f>
        <v>1.5893980000000003</v>
      </c>
      <c r="AI196" s="27">
        <f>+'[1]Total P&amp;C'!$C$54/1000</f>
        <v>1.7119105799999998</v>
      </c>
      <c r="AJ196" s="27">
        <f>+'[1]Total P&amp;C'!$C$55/1000</f>
        <v>1.66496</v>
      </c>
      <c r="AL196" s="202" t="s">
        <v>45</v>
      </c>
      <c r="AM196" s="9"/>
      <c r="AN196" s="37" t="s">
        <v>19</v>
      </c>
      <c r="AT196" s="19">
        <f>+[2]Retail!$C$53/1000</f>
        <v>1.2185501199999993</v>
      </c>
      <c r="AU196" s="19">
        <f>+[2]Retail!$C$54/1000</f>
        <v>1.0235148199999993</v>
      </c>
      <c r="AV196" s="19">
        <f>+[2]Retail!$C$55/1000</f>
        <v>1.1549591886022801</v>
      </c>
      <c r="AW196" s="6"/>
      <c r="AX196" s="19">
        <f>+[2]SME!$C$53/1000</f>
        <v>0</v>
      </c>
      <c r="AY196" s="19">
        <f>+[2]SME!$C$54/1000</f>
        <v>2.0810886699999998</v>
      </c>
      <c r="AZ196" s="19">
        <f>+[2]SME!$C$55/1000</f>
        <v>0</v>
      </c>
      <c r="BA196" s="6"/>
      <c r="BB196" s="19">
        <f>+[2]MidCorp!$C$53/1000</f>
        <v>4.7522073000000074</v>
      </c>
      <c r="BC196" s="19">
        <f>+[2]MidCorp!$C$54/1000</f>
        <v>2.5081306899999984</v>
      </c>
      <c r="BD196" s="19">
        <f>+[2]MidCorp!$C$55/1000</f>
        <v>3.8220304784264103</v>
      </c>
      <c r="BJ196" s="19">
        <f>+[2]Specials!$C$53/1000</f>
        <v>0</v>
      </c>
      <c r="BK196" s="19">
        <f>+[2]Specials!$C$54/1000</f>
        <v>0</v>
      </c>
      <c r="BL196" s="19">
        <f>+[2]Specials!$C$55/1000</f>
        <v>0</v>
      </c>
      <c r="BM196" s="6"/>
      <c r="BN196" s="27">
        <f>+'[2]Total P&amp;C'!$C$53/1000</f>
        <v>5.9707574200000062</v>
      </c>
      <c r="BO196" s="27">
        <f>+'[2]Total P&amp;C'!$C$54/1000</f>
        <v>5.6127341799999977</v>
      </c>
      <c r="BP196" s="27">
        <f>+'[2]Total P&amp;C'!$C$55/1000</f>
        <v>4.9769896670286906</v>
      </c>
      <c r="BR196" s="27">
        <f>+'[3]Total P&amp;C'!$C$53/1000</f>
        <v>7.5601554200000072</v>
      </c>
      <c r="BS196" s="27">
        <f>+'[3]Total P&amp;C'!$C$54/1000</f>
        <v>7.3246447599999964</v>
      </c>
      <c r="BT196" s="27">
        <f>+'[3]Total P&amp;C'!$C$55/1000</f>
        <v>6.6419496670286904</v>
      </c>
    </row>
    <row r="197" spans="2:72" ht="16.5" hidden="1" customHeight="1" outlineLevel="1" x14ac:dyDescent="0.25">
      <c r="B197" s="202"/>
      <c r="C197" s="9"/>
      <c r="D197" s="37" t="s">
        <v>20</v>
      </c>
      <c r="J197" s="19">
        <f>+[1]Retail!$N$53/1000</f>
        <v>0</v>
      </c>
      <c r="K197" s="19">
        <f>+[1]Retail!$N$54/1000</f>
        <v>0</v>
      </c>
      <c r="L197" s="19">
        <f>+[1]Retail!$N$55/1000</f>
        <v>0</v>
      </c>
      <c r="M197" s="6"/>
      <c r="N197" s="19">
        <f>+[1]SME!$N$53/1000</f>
        <v>-0.41640734000000018</v>
      </c>
      <c r="O197" s="19">
        <f>+[1]SME!$N$54/1000</f>
        <v>0.18226884000000004</v>
      </c>
      <c r="P197" s="19">
        <f>+[1]SME!$N$55/1000</f>
        <v>0.16665027249864792</v>
      </c>
      <c r="Q197" s="6"/>
      <c r="R197" s="19">
        <f>+[1]MidCorp!$N$53/1000</f>
        <v>0.93034387000000007</v>
      </c>
      <c r="S197" s="19">
        <f>+[1]MidCorp!$N$54/1000</f>
        <v>0.38738824999999993</v>
      </c>
      <c r="T197" s="19">
        <f>+[1]MidCorp!$N$55/1000</f>
        <v>0.41826758347666482</v>
      </c>
      <c r="U197" s="6"/>
      <c r="V197" s="19">
        <f>+[1]MGA!$N$53/1000</f>
        <v>6.2240860000000023E-2</v>
      </c>
      <c r="W197" s="19">
        <f>+[1]MGA!$N$54/1000</f>
        <v>7.6919479999999971E-2</v>
      </c>
      <c r="X197" s="19">
        <f>+[1]MGA!$N$55/1000</f>
        <v>9.0644932800574465E-2</v>
      </c>
      <c r="Y197" s="6"/>
      <c r="Z197" s="19">
        <f>+[1]Bancassurance!$N$53/1000</f>
        <v>0</v>
      </c>
      <c r="AA197" s="19">
        <f>+[1]Bancassurance!$N$54/1000</f>
        <v>0</v>
      </c>
      <c r="AB197" s="19">
        <f>+[1]Bancassurance!$N$55/1000</f>
        <v>0</v>
      </c>
      <c r="AC197" s="6"/>
      <c r="AD197" s="19">
        <f>+[1]Specials!$N$53/1000</f>
        <v>0</v>
      </c>
      <c r="AE197" s="19">
        <f>+[1]Specials!$N$54/1000</f>
        <v>0</v>
      </c>
      <c r="AF197" s="19">
        <f>+[1]Specials!$N$55/1000</f>
        <v>0</v>
      </c>
      <c r="AG197" s="6"/>
      <c r="AH197" s="27">
        <f>+'[1]Total P&amp;C'!$N$53/1000</f>
        <v>0.57617738999999979</v>
      </c>
      <c r="AI197" s="27">
        <f>+'[1]Total P&amp;C'!$N$54/1000</f>
        <v>0.64657656999999991</v>
      </c>
      <c r="AJ197" s="27">
        <f>+'[1]Total P&amp;C'!$N$55/1000</f>
        <v>0.67556278877588716</v>
      </c>
      <c r="AL197" s="202"/>
      <c r="AM197" s="9"/>
      <c r="AN197" s="37" t="s">
        <v>20</v>
      </c>
      <c r="AT197" s="19">
        <f>+[2]Retail!$N$53/1000</f>
        <v>1.1005569900000001</v>
      </c>
      <c r="AU197" s="19">
        <f>+[2]Retail!$N$54/1000</f>
        <v>0.88749872000000063</v>
      </c>
      <c r="AV197" s="19">
        <f>+[2]Retail!$N$55/1000</f>
        <v>1.2191156129332839</v>
      </c>
      <c r="AW197" s="6"/>
      <c r="AX197" s="19">
        <f>+[2]SME!$N$53/1000</f>
        <v>0</v>
      </c>
      <c r="AY197" s="19">
        <f>+[2]SME!$N$54/1000</f>
        <v>1.6232626099999994</v>
      </c>
      <c r="AZ197" s="19">
        <f>+[2]SME!$N$55/1000</f>
        <v>0</v>
      </c>
      <c r="BA197" s="6"/>
      <c r="BB197" s="19">
        <f>+[2]MidCorp!$N$53/1000</f>
        <v>3.1121795000000074</v>
      </c>
      <c r="BC197" s="19">
        <f>+[2]MidCorp!$N$54/1000</f>
        <v>1.3471783799999995</v>
      </c>
      <c r="BD197" s="19">
        <f>+[2]MidCorp!$N$55/1000</f>
        <v>2.7833635930188678</v>
      </c>
      <c r="BJ197" s="19">
        <f>+[2]Specials!$N$53/1000</f>
        <v>0</v>
      </c>
      <c r="BK197" s="19">
        <f>+[2]Specials!$N$54/1000</f>
        <v>0</v>
      </c>
      <c r="BL197" s="19">
        <f>+[2]Specials!$N$55/1000</f>
        <v>0</v>
      </c>
      <c r="BM197" s="6"/>
      <c r="BN197" s="27">
        <f>+'[2]Total P&amp;C'!$N$53/1000</f>
        <v>4.2127364900000073</v>
      </c>
      <c r="BO197" s="27">
        <f>+'[2]Total P&amp;C'!$N$54/1000</f>
        <v>3.8579397099999992</v>
      </c>
      <c r="BP197" s="27">
        <f>+'[2]Total P&amp;C'!$N$55/1000</f>
        <v>4.0024792059521523</v>
      </c>
      <c r="BR197" s="27">
        <f>+'[3]Total P&amp;C'!$N$53/1000</f>
        <v>4.7889138800000071</v>
      </c>
      <c r="BS197" s="27">
        <f>+'[3]Total P&amp;C'!$N$54/1000</f>
        <v>4.5045162799999989</v>
      </c>
      <c r="BT197" s="27">
        <f>+'[3]Total P&amp;C'!$N$55/1000</f>
        <v>4.6780419947280389</v>
      </c>
    </row>
    <row r="198" spans="2:72" ht="16.5" hidden="1" customHeight="1" outlineLevel="1" x14ac:dyDescent="0.25">
      <c r="B198" s="202"/>
      <c r="C198" s="9"/>
      <c r="D198" s="37" t="s">
        <v>21</v>
      </c>
      <c r="J198" s="20" t="e">
        <f>+J199+J204+J205+J206+J207</f>
        <v>#DIV/0!</v>
      </c>
      <c r="K198" s="20" t="e">
        <f>+K199+K204+K205+K206+K207</f>
        <v>#DIV/0!</v>
      </c>
      <c r="L198" s="20" t="e">
        <f>+L199+L204+L205+L206+L207</f>
        <v>#DIV/0!</v>
      </c>
      <c r="M198" s="6"/>
      <c r="N198" s="20">
        <f>+N199+N204+N205+N206+N207</f>
        <v>8.0843915959790763E-2</v>
      </c>
      <c r="O198" s="20">
        <f>+O199+O204+O205+O206+O207</f>
        <v>-0.25962995101082559</v>
      </c>
      <c r="P198" s="20">
        <f>+P199+P204+P205+P206+P207</f>
        <v>0.74261305189328031</v>
      </c>
      <c r="Q198" s="6"/>
      <c r="R198" s="20">
        <f>+R199+R204+R205+R206+R207</f>
        <v>3.9546872061402311E-2</v>
      </c>
      <c r="S198" s="20">
        <f>+S199+S204+S205+S206+S207</f>
        <v>-0.21297494180579854</v>
      </c>
      <c r="T198" s="20">
        <f>+T199+T204+T205+T206+T207</f>
        <v>0.49375678409281021</v>
      </c>
      <c r="U198" s="6"/>
      <c r="V198" s="20">
        <f>+V199+V204+V205+V206+V207</f>
        <v>0.83449087946406886</v>
      </c>
      <c r="W198" s="20">
        <f>+W199+W204+W205+W206+W207</f>
        <v>0.4858353176594537</v>
      </c>
      <c r="X198" s="20">
        <f>+X199+X204+X205+X206+X207</f>
        <v>0.49963999126990216</v>
      </c>
      <c r="Y198" s="6"/>
      <c r="Z198" s="20" t="e">
        <f>+Z199+Z204+Z205+Z206+Z207</f>
        <v>#DIV/0!</v>
      </c>
      <c r="AA198" s="20" t="e">
        <f>+AA199+AA204+AA205+AA206+AA207</f>
        <v>#DIV/0!</v>
      </c>
      <c r="AB198" s="20" t="e">
        <f>+AB199+AB204+AB205+AB206+AB207</f>
        <v>#DIV/0!</v>
      </c>
      <c r="AC198" s="6"/>
      <c r="AD198" s="20" t="e">
        <f>+AD199+AD204+AD205+AD206+AD207</f>
        <v>#DIV/0!</v>
      </c>
      <c r="AE198" s="20" t="e">
        <f>+AE199+AE204+AE205+AE206+AE207</f>
        <v>#DIV/0!</v>
      </c>
      <c r="AF198" s="20" t="e">
        <f>+AF199+AF204+AF205+AF206+AF207</f>
        <v>#DIV/0!</v>
      </c>
      <c r="AG198" s="6"/>
      <c r="AH198" s="28">
        <f>+AH199+AH204+AH205+AH206+AH207</f>
        <v>9.4516933404832026E-2</v>
      </c>
      <c r="AI198" s="28">
        <f>+AI199+AI204+AI205+AI206+AI207</f>
        <v>-0.14082386251639184</v>
      </c>
      <c r="AJ198" s="28">
        <f>+AJ199+AJ204+AJ205+AJ206+AJ207</f>
        <v>0.55598173155838326</v>
      </c>
      <c r="AL198" s="202"/>
      <c r="AM198" s="9"/>
      <c r="AN198" s="37" t="s">
        <v>21</v>
      </c>
      <c r="AT198" s="20">
        <f>+AT199+AT204+AT205+AT206+AT207</f>
        <v>-0.75983947909866933</v>
      </c>
      <c r="AU198" s="20">
        <f>+AU199+AU204+AU205+AU206+AU207</f>
        <v>0.32513333653033277</v>
      </c>
      <c r="AV198" s="20">
        <f>+AV199+AV204+AV205+AV206+AV207</f>
        <v>0.74791325653187446</v>
      </c>
      <c r="AW198" s="6"/>
      <c r="AX198" s="20" t="e">
        <f>+AX199+AX204+AX205+AX206+AX207</f>
        <v>#DIV/0!</v>
      </c>
      <c r="AY198" s="20">
        <f>+AY199+AY204+AY205+AY206+AY207</f>
        <v>0.12941502422704154</v>
      </c>
      <c r="AZ198" s="20" t="e">
        <f>+AZ199+AZ204+AZ205+AZ206+AZ207</f>
        <v>#DIV/0!</v>
      </c>
      <c r="BA198" s="6"/>
      <c r="BB198" s="20">
        <f>+BB199+BB204+BB205+BB206+BB207</f>
        <v>-6.8589800170587939E-2</v>
      </c>
      <c r="BC198" s="20">
        <f>+BC199+BC204+BC205+BC206+BC207</f>
        <v>0.1227299090117538</v>
      </c>
      <c r="BD198" s="20">
        <f>+BD199+BD204+BD205+BD206+BD207</f>
        <v>0.41009386511507451</v>
      </c>
      <c r="BJ198" s="20" t="e">
        <f>+BJ199+BJ204+BJ205+BJ206+BJ207</f>
        <v>#DIV/0!</v>
      </c>
      <c r="BK198" s="20" t="e">
        <f>+BK199+BK204+BK205+BK206+BK207</f>
        <v>#DIV/0!</v>
      </c>
      <c r="BL198" s="20" t="e">
        <f>+BL199+BL204+BL205+BL206+BL207</f>
        <v>#DIV/0!</v>
      </c>
      <c r="BM198" s="6"/>
      <c r="BN198" s="28">
        <f>+BN199+BN204+BN205+BN206+BN207</f>
        <v>-0.2491754284873392</v>
      </c>
      <c r="BO198" s="28">
        <f>+BO199+BO204+BO205+BO206+BO207</f>
        <v>0.17210457392036393</v>
      </c>
      <c r="BP198" s="28">
        <f>+BP199+BP204+BP205+BP206+BP207</f>
        <v>0.51299031335030465</v>
      </c>
      <c r="BR198" s="28">
        <f>+BR199+BR204+BR205+BR206+BR207</f>
        <v>-0.20782413819477563</v>
      </c>
      <c r="BS198" s="28">
        <f>+BS199+BS204+BS205+BS206+BS207</f>
        <v>0.127186944032979</v>
      </c>
      <c r="BT198" s="28">
        <f>+BT199+BT204+BT205+BT206+BT207</f>
        <v>0.51919876603431458</v>
      </c>
    </row>
    <row r="199" spans="2:72" ht="16.5" hidden="1" customHeight="1" outlineLevel="1" x14ac:dyDescent="0.25">
      <c r="B199" s="202"/>
      <c r="C199" s="9"/>
      <c r="D199" s="37" t="s">
        <v>22</v>
      </c>
      <c r="J199" s="20" t="e">
        <f>+J200+J201+J202+J203</f>
        <v>#DIV/0!</v>
      </c>
      <c r="K199" s="20" t="e">
        <f>+K200+K201+K202+K203</f>
        <v>#DIV/0!</v>
      </c>
      <c r="L199" s="20" t="e">
        <f>+L200+L201+L202+L203</f>
        <v>#DIV/0!</v>
      </c>
      <c r="M199" s="6"/>
      <c r="N199" s="20">
        <f>+N200+N201+N202+N203</f>
        <v>-0.13006125204229105</v>
      </c>
      <c r="O199" s="20">
        <f>+O200+O201+O202+O203</f>
        <v>0.27033781528427997</v>
      </c>
      <c r="P199" s="20">
        <f>+P200+P201+P202+P203</f>
        <v>0.28387922204950639</v>
      </c>
      <c r="Q199" s="6"/>
      <c r="R199" s="20">
        <f>+R200+R201+R202+R203</f>
        <v>7.872525671610002E-2</v>
      </c>
      <c r="S199" s="20">
        <f>+S200+S201+S202+S203</f>
        <v>0.27986205053973634</v>
      </c>
      <c r="T199" s="20">
        <f>+T200+T201+T202+T203</f>
        <v>0.27718420984795727</v>
      </c>
      <c r="U199" s="6"/>
      <c r="V199" s="20">
        <f>+V200+V201+V202+V203</f>
        <v>4.6330336695219167E-2</v>
      </c>
      <c r="W199" s="20">
        <f>+W200+W201+W202+W203</f>
        <v>2.1975577578007558E-2</v>
      </c>
      <c r="X199" s="20">
        <f>+X200+X201+X202+X203</f>
        <v>0.14677287497998226</v>
      </c>
      <c r="Y199" s="6"/>
      <c r="Z199" s="20" t="e">
        <f>+Z200+Z201+Z202+Z203</f>
        <v>#DIV/0!</v>
      </c>
      <c r="AA199" s="20" t="e">
        <f>+AA200+AA201+AA202+AA203</f>
        <v>#DIV/0!</v>
      </c>
      <c r="AB199" s="20" t="e">
        <f>+AB200+AB201+AB202+AB203</f>
        <v>#DIV/0!</v>
      </c>
      <c r="AC199" s="6"/>
      <c r="AD199" s="20" t="e">
        <f>+AD200+AD201+AD202+AD203</f>
        <v>#DIV/0!</v>
      </c>
      <c r="AE199" s="20" t="e">
        <f>+AE200+AE201+AE202+AE203</f>
        <v>#DIV/0!</v>
      </c>
      <c r="AF199" s="20" t="e">
        <f>+AF200+AF201+AF202+AF203</f>
        <v>#DIV/0!</v>
      </c>
      <c r="AG199" s="6"/>
      <c r="AH199" s="28">
        <f>+AH200+AH201+AH202+AH203</f>
        <v>0.22613153910812095</v>
      </c>
      <c r="AI199" s="28">
        <f>+AI200+AI201+AI202+AI203</f>
        <v>0.24660616761909571</v>
      </c>
      <c r="AJ199" s="28">
        <f>+AJ200+AJ201+AJ202+AJ203</f>
        <v>0.26135292708011859</v>
      </c>
      <c r="AL199" s="202"/>
      <c r="AM199" s="9"/>
      <c r="AN199" s="37" t="s">
        <v>22</v>
      </c>
      <c r="AT199" s="20">
        <f>+AT200+AT201+AT202+AT203</f>
        <v>0.23911574992586251</v>
      </c>
      <c r="AU199" s="20">
        <f>+AU200+AU201+AU202+AU203</f>
        <v>0.27804923482030469</v>
      </c>
      <c r="AV199" s="20">
        <f>+AV200+AV201+AV202+AV203</f>
        <v>0.21467998733166055</v>
      </c>
      <c r="AW199" s="6"/>
      <c r="AX199" s="20" t="e">
        <f>+AX200+AX201+AX202+AX203</f>
        <v>#DIV/0!</v>
      </c>
      <c r="AY199" s="20">
        <f>+AY200+AY201+AY202+AY203</f>
        <v>0.11379906668336311</v>
      </c>
      <c r="AZ199" s="20" t="e">
        <f>+AZ200+AZ201+AZ202+AZ203</f>
        <v>#DIV/0!</v>
      </c>
      <c r="BA199" s="6"/>
      <c r="BB199" s="20">
        <f>+BB200+BB201+BB202+BB203</f>
        <v>0.22453809942517725</v>
      </c>
      <c r="BC199" s="20">
        <f>+BC200+BC201+BC202+BC203</f>
        <v>0.43013090070522086</v>
      </c>
      <c r="BD199" s="20">
        <f>+BD200+BD201+BD202+BD203</f>
        <v>0.21266094223018928</v>
      </c>
      <c r="BJ199" s="20" t="e">
        <f>+BJ200+BJ201+BJ202+BJ203</f>
        <v>#DIV/0!</v>
      </c>
      <c r="BK199" s="20" t="e">
        <f>+BK200+BK201+BK202+BK203</f>
        <v>#DIV/0!</v>
      </c>
      <c r="BL199" s="20" t="e">
        <f>+BL200+BL201+BL202+BL203</f>
        <v>#DIV/0!</v>
      </c>
      <c r="BM199" s="6"/>
      <c r="BN199" s="28">
        <f>+BN200+BN201+BN202+BN203</f>
        <v>0.22834643996448928</v>
      </c>
      <c r="BO199" s="28">
        <f>+BO200+BO201+BO202+BO203</f>
        <v>0.26204586800035817</v>
      </c>
      <c r="BP199" s="28">
        <f>+BP200+BP201+BP202+BP203</f>
        <v>0.21327592341554047</v>
      </c>
      <c r="BR199" s="28">
        <f>+BR200+BR201+BR202+BR203</f>
        <v>0.22807995453031585</v>
      </c>
      <c r="BS199" s="28">
        <f>+BS200+BS201+BS202+BS203</f>
        <v>0.25982965922369816</v>
      </c>
      <c r="BT199" s="28">
        <f>+BT200+BT201+BT202+BT203</f>
        <v>0.22021879282719467</v>
      </c>
    </row>
    <row r="200" spans="2:72" ht="16.5" hidden="1" customHeight="1" outlineLevel="1" x14ac:dyDescent="0.25">
      <c r="B200" s="202"/>
      <c r="C200" s="9"/>
      <c r="D200" s="38" t="s">
        <v>23</v>
      </c>
      <c r="J200" s="20" t="e">
        <f>-SUM([1]Retail!$O$53,[1]Retail!$R$53:$V$53,[1]Retail!$Y$53,[1]Retail!$AB$53,[1]Retail!$AU$53,[1]Retail!$AX$53,[1]Retail!$BA$53,[1]Retail!$BD$53)/1000/J197</f>
        <v>#DIV/0!</v>
      </c>
      <c r="K200" s="42" t="e">
        <f>-SUM([1]Retail!$O$54,[1]Retail!$R$54:$V$54,[1]Retail!$Y$54,[1]Retail!$AB$54,[1]Retail!$AU$54,[1]Retail!$AX$54,[1]Retail!$BA$54,[1]Retail!$BD$54)/1000/K197</f>
        <v>#DIV/0!</v>
      </c>
      <c r="L200" s="42" t="e">
        <f>-SUM([1]Retail!$O$55,[1]Retail!$R$55:$V$55,[1]Retail!$Y$55,[1]Retail!$AB$55,[1]Retail!$AU$55,[1]Retail!$AX$55,[1]Retail!$BA$55,[1]Retail!$BD$55)/1000/L197</f>
        <v>#DIV/0!</v>
      </c>
      <c r="M200" s="6"/>
      <c r="N200" s="20">
        <f>-SUM([1]SME!$O$53,[1]SME!$R$53:$V$53,[1]SME!$Y$53,[1]SME!$AB$53,[1]SME!$AU$53,[1]SME!$AX$53,[1]SME!$BA$53,[1]SME!$BD$53)/1000/N197</f>
        <v>-9.4514952594255394E-2</v>
      </c>
      <c r="O200" s="20">
        <f>-SUM([1]SME!$O$54,[1]SME!$R$54:$V$54,[1]SME!$Y$54,[1]SME!$AB$54,[1]SME!$AU$54,[1]SME!$AX$54,[1]SME!$BA$54,[1]SME!$BD$54)/1000/O197</f>
        <v>0.24691159498244453</v>
      </c>
      <c r="P200" s="20">
        <f>-SUM([1]SME!$O$55,[1]SME!$R$55:$V$55,[1]SME!$Y$55,[1]SME!$AB$55,[1]SME!$AU$55,[1]SME!$AX$55,[1]SME!$BA$55,[1]SME!$BD$55)/1000/P197</f>
        <v>0.25876185047195283</v>
      </c>
      <c r="Q200" s="6"/>
      <c r="R200" s="20">
        <f>-SUM([1]MidCorp!$O$53,[1]MidCorp!$R$53:$V$53,[1]MidCorp!$Y$53,[1]MidCorp!$AB$53,[1]MidCorp!$AU$53,[1]MidCorp!$AX$53,[1]MidCorp!$BA$53,[1]MidCorp!$BD$53)/1000/R197</f>
        <v>7.0845062912060663E-2</v>
      </c>
      <c r="S200" s="20">
        <f>-SUM([1]MidCorp!$O$54,[1]MidCorp!$R$54:$V$54,[1]MidCorp!$Y$54,[1]MidCorp!$AB$54,[1]MidCorp!$AU$54,[1]MidCorp!$AX$54,[1]MidCorp!$BA$54,[1]MidCorp!$BD$54)/1000/S197</f>
        <v>0.27004962076160033</v>
      </c>
      <c r="T200" s="20">
        <f>-SUM([1]MidCorp!$O$55,[1]MidCorp!$R$55:$V$55,[1]MidCorp!$Y$55,[1]MidCorp!$AB$55,[1]MidCorp!$AU$55,[1]MidCorp!$AX$55,[1]MidCorp!$BA$55,[1]MidCorp!$BD$55)/1000/T197</f>
        <v>0.23448690353338589</v>
      </c>
      <c r="U200" s="6"/>
      <c r="V200" s="20">
        <f>-SUM([1]MGA!$O$53,[1]MGA!$R$53:$V$53,[1]MGA!$Y$53,[1]MGA!$AB$53,[1]MGA!$AU$53,[1]MGA!$AX$53,[1]MGA!$BA$53,[1]MGA!$BD$53)/1000/V197</f>
        <v>1.6176993698351846E-2</v>
      </c>
      <c r="W200" s="20">
        <f>-SUM([1]MGA!$O$54,[1]MGA!$R$54:$V$54,[1]MGA!$Y$54,[1]MGA!$AB$54,[1]MGA!$AU$54,[1]MGA!$AX$54,[1]MGA!$BA$54,[1]MGA!$BD$54)/1000/W197</f>
        <v>9.3630378156482532E-4</v>
      </c>
      <c r="X200" s="20">
        <f>-SUM([1]MGA!$O$55,[1]MGA!$R$55:$V$55,[1]MGA!$Y$55,[1]MGA!$AB$55,[1]MGA!$AU$55,[1]MGA!$AX$55,[1]MGA!$BA$55,[1]MGA!$BD$55)/1000/X197</f>
        <v>0.12544823019432486</v>
      </c>
      <c r="Y200" s="6"/>
      <c r="Z200" s="20" t="e">
        <f>-SUM([1]Bancassurance!$O$53,[1]Bancassurance!$R$53:$V$53,[1]Bancassurance!$Y$53,[1]Bancassurance!$AB$53,[1]Bancassurance!$AU$53,[1]Bancassurance!$AX$53,[1]Bancassurance!$BA$53,[1]Bancassurance!$BD$53)/1000/Z197</f>
        <v>#DIV/0!</v>
      </c>
      <c r="AA200" s="20" t="e">
        <f>-SUM([1]Bancassurance!$O$54,[1]Bancassurance!$R$54:$V$54,[1]Bancassurance!$Y$54,[1]Bancassurance!$AB$54,[1]Bancassurance!$AU$54,[1]Bancassurance!$AX$54,[1]Bancassurance!$BA$54,[1]Bancassurance!$BD$54)/1000/AA197</f>
        <v>#DIV/0!</v>
      </c>
      <c r="AB200" s="20" t="e">
        <f>-SUM([1]Bancassurance!$O$55,[1]Bancassurance!$R$55:$V$55,[1]Bancassurance!$Y$55,[1]Bancassurance!$AB$55,[1]Bancassurance!$AU$55,[1]Bancassurance!$AX$55,[1]Bancassurance!$BA$55,[1]Bancassurance!$BD$55)/1000/AB197</f>
        <v>#DIV/0!</v>
      </c>
      <c r="AC200" s="6"/>
      <c r="AD200" s="20" t="e">
        <f>-SUM([1]Specials!$O$53,[1]Specials!$R$53:$V$53,[1]Specials!$Y$53,[1]Specials!$AB$53,[1]Specials!$AU$53,[1]Specials!$AX$53,[1]Specials!$BA$53,[1]Specials!$BD$53)/1000/AD197</f>
        <v>#DIV/0!</v>
      </c>
      <c r="AE200" s="20" t="e">
        <f>-SUM([1]Specials!$O$54,[1]Specials!$R$54:$V$54,[1]Specials!$Y$54,[1]Specials!$AB$54,[1]Specials!$AU$54,[1]Specials!$AX$54,[1]Specials!$BA$54,[1]Specials!$BD$54)/1000/AE197</f>
        <v>#DIV/0!</v>
      </c>
      <c r="AF200" s="20" t="e">
        <f>-SUM([1]Specials!$O$55,[1]Specials!$R$55:$V$55,[1]Specials!$Y$55,[1]Specials!$AB$55,[1]Specials!$AU$55,[1]Specials!$AX$55,[1]Specials!$BA$55,[1]Specials!$BD$55)/1000/AF197</f>
        <v>#DIV/0!</v>
      </c>
      <c r="AG200" s="6"/>
      <c r="AH200" s="28">
        <f>-SUM('[1]Total P&amp;C'!$O$53,'[1]Total P&amp;C'!$R$53:$V$53,'[1]Total P&amp;C'!$Y$53,'[1]Total P&amp;C'!$AB$53,'[1]Total P&amp;C'!$AU$53,'[1]Total P&amp;C'!$AX$53,'[1]Total P&amp;C'!$BA$53,'[1]Total P&amp;C'!$BD$53)/1000/AH197</f>
        <v>0.18445675211240076</v>
      </c>
      <c r="AI200" s="28">
        <f>-SUM('[1]Total P&amp;C'!$O$54,'[1]Total P&amp;C'!$R$54:$V$54,'[1]Total P&amp;C'!$Y$54,'[1]Total P&amp;C'!$AB$54,'[1]Total P&amp;C'!$AU$54,'[1]Total P&amp;C'!$AX$54,'[1]Total P&amp;C'!$BA$54,'[1]Total P&amp;C'!$BD$54)/1000/AI197</f>
        <v>0.2316165431110502</v>
      </c>
      <c r="AJ200" s="28">
        <f>-SUM('[1]Total P&amp;C'!$O$55,'[1]Total P&amp;C'!$R$55:$V$55,'[1]Total P&amp;C'!$Y$55,'[1]Total P&amp;C'!$AB$55,'[1]Total P&amp;C'!$AU$55,'[1]Total P&amp;C'!$AX$55,'[1]Total P&amp;C'!$BA$55,'[1]Total P&amp;C'!$BD$55)/1000/AJ197</f>
        <v>0.22586002050951368</v>
      </c>
      <c r="AL200" s="202"/>
      <c r="AM200" s="9"/>
      <c r="AN200" s="38" t="s">
        <v>23</v>
      </c>
      <c r="AT200" s="20">
        <f>-SUM([2]Retail!$O$53,[2]Retail!$R$53:$V$53,[2]Retail!$Y$53,[2]Retail!$AB$53,[2]Retail!$AU$53,[2]Retail!$AX$53,[2]Retail!$BA$53,[2]Retail!$BD$53)/1000/AT197</f>
        <v>0.21346691914609525</v>
      </c>
      <c r="AU200" s="42">
        <f>-SUM([2]Retail!$O$54,[2]Retail!$R$54:$V$54,[2]Retail!$Y$54,[2]Retail!$AB$54,[2]Retail!$AU$54,[2]Retail!$AX$54,[2]Retail!$BA$54,[2]Retail!$BD$54)/1000/AU197</f>
        <v>0.26068920978274746</v>
      </c>
      <c r="AV200" s="42">
        <f>-SUM([2]Retail!$O$55,[2]Retail!$R$55:$V$55,[2]Retail!$Y$55,[2]Retail!$AB$55,[2]Retail!$AU$55,[2]Retail!$AX$55,[2]Retail!$BA$55,[2]Retail!$BD$55)/1000/AV197</f>
        <v>0.19772033692516539</v>
      </c>
      <c r="AW200" s="6"/>
      <c r="AX200" s="20" t="e">
        <f>-SUM([2]SME!$O$53,[2]SME!$R$53:$V$53,[2]SME!$Y$53,[2]SME!$AB$53,[2]SME!$AU$53,[2]SME!$AX$53,[2]SME!$BA$53,[2]SME!$BD$53)/1000/AX197</f>
        <v>#DIV/0!</v>
      </c>
      <c r="AY200" s="20">
        <f>-SUM([2]SME!$O$54,[2]SME!$R$54:$V$54,[2]SME!$Y$54,[2]SME!$AB$54,[2]SME!$AU$54,[2]SME!$AX$54,[2]SME!$BA$54,[2]SME!$BD$54)/1000/AY197</f>
        <v>0.10794172730929842</v>
      </c>
      <c r="AZ200" s="20" t="e">
        <f>-SUM([2]SME!$O$55,[2]SME!$R$55:$V$55,[2]SME!$Y$55,[2]SME!$AB$55,[2]SME!$AU$55,[2]SME!$AX$55,[2]SME!$BA$55,[2]SME!$BD$55)/1000/AZ197</f>
        <v>#DIV/0!</v>
      </c>
      <c r="BA200" s="6"/>
      <c r="BB200" s="20">
        <f>-SUM([2]MidCorp!$O$53,[2]MidCorp!$R$53:$V$53,[2]MidCorp!$Y$53,[2]MidCorp!$AB$53,[2]MidCorp!$AU$53,[2]MidCorp!$AX$53,[2]MidCorp!$BA$53,[2]MidCorp!$BD$53)/1000/BB197</f>
        <v>0.17611134897585398</v>
      </c>
      <c r="BC200" s="20">
        <f>-SUM([2]MidCorp!$O$54,[2]MidCorp!$R$54:$V$54,[2]MidCorp!$Y$54,[2]MidCorp!$AB$54,[2]MidCorp!$AU$54,[2]MidCorp!$AX$54,[2]MidCorp!$BA$54,[2]MidCorp!$BD$54)/1000/BC197</f>
        <v>0.35407270268099184</v>
      </c>
      <c r="BD200" s="20">
        <f>-SUM([2]MidCorp!$O$55,[2]MidCorp!$R$55:$V$55,[2]MidCorp!$Y$55,[2]MidCorp!$AB$55,[2]MidCorp!$AU$55,[2]MidCorp!$AX$55,[2]MidCorp!$BA$55,[2]MidCorp!$BD$55)/1000/BD197</f>
        <v>0.16551212595250619</v>
      </c>
      <c r="BJ200" s="20" t="e">
        <f>-SUM([2]Specials!$O$53,[2]Specials!$R$53:$V$53,[2]Specials!$Y$53,[2]Specials!$AB$53,[2]Specials!$AU$53,[2]Specials!$AX$53,[2]Specials!$BA$53,[2]Specials!$BD$53)/1000/BJ197</f>
        <v>#DIV/0!</v>
      </c>
      <c r="BK200" s="20" t="e">
        <f>-SUM([2]Specials!$O$54,[2]Specials!$R$54:$V$54,[2]Specials!$Y$54,[2]Specials!$AB$54,[2]Specials!$AU$54,[2]Specials!$AX$54,[2]Specials!$BA$54,[2]Specials!$BD$54)/1000/BK197</f>
        <v>#DIV/0!</v>
      </c>
      <c r="BL200" s="20" t="e">
        <f>-SUM([2]Specials!$O$55,[2]Specials!$R$55:$V$55,[2]Specials!$Y$55,[2]Specials!$AB$55,[2]Specials!$AU$55,[2]Specials!$AX$55,[2]Specials!$BA$55,[2]Specials!$BD$55)/1000/BL197</f>
        <v>#DIV/0!</v>
      </c>
      <c r="BM200" s="6"/>
      <c r="BN200" s="28">
        <f>-SUM('[2]Total P&amp;C'!$O$53,'[2]Total P&amp;C'!$R$53:$V$53,'[2]Total P&amp;C'!$Y$53,'[2]Total P&amp;C'!$AB$53,'[2]Total P&amp;C'!$AU$53,'[2]Total P&amp;C'!$AX$53,'[2]Total P&amp;C'!$BA$53,'[2]Total P&amp;C'!$BD$53)/1000/BN197</f>
        <v>0.18587031063032347</v>
      </c>
      <c r="BO200" s="28">
        <f>-SUM('[2]Total P&amp;C'!$O$54,'[2]Total P&amp;C'!$R$54:$V$54,'[2]Total P&amp;C'!$Y$54,'[2]Total P&amp;C'!$AB$54,'[2]Total P&amp;C'!$AU$54,'[2]Total P&amp;C'!$AX$54,'[2]Total P&amp;C'!$BA$54,'[2]Total P&amp;C'!$BD$54)/1000/BO197</f>
        <v>0.22902851428956106</v>
      </c>
      <c r="BP200" s="28">
        <f>-SUM('[2]Total P&amp;C'!$O$55,'[2]Total P&amp;C'!$R$55:$V$55,'[2]Total P&amp;C'!$Y$55,'[2]Total P&amp;C'!$AB$55,'[2]Total P&amp;C'!$AU$55,'[2]Total P&amp;C'!$AX$55,'[2]Total P&amp;C'!$BA$55,'[2]Total P&amp;C'!$BD$55)/1000/BP197</f>
        <v>0.17532242872760254</v>
      </c>
      <c r="BR200" s="28">
        <f>-SUM('[3]Total P&amp;C'!$O$53,'[3]Total P&amp;C'!$R$53:$V$53,'[3]Total P&amp;C'!$Y$53,'[3]Total P&amp;C'!$AB$53,'[3]Total P&amp;C'!$AU$53,'[3]Total P&amp;C'!$AX$53,'[3]Total P&amp;C'!$BA$53,'[3]Total P&amp;C'!$BD$53)/1000/BR197</f>
        <v>0.18570023856849951</v>
      </c>
      <c r="BS200" s="28">
        <f>-SUM('[3]Total P&amp;C'!$O$54,'[3]Total P&amp;C'!$R$54:$V$54,'[3]Total P&amp;C'!$Y$54,'[3]Total P&amp;C'!$AB$54,'[3]Total P&amp;C'!$AU$54,'[3]Total P&amp;C'!$AX$54,'[3]Total P&amp;C'!$BA$54,'[3]Total P&amp;C'!$BD$54)/1000/BS197</f>
        <v>0.22939999897169877</v>
      </c>
      <c r="BT200" s="28">
        <f>-SUM('[3]Total P&amp;C'!$O$55,'[3]Total P&amp;C'!$R$55:$V$55,'[3]Total P&amp;C'!$Y$55,'[3]Total P&amp;C'!$AB$55,'[3]Total P&amp;C'!$AU$55,'[3]Total P&amp;C'!$AX$55,'[3]Total P&amp;C'!$BA$55,'[3]Total P&amp;C'!$BD$55)/1000/BT197</f>
        <v>0.1826206352167023</v>
      </c>
    </row>
    <row r="201" spans="2:72" ht="16.5" hidden="1" customHeight="1" outlineLevel="1" x14ac:dyDescent="0.25">
      <c r="B201" s="202"/>
      <c r="C201" s="9"/>
      <c r="D201" s="38" t="s">
        <v>24</v>
      </c>
      <c r="J201" s="20" t="e">
        <f>-([1]Retail!$P$53+[1]Retail!$W$53+[1]Retail!$AV$53+[1]Retail!$AY$53)/1000/J197</f>
        <v>#DIV/0!</v>
      </c>
      <c r="K201" s="42" t="e">
        <f>-([1]Retail!$P$54+[1]Retail!$W$54+[1]Retail!$AV$54+[1]Retail!$AY$54)/1000/K197</f>
        <v>#DIV/0!</v>
      </c>
      <c r="L201" s="42" t="e">
        <f>-([1]Retail!$P$55+[1]Retail!$W$55+[1]Retail!$AV$55+[1]Retail!$AY$55)/1000/L197</f>
        <v>#DIV/0!</v>
      </c>
      <c r="M201" s="7"/>
      <c r="N201" s="20">
        <f>-([1]SME!$P$53+[1]SME!$W$53+[1]SME!$AV$53+[1]SME!$AY$53)/1000/N197</f>
        <v>0</v>
      </c>
      <c r="O201" s="20">
        <f>-([1]SME!$P$54+[1]SME!$W$54+[1]SME!$AV$54+[1]SME!$AY$54)/1000/O197</f>
        <v>0</v>
      </c>
      <c r="P201" s="20">
        <f>-([1]SME!$P$55+[1]SME!$W$55+[1]SME!$AV$55+[1]SME!$AY$55)/1000/P197</f>
        <v>0</v>
      </c>
      <c r="Q201" s="7"/>
      <c r="R201" s="20">
        <f>-([1]MidCorp!$P$53+[1]MidCorp!$W$53+[1]MidCorp!$AV$53+[1]MidCorp!$AY$53)/1000/R197</f>
        <v>0</v>
      </c>
      <c r="S201" s="20">
        <f>-([1]MidCorp!$P$54+[1]MidCorp!$W$54+[1]MidCorp!$AV$54+[1]MidCorp!$AY$54)/1000/S197</f>
        <v>0</v>
      </c>
      <c r="T201" s="20">
        <f>-([1]MidCorp!$P$55+[1]MidCorp!$W$55+[1]MidCorp!$AV$55+[1]MidCorp!$AY$55)/1000/T197</f>
        <v>0</v>
      </c>
      <c r="U201" s="7"/>
      <c r="V201" s="20">
        <f>-([1]MGA!$P$53+[1]MGA!$W$53+[1]MGA!$AV$53+[1]MGA!$AY$53)/1000/V197</f>
        <v>0</v>
      </c>
      <c r="W201" s="20">
        <f>-([1]MGA!$P$54+[1]MGA!$W$54+[1]MGA!$AV$54+[1]MGA!$AY$54)/1000/W197</f>
        <v>0</v>
      </c>
      <c r="X201" s="20">
        <f>-([1]MGA!$P$55+[1]MGA!$W$55+[1]MGA!$AV$55+[1]MGA!$AY$55)/1000/X197</f>
        <v>0</v>
      </c>
      <c r="Y201" s="7"/>
      <c r="Z201" s="20" t="e">
        <f>-([1]Bancassurance!$P$53+[1]Bancassurance!$W$53+[1]Bancassurance!$AV$53+[1]Bancassurance!$AY$53)/1000/Z197</f>
        <v>#DIV/0!</v>
      </c>
      <c r="AA201" s="20" t="e">
        <f>-([1]Bancassurance!$P$54+[1]Bancassurance!$W$54+[1]Bancassurance!$AV$54+[1]Bancassurance!$AY$54)/1000/AA197</f>
        <v>#DIV/0!</v>
      </c>
      <c r="AB201" s="20" t="e">
        <f>-([1]Bancassurance!$P$55+[1]Bancassurance!$W$55+[1]Bancassurance!$AV$55+[1]Bancassurance!$AY$55)/1000/AB197</f>
        <v>#DIV/0!</v>
      </c>
      <c r="AC201" s="7"/>
      <c r="AD201" s="20" t="e">
        <f>-([1]Specials!$P$53+[1]Specials!$W$53+[1]Specials!$AV$53+[1]Specials!$AY$53)/1000/AD197</f>
        <v>#DIV/0!</v>
      </c>
      <c r="AE201" s="20" t="e">
        <f>-([1]Specials!$P$54+[1]Specials!$W$54+[1]Specials!$AV$54+[1]Specials!$AY$54)/1000/AE197</f>
        <v>#DIV/0!</v>
      </c>
      <c r="AF201" s="20" t="e">
        <f>-([1]Specials!$P$55+[1]Specials!$W$55+[1]Specials!$AV$55+[1]Specials!$AY$55)/1000/AF197</f>
        <v>#DIV/0!</v>
      </c>
      <c r="AG201" s="7"/>
      <c r="AH201" s="28">
        <f>-('[1]Total P&amp;C'!$P$53+'[1]Total P&amp;C'!$W$53+'[1]Total P&amp;C'!$AV$53+'[1]Total P&amp;C'!$AY$53)/1000/AH197</f>
        <v>0</v>
      </c>
      <c r="AI201" s="28">
        <f>-('[1]Total P&amp;C'!$P$54+'[1]Total P&amp;C'!$W$54+'[1]Total P&amp;C'!$AV$54+'[1]Total P&amp;C'!$AY$54)/1000/AI197</f>
        <v>0</v>
      </c>
      <c r="AJ201" s="28">
        <f>-('[1]Total P&amp;C'!$P$55+'[1]Total P&amp;C'!$W$55+'[1]Total P&amp;C'!$AV$55+'[1]Total P&amp;C'!$AY$55)/1000/AJ197</f>
        <v>0</v>
      </c>
      <c r="AL201" s="202"/>
      <c r="AM201" s="9"/>
      <c r="AN201" s="38" t="s">
        <v>24</v>
      </c>
      <c r="AT201" s="20">
        <f>-([2]Retail!$P$53+[2]Retail!$W$53+[2]Retail!$AV$53+[2]Retail!$AY$53)/1000/AT197</f>
        <v>0</v>
      </c>
      <c r="AU201" s="42">
        <f>-([2]Retail!$P$54+[2]Retail!$W$54+[2]Retail!$AV$54+[2]Retail!$AY$54)/1000/AU197</f>
        <v>0</v>
      </c>
      <c r="AV201" s="42">
        <f>-([2]Retail!$P$55+[2]Retail!$W$55+[2]Retail!$AV$55+[2]Retail!$AY$55)/1000/AV197</f>
        <v>0</v>
      </c>
      <c r="AW201" s="7"/>
      <c r="AX201" s="20" t="e">
        <f>-([2]SME!$P$53+[2]SME!$W$53+[2]SME!$AV$53+[2]SME!$AY$53)/1000/AX197</f>
        <v>#DIV/0!</v>
      </c>
      <c r="AY201" s="20">
        <f>-([2]SME!$P$54+[2]SME!$W$54+[2]SME!$AV$54+[2]SME!$AY$54)/1000/AY197</f>
        <v>0</v>
      </c>
      <c r="AZ201" s="20" t="e">
        <f>-([2]SME!$P$55+[2]SME!$W$55+[2]SME!$AV$55+[2]SME!$AY$55)/1000/AZ197</f>
        <v>#DIV/0!</v>
      </c>
      <c r="BA201" s="7"/>
      <c r="BB201" s="20">
        <f>-([2]MidCorp!$P$53+[2]MidCorp!$W$53+[2]MidCorp!$AV$53+[2]MidCorp!$AY$53)/1000/BB197</f>
        <v>0</v>
      </c>
      <c r="BC201" s="20">
        <f>-([2]MidCorp!$P$54+[2]MidCorp!$W$54+[2]MidCorp!$AV$54+[2]MidCorp!$AY$54)/1000/BC197</f>
        <v>0</v>
      </c>
      <c r="BD201" s="20">
        <f>-([2]MidCorp!$P$55+[2]MidCorp!$W$55+[2]MidCorp!$AV$55+[2]MidCorp!$AY$55)/1000/BD197</f>
        <v>0</v>
      </c>
      <c r="BJ201" s="20" t="e">
        <f>-([2]Specials!$P$53+[2]Specials!$W$53+[2]Specials!$AV$53+[2]Specials!$AY$53)/1000/BJ197</f>
        <v>#DIV/0!</v>
      </c>
      <c r="BK201" s="20" t="e">
        <f>-([2]Specials!$P$54+[2]Specials!$W$54+[2]Specials!$AV$54+[2]Specials!$AY$54)/1000/BK197</f>
        <v>#DIV/0!</v>
      </c>
      <c r="BL201" s="20" t="e">
        <f>-([2]Specials!$P$55+[2]Specials!$W$55+[2]Specials!$AV$55+[2]Specials!$AY$55)/1000/BL197</f>
        <v>#DIV/0!</v>
      </c>
      <c r="BM201" s="7"/>
      <c r="BN201" s="28">
        <f>-('[2]Total P&amp;C'!$P$53+'[2]Total P&amp;C'!$W$53+'[2]Total P&amp;C'!$AV$53+'[2]Total P&amp;C'!$AY$53)/1000/BN197</f>
        <v>0</v>
      </c>
      <c r="BO201" s="28">
        <f>-('[2]Total P&amp;C'!$P$54+'[2]Total P&amp;C'!$W$54+'[2]Total P&amp;C'!$AV$54+'[2]Total P&amp;C'!$AY$54)/1000/BO197</f>
        <v>0</v>
      </c>
      <c r="BP201" s="28">
        <f>-('[2]Total P&amp;C'!$P$55+'[2]Total P&amp;C'!$W$55+'[2]Total P&amp;C'!$AV$55+'[2]Total P&amp;C'!$AY$55)/1000/BP197</f>
        <v>0</v>
      </c>
      <c r="BR201" s="28">
        <f>-('[3]Total P&amp;C'!$P$53+'[3]Total P&amp;C'!$W$53+'[3]Total P&amp;C'!$AV$53+'[3]Total P&amp;C'!$AY$53)/1000/BR197</f>
        <v>0</v>
      </c>
      <c r="BS201" s="28">
        <f>-('[3]Total P&amp;C'!$P$54+'[3]Total P&amp;C'!$W$54+'[3]Total P&amp;C'!$AV$54+'[3]Total P&amp;C'!$AY$54)/1000/BS197</f>
        <v>0</v>
      </c>
      <c r="BT201" s="28">
        <f>-('[3]Total P&amp;C'!$P$55+'[3]Total P&amp;C'!$W$55+'[3]Total P&amp;C'!$AV$55+'[3]Total P&amp;C'!$AY$55)/1000/BT197</f>
        <v>0</v>
      </c>
    </row>
    <row r="202" spans="2:72" ht="16.5" hidden="1" customHeight="1" outlineLevel="1" x14ac:dyDescent="0.25">
      <c r="B202" s="202"/>
      <c r="C202" s="9"/>
      <c r="D202" s="38" t="s">
        <v>25</v>
      </c>
      <c r="J202" s="20" t="e">
        <f>-([1]Retail!$Q$53+[1]Retail!$X$53+[1]Retail!$AW$53+[1]Retail!$AZ$53)/1000/J197</f>
        <v>#DIV/0!</v>
      </c>
      <c r="K202" s="42" t="e">
        <f>-([1]Retail!$Q$54+[1]Retail!$X$54+[1]Retail!$AW$54+[1]Retail!$AZ$54)/1000/K197</f>
        <v>#DIV/0!</v>
      </c>
      <c r="L202" s="42" t="e">
        <f>-([1]Retail!$Q$55+[1]Retail!$X$55+[1]Retail!$AW$55+[1]Retail!$AZ$55)/1000/L197</f>
        <v>#DIV/0!</v>
      </c>
      <c r="M202" s="7"/>
      <c r="N202" s="20">
        <f>-([1]SME!$Q$53+[1]SME!$X$53+[1]SME!$AW$53+[1]SME!$AZ$53)/1000/N197</f>
        <v>0</v>
      </c>
      <c r="O202" s="20">
        <f>-([1]SME!$Q$54+[1]SME!$X$54+[1]SME!$AW$54+[1]SME!$AZ$54)/1000/O197</f>
        <v>0</v>
      </c>
      <c r="P202" s="20">
        <f>-([1]SME!$Q$55+[1]SME!$X$55+[1]SME!$AW$55+[1]SME!$AZ$55)/1000/P197</f>
        <v>0</v>
      </c>
      <c r="Q202" s="7"/>
      <c r="R202" s="20">
        <f>-([1]MidCorp!$Q$53+[1]MidCorp!$X$53+[1]MidCorp!$AW$53+[1]MidCorp!$AZ$53)/1000/R197</f>
        <v>0</v>
      </c>
      <c r="S202" s="20">
        <f>-([1]MidCorp!$Q$54+[1]MidCorp!$X$54+[1]MidCorp!$AW$54+[1]MidCorp!$AZ$54)/1000/S197</f>
        <v>0</v>
      </c>
      <c r="T202" s="20">
        <f>-([1]MidCorp!$Q$55+[1]MidCorp!$X$55+[1]MidCorp!$AW$55+[1]MidCorp!$AZ$55)/1000/T197</f>
        <v>0</v>
      </c>
      <c r="U202" s="7"/>
      <c r="V202" s="20">
        <f>-([1]MGA!$Q$53+[1]MGA!$X$53+[1]MGA!$AW$53+[1]MGA!$AZ$53)/1000/V197</f>
        <v>0</v>
      </c>
      <c r="W202" s="20">
        <f>-([1]MGA!$Q$54+[1]MGA!$X$54+[1]MGA!$AW$54+[1]MGA!$AZ$54)/1000/W197</f>
        <v>0</v>
      </c>
      <c r="X202" s="20">
        <f>-([1]MGA!$Q$55+[1]MGA!$X$55+[1]MGA!$AW$55+[1]MGA!$AZ$55)/1000/X197</f>
        <v>0</v>
      </c>
      <c r="Y202" s="7"/>
      <c r="Z202" s="20" t="e">
        <f>-([1]Bancassurance!$Q$53+[1]Bancassurance!$X$53+[1]Bancassurance!$AW$53+[1]Bancassurance!$AZ$53)/1000/Z197</f>
        <v>#DIV/0!</v>
      </c>
      <c r="AA202" s="20" t="e">
        <f>-([1]Bancassurance!$Q$54+[1]Bancassurance!$X$54+[1]Bancassurance!$AW$54+[1]Bancassurance!$AZ$54)/1000/AA197</f>
        <v>#DIV/0!</v>
      </c>
      <c r="AB202" s="20" t="e">
        <f>-([1]Bancassurance!$Q$55+[1]Bancassurance!$X$55+[1]Bancassurance!$AW$55+[1]Bancassurance!$AZ$55)/1000/AB197</f>
        <v>#DIV/0!</v>
      </c>
      <c r="AC202" s="7"/>
      <c r="AD202" s="20" t="e">
        <f>-([1]Specials!$Q$53+[1]Specials!$X$53+[1]Specials!$AW$53+[1]Specials!$AZ$53)/1000/AD197</f>
        <v>#DIV/0!</v>
      </c>
      <c r="AE202" s="20" t="e">
        <f>-([1]Specials!$Q$54+[1]Specials!$X$54+[1]Specials!$AW$54+[1]Specials!$AZ$54)/1000/AE197</f>
        <v>#DIV/0!</v>
      </c>
      <c r="AF202" s="20" t="e">
        <f>-([1]Specials!$Q$55+[1]Specials!$X$55+[1]Specials!$AW$55+[1]Specials!$AZ$55)/1000/AF197</f>
        <v>#DIV/0!</v>
      </c>
      <c r="AG202" s="7"/>
      <c r="AH202" s="28">
        <f>-('[1]Total P&amp;C'!$Q$53+'[1]Total P&amp;C'!$X$53+'[1]Total P&amp;C'!$AW$53+'[1]Total P&amp;C'!$AZ$53)/1000/AH197</f>
        <v>0</v>
      </c>
      <c r="AI202" s="28">
        <f>-('[1]Total P&amp;C'!$Q$54+'[1]Total P&amp;C'!$X$54+'[1]Total P&amp;C'!$AW$54+'[1]Total P&amp;C'!$AZ$54)/1000/AI197</f>
        <v>0</v>
      </c>
      <c r="AJ202" s="28">
        <f>-('[1]Total P&amp;C'!$Q$55+'[1]Total P&amp;C'!$X$55+'[1]Total P&amp;C'!$AW$55+'[1]Total P&amp;C'!$AZ$55)/1000/AJ197</f>
        <v>0</v>
      </c>
      <c r="AL202" s="202"/>
      <c r="AM202" s="9"/>
      <c r="AN202" s="38" t="s">
        <v>25</v>
      </c>
      <c r="AT202" s="20">
        <f>-([2]Retail!$Q$53+[2]Retail!$X$53+[2]Retail!$AW$53+[2]Retail!$AZ$53)/1000/AT197</f>
        <v>0</v>
      </c>
      <c r="AU202" s="42">
        <f>-([2]Retail!$Q$54+[2]Retail!$X$54+[2]Retail!$AW$54+[2]Retail!$AZ$54)/1000/AU197</f>
        <v>0</v>
      </c>
      <c r="AV202" s="42">
        <f>-([2]Retail!$Q$55+[2]Retail!$X$55+[2]Retail!$AW$55+[2]Retail!$AZ$55)/1000/AV197</f>
        <v>0</v>
      </c>
      <c r="AW202" s="7"/>
      <c r="AX202" s="20" t="e">
        <f>-([2]SME!$Q$53+[2]SME!$X$53+[2]SME!$AW$53+[2]SME!$AZ$53)/1000/AX197</f>
        <v>#DIV/0!</v>
      </c>
      <c r="AY202" s="20">
        <f>-([2]SME!$Q$54+[2]SME!$X$54+[2]SME!$AW$54+[2]SME!$AZ$54)/1000/AY197</f>
        <v>0</v>
      </c>
      <c r="AZ202" s="20" t="e">
        <f>-([2]SME!$Q$55+[2]SME!$X$55+[2]SME!$AW$55+[2]SME!$AZ$55)/1000/AZ197</f>
        <v>#DIV/0!</v>
      </c>
      <c r="BA202" s="7"/>
      <c r="BB202" s="20">
        <f>-([2]MidCorp!$Q$53+[2]MidCorp!$X$53+[2]MidCorp!$AW$53+[2]MidCorp!$AZ$53)/1000/BB197</f>
        <v>0</v>
      </c>
      <c r="BC202" s="20">
        <f>-([2]MidCorp!$Q$54+[2]MidCorp!$X$54+[2]MidCorp!$AW$54+[2]MidCorp!$AZ$54)/1000/BC197</f>
        <v>0</v>
      </c>
      <c r="BD202" s="20">
        <f>-([2]MidCorp!$Q$55+[2]MidCorp!$X$55+[2]MidCorp!$AW$55+[2]MidCorp!$AZ$55)/1000/BD197</f>
        <v>0</v>
      </c>
      <c r="BJ202" s="20" t="e">
        <f>-([2]Specials!$Q$53+[2]Specials!$X$53+[2]Specials!$AW$53+[2]Specials!$AZ$53)/1000/BJ197</f>
        <v>#DIV/0!</v>
      </c>
      <c r="BK202" s="20" t="e">
        <f>-([2]Specials!$Q$54+[2]Specials!$X$54+[2]Specials!$AW$54+[2]Specials!$AZ$54)/1000/BK197</f>
        <v>#DIV/0!</v>
      </c>
      <c r="BL202" s="20" t="e">
        <f>-([2]Specials!$Q$55+[2]Specials!$X$55+[2]Specials!$AW$55+[2]Specials!$AZ$55)/1000/BL197</f>
        <v>#DIV/0!</v>
      </c>
      <c r="BM202" s="7"/>
      <c r="BN202" s="28">
        <f>-('[2]Total P&amp;C'!$Q$53+'[2]Total P&amp;C'!$X$53+'[2]Total P&amp;C'!$AW$53+'[2]Total P&amp;C'!$AZ$53)/1000/BN197</f>
        <v>0</v>
      </c>
      <c r="BO202" s="28">
        <f>-('[2]Total P&amp;C'!$Q$54+'[2]Total P&amp;C'!$X$54+'[2]Total P&amp;C'!$AW$54+'[2]Total P&amp;C'!$AZ$54)/1000/BO197</f>
        <v>0</v>
      </c>
      <c r="BP202" s="28">
        <f>-('[2]Total P&amp;C'!$Q$55+'[2]Total P&amp;C'!$X$55+'[2]Total P&amp;C'!$AW$55+'[2]Total P&amp;C'!$AZ$55)/1000/BP197</f>
        <v>0</v>
      </c>
      <c r="BR202" s="28">
        <f>-('[3]Total P&amp;C'!$Q$53+'[3]Total P&amp;C'!$X$53+'[3]Total P&amp;C'!$AW$53+'[3]Total P&amp;C'!$AZ$53)/1000/BR197</f>
        <v>0</v>
      </c>
      <c r="BS202" s="28">
        <f>-('[3]Total P&amp;C'!$Q$54+'[3]Total P&amp;C'!$X$54+'[3]Total P&amp;C'!$AW$54+'[3]Total P&amp;C'!$AZ$54)/1000/BS197</f>
        <v>0</v>
      </c>
      <c r="BT202" s="28">
        <f>-('[3]Total P&amp;C'!$Q$55+'[3]Total P&amp;C'!$X$55+'[3]Total P&amp;C'!$AW$55+'[3]Total P&amp;C'!$AZ$55)/1000/BT197</f>
        <v>0</v>
      </c>
    </row>
    <row r="203" spans="2:72" ht="16.5" hidden="1" customHeight="1" outlineLevel="1" x14ac:dyDescent="0.25">
      <c r="B203" s="202"/>
      <c r="C203" s="9"/>
      <c r="D203" s="38" t="s">
        <v>26</v>
      </c>
      <c r="J203" s="20" t="e">
        <f>-[1]Retail!$AT$53/1000/J197</f>
        <v>#DIV/0!</v>
      </c>
      <c r="K203" s="42" t="e">
        <f>-[1]Retail!$AT$54/1000/K197</f>
        <v>#DIV/0!</v>
      </c>
      <c r="L203" s="42" t="e">
        <f>-[1]Retail!$AT$55/1000/L197</f>
        <v>#DIV/0!</v>
      </c>
      <c r="M203" s="7"/>
      <c r="N203" s="20">
        <f>-[1]SME!$AT$53/1000/N197</f>
        <v>-3.5546299448035647E-2</v>
      </c>
      <c r="O203" s="20">
        <f>-[1]SME!$AT$54/1000/O197</f>
        <v>2.342622030183546E-2</v>
      </c>
      <c r="P203" s="20">
        <f>-[1]SME!$AT$55/1000/P197</f>
        <v>2.5117371577553577E-2</v>
      </c>
      <c r="Q203" s="7"/>
      <c r="R203" s="20">
        <f>-[1]MidCorp!$AT$53/1000/R197</f>
        <v>7.8801938040393565E-3</v>
      </c>
      <c r="S203" s="20">
        <f>-[1]MidCorp!$AT$54/1000/S197</f>
        <v>9.8124297781360167E-3</v>
      </c>
      <c r="T203" s="20">
        <f>-[1]MidCorp!$AT$55/1000/T197</f>
        <v>4.2697306314571401E-2</v>
      </c>
      <c r="U203" s="7"/>
      <c r="V203" s="20">
        <f>-[1]MGA!$AT$53/1000/V197</f>
        <v>3.0153342996867321E-2</v>
      </c>
      <c r="W203" s="20">
        <f>-[1]MGA!$AT$54/1000/W197</f>
        <v>2.1039273796442732E-2</v>
      </c>
      <c r="X203" s="20">
        <f>-[1]MGA!$AT$55/1000/X197</f>
        <v>2.1324644785657414E-2</v>
      </c>
      <c r="Y203" s="7"/>
      <c r="Z203" s="20" t="e">
        <f>-[1]Bancassurance!$AT$53/1000/Z197</f>
        <v>#DIV/0!</v>
      </c>
      <c r="AA203" s="20" t="e">
        <f>-[1]Bancassurance!$AT$54/1000/AA197</f>
        <v>#DIV/0!</v>
      </c>
      <c r="AB203" s="20" t="e">
        <f>-[1]Bancassurance!$AT$55/1000/AB197</f>
        <v>#DIV/0!</v>
      </c>
      <c r="AC203" s="7"/>
      <c r="AD203" s="20" t="e">
        <f>-[1]Specials!$AT$53/1000/AD197</f>
        <v>#DIV/0!</v>
      </c>
      <c r="AE203" s="20" t="e">
        <f>-[1]Specials!$AT$54/1000/AE197</f>
        <v>#DIV/0!</v>
      </c>
      <c r="AF203" s="20" t="e">
        <f>-[1]Specials!$AT$55/1000/AF197</f>
        <v>#DIV/0!</v>
      </c>
      <c r="AG203" s="7"/>
      <c r="AH203" s="28">
        <f>-'[1]Total P&amp;C'!$AT$53/1000/AH197</f>
        <v>4.1674786995720192E-2</v>
      </c>
      <c r="AI203" s="28">
        <f>-'[1]Total P&amp;C'!$AT$54/1000/AI197</f>
        <v>1.4989624508045507E-2</v>
      </c>
      <c r="AJ203" s="28">
        <f>-'[1]Total P&amp;C'!$AT$55/1000/AJ197</f>
        <v>3.5492906570604901E-2</v>
      </c>
      <c r="AL203" s="202"/>
      <c r="AM203" s="9"/>
      <c r="AN203" s="38" t="s">
        <v>26</v>
      </c>
      <c r="AT203" s="20">
        <f>-[2]Retail!$AT$53/1000/AT197</f>
        <v>2.5648830779767252E-2</v>
      </c>
      <c r="AU203" s="42">
        <f>-[2]Retail!$AT$54/1000/AU197</f>
        <v>1.7360025037557226E-2</v>
      </c>
      <c r="AV203" s="42">
        <f>-[2]Retail!$AT$55/1000/AV197</f>
        <v>1.6959650406495167E-2</v>
      </c>
      <c r="AW203" s="7"/>
      <c r="AX203" s="20" t="e">
        <f>-[2]SME!$AT$53/1000/AX197</f>
        <v>#DIV/0!</v>
      </c>
      <c r="AY203" s="20">
        <f>-[2]SME!$AT$54/1000/AY197</f>
        <v>5.8573393740646825E-3</v>
      </c>
      <c r="AZ203" s="20" t="e">
        <f>-[2]SME!$AT$55/1000/AZ197</f>
        <v>#DIV/0!</v>
      </c>
      <c r="BA203" s="7"/>
      <c r="BB203" s="20">
        <f>-[2]MidCorp!$AT$53/1000/BB197</f>
        <v>4.8426750449323264E-2</v>
      </c>
      <c r="BC203" s="20">
        <f>-[2]MidCorp!$AT$54/1000/BC197</f>
        <v>7.6058198024229043E-2</v>
      </c>
      <c r="BD203" s="20">
        <f>-[2]MidCorp!$AT$55/1000/BD197</f>
        <v>4.7148816277683088E-2</v>
      </c>
      <c r="BJ203" s="20" t="e">
        <f>-[2]Specials!$AT$53/1000/BJ197</f>
        <v>#DIV/0!</v>
      </c>
      <c r="BK203" s="20" t="e">
        <f>-[2]Specials!$AT$54/1000/BK197</f>
        <v>#DIV/0!</v>
      </c>
      <c r="BL203" s="20" t="e">
        <f>-[2]Specials!$AT$55/1000/BL197</f>
        <v>#DIV/0!</v>
      </c>
      <c r="BM203" s="7"/>
      <c r="BN203" s="28">
        <f>-'[2]Total P&amp;C'!$AT$53/1000/BN197</f>
        <v>4.2476129334165814E-2</v>
      </c>
      <c r="BO203" s="28">
        <f>-'[2]Total P&amp;C'!$AT$54/1000/BO197</f>
        <v>3.3017353710797122E-2</v>
      </c>
      <c r="BP203" s="28">
        <f>-'[2]Total P&amp;C'!$AT$55/1000/BP197</f>
        <v>3.7953494687937933E-2</v>
      </c>
      <c r="BR203" s="28">
        <f>-'[3]Total P&amp;C'!$AT$53/1000/BR197</f>
        <v>4.2379715961816326E-2</v>
      </c>
      <c r="BS203" s="28">
        <f>-'[3]Total P&amp;C'!$AT$54/1000/BS197</f>
        <v>3.0429660251999373E-2</v>
      </c>
      <c r="BT203" s="28">
        <f>-'[3]Total P&amp;C'!$AT$55/1000/BT197</f>
        <v>3.7598157610492372E-2</v>
      </c>
    </row>
    <row r="204" spans="2:72" ht="16.5" hidden="1" customHeight="1" outlineLevel="1" x14ac:dyDescent="0.25">
      <c r="B204" s="202"/>
      <c r="C204" s="9"/>
      <c r="D204" s="37" t="s">
        <v>27</v>
      </c>
      <c r="J204" s="20" t="e">
        <f>-([1]Retail!$Z$53+[1]Retail!$AA$53+[1]Retail!$BB$53+[1]Retail!$BC$53)/1000/J197</f>
        <v>#DIV/0!</v>
      </c>
      <c r="K204" s="20" t="e">
        <f>-([1]Retail!$Z$54+[1]Retail!$AA$54+[1]Retail!$BB$54+[1]Retail!$BC$54)/1000/K197</f>
        <v>#DIV/0!</v>
      </c>
      <c r="L204" s="20" t="e">
        <f>-([1]Retail!$Z$55+[1]Retail!$AA$55+[1]Retail!$BB$55+[1]Retail!$BC$55)/1000/L197</f>
        <v>#DIV/0!</v>
      </c>
      <c r="M204" s="7"/>
      <c r="N204" s="20">
        <f>-([1]SME!$Z$53+[1]SME!$AA$53+[1]SME!$BB$53+[1]SME!$BC$53)/1000/N197</f>
        <v>6.2657877260280746E-3</v>
      </c>
      <c r="O204" s="20">
        <f>-([1]SME!$Z$54+[1]SME!$AA$54+[1]SME!$BB$54+[1]SME!$BC$54)/1000/O197</f>
        <v>-1.6015189431172104E-2</v>
      </c>
      <c r="P204" s="20">
        <f>-([1]SME!$Z$55+[1]SME!$AA$55+[1]SME!$BB$55+[1]SME!$BC$55)/1000/P197</f>
        <v>-1.0856896557384232E-2</v>
      </c>
      <c r="Q204" s="7"/>
      <c r="R204" s="20">
        <f>-([1]MidCorp!$Z$53+[1]MidCorp!$AA$53+[1]MidCorp!$BB$53+[1]MidCorp!$BC$53)/1000/R197</f>
        <v>-4.6942642831623105E-3</v>
      </c>
      <c r="S204" s="20">
        <f>-([1]MidCorp!$Z$54+[1]MidCorp!$AA$54+[1]MidCorp!$BB$54+[1]MidCorp!$BC$54)/1000/S197</f>
        <v>-1.6630860641746365E-2</v>
      </c>
      <c r="T204" s="20">
        <f>-([1]MidCorp!$Z$55+[1]MidCorp!$AA$55+[1]MidCorp!$BB$55+[1]MidCorp!$BC$55)/1000/T197</f>
        <v>-1.0103744435079083E-2</v>
      </c>
      <c r="U204" s="7"/>
      <c r="V204" s="20">
        <f>-([1]MGA!$Z$53+[1]MGA!$AA$53+[1]MGA!$BB$53+[1]MGA!$BC$53)/1000/V197</f>
        <v>-7.5272096176048908E-4</v>
      </c>
      <c r="W204" s="20">
        <f>-([1]MGA!$Z$54+[1]MGA!$AA$54+[1]MGA!$BB$54+[1]MGA!$BC$54)/1000/W197</f>
        <v>-1.2480583592088775E-5</v>
      </c>
      <c r="X204" s="20">
        <f>-([1]MGA!$Z$55+[1]MGA!$AA$55+[1]MGA!$BB$55+[1]MGA!$BC$55)/1000/X197</f>
        <v>-5.5886740973519642E-3</v>
      </c>
      <c r="Y204" s="7"/>
      <c r="Z204" s="20" t="e">
        <f>-([1]Bancassurance!$Z$53+[1]Bancassurance!$AA$53+[1]Bancassurance!$BB$53+[1]Bancassurance!$BC$53)/1000/Z197</f>
        <v>#DIV/0!</v>
      </c>
      <c r="AA204" s="20" t="e">
        <f>-([1]Bancassurance!$Z$54+[1]Bancassurance!$AA$54+[1]Bancassurance!$BB$54+[1]Bancassurance!$BC$54)/1000/AA197</f>
        <v>#DIV/0!</v>
      </c>
      <c r="AB204" s="20" t="e">
        <f>-([1]Bancassurance!$Z$55+[1]Bancassurance!$AA$55+[1]Bancassurance!$BB$55+[1]Bancassurance!$BC$55)/1000/AB197</f>
        <v>#DIV/0!</v>
      </c>
      <c r="AC204" s="7"/>
      <c r="AD204" s="20" t="e">
        <f>-([1]Specials!$Z$53+[1]Specials!$AA$53+[1]Specials!$BB$53+[1]Specials!$BC$53)/1000/AD197</f>
        <v>#DIV/0!</v>
      </c>
      <c r="AE204" s="20" t="e">
        <f>-([1]Specials!$Z$54+[1]Specials!$AA$54+[1]Specials!$BB$54+[1]Specials!$BC$54)/1000/AE197</f>
        <v>#DIV/0!</v>
      </c>
      <c r="AF204" s="20" t="e">
        <f>-([1]Specials!$Z$55+[1]Specials!$AA$55+[1]Specials!$BB$55+[1]Specials!$BC$55)/1000/AF197</f>
        <v>#DIV/0!</v>
      </c>
      <c r="AG204" s="7"/>
      <c r="AH204" s="28">
        <f>-('[1]Total P&amp;C'!$Z$53+'[1]Total P&amp;C'!$AA$53+'[1]Total P&amp;C'!$BB$53+'[1]Total P&amp;C'!$BC$53)/1000/AH197</f>
        <v>-1.2189388410399101E-2</v>
      </c>
      <c r="AI204" s="28">
        <f>-('[1]Total P&amp;C'!$Z$54+'[1]Total P&amp;C'!$AA$54+'[1]Total P&amp;C'!$BB$54+'[1]Total P&amp;C'!$BC$54)/1000/AI197</f>
        <v>-1.4485059364276071E-2</v>
      </c>
      <c r="AJ204" s="28">
        <f>-('[1]Total P&amp;C'!$Z$55+'[1]Total P&amp;C'!$AA$55+'[1]Total P&amp;C'!$BB$55+'[1]Total P&amp;C'!$BC$55)/1000/AJ197</f>
        <v>-9.6837165033272256E-3</v>
      </c>
      <c r="AL204" s="202"/>
      <c r="AM204" s="9"/>
      <c r="AN204" s="37" t="s">
        <v>27</v>
      </c>
      <c r="AT204" s="20">
        <f>-([2]Retail!$Z$53+[2]Retail!$AA$53+[2]Retail!$BB$53+[2]Retail!$BC$53)/1000/AT197</f>
        <v>-8.1863366294188927E-3</v>
      </c>
      <c r="AU204" s="20">
        <f>-([2]Retail!$Z$54+[2]Retail!$AA$54+[2]Retail!$BB$54+[2]Retail!$BC$54)/1000/AU197</f>
        <v>-2.1747321505996071E-2</v>
      </c>
      <c r="AV204" s="20">
        <f>-([2]Retail!$Z$55+[2]Retail!$AA$55+[2]Retail!$BB$55+[2]Retail!$BC$55)/1000/AV197</f>
        <v>-5.545295729120125E-3</v>
      </c>
      <c r="AW204" s="7"/>
      <c r="AX204" s="20" t="e">
        <f>-([2]SME!$Z$53+[2]SME!$AA$53+[2]SME!$BB$53+[2]SME!$BC$53)/1000/AX197</f>
        <v>#DIV/0!</v>
      </c>
      <c r="AY204" s="20">
        <f>-([2]SME!$Z$54+[2]SME!$AA$54+[2]SME!$BB$54+[2]SME!$BC$54)/1000/AY197</f>
        <v>-6.6623231098756125E-3</v>
      </c>
      <c r="AZ204" s="20" t="e">
        <f>-([2]SME!$Z$55+[2]SME!$AA$55+[2]SME!$BB$55+[2]SME!$BC$55)/1000/AZ197</f>
        <v>#DIV/0!</v>
      </c>
      <c r="BA204" s="7"/>
      <c r="BB204" s="20">
        <f>-([2]MidCorp!$Z$53+[2]MidCorp!$AA$53+[2]MidCorp!$BB$53+[2]MidCorp!$BC$53)/1000/BB197</f>
        <v>-9.1743037315167517E-3</v>
      </c>
      <c r="BC204" s="20">
        <f>-([2]MidCorp!$Z$54+[2]MidCorp!$AA$54+[2]MidCorp!$BB$54+[2]MidCorp!$BC$54)/1000/BC197</f>
        <v>-2.1679244882181089E-2</v>
      </c>
      <c r="BD204" s="20">
        <f>-([2]MidCorp!$Z$55+[2]MidCorp!$AA$55+[2]MidCorp!$BB$55+[2]MidCorp!$BC$55)/1000/BD197</f>
        <v>-4.9980715639119117E-3</v>
      </c>
      <c r="BJ204" s="20" t="e">
        <f>-([2]Specials!$Z$53+[2]Specials!$AA$53+[2]Specials!$BB$53+[2]Specials!$BC$53)/1000/BJ197</f>
        <v>#DIV/0!</v>
      </c>
      <c r="BK204" s="20" t="e">
        <f>-([2]Specials!$Z$54+[2]Specials!$AA$54+[2]Specials!$BB$54+[2]Specials!$BC$54)/1000/BK197</f>
        <v>#DIV/0!</v>
      </c>
      <c r="BL204" s="20" t="e">
        <f>-([2]Specials!$Z$55+[2]Specials!$AA$55+[2]Specials!$BB$55+[2]Specials!$BC$55)/1000/BL197</f>
        <v>#DIV/0!</v>
      </c>
      <c r="BM204" s="7"/>
      <c r="BN204" s="28">
        <f>-('[2]Total P&amp;C'!$Z$53+'[2]Total P&amp;C'!$AA$53+'[2]Total P&amp;C'!$BB$53+'[2]Total P&amp;C'!$BC$53)/1000/BN197</f>
        <v>-8.9162021145072698E-3</v>
      </c>
      <c r="BO204" s="28">
        <f>-('[2]Total P&amp;C'!$Z$54+'[2]Total P&amp;C'!$AA$54+'[2]Total P&amp;C'!$BB$54+'[2]Total P&amp;C'!$BC$54)/1000/BO197</f>
        <v>-1.5376401514579401E-2</v>
      </c>
      <c r="BP204" s="28">
        <f>-('[2]Total P&amp;C'!$Z$55+'[2]Total P&amp;C'!$AA$55+'[2]Total P&amp;C'!$BB$55+'[2]Total P&amp;C'!$BC$55)/1000/BP197</f>
        <v>-5.164750636869395E-3</v>
      </c>
      <c r="BR204" s="28">
        <f>-('[3]Total P&amp;C'!$Z$53+'[3]Total P&amp;C'!$AA$53+'[3]Total P&amp;C'!$BB$53+'[3]Total P&amp;C'!$BC$53)/1000/BR197</f>
        <v>-9.310014988200192E-3</v>
      </c>
      <c r="BS204" s="28">
        <f>-('[3]Total P&amp;C'!$Z$54+'[3]Total P&amp;C'!$AA$54+'[3]Total P&amp;C'!$BB$54+'[3]Total P&amp;C'!$BC$54)/1000/BS197</f>
        <v>-1.5248458598089473E-2</v>
      </c>
      <c r="BT204" s="28">
        <f>-('[3]Total P&amp;C'!$Z$55+'[3]Total P&amp;C'!$AA$55+'[3]Total P&amp;C'!$BB$55+'[3]Total P&amp;C'!$BC$55)/1000/BT197</f>
        <v>-5.8173410126222697E-3</v>
      </c>
    </row>
    <row r="205" spans="2:72" ht="16.5" hidden="1" customHeight="1" outlineLevel="1" x14ac:dyDescent="0.25">
      <c r="B205" s="202"/>
      <c r="C205" s="9"/>
      <c r="D205" s="37" t="s">
        <v>28</v>
      </c>
      <c r="J205" s="20" t="e">
        <f>-SUM([1]Retail!$AC$53:$AI$53,[1]Retail!$BE$53:$BG$53)/1000/J197</f>
        <v>#DIV/0!</v>
      </c>
      <c r="K205" s="20" t="e">
        <f>-SUM([1]Retail!$AC$54:$AI$54,[1]Retail!$BE$54:$BG$54)/1000/K197</f>
        <v>#DIV/0!</v>
      </c>
      <c r="L205" s="20" t="e">
        <f>-SUM([1]Retail!$AC$55:$AI$55,[1]Retail!$BE$55:$BG$55)/1000/L197</f>
        <v>#DIV/0!</v>
      </c>
      <c r="M205" s="7"/>
      <c r="N205" s="20">
        <f>-SUM([1]SME!$AC$53:$AI$53,[1]SME!$BE$53:$BG$53)/1000/N197</f>
        <v>0.14043880686637264</v>
      </c>
      <c r="O205" s="20">
        <f>-SUM([1]SME!$AC$54:$AI$54,[1]SME!$BE$54:$BG$54)/1000/O197</f>
        <v>-0.86777432719712244</v>
      </c>
      <c r="P205" s="20">
        <f>-SUM([1]SME!$AC$55:$AI$55,[1]SME!$BE$55:$BG$55)/1000/P197</f>
        <v>-4.6194783245500359E-3</v>
      </c>
      <c r="Q205" s="7"/>
      <c r="R205" s="20">
        <f>-SUM([1]MidCorp!$AC$53:$AI$53,[1]MidCorp!$BE$53:$BG$53)/1000/R197</f>
        <v>-0.24906576747799708</v>
      </c>
      <c r="S205" s="20">
        <f>-SUM([1]MidCorp!$AC$54:$AI$54,[1]MidCorp!$BE$54:$BG$54)/1000/S197</f>
        <v>-0.74524245379151299</v>
      </c>
      <c r="T205" s="20">
        <f>-SUM([1]MidCorp!$AC$55:$AI$55,[1]MidCorp!$BE$55:$BG$55)/1000/T197</f>
        <v>-4.2990147566392507E-3</v>
      </c>
      <c r="U205" s="7"/>
      <c r="V205" s="20">
        <f>-SUM([1]MGA!$AC$53:$AI$53,[1]MGA!$BE$53:$BG$53)/1000/V197</f>
        <v>0.39909650991326262</v>
      </c>
      <c r="W205" s="20">
        <f>-SUM([1]MGA!$AC$54:$AI$54,[1]MGA!$BE$54:$BG$54)/1000/W197</f>
        <v>4.5735098573209183E-2</v>
      </c>
      <c r="X205" s="20">
        <f>-SUM([1]MGA!$AC$55:$AI$55,[1]MGA!$BE$55:$BG$55)/1000/X197</f>
        <v>-2.9958042129850825E-2</v>
      </c>
      <c r="Y205" s="7"/>
      <c r="Z205" s="20" t="e">
        <f>-SUM([1]Bancassurance!$AC$53:$AI$53,[1]Bancassurance!$BE$53:$BG$53)/1000/Z197</f>
        <v>#DIV/0!</v>
      </c>
      <c r="AA205" s="20" t="e">
        <f>-SUM([1]Bancassurance!$AC$54:$AI$54,[1]Bancassurance!$BE$54:$BG$54)/1000/AA197</f>
        <v>#DIV/0!</v>
      </c>
      <c r="AB205" s="20" t="e">
        <f>-SUM([1]Bancassurance!$AC$55:$AI$55,[1]Bancassurance!$BE$55:$BG$55)/1000/AB197</f>
        <v>#DIV/0!</v>
      </c>
      <c r="AC205" s="7"/>
      <c r="AD205" s="20" t="e">
        <f>-SUM([1]Specials!$AC$53:$AI$53,[1]Specials!$BE$53:$BG$53)/1000/AD197</f>
        <v>#DIV/0!</v>
      </c>
      <c r="AE205" s="20" t="e">
        <f>-SUM([1]Specials!$AC$54:$AI$54,[1]Specials!$BE$54:$BG$54)/1000/AE197</f>
        <v>#DIV/0!</v>
      </c>
      <c r="AF205" s="20" t="e">
        <f>-SUM([1]Specials!$AC$55:$AI$55,[1]Specials!$BE$55:$BG$55)/1000/AF197</f>
        <v>#DIV/0!</v>
      </c>
      <c r="AG205" s="7"/>
      <c r="AH205" s="28">
        <f>-SUM('[1]Total P&amp;C'!$AC$53:$AI$53,'[1]Total P&amp;C'!$BE$53:$BG$53)/1000/AH197</f>
        <v>-0.46167236794904448</v>
      </c>
      <c r="AI205" s="28">
        <f>-SUM('[1]Total P&amp;C'!$AC$54:$AI$54,'[1]Total P&amp;C'!$BE$54:$BG$54)/1000/AI197</f>
        <v>-0.69335900928176231</v>
      </c>
      <c r="AJ205" s="28">
        <f>-SUM('[1]Total P&amp;C'!$AC$55:$AI$55,'[1]Total P&amp;C'!$BE$55:$BG$55)/1000/AJ197</f>
        <v>-7.8209170763367513E-3</v>
      </c>
      <c r="AL205" s="202"/>
      <c r="AM205" s="9"/>
      <c r="AN205" s="37" t="s">
        <v>28</v>
      </c>
      <c r="AT205" s="20">
        <f>-SUM([2]Retail!$AC$53:$AI$53,[2]Retail!$BE$53:$BG$53)/1000/AT197</f>
        <v>-1.9443769468039991</v>
      </c>
      <c r="AU205" s="20">
        <f>-SUM([2]Retail!$AC$54:$AI$54,[2]Retail!$BE$54:$BG$54)/1000/AU197</f>
        <v>-0.58671854760534148</v>
      </c>
      <c r="AV205" s="20">
        <f>-SUM([2]Retail!$AC$55:$AI$55,[2]Retail!$BE$55:$BG$55)/1000/AV197</f>
        <v>-3.1777834245217823E-3</v>
      </c>
      <c r="AW205" s="7"/>
      <c r="AX205" s="20" t="e">
        <f>-SUM([2]SME!$AC$53:$AI$53,[2]SME!$BE$53:$BG$53)/1000/AX197</f>
        <v>#DIV/0!</v>
      </c>
      <c r="AY205" s="20">
        <f>-SUM([2]SME!$AC$54:$AI$54,[2]SME!$BE$54:$BG$54)/1000/AY197</f>
        <v>-0.17907804209203082</v>
      </c>
      <c r="AZ205" s="20" t="e">
        <f>-SUM([2]SME!$AC$55:$AI$55,[2]SME!$BE$55:$BG$55)/1000/AZ197</f>
        <v>#DIV/0!</v>
      </c>
      <c r="BA205" s="7"/>
      <c r="BB205" s="20">
        <f>-SUM([2]MidCorp!$AC$53:$AI$53,[2]MidCorp!$BE$53:$BG$53)/1000/BB197</f>
        <v>-0.49884046533948206</v>
      </c>
      <c r="BC205" s="20">
        <f>-SUM([2]MidCorp!$AC$54:$AI$54,[2]MidCorp!$BE$54:$BG$54)/1000/BC197</f>
        <v>-0.52450802394854246</v>
      </c>
      <c r="BD205" s="20">
        <f>-SUM([2]MidCorp!$AC$55:$AI$55,[2]MidCorp!$BE$55:$BG$55)/1000/BD197</f>
        <v>-2.8648898714089223E-3</v>
      </c>
      <c r="BJ205" s="20" t="e">
        <f>-SUM([2]Specials!$AC$53:$AI$53,[2]Specials!$BE$53:$BG$53)/1000/BJ197</f>
        <v>#DIV/0!</v>
      </c>
      <c r="BK205" s="20" t="e">
        <f>-SUM([2]Specials!$AC$54:$AI$54,[2]Specials!$BE$54:$BG$54)/1000/BK197</f>
        <v>#DIV/0!</v>
      </c>
      <c r="BL205" s="20" t="e">
        <f>-SUM([2]Specials!$AC$55:$AI$55,[2]Specials!$BE$55:$BG$55)/1000/BL197</f>
        <v>#DIV/0!</v>
      </c>
      <c r="BM205" s="7"/>
      <c r="BN205" s="28">
        <f>-SUM('[2]Total P&amp;C'!$AC$53:$AI$53,'[2]Total P&amp;C'!$BE$53:$BG$53)/1000/BN197</f>
        <v>-0.87647986499150665</v>
      </c>
      <c r="BO205" s="28">
        <f>-SUM('[2]Total P&amp;C'!$AC$54:$AI$54,'[2]Total P&amp;C'!$BE$54:$BG$54)/1000/BO197</f>
        <v>-0.39347647555643073</v>
      </c>
      <c r="BP205" s="28">
        <f>-SUM('[2]Total P&amp;C'!$AC$55:$AI$55,'[2]Total P&amp;C'!$BE$55:$BG$55)/1000/BP197</f>
        <v>-2.9601941556182654E-3</v>
      </c>
      <c r="BR205" s="28">
        <f>-SUM('[3]Total P&amp;C'!$AC$53:$AI$53,'[3]Total P&amp;C'!$BE$53:$BG$53)/1000/BR197</f>
        <v>-0.82657236884785956</v>
      </c>
      <c r="BS205" s="28">
        <f>-SUM('[3]Total P&amp;C'!$AC$54:$AI$54,'[3]Total P&amp;C'!$BE$54:$BG$54)/1000/BS197</f>
        <v>-0.43652150148295132</v>
      </c>
      <c r="BT205" s="28">
        <f>-SUM('[3]Total P&amp;C'!$AC$55:$AI$55,'[3]Total P&amp;C'!$BE$55:$BG$55)/1000/BT197</f>
        <v>-3.6621381602868967E-3</v>
      </c>
    </row>
    <row r="206" spans="2:72" ht="16.5" hidden="1" customHeight="1" outlineLevel="1" x14ac:dyDescent="0.25">
      <c r="B206" s="202"/>
      <c r="C206" s="9"/>
      <c r="D206" s="37" t="s">
        <v>29</v>
      </c>
      <c r="J206" s="20" t="e">
        <f>-SUM([1]Retail!$AJ$53:$AK$53,[1]Retail!$BH$53:$BI$53)/1000/J197</f>
        <v>#DIV/0!</v>
      </c>
      <c r="K206" s="20" t="e">
        <f>-SUM([1]Retail!$AJ$54:$AK$54,[1]Retail!$BH$54:$BI$54)/1000/K197</f>
        <v>#DIV/0!</v>
      </c>
      <c r="L206" s="20" t="e">
        <f>-SUM([1]Retail!$AJ$55:$AK$55,[1]Retail!$BH$55:$BI$55)/1000/L197</f>
        <v>#DIV/0!</v>
      </c>
      <c r="M206" s="7"/>
      <c r="N206" s="20">
        <f>-SUM([1]SME!$AJ$53:$AK$53,[1]SME!$BH$53:$BI$53)/1000/N197</f>
        <v>-9.5307157650006795E-3</v>
      </c>
      <c r="O206" s="20">
        <f>-SUM([1]SME!$AJ$54:$AK$54,[1]SME!$BH$54:$BI$54)/1000/O197</f>
        <v>4.7832311875140018E-2</v>
      </c>
      <c r="P206" s="20">
        <f>-SUM([1]SME!$AJ$55:$AK$55,[1]SME!$BH$55:$BI$55)/1000/P197</f>
        <v>0</v>
      </c>
      <c r="Q206" s="7"/>
      <c r="R206" s="20">
        <f>-SUM([1]MidCorp!$AJ$53:$AK$53,[1]MidCorp!$BH$53:$BI$53)/1000/R197</f>
        <v>1.4406017422353735E-2</v>
      </c>
      <c r="S206" s="20">
        <f>-SUM([1]MidCorp!$AJ$54:$AK$54,[1]MidCorp!$BH$54:$BI$54)/1000/S197</f>
        <v>4.0982038045810638E-2</v>
      </c>
      <c r="T206" s="20">
        <f>-SUM([1]MidCorp!$AJ$55:$AK$55,[1]MidCorp!$BH$55:$BI$55)/1000/T197</f>
        <v>0</v>
      </c>
      <c r="U206" s="7"/>
      <c r="V206" s="20">
        <f>-SUM([1]MGA!$AJ$53:$AK$53,[1]MGA!$BH$53:$BI$53)/1000/V197</f>
        <v>-8.6999119228108324E-3</v>
      </c>
      <c r="W206" s="20">
        <f>-SUM([1]MGA!$AJ$54:$AK$54,[1]MGA!$BH$54:$BI$54)/1000/W197</f>
        <v>1.2695093622577796E-2</v>
      </c>
      <c r="X206" s="20">
        <f>-SUM([1]MGA!$AJ$55:$AK$55,[1]MGA!$BH$55:$BI$55)/1000/X197</f>
        <v>0</v>
      </c>
      <c r="Y206" s="7"/>
      <c r="Z206" s="20" t="e">
        <f>-SUM([1]Bancassurance!$AJ$53:$AK$53,[1]Bancassurance!$BH$53:$BI$53)/1000/Z197</f>
        <v>#DIV/0!</v>
      </c>
      <c r="AA206" s="20" t="e">
        <f>-SUM([1]Bancassurance!$AJ$54:$AK$54,[1]Bancassurance!$BH$54:$BI$54)/1000/AA197</f>
        <v>#DIV/0!</v>
      </c>
      <c r="AB206" s="20" t="e">
        <f>-SUM([1]Bancassurance!$AJ$55:$AK$55,[1]Bancassurance!$BH$55:$BI$55)/1000/AB197</f>
        <v>#DIV/0!</v>
      </c>
      <c r="AC206" s="7"/>
      <c r="AD206" s="20" t="e">
        <f>-SUM([1]Specials!$AJ$53:$AK$53,[1]Specials!$BH$53:$BI$53)/1000/AD197</f>
        <v>#DIV/0!</v>
      </c>
      <c r="AE206" s="20" t="e">
        <f>-SUM([1]Specials!$AJ$54:$AK$54,[1]Specials!$BH$54:$BI$54)/1000/AE197</f>
        <v>#DIV/0!</v>
      </c>
      <c r="AF206" s="20" t="e">
        <f>-SUM([1]Specials!$AJ$55:$AK$55,[1]Specials!$BH$55:$BI$55)/1000/AF197</f>
        <v>#DIV/0!</v>
      </c>
      <c r="AG206" s="7"/>
      <c r="AH206" s="28">
        <f>-SUM('[1]Total P&amp;C'!$AJ$53:$AK$53,'[1]Total P&amp;C'!$BH$53:$BI$53)/1000/AH197</f>
        <v>2.9243250937007456E-2</v>
      </c>
      <c r="AI206" s="28">
        <f>-SUM('[1]Total P&amp;C'!$AJ$54:$AK$54,'[1]Total P&amp;C'!$BH$54:$BI$54)/1000/AI197</f>
        <v>3.9598295372812536E-2</v>
      </c>
      <c r="AJ206" s="28">
        <f>-SUM('[1]Total P&amp;C'!$AJ$55:$AK$55,'[1]Total P&amp;C'!$BH$55:$BI$55)/1000/AJ197</f>
        <v>0</v>
      </c>
      <c r="AL206" s="202"/>
      <c r="AM206" s="9"/>
      <c r="AN206" s="37" t="s">
        <v>29</v>
      </c>
      <c r="AT206" s="20">
        <f>-SUM([2]Retail!$AJ$53:$AK$53,[2]Retail!$BH$53:$BI$53)/1000/AT197</f>
        <v>0.36671639330553879</v>
      </c>
      <c r="AU206" s="20">
        <f>-SUM([2]Retail!$AJ$54:$AK$54,[2]Retail!$BH$54:$BI$54)/1000/AU197</f>
        <v>7.7224224052965321E-2</v>
      </c>
      <c r="AV206" s="20">
        <f>-SUM([2]Retail!$AJ$55:$AK$55,[2]Retail!$BH$55:$BI$55)/1000/AV197</f>
        <v>0</v>
      </c>
      <c r="AW206" s="7"/>
      <c r="AX206" s="20" t="e">
        <f>-SUM([2]SME!$AJ$53:$AK$53,[2]SME!$BH$53:$BI$53)/1000/AX197</f>
        <v>#DIV/0!</v>
      </c>
      <c r="AY206" s="20">
        <f>-SUM([2]SME!$AJ$54:$AK$54,[2]SME!$BH$54:$BI$54)/1000/AY197</f>
        <v>1.8653968750010217E-2</v>
      </c>
      <c r="AZ206" s="20" t="e">
        <f>-SUM([2]SME!$AJ$55:$AK$55,[2]SME!$BH$55:$BI$55)/1000/AZ197</f>
        <v>#DIV/0!</v>
      </c>
      <c r="BA206" s="7"/>
      <c r="BB206" s="20">
        <f>-SUM([2]MidCorp!$AJ$53:$AK$53,[2]MidCorp!$BH$53:$BI$53)/1000/BB197</f>
        <v>2.357562602028572E-2</v>
      </c>
      <c r="BC206" s="20">
        <f>-SUM([2]MidCorp!$AJ$54:$AK$54,[2]MidCorp!$BH$54:$BI$54)/1000/BC197</f>
        <v>5.689348280663474E-2</v>
      </c>
      <c r="BD206" s="20">
        <f>-SUM([2]MidCorp!$AJ$55:$AK$55,[2]MidCorp!$BH$55:$BI$55)/1000/BD197</f>
        <v>0</v>
      </c>
      <c r="BJ206" s="20" t="e">
        <f>-SUM([2]Specials!$AJ$53:$AK$53,[2]Specials!$BH$53:$BI$53)/1000/BJ197</f>
        <v>#DIV/0!</v>
      </c>
      <c r="BK206" s="20" t="e">
        <f>-SUM([2]Specials!$AJ$54:$AK$54,[2]Specials!$BH$54:$BI$54)/1000/BK197</f>
        <v>#DIV/0!</v>
      </c>
      <c r="BL206" s="20" t="e">
        <f>-SUM([2]Specials!$AJ$55:$AK$55,[2]Specials!$BH$55:$BI$55)/1000/BL197</f>
        <v>#DIV/0!</v>
      </c>
      <c r="BM206" s="7"/>
      <c r="BN206" s="28">
        <f>-SUM('[2]Total P&amp;C'!$AJ$53:$AK$53,'[2]Total P&amp;C'!$BH$53:$BI$53)/1000/BN197</f>
        <v>0.11321948836158967</v>
      </c>
      <c r="BO206" s="28">
        <f>-SUM('[2]Total P&amp;C'!$AJ$54:$AK$54,'[2]Total P&amp;C'!$BH$54:$BI$54)/1000/BO197</f>
        <v>4.5480845526225201E-2</v>
      </c>
      <c r="BP206" s="28">
        <f>-SUM('[2]Total P&amp;C'!$AJ$55:$AK$55,'[2]Total P&amp;C'!$BH$55:$BI$55)/1000/BP197</f>
        <v>0</v>
      </c>
      <c r="BR206" s="28">
        <f>-SUM('[3]Total P&amp;C'!$AJ$53:$AK$53,'[3]Total P&amp;C'!$BH$53:$BI$53)/1000/BR197</f>
        <v>0.10311590109446679</v>
      </c>
      <c r="BS206" s="28">
        <f>-SUM('[3]Total P&amp;C'!$AJ$54:$AK$54,'[3]Total P&amp;C'!$BH$54:$BI$54)/1000/BS197</f>
        <v>4.4636466493134762E-2</v>
      </c>
      <c r="BT206" s="28">
        <f>-SUM('[3]Total P&amp;C'!$AJ$55:$AK$55,'[3]Total P&amp;C'!$BH$55:$BI$55)/1000/BT197</f>
        <v>0</v>
      </c>
    </row>
    <row r="207" spans="2:72" ht="16.5" hidden="1" customHeight="1" outlineLevel="1" x14ac:dyDescent="0.25">
      <c r="B207" s="202"/>
      <c r="C207" s="9"/>
      <c r="D207" s="37" t="s">
        <v>30</v>
      </c>
      <c r="J207" s="20" t="e">
        <f>+J208+J209+J210</f>
        <v>#DIV/0!</v>
      </c>
      <c r="K207" s="20" t="e">
        <f>+K208+K209+K210</f>
        <v>#DIV/0!</v>
      </c>
      <c r="L207" s="20" t="e">
        <f>+L208+L209+L210</f>
        <v>#DIV/0!</v>
      </c>
      <c r="M207" s="7"/>
      <c r="N207" s="20">
        <f>+N208+N209+N210</f>
        <v>7.3731289174681774E-2</v>
      </c>
      <c r="O207" s="20">
        <f>+O208+O209+O210</f>
        <v>0.30598943845804899</v>
      </c>
      <c r="P207" s="20">
        <f>+P208+P209+P210</f>
        <v>0.47421020472570824</v>
      </c>
      <c r="Q207" s="7"/>
      <c r="R207" s="20">
        <f>+R208+R209+R210</f>
        <v>0.20017562968410796</v>
      </c>
      <c r="S207" s="20">
        <f>+S208+S209+S210</f>
        <v>0.22805428404191383</v>
      </c>
      <c r="T207" s="20">
        <f>+T208+T209+T210</f>
        <v>0.23097533343657126</v>
      </c>
      <c r="U207" s="7"/>
      <c r="V207" s="20">
        <f>+V208+V209+V210</f>
        <v>0.39851666574015837</v>
      </c>
      <c r="W207" s="20">
        <f>+W208+W209+W210</f>
        <v>0.40544202846925126</v>
      </c>
      <c r="X207" s="20">
        <f>+X208+X209+X210</f>
        <v>0.38841383251712269</v>
      </c>
      <c r="Y207" s="7"/>
      <c r="Z207" s="20" t="e">
        <f>+Z208+Z209+Z210</f>
        <v>#DIV/0!</v>
      </c>
      <c r="AA207" s="20" t="e">
        <f>+AA208+AA209+AA210</f>
        <v>#DIV/0!</v>
      </c>
      <c r="AB207" s="20" t="e">
        <f>+AB208+AB209+AB210</f>
        <v>#DIV/0!</v>
      </c>
      <c r="AC207" s="7"/>
      <c r="AD207" s="20" t="e">
        <f>+AD208+AD209+AD210</f>
        <v>#DIV/0!</v>
      </c>
      <c r="AE207" s="20" t="e">
        <f>+AE208+AE209+AE210</f>
        <v>#DIV/0!</v>
      </c>
      <c r="AF207" s="20" t="e">
        <f>+AF208+AF209+AF210</f>
        <v>#DIV/0!</v>
      </c>
      <c r="AG207" s="7"/>
      <c r="AH207" s="28">
        <f>+AH208+AH209+AH210</f>
        <v>0.31300389971914722</v>
      </c>
      <c r="AI207" s="28">
        <f>+AI208+AI209+AI210</f>
        <v>0.28081574313773833</v>
      </c>
      <c r="AJ207" s="28">
        <f>+AJ208+AJ209+AJ210</f>
        <v>0.3121334380579287</v>
      </c>
      <c r="AL207" s="202"/>
      <c r="AM207" s="9"/>
      <c r="AN207" s="37" t="s">
        <v>30</v>
      </c>
      <c r="AT207" s="20">
        <f>+AT208+AT209+AT210</f>
        <v>0.58689166110334723</v>
      </c>
      <c r="AU207" s="20">
        <f>+AU208+AU209+AU210</f>
        <v>0.57832574676840032</v>
      </c>
      <c r="AV207" s="20">
        <f>+AV208+AV209+AV210</f>
        <v>0.54195634835385575</v>
      </c>
      <c r="AW207" s="7"/>
      <c r="AX207" s="20" t="e">
        <f>+AX208+AX209+AX210</f>
        <v>#DIV/0!</v>
      </c>
      <c r="AY207" s="20">
        <f>+AY208+AY209+AY210</f>
        <v>0.18270235399557466</v>
      </c>
      <c r="AZ207" s="20" t="e">
        <f>+AZ208+AZ209+AZ210</f>
        <v>#DIV/0!</v>
      </c>
      <c r="BA207" s="7"/>
      <c r="BB207" s="20">
        <f>+BB208+BB209+BB210</f>
        <v>0.1913112434549479</v>
      </c>
      <c r="BC207" s="20">
        <f>+BC208+BC209+BC210</f>
        <v>0.18189279433062175</v>
      </c>
      <c r="BD207" s="20">
        <f>+BD208+BD209+BD210</f>
        <v>0.2052958843202061</v>
      </c>
      <c r="BJ207" s="20" t="e">
        <f>+BJ208+BJ209+BJ210</f>
        <v>#DIV/0!</v>
      </c>
      <c r="BK207" s="20" t="e">
        <f>+BK208+BK209+BK210</f>
        <v>#DIV/0!</v>
      </c>
      <c r="BL207" s="20" t="e">
        <f>+BL208+BL209+BL210</f>
        <v>#DIV/0!</v>
      </c>
      <c r="BM207" s="7"/>
      <c r="BN207" s="28">
        <f>+BN208+BN209+BN210</f>
        <v>0.29465471029259582</v>
      </c>
      <c r="BO207" s="28">
        <f>+BO208+BO209+BO210</f>
        <v>0.27343073746479069</v>
      </c>
      <c r="BP207" s="28">
        <f>+BP208+BP209+BP210</f>
        <v>0.30783933472725189</v>
      </c>
      <c r="BR207" s="28">
        <f>+BR208+BR209+BR210</f>
        <v>0.2968623900165015</v>
      </c>
      <c r="BS207" s="28">
        <f>+BS208+BS209+BS210</f>
        <v>0.27449077839718689</v>
      </c>
      <c r="BT207" s="28">
        <f>+BT208+BT209+BT210</f>
        <v>0.30845945238002909</v>
      </c>
    </row>
    <row r="208" spans="2:72" ht="16.5" hidden="1" customHeight="1" outlineLevel="1" x14ac:dyDescent="0.25">
      <c r="B208" s="202"/>
      <c r="C208" s="9"/>
      <c r="D208" s="39" t="s">
        <v>31</v>
      </c>
      <c r="J208" s="20" t="e">
        <f>-SUM([1]Retail!$AL$53:$AN$53,[1]Retail!$BJ$53)/1000/J197</f>
        <v>#DIV/0!</v>
      </c>
      <c r="K208" s="42" t="e">
        <f>-SUM([1]Retail!$AL$54:$AN$54,[1]Retail!$BJ$54)/1000/K197</f>
        <v>#DIV/0!</v>
      </c>
      <c r="L208" s="42" t="e">
        <f>-SUM([1]Retail!$AL$55:$AN$55,[1]Retail!$BJ$55)/1000/L197</f>
        <v>#DIV/0!</v>
      </c>
      <c r="M208" s="8"/>
      <c r="N208" s="20">
        <f>-SUM([1]SME!$AL$53:$AN$53,[1]SME!$BJ$53)/1000/N197</f>
        <v>0.1756086239978383</v>
      </c>
      <c r="O208" s="20">
        <f>-SUM([1]SME!$AL$54:$AN$54,[1]SME!$BJ$54)/1000/O197</f>
        <v>0.19727738432965275</v>
      </c>
      <c r="P208" s="20">
        <f>-SUM([1]SME!$AL$55:$AN$55,[1]SME!$BJ$55)/1000/P197</f>
        <v>0.19635863147164215</v>
      </c>
      <c r="Q208" s="8"/>
      <c r="R208" s="20">
        <f>-SUM([1]MidCorp!$AL$53:$AN$53,[1]MidCorp!$BJ$53)/1000/R197</f>
        <v>0.18485891673580854</v>
      </c>
      <c r="S208" s="20">
        <f>-SUM([1]MidCorp!$AL$54:$AN$54,[1]MidCorp!$BJ$54)/1000/S197</f>
        <v>0.18949650641184887</v>
      </c>
      <c r="T208" s="20">
        <f>-SUM([1]MidCorp!$AL$55:$AN$55,[1]MidCorp!$BJ$55)/1000/T197</f>
        <v>0.18855070362418175</v>
      </c>
      <c r="U208" s="8"/>
      <c r="V208" s="20">
        <f>-SUM([1]MGA!$AL$53:$AN$53,[1]MGA!$BJ$53)/1000/V197</f>
        <v>0.30895138659716453</v>
      </c>
      <c r="W208" s="20">
        <f>-SUM([1]MGA!$AL$54:$AN$54,[1]MGA!$BJ$54)/1000/W197</f>
        <v>0.31520025876409979</v>
      </c>
      <c r="X208" s="20">
        <f>-SUM([1]MGA!$AL$55:$AN$55,[1]MGA!$BJ$55)/1000/X197</f>
        <v>0.31159589850518604</v>
      </c>
      <c r="Y208" s="8"/>
      <c r="Z208" s="20" t="e">
        <f>-SUM([1]Bancassurance!$AL$53:$AN$53,[1]Bancassurance!$BJ$53)/1000/Z197</f>
        <v>#DIV/0!</v>
      </c>
      <c r="AA208" s="20" t="e">
        <f>-SUM([1]Bancassurance!$AL$54:$AN$54,[1]Bancassurance!$BJ$54)/1000/AA197</f>
        <v>#DIV/0!</v>
      </c>
      <c r="AB208" s="20" t="e">
        <f>-SUM([1]Bancassurance!$AL$55:$AN$55,[1]Bancassurance!$BJ$55)/1000/AB197</f>
        <v>#DIV/0!</v>
      </c>
      <c r="AC208" s="8"/>
      <c r="AD208" s="20" t="e">
        <f>-SUM([1]Specials!$AL$53:$AN$53,[1]Specials!$BJ$53)/1000/AD197</f>
        <v>#DIV/0!</v>
      </c>
      <c r="AE208" s="20" t="e">
        <f>-SUM([1]Specials!$AL$54:$AN$54,[1]Specials!$BJ$54)/1000/AE197</f>
        <v>#DIV/0!</v>
      </c>
      <c r="AF208" s="20" t="e">
        <f>-SUM([1]Specials!$AL$55:$AN$55,[1]Specials!$BJ$55)/1000/AF197</f>
        <v>#DIV/0!</v>
      </c>
      <c r="AG208" s="8"/>
      <c r="AH208" s="28">
        <f>-SUM('[1]Total P&amp;C'!$AL$53:$AN$53,'[1]Total P&amp;C'!$BJ$53)/1000/AH197</f>
        <v>0.20494910430275637</v>
      </c>
      <c r="AI208" s="28">
        <f>-SUM('[1]Total P&amp;C'!$AL$54:$AN$54,'[1]Total P&amp;C'!$BJ$54)/1000/AI197</f>
        <v>0.20664384730179733</v>
      </c>
      <c r="AJ208" s="28">
        <f>-SUM('[1]Total P&amp;C'!$AL$55:$AN$55,'[1]Total P&amp;C'!$BJ$55)/1000/AJ197</f>
        <v>0.20698661651307682</v>
      </c>
      <c r="AL208" s="202"/>
      <c r="AM208" s="9"/>
      <c r="AN208" s="39" t="s">
        <v>31</v>
      </c>
      <c r="AT208" s="20">
        <f>-SUM([2]Retail!$AL$53:$AN$53,[2]Retail!$BJ$53)/1000/AT197</f>
        <v>0.25312515619931686</v>
      </c>
      <c r="AU208" s="42">
        <f>-SUM([2]Retail!$AL$54:$AN$54,[2]Retail!$BJ$54)/1000/AU197</f>
        <v>0.2863261368985407</v>
      </c>
      <c r="AV208" s="42">
        <f>-SUM([2]Retail!$AL$55:$AN$55,[2]Retail!$BJ$55)/1000/AV197</f>
        <v>0.24413927793433124</v>
      </c>
      <c r="AW208" s="8"/>
      <c r="AX208" s="20" t="e">
        <f>-SUM([2]SME!$AL$53:$AN$53,[2]SME!$BJ$53)/1000/AX197</f>
        <v>#DIV/0!</v>
      </c>
      <c r="AY208" s="20">
        <f>-SUM([2]SME!$AL$54:$AN$54,[2]SME!$BJ$54)/1000/AY197</f>
        <v>0.14804403706434194</v>
      </c>
      <c r="AZ208" s="20" t="e">
        <f>-SUM([2]SME!$AL$55:$AN$55,[2]SME!$BJ$55)/1000/AZ197</f>
        <v>#DIV/0!</v>
      </c>
      <c r="BA208" s="8"/>
      <c r="BB208" s="20">
        <f>-SUM([2]MidCorp!$AL$53:$AN$53,[2]MidCorp!$BJ$53)/1000/BB197</f>
        <v>0.1205484934271942</v>
      </c>
      <c r="BC208" s="20">
        <f>-SUM([2]MidCorp!$AL$54:$AN$54,[2]MidCorp!$BJ$54)/1000/BC197</f>
        <v>9.9558656812767557E-2</v>
      </c>
      <c r="BD208" s="20">
        <f>-SUM([2]MidCorp!$AL$55:$AN$55,[2]MidCorp!$BJ$55)/1000/BD197</f>
        <v>0.12053279863614015</v>
      </c>
      <c r="BJ208" s="20" t="e">
        <f>-SUM([2]Specials!$AL$53:$AN$53,[2]Specials!$BJ$53)/1000/BJ197</f>
        <v>#DIV/0!</v>
      </c>
      <c r="BK208" s="20" t="e">
        <f>-SUM([2]Specials!$AL$54:$AN$54,[2]Specials!$BJ$54)/1000/BK197</f>
        <v>#DIV/0!</v>
      </c>
      <c r="BL208" s="20" t="e">
        <f>-SUM([2]Specials!$AL$55:$AN$55,[2]Specials!$BJ$55)/1000/BL197</f>
        <v>#DIV/0!</v>
      </c>
      <c r="BM208" s="8"/>
      <c r="BN208" s="28">
        <f>-SUM('[2]Total P&amp;C'!$AL$53:$AN$53,'[2]Total P&amp;C'!$BJ$53)/1000/BN197</f>
        <v>0.15518350401261347</v>
      </c>
      <c r="BO208" s="28">
        <f>-SUM('[2]Total P&amp;C'!$AL$54:$AN$54,'[2]Total P&amp;C'!$BJ$54)/1000/BO197</f>
        <v>0.16292418939849129</v>
      </c>
      <c r="BP208" s="28">
        <f>-SUM('[2]Total P&amp;C'!$AL$55:$AN$55,'[2]Total P&amp;C'!$BJ$55)/1000/BP197</f>
        <v>0.15818211072951591</v>
      </c>
      <c r="BR208" s="28">
        <f>-SUM('[3]Total P&amp;C'!$AL$53:$AN$53,'[3]Total P&amp;C'!$BJ$53)/1000/BR197</f>
        <v>0.16117104406980864</v>
      </c>
      <c r="BS208" s="28">
        <f>-SUM('[3]Total P&amp;C'!$AL$54:$AN$54,'[3]Total P&amp;C'!$BJ$54)/1000/BS197</f>
        <v>0.16919969262493165</v>
      </c>
      <c r="BT208" s="28">
        <f>-SUM('[3]Total P&amp;C'!$AL$55:$AN$55,'[3]Total P&amp;C'!$BJ$55)/1000/BT197</f>
        <v>0.16523003977100972</v>
      </c>
    </row>
    <row r="209" spans="2:72" ht="16.5" hidden="1" customHeight="1" outlineLevel="1" x14ac:dyDescent="0.25">
      <c r="B209" s="202"/>
      <c r="C209" s="9"/>
      <c r="D209" s="39" t="s">
        <v>32</v>
      </c>
      <c r="J209" s="20" t="e">
        <f>-SUM([1]Retail!$AO$53:$AP$53)/1000/J197</f>
        <v>#DIV/0!</v>
      </c>
      <c r="K209" s="42" t="e">
        <f>-SUM([1]Retail!$AO$54:$AP$54)/1000/K197</f>
        <v>#DIV/0!</v>
      </c>
      <c r="L209" s="42" t="e">
        <f>-SUM([1]Retail!$AO$55:$AP$55)/1000/L197</f>
        <v>#DIV/0!</v>
      </c>
      <c r="M209" s="8"/>
      <c r="N209" s="20">
        <f>-SUM([1]SME!$AO$53:$AP$53)/1000/N197</f>
        <v>-1.8989530780125049E-2</v>
      </c>
      <c r="O209" s="20">
        <f>-SUM([1]SME!$AO$54:$AP$54)/1000/O197</f>
        <v>5.8070046421538644E-2</v>
      </c>
      <c r="P209" s="20">
        <f>-SUM([1]SME!$AO$55:$AP$55)/1000/P197</f>
        <v>5.5523602024877279E-2</v>
      </c>
      <c r="Q209" s="8"/>
      <c r="R209" s="20">
        <f>-SUM([1]MidCorp!$AO$53:$AP$53)/1000/R197</f>
        <v>2.4613157283446176E-3</v>
      </c>
      <c r="S209" s="20">
        <f>-SUM([1]MidCorp!$AO$54:$AP$54)/1000/S197</f>
        <v>4.7885035232741327E-3</v>
      </c>
      <c r="T209" s="20">
        <f>-SUM([1]MidCorp!$AO$55:$AP$55)/1000/T197</f>
        <v>4.082746671301935E-3</v>
      </c>
      <c r="U209" s="8"/>
      <c r="V209" s="20">
        <f>-SUM([1]MGA!$AO$53:$AP$53)/1000/V197</f>
        <v>3.0627629502548631E-2</v>
      </c>
      <c r="W209" s="20">
        <f>-SUM([1]MGA!$AO$54:$AP$54)/1000/W197</f>
        <v>2.0871695960503124E-2</v>
      </c>
      <c r="X209" s="20">
        <f>-SUM([1]MGA!$AO$55:$AP$55)/1000/X197</f>
        <v>2.4477222704816018E-2</v>
      </c>
      <c r="Y209" s="8"/>
      <c r="Z209" s="20" t="e">
        <f>-SUM([1]Bancassurance!$AO$53:$AP$53)/1000/Z197</f>
        <v>#DIV/0!</v>
      </c>
      <c r="AA209" s="20" t="e">
        <f>-SUM([1]Bancassurance!$AO$54:$AP$54)/1000/AA197</f>
        <v>#DIV/0!</v>
      </c>
      <c r="AB209" s="20" t="e">
        <f>-SUM([1]Bancassurance!$AO$55:$AP$55)/1000/AB197</f>
        <v>#DIV/0!</v>
      </c>
      <c r="AC209" s="8"/>
      <c r="AD209" s="20" t="e">
        <f>-SUM([1]Specials!$AO$53:$AP$53)/1000/AD197</f>
        <v>#DIV/0!</v>
      </c>
      <c r="AE209" s="20" t="e">
        <f>-SUM([1]Specials!$AO$54:$AP$54)/1000/AE197</f>
        <v>#DIV/0!</v>
      </c>
      <c r="AF209" s="20" t="e">
        <f>-SUM([1]Specials!$AO$55:$AP$55)/1000/AF197</f>
        <v>#DIV/0!</v>
      </c>
      <c r="AG209" s="8"/>
      <c r="AH209" s="28">
        <f>-SUM('[1]Total P&amp;C'!$AO$53:$AP$53)/1000/AH197</f>
        <v>2.1009883779021601E-2</v>
      </c>
      <c r="AI209" s="28">
        <f>-SUM('[1]Total P&amp;C'!$AO$54:$AP$54)/1000/AI197</f>
        <v>3.0376665210742181E-2</v>
      </c>
      <c r="AJ209" s="28">
        <f>-SUM('[1]Total P&amp;C'!$AO$55:$AP$55)/1000/AJ197</f>
        <v>1.9513674311961004E-2</v>
      </c>
      <c r="AL209" s="202"/>
      <c r="AM209" s="9"/>
      <c r="AN209" s="39" t="s">
        <v>32</v>
      </c>
      <c r="AT209" s="20">
        <f>-SUM([2]Retail!$AO$53:$AP$53)/1000/AT197</f>
        <v>0.22141979217268881</v>
      </c>
      <c r="AU209" s="42">
        <f>-SUM([2]Retail!$AO$54:$AP$54)/1000/AU197</f>
        <v>0.21585330286448171</v>
      </c>
      <c r="AV209" s="42">
        <f>-SUM([2]Retail!$AO$55:$AP$55)/1000/AV197</f>
        <v>0.19810227531353578</v>
      </c>
      <c r="AW209" s="8"/>
      <c r="AX209" s="20" t="e">
        <f>-SUM([2]SME!$AO$53:$AP$53)/1000/AX197</f>
        <v>#DIV/0!</v>
      </c>
      <c r="AY209" s="20">
        <f>-SUM([2]SME!$AO$54:$AP$54)/1000/AY197</f>
        <v>1.4742297304562453E-2</v>
      </c>
      <c r="AZ209" s="20" t="e">
        <f>-SUM([2]SME!$AO$55:$AP$55)/1000/AZ197</f>
        <v>#DIV/0!</v>
      </c>
      <c r="BA209" s="8"/>
      <c r="BB209" s="20">
        <f>-SUM([2]MidCorp!$AO$53:$AP$53)/1000/BB197</f>
        <v>2.2635689875857047E-2</v>
      </c>
      <c r="BC209" s="20">
        <f>-SUM([2]MidCorp!$AO$54:$AP$54)/1000/BC197</f>
        <v>2.2487541701790088E-2</v>
      </c>
      <c r="BD209" s="20">
        <f>-SUM([2]MidCorp!$AO$55:$AP$55)/1000/BD197</f>
        <v>2.2645578105911408E-2</v>
      </c>
      <c r="BJ209" s="20" t="e">
        <f>-SUM([2]Specials!$AO$53:$AP$53)/1000/BJ197</f>
        <v>#DIV/0!</v>
      </c>
      <c r="BK209" s="20" t="e">
        <f>-SUM([2]Specials!$AO$54:$AP$54)/1000/BK197</f>
        <v>#DIV/0!</v>
      </c>
      <c r="BL209" s="20" t="e">
        <f>-SUM([2]Specials!$AO$55:$AP$55)/1000/BL197</f>
        <v>#DIV/0!</v>
      </c>
      <c r="BM209" s="8"/>
      <c r="BN209" s="28">
        <f>-SUM('[2]Total P&amp;C'!$AO$53:$AP$53)/1000/BN197</f>
        <v>7.4567073147269056E-2</v>
      </c>
      <c r="BO209" s="28">
        <f>-SUM('[2]Total P&amp;C'!$AO$54:$AP$54)/1000/BO197</f>
        <v>6.3711436278510433E-2</v>
      </c>
      <c r="BP209" s="28">
        <f>-SUM('[2]Total P&amp;C'!$AO$55:$AP$55)/1000/BP197</f>
        <v>7.6087954181576059E-2</v>
      </c>
      <c r="BR209" s="28">
        <f>-SUM('[3]Total P&amp;C'!$AO$53:$AP$53)/1000/BR197</f>
        <v>6.8123348670450418E-2</v>
      </c>
      <c r="BS209" s="28">
        <f>-SUM('[3]Total P&amp;C'!$AO$54:$AP$54)/1000/BS197</f>
        <v>5.892657579650263E-2</v>
      </c>
      <c r="BT209" s="28">
        <f>-SUM('[3]Total P&amp;C'!$AO$55:$AP$55)/1000/BT197</f>
        <v>6.7917980862658364E-2</v>
      </c>
    </row>
    <row r="210" spans="2:72" ht="16.5" hidden="1" customHeight="1" outlineLevel="1" x14ac:dyDescent="0.25">
      <c r="B210" s="202"/>
      <c r="C210" s="9"/>
      <c r="D210" s="39" t="s">
        <v>33</v>
      </c>
      <c r="J210" s="20" t="e">
        <f>-SUM([1]Retail!$AQ$53:$AR$53)/1000/J197</f>
        <v>#DIV/0!</v>
      </c>
      <c r="K210" s="42" t="e">
        <f>-SUM([1]Retail!$AQ$54:$AR$54)/1000/K197</f>
        <v>#DIV/0!</v>
      </c>
      <c r="L210" s="42" t="e">
        <f>-SUM([1]Retail!$AQ$55:$AR$55)/1000/L197</f>
        <v>#DIV/0!</v>
      </c>
      <c r="M210" s="8"/>
      <c r="N210" s="20">
        <f>-SUM([1]SME!$AQ$53:$AR$53)/1000/N197</f>
        <v>-8.2887804043031477E-2</v>
      </c>
      <c r="O210" s="20">
        <f>-SUM([1]SME!$AQ$54:$AR$54)/1000/O197</f>
        <v>5.0642007706857624E-2</v>
      </c>
      <c r="P210" s="20">
        <f>-SUM([1]SME!$AQ$55:$AR$55)/1000/P197</f>
        <v>0.22232797122918879</v>
      </c>
      <c r="Q210" s="8"/>
      <c r="R210" s="20">
        <f>-SUM([1]MidCorp!$AQ$53:$AR$53)/1000/R197</f>
        <v>1.2855397219954809E-2</v>
      </c>
      <c r="S210" s="20">
        <f>-SUM([1]MidCorp!$AQ$54:$AR$54)/1000/S197</f>
        <v>3.3769274106790807E-2</v>
      </c>
      <c r="T210" s="20">
        <f>-SUM([1]MidCorp!$AQ$55:$AR$55)/1000/T197</f>
        <v>3.8341883141087572E-2</v>
      </c>
      <c r="U210" s="8"/>
      <c r="V210" s="20">
        <f>-SUM([1]MGA!$AQ$53:$AR$53)/1000/V197</f>
        <v>5.8937649640445185E-2</v>
      </c>
      <c r="W210" s="20">
        <f>-SUM([1]MGA!$AQ$54:$AR$54)/1000/W197</f>
        <v>6.9370073744648333E-2</v>
      </c>
      <c r="X210" s="20">
        <f>-SUM([1]MGA!$AQ$55:$AR$55)/1000/X197</f>
        <v>5.2340711307120653E-2</v>
      </c>
      <c r="Y210" s="8"/>
      <c r="Z210" s="20" t="e">
        <f>-SUM([1]Bancassurance!$AQ$53:$AR$53)/1000/Z197</f>
        <v>#DIV/0!</v>
      </c>
      <c r="AA210" s="20" t="e">
        <f>-SUM([1]Bancassurance!$AQ$54:$AR$54)/1000/AA197</f>
        <v>#DIV/0!</v>
      </c>
      <c r="AB210" s="20" t="e">
        <f>-SUM([1]Bancassurance!$AQ$55:$AR$55)/1000/AB197</f>
        <v>#DIV/0!</v>
      </c>
      <c r="AC210" s="8"/>
      <c r="AD210" s="20" t="e">
        <f>-SUM([1]Specials!$AQ$53:$AR$53)/1000/AD197</f>
        <v>#DIV/0!</v>
      </c>
      <c r="AE210" s="20" t="e">
        <f>-SUM([1]Specials!$AQ$54:$AR$54)/1000/AE197</f>
        <v>#DIV/0!</v>
      </c>
      <c r="AF210" s="20" t="e">
        <f>-SUM([1]Specials!$AQ$55:$AR$55)/1000/AF197</f>
        <v>#DIV/0!</v>
      </c>
      <c r="AG210" s="8"/>
      <c r="AH210" s="28">
        <f>-SUM('[1]Total P&amp;C'!$AQ$53:$AR$53)/1000/AH197</f>
        <v>8.7044911637369216E-2</v>
      </c>
      <c r="AI210" s="28">
        <f>-SUM('[1]Total P&amp;C'!$AQ$54:$AR$54)/1000/AI197</f>
        <v>4.3795230625198807E-2</v>
      </c>
      <c r="AJ210" s="28">
        <f>-SUM('[1]Total P&amp;C'!$AQ$55:$AR$55)/1000/AJ197</f>
        <v>8.5633147232890866E-2</v>
      </c>
      <c r="AL210" s="202"/>
      <c r="AM210" s="9"/>
      <c r="AN210" s="39" t="s">
        <v>33</v>
      </c>
      <c r="AT210" s="20">
        <f>-SUM([2]Retail!$AQ$53:$AR$53)/1000/AT197</f>
        <v>0.1123467127313416</v>
      </c>
      <c r="AU210" s="42">
        <f>-SUM([2]Retail!$AQ$54:$AR$54)/1000/AU197</f>
        <v>7.6146307005377944E-2</v>
      </c>
      <c r="AV210" s="42">
        <f>-SUM([2]Retail!$AQ$55:$AR$55)/1000/AV197</f>
        <v>9.9714795105988727E-2</v>
      </c>
      <c r="AW210" s="8"/>
      <c r="AX210" s="20" t="e">
        <f>-SUM([2]SME!$AQ$53:$AR$53)/1000/AX197</f>
        <v>#DIV/0!</v>
      </c>
      <c r="AY210" s="20">
        <f>-SUM([2]SME!$AQ$54:$AR$54)/1000/AY197</f>
        <v>1.9916019626670271E-2</v>
      </c>
      <c r="AZ210" s="20" t="e">
        <f>-SUM([2]SME!$AQ$55:$AR$55)/1000/AZ197</f>
        <v>#DIV/0!</v>
      </c>
      <c r="BA210" s="8"/>
      <c r="BB210" s="20">
        <f>-SUM([2]MidCorp!$AQ$53:$AR$53)/1000/BB197</f>
        <v>4.8127060151896661E-2</v>
      </c>
      <c r="BC210" s="20">
        <f>-SUM([2]MidCorp!$AQ$54:$AR$54)/1000/BC197</f>
        <v>5.9846595816064108E-2</v>
      </c>
      <c r="BD210" s="20">
        <f>-SUM([2]MidCorp!$AQ$55:$AR$55)/1000/BD197</f>
        <v>6.2117507578154547E-2</v>
      </c>
      <c r="BJ210" s="20" t="e">
        <f>-SUM([2]Specials!$AQ$53:$AR$53)/1000/BJ197</f>
        <v>#DIV/0!</v>
      </c>
      <c r="BK210" s="20" t="e">
        <f>-SUM([2]Specials!$AQ$54:$AR$54)/1000/BK197</f>
        <v>#DIV/0!</v>
      </c>
      <c r="BL210" s="20" t="e">
        <f>-SUM([2]Specials!$AQ$55:$AR$55)/1000/BL197</f>
        <v>#DIV/0!</v>
      </c>
      <c r="BM210" s="8"/>
      <c r="BN210" s="28">
        <f>-SUM('[2]Total P&amp;C'!$AQ$53:$AR$53)/1000/BN197</f>
        <v>6.4904133132713329E-2</v>
      </c>
      <c r="BO210" s="28">
        <f>-SUM('[2]Total P&amp;C'!$AQ$54:$AR$54)/1000/BO197</f>
        <v>4.6795111787788939E-2</v>
      </c>
      <c r="BP210" s="28">
        <f>-SUM('[2]Total P&amp;C'!$AQ$55:$AR$55)/1000/BP197</f>
        <v>7.3569269816159882E-2</v>
      </c>
      <c r="BR210" s="28">
        <f>-SUM('[3]Total P&amp;C'!$AQ$53:$AR$53)/1000/BR197</f>
        <v>6.7567997276242422E-2</v>
      </c>
      <c r="BS210" s="28">
        <f>-SUM('[3]Total P&amp;C'!$AQ$54:$AR$54)/1000/BS197</f>
        <v>4.6364509975752616E-2</v>
      </c>
      <c r="BT210" s="28">
        <f>-SUM('[3]Total P&amp;C'!$AQ$55:$AR$55)/1000/BT197</f>
        <v>7.5311431746360999E-2</v>
      </c>
    </row>
    <row r="211" spans="2:72" ht="16.5" hidden="1" customHeight="1" outlineLevel="1" x14ac:dyDescent="0.25">
      <c r="B211" s="202"/>
      <c r="C211" s="9"/>
      <c r="D211" s="37" t="s">
        <v>34</v>
      </c>
      <c r="J211" s="19">
        <f>+[1]Retail!$BK$53/1000</f>
        <v>6.0910000000000001E-4</v>
      </c>
      <c r="K211" s="19">
        <f>+[1]Retail!$BK$54/1000</f>
        <v>-1.4030400000000001E-3</v>
      </c>
      <c r="L211" s="19">
        <f>+[1]Retail!$BK$55/1000</f>
        <v>-3.1611280111406664E-5</v>
      </c>
      <c r="M211" s="6"/>
      <c r="N211" s="19">
        <f>+[1]SME!$BK$53/1000</f>
        <v>-0.3827433400000001</v>
      </c>
      <c r="O211" s="19">
        <f>+[1]SME!$BK$54/1000</f>
        <v>0.22959129000000003</v>
      </c>
      <c r="P211" s="19">
        <f>+[1]SME!$BK$55/1000</f>
        <v>4.2893605039580181E-2</v>
      </c>
      <c r="Q211" s="6"/>
      <c r="R211" s="19">
        <f>+[1]MidCorp!$BK$53/1000</f>
        <v>0.89355167999999985</v>
      </c>
      <c r="S211" s="19">
        <f>+[1]MidCorp!$BK$54/1000</f>
        <v>0.46989223999999996</v>
      </c>
      <c r="T211" s="19">
        <f>+[1]MidCorp!$BK$55/1000</f>
        <v>0.21174512656895575</v>
      </c>
      <c r="U211" s="6"/>
      <c r="V211" s="19">
        <f>+[1]MGA!$BK$53/1000</f>
        <v>1.0301430000000028E-2</v>
      </c>
      <c r="W211" s="19">
        <f>+[1]MGA!$BK$54/1000</f>
        <v>3.9549279999999971E-2</v>
      </c>
      <c r="X211" s="19">
        <f>+[1]MGA!$BK$55/1000</f>
        <v>4.5355099367434572E-2</v>
      </c>
      <c r="Y211" s="6"/>
      <c r="Z211" s="19">
        <f>+[1]Bancassurance!$BK$53/1000</f>
        <v>0</v>
      </c>
      <c r="AA211" s="19">
        <f>+[1]Bancassurance!$BK$54/1000</f>
        <v>0</v>
      </c>
      <c r="AB211" s="19">
        <f>+[1]Bancassurance!$BK$55/1000</f>
        <v>0</v>
      </c>
      <c r="AC211" s="6"/>
      <c r="AD211" s="19">
        <f>+[1]Specials!$BK$53/1000</f>
        <v>0</v>
      </c>
      <c r="AE211" s="19">
        <f>+[1]Specials!$BK$54/1000</f>
        <v>2.0999999999999997E-7</v>
      </c>
      <c r="AF211" s="19">
        <f>+[1]Specials!$BK$55/1000</f>
        <v>0</v>
      </c>
      <c r="AG211" s="6"/>
      <c r="AH211" s="27">
        <f>+'[1]Total P&amp;C'!$BK$53/1000</f>
        <v>0.52171886999999983</v>
      </c>
      <c r="AI211" s="27">
        <f>+'[1]Total P&amp;C'!$BK$54/1000</f>
        <v>0.73762998000000002</v>
      </c>
      <c r="AJ211" s="27">
        <f>+'[1]Total P&amp;C'!$BK$55/1000</f>
        <v>0.29996221969585918</v>
      </c>
      <c r="AL211" s="202"/>
      <c r="AM211" s="9"/>
      <c r="AN211" s="37" t="s">
        <v>34</v>
      </c>
      <c r="AT211" s="19">
        <f>+[2]Retail!$BK$53/1000</f>
        <v>1.9368036399999995</v>
      </c>
      <c r="AU211" s="19">
        <f>+[2]Retail!$BK$54/1000</f>
        <v>0.59894330000000096</v>
      </c>
      <c r="AV211" s="19">
        <f>+[2]Retail!$BK$55/1000</f>
        <v>0.30732288477549918</v>
      </c>
      <c r="AW211" s="6"/>
      <c r="AX211" s="19">
        <f>+[2]SME!$BK$53/1000</f>
        <v>0</v>
      </c>
      <c r="AY211" s="19">
        <f>+[2]SME!$BK$54/1000</f>
        <v>1.4131880399999992</v>
      </c>
      <c r="AZ211" s="19">
        <f>+[2]SME!$BK$55/1000</f>
        <v>0</v>
      </c>
      <c r="BA211" s="6"/>
      <c r="BB211" s="19">
        <f>+[2]MidCorp!$BK$53/1000</f>
        <v>3.3256432700000094</v>
      </c>
      <c r="BC211" s="19">
        <f>+[2]MidCorp!$BK$54/1000</f>
        <v>1.181839299999998</v>
      </c>
      <c r="BD211" s="19">
        <f>+[2]MidCorp!$BK$55/1000</f>
        <v>1.6419232591371784</v>
      </c>
      <c r="BJ211" s="19">
        <f>+[2]Specials!$BK$53/1000</f>
        <v>0</v>
      </c>
      <c r="BK211" s="19">
        <f>+[2]Specials!$BK$54/1000</f>
        <v>0</v>
      </c>
      <c r="BL211" s="19">
        <f>+[2]Specials!$BK$55/1000</f>
        <v>0</v>
      </c>
      <c r="BM211" s="6"/>
      <c r="BN211" s="27">
        <f>+'[2]Total P&amp;C'!$BK$53/1000</f>
        <v>5.2624469100000084</v>
      </c>
      <c r="BO211" s="27">
        <f>+'[2]Total P&amp;C'!$BK$54/1000</f>
        <v>3.1939706399999968</v>
      </c>
      <c r="BP211" s="27">
        <f>+'[2]Total P&amp;C'!$BK$55/1000</f>
        <v>1.9492461439126794</v>
      </c>
      <c r="BR211" s="27">
        <f>+'[3]Total P&amp;C'!$BK$53/1000</f>
        <v>5.7841657800000084</v>
      </c>
      <c r="BS211" s="27">
        <f>+'[3]Total P&amp;C'!$BK$54/1000</f>
        <v>3.9316006199999958</v>
      </c>
      <c r="BT211" s="27">
        <f>+'[3]Total P&amp;C'!$BK$55/1000</f>
        <v>2.2492083636085374</v>
      </c>
    </row>
    <row r="212" spans="2:72" hidden="1" outlineLevel="1" x14ac:dyDescent="0.25">
      <c r="B212"/>
      <c r="C212"/>
      <c r="D212"/>
      <c r="J212" s="47"/>
      <c r="K212" s="47"/>
      <c r="L212" s="47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L212"/>
      <c r="AM212"/>
      <c r="AN212"/>
      <c r="AT212" s="47"/>
      <c r="AU212" s="47"/>
      <c r="AV212" s="47"/>
      <c r="AW212"/>
      <c r="AX212"/>
      <c r="AY212"/>
      <c r="AZ212"/>
      <c r="BA212"/>
      <c r="BB212"/>
      <c r="BC212"/>
      <c r="BD212"/>
      <c r="BJ212"/>
      <c r="BK212"/>
      <c r="BL212"/>
      <c r="BM212"/>
      <c r="BN212"/>
      <c r="BO212"/>
      <c r="BP212"/>
      <c r="BR212"/>
      <c r="BS212"/>
      <c r="BT212"/>
    </row>
    <row r="213" spans="2:72" ht="16.5" customHeight="1" collapsed="1" x14ac:dyDescent="0.25">
      <c r="B213" s="203" t="s">
        <v>46</v>
      </c>
      <c r="C213" s="9"/>
      <c r="D213" s="49" t="s">
        <v>19</v>
      </c>
      <c r="J213" s="23"/>
      <c r="K213" s="23"/>
      <c r="L213" s="23"/>
      <c r="M213" s="6"/>
      <c r="N213" s="23"/>
      <c r="O213" s="23"/>
      <c r="P213" s="23"/>
      <c r="Q213" s="6"/>
      <c r="R213" s="23"/>
      <c r="S213" s="23"/>
      <c r="T213" s="23"/>
      <c r="U213" s="6"/>
      <c r="V213" s="23"/>
      <c r="W213" s="23"/>
      <c r="X213" s="23"/>
      <c r="Y213" s="6"/>
      <c r="Z213" s="23"/>
      <c r="AA213" s="23"/>
      <c r="AB213" s="23"/>
      <c r="AC213" s="6"/>
      <c r="AD213" s="23"/>
      <c r="AE213" s="23"/>
      <c r="AF213" s="23"/>
      <c r="AG213" s="6"/>
      <c r="AH213" s="53"/>
      <c r="AI213" s="53"/>
      <c r="AJ213" s="53"/>
      <c r="AL213" s="203" t="s">
        <v>46</v>
      </c>
      <c r="AM213" s="9"/>
      <c r="AN213" s="49" t="s">
        <v>19</v>
      </c>
      <c r="AT213" s="23">
        <f>+[2]Retail!$C$65/1000</f>
        <v>29.674559419999994</v>
      </c>
      <c r="AU213" s="23">
        <f>+[2]Retail!$C$66/1000</f>
        <v>30.062927900000005</v>
      </c>
      <c r="AV213" s="23">
        <f>+[2]Retail!$C$67/1000</f>
        <v>32.077891655640904</v>
      </c>
      <c r="AW213" s="6"/>
      <c r="AX213" s="23">
        <f>+[2]SME!$C$65/1000</f>
        <v>14.556769779999994</v>
      </c>
      <c r="AY213" s="23">
        <f>+[2]SME!$C$66/1000</f>
        <v>16.994235950000004</v>
      </c>
      <c r="AZ213" s="23">
        <f>+[2]SME!$C$67/1000</f>
        <v>15.062325280031864</v>
      </c>
      <c r="BA213" s="6"/>
      <c r="BB213" s="23">
        <f>+[2]MidCorp!$C$65/1000</f>
        <v>60.707629340000011</v>
      </c>
      <c r="BC213" s="23">
        <f>+[2]MidCorp!$C$66/1000</f>
        <v>59.773017500000016</v>
      </c>
      <c r="BD213" s="23">
        <f>+[2]MidCorp!$C$67/1000</f>
        <v>61.905927512799884</v>
      </c>
      <c r="BJ213" s="23">
        <f>+[2]Specials!$C$65/1000</f>
        <v>0</v>
      </c>
      <c r="BK213" s="23">
        <f>+[2]Specials!$C$66/1000</f>
        <v>0</v>
      </c>
      <c r="BL213" s="23">
        <f>+[2]Specials!$C$67/1000</f>
        <v>0</v>
      </c>
      <c r="BM213" s="6"/>
      <c r="BN213" s="53">
        <f>+'[2]Total P&amp;C'!$C$65/1000</f>
        <v>104.93895854000002</v>
      </c>
      <c r="BO213" s="53">
        <f>+'[2]Total P&amp;C'!$C$66/1000</f>
        <v>106.83018135000003</v>
      </c>
      <c r="BP213" s="53">
        <f>+'[2]Total P&amp;C'!$C$67/1000</f>
        <v>109.04614444847267</v>
      </c>
      <c r="BR213" s="53">
        <f>+'[2]Total P&amp;C'!$C$65/1000</f>
        <v>104.93895854000002</v>
      </c>
      <c r="BS213" s="53">
        <f>+'[2]Total P&amp;C'!$C$66/1000</f>
        <v>106.83018135000003</v>
      </c>
      <c r="BT213" s="53">
        <f>+'[2]Total P&amp;C'!$C$67/1000</f>
        <v>109.04614444847267</v>
      </c>
    </row>
    <row r="214" spans="2:72" ht="16.5" customHeight="1" x14ac:dyDescent="0.25">
      <c r="B214" s="203"/>
      <c r="C214" s="9"/>
      <c r="D214" s="49" t="s">
        <v>20</v>
      </c>
      <c r="J214" s="23"/>
      <c r="K214" s="23"/>
      <c r="L214" s="23"/>
      <c r="M214" s="6"/>
      <c r="N214" s="23"/>
      <c r="O214" s="23"/>
      <c r="P214" s="23"/>
      <c r="Q214" s="6"/>
      <c r="R214" s="23"/>
      <c r="S214" s="23"/>
      <c r="T214" s="23"/>
      <c r="U214" s="6"/>
      <c r="V214" s="23"/>
      <c r="W214" s="23"/>
      <c r="X214" s="23"/>
      <c r="Y214" s="6"/>
      <c r="Z214" s="23"/>
      <c r="AA214" s="23"/>
      <c r="AB214" s="23"/>
      <c r="AC214" s="6"/>
      <c r="AD214" s="23"/>
      <c r="AE214" s="23"/>
      <c r="AF214" s="23"/>
      <c r="AG214" s="6"/>
      <c r="AH214" s="53"/>
      <c r="AI214" s="53"/>
      <c r="AJ214" s="53"/>
      <c r="AL214" s="203"/>
      <c r="AM214" s="9"/>
      <c r="AN214" s="49" t="s">
        <v>20</v>
      </c>
      <c r="AT214" s="23">
        <f>+[2]Retail!$N$65/1000</f>
        <v>29.126700190000005</v>
      </c>
      <c r="AU214" s="23">
        <f>+[2]Retail!$N$66/1000</f>
        <v>29.117869420000005</v>
      </c>
      <c r="AV214" s="23">
        <f>+[2]Retail!$N$67/1000</f>
        <v>30.893379012667808</v>
      </c>
      <c r="AW214" s="6"/>
      <c r="AX214" s="23">
        <f>+[2]SME!$N$65/1000</f>
        <v>10.072817480000003</v>
      </c>
      <c r="AY214" s="23">
        <f>+[2]SME!$N$66/1000</f>
        <v>12.057115209999996</v>
      </c>
      <c r="AZ214" s="23">
        <f>+[2]SME!$N$67/1000</f>
        <v>10.613611365466951</v>
      </c>
      <c r="BA214" s="6"/>
      <c r="BB214" s="23">
        <f>+[2]MidCorp!$N$65/1000</f>
        <v>34.899477100000013</v>
      </c>
      <c r="BC214" s="23">
        <f>+[2]MidCorp!$N$66/1000</f>
        <v>34.311870859999992</v>
      </c>
      <c r="BD214" s="23">
        <f>+[2]MidCorp!$N$67/1000</f>
        <v>37.428562823673687</v>
      </c>
      <c r="BJ214" s="23">
        <f>+[2]Specials!$N$65/1000</f>
        <v>0</v>
      </c>
      <c r="BK214" s="23">
        <f>+[2]Specials!$N$66/1000</f>
        <v>0</v>
      </c>
      <c r="BL214" s="23">
        <f>+[2]Specials!$N$67/1000</f>
        <v>0</v>
      </c>
      <c r="BM214" s="6"/>
      <c r="BN214" s="53">
        <f>+'[2]Total P&amp;C'!$N$65/1000</f>
        <v>74.098994770000019</v>
      </c>
      <c r="BO214" s="53">
        <f>+'[2]Total P&amp;C'!$N$66/1000</f>
        <v>75.486855489999996</v>
      </c>
      <c r="BP214" s="53">
        <f>+'[2]Total P&amp;C'!$N$67/1000</f>
        <v>78.93555320180846</v>
      </c>
      <c r="BR214" s="53">
        <f>+'[2]Total P&amp;C'!$N$65/1000</f>
        <v>74.098994770000019</v>
      </c>
      <c r="BS214" s="53">
        <f>+'[2]Total P&amp;C'!$N$66/1000</f>
        <v>75.486855489999996</v>
      </c>
      <c r="BT214" s="53">
        <f>+'[2]Total P&amp;C'!$N$67/1000</f>
        <v>78.93555320180846</v>
      </c>
    </row>
    <row r="215" spans="2:72" ht="16.5" customHeight="1" x14ac:dyDescent="0.25">
      <c r="B215" s="203"/>
      <c r="C215" s="9"/>
      <c r="D215" s="49" t="s">
        <v>21</v>
      </c>
      <c r="J215" s="24"/>
      <c r="K215" s="24"/>
      <c r="L215" s="24"/>
      <c r="M215" s="6"/>
      <c r="N215" s="24"/>
      <c r="O215" s="24"/>
      <c r="P215" s="24"/>
      <c r="Q215" s="6"/>
      <c r="R215" s="24"/>
      <c r="S215" s="24"/>
      <c r="T215" s="24"/>
      <c r="U215" s="6"/>
      <c r="V215" s="24"/>
      <c r="W215" s="24"/>
      <c r="X215" s="24"/>
      <c r="Y215" s="6"/>
      <c r="Z215" s="24"/>
      <c r="AA215" s="24"/>
      <c r="AB215" s="24"/>
      <c r="AC215" s="6"/>
      <c r="AD215" s="24"/>
      <c r="AE215" s="24"/>
      <c r="AF215" s="24"/>
      <c r="AG215" s="6"/>
      <c r="AH215" s="54"/>
      <c r="AI215" s="54"/>
      <c r="AJ215" s="54"/>
      <c r="AL215" s="203"/>
      <c r="AM215" s="9"/>
      <c r="AN215" s="49" t="s">
        <v>21</v>
      </c>
      <c r="AT215" s="24">
        <f>+AT216+AT221+AT222+AT223+AT224</f>
        <v>0.85754981776396033</v>
      </c>
      <c r="AU215" s="24">
        <f>+AU216+AU221+AU222+AU223+AU224</f>
        <v>0.86709322498225494</v>
      </c>
      <c r="AV215" s="24">
        <f>+AV216+AV221+AV222+AV223+AV224</f>
        <v>0.96124953161017013</v>
      </c>
      <c r="AW215" s="6"/>
      <c r="AX215" s="24">
        <f>+AX216+AX221+AX222+AX223+AX224</f>
        <v>1.1599205965161596</v>
      </c>
      <c r="AY215" s="24">
        <f>+AY216+AY221+AY222+AY223+AY224</f>
        <v>0.83404053331592909</v>
      </c>
      <c r="AZ215" s="24">
        <f>+AZ216+AZ221+AZ222+AZ223+AZ224</f>
        <v>1.1201069168916948</v>
      </c>
      <c r="BA215" s="6"/>
      <c r="BB215" s="24">
        <f>+BB216+BB221+BB222+BB223+BB224</f>
        <v>0.95146282664504422</v>
      </c>
      <c r="BC215" s="24">
        <f>+BC216+BC221+BC222+BC223+BC224</f>
        <v>1.0942587838825881</v>
      </c>
      <c r="BD215" s="24">
        <f>+BD216+BD221+BD222+BD223+BD224</f>
        <v>0.98254888846058341</v>
      </c>
      <c r="BJ215" s="24" t="e">
        <f>+BJ216+BJ221+BJ222+BJ223+BJ224</f>
        <v>#DIV/0!</v>
      </c>
      <c r="BK215" s="24" t="e">
        <f>+BK216+BK221+BK222+BK223+BK224</f>
        <v>#DIV/0!</v>
      </c>
      <c r="BL215" s="24" t="e">
        <f>+BL216+BL221+BL222+BL223+BL224</f>
        <v>#DIV/0!</v>
      </c>
      <c r="BM215" s="6"/>
      <c r="BN215" s="54">
        <f>+BN216+BN221+BN222+BN223+BN224</f>
        <v>0.94289409251590584</v>
      </c>
      <c r="BO215" s="54">
        <f>+BO216+BO221+BO222+BO223+BO224</f>
        <v>0.96526263264009748</v>
      </c>
      <c r="BP215" s="54">
        <f>+BP216+BP221+BP222+BP223+BP224</f>
        <v>0.99270880142162177</v>
      </c>
      <c r="BR215" s="54">
        <f>+BR216+BR221+BR222+BR223+BR224</f>
        <v>0.94289409251590584</v>
      </c>
      <c r="BS215" s="54">
        <f>+BS216+BS221+BS222+BS223+BS224</f>
        <v>0.96526263264009748</v>
      </c>
      <c r="BT215" s="54">
        <f>+BT216+BT221+BT222+BT223+BT224</f>
        <v>0.99270880142162177</v>
      </c>
    </row>
    <row r="216" spans="2:72" ht="16.5" customHeight="1" x14ac:dyDescent="0.25">
      <c r="B216" s="203"/>
      <c r="C216" s="9"/>
      <c r="D216" s="49" t="s">
        <v>22</v>
      </c>
      <c r="J216" s="24"/>
      <c r="K216" s="24"/>
      <c r="L216" s="24"/>
      <c r="M216" s="6"/>
      <c r="N216" s="24"/>
      <c r="O216" s="24"/>
      <c r="P216" s="24"/>
      <c r="Q216" s="6"/>
      <c r="R216" s="24"/>
      <c r="S216" s="24"/>
      <c r="T216" s="24"/>
      <c r="U216" s="6"/>
      <c r="V216" s="24"/>
      <c r="W216" s="24"/>
      <c r="X216" s="24"/>
      <c r="Y216" s="6"/>
      <c r="Z216" s="24"/>
      <c r="AA216" s="24"/>
      <c r="AB216" s="24"/>
      <c r="AC216" s="6"/>
      <c r="AD216" s="24"/>
      <c r="AE216" s="24"/>
      <c r="AF216" s="24"/>
      <c r="AG216" s="6"/>
      <c r="AH216" s="54"/>
      <c r="AI216" s="54"/>
      <c r="AJ216" s="54"/>
      <c r="AL216" s="203"/>
      <c r="AM216" s="9"/>
      <c r="AN216" s="49" t="s">
        <v>22</v>
      </c>
      <c r="AT216" s="24">
        <f>+AT217+AT218+AT219+AT220</f>
        <v>0.63207316619823362</v>
      </c>
      <c r="AU216" s="24">
        <f>+AU217+AU218+AU219+AU220</f>
        <v>0.72470001378280791</v>
      </c>
      <c r="AV216" s="24">
        <f>+AV217+AV218+AV219+AV220</f>
        <v>0.59072005426526675</v>
      </c>
      <c r="AW216" s="6"/>
      <c r="AX216" s="24">
        <f>+AX217+AX218+AX219+AX220</f>
        <v>0.69783477402987737</v>
      </c>
      <c r="AY216" s="24">
        <f>+AY217+AY218+AY219+AY220</f>
        <v>0.47238867347606628</v>
      </c>
      <c r="AZ216" s="24">
        <f>+AZ217+AZ218+AZ219+AZ220</f>
        <v>0.6385523170684374</v>
      </c>
      <c r="BA216" s="6"/>
      <c r="BB216" s="24">
        <f>+BB217+BB218+BB219+BB220</f>
        <v>0.64659520242496693</v>
      </c>
      <c r="BC216" s="24">
        <f>+BC217+BC218+BC219+BC220</f>
        <v>0.68144700285806603</v>
      </c>
      <c r="BD216" s="24">
        <f>+BD217+BD218+BD219+BD220</f>
        <v>0.64230851450427207</v>
      </c>
      <c r="BJ216" s="24" t="e">
        <f>+BJ217+BJ218+BJ219+BJ220</f>
        <v>#DIV/0!</v>
      </c>
      <c r="BK216" s="24" t="e">
        <f>+BK217+BK218+BK219+BK220</f>
        <v>#DIV/0!</v>
      </c>
      <c r="BL216" s="24" t="e">
        <f>+BL217+BL218+BL219+BL220</f>
        <v>#DIV/0!</v>
      </c>
      <c r="BM216" s="6"/>
      <c r="BN216" s="54">
        <f>+BN217+BN218+BN219+BN220</f>
        <v>0.64785227558087677</v>
      </c>
      <c r="BO216" s="54">
        <f>+BO217+BO218+BO219+BO220</f>
        <v>0.66473939422006278</v>
      </c>
      <c r="BP216" s="54">
        <f>+BP217+BP218+BP219+BP220</f>
        <v>0.62161304068573897</v>
      </c>
      <c r="BR216" s="54">
        <f>+BR217+BR218+BR219+BR220</f>
        <v>0.64785227558087677</v>
      </c>
      <c r="BS216" s="54">
        <f>+BS217+BS218+BS219+BS220</f>
        <v>0.66473939422006278</v>
      </c>
      <c r="BT216" s="54">
        <f>+BT217+BT218+BT219+BT220</f>
        <v>0.62161304068573897</v>
      </c>
    </row>
    <row r="217" spans="2:72" ht="16.5" customHeight="1" x14ac:dyDescent="0.25">
      <c r="B217" s="203"/>
      <c r="C217" s="9"/>
      <c r="D217" s="48" t="s">
        <v>23</v>
      </c>
      <c r="J217" s="51"/>
      <c r="K217" s="51"/>
      <c r="L217" s="51"/>
      <c r="M217" s="6"/>
      <c r="N217" s="24"/>
      <c r="O217" s="24"/>
      <c r="P217" s="24"/>
      <c r="Q217" s="6"/>
      <c r="R217" s="24"/>
      <c r="S217" s="24"/>
      <c r="T217" s="24"/>
      <c r="U217" s="6"/>
      <c r="V217" s="24"/>
      <c r="W217" s="24"/>
      <c r="X217" s="24"/>
      <c r="Y217" s="6"/>
      <c r="Z217" s="24"/>
      <c r="AA217" s="24"/>
      <c r="AB217" s="24"/>
      <c r="AC217" s="6"/>
      <c r="AD217" s="24"/>
      <c r="AE217" s="24"/>
      <c r="AF217" s="24"/>
      <c r="AG217" s="6"/>
      <c r="AH217" s="54"/>
      <c r="AI217" s="54"/>
      <c r="AJ217" s="54"/>
      <c r="AL217" s="203"/>
      <c r="AM217" s="9"/>
      <c r="AN217" s="48" t="s">
        <v>23</v>
      </c>
      <c r="AT217" s="24">
        <f>-SUM([2]Retail!$O$65,[2]Retail!$R$65:$V$65,[2]Retail!$Y$65,[2]Retail!$AB$65,[2]Retail!$AU$65,[2]Retail!$AX$65,[2]Retail!$BA$65,[2]Retail!$BD$65)/1000/AT214</f>
        <v>0.53716866887539827</v>
      </c>
      <c r="AU217" s="51">
        <f>-SUM([2]Retail!$O$66,[2]Retail!$R$66:$V$66,[2]Retail!$Y$66,[2]Retail!$AB$66,[2]Retail!$AU$66,[2]Retail!$AX$66,[2]Retail!$BA$66,[2]Retail!$BD$66)/1000/AU214</f>
        <v>0.6036281558405312</v>
      </c>
      <c r="AV217" s="51">
        <f>-SUM([2]Retail!$O$67,[2]Retail!$R$67:$V$67,[2]Retail!$Y$67,[2]Retail!$AB$67,[2]Retail!$AU$67,[2]Retail!$AX$67,[2]Retail!$BA$67,[2]Retail!$BD$67)/1000/AV214</f>
        <v>0.45529360731780372</v>
      </c>
      <c r="AW217" s="6"/>
      <c r="AX217" s="24">
        <f>-SUM([2]SME!$O$65,[2]SME!$R$65:$V$65,[2]SME!$Y$65,[2]SME!$AB$65,[2]SME!$AU$65,[2]SME!$AX$65,[2]SME!$BA$65,[2]SME!$BD$65)/1000/AX214</f>
        <v>0.53642404052446024</v>
      </c>
      <c r="AY217" s="24">
        <f>-SUM([2]SME!$O$66,[2]SME!$R$66:$V$66,[2]SME!$Y$66,[2]SME!$AB$66,[2]SME!$AU$66,[2]SME!$AX$66,[2]SME!$BA$66,[2]SME!$BD$66)/1000/AY214</f>
        <v>0.39882482138113379</v>
      </c>
      <c r="AZ217" s="24">
        <f>-SUM([2]SME!$O$67,[2]SME!$R$67:$V$67,[2]SME!$Y$67,[2]SME!$AB$67,[2]SME!$AU$67,[2]SME!$AX$67,[2]SME!$BA$67,[2]SME!$BD$67)/1000/AZ214</f>
        <v>0.46760677151756191</v>
      </c>
      <c r="BA217" s="6"/>
      <c r="BB217" s="24">
        <f>-SUM([2]MidCorp!$O$65,[2]MidCorp!$R$65:$V$65,[2]MidCorp!$Y$65,[2]MidCorp!$AB$65,[2]MidCorp!$AU$65,[2]MidCorp!$AX$65,[2]MidCorp!$BA$65,[2]MidCorp!$BD$65)/1000/BB214</f>
        <v>0.44827739895145841</v>
      </c>
      <c r="BC217" s="24">
        <f>-SUM([2]MidCorp!$O$66,[2]MidCorp!$R$66:$V$66,[2]MidCorp!$Y$66,[2]MidCorp!$AB$66,[2]MidCorp!$AU$66,[2]MidCorp!$AX$66,[2]MidCorp!$BA$66,[2]MidCorp!$BD$66)/1000/BC214</f>
        <v>0.52405593251874361</v>
      </c>
      <c r="BD217" s="24">
        <f>-SUM([2]MidCorp!$O$67,[2]MidCorp!$R$67:$V$67,[2]MidCorp!$Y$67,[2]MidCorp!$AB$67,[2]MidCorp!$AU$67,[2]MidCorp!$AX$67,[2]MidCorp!$BA$67,[2]MidCorp!$BD$67)/1000/BD214</f>
        <v>0.41467048668139328</v>
      </c>
      <c r="BJ217" s="24" t="e">
        <f>-SUM([2]Specials!$O$65,[2]Specials!$R$65:$V$65,[2]Specials!$Y$65,[2]Specials!$AB$65,[2]Specials!$AU$65,[2]Specials!$AX$65,[2]Specials!$BA$65,[2]Specials!$BD$65)/1000/BJ214</f>
        <v>#DIV/0!</v>
      </c>
      <c r="BK217" s="24" t="e">
        <f>-SUM([2]Specials!$O$66,[2]Specials!$R$66:$V$66,[2]Specials!$Y$66,[2]Specials!$AB$66,[2]Specials!$AU$66,[2]Specials!$AX$66,[2]Specials!$BA$66,[2]Specials!$BD$66)/1000/BK214</f>
        <v>#DIV/0!</v>
      </c>
      <c r="BL217" s="24" t="e">
        <f>-SUM([2]Specials!$O$67,[2]Specials!$R$67:$V$67,[2]Specials!$Y$67,[2]Specials!$AB$67,[2]Specials!$AU$67,[2]Specials!$AX$67,[2]Specials!$BA$67,[2]Specials!$BD$67)/1000/BL214</f>
        <v>#DIV/0!</v>
      </c>
      <c r="BM217" s="6"/>
      <c r="BN217" s="54">
        <f>-SUM('[2]Total P&amp;C'!$O$65,'[2]Total P&amp;C'!$R$65:$V$65,'[2]Total P&amp;C'!$Y$65,'[2]Total P&amp;C'!$AB$65,'[2]Total P&amp;C'!$AU$65,'[2]Total P&amp;C'!$AX$65,'[2]Total P&amp;C'!$BA$65,'[2]Total P&amp;C'!$BD$65)/1000/BN214</f>
        <v>0.49520103686875033</v>
      </c>
      <c r="BO217" s="54">
        <f>-SUM('[2]Total P&amp;C'!$O$66,'[2]Total P&amp;C'!$R$66:$V$66,'[2]Total P&amp;C'!$Y$66,'[2]Total P&amp;C'!$AB$66,'[2]Total P&amp;C'!$AU$66,'[2]Total P&amp;C'!$AX$66,'[2]Total P&amp;C'!$BA$66,'[2]Total P&amp;C'!$BD$66)/1000/BO214</f>
        <v>0.53474716701303693</v>
      </c>
      <c r="BP217" s="54">
        <f>-SUM('[2]Total P&amp;C'!$O$67,'[2]Total P&amp;C'!$R$67:$V$67,'[2]Total P&amp;C'!$Y$67,'[2]Total P&amp;C'!$AB$67,'[2]Total P&amp;C'!$AU$67,'[2]Total P&amp;C'!$AX$67,'[2]Total P&amp;C'!$BA$67,'[2]Total P&amp;C'!$BD$67)/1000/BP214</f>
        <v>0.43768711915162828</v>
      </c>
      <c r="BR217" s="54">
        <f>-SUM('[2]Total P&amp;C'!$O$65,'[2]Total P&amp;C'!$R$65:$V$65,'[2]Total P&amp;C'!$Y$65,'[2]Total P&amp;C'!$AB$65,'[2]Total P&amp;C'!$AU$65,'[2]Total P&amp;C'!$AX$65,'[2]Total P&amp;C'!$BA$65,'[2]Total P&amp;C'!$BD$65)/1000/BR214</f>
        <v>0.49520103686875033</v>
      </c>
      <c r="BS217" s="54">
        <f>-SUM('[2]Total P&amp;C'!$O$66,'[2]Total P&amp;C'!$R$66:$V$66,'[2]Total P&amp;C'!$Y$66,'[2]Total P&amp;C'!$AB$66,'[2]Total P&amp;C'!$AU$66,'[2]Total P&amp;C'!$AX$66,'[2]Total P&amp;C'!$BA$66,'[2]Total P&amp;C'!$BD$66)/1000/BS214</f>
        <v>0.53474716701303693</v>
      </c>
      <c r="BT217" s="54">
        <f>-SUM('[2]Total P&amp;C'!$O$67,'[2]Total P&amp;C'!$R$67:$V$67,'[2]Total P&amp;C'!$Y$67,'[2]Total P&amp;C'!$AB$67,'[2]Total P&amp;C'!$AU$67,'[2]Total P&amp;C'!$AX$67,'[2]Total P&amp;C'!$BA$67,'[2]Total P&amp;C'!$BD$67)/1000/BT214</f>
        <v>0.43768711915162828</v>
      </c>
    </row>
    <row r="218" spans="2:72" ht="16.5" customHeight="1" x14ac:dyDescent="0.25">
      <c r="B218" s="203"/>
      <c r="C218" s="9"/>
      <c r="D218" s="48" t="s">
        <v>24</v>
      </c>
      <c r="J218" s="51"/>
      <c r="K218" s="51"/>
      <c r="L218" s="51"/>
      <c r="M218" s="7"/>
      <c r="N218" s="24"/>
      <c r="O218" s="24"/>
      <c r="P218" s="24"/>
      <c r="Q218" s="7"/>
      <c r="R218" s="24"/>
      <c r="S218" s="24"/>
      <c r="T218" s="24"/>
      <c r="U218" s="7"/>
      <c r="V218" s="24"/>
      <c r="W218" s="24"/>
      <c r="X218" s="24"/>
      <c r="Y218" s="7"/>
      <c r="Z218" s="24"/>
      <c r="AA218" s="24"/>
      <c r="AB218" s="24"/>
      <c r="AC218" s="7"/>
      <c r="AD218" s="24"/>
      <c r="AE218" s="24"/>
      <c r="AF218" s="24"/>
      <c r="AG218" s="7"/>
      <c r="AH218" s="54"/>
      <c r="AI218" s="54"/>
      <c r="AJ218" s="54"/>
      <c r="AL218" s="203"/>
      <c r="AM218" s="9"/>
      <c r="AN218" s="48" t="s">
        <v>24</v>
      </c>
      <c r="AT218" s="24">
        <f>-([2]Retail!$P$65+[2]Retail!$W$65+[2]Retail!$AV$65+[2]Retail!$AY$65)/1000/AT214</f>
        <v>5.1906102996145823E-3</v>
      </c>
      <c r="AU218" s="51">
        <f>-([2]Retail!$P$66+[2]Retail!$W$66+[2]Retail!$AV$66+[2]Retail!$AY$66)/1000/AU214</f>
        <v>0</v>
      </c>
      <c r="AV218" s="51">
        <f>-([2]Retail!$P$67+[2]Retail!$W$67+[2]Retail!$AV$67+[2]Retail!$AY$67)/1000/AV214</f>
        <v>3.3309496502381561E-2</v>
      </c>
      <c r="AW218" s="7"/>
      <c r="AX218" s="24">
        <f>-([2]SME!$P$65+[2]SME!$W$65+[2]SME!$AV$65+[2]SME!$AY$65)/1000/AX214</f>
        <v>2.8729439461658932E-3</v>
      </c>
      <c r="AY218" s="24">
        <f>-([2]SME!$P$66+[2]SME!$W$66+[2]SME!$AV$66+[2]SME!$AY$66)/1000/AY214</f>
        <v>0</v>
      </c>
      <c r="AZ218" s="24">
        <f>-([2]SME!$P$67+[2]SME!$W$67+[2]SME!$AV$67+[2]SME!$AY$67)/1000/AZ214</f>
        <v>3.2882437319438684E-2</v>
      </c>
      <c r="BA218" s="7"/>
      <c r="BB218" s="24">
        <f>-([2]MidCorp!$P$65+[2]MidCorp!$W$65+[2]MidCorp!$AV$65+[2]MidCorp!$AY$65)/1000/BB214</f>
        <v>2.0666791021920492E-3</v>
      </c>
      <c r="BC218" s="24">
        <f>-([2]MidCorp!$P$66+[2]MidCorp!$W$66+[2]MidCorp!$AV$66+[2]MidCorp!$AY$66)/1000/BC214</f>
        <v>0</v>
      </c>
      <c r="BD218" s="24">
        <f>-([2]MidCorp!$P$67+[2]MidCorp!$W$67+[2]MidCorp!$AV$67+[2]MidCorp!$AY$67)/1000/BD214</f>
        <v>2.4944807379818204E-2</v>
      </c>
      <c r="BJ218" s="24" t="e">
        <f>-([2]Specials!$P$65+[2]Specials!$W$65+[2]Specials!$AV$65+[2]Specials!$AY$65)/1000/BJ214</f>
        <v>#DIV/0!</v>
      </c>
      <c r="BK218" s="24" t="e">
        <f>-([2]Specials!$P$66+[2]Specials!$W$66+[2]Specials!$AV$66+[2]Specials!$AY$66)/1000/BK214</f>
        <v>#DIV/0!</v>
      </c>
      <c r="BL218" s="24" t="e">
        <f>-([2]Specials!$P$67+[2]Specials!$W$67+[2]Specials!$AV$67+[2]Specials!$AY$67)/1000/BL214</f>
        <v>#DIV/0!</v>
      </c>
      <c r="BM218" s="7"/>
      <c r="BN218" s="54">
        <f>-('[2]Total P&amp;C'!$P$65+'[2]Total P&amp;C'!$W$65+'[2]Total P&amp;C'!$AV$65+'[2]Total P&amp;C'!$AY$65)/1000/BN214</f>
        <v>3.4042298520104465E-3</v>
      </c>
      <c r="BO218" s="54">
        <f>-('[2]Total P&amp;C'!$P$66+'[2]Total P&amp;C'!$W$66+'[2]Total P&amp;C'!$AV$66+'[2]Total P&amp;C'!$AY$66)/1000/BO214</f>
        <v>0</v>
      </c>
      <c r="BP218" s="54">
        <f>-('[2]Total P&amp;C'!$P$67+'[2]Total P&amp;C'!$W$67+'[2]Total P&amp;C'!$AV$67+'[2]Total P&amp;C'!$AY$67)/1000/BP214</f>
        <v>2.9285822509622417E-2</v>
      </c>
      <c r="BR218" s="54">
        <f>-('[2]Total P&amp;C'!$P$65+'[2]Total P&amp;C'!$W$65+'[2]Total P&amp;C'!$AV$65+'[2]Total P&amp;C'!$AY$65)/1000/BR214</f>
        <v>3.4042298520104465E-3</v>
      </c>
      <c r="BS218" s="54">
        <f>-('[2]Total P&amp;C'!$P$66+'[2]Total P&amp;C'!$W$66+'[2]Total P&amp;C'!$AV$66+'[2]Total P&amp;C'!$AY$66)/1000/BS214</f>
        <v>0</v>
      </c>
      <c r="BT218" s="54">
        <f>-('[2]Total P&amp;C'!$P$67+'[2]Total P&amp;C'!$W$67+'[2]Total P&amp;C'!$AV$67+'[2]Total P&amp;C'!$AY$67)/1000/BT214</f>
        <v>2.9285822509622417E-2</v>
      </c>
    </row>
    <row r="219" spans="2:72" ht="16.5" customHeight="1" x14ac:dyDescent="0.25">
      <c r="B219" s="203"/>
      <c r="C219" s="9"/>
      <c r="D219" s="48" t="s">
        <v>25</v>
      </c>
      <c r="J219" s="51"/>
      <c r="K219" s="51"/>
      <c r="L219" s="51"/>
      <c r="M219" s="7"/>
      <c r="N219" s="24"/>
      <c r="O219" s="24"/>
      <c r="P219" s="24"/>
      <c r="Q219" s="7"/>
      <c r="R219" s="24"/>
      <c r="S219" s="24"/>
      <c r="T219" s="24"/>
      <c r="U219" s="7"/>
      <c r="V219" s="24"/>
      <c r="W219" s="24"/>
      <c r="X219" s="24"/>
      <c r="Y219" s="7"/>
      <c r="Z219" s="24"/>
      <c r="AA219" s="24"/>
      <c r="AB219" s="24"/>
      <c r="AC219" s="7"/>
      <c r="AD219" s="52"/>
      <c r="AE219" s="24"/>
      <c r="AF219" s="24"/>
      <c r="AG219" s="7"/>
      <c r="AH219" s="54"/>
      <c r="AI219" s="54"/>
      <c r="AJ219" s="54"/>
      <c r="AL219" s="203"/>
      <c r="AM219" s="9"/>
      <c r="AN219" s="48" t="s">
        <v>25</v>
      </c>
      <c r="AT219" s="24">
        <f>-([2]Retail!$Q$65+[2]Retail!$X$65+[2]Retail!$AW$65+[2]Retail!$AZ$65)/1000/AT214</f>
        <v>3.6155177666381773E-2</v>
      </c>
      <c r="AU219" s="51">
        <f>-([2]Retail!$Q$66+[2]Retail!$X$66+[2]Retail!$AW$66+[2]Retail!$AZ$66)/1000/AU214</f>
        <v>4.7352949493376761E-2</v>
      </c>
      <c r="AV219" s="51">
        <f>-([2]Retail!$Q$67+[2]Retail!$X$67+[2]Retail!$AW$67+[2]Retail!$AZ$67)/1000/AV214</f>
        <v>4.1629965828994336E-2</v>
      </c>
      <c r="AW219" s="7"/>
      <c r="AX219" s="24">
        <f>-([2]SME!$Q$65+[2]SME!$X$65+[2]SME!$AW$65+[2]SME!$AZ$65)/1000/AX214</f>
        <v>9.3363644261425363E-2</v>
      </c>
      <c r="AY219" s="24">
        <f>-([2]SME!$Q$66+[2]SME!$X$66+[2]SME!$AW$66+[2]SME!$AZ$66)/1000/AY214</f>
        <v>2.9898942966142573E-2</v>
      </c>
      <c r="AZ219" s="24">
        <f>-([2]SME!$Q$67+[2]SME!$X$67+[2]SME!$AW$67+[2]SME!$AZ$67)/1000/AZ214</f>
        <v>6.9344167009579918E-2</v>
      </c>
      <c r="BA219" s="7"/>
      <c r="BB219" s="24">
        <f>-([2]MidCorp!$Q$65+[2]MidCorp!$X$65+[2]MidCorp!$AW$65+[2]MidCorp!$AZ$65)/1000/BB214</f>
        <v>8.2999621242061769E-2</v>
      </c>
      <c r="BC219" s="24">
        <f>-([2]MidCorp!$Q$66+[2]MidCorp!$X$66+[2]MidCorp!$AW$66+[2]MidCorp!$AZ$66)/1000/BC214</f>
        <v>3.5286971233372155E-2</v>
      </c>
      <c r="BD219" s="24">
        <f>-([2]MidCorp!$Q$67+[2]MidCorp!$X$67+[2]MidCorp!$AW$67+[2]MidCorp!$AZ$67)/1000/BD214</f>
        <v>8.7625675395496386E-2</v>
      </c>
      <c r="BJ219" s="24" t="e">
        <f>-([2]Specials!$Q$65+[2]Specials!$X$65+[2]Specials!$AW$65+[2]Specials!$AZ$65)/1000/BJ214</f>
        <v>#DIV/0!</v>
      </c>
      <c r="BK219" s="24" t="e">
        <f>-([2]Specials!$Q$66+[2]Specials!$X$66+[2]Specials!$AW$66+[2]Specials!$AZ$66)/1000/BK214</f>
        <v>#DIV/0!</v>
      </c>
      <c r="BL219" s="24" t="e">
        <f>-([2]Specials!$Q$67+[2]Specials!$X$67+[2]Specials!$AW$67+[2]Specials!$AZ$67)/1000/BL214</f>
        <v>#DIV/0!</v>
      </c>
      <c r="BM219" s="7"/>
      <c r="BN219" s="54">
        <f>-('[2]Total P&amp;C'!$Q$65+'[2]Total P&amp;C'!$X$65+'[2]Total P&amp;C'!$AW$65+'[2]Total P&amp;C'!$AZ$65)/1000/BN214</f>
        <v>6.5994948570391801E-2</v>
      </c>
      <c r="BO219" s="54">
        <f>-('[2]Total P&amp;C'!$Q$66+'[2]Total P&amp;C'!$X$66+'[2]Total P&amp;C'!$AW$66+'[2]Total P&amp;C'!$AZ$66)/1000/BO214</f>
        <v>3.9080631731849072E-2</v>
      </c>
      <c r="BP219" s="54">
        <f>-('[2]Total P&amp;C'!$Q$67+'[2]Total P&amp;C'!$X$67+'[2]Total P&amp;C'!$AW$67+'[2]Total P&amp;C'!$AZ$67)/1000/BP214</f>
        <v>6.7166001037501491E-2</v>
      </c>
      <c r="BR219" s="54">
        <f>-('[2]Total P&amp;C'!$Q$65+'[2]Total P&amp;C'!$X$65+'[2]Total P&amp;C'!$AW$65+'[2]Total P&amp;C'!$AZ$65)/1000/BR214</f>
        <v>6.5994948570391801E-2</v>
      </c>
      <c r="BS219" s="54">
        <f>-('[2]Total P&amp;C'!$Q$66+'[2]Total P&amp;C'!$X$66+'[2]Total P&amp;C'!$AW$66+'[2]Total P&amp;C'!$AZ$66)/1000/BS214</f>
        <v>3.9080631731849072E-2</v>
      </c>
      <c r="BT219" s="54">
        <f>-('[2]Total P&amp;C'!$Q$67+'[2]Total P&amp;C'!$X$67+'[2]Total P&amp;C'!$AW$67+'[2]Total P&amp;C'!$AZ$67)/1000/BT214</f>
        <v>6.7166001037501491E-2</v>
      </c>
    </row>
    <row r="220" spans="2:72" ht="16.5" customHeight="1" x14ac:dyDescent="0.25">
      <c r="B220" s="203"/>
      <c r="C220" s="9"/>
      <c r="D220" s="48" t="s">
        <v>26</v>
      </c>
      <c r="J220" s="51"/>
      <c r="K220" s="51"/>
      <c r="L220" s="51"/>
      <c r="M220" s="7"/>
      <c r="N220" s="24"/>
      <c r="O220" s="24"/>
      <c r="P220" s="24"/>
      <c r="Q220" s="7"/>
      <c r="R220" s="24"/>
      <c r="S220" s="24"/>
      <c r="T220" s="24"/>
      <c r="U220" s="7"/>
      <c r="V220" s="24"/>
      <c r="W220" s="24"/>
      <c r="X220" s="24"/>
      <c r="Y220" s="7"/>
      <c r="Z220" s="24"/>
      <c r="AA220" s="24"/>
      <c r="AB220" s="24"/>
      <c r="AC220" s="7"/>
      <c r="AD220" s="52"/>
      <c r="AE220" s="24"/>
      <c r="AF220" s="24"/>
      <c r="AG220" s="7"/>
      <c r="AH220" s="54"/>
      <c r="AI220" s="54"/>
      <c r="AJ220" s="54"/>
      <c r="AL220" s="203"/>
      <c r="AM220" s="9"/>
      <c r="AN220" s="48" t="s">
        <v>26</v>
      </c>
      <c r="AT220" s="24">
        <f>-[2]Retail!$AT$65/1000/AT214</f>
        <v>5.3558709356839082E-2</v>
      </c>
      <c r="AU220" s="51">
        <f>-[2]Retail!$AT$66/1000/AU214</f>
        <v>7.3718908448899986E-2</v>
      </c>
      <c r="AV220" s="51">
        <f>-[2]Retail!$AT$67/1000/AV214</f>
        <v>6.0486984616087106E-2</v>
      </c>
      <c r="AW220" s="7"/>
      <c r="AX220" s="24">
        <f>-[2]SME!$AT$65/1000/AX214</f>
        <v>6.5174145297825822E-2</v>
      </c>
      <c r="AY220" s="24">
        <f>-[2]SME!$AT$66/1000/AY214</f>
        <v>4.366490912878989E-2</v>
      </c>
      <c r="AZ220" s="24">
        <f>-[2]SME!$AT$67/1000/AZ214</f>
        <v>6.8718941221856927E-2</v>
      </c>
      <c r="BA220" s="7"/>
      <c r="BB220" s="24">
        <f>-[2]MidCorp!$AT$65/1000/BB214</f>
        <v>0.11325150312925465</v>
      </c>
      <c r="BC220" s="24">
        <f>-[2]MidCorp!$AT$66/1000/BC214</f>
        <v>0.1221040991059502</v>
      </c>
      <c r="BD220" s="24">
        <f>-[2]MidCorp!$AT$67/1000/BD214</f>
        <v>0.11506754504756425</v>
      </c>
      <c r="BJ220" s="24" t="e">
        <f>-[2]Specials!$AT$65/1000/BJ214</f>
        <v>#DIV/0!</v>
      </c>
      <c r="BK220" s="24" t="e">
        <f>-[2]Specials!$AT$66/1000/BK214</f>
        <v>#DIV/0!</v>
      </c>
      <c r="BL220" s="24" t="e">
        <f>-[2]Specials!$AT$67/1000/BL214</f>
        <v>#DIV/0!</v>
      </c>
      <c r="BM220" s="7"/>
      <c r="BN220" s="54">
        <f>-'[2]Total P&amp;C'!$AT$65/1000/BN214</f>
        <v>8.3252060289724233E-2</v>
      </c>
      <c r="BO220" s="54">
        <f>-'[2]Total P&amp;C'!$AT$66/1000/BO214</f>
        <v>9.0911595475176785E-2</v>
      </c>
      <c r="BP220" s="54">
        <f>-'[2]Total P&amp;C'!$AT$67/1000/BP214</f>
        <v>8.7474097986986812E-2</v>
      </c>
      <c r="BR220" s="54">
        <f>-'[2]Total P&amp;C'!$AT$65/1000/BR214</f>
        <v>8.3252060289724233E-2</v>
      </c>
      <c r="BS220" s="54">
        <f>-'[2]Total P&amp;C'!$AT$66/1000/BS214</f>
        <v>9.0911595475176785E-2</v>
      </c>
      <c r="BT220" s="54">
        <f>-'[2]Total P&amp;C'!$AT$67/1000/BT214</f>
        <v>8.7474097986986812E-2</v>
      </c>
    </row>
    <row r="221" spans="2:72" ht="16.5" customHeight="1" x14ac:dyDescent="0.25">
      <c r="B221" s="203"/>
      <c r="C221" s="9"/>
      <c r="D221" s="49" t="s">
        <v>27</v>
      </c>
      <c r="J221" s="24"/>
      <c r="K221" s="24"/>
      <c r="L221" s="24"/>
      <c r="M221" s="7"/>
      <c r="N221" s="24"/>
      <c r="O221" s="24"/>
      <c r="P221" s="24"/>
      <c r="Q221" s="7"/>
      <c r="R221" s="24"/>
      <c r="S221" s="24"/>
      <c r="T221" s="24"/>
      <c r="U221" s="7"/>
      <c r="V221" s="24"/>
      <c r="W221" s="24"/>
      <c r="X221" s="24"/>
      <c r="Y221" s="7"/>
      <c r="Z221" s="24"/>
      <c r="AA221" s="24"/>
      <c r="AB221" s="24"/>
      <c r="AC221" s="7"/>
      <c r="AD221" s="24"/>
      <c r="AE221" s="24"/>
      <c r="AF221" s="24"/>
      <c r="AG221" s="7"/>
      <c r="AH221" s="54"/>
      <c r="AI221" s="54"/>
      <c r="AJ221" s="54"/>
      <c r="AL221" s="203"/>
      <c r="AM221" s="9"/>
      <c r="AN221" s="49" t="s">
        <v>27</v>
      </c>
      <c r="AT221" s="24">
        <f>-([2]Retail!$Z$65+[2]Retail!$AA$65+[2]Retail!$BB$65+[2]Retail!$BC$65)/1000/AT214</f>
        <v>-2.8898753875627403E-2</v>
      </c>
      <c r="AU221" s="24">
        <f>-([2]Retail!$Z$66+[2]Retail!$AA$66+[2]Retail!$BB$66+[2]Retail!$BC$66)/1000/AU214</f>
        <v>-2.6576023775574716E-2</v>
      </c>
      <c r="AV221" s="24">
        <f>-([2]Retail!$Z$67+[2]Retail!$AA$67+[2]Retail!$BB$67+[2]Retail!$BC$67)/1000/AV214</f>
        <v>-1.3333562033353591E-2</v>
      </c>
      <c r="AW221" s="7"/>
      <c r="AX221" s="24">
        <f>-([2]SME!$Z$65+[2]SME!$AA$65+[2]SME!$BB$65+[2]SME!$BC$65)/1000/AX214</f>
        <v>-3.1110377073962425E-2</v>
      </c>
      <c r="AY221" s="24">
        <f>-([2]SME!$Z$66+[2]SME!$AA$66+[2]SME!$BB$66+[2]SME!$BC$66)/1000/AY214</f>
        <v>-2.047322976521513E-2</v>
      </c>
      <c r="AZ221" s="24">
        <f>-([2]SME!$Z$67+[2]SME!$AA$67+[2]SME!$BB$67+[2]SME!$BC$67)/1000/AZ214</f>
        <v>-1.7581004333032033E-2</v>
      </c>
      <c r="BA221" s="7"/>
      <c r="BB221" s="24">
        <f>-([2]MidCorp!$Z$65+[2]MidCorp!$AA$65+[2]MidCorp!$BB$65+[2]MidCorp!$BC$65)/1000/BB214</f>
        <v>-3.268972216205495E-2</v>
      </c>
      <c r="BC221" s="24">
        <f>-([2]MidCorp!$Z$66+[2]MidCorp!$AA$66+[2]MidCorp!$BB$66+[2]MidCorp!$BC$66)/1000/BC214</f>
        <v>-2.8869554622705886E-2</v>
      </c>
      <c r="BD221" s="24">
        <f>-([2]MidCorp!$Z$67+[2]MidCorp!$AA$67+[2]MidCorp!$BB$67+[2]MidCorp!$BC$67)/1000/BD214</f>
        <v>-1.8365892675110213E-2</v>
      </c>
      <c r="BJ221" s="24" t="e">
        <f>-([2]Specials!$Z$65+[2]Specials!$AA$65+[2]Specials!$BB$65+[2]Specials!$BC$65)/1000/BJ214</f>
        <v>#DIV/0!</v>
      </c>
      <c r="BK221" s="24" t="e">
        <f>-([2]Specials!$Z$66+[2]Specials!$AA$66+[2]Specials!$BB$66+[2]Specials!$BC$66)/1000/BK214</f>
        <v>#DIV/0!</v>
      </c>
      <c r="BL221" s="24" t="e">
        <f>-([2]Specials!$Z$67+[2]Specials!$AA$67+[2]Specials!$BB$67+[2]Specials!$BC$67)/1000/BL214</f>
        <v>#DIV/0!</v>
      </c>
      <c r="BM221" s="7"/>
      <c r="BN221" s="54">
        <f>-('[2]Total P&amp;C'!$Z$65+'[2]Total P&amp;C'!$AA$65+'[2]Total P&amp;C'!$BB$65+'[2]Total P&amp;C'!$BC$65)/1000/BN214</f>
        <v>-3.0984883224482632E-2</v>
      </c>
      <c r="BO221" s="54">
        <f>-('[2]Total P&amp;C'!$Z$66+'[2]Total P&amp;C'!$AA$66+'[2]Total P&amp;C'!$BB$66+'[2]Total P&amp;C'!$BC$66)/1000/BO214</f>
        <v>-2.6643760651368479E-2</v>
      </c>
      <c r="BP221" s="54">
        <f>-('[2]Total P&amp;C'!$Z$67+'[2]Total P&amp;C'!$AA$67+'[2]Total P&amp;C'!$BB$67+'[2]Total P&amp;C'!$BC$67)/1000/BP214</f>
        <v>-1.6290830285388462E-2</v>
      </c>
      <c r="BR221" s="54">
        <f>-('[2]Total P&amp;C'!$Z$65+'[2]Total P&amp;C'!$AA$65+'[2]Total P&amp;C'!$BB$65+'[2]Total P&amp;C'!$BC$65)/1000/BR214</f>
        <v>-3.0984883224482632E-2</v>
      </c>
      <c r="BS221" s="54">
        <f>-('[2]Total P&amp;C'!$Z$66+'[2]Total P&amp;C'!$AA$66+'[2]Total P&amp;C'!$BB$66+'[2]Total P&amp;C'!$BC$66)/1000/BS214</f>
        <v>-2.6643760651368479E-2</v>
      </c>
      <c r="BT221" s="54">
        <f>-('[2]Total P&amp;C'!$Z$67+'[2]Total P&amp;C'!$AA$67+'[2]Total P&amp;C'!$BB$67+'[2]Total P&amp;C'!$BC$67)/1000/BT214</f>
        <v>-1.6290830285388462E-2</v>
      </c>
    </row>
    <row r="222" spans="2:72" ht="16.5" customHeight="1" x14ac:dyDescent="0.25">
      <c r="B222" s="203"/>
      <c r="C222" s="9"/>
      <c r="D222" s="49" t="s">
        <v>28</v>
      </c>
      <c r="J222" s="24"/>
      <c r="K222" s="24"/>
      <c r="L222" s="24"/>
      <c r="M222" s="7"/>
      <c r="N222" s="24"/>
      <c r="O222" s="24"/>
      <c r="P222" s="24"/>
      <c r="Q222" s="7"/>
      <c r="R222" s="24"/>
      <c r="S222" s="24"/>
      <c r="T222" s="24"/>
      <c r="U222" s="7"/>
      <c r="V222" s="24"/>
      <c r="W222" s="24"/>
      <c r="X222" s="24"/>
      <c r="Y222" s="7"/>
      <c r="Z222" s="24"/>
      <c r="AA222" s="24"/>
      <c r="AB222" s="24"/>
      <c r="AC222" s="7"/>
      <c r="AD222" s="24"/>
      <c r="AE222" s="24"/>
      <c r="AF222" s="24"/>
      <c r="AG222" s="7"/>
      <c r="AH222" s="54"/>
      <c r="AI222" s="54"/>
      <c r="AJ222" s="54"/>
      <c r="AL222" s="203"/>
      <c r="AM222" s="9"/>
      <c r="AN222" s="49" t="s">
        <v>28</v>
      </c>
      <c r="AT222" s="24">
        <f>-SUM([2]Retail!$AC$65:$AI$65,[2]Retail!$BE$65:$BG$65)/1000/AT214</f>
        <v>0.13060544329378121</v>
      </c>
      <c r="AU222" s="24">
        <f>-SUM([2]Retail!$AC$66:$AI$66,[2]Retail!$BE$66:$BG$66)/1000/AU214</f>
        <v>-0.20089042833546764</v>
      </c>
      <c r="AV222" s="24">
        <f>-SUM([2]Retail!$AC$67:$AI$67,[2]Retail!$BE$67:$BG$67)/1000/AV214</f>
        <v>-4.7671633792584488E-4</v>
      </c>
      <c r="AW222" s="7"/>
      <c r="AX222" s="24">
        <f>-SUM([2]SME!$AC$65:$AI$65,[2]SME!$BE$65:$BG$65)/1000/AX214</f>
        <v>0.30257601073895379</v>
      </c>
      <c r="AY222" s="24">
        <f>-SUM([2]SME!$AC$66:$AI$66,[2]SME!$BE$66:$BG$66)/1000/AY214</f>
        <v>-1.6578894413666393E-2</v>
      </c>
      <c r="AZ222" s="24">
        <f>-SUM([2]SME!$AC$67:$AI$67,[2]SME!$BE$67:$BG$67)/1000/AZ214</f>
        <v>1.3766674513178628E-2</v>
      </c>
      <c r="BA222" s="7"/>
      <c r="BB222" s="24">
        <f>-SUM([2]MidCorp!$AC$65:$AI$65,[2]MidCorp!$BE$65:$BG$65)/1000/BB214</f>
        <v>5.8253507185068873E-2</v>
      </c>
      <c r="BC222" s="24">
        <f>-SUM([2]MidCorp!$AC$66:$AI$66,[2]MidCorp!$BE$66:$BG$66)/1000/BC214</f>
        <v>5.0779926489849275E-2</v>
      </c>
      <c r="BD222" s="24">
        <f>-SUM([2]MidCorp!$AC$67:$AI$67,[2]MidCorp!$BE$67:$BG$67)/1000/BD214</f>
        <v>-1.3906050796562463E-4</v>
      </c>
      <c r="BJ222" s="24" t="e">
        <f>-SUM([2]Specials!$AC$65:$AI$65,[2]Specials!$BE$65:$BG$65)/1000/BJ214</f>
        <v>#DIV/0!</v>
      </c>
      <c r="BK222" s="24" t="e">
        <f>-SUM([2]Specials!$AC$66:$AI$66,[2]Specials!$BE$66:$BG$66)/1000/BK214</f>
        <v>#DIV/0!</v>
      </c>
      <c r="BL222" s="24" t="e">
        <f>-SUM([2]Specials!$AC$67:$AI$67,[2]Specials!$BE$67:$BG$67)/1000/BL214</f>
        <v>#DIV/0!</v>
      </c>
      <c r="BM222" s="7"/>
      <c r="BN222" s="54">
        <f>-SUM('[2]Total P&amp;C'!$AC$65:$AI$65,'[2]Total P&amp;C'!$BE$65:$BG$65)/1000/BN214</f>
        <v>0.11990601880063818</v>
      </c>
      <c r="BO222" s="54">
        <f>-SUM('[2]Total P&amp;C'!$AC$66:$AI$66,'[2]Total P&amp;C'!$BE$66:$BG$66)/1000/BO214</f>
        <v>-5.7056829192872943E-2</v>
      </c>
      <c r="BP222" s="54">
        <f>-SUM('[2]Total P&amp;C'!$AC$67:$AI$67,'[2]Total P&amp;C'!$BE$67:$BG$67)/1000/BP214</f>
        <v>1.5985435521988914E-3</v>
      </c>
      <c r="BR222" s="54">
        <f>-SUM('[2]Total P&amp;C'!$AC$65:$AI$65,'[2]Total P&amp;C'!$BE$65:$BG$65)/1000/BR214</f>
        <v>0.11990601880063818</v>
      </c>
      <c r="BS222" s="54">
        <f>-SUM('[2]Total P&amp;C'!$AC$66:$AI$66,'[2]Total P&amp;C'!$BE$66:$BG$66)/1000/BS214</f>
        <v>-5.7056829192872943E-2</v>
      </c>
      <c r="BT222" s="54">
        <f>-SUM('[2]Total P&amp;C'!$AC$67:$AI$67,'[2]Total P&amp;C'!$BE$67:$BG$67)/1000/BT214</f>
        <v>1.5985435521988914E-3</v>
      </c>
    </row>
    <row r="223" spans="2:72" ht="16.5" customHeight="1" x14ac:dyDescent="0.25">
      <c r="B223" s="203"/>
      <c r="C223" s="9"/>
      <c r="D223" s="49" t="s">
        <v>29</v>
      </c>
      <c r="J223" s="24"/>
      <c r="K223" s="24"/>
      <c r="L223" s="24"/>
      <c r="M223" s="7"/>
      <c r="N223" s="24"/>
      <c r="O223" s="24"/>
      <c r="P223" s="24"/>
      <c r="Q223" s="7"/>
      <c r="R223" s="24"/>
      <c r="S223" s="24"/>
      <c r="T223" s="24"/>
      <c r="U223" s="7"/>
      <c r="V223" s="24"/>
      <c r="W223" s="24"/>
      <c r="X223" s="24"/>
      <c r="Y223" s="7"/>
      <c r="Z223" s="24"/>
      <c r="AA223" s="24"/>
      <c r="AB223" s="24"/>
      <c r="AC223" s="7"/>
      <c r="AD223" s="24"/>
      <c r="AE223" s="24"/>
      <c r="AF223" s="24"/>
      <c r="AG223" s="7"/>
      <c r="AH223" s="54"/>
      <c r="AI223" s="54"/>
      <c r="AJ223" s="54"/>
      <c r="AL223" s="203"/>
      <c r="AM223" s="9"/>
      <c r="AN223" s="49" t="s">
        <v>29</v>
      </c>
      <c r="AT223" s="24">
        <f>-SUM([2]Retail!$AJ$65:$AK$65,[2]Retail!$BH$65:$BI$65)/1000/AT214</f>
        <v>-0.26514904845456849</v>
      </c>
      <c r="AU223" s="24">
        <f>-SUM([2]Retail!$AJ$66:$AK$66,[2]Retail!$BH$66:$BI$66)/1000/AU214</f>
        <v>-9.2242713958842898E-3</v>
      </c>
      <c r="AV223" s="24">
        <f>-SUM([2]Retail!$AJ$67:$AK$67,[2]Retail!$BH$67:$BI$67)/1000/AV214</f>
        <v>0</v>
      </c>
      <c r="AW223" s="7"/>
      <c r="AX223" s="24">
        <f>-SUM([2]SME!$AJ$65:$AK$65,[2]SME!$BH$65:$BI$65)/1000/AX214</f>
        <v>-0.27871054703157389</v>
      </c>
      <c r="AY223" s="24">
        <f>-SUM([2]SME!$AJ$66:$AK$66,[2]SME!$BH$66:$BI$66)/1000/AY214</f>
        <v>-4.3924412330468132E-3</v>
      </c>
      <c r="AZ223" s="24">
        <f>-SUM([2]SME!$AJ$67:$AK$67,[2]SME!$BH$67:$BI$67)/1000/AZ214</f>
        <v>0</v>
      </c>
      <c r="BA223" s="7"/>
      <c r="BB223" s="24">
        <f>-SUM([2]MidCorp!$AJ$65:$AK$65,[2]MidCorp!$BH$65:$BI$65)/1000/BB214</f>
        <v>-8.5548517860171591E-2</v>
      </c>
      <c r="BC223" s="24">
        <f>-SUM([2]MidCorp!$AJ$66:$AK$66,[2]MidCorp!$BH$66:$BI$66)/1000/BC214</f>
        <v>3.8002204406757903E-2</v>
      </c>
      <c r="BD223" s="24">
        <f>-SUM([2]MidCorp!$AJ$67:$AK$67,[2]MidCorp!$BH$67:$BI$67)/1000/BD214</f>
        <v>0</v>
      </c>
      <c r="BJ223" s="24" t="e">
        <f>-SUM([2]Specials!$AJ$65:$AK$65,[2]Specials!$BH$65:$BI$65)/1000/BJ214</f>
        <v>#DIV/0!</v>
      </c>
      <c r="BK223" s="24" t="e">
        <f>-SUM([2]Specials!$AJ$66:$AK$66,[2]Specials!$BH$66:$BI$66)/1000/BK214</f>
        <v>#DIV/0!</v>
      </c>
      <c r="BL223" s="24" t="e">
        <f>-SUM([2]Specials!$AJ$67:$AK$67,[2]Specials!$BH$67:$BI$67)/1000/BL214</f>
        <v>#DIV/0!</v>
      </c>
      <c r="BM223" s="7"/>
      <c r="BN223" s="54">
        <f>-SUM('[2]Total P&amp;C'!$AJ$65:$AK$65,'[2]Total P&amp;C'!$BH$65:$BI$65)/1000/BN214</f>
        <v>-0.18240349807649617</v>
      </c>
      <c r="BO223" s="54">
        <f>-SUM('[2]Total P&amp;C'!$AJ$66:$AK$66,'[2]Total P&amp;C'!$BH$66:$BI$66)/1000/BO214</f>
        <v>1.3013860805609246E-2</v>
      </c>
      <c r="BP223" s="54">
        <f>-SUM('[2]Total P&amp;C'!$AJ$67:$AK$67,'[2]Total P&amp;C'!$BH$67:$BI$67)/1000/BP214</f>
        <v>0</v>
      </c>
      <c r="BR223" s="54">
        <f>-SUM('[2]Total P&amp;C'!$AJ$65:$AK$65,'[2]Total P&amp;C'!$BH$65:$BI$65)/1000/BR214</f>
        <v>-0.18240349807649617</v>
      </c>
      <c r="BS223" s="54">
        <f>-SUM('[2]Total P&amp;C'!$AJ$66:$AK$66,'[2]Total P&amp;C'!$BH$66:$BI$66)/1000/BS214</f>
        <v>1.3013860805609246E-2</v>
      </c>
      <c r="BT223" s="54">
        <f>-SUM('[2]Total P&amp;C'!$AJ$67:$AK$67,'[2]Total P&amp;C'!$BH$67:$BI$67)/1000/BT214</f>
        <v>0</v>
      </c>
    </row>
    <row r="224" spans="2:72" ht="16.5" customHeight="1" x14ac:dyDescent="0.25">
      <c r="B224" s="203"/>
      <c r="C224" s="9"/>
      <c r="D224" s="49" t="s">
        <v>30</v>
      </c>
      <c r="J224" s="24"/>
      <c r="K224" s="24"/>
      <c r="L224" s="24"/>
      <c r="M224" s="7"/>
      <c r="N224" s="24"/>
      <c r="O224" s="24"/>
      <c r="P224" s="24"/>
      <c r="Q224" s="7"/>
      <c r="R224" s="24"/>
      <c r="S224" s="24"/>
      <c r="T224" s="24"/>
      <c r="U224" s="7"/>
      <c r="V224" s="24"/>
      <c r="W224" s="24"/>
      <c r="X224" s="24"/>
      <c r="Y224" s="7"/>
      <c r="Z224" s="24"/>
      <c r="AA224" s="24"/>
      <c r="AB224" s="24"/>
      <c r="AC224" s="7"/>
      <c r="AD224" s="24"/>
      <c r="AE224" s="24"/>
      <c r="AF224" s="24"/>
      <c r="AG224" s="7"/>
      <c r="AH224" s="54"/>
      <c r="AI224" s="54"/>
      <c r="AJ224" s="54"/>
      <c r="AL224" s="203"/>
      <c r="AM224" s="9"/>
      <c r="AN224" s="49" t="s">
        <v>30</v>
      </c>
      <c r="AT224" s="24">
        <f>+AT225+AT226+AT227</f>
        <v>0.38891901060214146</v>
      </c>
      <c r="AU224" s="24">
        <f>+AU225+AU226+AU227</f>
        <v>0.37908393470637358</v>
      </c>
      <c r="AV224" s="24">
        <f>+AV225+AV226+AV227</f>
        <v>0.3843397557161829</v>
      </c>
      <c r="AW224" s="7"/>
      <c r="AX224" s="24">
        <f>+AX225+AX226+AX227</f>
        <v>0.46933073585286489</v>
      </c>
      <c r="AY224" s="24">
        <f>+AY225+AY226+AY227</f>
        <v>0.40309642525179118</v>
      </c>
      <c r="AZ224" s="24">
        <f>+AZ225+AZ226+AZ227</f>
        <v>0.48536892964311085</v>
      </c>
      <c r="BA224" s="7"/>
      <c r="BB224" s="24">
        <f>+BB225+BB226+BB227</f>
        <v>0.36485235705723501</v>
      </c>
      <c r="BC224" s="24">
        <f>+BC225+BC226+BC227</f>
        <v>0.35289920475062081</v>
      </c>
      <c r="BD224" s="24">
        <f>+BD225+BD226+BD227</f>
        <v>0.35874532713938723</v>
      </c>
      <c r="BJ224" s="24" t="e">
        <f>+BJ225+BJ226+BJ227</f>
        <v>#DIV/0!</v>
      </c>
      <c r="BK224" s="24" t="e">
        <f>+BK225+BK226+BK227</f>
        <v>#DIV/0!</v>
      </c>
      <c r="BL224" s="24" t="e">
        <f>+BL225+BL226+BL227</f>
        <v>#DIV/0!</v>
      </c>
      <c r="BM224" s="7"/>
      <c r="BN224" s="54">
        <f>+BN225+BN226+BN227</f>
        <v>0.38852417943536965</v>
      </c>
      <c r="BO224" s="54">
        <f>+BO225+BO226+BO227</f>
        <v>0.37120996745866691</v>
      </c>
      <c r="BP224" s="54">
        <f>+BP225+BP226+BP227</f>
        <v>0.38578804746907236</v>
      </c>
      <c r="BR224" s="54">
        <f>+BR225+BR226+BR227</f>
        <v>0.38852417943536965</v>
      </c>
      <c r="BS224" s="54">
        <f>+BS225+BS226+BS227</f>
        <v>0.37120996745866691</v>
      </c>
      <c r="BT224" s="54">
        <f>+BT225+BT226+BT227</f>
        <v>0.38578804746907236</v>
      </c>
    </row>
    <row r="225" spans="2:72" ht="16.5" customHeight="1" x14ac:dyDescent="0.25">
      <c r="B225" s="203"/>
      <c r="C225" s="9"/>
      <c r="D225" s="50" t="s">
        <v>31</v>
      </c>
      <c r="J225" s="51"/>
      <c r="K225" s="51"/>
      <c r="L225" s="51"/>
      <c r="M225" s="8"/>
      <c r="N225" s="24"/>
      <c r="O225" s="24"/>
      <c r="P225" s="24"/>
      <c r="Q225" s="8"/>
      <c r="R225" s="24"/>
      <c r="S225" s="24"/>
      <c r="T225" s="24"/>
      <c r="U225" s="8"/>
      <c r="V225" s="24"/>
      <c r="W225" s="24"/>
      <c r="X225" s="24"/>
      <c r="Y225" s="8"/>
      <c r="Z225" s="24"/>
      <c r="AA225" s="24"/>
      <c r="AB225" s="24"/>
      <c r="AC225" s="8"/>
      <c r="AD225" s="52"/>
      <c r="AE225" s="24"/>
      <c r="AF225" s="24"/>
      <c r="AG225" s="8"/>
      <c r="AH225" s="54"/>
      <c r="AI225" s="54"/>
      <c r="AJ225" s="54"/>
      <c r="AL225" s="203"/>
      <c r="AM225" s="9"/>
      <c r="AN225" s="50" t="s">
        <v>31</v>
      </c>
      <c r="AT225" s="24">
        <f>-SUM([2]Retail!$AL$65:$AN$65,[2]Retail!$BJ$65)/1000/AT214</f>
        <v>0.20746309848290459</v>
      </c>
      <c r="AU225" s="51">
        <f>-SUM([2]Retail!$AL$66:$AN$66,[2]Retail!$BJ$66)/1000/AU214</f>
        <v>0.21645708925636065</v>
      </c>
      <c r="AV225" s="51">
        <f>-SUM([2]Retail!$AL$67:$AN$67,[2]Retail!$BJ$67)/1000/AV214</f>
        <v>0.21195545446224714</v>
      </c>
      <c r="AW225" s="8"/>
      <c r="AX225" s="24">
        <f>-SUM([2]SME!$AL$65:$AN$65,[2]SME!$BJ$65)/1000/AX214</f>
        <v>0.23160129175695157</v>
      </c>
      <c r="AY225" s="24">
        <f>-SUM([2]SME!$AL$66:$AN$66,[2]SME!$BJ$66)/1000/AY214</f>
        <v>0.21939311551125162</v>
      </c>
      <c r="AZ225" s="24">
        <f>-SUM([2]SME!$AL$67:$AN$67,[2]SME!$BJ$67)/1000/AZ214</f>
        <v>0.23974730067710776</v>
      </c>
      <c r="BA225" s="8"/>
      <c r="BB225" s="24">
        <f>-SUM([2]MidCorp!$AL$65:$AN$65,[2]MidCorp!$BJ$65)/1000/BB214</f>
        <v>0.17613526020422809</v>
      </c>
      <c r="BC225" s="24">
        <f>-SUM([2]MidCorp!$AL$66:$AN$66,[2]MidCorp!$BJ$66)/1000/BC214</f>
        <v>0.16999288653769429</v>
      </c>
      <c r="BD225" s="24">
        <f>-SUM([2]MidCorp!$AL$67:$AN$67,[2]MidCorp!$BJ$67)/1000/BD214</f>
        <v>0.17428278543591477</v>
      </c>
      <c r="BJ225" s="24" t="e">
        <f>-SUM([2]Specials!$AL$65:$AN$65,[2]Specials!$BJ$65)/1000/BJ214</f>
        <v>#DIV/0!</v>
      </c>
      <c r="BK225" s="24" t="e">
        <f>-SUM([2]Specials!$AL$66:$AN$66,[2]Specials!$BJ$66)/1000/BK214</f>
        <v>#DIV/0!</v>
      </c>
      <c r="BL225" s="24" t="e">
        <f>-SUM([2]Specials!$AL$67:$AN$67,[2]Specials!$BJ$67)/1000/BL214</f>
        <v>#DIV/0!</v>
      </c>
      <c r="BM225" s="8"/>
      <c r="BN225" s="54">
        <f>-SUM('[2]Total P&amp;C'!$AL$65:$AN$65,'[2]Total P&amp;C'!$BJ$65)/1000/BN214</f>
        <v>0.19598945350173208</v>
      </c>
      <c r="BO225" s="54">
        <f>-SUM('[2]Total P&amp;C'!$AL$66:$AN$66,'[2]Total P&amp;C'!$BJ$66)/1000/BO214</f>
        <v>0.19580615994738387</v>
      </c>
      <c r="BP225" s="54">
        <f>-SUM('[2]Total P&amp;C'!$AL$67:$AN$67,'[2]Total P&amp;C'!$BJ$67)/1000/BP214</f>
        <v>0.19782922161399685</v>
      </c>
      <c r="BR225" s="54">
        <f>-SUM('[2]Total P&amp;C'!$AL$65:$AN$65,'[2]Total P&amp;C'!$BJ$65)/1000/BR214</f>
        <v>0.19598945350173208</v>
      </c>
      <c r="BS225" s="54">
        <f>-SUM('[2]Total P&amp;C'!$AL$66:$AN$66,'[2]Total P&amp;C'!$BJ$66)/1000/BS214</f>
        <v>0.19580615994738387</v>
      </c>
      <c r="BT225" s="54">
        <f>-SUM('[2]Total P&amp;C'!$AL$67:$AN$67,'[2]Total P&amp;C'!$BJ$67)/1000/BT214</f>
        <v>0.19782922161399685</v>
      </c>
    </row>
    <row r="226" spans="2:72" ht="16.5" customHeight="1" x14ac:dyDescent="0.25">
      <c r="B226" s="203"/>
      <c r="C226" s="9"/>
      <c r="D226" s="50" t="s">
        <v>32</v>
      </c>
      <c r="J226" s="51"/>
      <c r="K226" s="51"/>
      <c r="L226" s="51"/>
      <c r="M226" s="8"/>
      <c r="N226" s="24"/>
      <c r="O226" s="24"/>
      <c r="P226" s="24"/>
      <c r="Q226" s="8"/>
      <c r="R226" s="24"/>
      <c r="S226" s="24"/>
      <c r="T226" s="24"/>
      <c r="U226" s="8"/>
      <c r="V226" s="24"/>
      <c r="W226" s="24"/>
      <c r="X226" s="24"/>
      <c r="Y226" s="8"/>
      <c r="Z226" s="24"/>
      <c r="AA226" s="24"/>
      <c r="AB226" s="24"/>
      <c r="AC226" s="8"/>
      <c r="AD226" s="52"/>
      <c r="AE226" s="24"/>
      <c r="AF226" s="24"/>
      <c r="AG226" s="8"/>
      <c r="AH226" s="54"/>
      <c r="AI226" s="54"/>
      <c r="AJ226" s="54"/>
      <c r="AL226" s="203"/>
      <c r="AM226" s="9"/>
      <c r="AN226" s="50" t="s">
        <v>32</v>
      </c>
      <c r="AT226" s="24">
        <f>-SUM([2]Retail!$AO$65:$AP$65)/1000/AT214</f>
        <v>0.10077892623785063</v>
      </c>
      <c r="AU226" s="51">
        <f>-SUM([2]Retail!$AO$66:$AP$66)/1000/AU214</f>
        <v>9.2109276654624109E-2</v>
      </c>
      <c r="AV226" s="51">
        <f>-SUM([2]Retail!$AO$67:$AP$67)/1000/AV214</f>
        <v>9.3657505728840462E-2</v>
      </c>
      <c r="AW226" s="8"/>
      <c r="AX226" s="24">
        <f>-SUM([2]SME!$AO$65:$AP$65)/1000/AX214</f>
        <v>0.15277777871539466</v>
      </c>
      <c r="AY226" s="24">
        <f>-SUM([2]SME!$AO$66:$AP$66)/1000/AY214</f>
        <v>0.110766780174111</v>
      </c>
      <c r="AZ226" s="24">
        <f>-SUM([2]SME!$AO$67:$AP$67)/1000/AZ214</f>
        <v>0.15227475909324709</v>
      </c>
      <c r="BA226" s="8"/>
      <c r="BB226" s="24">
        <f>-SUM([2]MidCorp!$AO$65:$AP$65)/1000/BB214</f>
        <v>7.1680092880245433E-2</v>
      </c>
      <c r="BC226" s="24">
        <f>-SUM([2]MidCorp!$AO$66:$AP$66)/1000/BC214</f>
        <v>6.7897225409410414E-2</v>
      </c>
      <c r="BD226" s="24">
        <f>-SUM([2]MidCorp!$AO$67:$AP$67)/1000/BD214</f>
        <v>6.3654985162077474E-2</v>
      </c>
      <c r="BJ226" s="24" t="e">
        <f>-SUM([2]Specials!$AO$65:$AP$65)/1000/BJ214</f>
        <v>#DIV/0!</v>
      </c>
      <c r="BK226" s="24" t="e">
        <f>-SUM([2]Specials!$AO$66:$AP$66)/1000/BK214</f>
        <v>#DIV/0!</v>
      </c>
      <c r="BL226" s="24" t="e">
        <f>-SUM([2]Specials!$AO$67:$AP$67)/1000/BL214</f>
        <v>#DIV/0!</v>
      </c>
      <c r="BM226" s="8"/>
      <c r="BN226" s="54">
        <f>-SUM('[2]Total P&amp;C'!$AO$65:$AP$65)/1000/BN214</f>
        <v>9.4142410860670267E-2</v>
      </c>
      <c r="BO226" s="54">
        <f>-SUM('[2]Total P&amp;C'!$AO$66:$AP$66)/1000/BO214</f>
        <v>8.4083970762841478E-2</v>
      </c>
      <c r="BP226" s="54">
        <f>-SUM('[2]Total P&amp;C'!$AO$67:$AP$67)/1000/BP214</f>
        <v>8.7312956801687866E-2</v>
      </c>
      <c r="BR226" s="54">
        <f>-SUM('[2]Total P&amp;C'!$AO$65:$AP$65)/1000/BR214</f>
        <v>9.4142410860670267E-2</v>
      </c>
      <c r="BS226" s="54">
        <f>-SUM('[2]Total P&amp;C'!$AO$66:$AP$66)/1000/BS214</f>
        <v>8.4083970762841478E-2</v>
      </c>
      <c r="BT226" s="54">
        <f>-SUM('[2]Total P&amp;C'!$AO$67:$AP$67)/1000/BT214</f>
        <v>8.7312956801687866E-2</v>
      </c>
    </row>
    <row r="227" spans="2:72" ht="16.5" customHeight="1" x14ac:dyDescent="0.25">
      <c r="B227" s="203"/>
      <c r="C227" s="9"/>
      <c r="D227" s="50" t="s">
        <v>33</v>
      </c>
      <c r="J227" s="51"/>
      <c r="K227" s="51"/>
      <c r="L227" s="51"/>
      <c r="M227" s="8"/>
      <c r="N227" s="24"/>
      <c r="O227" s="24"/>
      <c r="P227" s="24"/>
      <c r="Q227" s="8"/>
      <c r="R227" s="24"/>
      <c r="S227" s="24"/>
      <c r="T227" s="24"/>
      <c r="U227" s="8"/>
      <c r="V227" s="24"/>
      <c r="W227" s="24"/>
      <c r="X227" s="24"/>
      <c r="Y227" s="8"/>
      <c r="Z227" s="24"/>
      <c r="AA227" s="24"/>
      <c r="AB227" s="24"/>
      <c r="AC227" s="8"/>
      <c r="AD227" s="52"/>
      <c r="AE227" s="24"/>
      <c r="AF227" s="24"/>
      <c r="AG227" s="8"/>
      <c r="AH227" s="54"/>
      <c r="AI227" s="54"/>
      <c r="AJ227" s="54"/>
      <c r="AL227" s="203"/>
      <c r="AM227" s="9"/>
      <c r="AN227" s="50" t="s">
        <v>33</v>
      </c>
      <c r="AT227" s="24">
        <f>-SUM([2]Retail!$AQ$65:$AR$65)/1000/AT214</f>
        <v>8.0676985881386235E-2</v>
      </c>
      <c r="AU227" s="51">
        <f>-SUM([2]Retail!$AQ$66:$AR$66)/1000/AU214</f>
        <v>7.0517568795388869E-2</v>
      </c>
      <c r="AV227" s="51">
        <f>-SUM([2]Retail!$AQ$67:$AR$67)/1000/AV214</f>
        <v>7.8726795525095275E-2</v>
      </c>
      <c r="AW227" s="8"/>
      <c r="AX227" s="24">
        <f>-SUM([2]SME!$AQ$65:$AR$65)/1000/AX214</f>
        <v>8.4951665380518709E-2</v>
      </c>
      <c r="AY227" s="24">
        <f>-SUM([2]SME!$AQ$66:$AR$66)/1000/AY214</f>
        <v>7.2936529566428543E-2</v>
      </c>
      <c r="AZ227" s="24">
        <f>-SUM([2]SME!$AQ$67:$AR$67)/1000/AZ214</f>
        <v>9.334686987275595E-2</v>
      </c>
      <c r="BA227" s="8"/>
      <c r="BB227" s="24">
        <f>-SUM([2]MidCorp!$AQ$65:$AR$65)/1000/BB214</f>
        <v>0.1170370039727615</v>
      </c>
      <c r="BC227" s="24">
        <f>-SUM([2]MidCorp!$AQ$66:$AR$66)/1000/BC214</f>
        <v>0.11500909280351614</v>
      </c>
      <c r="BD227" s="24">
        <f>-SUM([2]MidCorp!$AQ$67:$AR$67)/1000/BD214</f>
        <v>0.12080755654139498</v>
      </c>
      <c r="BJ227" s="24" t="e">
        <f>-SUM([2]Specials!$AQ$65:$AR$65)/1000/BJ214</f>
        <v>#DIV/0!</v>
      </c>
      <c r="BK227" s="24" t="e">
        <f>-SUM([2]Specials!$AQ$66:$AR$66)/1000/BK214</f>
        <v>#DIV/0!</v>
      </c>
      <c r="BL227" s="24" t="e">
        <f>-SUM([2]Specials!$AQ$67:$AR$67)/1000/BL214</f>
        <v>#DIV/0!</v>
      </c>
      <c r="BM227" s="8"/>
      <c r="BN227" s="54">
        <f>-SUM('[2]Total P&amp;C'!$AQ$65:$AR$65)/1000/BN214</f>
        <v>9.8392315072967321E-2</v>
      </c>
      <c r="BO227" s="54">
        <f>-SUM('[2]Total P&amp;C'!$AQ$66:$AR$66)/1000/BO214</f>
        <v>9.1319836748441574E-2</v>
      </c>
      <c r="BP227" s="54">
        <f>-SUM('[2]Total P&amp;C'!$AQ$67:$AR$67)/1000/BP214</f>
        <v>0.10064586905338765</v>
      </c>
      <c r="BR227" s="54">
        <f>-SUM('[2]Total P&amp;C'!$AQ$65:$AR$65)/1000/BR214</f>
        <v>9.8392315072967321E-2</v>
      </c>
      <c r="BS227" s="54">
        <f>-SUM('[2]Total P&amp;C'!$AQ$66:$AR$66)/1000/BS214</f>
        <v>9.1319836748441574E-2</v>
      </c>
      <c r="BT227" s="54">
        <f>-SUM('[2]Total P&amp;C'!$AQ$67:$AR$67)/1000/BT214</f>
        <v>0.10064586905338765</v>
      </c>
    </row>
    <row r="228" spans="2:72" ht="16.5" customHeight="1" x14ac:dyDescent="0.25">
      <c r="B228" s="203"/>
      <c r="C228" s="9"/>
      <c r="D228" s="49" t="s">
        <v>34</v>
      </c>
      <c r="J228" s="23"/>
      <c r="K228" s="23"/>
      <c r="L228" s="23"/>
      <c r="M228" s="6"/>
      <c r="N228" s="23"/>
      <c r="O228" s="23"/>
      <c r="P228" s="23"/>
      <c r="Q228" s="6"/>
      <c r="R228" s="23"/>
      <c r="S228" s="23"/>
      <c r="T228" s="23"/>
      <c r="U228" s="6"/>
      <c r="V228" s="23"/>
      <c r="W228" s="23"/>
      <c r="X228" s="23"/>
      <c r="Y228" s="6"/>
      <c r="Z228" s="23"/>
      <c r="AA228" s="23"/>
      <c r="AB228" s="23"/>
      <c r="AC228" s="6"/>
      <c r="AD228" s="23"/>
      <c r="AE228" s="23"/>
      <c r="AF228" s="23"/>
      <c r="AG228" s="6"/>
      <c r="AH228" s="53"/>
      <c r="AI228" s="53"/>
      <c r="AJ228" s="53"/>
      <c r="AL228" s="203"/>
      <c r="AM228" s="9"/>
      <c r="AN228" s="49" t="s">
        <v>34</v>
      </c>
      <c r="AT228" s="23">
        <f>+[2]Retail!$BK$65/1000</f>
        <v>4.1491037499999743</v>
      </c>
      <c r="AU228" s="23">
        <f>+[2]Retail!$BK$66/1000</f>
        <v>3.8699621200000194</v>
      </c>
      <c r="AV228" s="23">
        <f>+[2]Retail!$BK$67/1000</f>
        <v>1.1971329068854166</v>
      </c>
      <c r="AW228" s="6"/>
      <c r="AX228" s="23">
        <f>+[2]SME!$BK$65/1000</f>
        <v>-1.6108509800000013</v>
      </c>
      <c r="AY228" s="23">
        <f>+[2]SME!$BK$66/1000</f>
        <v>2.0009924099999972</v>
      </c>
      <c r="AZ228" s="23">
        <f>+[2]SME!$BK$67/1000</f>
        <v>-1.2747681381928844</v>
      </c>
      <c r="BA228" s="6"/>
      <c r="BB228" s="23">
        <f>+[2]MidCorp!$BK$65/1000</f>
        <v>1.6939219700000105</v>
      </c>
      <c r="BC228" s="23">
        <f>+[2]MidCorp!$BK$66/1000</f>
        <v>-3.2341952200000108</v>
      </c>
      <c r="BD228" s="23">
        <f>+[2]MidCorp!$BK$67/1000</f>
        <v>0.65317002459598417</v>
      </c>
      <c r="BJ228" s="23">
        <f>+[2]Specials!$BK$65/1000</f>
        <v>-6.8439999999997522E-4</v>
      </c>
      <c r="BK228" s="23">
        <f>+[2]Specials!$BK$66/1000</f>
        <v>-1.4544680000000063E-2</v>
      </c>
      <c r="BL228" s="23">
        <f>+[2]Specials!$BK$67/1000</f>
        <v>0</v>
      </c>
      <c r="BM228" s="6"/>
      <c r="BN228" s="53">
        <f>+'[2]Total P&amp;C'!$BK$65/1000</f>
        <v>4.2314903399999872</v>
      </c>
      <c r="BO228" s="53">
        <f>+'[2]Total P&amp;C'!$BK$66/1000</f>
        <v>2.6222146300000091</v>
      </c>
      <c r="BP228" s="53">
        <f>+'[2]Total P&amp;C'!$BK$67/1000</f>
        <v>0.57553479328851687</v>
      </c>
      <c r="BR228" s="53">
        <f>+'[2]Total P&amp;C'!$BK$65/1000</f>
        <v>4.2314903399999872</v>
      </c>
      <c r="BS228" s="53">
        <f>+'[2]Total P&amp;C'!$BK$66/1000</f>
        <v>2.6222146300000091</v>
      </c>
      <c r="BT228" s="53">
        <f>+'[2]Total P&amp;C'!$BK$67/1000</f>
        <v>0.57553479328851687</v>
      </c>
    </row>
    <row r="229" spans="2:72" x14ac:dyDescent="0.25">
      <c r="B229"/>
      <c r="C229"/>
      <c r="D229"/>
      <c r="J229" s="47"/>
      <c r="K229" s="47"/>
      <c r="L229" s="47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L229"/>
      <c r="AM229"/>
      <c r="AN229"/>
      <c r="AT229" s="47"/>
      <c r="AU229" s="47"/>
      <c r="AV229" s="47"/>
      <c r="AW229"/>
      <c r="AX229"/>
      <c r="AY229"/>
      <c r="AZ229"/>
      <c r="BA229"/>
      <c r="BB229"/>
      <c r="BC229"/>
      <c r="BD229"/>
      <c r="BJ229"/>
      <c r="BK229"/>
      <c r="BL229"/>
      <c r="BM229"/>
      <c r="BN229"/>
      <c r="BO229"/>
      <c r="BP229"/>
      <c r="BR229"/>
      <c r="BS229"/>
      <c r="BT229"/>
    </row>
    <row r="230" spans="2:72" ht="16.5" customHeight="1" x14ac:dyDescent="0.25">
      <c r="B230" s="204" t="s">
        <v>47</v>
      </c>
      <c r="C230" s="9"/>
      <c r="D230" s="37" t="s">
        <v>19</v>
      </c>
      <c r="J230" s="19">
        <f>(+[1]Retail!$C$61)/1000</f>
        <v>6.3370639999999909E-2</v>
      </c>
      <c r="K230" s="19">
        <f>(+[1]Retail!$C$62)/1000</f>
        <v>7.1586830000000018E-2</v>
      </c>
      <c r="L230" s="19">
        <f>(+[1]Retail!$C$63)/1000</f>
        <v>0</v>
      </c>
      <c r="M230" s="6"/>
      <c r="N230" s="19">
        <f>(+[1]SME!$C$61)/1000</f>
        <v>0.38157938000000002</v>
      </c>
      <c r="O230" s="19">
        <f>(+[1]SME!$C$62)/1000</f>
        <v>0.36467952999999997</v>
      </c>
      <c r="P230" s="19">
        <f>(+[1]SME!$C$63)/1000</f>
        <v>0.31595999999999996</v>
      </c>
      <c r="Q230" s="6"/>
      <c r="R230" s="19">
        <f>(+[1]MidCorp!$C$61)/1000</f>
        <v>1.8923619999999999</v>
      </c>
      <c r="S230" s="19">
        <f>(+[1]MidCorp!$C$62)/1000</f>
        <v>1.70135163</v>
      </c>
      <c r="T230" s="19">
        <f>(+[1]MidCorp!$C$63)/1000</f>
        <v>1.6033299999999999</v>
      </c>
      <c r="U230" s="6"/>
      <c r="V230" s="19">
        <f>(+[1]MGA!$C$61)/1000</f>
        <v>1.2683266199999998</v>
      </c>
      <c r="W230" s="19">
        <f>(+[1]MGA!$C$62)/1000</f>
        <v>1.1094641200000002</v>
      </c>
      <c r="X230" s="19">
        <f>(+[1]MGA!$C$63)/1000</f>
        <v>0.23235</v>
      </c>
      <c r="Y230" s="6"/>
      <c r="Z230" s="19">
        <f>(+[1]Bancassurance!$C$61)/1000</f>
        <v>0</v>
      </c>
      <c r="AA230" s="19">
        <f>(+[1]Bancassurance!$C$62)/1000</f>
        <v>0</v>
      </c>
      <c r="AB230" s="19">
        <f>(+[1]Bancassurance!$C$63)/1000</f>
        <v>0</v>
      </c>
      <c r="AC230" s="6"/>
      <c r="AD230" s="19">
        <f>(+[1]Specials!$C$61)/1000</f>
        <v>0</v>
      </c>
      <c r="AE230" s="19">
        <f>(+[1]Specials!$C$62)/1000</f>
        <v>0</v>
      </c>
      <c r="AF230" s="19">
        <f>(+[1]Specials!$C$63)/1000</f>
        <v>0</v>
      </c>
      <c r="AG230" s="6"/>
      <c r="AH230" s="27">
        <f>(+'[1]Total P&amp;C'!$C$61)/1000</f>
        <v>3.6056386399999996</v>
      </c>
      <c r="AI230" s="27">
        <f>(+'[1]Total P&amp;C'!$C$62)/1000</f>
        <v>3.2470821100000005</v>
      </c>
      <c r="AJ230" s="27">
        <f>(+'[1]Total P&amp;C'!$C$63)/1000</f>
        <v>2.15164</v>
      </c>
      <c r="AL230" s="204" t="s">
        <v>47</v>
      </c>
      <c r="AM230" s="9"/>
      <c r="AN230" s="37" t="s">
        <v>19</v>
      </c>
      <c r="AT230" s="19">
        <f>(+[2]Retail!$C$61+[2]Retail!$C$65)/1000</f>
        <v>29.674559419999994</v>
      </c>
      <c r="AU230" s="19">
        <f>(+[2]Retail!$C$62+[2]Retail!$C$66)/1000</f>
        <v>30.062927900000005</v>
      </c>
      <c r="AV230" s="19">
        <f>(+[2]Retail!$C$63+[2]Retail!$C$67)/1000</f>
        <v>32.077891655640904</v>
      </c>
      <c r="AW230" s="6"/>
      <c r="AX230" s="19">
        <f>(+[2]SME!$C$61+[2]SME!$C$65)/1000</f>
        <v>14.556769779999994</v>
      </c>
      <c r="AY230" s="19">
        <f>(+[2]SME!$C$62+[2]SME!$C$66)/1000</f>
        <v>16.994235950000004</v>
      </c>
      <c r="AZ230" s="19">
        <f>(+[2]SME!$C$63+[2]SME!$C$67)/1000</f>
        <v>15.062325280031864</v>
      </c>
      <c r="BA230" s="6"/>
      <c r="BB230" s="19">
        <f>(+[2]MidCorp!$C$61+[2]MidCorp!$C$65)/1000</f>
        <v>60.707629340000011</v>
      </c>
      <c r="BC230" s="19">
        <f>(+[2]MidCorp!$C$62+[2]MidCorp!$C$66)/1000</f>
        <v>59.773017500000016</v>
      </c>
      <c r="BD230" s="19">
        <f>(+[2]MidCorp!$C$63+[2]MidCorp!$C$67)/1000</f>
        <v>61.905927512799884</v>
      </c>
      <c r="BJ230" s="19">
        <f>(+[2]Specials!$C$61+[2]Specials!$C$65)/1000</f>
        <v>0</v>
      </c>
      <c r="BK230" s="19">
        <f>(+[2]Specials!$C$62+[2]Specials!$C$66)/1000</f>
        <v>0</v>
      </c>
      <c r="BL230" s="19">
        <f>(+[2]Specials!$C$63+[2]Specials!$C$67)/1000</f>
        <v>0</v>
      </c>
      <c r="BM230" s="6"/>
      <c r="BN230" s="27">
        <f>(+'[2]Total P&amp;C'!$C$61+'[2]Total P&amp;C'!$C$65)/1000</f>
        <v>104.93895854000002</v>
      </c>
      <c r="BO230" s="27">
        <f>(+'[2]Total P&amp;C'!$C$62+'[2]Total P&amp;C'!$C$66)/1000</f>
        <v>106.83018135000003</v>
      </c>
      <c r="BP230" s="27">
        <f>(+'[2]Total P&amp;C'!$C$63+'[2]Total P&amp;C'!$C$67)/1000</f>
        <v>109.04614444847267</v>
      </c>
      <c r="BR230" s="27">
        <f>(+'[3]Total P&amp;C'!$C$61+'[2]Total P&amp;C'!$C$65)/1000</f>
        <v>108.54459718000003</v>
      </c>
      <c r="BS230" s="27">
        <f>(+'[3]Total P&amp;C'!$C$62+'[2]Total P&amp;C'!$C$66)/1000</f>
        <v>110.07726346000003</v>
      </c>
      <c r="BT230" s="27">
        <f>(+'[3]Total P&amp;C'!$C$63+'[2]Total P&amp;C'!$C$67)/1000</f>
        <v>111.19778444847266</v>
      </c>
    </row>
    <row r="231" spans="2:72" ht="16.5" customHeight="1" x14ac:dyDescent="0.25">
      <c r="B231" s="204"/>
      <c r="C231" s="9"/>
      <c r="D231" s="37" t="s">
        <v>20</v>
      </c>
      <c r="J231" s="19">
        <f>(+[1]Retail!$N$61)/1000</f>
        <v>6.1564569999999923E-2</v>
      </c>
      <c r="K231" s="19">
        <f>(+[1]Retail!$N$62)/1000</f>
        <v>7.2085030000000078E-2</v>
      </c>
      <c r="L231" s="19">
        <f>(+[1]Retail!$N$63)/1000</f>
        <v>0</v>
      </c>
      <c r="M231" s="6"/>
      <c r="N231" s="19">
        <f>(+[1]SME!$N$61)/1000</f>
        <v>0.20755725000000003</v>
      </c>
      <c r="O231" s="19">
        <f>(+[1]SME!$N$62)/1000</f>
        <v>0.20802046999999999</v>
      </c>
      <c r="P231" s="19">
        <f>(+[1]SME!$N$63)/1000</f>
        <v>0.18809983677189798</v>
      </c>
      <c r="Q231" s="6"/>
      <c r="R231" s="19">
        <f>(+[1]MidCorp!$N$61)/1000</f>
        <v>0.86120008999999975</v>
      </c>
      <c r="S231" s="19">
        <f>(+[1]MidCorp!$N$62)/1000</f>
        <v>0.77956283999999965</v>
      </c>
      <c r="T231" s="19">
        <f>(+[1]MidCorp!$N$63)/1000</f>
        <v>0.8665907897237648</v>
      </c>
      <c r="U231" s="6"/>
      <c r="V231" s="19">
        <f>(+[1]MGA!$N$61)/1000</f>
        <v>1.1455273699999993</v>
      </c>
      <c r="W231" s="19">
        <f>(+[1]MGA!$N$62)/1000</f>
        <v>1.0065372999999995</v>
      </c>
      <c r="X231" s="19">
        <f>(+[1]MGA!$N$63)/1000</f>
        <v>0.22189628565338904</v>
      </c>
      <c r="Y231" s="6"/>
      <c r="Z231" s="19">
        <f>(+[1]Bancassurance!$N$61)/1000</f>
        <v>0</v>
      </c>
      <c r="AA231" s="19">
        <f>(+[1]Bancassurance!$N$62)/1000</f>
        <v>0</v>
      </c>
      <c r="AB231" s="19">
        <f>(+[1]Bancassurance!$N$63)/1000</f>
        <v>0</v>
      </c>
      <c r="AC231" s="6"/>
      <c r="AD231" s="19">
        <f>(+[1]Specials!$N$61)/1000</f>
        <v>0</v>
      </c>
      <c r="AE231" s="19">
        <f>(+[1]Specials!$N$62)/1000</f>
        <v>0</v>
      </c>
      <c r="AF231" s="19">
        <f>(+[1]Specials!$N$63)/1000</f>
        <v>0</v>
      </c>
      <c r="AG231" s="6"/>
      <c r="AH231" s="27">
        <f>(+'[1]Total P&amp;C'!$N$61)/1000</f>
        <v>2.2758492799999992</v>
      </c>
      <c r="AI231" s="27">
        <f>(+'[1]Total P&amp;C'!$N$62)/1000</f>
        <v>2.0662056399999993</v>
      </c>
      <c r="AJ231" s="27">
        <f>(+'[1]Total P&amp;C'!$N$63)/1000</f>
        <v>1.2765869121490518</v>
      </c>
      <c r="AL231" s="204"/>
      <c r="AM231" s="9"/>
      <c r="AN231" s="37" t="s">
        <v>20</v>
      </c>
      <c r="AT231" s="19">
        <f>(+[2]Retail!$N$61+[2]Retail!$N$65)/1000</f>
        <v>29.126700190000005</v>
      </c>
      <c r="AU231" s="19">
        <f>(+[2]Retail!$N$62+[2]Retail!$N$66)/1000</f>
        <v>29.117869420000005</v>
      </c>
      <c r="AV231" s="19">
        <f>(+[2]Retail!$N$63+[2]Retail!$N$67)/1000</f>
        <v>30.893379012667808</v>
      </c>
      <c r="AW231" s="6"/>
      <c r="AX231" s="19">
        <f>(+[2]SME!$N$61+[2]SME!$N$65)/1000</f>
        <v>10.072817480000003</v>
      </c>
      <c r="AY231" s="19">
        <f>(+[2]SME!$N$62+[2]SME!$N$66)/1000</f>
        <v>12.057115209999996</v>
      </c>
      <c r="AZ231" s="19">
        <f>(+[2]SME!$N$63+[2]SME!$N$67)/1000</f>
        <v>10.613611365466951</v>
      </c>
      <c r="BA231" s="6"/>
      <c r="BB231" s="19">
        <f>(+[2]MidCorp!$N$61+[2]MidCorp!$N$65)/1000</f>
        <v>34.899477100000013</v>
      </c>
      <c r="BC231" s="19">
        <f>(+[2]MidCorp!$N$62+[2]MidCorp!$N$66)/1000</f>
        <v>34.311870859999992</v>
      </c>
      <c r="BD231" s="19">
        <f>(+[2]MidCorp!$N$63+[2]MidCorp!$N$67)/1000</f>
        <v>37.428562823673687</v>
      </c>
      <c r="BJ231" s="19">
        <f>(+[2]Specials!$N$61+[2]Specials!$N$65)/1000</f>
        <v>0</v>
      </c>
      <c r="BK231" s="19">
        <f>(+[2]Specials!$N$62+[2]Specials!$N$66)/1000</f>
        <v>0</v>
      </c>
      <c r="BL231" s="19">
        <f>(+[2]Specials!$N$63+[2]Specials!$N$67)/1000</f>
        <v>0</v>
      </c>
      <c r="BM231" s="6"/>
      <c r="BN231" s="27">
        <f>(+'[2]Total P&amp;C'!$N$61+'[2]Total P&amp;C'!$N$65)/1000</f>
        <v>74.098994770000019</v>
      </c>
      <c r="BO231" s="27">
        <f>(+'[2]Total P&amp;C'!$N$62+'[2]Total P&amp;C'!$N$66)/1000</f>
        <v>75.486855489999996</v>
      </c>
      <c r="BP231" s="27">
        <f>(+'[2]Total P&amp;C'!$N$63+'[2]Total P&amp;C'!$N$67)/1000</f>
        <v>78.93555320180846</v>
      </c>
      <c r="BR231" s="27">
        <f>(+'[3]Total P&amp;C'!$N$61+'[2]Total P&amp;C'!$N$65)/1000</f>
        <v>76.374844050000007</v>
      </c>
      <c r="BS231" s="27">
        <f>(+'[3]Total P&amp;C'!$N$62+'[2]Total P&amp;C'!$N$66)/1000</f>
        <v>77.553061130000003</v>
      </c>
      <c r="BT231" s="27">
        <f>(+'[3]Total P&amp;C'!$N$63+'[2]Total P&amp;C'!$N$67)/1000</f>
        <v>80.212140113957517</v>
      </c>
    </row>
    <row r="232" spans="2:72" ht="16.5" customHeight="1" x14ac:dyDescent="0.25">
      <c r="B232" s="204"/>
      <c r="C232" s="9"/>
      <c r="D232" s="37" t="s">
        <v>21</v>
      </c>
      <c r="J232" s="20">
        <f>+J233+J238+J239+J240+J241</f>
        <v>0.14705584721861981</v>
      </c>
      <c r="K232" s="20">
        <f>+K233+K238+K239+K240+K241</f>
        <v>0.32037900240868272</v>
      </c>
      <c r="L232" s="20" t="e">
        <f>+L233+L238+L239+L240+L241</f>
        <v>#DIV/0!</v>
      </c>
      <c r="M232" s="6"/>
      <c r="N232" s="20">
        <f>+N233+N238+N239+N240+N241</f>
        <v>0.72930687798185789</v>
      </c>
      <c r="O232" s="20">
        <f>+O233+O238+O239+O240+O241</f>
        <v>0.52733050742554344</v>
      </c>
      <c r="P232" s="20">
        <f>+P233+P238+P239+P240+P241</f>
        <v>0.86162394146728793</v>
      </c>
      <c r="Q232" s="6"/>
      <c r="R232" s="20">
        <f>+R233+R238+R239+R240+R241</f>
        <v>0.33306148400425761</v>
      </c>
      <c r="S232" s="20">
        <f>+S233+S238+S239+S240+S241</f>
        <v>0.1740580400163764</v>
      </c>
      <c r="T232" s="20">
        <f>+T233+T238+T239+T240+T241</f>
        <v>0.39592926841002457</v>
      </c>
      <c r="U232" s="6"/>
      <c r="V232" s="20">
        <f>+V233+V238+V239+V240+V241</f>
        <v>0.50765076001632381</v>
      </c>
      <c r="W232" s="20">
        <f>+W233+W238+W239+W240+W241</f>
        <v>0.51020101291824949</v>
      </c>
      <c r="X232" s="20">
        <f>+X233+X238+X239+X240+X241</f>
        <v>0.87238577523802152</v>
      </c>
      <c r="Y232" s="6"/>
      <c r="Z232" s="20" t="e">
        <f>+Z233+Z238+Z239+Z240+Z241</f>
        <v>#DIV/0!</v>
      </c>
      <c r="AA232" s="20" t="e">
        <f>+AA233+AA238+AA239+AA240+AA241</f>
        <v>#DIV/0!</v>
      </c>
      <c r="AB232" s="20" t="e">
        <f>+AB233+AB238+AB239+AB240+AB241</f>
        <v>#DIV/0!</v>
      </c>
      <c r="AC232" s="6"/>
      <c r="AD232" s="20" t="e">
        <f>+AD233+AD238+AD239+AD240+AD241</f>
        <v>#DIV/0!</v>
      </c>
      <c r="AE232" s="20" t="e">
        <f>+AE233+AE238+AE239+AE240+AE241</f>
        <v>#DIV/0!</v>
      </c>
      <c r="AF232" s="20" t="e">
        <f>+AF233+AF238+AF239+AF240+AF241</f>
        <v>#DIV/0!</v>
      </c>
      <c r="AG232" s="6"/>
      <c r="AH232" s="28">
        <f>+AH233+AH238+AH239+AH240+AH241</f>
        <v>0.45524620154107953</v>
      </c>
      <c r="AI232" s="28">
        <f>+AI233+AI238+AI239+AI240+AI241</f>
        <v>0.38608796460356187</v>
      </c>
      <c r="AJ232" s="28">
        <f>+AJ233+AJ238+AJ239+AJ240+AJ241</f>
        <v>0.55770952510221794</v>
      </c>
      <c r="AL232" s="204"/>
      <c r="AM232" s="9"/>
      <c r="AN232" s="37" t="s">
        <v>21</v>
      </c>
      <c r="AT232" s="20">
        <f>+AT233+AT238+AT239+AT240+AT241</f>
        <v>0.85754981776396033</v>
      </c>
      <c r="AU232" s="20">
        <f>+AU233+AU238+AU239+AU240+AU241</f>
        <v>0.86709322498225494</v>
      </c>
      <c r="AV232" s="20">
        <f>+AV233+AV238+AV239+AV240+AV241</f>
        <v>0.96124953161017013</v>
      </c>
      <c r="AW232" s="6"/>
      <c r="AX232" s="20">
        <f>+AX233+AX238+AX239+AX240+AX241</f>
        <v>1.1599205965161596</v>
      </c>
      <c r="AY232" s="20">
        <f>+AY233+AY238+AY239+AY240+AY241</f>
        <v>0.83404053331592909</v>
      </c>
      <c r="AZ232" s="20">
        <f>+AZ233+AZ238+AZ239+AZ240+AZ241</f>
        <v>1.1201069168916948</v>
      </c>
      <c r="BA232" s="6"/>
      <c r="BB232" s="20">
        <f>+BB233+BB238+BB239+BB240+BB241</f>
        <v>0.95146282664504422</v>
      </c>
      <c r="BC232" s="20">
        <f>+BC233+BC238+BC239+BC240+BC241</f>
        <v>1.0942587838825881</v>
      </c>
      <c r="BD232" s="20">
        <f>+BD233+BD238+BD239+BD240+BD241</f>
        <v>0.98254888846058341</v>
      </c>
      <c r="BJ232" s="20" t="e">
        <f>+BJ233+BJ238+BJ239+BJ240+BJ241</f>
        <v>#DIV/0!</v>
      </c>
      <c r="BK232" s="20" t="e">
        <f>+BK233+BK238+BK239+BK240+BK241</f>
        <v>#DIV/0!</v>
      </c>
      <c r="BL232" s="20" t="e">
        <f>+BL233+BL238+BL239+BL240+BL241</f>
        <v>#DIV/0!</v>
      </c>
      <c r="BM232" s="6"/>
      <c r="BN232" s="28">
        <f>+BN233+BN238+BN239+BN240+BN241</f>
        <v>0.94290332880854555</v>
      </c>
      <c r="BO232" s="28">
        <f>+BO233+BO238+BO239+BO240+BO241</f>
        <v>0.96545531095350179</v>
      </c>
      <c r="BP232" s="28">
        <f>+BP233+BP238+BP239+BP240+BP241</f>
        <v>0.99270880142162177</v>
      </c>
      <c r="BR232" s="28">
        <f>+BR233+BR238+BR239+BR240+BR241</f>
        <v>0.92837191947104247</v>
      </c>
      <c r="BS232" s="28">
        <f>+BS233+BS238+BS239+BS240+BS241</f>
        <v>0.95001952980937077</v>
      </c>
      <c r="BT232" s="28">
        <f>+BT233+BT238+BT239+BT240+BT241</f>
        <v>0.98578572989959623</v>
      </c>
    </row>
    <row r="233" spans="2:72" ht="16.5" customHeight="1" x14ac:dyDescent="0.25">
      <c r="B233" s="204"/>
      <c r="C233" s="9"/>
      <c r="D233" s="37" t="s">
        <v>22</v>
      </c>
      <c r="J233" s="20">
        <f>+J234+J235+J236+J237</f>
        <v>8.5447685251436117E-2</v>
      </c>
      <c r="K233" s="20">
        <f>+K234+K235+K236+K237</f>
        <v>3.8008585138967099E-2</v>
      </c>
      <c r="L233" s="20" t="e">
        <f>+L234+L235+L236+L237</f>
        <v>#DIV/0!</v>
      </c>
      <c r="M233" s="6"/>
      <c r="N233" s="20">
        <f>+N234+N235+N236+N237</f>
        <v>0.31588474987021647</v>
      </c>
      <c r="O233" s="20">
        <f>+O234+O235+O236+O237</f>
        <v>0.55587063138545934</v>
      </c>
      <c r="P233" s="20">
        <f>+P234+P235+P236+P237</f>
        <v>0.36985942942499977</v>
      </c>
      <c r="Q233" s="6"/>
      <c r="R233" s="20">
        <f>+R234+R235+R236+R237</f>
        <v>4.5452317590909702E-2</v>
      </c>
      <c r="S233" s="20">
        <f>+S234+S235+S236+S237</f>
        <v>8.3787818824201582E-2</v>
      </c>
      <c r="T233" s="20">
        <f>+T234+T235+T236+T237</f>
        <v>9.1185593524651692E-2</v>
      </c>
      <c r="U233" s="6"/>
      <c r="V233" s="20">
        <f>+V234+V235+V236+V237</f>
        <v>0.54813226330855847</v>
      </c>
      <c r="W233" s="20">
        <f>+W234+W235+W236+W237</f>
        <v>0.58009144817584024</v>
      </c>
      <c r="X233" s="20">
        <f>+X234+X235+X236+X237</f>
        <v>0.54494291878340873</v>
      </c>
      <c r="Y233" s="6"/>
      <c r="Z233" s="20" t="e">
        <f>+Z234+Z235+Z236+Z237</f>
        <v>#DIV/0!</v>
      </c>
      <c r="AA233" s="20" t="e">
        <f>+AA234+AA235+AA236+AA237</f>
        <v>#DIV/0!</v>
      </c>
      <c r="AB233" s="20" t="e">
        <f>+AB234+AB235+AB236+AB237</f>
        <v>#DIV/0!</v>
      </c>
      <c r="AC233" s="6"/>
      <c r="AD233" s="20" t="e">
        <f>+AD234+AD235+AD236+AD237</f>
        <v>#DIV/0!</v>
      </c>
      <c r="AE233" s="20" t="e">
        <f>+AE234+AE235+AE236+AE237</f>
        <v>#DIV/0!</v>
      </c>
      <c r="AF233" s="20" t="e">
        <f>+AF234+AF235+AF236+AF237</f>
        <v>#DIV/0!</v>
      </c>
      <c r="AG233" s="6"/>
      <c r="AH233" s="28">
        <f>+AH234+AH235+AH236+AH237</f>
        <v>0.3252391168891467</v>
      </c>
      <c r="AI233" s="28">
        <f>+AI234+AI235+AI236+AI237</f>
        <v>0.37389322003786624</v>
      </c>
      <c r="AJ233" s="28">
        <f>+AJ234+AJ235+AJ236+AJ237</f>
        <v>0.2146540021871633</v>
      </c>
      <c r="AL233" s="204"/>
      <c r="AM233" s="9"/>
      <c r="AN233" s="37" t="s">
        <v>22</v>
      </c>
      <c r="AT233" s="20">
        <f>+AT234+AT235+AT236+AT237</f>
        <v>0.63207316619823362</v>
      </c>
      <c r="AU233" s="20">
        <f>+AU234+AU235+AU236+AU237</f>
        <v>0.72470001378280791</v>
      </c>
      <c r="AV233" s="20">
        <f>+AV234+AV235+AV236+AV237</f>
        <v>0.59072005426526675</v>
      </c>
      <c r="AW233" s="6"/>
      <c r="AX233" s="20">
        <f>+AX234+AX235+AX236+AX237</f>
        <v>0.69783477402987737</v>
      </c>
      <c r="AY233" s="20">
        <f>+AY234+AY235+AY236+AY237</f>
        <v>0.47238867347606628</v>
      </c>
      <c r="AZ233" s="20">
        <f>+AZ234+AZ235+AZ236+AZ237</f>
        <v>0.6385523170684374</v>
      </c>
      <c r="BA233" s="6"/>
      <c r="BB233" s="20">
        <f>+BB234+BB235+BB236+BB237</f>
        <v>0.64659520242496693</v>
      </c>
      <c r="BC233" s="20">
        <f>+BC234+BC235+BC236+BC237</f>
        <v>0.68144700285806603</v>
      </c>
      <c r="BD233" s="20">
        <f>+BD234+BD235+BD236+BD237</f>
        <v>0.64230851450427207</v>
      </c>
      <c r="BJ233" s="20" t="e">
        <f>+BJ234+BJ235+BJ236+BJ237</f>
        <v>#DIV/0!</v>
      </c>
      <c r="BK233" s="20" t="e">
        <f>+BK234+BK235+BK236+BK237</f>
        <v>#DIV/0!</v>
      </c>
      <c r="BL233" s="20" t="e">
        <f>+BL234+BL235+BL236+BL237</f>
        <v>#DIV/0!</v>
      </c>
      <c r="BM233" s="6"/>
      <c r="BN233" s="28">
        <f>+BN234+BN235+BN236+BN237</f>
        <v>0.64785227558087677</v>
      </c>
      <c r="BO233" s="28">
        <f>+BO234+BO235+BO236+BO237</f>
        <v>0.66473939422006278</v>
      </c>
      <c r="BP233" s="28">
        <f>+BP234+BP235+BP236+BP237</f>
        <v>0.62161304068573897</v>
      </c>
      <c r="BR233" s="28">
        <f>+BR234+BR235+BR236+BR237</f>
        <v>0.63823891487212803</v>
      </c>
      <c r="BS233" s="28">
        <f>+BS234+BS235+BS236+BS237</f>
        <v>0.65699053174176125</v>
      </c>
      <c r="BT233" s="28">
        <f>+BT234+BT235+BT236+BT237</f>
        <v>0.61513623328987632</v>
      </c>
    </row>
    <row r="234" spans="2:72" ht="16.5" customHeight="1" x14ac:dyDescent="0.25">
      <c r="B234" s="204"/>
      <c r="C234" s="9"/>
      <c r="D234" s="38" t="s">
        <v>23</v>
      </c>
      <c r="J234" s="20">
        <f>-SUM([1]Retail!$O$61,[1]Retail!$R$61:$V$61,[1]Retail!$Y$61,[1]Retail!$AB$61,[1]Retail!$AU$61,[1]Retail!$AX$61,[1]Retail!$BA$61,[1]Retail!$BD$61)/1000/J231</f>
        <v>8.5447685251436117E-2</v>
      </c>
      <c r="K234" s="42">
        <f>-SUM([1]Retail!$O$62,[1]Retail!$R$62:$V$62,[1]Retail!$Y$62,[1]Retail!$AB$62,[1]Retail!$AU$62,[1]Retail!$AX$62,[1]Retail!$BA$62,[1]Retail!$BD$62)/1000/K231</f>
        <v>3.8008585138967099E-2</v>
      </c>
      <c r="L234" s="42" t="e">
        <f>-SUM([1]Retail!$O$63,[1]Retail!$R$63:$V$63,[1]Retail!$Y$63,[1]Retail!$AB$63,[1]Retail!$AU$63,[1]Retail!$AX$63,[1]Retail!$BA$63,[1]Retail!$BD$63)/1000/L231</f>
        <v>#DIV/0!</v>
      </c>
      <c r="M234" s="6"/>
      <c r="N234" s="20">
        <f>-SUM([1]SME!$O$61,[1]SME!$R$61:$V$61,[1]SME!$Y$61,[1]SME!$AB$61,[1]SME!$AU$61,[1]SME!$AX$61,[1]SME!$BA$61,[1]SME!$BD$61)/1000/N231</f>
        <v>0.31588474987021647</v>
      </c>
      <c r="O234" s="20">
        <f>-SUM([1]SME!$O$62,[1]SME!$R$62:$V$62,[1]SME!$Y$62,[1]SME!$AB$62,[1]SME!$AU$62,[1]SME!$AX$62,[1]SME!$BA$62,[1]SME!$BD$62)/1000/O231</f>
        <v>0.55587063138545934</v>
      </c>
      <c r="P234" s="20">
        <f>-SUM([1]SME!$O$63,[1]SME!$R$63:$V$63,[1]SME!$Y$63,[1]SME!$AB$63,[1]SME!$AU$63,[1]SME!$AX$63,[1]SME!$BA$63,[1]SME!$BD$63)/1000/P231</f>
        <v>0.36985942942499977</v>
      </c>
      <c r="Q234" s="6"/>
      <c r="R234" s="20">
        <f>-SUM([1]MidCorp!$O$61,[1]MidCorp!$R$61:$V$61,[1]MidCorp!$Y$61,[1]MidCorp!$AB$61,[1]MidCorp!$AU$61,[1]MidCorp!$AX$61,[1]MidCorp!$BA$61,[1]MidCorp!$BD$61)/1000/R231</f>
        <v>4.5452317590909702E-2</v>
      </c>
      <c r="S234" s="20">
        <f>-SUM([1]MidCorp!$O$62,[1]MidCorp!$R$62:$V$62,[1]MidCorp!$Y$62,[1]MidCorp!$AB$62,[1]MidCorp!$AU$62,[1]MidCorp!$AX$62,[1]MidCorp!$BA$62,[1]MidCorp!$BD$62)/1000/S231</f>
        <v>8.3787818824201582E-2</v>
      </c>
      <c r="T234" s="20">
        <f>-SUM([1]MidCorp!$O$63,[1]MidCorp!$R$63:$V$63,[1]MidCorp!$Y$63,[1]MidCorp!$AB$63,[1]MidCorp!$AU$63,[1]MidCorp!$AX$63,[1]MidCorp!$BA$63,[1]MidCorp!$BD$63)/1000/T231</f>
        <v>9.1185593524651692E-2</v>
      </c>
      <c r="U234" s="6"/>
      <c r="V234" s="20">
        <f>-SUM([1]MGA!$O$61,[1]MGA!$R$61:$V$61,[1]MGA!$Y$61,[1]MGA!$AB$61,[1]MGA!$AU$61,[1]MGA!$AX$61,[1]MGA!$BA$61,[1]MGA!$BD$61)/1000/V231</f>
        <v>0.54813226330855847</v>
      </c>
      <c r="W234" s="20">
        <f>-SUM([1]MGA!$O$62,[1]MGA!$R$62:$V$62,[1]MGA!$Y$62,[1]MGA!$AB$62,[1]MGA!$AU$62,[1]MGA!$AX$62,[1]MGA!$BA$62,[1]MGA!$BD$62)/1000/W231</f>
        <v>0.58009144817584024</v>
      </c>
      <c r="X234" s="20">
        <f>-SUM([1]MGA!$O$63,[1]MGA!$R$63:$V$63,[1]MGA!$Y$63,[1]MGA!$AB$63,[1]MGA!$AU$63,[1]MGA!$AX$63,[1]MGA!$BA$63,[1]MGA!$BD$63)/1000/X231</f>
        <v>0.54494291878340873</v>
      </c>
      <c r="Y234" s="6"/>
      <c r="Z234" s="20" t="e">
        <f>-SUM([1]Bancassurance!$O$61,[1]Bancassurance!$R$61:$V$61,[1]Bancassurance!$Y$61,[1]Bancassurance!$AB$61,[1]Bancassurance!$AU$61,[1]Bancassurance!$AX$61,[1]Bancassurance!$BA$61,[1]Bancassurance!$BD$61)/1000/Z231</f>
        <v>#DIV/0!</v>
      </c>
      <c r="AA234" s="20" t="e">
        <f>-SUM([1]Bancassurance!$O$62,[1]Bancassurance!$R$62:$V$62,[1]Bancassurance!$Y$62,[1]Bancassurance!$AB$62,[1]Bancassurance!$AU$62,[1]Bancassurance!$AX$62,[1]Bancassurance!$BA$62,[1]Bancassurance!$BD$62)/1000/AA231</f>
        <v>#DIV/0!</v>
      </c>
      <c r="AB234" s="20" t="e">
        <f>-SUM([1]Bancassurance!$O$63,[1]Bancassurance!$R$63:$V$63,[1]Bancassurance!$Y$63,[1]Bancassurance!$AB$63,[1]Bancassurance!$AU$63,[1]Bancassurance!$AX$63,[1]Bancassurance!$BA$63,[1]Bancassurance!$BD$63)/1000/AB231</f>
        <v>#DIV/0!</v>
      </c>
      <c r="AC234" s="6"/>
      <c r="AD234" s="20" t="e">
        <f>-SUM([1]Specials!$O$61,[1]Specials!$R$61:$V$61,[1]Specials!$Y$61,[1]Specials!$AB$61,[1]Specials!$AU$61,[1]Specials!$AX$61,[1]Specials!$BA$61,[1]Specials!$BD$61)/1000/AD231</f>
        <v>#DIV/0!</v>
      </c>
      <c r="AE234" s="20" t="e">
        <f>-SUM([1]Specials!$O$62,[1]Specials!$R$62:$V$62,[1]Specials!$Y$62,[1]Specials!$AB$62,[1]Specials!$AU$62,[1]Specials!$AX$62,[1]Specials!$BA$62,[1]Specials!$BD$62)/1000/AE231</f>
        <v>#DIV/0!</v>
      </c>
      <c r="AF234" s="20" t="e">
        <f>-SUM([1]Specials!$O$63,[1]Specials!$R$63:$V$63,[1]Specials!$Y$63,[1]Specials!$AB$63,[1]Specials!$AU$63,[1]Specials!$AX$63,[1]Specials!$BA$63,[1]Specials!$BD$63)/1000/AF231</f>
        <v>#DIV/0!</v>
      </c>
      <c r="AG234" s="6"/>
      <c r="AH234" s="28">
        <f>-SUM('[1]Total P&amp;C'!$O$61,'[1]Total P&amp;C'!$R$61:$V$61,'[1]Total P&amp;C'!$Y$61,'[1]Total P&amp;C'!$AB$61,'[1]Total P&amp;C'!$AU$61,'[1]Total P&amp;C'!$AX$61,'[1]Total P&amp;C'!$BA$61,'[1]Total P&amp;C'!$BD$61)/1000/AH231</f>
        <v>0.3252391168891467</v>
      </c>
      <c r="AI234" s="28">
        <f>-SUM('[1]Total P&amp;C'!$O$62,'[1]Total P&amp;C'!$R$62:$V$62,'[1]Total P&amp;C'!$Y$62,'[1]Total P&amp;C'!$AB$62,'[1]Total P&amp;C'!$AU$62,'[1]Total P&amp;C'!$AX$62,'[1]Total P&amp;C'!$BA$62,'[1]Total P&amp;C'!$BD$62)/1000/AI231</f>
        <v>0.37389322003786624</v>
      </c>
      <c r="AJ234" s="28">
        <f>-SUM('[1]Total P&amp;C'!$O$63,'[1]Total P&amp;C'!$R$63:$V$63,'[1]Total P&amp;C'!$Y$63,'[1]Total P&amp;C'!$AB$63,'[1]Total P&amp;C'!$AU$63,'[1]Total P&amp;C'!$AX$63,'[1]Total P&amp;C'!$BA$63,'[1]Total P&amp;C'!$BD$63)/1000/AJ231</f>
        <v>0.2146540021871633</v>
      </c>
      <c r="AL234" s="204"/>
      <c r="AM234" s="9"/>
      <c r="AN234" s="38" t="s">
        <v>23</v>
      </c>
      <c r="AT234" s="20">
        <f>-SUM([2]Retail!$O$61,[2]Retail!$R$61:$V$61,[2]Retail!$Y$61,[2]Retail!$AB$61,[2]Retail!$AU$61,[2]Retail!$AX$61,[2]Retail!$BA$61,[2]Retail!$BD$61,[2]Retail!$O$65,[2]Retail!$R$65:$V$65,[2]Retail!$Y$65,[2]Retail!$AB$65,[2]Retail!$AU$65,[2]Retail!$AX$65,[2]Retail!$BA$65,[2]Retail!$BD$65)/1000/AT231</f>
        <v>0.53716866887539827</v>
      </c>
      <c r="AU234" s="42">
        <f>-SUM([2]Retail!$O$62,[2]Retail!$R$62:$V$62,[2]Retail!$Y$62,[2]Retail!$AB$62,[2]Retail!$AU$62,[2]Retail!$AX$62,[2]Retail!$BA$62,[2]Retail!$BD$62,[2]Retail!$O$66,[2]Retail!$R$66:$V$66,[2]Retail!$Y$66,[2]Retail!$AB$66,[2]Retail!$AU$66,[2]Retail!$AX$66,[2]Retail!$BA$66,[2]Retail!$BD$66)/1000/AU231</f>
        <v>0.6036281558405312</v>
      </c>
      <c r="AV234" s="42">
        <f>-SUM([2]Retail!$O$63,[2]Retail!$R$63:$V$63,[2]Retail!$Y$63,[2]Retail!$AB$63,[2]Retail!$AU$63,[2]Retail!$AX$63,[2]Retail!$BA$63,[2]Retail!$BD$63,[2]Retail!$O$67,[2]Retail!$R$67:$V$67,[2]Retail!$Y$67,[2]Retail!$AB$67,[2]Retail!$AU$67,[2]Retail!$AX$67,[2]Retail!$BA$67,[2]Retail!$BD$67)/1000/AV231</f>
        <v>0.45529360731780372</v>
      </c>
      <c r="AW234" s="6"/>
      <c r="AX234" s="20">
        <f>-SUM([2]SME!$O$61,[2]SME!$R$61:$V$61,[2]SME!$Y$61,[2]SME!$AB$61,[2]SME!$AU$61,[2]SME!$AX$61,[2]SME!$BA$61,[2]SME!$BD$61,[2]SME!$O$65,[2]SME!$R$65:$V$65,[2]SME!$Y$65,[2]SME!$AB$65,[2]SME!$AU$65,[2]SME!$AX$65,[2]SME!$BA$65,[2]SME!$BD$65)/1000/AX231</f>
        <v>0.53642404052446024</v>
      </c>
      <c r="AY234" s="20">
        <f>-SUM([2]SME!$O$62,[2]SME!$R$62:$V$62,[2]SME!$Y$62,[2]SME!$AB$62,[2]SME!$AU$62,[2]SME!$AX$62,[2]SME!$BA$62,[2]SME!$BD$62,[2]SME!$O$66,[2]SME!$R$66:$V$66,[2]SME!$Y$66,[2]SME!$AB$66,[2]SME!$AU$66,[2]SME!$AX$66,[2]SME!$BA$66,[2]SME!$BD$66)/1000/AY231</f>
        <v>0.39882482138113379</v>
      </c>
      <c r="AZ234" s="20">
        <f>-SUM([2]SME!$O$63,[2]SME!$R$63:$V$63,[2]SME!$Y$63,[2]SME!$AB$63,[2]SME!$AU$63,[2]SME!$AX$63,[2]SME!$BA$63,[2]SME!$BD$63,[2]SME!$O$67,[2]SME!$R$67:$V$67,[2]SME!$Y$67,[2]SME!$AB$67,[2]SME!$AU$67,[2]SME!$AX$67,[2]SME!$BA$67,[2]SME!$BD$67)/1000/AZ231</f>
        <v>0.46760677151756191</v>
      </c>
      <c r="BA234" s="6"/>
      <c r="BB234" s="20">
        <f>-SUM([2]MidCorp!$O$61,[2]MidCorp!$R$61:$V$61,[2]MidCorp!$Y$61,[2]MidCorp!$AB$61,[2]MidCorp!$AU$61,[2]MidCorp!$AX$61,[2]MidCorp!$BA$61,[2]MidCorp!$BD$61,[2]MidCorp!$O$65,[2]MidCorp!$R$65:$V$65,[2]MidCorp!$Y$65,[2]MidCorp!$AB$65,[2]MidCorp!$AU$65,[2]MidCorp!$AX$65,[2]MidCorp!$BA$65,[2]MidCorp!$BD$65)/1000/BB231</f>
        <v>0.44827739895145841</v>
      </c>
      <c r="BC234" s="20">
        <f>-SUM([2]MidCorp!$O$62,[2]MidCorp!$R$62:$V$62,[2]MidCorp!$Y$62,[2]MidCorp!$AB$62,[2]MidCorp!$AU$62,[2]MidCorp!$AX$62,[2]MidCorp!$BA$62,[2]MidCorp!$BD$62,[2]MidCorp!$O$66,[2]MidCorp!$R$66:$V$66,[2]MidCorp!$Y$66,[2]MidCorp!$AB$66,[2]MidCorp!$AU$66,[2]MidCorp!$AX$66,[2]MidCorp!$BA$66,[2]MidCorp!$BD$66)/1000/BC231</f>
        <v>0.52405593251874361</v>
      </c>
      <c r="BD234" s="20">
        <f>-SUM([2]MidCorp!$O$63,[2]MidCorp!$R$63:$V$63,[2]MidCorp!$Y$63,[2]MidCorp!$AB$63,[2]MidCorp!$AU$63,[2]MidCorp!$AX$63,[2]MidCorp!$BA$63,[2]MidCorp!$BD$63,[2]MidCorp!$O$67,[2]MidCorp!$R$67:$V$67,[2]MidCorp!$Y$67,[2]MidCorp!$AB$67,[2]MidCorp!$AU$67,[2]MidCorp!$AX$67,[2]MidCorp!$BA$67,[2]MidCorp!$BD$67)/1000/BD231</f>
        <v>0.41467048668139328</v>
      </c>
      <c r="BJ234" s="20" t="e">
        <f>-SUM([2]Specials!$O$61,[2]Specials!$R$61:$V$61,[2]Specials!$Y$61,[2]Specials!$AB$61,[2]Specials!$AU$61,[2]Specials!$AX$61,[2]Specials!$BA$61,[2]Specials!$BD$61,[2]Specials!$O$65,[2]Specials!$R$65:$V$65,[2]Specials!$Y$65,[2]Specials!$AB$65,[2]Specials!$AU$65,[2]Specials!$AX$65,[2]Specials!$BA$65,[2]Specials!$BD$65)/1000/BJ231</f>
        <v>#DIV/0!</v>
      </c>
      <c r="BK234" s="20" t="e">
        <f>-SUM([2]Specials!$O$62,[2]Specials!$R$62:$V$62,[2]Specials!$Y$62,[2]Specials!$AB$62,[2]Specials!$AU$62,[2]Specials!$AX$62,[2]Specials!$BA$62,[2]Specials!$BD$62,[2]Specials!$O$66,[2]Specials!$R$66:$V$66,[2]Specials!$Y$66,[2]Specials!$AB$66,[2]Specials!$AU$66,[2]Specials!$AX$66,[2]Specials!$BA$66,[2]Specials!$BD$66)/1000/BK231</f>
        <v>#DIV/0!</v>
      </c>
      <c r="BL234" s="20" t="e">
        <f>-SUM([2]Specials!$O$63,[2]Specials!$R$63:$V$63,[2]Specials!$Y$63,[2]Specials!$AB$63,[2]Specials!$AU$63,[2]Specials!$AX$63,[2]Specials!$BA$63,[2]Specials!$BD$63,[2]Specials!$O$67,[2]Specials!$R$67:$V$67,[2]Specials!$Y$67,[2]Specials!$AB$67,[2]Specials!$AU$67,[2]Specials!$AX$67,[2]Specials!$BA$67,[2]Specials!$BD$67)/1000/BL231</f>
        <v>#DIV/0!</v>
      </c>
      <c r="BM234" s="6"/>
      <c r="BN234" s="28">
        <f>-SUM('[2]Total P&amp;C'!$O$61,'[2]Total P&amp;C'!$R$61:$V$61,'[2]Total P&amp;C'!$Y$61,'[2]Total P&amp;C'!$AB$61,'[2]Total P&amp;C'!$AU$61,'[2]Total P&amp;C'!$AX$61,'[2]Total P&amp;C'!$BA$61,'[2]Total P&amp;C'!$BD$61,'[2]Total P&amp;C'!$O$65,'[2]Total P&amp;C'!$R$65:$V$65,'[2]Total P&amp;C'!$Y$65,'[2]Total P&amp;C'!$AB$65,'[2]Total P&amp;C'!$AU$65,'[2]Total P&amp;C'!$AX$65,'[2]Total P&amp;C'!$BA$65,'[2]Total P&amp;C'!$BD$65)/1000/BN231</f>
        <v>0.49520103686875033</v>
      </c>
      <c r="BO234" s="28">
        <f>-SUM('[2]Total P&amp;C'!$O$62,'[2]Total P&amp;C'!$R$62:$V$62,'[2]Total P&amp;C'!$Y$62,'[2]Total P&amp;C'!$AB$62,'[2]Total P&amp;C'!$AU$62,'[2]Total P&amp;C'!$AX$62,'[2]Total P&amp;C'!$BA$62,'[2]Total P&amp;C'!$BD$62,'[2]Total P&amp;C'!$O$66,'[2]Total P&amp;C'!$R$66:$V$66,'[2]Total P&amp;C'!$Y$66,'[2]Total P&amp;C'!$AB$66,'[2]Total P&amp;C'!$AU$66,'[2]Total P&amp;C'!$AX$66,'[2]Total P&amp;C'!$BA$66,'[2]Total P&amp;C'!$BD$66)/1000/BO231</f>
        <v>0.53474716701303693</v>
      </c>
      <c r="BP234" s="28">
        <f>-SUM('[2]Total P&amp;C'!$O$63,'[2]Total P&amp;C'!$R$63:$V$63,'[2]Total P&amp;C'!$Y$63,'[2]Total P&amp;C'!$AB$63,'[2]Total P&amp;C'!$AU$63,'[2]Total P&amp;C'!$AX$63,'[2]Total P&amp;C'!$BA$63,'[2]Total P&amp;C'!$BD$63,'[2]Total P&amp;C'!$O$67,'[2]Total P&amp;C'!$R$67:$V$67,'[2]Total P&amp;C'!$Y$67,'[2]Total P&amp;C'!$AB$67,'[2]Total P&amp;C'!$AU$67,'[2]Total P&amp;C'!$AX$67,'[2]Total P&amp;C'!$BA$67,'[2]Total P&amp;C'!$BD$67)/1000/BP231</f>
        <v>0.43768711915162828</v>
      </c>
      <c r="BR234" s="28">
        <f>-SUM('[3]Total P&amp;C'!$O$61,'[3]Total P&amp;C'!$R$61:$V$61,'[3]Total P&amp;C'!$Y$61,'[3]Total P&amp;C'!$AB$61,'[3]Total P&amp;C'!$AU$61,'[3]Total P&amp;C'!$AX$61,'[3]Total P&amp;C'!$BA$61,'[3]Total P&amp;C'!$BD$61,'[2]Total P&amp;C'!$O$65,'[2]Total P&amp;C'!$R$65:$V$65,'[2]Total P&amp;C'!$Y$65,'[2]Total P&amp;C'!$AB$65,'[2]Total P&amp;C'!$AU$65,'[2]Total P&amp;C'!$AX$65,'[2]Total P&amp;C'!$BA$65,'[2]Total P&amp;C'!$BD$65)/1000/BR231</f>
        <v>0.49013644108430909</v>
      </c>
      <c r="BS234" s="28">
        <f>-SUM('[3]Total P&amp;C'!$O$62,'[3]Total P&amp;C'!$R$62:$V$62,'[3]Total P&amp;C'!$Y$62,'[3]Total P&amp;C'!$AB$62,'[3]Total P&amp;C'!$AU$62,'[3]Total P&amp;C'!$AX$62,'[3]Total P&amp;C'!$BA$62,'[3]Total P&amp;C'!$BD$62,'[2]Total P&amp;C'!$O$66,'[2]Total P&amp;C'!$R$66:$V$66,'[2]Total P&amp;C'!$Y$66,'[2]Total P&amp;C'!$AB$66,'[2]Total P&amp;C'!$AU$66,'[2]Total P&amp;C'!$AX$66,'[2]Total P&amp;C'!$BA$66,'[2]Total P&amp;C'!$BD$66)/1000/BS231</f>
        <v>0.53046161944581405</v>
      </c>
      <c r="BT234" s="28">
        <f>-SUM('[3]Total P&amp;C'!$O$63,'[3]Total P&amp;C'!$R$63:$V$63,'[3]Total P&amp;C'!$Y$63,'[3]Total P&amp;C'!$AB$63,'[3]Total P&amp;C'!$AU$63,'[3]Total P&amp;C'!$AX$63,'[3]Total P&amp;C'!$BA$63,'[3]Total P&amp;C'!$BD$63,'[2]Total P&amp;C'!$O$67,'[2]Total P&amp;C'!$R$67:$V$67,'[2]Total P&amp;C'!$Y$67,'[2]Total P&amp;C'!$AB$67,'[2]Total P&amp;C'!$AU$67,'[2]Total P&amp;C'!$AX$67,'[2]Total P&amp;C'!$BA$67,'[2]Total P&amp;C'!$BD$67)/1000/BT231</f>
        <v>0.43413751733713801</v>
      </c>
    </row>
    <row r="235" spans="2:72" ht="16.5" customHeight="1" x14ac:dyDescent="0.25">
      <c r="B235" s="204"/>
      <c r="C235" s="9"/>
      <c r="D235" s="38" t="s">
        <v>24</v>
      </c>
      <c r="J235" s="20">
        <f>-([1]Retail!$P$61+[1]Retail!$W$61+[1]Retail!$AV$61+[1]Retail!$AY$61)/1000/J231</f>
        <v>0</v>
      </c>
      <c r="K235" s="42">
        <f>-([1]Retail!$P$62+[1]Retail!$W$62+[1]Retail!$AV$62+[1]Retail!$AY$62)/1000/K231</f>
        <v>0</v>
      </c>
      <c r="L235" s="42" t="e">
        <f>-([1]Retail!$P$63+[1]Retail!$W$63+[1]Retail!$AV$63+[1]Retail!$AY$63)/1000/L231</f>
        <v>#DIV/0!</v>
      </c>
      <c r="M235" s="7"/>
      <c r="N235" s="20">
        <f>-([1]SME!$P$61+[1]SME!$W$61+[1]SME!$AV$61+[1]SME!$AY$61)/1000/N231</f>
        <v>0</v>
      </c>
      <c r="O235" s="20">
        <f>-([1]SME!$P$62+[1]SME!$W$62+[1]SME!$AV$62+[1]SME!$AY$62)/1000/O231</f>
        <v>0</v>
      </c>
      <c r="P235" s="20">
        <f>-([1]SME!$P$63+[1]SME!$W$63+[1]SME!$AV$63+[1]SME!$AY$63)/1000/P231</f>
        <v>0</v>
      </c>
      <c r="Q235" s="7"/>
      <c r="R235" s="20">
        <f>-([1]MidCorp!$P$61+[1]MidCorp!$W$61+[1]MidCorp!$AV$61+[1]MidCorp!$AY$61)/1000/R231</f>
        <v>0</v>
      </c>
      <c r="S235" s="20">
        <f>-([1]MidCorp!$P$62+[1]MidCorp!$W$62+[1]MidCorp!$AV$62+[1]MidCorp!$AY$62)/1000/S231</f>
        <v>0</v>
      </c>
      <c r="T235" s="20">
        <f>-([1]MidCorp!$P$63+[1]MidCorp!$W$63+[1]MidCorp!$AV$63+[1]MidCorp!$AY$63)/1000/T231</f>
        <v>0</v>
      </c>
      <c r="U235" s="7"/>
      <c r="V235" s="20">
        <f>-([1]MGA!$P$61+[1]MGA!$W$61+[1]MGA!$AV$61+[1]MGA!$AY$61)/1000/V231</f>
        <v>0</v>
      </c>
      <c r="W235" s="20">
        <f>-([1]MGA!$P$62+[1]MGA!$W$62+[1]MGA!$AV$62+[1]MGA!$AY$62)/1000/W231</f>
        <v>0</v>
      </c>
      <c r="X235" s="20">
        <f>-([1]MGA!$P$63+[1]MGA!$W$63+[1]MGA!$AV$63+[1]MGA!$AY$63)/1000/X231</f>
        <v>0</v>
      </c>
      <c r="Y235" s="7"/>
      <c r="Z235" s="20" t="e">
        <f>-([1]Bancassurance!$P$61+[1]Bancassurance!$W$61+[1]Bancassurance!$AV$61+[1]Bancassurance!$AY$61)/1000/Z231</f>
        <v>#DIV/0!</v>
      </c>
      <c r="AA235" s="20" t="e">
        <f>-([1]Bancassurance!$P$62+[1]Bancassurance!$W$62+[1]Bancassurance!$AV$62+[1]Bancassurance!$AY$62)/1000/AA231</f>
        <v>#DIV/0!</v>
      </c>
      <c r="AB235" s="20" t="e">
        <f>-([1]Bancassurance!$P$63+[1]Bancassurance!$W$63+[1]Bancassurance!$AV$63+[1]Bancassurance!$AY$63)/1000/AB231</f>
        <v>#DIV/0!</v>
      </c>
      <c r="AC235" s="7"/>
      <c r="AD235" s="20" t="e">
        <f>-([1]Specials!$P$61+[1]Specials!$W$61+[1]Specials!$AV$61+[1]Specials!$AY$61)/1000/AD231</f>
        <v>#DIV/0!</v>
      </c>
      <c r="AE235" s="20" t="e">
        <f>-([1]Specials!$P$62+[1]Specials!$W$62+[1]Specials!$AV$62+[1]Specials!$AY$62)/1000/AE231</f>
        <v>#DIV/0!</v>
      </c>
      <c r="AF235" s="20" t="e">
        <f>-([1]Specials!$P$63+[1]Specials!$W$63+[1]Specials!$AV$63+[1]Specials!$AY$63)/1000/AF231</f>
        <v>#DIV/0!</v>
      </c>
      <c r="AG235" s="7"/>
      <c r="AH235" s="28">
        <f>-('[1]Total P&amp;C'!$P$61+'[1]Total P&amp;C'!$W$61+'[1]Total P&amp;C'!$AV$61+'[1]Total P&amp;C'!$AY$61)/1000/AH231</f>
        <v>0</v>
      </c>
      <c r="AI235" s="28">
        <f>-('[1]Total P&amp;C'!$P$62+'[1]Total P&amp;C'!$W$62+'[1]Total P&amp;C'!$AV$62+'[1]Total P&amp;C'!$AY$62)/1000/AI231</f>
        <v>0</v>
      </c>
      <c r="AJ235" s="28">
        <f>-('[1]Total P&amp;C'!$P$63+'[1]Total P&amp;C'!$W$63+'[1]Total P&amp;C'!$AV$63+'[1]Total P&amp;C'!$AY$63)/1000/AJ231</f>
        <v>0</v>
      </c>
      <c r="AL235" s="204"/>
      <c r="AM235" s="9"/>
      <c r="AN235" s="38" t="s">
        <v>24</v>
      </c>
      <c r="AT235" s="20">
        <f>-([2]Retail!$P$61+[2]Retail!$W$61+[2]Retail!$AV$61+[2]Retail!$AY$61+[2]Retail!$P$65+[2]Retail!$W$65+[2]Retail!$AV$65+[2]Retail!$AY$65)/1000/AT231</f>
        <v>5.1906102996145823E-3</v>
      </c>
      <c r="AU235" s="42">
        <f>-([2]Retail!$P$62+[2]Retail!$W$62+[2]Retail!$AV$62+[2]Retail!$AY$62+[2]Retail!$P$66+[2]Retail!$W$66+[2]Retail!$AV$66+[2]Retail!$AY$66)/1000/AU231</f>
        <v>0</v>
      </c>
      <c r="AV235" s="42">
        <f>-([2]Retail!$P$63+[2]Retail!$W$63+[2]Retail!$AV$63+[2]Retail!$AY$63+[2]Retail!$P$67+[2]Retail!$W$67+[2]Retail!$AV$67+[2]Retail!$AY$67)/1000/AV231</f>
        <v>3.3309496502381561E-2</v>
      </c>
      <c r="AW235" s="7"/>
      <c r="AX235" s="20">
        <f>-([2]SME!$P$61+[2]SME!$W$61+[2]SME!$AV$61+[2]SME!$AY$61+[2]SME!$P$65+[2]SME!$W$65+[2]SME!$AV$65+[2]SME!$AY$65)/1000/AX231</f>
        <v>2.8729439461658932E-3</v>
      </c>
      <c r="AY235" s="20">
        <f>-([2]SME!$P$62+[2]SME!$W$62+[2]SME!$AV$62+[2]SME!$AY$62+[2]SME!$P$66+[2]SME!$W$66+[2]SME!$AV$66+[2]SME!$AY$66)/1000/AY231</f>
        <v>0</v>
      </c>
      <c r="AZ235" s="20">
        <f>-([2]SME!$P$63+[2]SME!$W$63+[2]SME!$AV$63+[2]SME!$AY$63+[2]SME!$P$67+[2]SME!$W$67+[2]SME!$AV$67+[2]SME!$AY$67)/1000/AZ231</f>
        <v>3.2882437319438684E-2</v>
      </c>
      <c r="BA235" s="7"/>
      <c r="BB235" s="20">
        <f>-([2]MidCorp!$P$61+[2]MidCorp!$W$61+[2]MidCorp!$AV$61+[2]MidCorp!$AY$61+[2]MidCorp!$P$65+[2]MidCorp!$W$65+[2]MidCorp!$AV$65+[2]MidCorp!$AY$65)/1000/BB231</f>
        <v>2.0666791021920492E-3</v>
      </c>
      <c r="BC235" s="20">
        <f>-([2]MidCorp!$P$62+[2]MidCorp!$W$62+[2]MidCorp!$AV$62+[2]MidCorp!$AY$62+[2]MidCorp!$P$66+[2]MidCorp!$W$66+[2]MidCorp!$AV$66+[2]MidCorp!$AY$66)/1000/BC231</f>
        <v>0</v>
      </c>
      <c r="BD235" s="20">
        <f>-([2]MidCorp!$P$63+[2]MidCorp!$W$63+[2]MidCorp!$AV$63+[2]MidCorp!$AY$63+[2]MidCorp!$P$67+[2]MidCorp!$W$67+[2]MidCorp!$AV$67+[2]MidCorp!$AY$67)/1000/BD231</f>
        <v>2.4944807379818204E-2</v>
      </c>
      <c r="BJ235" s="20" t="e">
        <f>-([2]Specials!$P$61+[2]Specials!$W$61+[2]Specials!$AV$61+[2]Specials!$AY$61+[2]Specials!$P$65+[2]Specials!$W$65+[2]Specials!$AV$65+[2]Specials!$AY$65)/1000/BJ231</f>
        <v>#DIV/0!</v>
      </c>
      <c r="BK235" s="20" t="e">
        <f>-([2]Specials!$P$62+[2]Specials!$W$62+[2]Specials!$AV$62+[2]Specials!$AY$62+[2]Specials!$P$66+[2]Specials!$W$66+[2]Specials!$AV$66+[2]Specials!$AY$66)/1000/BK231</f>
        <v>#DIV/0!</v>
      </c>
      <c r="BL235" s="20" t="e">
        <f>-([2]Specials!$P$63+[2]Specials!$W$63+[2]Specials!$AV$63+[2]Specials!$AY$63+[2]Specials!$P$67+[2]Specials!$W$67+[2]Specials!$AV$67+[2]Specials!$AY$67)/1000/BL231</f>
        <v>#DIV/0!</v>
      </c>
      <c r="BM235" s="7"/>
      <c r="BN235" s="28">
        <f>-('[2]Total P&amp;C'!$P$61+'[2]Total P&amp;C'!$W$61+'[2]Total P&amp;C'!$AV$61+'[2]Total P&amp;C'!$AY$61+'[2]Total P&amp;C'!$P$65+'[2]Total P&amp;C'!$W$65+'[2]Total P&amp;C'!$AV$65+'[2]Total P&amp;C'!$AY$65)/1000/BN231</f>
        <v>3.4042298520104465E-3</v>
      </c>
      <c r="BO235" s="28">
        <f>-('[2]Total P&amp;C'!$P$62+'[2]Total P&amp;C'!$W$62+'[2]Total P&amp;C'!$AV$62+'[2]Total P&amp;C'!$AY$62+'[2]Total P&amp;C'!$P$66+'[2]Total P&amp;C'!$W$66+'[2]Total P&amp;C'!$AV$66+'[2]Total P&amp;C'!$AY$66)/1000/BO231</f>
        <v>0</v>
      </c>
      <c r="BP235" s="28">
        <f>-('[2]Total P&amp;C'!$P$63+'[2]Total P&amp;C'!$W$63+'[2]Total P&amp;C'!$AV$63+'[2]Total P&amp;C'!$AY$63+'[2]Total P&amp;C'!$P$67+'[2]Total P&amp;C'!$W$67+'[2]Total P&amp;C'!$AV$67+'[2]Total P&amp;C'!$AY$67)/1000/BP231</f>
        <v>2.9285822509622417E-2</v>
      </c>
      <c r="BR235" s="28">
        <f>-('[3]Total P&amp;C'!$P$61+'[3]Total P&amp;C'!$W$61+'[3]Total P&amp;C'!$AV$61+'[3]Total P&amp;C'!$AY$61+'[2]Total P&amp;C'!$P$65+'[2]Total P&amp;C'!$W$65+'[2]Total P&amp;C'!$AV$65+'[2]Total P&amp;C'!$AY$65)/1000/BR231</f>
        <v>3.3027891989522171E-3</v>
      </c>
      <c r="BS235" s="28">
        <f>-('[3]Total P&amp;C'!$P$62+'[3]Total P&amp;C'!$W$62+'[3]Total P&amp;C'!$AV$62+'[3]Total P&amp;C'!$AY$62+'[2]Total P&amp;C'!$P$66+'[2]Total P&amp;C'!$W$66+'[2]Total P&amp;C'!$AV$66+'[2]Total P&amp;C'!$AY$66)/1000/BS231</f>
        <v>0</v>
      </c>
      <c r="BT235" s="28">
        <f>-('[3]Total P&amp;C'!$P$63+'[3]Total P&amp;C'!$W$63+'[3]Total P&amp;C'!$AV$63+'[3]Total P&amp;C'!$AY$63+'[2]Total P&amp;C'!$P$67+'[2]Total P&amp;C'!$W$67+'[2]Total P&amp;C'!$AV$67+'[2]Total P&amp;C'!$AY$67)/1000/BT231</f>
        <v>2.8819734736946236E-2</v>
      </c>
    </row>
    <row r="236" spans="2:72" ht="16.5" customHeight="1" x14ac:dyDescent="0.25">
      <c r="B236" s="204"/>
      <c r="C236" s="9"/>
      <c r="D236" s="38" t="s">
        <v>25</v>
      </c>
      <c r="J236" s="20">
        <f>-([1]Retail!$Q$61+[1]Retail!$X$61+[1]Retail!$AW$61+[1]Retail!$AZ$61)/1000/J231</f>
        <v>0</v>
      </c>
      <c r="K236" s="42">
        <f>-([1]Retail!$Q$62+[1]Retail!$X$62+[1]Retail!$AW$62+[1]Retail!$AZ$62)/1000/K231</f>
        <v>0</v>
      </c>
      <c r="L236" s="42" t="e">
        <f>-([1]Retail!$Q$63+[1]Retail!$X$63+[1]Retail!$AW$63+[1]Retail!$AZ$63)/1000/L231</f>
        <v>#DIV/0!</v>
      </c>
      <c r="M236" s="7"/>
      <c r="N236" s="20">
        <f>-([1]SME!$Q$61+[1]SME!$X$61+[1]SME!$AW$61+[1]SME!$AZ$61)/1000/N231</f>
        <v>0</v>
      </c>
      <c r="O236" s="20">
        <f>-([1]SME!$Q$62+[1]SME!$X$62+[1]SME!$AW$62+[1]SME!$AZ$62)/1000/O231</f>
        <v>0</v>
      </c>
      <c r="P236" s="20">
        <f>-([1]SME!$Q$63+[1]SME!$X$63+[1]SME!$AW$63+[1]SME!$AZ$63)/1000/P231</f>
        <v>0</v>
      </c>
      <c r="Q236" s="7"/>
      <c r="R236" s="20">
        <f>-([1]MidCorp!$Q$61+[1]MidCorp!$X$61+[1]MidCorp!$AW$61+[1]MidCorp!$AZ$61)/1000/R231</f>
        <v>0</v>
      </c>
      <c r="S236" s="20">
        <f>-([1]MidCorp!$Q$62+[1]MidCorp!$X$62+[1]MidCorp!$AW$62+[1]MidCorp!$AZ$62)/1000/S231</f>
        <v>0</v>
      </c>
      <c r="T236" s="20">
        <f>-([1]MidCorp!$Q$63+[1]MidCorp!$X$63+[1]MidCorp!$AW$63+[1]MidCorp!$AZ$63)/1000/T231</f>
        <v>0</v>
      </c>
      <c r="U236" s="7"/>
      <c r="V236" s="20">
        <f>-([1]MGA!$Q$61+[1]MGA!$X$61+[1]MGA!$AW$61+[1]MGA!$AZ$61)/1000/V231</f>
        <v>0</v>
      </c>
      <c r="W236" s="20">
        <f>-([1]MGA!$Q$62+[1]MGA!$X$62+[1]MGA!$AW$62+[1]MGA!$AZ$62)/1000/W231</f>
        <v>0</v>
      </c>
      <c r="X236" s="20">
        <f>-([1]MGA!$Q$63+[1]MGA!$X$63+[1]MGA!$AW$63+[1]MGA!$AZ$63)/1000/X231</f>
        <v>0</v>
      </c>
      <c r="Y236" s="7"/>
      <c r="Z236" s="20" t="e">
        <f>-([1]Bancassurance!$Q$61+[1]Bancassurance!$X$61+[1]Bancassurance!$AW$61+[1]Bancassurance!$AZ$61)/1000/Z231</f>
        <v>#DIV/0!</v>
      </c>
      <c r="AA236" s="20" t="e">
        <f>-([1]Bancassurance!$Q$62+[1]Bancassurance!$X$62+[1]Bancassurance!$AW$62+[1]Bancassurance!$AZ$62)/1000/AA231</f>
        <v>#DIV/0!</v>
      </c>
      <c r="AB236" s="20" t="e">
        <f>-([1]Bancassurance!$Q$63+[1]Bancassurance!$X$63+[1]Bancassurance!$AW$63+[1]Bancassurance!$AZ$63)/1000/AB231</f>
        <v>#DIV/0!</v>
      </c>
      <c r="AC236" s="7"/>
      <c r="AD236" s="20" t="e">
        <f>-([1]Specials!$Q$61+[1]Specials!$X$61+[1]Specials!$AW$61+[1]Specials!$AZ$61)/1000/AD231</f>
        <v>#DIV/0!</v>
      </c>
      <c r="AE236" s="20" t="e">
        <f>-([1]Specials!$Q$62+[1]Specials!$X$62+[1]Specials!$AW$62+[1]Specials!$AZ$62)/1000/AE231</f>
        <v>#DIV/0!</v>
      </c>
      <c r="AF236" s="20" t="e">
        <f>-([1]Specials!$Q$63+[1]Specials!$X$63+[1]Specials!$AW$63+[1]Specials!$AZ$63)/1000/AF231</f>
        <v>#DIV/0!</v>
      </c>
      <c r="AG236" s="7"/>
      <c r="AH236" s="28">
        <f>-('[1]Total P&amp;C'!$Q$61+'[1]Total P&amp;C'!$X$61+'[1]Total P&amp;C'!$AW$61+'[1]Total P&amp;C'!$AZ$61)/1000/AH231</f>
        <v>0</v>
      </c>
      <c r="AI236" s="28">
        <f>-('[1]Total P&amp;C'!$Q$62+'[1]Total P&amp;C'!$X$62+'[1]Total P&amp;C'!$AW$62+'[1]Total P&amp;C'!$AZ$62)/1000/AI231</f>
        <v>0</v>
      </c>
      <c r="AJ236" s="28">
        <f>-('[1]Total P&amp;C'!$Q$63+'[1]Total P&amp;C'!$X$63+'[1]Total P&amp;C'!$AW$63+'[1]Total P&amp;C'!$AZ$63)/1000/AJ231</f>
        <v>0</v>
      </c>
      <c r="AL236" s="204"/>
      <c r="AM236" s="9"/>
      <c r="AN236" s="38" t="s">
        <v>25</v>
      </c>
      <c r="AT236" s="20">
        <f>-([2]Retail!$Q$61+[2]Retail!$X$61+[2]Retail!$AW$61+[2]Retail!$AZ$61+[2]Retail!$Q$65+[2]Retail!$X$65+[2]Retail!$AW$65+[2]Retail!$AZ$65)/1000/AT231</f>
        <v>3.6155177666381773E-2</v>
      </c>
      <c r="AU236" s="42">
        <f>-([2]Retail!$Q$62+[2]Retail!$X$62+[2]Retail!$AW$62+[2]Retail!$AZ$62+[2]Retail!$Q$66+[2]Retail!$X$66+[2]Retail!$AW$66+[2]Retail!$AZ$66)/1000/AU231</f>
        <v>4.7352949493376761E-2</v>
      </c>
      <c r="AV236" s="42">
        <f>-([2]Retail!$Q$63+[2]Retail!$X$63+[2]Retail!$AW$63+[2]Retail!$AZ$63+[2]Retail!$Q$67+[2]Retail!$X$67+[2]Retail!$AW$67+[2]Retail!$AZ$67)/1000/AV231</f>
        <v>4.1629965828994336E-2</v>
      </c>
      <c r="AW236" s="7"/>
      <c r="AX236" s="20">
        <f>-([2]SME!$Q$61+[2]SME!$X$61+[2]SME!$AW$61+[2]SME!$AZ$61+[2]SME!$Q$65+[2]SME!$X$65+[2]SME!$AW$65+[2]SME!$AZ$65)/1000/AX231</f>
        <v>9.3363644261425363E-2</v>
      </c>
      <c r="AY236" s="20">
        <f>-([2]SME!$Q$62+[2]SME!$X$62+[2]SME!$AW$62+[2]SME!$AZ$62+[2]SME!$Q$66+[2]SME!$X$66+[2]SME!$AW$66+[2]SME!$AZ$66)/1000/AY231</f>
        <v>2.9898942966142573E-2</v>
      </c>
      <c r="AZ236" s="20">
        <f>-([2]SME!$Q$63+[2]SME!$X$63+[2]SME!$AW$63+[2]SME!$AZ$63+[2]SME!$Q$67+[2]SME!$X$67+[2]SME!$AW$67+[2]SME!$AZ$67)/1000/AZ231</f>
        <v>6.9344167009579918E-2</v>
      </c>
      <c r="BA236" s="7"/>
      <c r="BB236" s="20">
        <f>-([2]MidCorp!$Q$61+[2]MidCorp!$X$61+[2]MidCorp!$AW$61+[2]MidCorp!$AZ$61+[2]MidCorp!$Q$65+[2]MidCorp!$X$65+[2]MidCorp!$AW$65+[2]MidCorp!$AZ$65)/1000/BB231</f>
        <v>8.2999621242061769E-2</v>
      </c>
      <c r="BC236" s="20">
        <f>-([2]MidCorp!$Q$62+[2]MidCorp!$X$62+[2]MidCorp!$AW$62+[2]MidCorp!$AZ$62+[2]MidCorp!$Q$66+[2]MidCorp!$X$66+[2]MidCorp!$AW$66+[2]MidCorp!$AZ$66)/1000/BC231</f>
        <v>3.5286971233372155E-2</v>
      </c>
      <c r="BD236" s="20">
        <f>-([2]MidCorp!$Q$63+[2]MidCorp!$X$63+[2]MidCorp!$AW$63+[2]MidCorp!$AZ$63+[2]MidCorp!$Q$67+[2]MidCorp!$X$67+[2]MidCorp!$AW$67+[2]MidCorp!$AZ$67)/1000/BD231</f>
        <v>8.7625675395496386E-2</v>
      </c>
      <c r="BJ236" s="20" t="e">
        <f>-([2]Specials!$Q$61+[2]Specials!$X$61+[2]Specials!$AW$61+[2]Specials!$AZ$61+[2]Specials!$Q$65+[2]Specials!$X$65+[2]Specials!$AW$65+[2]Specials!$AZ$65)/1000/BJ231</f>
        <v>#DIV/0!</v>
      </c>
      <c r="BK236" s="20" t="e">
        <f>-([2]Specials!$Q$62+[2]Specials!$X$62+[2]Specials!$AW$62+[2]Specials!$AZ$62+[2]Specials!$Q$66+[2]Specials!$X$66+[2]Specials!$AW$66+[2]Specials!$AZ$66)/1000/BK231</f>
        <v>#DIV/0!</v>
      </c>
      <c r="BL236" s="20" t="e">
        <f>-([2]Specials!$Q$63+[2]Specials!$X$63+[2]Specials!$AW$63+[2]Specials!$AZ$63+[2]Specials!$Q$67+[2]Specials!$X$67+[2]Specials!$AW$67+[2]Specials!$AZ$67)/1000/BL231</f>
        <v>#DIV/0!</v>
      </c>
      <c r="BM236" s="7"/>
      <c r="BN236" s="28">
        <f>-('[2]Total P&amp;C'!$Q$61+'[2]Total P&amp;C'!$X$61+'[2]Total P&amp;C'!$AW$61+'[2]Total P&amp;C'!$AZ$61+'[2]Total P&amp;C'!$Q$65+'[2]Total P&amp;C'!$X$65+'[2]Total P&amp;C'!$AW$65+'[2]Total P&amp;C'!$AZ$65)/1000/BN231</f>
        <v>6.5994948570391801E-2</v>
      </c>
      <c r="BO236" s="28">
        <f>-('[2]Total P&amp;C'!$Q$62+'[2]Total P&amp;C'!$X$62+'[2]Total P&amp;C'!$AW$62+'[2]Total P&amp;C'!$AZ$62+'[2]Total P&amp;C'!$Q$66+'[2]Total P&amp;C'!$X$66+'[2]Total P&amp;C'!$AW$66+'[2]Total P&amp;C'!$AZ$66)/1000/BO231</f>
        <v>3.9080631731849072E-2</v>
      </c>
      <c r="BP236" s="28">
        <f>-('[2]Total P&amp;C'!$Q$63+'[2]Total P&amp;C'!$X$63+'[2]Total P&amp;C'!$AW$63+'[2]Total P&amp;C'!$AZ$63+'[2]Total P&amp;C'!$Q$67+'[2]Total P&amp;C'!$X$67+'[2]Total P&amp;C'!$AW$67+'[2]Total P&amp;C'!$AZ$67)/1000/BP231</f>
        <v>6.7166001037501491E-2</v>
      </c>
      <c r="BR236" s="28">
        <f>-('[3]Total P&amp;C'!$Q$61+'[3]Total P&amp;C'!$X$61+'[3]Total P&amp;C'!$AW$61+'[3]Total P&amp;C'!$AZ$61+'[2]Total P&amp;C'!$Q$65+'[2]Total P&amp;C'!$X$65+'[2]Total P&amp;C'!$AW$65+'[2]Total P&amp;C'!$AZ$65)/1000/BR231</f>
        <v>6.4028403721027069E-2</v>
      </c>
      <c r="BS236" s="28">
        <f>-('[3]Total P&amp;C'!$Q$62+'[3]Total P&amp;C'!$X$62+'[3]Total P&amp;C'!$AW$62+'[3]Total P&amp;C'!$AZ$62+'[2]Total P&amp;C'!$Q$66+'[2]Total P&amp;C'!$X$66+'[2]Total P&amp;C'!$AW$66+'[2]Total P&amp;C'!$AZ$66)/1000/BS231</f>
        <v>3.8039426903534776E-2</v>
      </c>
      <c r="BT236" s="28">
        <f>-('[3]Total P&amp;C'!$Q$63+'[3]Total P&amp;C'!$X$63+'[3]Total P&amp;C'!$AW$63+'[3]Total P&amp;C'!$AZ$63+'[2]Total P&amp;C'!$Q$67+'[2]Total P&amp;C'!$X$67+'[2]Total P&amp;C'!$AW$67+'[2]Total P&amp;C'!$AZ$67)/1000/BT231</f>
        <v>6.6097045169424051E-2</v>
      </c>
    </row>
    <row r="237" spans="2:72" ht="16.5" customHeight="1" x14ac:dyDescent="0.25">
      <c r="B237" s="204"/>
      <c r="C237" s="9"/>
      <c r="D237" s="38" t="s">
        <v>26</v>
      </c>
      <c r="J237" s="20">
        <f>-([1]Retail!$AT$61)/1000/J231</f>
        <v>0</v>
      </c>
      <c r="K237" s="42">
        <f>-([1]Retail!$AT$62)/1000/K231</f>
        <v>0</v>
      </c>
      <c r="L237" s="42" t="e">
        <f>-([1]Retail!$AT$63)/1000/L231</f>
        <v>#DIV/0!</v>
      </c>
      <c r="M237" s="7"/>
      <c r="N237" s="20">
        <f>-([1]SME!$AT$61)/1000/N231</f>
        <v>0</v>
      </c>
      <c r="O237" s="20">
        <f>-([1]SME!$AT$62)/1000/O231</f>
        <v>0</v>
      </c>
      <c r="P237" s="20">
        <f>-([1]SME!$AT$63)/1000/P231</f>
        <v>0</v>
      </c>
      <c r="Q237" s="7"/>
      <c r="R237" s="20">
        <f>-([1]MidCorp!$AT$61)/1000/R231</f>
        <v>0</v>
      </c>
      <c r="S237" s="20">
        <f>-([1]MidCorp!$AT$62)/1000/S231</f>
        <v>0</v>
      </c>
      <c r="T237" s="20">
        <f>-([1]MidCorp!$AT$63)/1000/T231</f>
        <v>0</v>
      </c>
      <c r="U237" s="7"/>
      <c r="V237" s="20">
        <f>-([1]MGA!$AT$61)/1000/V231</f>
        <v>0</v>
      </c>
      <c r="W237" s="20">
        <f>-([1]MGA!$AT$62)/1000/W231</f>
        <v>0</v>
      </c>
      <c r="X237" s="20">
        <f>-([1]MGA!$AT$63)/1000/X231</f>
        <v>0</v>
      </c>
      <c r="Y237" s="7"/>
      <c r="Z237" s="20" t="e">
        <f>-([1]Bancassurance!$AT$61)/1000/Z231</f>
        <v>#DIV/0!</v>
      </c>
      <c r="AA237" s="20" t="e">
        <f>-([1]Bancassurance!$AT$62)/1000/AA231</f>
        <v>#DIV/0!</v>
      </c>
      <c r="AB237" s="20" t="e">
        <f>-([1]Bancassurance!$AT$63)/1000/AB231</f>
        <v>#DIV/0!</v>
      </c>
      <c r="AC237" s="7"/>
      <c r="AD237" s="20" t="e">
        <f>-([1]Specials!$AT$61)/1000/AD231</f>
        <v>#DIV/0!</v>
      </c>
      <c r="AE237" s="20" t="e">
        <f>-([1]Specials!$AT$62)/1000/AE231</f>
        <v>#DIV/0!</v>
      </c>
      <c r="AF237" s="20" t="e">
        <f>-([1]Specials!$AT$63)/1000/AF231</f>
        <v>#DIV/0!</v>
      </c>
      <c r="AG237" s="7"/>
      <c r="AH237" s="28">
        <f>-('[1]Total P&amp;C'!$AT$61)/1000/AH231</f>
        <v>0</v>
      </c>
      <c r="AI237" s="28">
        <f>-('[1]Total P&amp;C'!$AT$62)/1000/AI231</f>
        <v>0</v>
      </c>
      <c r="AJ237" s="28">
        <f>-('[1]Total P&amp;C'!$AT$63)/1000/AJ231</f>
        <v>0</v>
      </c>
      <c r="AL237" s="204"/>
      <c r="AM237" s="9"/>
      <c r="AN237" s="38" t="s">
        <v>26</v>
      </c>
      <c r="AT237" s="20">
        <f>-([2]Retail!$AT$61+[2]Retail!$AT$65)/1000/AT231</f>
        <v>5.3558709356839082E-2</v>
      </c>
      <c r="AU237" s="42">
        <f>-([2]Retail!$AT$62+[2]Retail!$AT$66)/1000/AU231</f>
        <v>7.3718908448899986E-2</v>
      </c>
      <c r="AV237" s="42">
        <f>-([2]Retail!$AT$63+[2]Retail!$AT$67)/1000/AV231</f>
        <v>6.0486984616087106E-2</v>
      </c>
      <c r="AW237" s="7"/>
      <c r="AX237" s="20">
        <f>-([2]SME!$AT$61+[2]SME!$AT$65)/1000/AX231</f>
        <v>6.5174145297825822E-2</v>
      </c>
      <c r="AY237" s="20">
        <f>-([2]SME!$AT$62+[2]SME!$AT$66)/1000/AY231</f>
        <v>4.366490912878989E-2</v>
      </c>
      <c r="AZ237" s="20">
        <f>-([2]SME!$AT$63+[2]SME!$AT$67)/1000/AZ231</f>
        <v>6.8718941221856927E-2</v>
      </c>
      <c r="BA237" s="7"/>
      <c r="BB237" s="20">
        <f>-([2]MidCorp!$AT$61+[2]MidCorp!$AT$65)/1000/BB231</f>
        <v>0.11325150312925465</v>
      </c>
      <c r="BC237" s="20">
        <f>-([2]MidCorp!$AT$62+[2]MidCorp!$AT$66)/1000/BC231</f>
        <v>0.1221040991059502</v>
      </c>
      <c r="BD237" s="20">
        <f>-([2]MidCorp!$AT$63+[2]MidCorp!$AT$67)/1000/BD231</f>
        <v>0.11506754504756425</v>
      </c>
      <c r="BJ237" s="20" t="e">
        <f>-([2]Specials!$AT$61+[2]Specials!$AT$65)/1000/BJ231</f>
        <v>#DIV/0!</v>
      </c>
      <c r="BK237" s="20" t="e">
        <f>-([2]Specials!$AT$62+[2]Specials!$AT$66)/1000/BK231</f>
        <v>#DIV/0!</v>
      </c>
      <c r="BL237" s="20" t="e">
        <f>-([2]Specials!$AT$63+[2]Specials!$AT$67)/1000/BL231</f>
        <v>#DIV/0!</v>
      </c>
      <c r="BM237" s="7"/>
      <c r="BN237" s="28">
        <f>-('[2]Total P&amp;C'!$AT$61+'[2]Total P&amp;C'!$AT$65)/1000/BN231</f>
        <v>8.3252060289724233E-2</v>
      </c>
      <c r="BO237" s="28">
        <f>-('[2]Total P&amp;C'!$AT$62+'[2]Total P&amp;C'!$AT$66)/1000/BO231</f>
        <v>9.0911595475176785E-2</v>
      </c>
      <c r="BP237" s="28">
        <f>-('[2]Total P&amp;C'!$AT$63+'[2]Total P&amp;C'!$AT$67)/1000/BP231</f>
        <v>8.7474097986986812E-2</v>
      </c>
      <c r="BR237" s="28">
        <f>-('[3]Total P&amp;C'!$AT$61+'[2]Total P&amp;C'!$AT$65)/1000/BR231</f>
        <v>8.0771280867839648E-2</v>
      </c>
      <c r="BS237" s="28">
        <f>-('[3]Total P&amp;C'!$AT$62+'[2]Total P&amp;C'!$AT$66)/1000/BS231</f>
        <v>8.848948539241247E-2</v>
      </c>
      <c r="BT237" s="28">
        <f>-('[3]Total P&amp;C'!$AT$63+'[2]Total P&amp;C'!$AT$67)/1000/BT231</f>
        <v>8.6081936046368046E-2</v>
      </c>
    </row>
    <row r="238" spans="2:72" ht="16.5" customHeight="1" x14ac:dyDescent="0.25">
      <c r="B238" s="204"/>
      <c r="C238" s="9"/>
      <c r="D238" s="37" t="s">
        <v>27</v>
      </c>
      <c r="J238" s="20">
        <f>-([1]Retail!$Z$61+[1]Retail!$AA$61+[1]Retail!$BB$61+[1]Retail!$BC$61)/1000/J231</f>
        <v>-1.643315302941288E-3</v>
      </c>
      <c r="K238" s="20">
        <f>-([1]Retail!$Z$62+[1]Retail!$AA$62+[1]Retail!$BB$62+[1]Retail!$BC$62)/1000/K231</f>
        <v>-1.0484839917525167E-3</v>
      </c>
      <c r="L238" s="20" t="e">
        <f>-([1]Retail!$Z$63+[1]Retail!$AA$63+[1]Retail!$BB$63+[1]Retail!$BC$63)/1000/L231</f>
        <v>#DIV/0!</v>
      </c>
      <c r="M238" s="7"/>
      <c r="N238" s="20">
        <f>-([1]SME!$Z$61+[1]SME!$AA$61+[1]SME!$BB$61+[1]SME!$BC$61)/1000/N231</f>
        <v>-4.6034046028264478E-3</v>
      </c>
      <c r="O238" s="20">
        <f>-([1]SME!$Z$62+[1]SME!$AA$62+[1]SME!$BB$62+[1]SME!$BC$62)/1000/O231</f>
        <v>-1.1278697716623752E-2</v>
      </c>
      <c r="P238" s="20">
        <f>-([1]SME!$Z$63+[1]SME!$AA$63+[1]SME!$BB$63+[1]SME!$BC$63)/1000/P231</f>
        <v>-4.7224201089781847E-3</v>
      </c>
      <c r="Q238" s="7"/>
      <c r="R238" s="20">
        <f>-([1]MidCorp!$Z$61+[1]MidCorp!$AA$61+[1]MidCorp!$BB$61+[1]MidCorp!$BC$61)/1000/R231</f>
        <v>-8.6395717863893909E-4</v>
      </c>
      <c r="S238" s="20">
        <f>-([1]MidCorp!$Z$62+[1]MidCorp!$AA$62+[1]MidCorp!$BB$62+[1]MidCorp!$BC$62)/1000/S231</f>
        <v>-2.5928121458431764E-3</v>
      </c>
      <c r="T238" s="20">
        <f>-([1]MidCorp!$Z$63+[1]MidCorp!$AA$63+[1]MidCorp!$BB$63+[1]MidCorp!$BC$63)/1000/T231</f>
        <v>-1.3922810236527072E-3</v>
      </c>
      <c r="U238" s="7"/>
      <c r="V238" s="20">
        <f>-([1]MGA!$Z$61+[1]MGA!$AA$61+[1]MGA!$BB$61+[1]MGA!$BC$61)/1000/V231</f>
        <v>-1.626758162923686E-2</v>
      </c>
      <c r="W238" s="20">
        <f>-([1]MGA!$Z$62+[1]MGA!$AA$62+[1]MGA!$BB$62+[1]MGA!$BC$62)/1000/W231</f>
        <v>-1.9611752093042164E-2</v>
      </c>
      <c r="X238" s="20">
        <f>-([1]MGA!$Z$63+[1]MGA!$AA$63+[1]MGA!$BB$63+[1]MGA!$BC$63)/1000/X231</f>
        <v>-1.1909216415739287E-2</v>
      </c>
      <c r="Y238" s="7"/>
      <c r="Z238" s="20" t="e">
        <f>-([1]Bancassurance!$Z$61+[1]Bancassurance!$AA$61+[1]Bancassurance!$BB$61+[1]Bancassurance!$BC$61)/1000/Z231</f>
        <v>#DIV/0!</v>
      </c>
      <c r="AA238" s="20" t="e">
        <f>-([1]Bancassurance!$Z$62+[1]Bancassurance!$AA$62+[1]Bancassurance!$BB$62+[1]Bancassurance!$BC$62)/1000/AA231</f>
        <v>#DIV/0!</v>
      </c>
      <c r="AB238" s="20" t="e">
        <f>-([1]Bancassurance!$Z$63+[1]Bancassurance!$AA$63+[1]Bancassurance!$BB$63+[1]Bancassurance!$BC$63)/1000/AB231</f>
        <v>#DIV/0!</v>
      </c>
      <c r="AC238" s="7"/>
      <c r="AD238" s="20" t="e">
        <f>-([1]Specials!$Z$61+[1]Specials!$AA$61+[1]Specials!$BB$61+[1]Specials!$BC$61)/1000/AD231</f>
        <v>#DIV/0!</v>
      </c>
      <c r="AE238" s="20" t="e">
        <f>-([1]Specials!$Z$62+[1]Specials!$AA$62+[1]Specials!$BB$62+[1]Specials!$BC$62)/1000/AE231</f>
        <v>#DIV/0!</v>
      </c>
      <c r="AF238" s="20" t="e">
        <f>-([1]Specials!$Z$63+[1]Specials!$AA$63+[1]Specials!$BB$63+[1]Specials!$BC$63)/1000/AF231</f>
        <v>#DIV/0!</v>
      </c>
      <c r="AG238" s="7"/>
      <c r="AH238" s="28">
        <f>-('[1]Total P&amp;C'!$Z$61+'[1]Total P&amp;C'!$AA$61+'[1]Total P&amp;C'!$BB$61+'[1]Total P&amp;C'!$BC$61)/1000/AH231</f>
        <v>-8.9793468221234796E-3</v>
      </c>
      <c r="AI238" s="28">
        <f>-('[1]Total P&amp;C'!$Z$62+'[1]Total P&amp;C'!$AA$62+'[1]Total P&amp;C'!$BB$62+'[1]Total P&amp;C'!$BC$62)/1000/AI231</f>
        <v>-1.1704062524967265E-2</v>
      </c>
      <c r="AJ238" s="28">
        <f>-('[1]Total P&amp;C'!$Z$63+'[1]Total P&amp;C'!$AA$63+'[1]Total P&amp;C'!$BB$63+'[1]Total P&amp;C'!$BC$63)/1000/AJ231</f>
        <v>-3.7110166225905327E-3</v>
      </c>
      <c r="AL238" s="204"/>
      <c r="AM238" s="9"/>
      <c r="AN238" s="37" t="s">
        <v>27</v>
      </c>
      <c r="AT238" s="20">
        <f>-([2]Retail!$Z$61+[2]Retail!$AA$61+[2]Retail!$BB$61+[2]Retail!$BC$61+[2]Retail!$Z$65+[2]Retail!$AA$65+[2]Retail!$BB$65+[2]Retail!$BC$65)/1000/AT231</f>
        <v>-2.8898753875627403E-2</v>
      </c>
      <c r="AU238" s="20">
        <f>-([2]Retail!$Z$62+[2]Retail!$AA$62+[2]Retail!$BB$62+[2]Retail!$BC$62+[2]Retail!$Z$66+[2]Retail!$AA$66+[2]Retail!$BB$66+[2]Retail!$BC$66)/1000/AU231</f>
        <v>-2.6576023775574716E-2</v>
      </c>
      <c r="AV238" s="20">
        <f>-([2]Retail!$Z$63+[2]Retail!$AA$63+[2]Retail!$BB$63+[2]Retail!$BC$63+[2]Retail!$Z$67+[2]Retail!$AA$67+[2]Retail!$BB$67+[2]Retail!$BC$67)/1000/AV231</f>
        <v>-1.3333562033353591E-2</v>
      </c>
      <c r="AW238" s="7"/>
      <c r="AX238" s="20">
        <f>-([2]SME!$Z$61+[2]SME!$AA$61+[2]SME!$BB$61+[2]SME!$BC$61+[2]SME!$Z$65+[2]SME!$AA$65+[2]SME!$BB$65+[2]SME!$BC$65)/1000/AX231</f>
        <v>-3.1110377073962425E-2</v>
      </c>
      <c r="AY238" s="20">
        <f>-([2]SME!$Z$62+[2]SME!$AA$62+[2]SME!$BB$62+[2]SME!$BC$62+[2]SME!$Z$66+[2]SME!$AA$66+[2]SME!$BB$66+[2]SME!$BC$66)/1000/AY231</f>
        <v>-2.047322976521513E-2</v>
      </c>
      <c r="AZ238" s="20">
        <f>-([2]SME!$Z$63+[2]SME!$AA$63+[2]SME!$BB$63+[2]SME!$BC$63+[2]SME!$Z$67+[2]SME!$AA$67+[2]SME!$BB$67+[2]SME!$BC$67)/1000/AZ231</f>
        <v>-1.7581004333032033E-2</v>
      </c>
      <c r="BA238" s="7"/>
      <c r="BB238" s="20">
        <f>-([2]MidCorp!$Z$61+[2]MidCorp!$AA$61+[2]MidCorp!$BB$61+[2]MidCorp!$BC$61+[2]MidCorp!$Z$65+[2]MidCorp!$AA$65+[2]MidCorp!$BB$65+[2]MidCorp!$BC$65)/1000/BB231</f>
        <v>-3.268972216205495E-2</v>
      </c>
      <c r="BC238" s="20">
        <f>-([2]MidCorp!$Z$62+[2]MidCorp!$AA$62+[2]MidCorp!$BB$62+[2]MidCorp!$BC$62+[2]MidCorp!$Z$66+[2]MidCorp!$AA$66+[2]MidCorp!$BB$66+[2]MidCorp!$BC$66)/1000/BC231</f>
        <v>-2.8869554622705886E-2</v>
      </c>
      <c r="BD238" s="20">
        <f>-([2]MidCorp!$Z$63+[2]MidCorp!$AA$63+[2]MidCorp!$BB$63+[2]MidCorp!$BC$63+[2]MidCorp!$Z$67+[2]MidCorp!$AA$67+[2]MidCorp!$BB$67+[2]MidCorp!$BC$67)/1000/BD231</f>
        <v>-1.8365892675110213E-2</v>
      </c>
      <c r="BJ238" s="20" t="e">
        <f>-([2]Specials!$Z$61+[2]Specials!$AA$61+[2]Specials!$BB$61+[2]Specials!$BC$61+[2]Specials!$Z$65+[2]Specials!$AA$65+[2]Specials!$BB$65+[2]Specials!$BC$65)/1000/BJ231</f>
        <v>#DIV/0!</v>
      </c>
      <c r="BK238" s="20" t="e">
        <f>-([2]Specials!$Z$62+[2]Specials!$AA$62+[2]Specials!$BB$62+[2]Specials!$BC$62+[2]Specials!$Z$66+[2]Specials!$AA$66+[2]Specials!$BB$66+[2]Specials!$BC$66)/1000/BK231</f>
        <v>#DIV/0!</v>
      </c>
      <c r="BL238" s="20" t="e">
        <f>-([2]Specials!$Z$63+[2]Specials!$AA$63+[2]Specials!$BB$63+[2]Specials!$BC$63+[2]Specials!$Z$67+[2]Specials!$AA$67+[2]Specials!$BB$67+[2]Specials!$BC$67)/1000/BL231</f>
        <v>#DIV/0!</v>
      </c>
      <c r="BM238" s="7"/>
      <c r="BN238" s="28">
        <f>-('[2]Total P&amp;C'!$Z$61+'[2]Total P&amp;C'!$AA$61+'[2]Total P&amp;C'!$BB$61+'[2]Total P&amp;C'!$BC$61+'[2]Total P&amp;C'!$Z$65+'[2]Total P&amp;C'!$AA$65+'[2]Total P&amp;C'!$BB$65+'[2]Total P&amp;C'!$BC$65)/1000/BN231</f>
        <v>-3.0984883224482632E-2</v>
      </c>
      <c r="BO238" s="28">
        <f>-('[2]Total P&amp;C'!$Z$62+'[2]Total P&amp;C'!$AA$62+'[2]Total P&amp;C'!$BB$62+'[2]Total P&amp;C'!$BC$62+'[2]Total P&amp;C'!$Z$66+'[2]Total P&amp;C'!$AA$66+'[2]Total P&amp;C'!$BB$66+'[2]Total P&amp;C'!$BC$66)/1000/BO231</f>
        <v>-2.6643760651368479E-2</v>
      </c>
      <c r="BP238" s="28">
        <f>-('[2]Total P&amp;C'!$Z$63+'[2]Total P&amp;C'!$AA$63+'[2]Total P&amp;C'!$BB$63+'[2]Total P&amp;C'!$BC$63+'[2]Total P&amp;C'!$Z$67+'[2]Total P&amp;C'!$AA$67+'[2]Total P&amp;C'!$BB$67+'[2]Total P&amp;C'!$BC$67)/1000/BP231</f>
        <v>-1.6290830285388462E-2</v>
      </c>
      <c r="BR238" s="28">
        <f>-('[3]Total P&amp;C'!$Z$61+'[3]Total P&amp;C'!$AA$61+'[3]Total P&amp;C'!$BB$61+'[3]Total P&amp;C'!$BC$61+'[2]Total P&amp;C'!$Z$65+'[2]Total P&amp;C'!$AA$65+'[2]Total P&amp;C'!$BB$65+'[2]Total P&amp;C'!$BC$65)/1000/BR231</f>
        <v>-3.0329153123815768E-2</v>
      </c>
      <c r="BS238" s="28">
        <f>-('[3]Total P&amp;C'!$Z$62+'[3]Total P&amp;C'!$AA$62+'[3]Total P&amp;C'!$BB$62+'[3]Total P&amp;C'!$BC$62+'[2]Total P&amp;C'!$Z$66+'[2]Total P&amp;C'!$AA$66+'[2]Total P&amp;C'!$BB$66+'[2]Total P&amp;C'!$BC$66)/1000/BS231</f>
        <v>-2.6245730089081272E-2</v>
      </c>
      <c r="BT238" s="28">
        <f>-('[3]Total P&amp;C'!$Z$63+'[3]Total P&amp;C'!$AA$63+'[3]Total P&amp;C'!$BB$63+'[3]Total P&amp;C'!$BC$63+'[2]Total P&amp;C'!$Z$67+'[2]Total P&amp;C'!$AA$67+'[2]Total P&amp;C'!$BB$67+'[2]Total P&amp;C'!$BC$67)/1000/BT231</f>
        <v>-1.6090620872494275E-2</v>
      </c>
    </row>
    <row r="239" spans="2:72" ht="16.5" customHeight="1" x14ac:dyDescent="0.25">
      <c r="B239" s="204"/>
      <c r="C239" s="9"/>
      <c r="D239" s="37" t="s">
        <v>28</v>
      </c>
      <c r="J239" s="20">
        <f>-SUM([1]Retail!$AC$61:$AI$61,[1]Retail!$BE$61:$BG$61)/1000/J231</f>
        <v>-0.25312968156847382</v>
      </c>
      <c r="K239" s="20">
        <f>-SUM([1]Retail!$AC$62:$AI$62,[1]Retail!$BE$62:$BG$62)/1000/K231</f>
        <v>-0.31563113728328862</v>
      </c>
      <c r="L239" s="20" t="e">
        <f>-SUM([1]Retail!$AC$63:$AI$63,[1]Retail!$BE$63:$BG$63)/1000/L231</f>
        <v>#DIV/0!</v>
      </c>
      <c r="M239" s="7"/>
      <c r="N239" s="20">
        <f>-SUM([1]SME!$AC$61:$AI$61,[1]SME!$BE$61:$BG$61)/1000/N231</f>
        <v>-4.8448897834211975E-2</v>
      </c>
      <c r="O239" s="20">
        <f>-SUM([1]SME!$AC$62:$AI$62,[1]SME!$BE$62:$BG$62)/1000/O231</f>
        <v>-0.43806116773027187</v>
      </c>
      <c r="P239" s="20">
        <f>-SUM([1]SME!$AC$63:$AI$63,[1]SME!$BE$63:$BG$63)/1000/P231</f>
        <v>-2.5113847300836938E-3</v>
      </c>
      <c r="Q239" s="7"/>
      <c r="R239" s="20">
        <f>-SUM([1]MidCorp!$AC$61:$AI$61,[1]MidCorp!$BE$61:$BG$61)/1000/R231</f>
        <v>2.2207847191469802E-3</v>
      </c>
      <c r="S239" s="20">
        <f>-SUM([1]MidCorp!$AC$62:$AI$62,[1]MidCorp!$BE$62:$BG$62)/1000/S231</f>
        <v>-0.15936220099972967</v>
      </c>
      <c r="T239" s="20">
        <f>-SUM([1]MidCorp!$AC$63:$AI$63,[1]MidCorp!$BE$63:$BG$63)/1000/T231</f>
        <v>-7.4041555494829686E-4</v>
      </c>
      <c r="U239" s="7"/>
      <c r="V239" s="20">
        <f>-SUM([1]MGA!$AC$61:$AI$61,[1]MGA!$BE$61:$BG$61)/1000/V231</f>
        <v>-0.36628353105172856</v>
      </c>
      <c r="W239" s="20">
        <f>-SUM([1]MGA!$AC$62:$AI$62,[1]MGA!$BE$62:$BG$62)/1000/W231</f>
        <v>-0.35042679491361151</v>
      </c>
      <c r="X239" s="20">
        <f>-SUM([1]MGA!$AC$63:$AI$63,[1]MGA!$BE$63:$BG$63)/1000/X231</f>
        <v>-5.6650274552817528E-2</v>
      </c>
      <c r="Y239" s="7"/>
      <c r="Z239" s="20" t="e">
        <f>-SUM([1]Bancassurance!$AC$61:$AI$61,[1]Bancassurance!$BE$61:$BG$61)/1000/Z231</f>
        <v>#DIV/0!</v>
      </c>
      <c r="AA239" s="20" t="e">
        <f>-SUM([1]Bancassurance!$AC$62:$AI$62,[1]Bancassurance!$BE$62:$BG$62)/1000/AA231</f>
        <v>#DIV/0!</v>
      </c>
      <c r="AB239" s="20" t="e">
        <f>-SUM([1]Bancassurance!$AC$63:$AI$63,[1]Bancassurance!$BE$63:$BG$63)/1000/AB231</f>
        <v>#DIV/0!</v>
      </c>
      <c r="AC239" s="7"/>
      <c r="AD239" s="20" t="e">
        <f>-SUM([1]Specials!$AC$61:$AI$61,[1]Specials!$BE$61:$BG$61)/1000/AD231</f>
        <v>#DIV/0!</v>
      </c>
      <c r="AE239" s="20" t="e">
        <f>-SUM([1]Specials!$AC$62:$AI$62,[1]Specials!$BE$62:$BG$62)/1000/AE231</f>
        <v>#DIV/0!</v>
      </c>
      <c r="AF239" s="20" t="e">
        <f>-SUM([1]Specials!$AC$63:$AI$63,[1]Specials!$BE$63:$BG$63)/1000/AF231</f>
        <v>#DIV/0!</v>
      </c>
      <c r="AG239" s="7"/>
      <c r="AH239" s="28">
        <f>-SUM('[1]Total P&amp;C'!$AC$61:$AI$61,'[1]Total P&amp;C'!$BE$61:$BG$61)/1000/AH231</f>
        <v>-0.19482708890107162</v>
      </c>
      <c r="AI239" s="28">
        <f>-SUM('[1]Total P&amp;C'!$AC$62:$AI$62,'[1]Total P&amp;C'!$BE$62:$BG$62)/1000/AI231</f>
        <v>-0.28595032777086044</v>
      </c>
      <c r="AJ239" s="28">
        <f>-SUM('[1]Total P&amp;C'!$AC$63:$AI$63,'[1]Total P&amp;C'!$BE$63:$BG$63)/1000/AJ231</f>
        <v>-1.0719610026210044E-2</v>
      </c>
      <c r="AL239" s="204"/>
      <c r="AM239" s="9"/>
      <c r="AN239" s="37" t="s">
        <v>28</v>
      </c>
      <c r="AT239" s="20">
        <f>-SUM([2]Retail!$AC$61:$AI$61,[2]Retail!$BE$61:$BG$61,[2]Retail!$AC$65:$AI$65,[2]Retail!$BE$65:$BG$65)/1000/AT231</f>
        <v>0.13060544329378121</v>
      </c>
      <c r="AU239" s="20">
        <f>-SUM([2]Retail!$AC$62:$AI$62,[2]Retail!$BE$62:$BG$62,[2]Retail!$AC$66:$AI$66,[2]Retail!$BE$66:$BG$66)/1000/AU231</f>
        <v>-0.20089042833546764</v>
      </c>
      <c r="AV239" s="20">
        <f>-SUM([2]Retail!$AC$63:$AI$63,[2]Retail!$BE$63:$BG$63,[2]Retail!$AC$67:$AI$67,[2]Retail!$BE$67:$BG$67)/1000/AV231</f>
        <v>-4.7671633792584488E-4</v>
      </c>
      <c r="AW239" s="7"/>
      <c r="AX239" s="20">
        <f>-SUM([2]SME!$AC$61:$AI$61,[2]SME!$BE$61:$BG$61,[2]SME!$AC$65:$AI$65,[2]SME!$BE$65:$BG$65)/1000/AX231</f>
        <v>0.30257601073895379</v>
      </c>
      <c r="AY239" s="20">
        <f>-SUM([2]SME!$AC$62:$AI$62,[2]SME!$BE$62:$BG$62,[2]SME!$AC$66:$AI$66,[2]SME!$BE$66:$BG$66)/1000/AY231</f>
        <v>-1.6578894413666393E-2</v>
      </c>
      <c r="AZ239" s="20">
        <f>-SUM([2]SME!$AC$63:$AI$63,[2]SME!$BE$63:$BG$63,[2]SME!$AC$67:$AI$67,[2]SME!$BE$67:$BG$67)/1000/AZ231</f>
        <v>1.3766674513178628E-2</v>
      </c>
      <c r="BA239" s="7"/>
      <c r="BB239" s="20">
        <f>-SUM([2]MidCorp!$AC$61:$AI$61,[2]MidCorp!$BE$61:$BG$61,[2]MidCorp!$AC$65:$AI$65,[2]MidCorp!$BE$65:$BG$65)/1000/BB231</f>
        <v>5.8253507185068873E-2</v>
      </c>
      <c r="BC239" s="20">
        <f>-SUM([2]MidCorp!$AC$62:$AI$62,[2]MidCorp!$BE$62:$BG$62,[2]MidCorp!$AC$66:$AI$66,[2]MidCorp!$BE$66:$BG$66)/1000/BC231</f>
        <v>5.0779926489849275E-2</v>
      </c>
      <c r="BD239" s="20">
        <f>-SUM([2]MidCorp!$AC$63:$AI$63,[2]MidCorp!$BE$63:$BG$63,[2]MidCorp!$AC$67:$AI$67,[2]MidCorp!$BE$67:$BG$67)/1000/BD231</f>
        <v>-1.3906050796562463E-4</v>
      </c>
      <c r="BJ239" s="20" t="e">
        <f>-SUM([2]Specials!$AC$61:$AI$61,[2]Specials!$BE$61:$BG$61,[2]Specials!$AC$65:$AI$65,[2]Specials!$BE$65:$BG$65)/1000/BJ231</f>
        <v>#DIV/0!</v>
      </c>
      <c r="BK239" s="20" t="e">
        <f>-SUM([2]Specials!$AC$62:$AI$62,[2]Specials!$BE$62:$BG$62,[2]Specials!$AC$66:$AI$66,[2]Specials!$BE$66:$BG$66)/1000/BK231</f>
        <v>#DIV/0!</v>
      </c>
      <c r="BL239" s="20" t="e">
        <f>-SUM([2]Specials!$AC$63:$AI$63,[2]Specials!$BE$63:$BG$63,[2]Specials!$AC$67:$AI$67,[2]Specials!$BE$67:$BG$67)/1000/BL231</f>
        <v>#DIV/0!</v>
      </c>
      <c r="BM239" s="7"/>
      <c r="BN239" s="28">
        <f>-SUM('[2]Total P&amp;C'!$AC$61:$AI$61,'[2]Total P&amp;C'!$BE$61:$BG$61,'[2]Total P&amp;C'!$AC$65:$AI$65,'[2]Total P&amp;C'!$BE$65:$BG$65)/1000/BN231</f>
        <v>0.11990601880063818</v>
      </c>
      <c r="BO239" s="28">
        <f>-SUM('[2]Total P&amp;C'!$AC$62:$AI$62,'[2]Total P&amp;C'!$BE$62:$BG$62,'[2]Total P&amp;C'!$AC$66:$AI$66,'[2]Total P&amp;C'!$BE$66:$BG$66)/1000/BO231</f>
        <v>-5.7056829192872943E-2</v>
      </c>
      <c r="BP239" s="28">
        <f>-SUM('[2]Total P&amp;C'!$AC$63:$AI$63,'[2]Total P&amp;C'!$BE$63:$BG$63,'[2]Total P&amp;C'!$AC$67:$AI$67,'[2]Total P&amp;C'!$BE$67:$BG$67)/1000/BP231</f>
        <v>1.5985435521988914E-3</v>
      </c>
      <c r="BR239" s="28">
        <f>-SUM('[3]Total P&amp;C'!$AC$61:$AI$61,'[3]Total P&amp;C'!$BE$61:$BG$61,'[2]Total P&amp;C'!$AC$65:$AI$65,'[2]Total P&amp;C'!$BE$65:$BG$65)/1000/BR231</f>
        <v>0.11052747111959588</v>
      </c>
      <c r="BS239" s="28">
        <f>-SUM('[3]Total P&amp;C'!$AC$62:$AI$62,'[3]Total P&amp;C'!$BE$62:$BG$62,'[2]Total P&amp;C'!$AC$66:$AI$66,'[2]Total P&amp;C'!$BE$66:$BG$66)/1000/BS231</f>
        <v>-6.3155118942240643E-2</v>
      </c>
      <c r="BT239" s="28">
        <f>-SUM('[3]Total P&amp;C'!$AC$63:$AI$63,'[3]Total P&amp;C'!$BE$63:$BG$63,'[2]Total P&amp;C'!$AC$67:$AI$67,'[2]Total P&amp;C'!$BE$67:$BG$67)/1000/BT231</f>
        <v>1.4024984944595274E-3</v>
      </c>
    </row>
    <row r="240" spans="2:72" ht="16.5" customHeight="1" x14ac:dyDescent="0.25">
      <c r="B240" s="204"/>
      <c r="C240" s="9"/>
      <c r="D240" s="37" t="s">
        <v>29</v>
      </c>
      <c r="J240" s="20">
        <f>-SUM([1]Retail!$AJ$61:$AK$61,[1]Retail!$BH$61:$BI$61)/1000/J231</f>
        <v>1.446757445069463E-2</v>
      </c>
      <c r="K240" s="20">
        <f>-SUM([1]Retail!$AJ$62:$AK$62,[1]Retail!$BH$62:$BI$62)/1000/K231</f>
        <v>1.8709848632926949E-3</v>
      </c>
      <c r="L240" s="20" t="e">
        <f>-SUM([1]Retail!$AJ$63:$AK$63,[1]Retail!$BH$63:$BI$63)/1000/L231</f>
        <v>#DIV/0!</v>
      </c>
      <c r="M240" s="7"/>
      <c r="N240" s="20">
        <f>-SUM([1]SME!$AJ$61:$AK$61,[1]SME!$BH$61:$BI$61)/1000/N231</f>
        <v>4.5845760627489511E-2</v>
      </c>
      <c r="O240" s="20">
        <f>-SUM([1]SME!$AJ$62:$AK$62,[1]SME!$BH$62:$BI$62)/1000/O231</f>
        <v>1.003713721058317E-2</v>
      </c>
      <c r="P240" s="20">
        <f>-SUM([1]SME!$AJ$63:$AK$63,[1]SME!$BH$63:$BI$63)/1000/P231</f>
        <v>0</v>
      </c>
      <c r="Q240" s="7"/>
      <c r="R240" s="20">
        <f>-SUM([1]MidCorp!$AJ$61:$AK$61,[1]MidCorp!$BH$61:$BI$61)/1000/R231</f>
        <v>5.3513696218958828E-4</v>
      </c>
      <c r="S240" s="20">
        <f>-SUM([1]MidCorp!$AJ$62:$AK$62,[1]MidCorp!$BH$62:$BI$62)/1000/S231</f>
        <v>-3.9205819507764144E-3</v>
      </c>
      <c r="T240" s="20">
        <f>-SUM([1]MidCorp!$AJ$63:$AK$63,[1]MidCorp!$BH$63:$BI$63)/1000/T231</f>
        <v>0</v>
      </c>
      <c r="U240" s="7"/>
      <c r="V240" s="20">
        <f>-SUM([1]MGA!$AJ$61:$AK$61,[1]MGA!$BH$61:$BI$61)/1000/V231</f>
        <v>5.0744872206763637E-2</v>
      </c>
      <c r="W240" s="20">
        <f>-SUM([1]MGA!$AJ$62:$AK$62,[1]MGA!$BH$62:$BI$62)/1000/W231</f>
        <v>-2.7889060842553985E-2</v>
      </c>
      <c r="X240" s="20">
        <f>-SUM([1]MGA!$AJ$63:$AK$63,[1]MGA!$BH$63:$BI$63)/1000/X231</f>
        <v>0</v>
      </c>
      <c r="Y240" s="7"/>
      <c r="Z240" s="20" t="e">
        <f>-SUM([1]Bancassurance!$AJ$61:$AK$61,[1]Bancassurance!$BH$61:$BI$61)/1000/Z231</f>
        <v>#DIV/0!</v>
      </c>
      <c r="AA240" s="20" t="e">
        <f>-SUM([1]Bancassurance!$AJ$62:$AK$62,[1]Bancassurance!$BH$62:$BI$62)/1000/AA231</f>
        <v>#DIV/0!</v>
      </c>
      <c r="AB240" s="20" t="e">
        <f>-SUM([1]Bancassurance!$AJ$63:$AK$63,[1]Bancassurance!$BH$63:$BI$63)/1000/AB231</f>
        <v>#DIV/0!</v>
      </c>
      <c r="AC240" s="7"/>
      <c r="AD240" s="20" t="e">
        <f>-SUM([1]Specials!$AJ$61:$AK$61,[1]Specials!$BH$61:$BI$61)/1000/AD231</f>
        <v>#DIV/0!</v>
      </c>
      <c r="AE240" s="20" t="e">
        <f>-SUM([1]Specials!$AJ$62:$AK$62,[1]Specials!$BH$62:$BI$62)/1000/AE231</f>
        <v>#DIV/0!</v>
      </c>
      <c r="AF240" s="20" t="e">
        <f>-SUM([1]Specials!$AJ$63:$AK$63,[1]Specials!$BH$63:$BI$63)/1000/AF231</f>
        <v>#DIV/0!</v>
      </c>
      <c r="AG240" s="7"/>
      <c r="AH240" s="28">
        <f>-SUM('[1]Total P&amp;C'!$AJ$61:$AK$61,'[1]Total P&amp;C'!$BH$61:$BI$61)/1000/AH231</f>
        <v>3.0316950514403147E-2</v>
      </c>
      <c r="AI240" s="28">
        <f>-SUM('[1]Total P&amp;C'!$AJ$62:$AK$62,'[1]Total P&amp;C'!$BH$62:$BI$62)/1000/AI231</f>
        <v>-1.3989367486190781E-2</v>
      </c>
      <c r="AJ240" s="28">
        <f>-SUM('[1]Total P&amp;C'!$AJ$63:$AK$63,'[1]Total P&amp;C'!$BH$63:$BI$63)/1000/AJ231</f>
        <v>0</v>
      </c>
      <c r="AL240" s="204"/>
      <c r="AM240" s="9"/>
      <c r="AN240" s="37" t="s">
        <v>29</v>
      </c>
      <c r="AT240" s="20">
        <f>-SUM([2]Retail!$AJ$61:$AK$61,[2]Retail!$BH$61:$BI$61,[2]Retail!$AJ$65:$AK$65,[2]Retail!$BH$65:$BI$65)/1000/AT231</f>
        <v>-0.26514904845456849</v>
      </c>
      <c r="AU240" s="20">
        <f>-SUM([2]Retail!$AJ$62:$AK$62,[2]Retail!$BH$62:$BI$62,[2]Retail!$AJ$66:$AK$66,[2]Retail!$BH$66:$BI$66)/1000/AU231</f>
        <v>-9.2242713958842898E-3</v>
      </c>
      <c r="AV240" s="20">
        <f>-SUM([2]Retail!$AJ$63:$AK$63,[2]Retail!$BH$63:$BI$63,[2]Retail!$AJ$67:$AK$67,[2]Retail!$BH$67:$BI$67)/1000/AV231</f>
        <v>0</v>
      </c>
      <c r="AW240" s="7"/>
      <c r="AX240" s="20">
        <f>-SUM([2]SME!$AJ$61:$AK$61,[2]SME!$BH$61:$BI$61,[2]SME!$AJ$65:$AK$65,[2]SME!$BH$65:$BI$65)/1000/AX231</f>
        <v>-0.27871054703157389</v>
      </c>
      <c r="AY240" s="20">
        <f>-SUM([2]SME!$AJ$62:$AK$62,[2]SME!$BH$62:$BI$62,[2]SME!$AJ$66:$AK$66,[2]SME!$BH$66:$BI$66)/1000/AY231</f>
        <v>-4.3924412330468132E-3</v>
      </c>
      <c r="AZ240" s="20">
        <f>-SUM([2]SME!$AJ$63:$AK$63,[2]SME!$BH$63:$BI$63,[2]SME!$AJ$67:$AK$67,[2]SME!$BH$67:$BI$67)/1000/AZ231</f>
        <v>0</v>
      </c>
      <c r="BA240" s="7"/>
      <c r="BB240" s="20">
        <f>-SUM([2]MidCorp!$AJ$61:$AK$61,[2]MidCorp!$BH$61:$BI$61,[2]MidCorp!$AJ$65:$AK$65,[2]MidCorp!$BH$65:$BI$65)/1000/BB231</f>
        <v>-8.5548517860171591E-2</v>
      </c>
      <c r="BC240" s="20">
        <f>-SUM([2]MidCorp!$AJ$62:$AK$62,[2]MidCorp!$BH$62:$BI$62,[2]MidCorp!$AJ$66:$AK$66,[2]MidCorp!$BH$66:$BI$66)/1000/BC231</f>
        <v>3.8002204406757903E-2</v>
      </c>
      <c r="BD240" s="20">
        <f>-SUM([2]MidCorp!$AJ$63:$AK$63,[2]MidCorp!$BH$63:$BI$63,[2]MidCorp!$AJ$67:$AK$67,[2]MidCorp!$BH$67:$BI$67)/1000/BD231</f>
        <v>0</v>
      </c>
      <c r="BJ240" s="20" t="e">
        <f>-SUM([2]Specials!$AJ$61:$AK$61,[2]Specials!$BH$61:$BI$61,[2]Specials!$AJ$65:$AK$65,[2]Specials!$BH$65:$BI$65)/1000/BJ231</f>
        <v>#DIV/0!</v>
      </c>
      <c r="BK240" s="20" t="e">
        <f>-SUM([2]Specials!$AJ$62:$AK$62,[2]Specials!$BH$62:$BI$62,[2]Specials!$AJ$66:$AK$66,[2]Specials!$BH$66:$BI$66)/1000/BK231</f>
        <v>#DIV/0!</v>
      </c>
      <c r="BL240" s="20" t="e">
        <f>-SUM([2]Specials!$AJ$63:$AK$63,[2]Specials!$BH$63:$BI$63,[2]Specials!$AJ$67:$AK$67,[2]Specials!$BH$67:$BI$67)/1000/BL231</f>
        <v>#DIV/0!</v>
      </c>
      <c r="BM240" s="7"/>
      <c r="BN240" s="28">
        <f>-SUM('[2]Total P&amp;C'!$AJ$61:$AK$61,'[2]Total P&amp;C'!$BH$61:$BI$61,'[2]Total P&amp;C'!$AJ$65:$AK$65,'[2]Total P&amp;C'!$BH$65:$BI$65)/1000/BN231</f>
        <v>-0.18240349807649617</v>
      </c>
      <c r="BO240" s="28">
        <f>-SUM('[2]Total P&amp;C'!$AJ$62:$AK$62,'[2]Total P&amp;C'!$BH$62:$BI$62,'[2]Total P&amp;C'!$AJ$66:$AK$66,'[2]Total P&amp;C'!$BH$66:$BI$66)/1000/BO231</f>
        <v>1.3013860805609246E-2</v>
      </c>
      <c r="BP240" s="28">
        <f>-SUM('[2]Total P&amp;C'!$AJ$63:$AK$63,'[2]Total P&amp;C'!$BH$63:$BI$63,'[2]Total P&amp;C'!$AJ$67:$AK$67,'[2]Total P&amp;C'!$BH$67:$BI$67)/1000/BP231</f>
        <v>0</v>
      </c>
      <c r="BR240" s="28">
        <f>-SUM('[3]Total P&amp;C'!$AJ$61:$AK$61,'[3]Total P&amp;C'!$BH$61:$BI$61,'[2]Total P&amp;C'!$AJ$65:$AK$65,'[2]Total P&amp;C'!$BH$65:$BI$65)/1000/BR231</f>
        <v>-0.17606476592209808</v>
      </c>
      <c r="BS240" s="28">
        <f>-SUM('[3]Total P&amp;C'!$AJ$62:$AK$62,'[3]Total P&amp;C'!$BH$62:$BI$62,'[2]Total P&amp;C'!$AJ$66:$AK$66,'[2]Total P&amp;C'!$BH$66:$BI$66)/1000/BS231</f>
        <v>1.2294427919508225E-2</v>
      </c>
      <c r="BT240" s="28">
        <f>-SUM('[3]Total P&amp;C'!$AJ$63:$AK$63,'[3]Total P&amp;C'!$BH$63:$BI$63,'[2]Total P&amp;C'!$AJ$67:$AK$67,'[2]Total P&amp;C'!$BH$67:$BI$67)/1000/BT231</f>
        <v>0</v>
      </c>
    </row>
    <row r="241" spans="2:72" ht="16.5" customHeight="1" x14ac:dyDescent="0.25">
      <c r="B241" s="204"/>
      <c r="C241" s="9"/>
      <c r="D241" s="37" t="s">
        <v>30</v>
      </c>
      <c r="J241" s="20">
        <f>+J242+J243+J244</f>
        <v>0.30191358438790417</v>
      </c>
      <c r="K241" s="20">
        <f>+K242+K243+K244</f>
        <v>0.59717905368146407</v>
      </c>
      <c r="L241" s="20" t="e">
        <f>+L242+L243+L244</f>
        <v>#DIV/0!</v>
      </c>
      <c r="M241" s="7"/>
      <c r="N241" s="20">
        <f>+N242+N243+N244</f>
        <v>0.4206286699211903</v>
      </c>
      <c r="O241" s="20">
        <f>+O242+O243+O244</f>
        <v>0.41076260427639649</v>
      </c>
      <c r="P241" s="20">
        <f>+P242+P243+P244</f>
        <v>0.49899831688135005</v>
      </c>
      <c r="Q241" s="7"/>
      <c r="R241" s="20">
        <f>+R242+R243+R244</f>
        <v>0.28571720191065025</v>
      </c>
      <c r="S241" s="20">
        <f>+S242+S243+S244</f>
        <v>0.25614581628852406</v>
      </c>
      <c r="T241" s="20">
        <f>+T242+T243+T244</f>
        <v>0.3068763714639739</v>
      </c>
      <c r="U241" s="7"/>
      <c r="V241" s="20">
        <f>+V242+V243+V244</f>
        <v>0.29132473718196722</v>
      </c>
      <c r="W241" s="20">
        <f>+W242+W243+W244</f>
        <v>0.3280371725916168</v>
      </c>
      <c r="X241" s="20">
        <f>+X242+X243+X244</f>
        <v>0.39600234742316959</v>
      </c>
      <c r="Y241" s="7"/>
      <c r="Z241" s="20" t="e">
        <f>+Z242+Z243+Z244</f>
        <v>#DIV/0!</v>
      </c>
      <c r="AA241" s="20" t="e">
        <f>+AA242+AA243+AA244</f>
        <v>#DIV/0!</v>
      </c>
      <c r="AB241" s="20" t="e">
        <f>+AB242+AB243+AB244</f>
        <v>#DIV/0!</v>
      </c>
      <c r="AC241" s="7"/>
      <c r="AD241" s="20" t="e">
        <f>+AD242+AD243+AD244</f>
        <v>#DIV/0!</v>
      </c>
      <c r="AE241" s="20" t="e">
        <f>+AE242+AE243+AE244</f>
        <v>#DIV/0!</v>
      </c>
      <c r="AF241" s="20" t="e">
        <f>+AF242+AF243+AF244</f>
        <v>#DIV/0!</v>
      </c>
      <c r="AG241" s="7"/>
      <c r="AH241" s="28">
        <f>+AH242+AH243+AH244</f>
        <v>0.30349656986072482</v>
      </c>
      <c r="AI241" s="28">
        <f>+AI242+AI243+AI244</f>
        <v>0.32383850234771411</v>
      </c>
      <c r="AJ241" s="28">
        <f>+AJ242+AJ243+AJ244</f>
        <v>0.35748614956385527</v>
      </c>
      <c r="AL241" s="204"/>
      <c r="AM241" s="9"/>
      <c r="AN241" s="37" t="s">
        <v>30</v>
      </c>
      <c r="AT241" s="20">
        <f>+AT242+AT243+AT244</f>
        <v>0.38891901060214146</v>
      </c>
      <c r="AU241" s="20">
        <f>+AU242+AU243+AU244</f>
        <v>0.37908393470637358</v>
      </c>
      <c r="AV241" s="20">
        <f>+AV242+AV243+AV244</f>
        <v>0.3843397557161829</v>
      </c>
      <c r="AW241" s="7"/>
      <c r="AX241" s="20">
        <f>+AX242+AX243+AX244</f>
        <v>0.46933073585286489</v>
      </c>
      <c r="AY241" s="20">
        <f>+AY242+AY243+AY244</f>
        <v>0.40309642525179118</v>
      </c>
      <c r="AZ241" s="20">
        <f>+AZ242+AZ243+AZ244</f>
        <v>0.48536892964311085</v>
      </c>
      <c r="BA241" s="7"/>
      <c r="BB241" s="20">
        <f>+BB242+BB243+BB244</f>
        <v>0.36485235705723501</v>
      </c>
      <c r="BC241" s="20">
        <f>+BC242+BC243+BC244</f>
        <v>0.35289920475062081</v>
      </c>
      <c r="BD241" s="20">
        <f>+BD242+BD243+BD244</f>
        <v>0.35874532713938723</v>
      </c>
      <c r="BJ241" s="20" t="e">
        <f>+BJ242+BJ243+BJ244</f>
        <v>#DIV/0!</v>
      </c>
      <c r="BK241" s="20" t="e">
        <f>+BK242+BK243+BK244</f>
        <v>#DIV/0!</v>
      </c>
      <c r="BL241" s="20" t="e">
        <f>+BL242+BL243+BL244</f>
        <v>#DIV/0!</v>
      </c>
      <c r="BM241" s="7"/>
      <c r="BN241" s="28">
        <f>+BN242+BN243+BN244</f>
        <v>0.38853341572800931</v>
      </c>
      <c r="BO241" s="28">
        <f>+BO242+BO243+BO244</f>
        <v>0.3714026457720711</v>
      </c>
      <c r="BP241" s="28">
        <f>+BP242+BP243+BP244</f>
        <v>0.38578804746907236</v>
      </c>
      <c r="BR241" s="28">
        <f>+BR242+BR243+BR244</f>
        <v>0.38599945252523243</v>
      </c>
      <c r="BS241" s="28">
        <f>+BS242+BS243+BS244</f>
        <v>0.37013541917942333</v>
      </c>
      <c r="BT241" s="28">
        <f>+BT242+BT243+BT244</f>
        <v>0.38533761898775459</v>
      </c>
    </row>
    <row r="242" spans="2:72" ht="16.5" customHeight="1" x14ac:dyDescent="0.25">
      <c r="B242" s="204"/>
      <c r="C242" s="9"/>
      <c r="D242" s="39" t="s">
        <v>31</v>
      </c>
      <c r="J242" s="20">
        <f>-SUM([1]Retail!$AL$61:$AN$61,[1]Retail!$BJ$61)/1000/J231</f>
        <v>0.19023863887947279</v>
      </c>
      <c r="K242" s="42">
        <f>-SUM([1]Retail!$AL$62:$AN$62,[1]Retail!$BJ$62)/1000/K231</f>
        <v>0.19195844130189002</v>
      </c>
      <c r="L242" s="42" t="e">
        <f>-SUM([1]Retail!$AL$63:$AN$63,[1]Retail!$BJ$63)/1000/L231</f>
        <v>#DIV/0!</v>
      </c>
      <c r="M242" s="8"/>
      <c r="N242" s="20">
        <f>-SUM([1]SME!$AL$61:$AN$61,[1]SME!$BJ$61)/1000/N231</f>
        <v>0.14409402706963975</v>
      </c>
      <c r="O242" s="20">
        <f>-SUM([1]SME!$AL$62:$AN$62,[1]SME!$BJ$62)/1000/O231</f>
        <v>0.14524536936196714</v>
      </c>
      <c r="P242" s="20">
        <f>-SUM([1]SME!$AL$63:$AN$63,[1]SME!$BJ$63)/1000/P231</f>
        <v>0.14552952396818492</v>
      </c>
      <c r="Q242" s="8"/>
      <c r="R242" s="20">
        <f>-SUM([1]MidCorp!$AL$61:$AN$61,[1]MidCorp!$BJ$61)/1000/R231</f>
        <v>0.18386909365046644</v>
      </c>
      <c r="S242" s="20">
        <f>-SUM([1]MidCorp!$AL$62:$AN$62,[1]MidCorp!$BJ$62)/1000/S231</f>
        <v>0.1745966239232235</v>
      </c>
      <c r="T242" s="20">
        <f>-SUM([1]MidCorp!$AL$63:$AN$63,[1]MidCorp!$BJ$63)/1000/T231</f>
        <v>0.18666085656704579</v>
      </c>
      <c r="U242" s="8"/>
      <c r="V242" s="20">
        <f>-SUM([1]MGA!$AL$61:$AN$61,[1]MGA!$BJ$61)/1000/V231</f>
        <v>0.27251702418947882</v>
      </c>
      <c r="W242" s="20">
        <f>-SUM([1]MGA!$AL$62:$AN$62,[1]MGA!$BJ$62)/1000/W231</f>
        <v>0.26919499158153398</v>
      </c>
      <c r="X242" s="20">
        <f>-SUM([1]MGA!$AL$63:$AN$63,[1]MGA!$BJ$63)/1000/X231</f>
        <v>0.26907382246443018</v>
      </c>
      <c r="Y242" s="8"/>
      <c r="Z242" s="20" t="e">
        <f>-SUM([1]Bancassurance!$AL$61:$AN$61,[1]Bancassurance!$BJ$61)/1000/Z231</f>
        <v>#DIV/0!</v>
      </c>
      <c r="AA242" s="20" t="e">
        <f>-SUM([1]Bancassurance!$AL$62:$AN$62,[1]Bancassurance!$BJ$62)/1000/AA231</f>
        <v>#DIV/0!</v>
      </c>
      <c r="AB242" s="20" t="e">
        <f>-SUM([1]Bancassurance!$AL$63:$AN$63,[1]Bancassurance!$BJ$63)/1000/AB231</f>
        <v>#DIV/0!</v>
      </c>
      <c r="AC242" s="8"/>
      <c r="AD242" s="20" t="e">
        <f>-SUM([1]Specials!$AL$61:$AN$61,[1]Specials!$BJ$61)/1000/AD231</f>
        <v>#DIV/0!</v>
      </c>
      <c r="AE242" s="20" t="e">
        <f>-SUM([1]Specials!$AL$62:$AN$62,[1]Specials!$BJ$62)/1000/AE231</f>
        <v>#DIV/0!</v>
      </c>
      <c r="AF242" s="20" t="e">
        <f>-SUM([1]Specials!$AL$63:$AN$63,[1]Specials!$BJ$63)/1000/AF231</f>
        <v>#DIV/0!</v>
      </c>
      <c r="AG242" s="8"/>
      <c r="AH242" s="28">
        <f>-SUM('[1]Total P&amp;C'!$AL$61:$AN$61,'[1]Total P&amp;C'!$BJ$61)/1000/AH231</f>
        <v>0.22503401894874173</v>
      </c>
      <c r="AI242" s="28">
        <f>-SUM('[1]Total P&amp;C'!$AL$62:$AN$62,'[1]Total P&amp;C'!$BJ$62)/1000/AI231</f>
        <v>0.21833024325691031</v>
      </c>
      <c r="AJ242" s="28">
        <f>-SUM('[1]Total P&amp;C'!$AL$63:$AN$63,'[1]Total P&amp;C'!$BJ$63)/1000/AJ231</f>
        <v>0.19492534210566992</v>
      </c>
      <c r="AL242" s="204"/>
      <c r="AM242" s="9"/>
      <c r="AN242" s="39" t="s">
        <v>31</v>
      </c>
      <c r="AT242" s="20">
        <f>-SUM([2]Retail!$AL$61:$AN$61,[2]Retail!$BJ$61,[2]Retail!$AL$65:$AN$65,[2]Retail!$BJ$65)/1000/AT231</f>
        <v>0.20746309848290459</v>
      </c>
      <c r="AU242" s="42">
        <f>-SUM([2]Retail!$AL$62:$AN$62,[2]Retail!$BJ$62,[2]Retail!$AL$66:$AN$66,[2]Retail!$BJ$66)/1000/AU231</f>
        <v>0.21645708925636065</v>
      </c>
      <c r="AV242" s="42">
        <f>-SUM([2]Retail!$AL$63:$AN$63,[2]Retail!$BJ$63,[2]Retail!$AL$67:$AN$67,[2]Retail!$BJ$67)/1000/AV231</f>
        <v>0.21195545446224714</v>
      </c>
      <c r="AW242" s="8"/>
      <c r="AX242" s="20">
        <f>-SUM([2]SME!$AL$61:$AN$61,[2]SME!$BJ$61,[2]SME!$AL$65:$AN$65,[2]SME!$BJ$65)/1000/AX231</f>
        <v>0.23160129175695157</v>
      </c>
      <c r="AY242" s="20">
        <f>-SUM([2]SME!$AL$62:$AN$62,[2]SME!$BJ$62,[2]SME!$AL$66:$AN$66,[2]SME!$BJ$66)/1000/AY231</f>
        <v>0.21939311551125162</v>
      </c>
      <c r="AZ242" s="20">
        <f>-SUM([2]SME!$AL$63:$AN$63,[2]SME!$BJ$63,[2]SME!$AL$67:$AN$67,[2]SME!$BJ$67)/1000/AZ231</f>
        <v>0.23974730067710776</v>
      </c>
      <c r="BA242" s="8"/>
      <c r="BB242" s="20">
        <f>-SUM([2]MidCorp!$AL$61:$AN$61,[2]MidCorp!$BJ$61,[2]MidCorp!$AL$65:$AN$65,[2]MidCorp!$BJ$65)/1000/BB231</f>
        <v>0.17613526020422809</v>
      </c>
      <c r="BC242" s="20">
        <f>-SUM([2]MidCorp!$AL$62:$AN$62,[2]MidCorp!$BJ$62,[2]MidCorp!$AL$66:$AN$66,[2]MidCorp!$BJ$66)/1000/BC231</f>
        <v>0.16999288653769429</v>
      </c>
      <c r="BD242" s="20">
        <f>-SUM([2]MidCorp!$AL$63:$AN$63,[2]MidCorp!$BJ$63,[2]MidCorp!$AL$67:$AN$67,[2]MidCorp!$BJ$67)/1000/BD231</f>
        <v>0.17428278543591477</v>
      </c>
      <c r="BJ242" s="20" t="e">
        <f>-SUM([2]Specials!$AL$61:$AN$61,[2]Specials!$BJ$61,[2]Specials!$AL$65:$AN$65,[2]Specials!$BJ$65)/1000/BJ231</f>
        <v>#DIV/0!</v>
      </c>
      <c r="BK242" s="20" t="e">
        <f>-SUM([2]Specials!$AL$62:$AN$62,[2]Specials!$BJ$62,[2]Specials!$AL$66:$AN$66,[2]Specials!$BJ$66)/1000/BK231</f>
        <v>#DIV/0!</v>
      </c>
      <c r="BL242" s="20" t="e">
        <f>-SUM([2]Specials!$AL$63:$AN$63,[2]Specials!$BJ$63,[2]Specials!$AL$67:$AN$67,[2]Specials!$BJ$67)/1000/BL231</f>
        <v>#DIV/0!</v>
      </c>
      <c r="BM242" s="8"/>
      <c r="BN242" s="28">
        <f>-SUM('[2]Total P&amp;C'!$AL$61:$AN$61,'[2]Total P&amp;C'!$BJ$61,'[2]Total P&amp;C'!$AL$65:$AN$65,'[2]Total P&amp;C'!$BJ$65)/1000/BN231</f>
        <v>0.19598945350173208</v>
      </c>
      <c r="BO242" s="28">
        <f>-SUM('[2]Total P&amp;C'!$AL$62:$AN$62,'[2]Total P&amp;C'!$BJ$62,'[2]Total P&amp;C'!$AL$66:$AN$66,'[2]Total P&amp;C'!$BJ$66)/1000/BO231</f>
        <v>0.19580615994738387</v>
      </c>
      <c r="BP242" s="28">
        <f>-SUM('[2]Total P&amp;C'!$AL$63:$AN$63,'[2]Total P&amp;C'!$BJ$63,'[2]Total P&amp;C'!$AL$67:$AN$67,'[2]Total P&amp;C'!$BJ$67)/1000/BP231</f>
        <v>0.19782922161399685</v>
      </c>
      <c r="BR242" s="28">
        <f>-SUM('[3]Total P&amp;C'!$AL$61:$AN$61,'[3]Total P&amp;C'!$BJ$61,'[2]Total P&amp;C'!$AL$65:$AN$65,'[2]Total P&amp;C'!$BJ$65)/1000/BR231</f>
        <v>0.19685493550935779</v>
      </c>
      <c r="BS242" s="28">
        <f>-SUM('[3]Total P&amp;C'!$AL$62:$AN$62,'[3]Total P&amp;C'!$BJ$62,'[2]Total P&amp;C'!$AL$66:$AN$66,'[2]Total P&amp;C'!$BJ$66)/1000/BS231</f>
        <v>0.19640625731674444</v>
      </c>
      <c r="BT242" s="28">
        <f>-SUM('[3]Total P&amp;C'!$AL$63:$AN$63,'[3]Total P&amp;C'!$BJ$63,'[2]Total P&amp;C'!$AL$67:$AN$67,'[2]Total P&amp;C'!$BJ$67)/1000/BT231</f>
        <v>0.1977830059841742</v>
      </c>
    </row>
    <row r="243" spans="2:72" ht="16.5" customHeight="1" x14ac:dyDescent="0.25">
      <c r="B243" s="204"/>
      <c r="C243" s="9"/>
      <c r="D243" s="39" t="s">
        <v>32</v>
      </c>
      <c r="J243" s="20">
        <f>-SUM([1]Retail!$AO$61:$AP$61)/1000/J231</f>
        <v>8.6553028795620726E-3</v>
      </c>
      <c r="K243" s="42">
        <f>-SUM([1]Retail!$AO$62:$AP$62)/1000/K231</f>
        <v>0.11395625416261868</v>
      </c>
      <c r="L243" s="42" t="e">
        <f>-SUM([1]Retail!$AO$63:$AP$63)/1000/L231</f>
        <v>#DIV/0!</v>
      </c>
      <c r="M243" s="8"/>
      <c r="N243" s="20">
        <f>-SUM([1]SME!$AO$61:$AP$61)/1000/N231</f>
        <v>7.0441384244587929E-2</v>
      </c>
      <c r="O243" s="20">
        <f>-SUM([1]SME!$AO$62:$AP$62)/1000/O231</f>
        <v>9.2651026122573421E-2</v>
      </c>
      <c r="P243" s="20">
        <f>-SUM([1]SME!$AO$63:$AP$63)/1000/P231</f>
        <v>9.0550344281962472E-2</v>
      </c>
      <c r="Q243" s="8"/>
      <c r="R243" s="20">
        <f>-SUM([1]MidCorp!$AO$61:$AP$61)/1000/R231</f>
        <v>1.1116568740720874E-2</v>
      </c>
      <c r="S243" s="20">
        <f>-SUM([1]MidCorp!$AO$62:$AP$62)/1000/S231</f>
        <v>4.1163711702830799E-3</v>
      </c>
      <c r="T243" s="20">
        <f>-SUM([1]MidCorp!$AO$63:$AP$63)/1000/T231</f>
        <v>5.4851226428809866E-3</v>
      </c>
      <c r="U243" s="8"/>
      <c r="V243" s="20">
        <f>-SUM([1]MGA!$AO$61:$AP$61)/1000/V231</f>
        <v>1.0552545767631906E-2</v>
      </c>
      <c r="W243" s="20">
        <f>-SUM([1]MGA!$AO$62:$AP$62)/1000/W231</f>
        <v>1.3133631510724945E-2</v>
      </c>
      <c r="X243" s="20">
        <f>-SUM([1]MGA!$AO$63:$AP$63)/1000/X231</f>
        <v>5.8694746103682784E-2</v>
      </c>
      <c r="Y243" s="8"/>
      <c r="Z243" s="20" t="e">
        <f>-SUM([1]Bancassurance!$AO$61:$AP$61)/1000/Z231</f>
        <v>#DIV/0!</v>
      </c>
      <c r="AA243" s="20" t="e">
        <f>-SUM([1]Bancassurance!$AO$62:$AP$62)/1000/AA231</f>
        <v>#DIV/0!</v>
      </c>
      <c r="AB243" s="20" t="e">
        <f>-SUM([1]Bancassurance!$AO$63:$AP$63)/1000/AB231</f>
        <v>#DIV/0!</v>
      </c>
      <c r="AC243" s="8"/>
      <c r="AD243" s="20" t="e">
        <f>-SUM([1]Specials!$AO$61:$AP$61)/1000/AD231</f>
        <v>#DIV/0!</v>
      </c>
      <c r="AE243" s="20" t="e">
        <f>-SUM([1]Specials!$AO$62:$AP$62)/1000/AE231</f>
        <v>#DIV/0!</v>
      </c>
      <c r="AF243" s="20" t="e">
        <f>-SUM([1]Specials!$AO$63:$AP$63)/1000/AF231</f>
        <v>#DIV/0!</v>
      </c>
      <c r="AG243" s="8"/>
      <c r="AH243" s="28">
        <f>-SUM('[1]Total P&amp;C'!$AO$61:$AP$61)/1000/AH231</f>
        <v>1.6517249332082314E-2</v>
      </c>
      <c r="AI243" s="28">
        <f>-SUM('[1]Total P&amp;C'!$AO$62:$AP$62)/1000/AI231</f>
        <v>2.2055650762815657E-2</v>
      </c>
      <c r="AJ243" s="28">
        <f>-SUM('[1]Total P&amp;C'!$AO$63:$AP$63)/1000/AJ231</f>
        <v>2.7895897512144701E-2</v>
      </c>
      <c r="AL243" s="204"/>
      <c r="AM243" s="9"/>
      <c r="AN243" s="39" t="s">
        <v>32</v>
      </c>
      <c r="AT243" s="20">
        <f>-SUM([2]Retail!$AO$61:$AP$61,[2]Retail!$AO$65:$AP$65)/1000/AT231</f>
        <v>0.10077892623785063</v>
      </c>
      <c r="AU243" s="42">
        <f>-SUM([2]Retail!$AO$62:$AP$62,[2]Retail!$AO$66:$AP$66)/1000/AU231</f>
        <v>9.2109276654624109E-2</v>
      </c>
      <c r="AV243" s="42">
        <f>-SUM([2]Retail!$AO$63:$AP$63,[2]Retail!$AO$67:$AP$67)/1000/AV231</f>
        <v>9.3657505728840462E-2</v>
      </c>
      <c r="AW243" s="8"/>
      <c r="AX243" s="20">
        <f>-SUM([2]SME!$AO$61:$AP$61,[2]SME!$AO$65:$AP$65)/1000/AX231</f>
        <v>0.15277777871539466</v>
      </c>
      <c r="AY243" s="20">
        <f>-SUM([2]SME!$AO$62:$AP$62,[2]SME!$AO$66:$AP$66)/1000/AY231</f>
        <v>0.110766780174111</v>
      </c>
      <c r="AZ243" s="20">
        <f>-SUM([2]SME!$AO$63:$AP$63,[2]SME!$AO$67:$AP$67)/1000/AZ231</f>
        <v>0.15227475909324709</v>
      </c>
      <c r="BA243" s="8"/>
      <c r="BB243" s="20">
        <f>-SUM([2]MidCorp!$AO$61:$AP$61,[2]MidCorp!$AO$65:$AP$65)/1000/BB231</f>
        <v>7.1680092880245433E-2</v>
      </c>
      <c r="BC243" s="20">
        <f>-SUM([2]MidCorp!$AO$62:$AP$62,[2]MidCorp!$AO$66:$AP$66)/1000/BC231</f>
        <v>6.7897225409410414E-2</v>
      </c>
      <c r="BD243" s="20">
        <f>-SUM([2]MidCorp!$AO$63:$AP$63,[2]MidCorp!$AO$67:$AP$67)/1000/BD231</f>
        <v>6.3654985162077474E-2</v>
      </c>
      <c r="BJ243" s="20" t="e">
        <f>-SUM([2]Specials!$AO$61:$AP$61,[2]Specials!$AO$65:$AP$65)/1000/BJ231</f>
        <v>#DIV/0!</v>
      </c>
      <c r="BK243" s="20" t="e">
        <f>-SUM([2]Specials!$AO$62:$AP$62,[2]Specials!$AO$66:$AP$66)/1000/BK231</f>
        <v>#DIV/0!</v>
      </c>
      <c r="BL243" s="20" t="e">
        <f>-SUM([2]Specials!$AO$63:$AP$63,[2]Specials!$AO$67:$AP$67)/1000/BL231</f>
        <v>#DIV/0!</v>
      </c>
      <c r="BM243" s="8"/>
      <c r="BN243" s="28">
        <f>-SUM('[2]Total P&amp;C'!$AO$61:$AP$61,'[2]Total P&amp;C'!$AO$65:$AP$65)/1000/BN231</f>
        <v>9.4142410860670267E-2</v>
      </c>
      <c r="BO243" s="28">
        <f>-SUM('[2]Total P&amp;C'!$AO$62:$AP$62,'[2]Total P&amp;C'!$AO$66:$AP$66)/1000/BO231</f>
        <v>8.4083970762841478E-2</v>
      </c>
      <c r="BP243" s="28">
        <f>-SUM('[2]Total P&amp;C'!$AO$63:$AP$63,'[2]Total P&amp;C'!$AO$67:$AP$67)/1000/BP231</f>
        <v>8.7312956801687866E-2</v>
      </c>
      <c r="BR243" s="28">
        <f>-SUM('[3]Total P&amp;C'!$AO$61:$AP$61,'[2]Total P&amp;C'!$AO$65:$AP$65)/1000/BR231</f>
        <v>9.1829304101865447E-2</v>
      </c>
      <c r="BS243" s="28">
        <f>-SUM('[3]Total P&amp;C'!$AO$62:$AP$62,'[2]Total P&amp;C'!$AO$66:$AP$66)/1000/BS231</f>
        <v>8.243138267983928E-2</v>
      </c>
      <c r="BT243" s="28">
        <f>-SUM('[3]Total P&amp;C'!$AO$63:$AP$63,'[2]Total P&amp;C'!$AO$67:$AP$67)/1000/BT231</f>
        <v>8.6367326375425033E-2</v>
      </c>
    </row>
    <row r="244" spans="2:72" ht="16.5" customHeight="1" x14ac:dyDescent="0.25">
      <c r="B244" s="204"/>
      <c r="C244" s="9"/>
      <c r="D244" s="39" t="s">
        <v>33</v>
      </c>
      <c r="J244" s="20">
        <f>-SUM([1]Retail!$AQ$61:$AR$61)/1000/J231</f>
        <v>0.1030196426288693</v>
      </c>
      <c r="K244" s="42">
        <f>-SUM([1]Retail!$AQ$62:$AR$62)/1000/K231</f>
        <v>0.29126435821695545</v>
      </c>
      <c r="L244" s="42" t="e">
        <f>-SUM([1]Retail!$AQ$63:$AR$63)/1000/L231</f>
        <v>#DIV/0!</v>
      </c>
      <c r="M244" s="8"/>
      <c r="N244" s="20">
        <f>-SUM([1]SME!$AQ$61:$AR$61)/1000/N231</f>
        <v>0.20609325860696262</v>
      </c>
      <c r="O244" s="20">
        <f>-SUM([1]SME!$AQ$62:$AR$62)/1000/O231</f>
        <v>0.17286620879185594</v>
      </c>
      <c r="P244" s="20">
        <f>-SUM([1]SME!$AQ$63:$AR$63)/1000/P231</f>
        <v>0.26291844863120267</v>
      </c>
      <c r="Q244" s="8"/>
      <c r="R244" s="20">
        <f>-SUM([1]MidCorp!$AQ$61:$AR$61)/1000/R231</f>
        <v>9.0731539519462931E-2</v>
      </c>
      <c r="S244" s="20">
        <f>-SUM([1]MidCorp!$AQ$62:$AR$62)/1000/S231</f>
        <v>7.7432821195017487E-2</v>
      </c>
      <c r="T244" s="20">
        <f>-SUM([1]MidCorp!$AQ$63:$AR$63)/1000/T231</f>
        <v>0.11473039225404712</v>
      </c>
      <c r="U244" s="8"/>
      <c r="V244" s="20">
        <f>-SUM([1]MGA!$AQ$61:$AR$61)/1000/V231</f>
        <v>8.2551672248564485E-3</v>
      </c>
      <c r="W244" s="20">
        <f>-SUM([1]MGA!$AQ$62:$AR$62)/1000/W231</f>
        <v>4.5708549499357876E-2</v>
      </c>
      <c r="X244" s="20">
        <f>-SUM([1]MGA!$AQ$63:$AR$63)/1000/X231</f>
        <v>6.8233778855056618E-2</v>
      </c>
      <c r="Y244" s="8"/>
      <c r="Z244" s="20" t="e">
        <f>-SUM([1]Bancassurance!$AQ$61:$AR$61)/1000/Z231</f>
        <v>#DIV/0!</v>
      </c>
      <c r="AA244" s="20" t="e">
        <f>-SUM([1]Bancassurance!$AQ$62:$AR$62)/1000/AA231</f>
        <v>#DIV/0!</v>
      </c>
      <c r="AB244" s="20" t="e">
        <f>-SUM([1]Bancassurance!$AQ$63:$AR$63)/1000/AB231</f>
        <v>#DIV/0!</v>
      </c>
      <c r="AC244" s="8"/>
      <c r="AD244" s="20" t="e">
        <f>-SUM([1]Specials!$AQ$61:$AR$61)/1000/AD231</f>
        <v>#DIV/0!</v>
      </c>
      <c r="AE244" s="20" t="e">
        <f>-SUM([1]Specials!$AQ$62:$AR$62)/1000/AE231</f>
        <v>#DIV/0!</v>
      </c>
      <c r="AF244" s="20" t="e">
        <f>-SUM([1]Specials!$AQ$63:$AR$63)/1000/AF231</f>
        <v>#DIV/0!</v>
      </c>
      <c r="AG244" s="8"/>
      <c r="AH244" s="28">
        <f>-SUM('[1]Total P&amp;C'!$AQ$61:$AR$61)/1000/AH231</f>
        <v>6.1945301579900795E-2</v>
      </c>
      <c r="AI244" s="28">
        <f>-SUM('[1]Total P&amp;C'!$AQ$62:$AR$62)/1000/AI231</f>
        <v>8.3452608327988134E-2</v>
      </c>
      <c r="AJ244" s="28">
        <f>-SUM('[1]Total P&amp;C'!$AQ$63:$AR$63)/1000/AJ231</f>
        <v>0.13466490994604069</v>
      </c>
      <c r="AL244" s="204"/>
      <c r="AM244" s="9"/>
      <c r="AN244" s="39" t="s">
        <v>33</v>
      </c>
      <c r="AT244" s="20">
        <f>-SUM([2]Retail!$AQ$61:$AR$61,[2]Retail!$AQ$65:$AR$65)/1000/AT231</f>
        <v>8.0676985881386235E-2</v>
      </c>
      <c r="AU244" s="42">
        <f>-SUM([2]Retail!$AQ$62:$AR$62,[2]Retail!$AQ$66:$AR$66)/1000/AU231</f>
        <v>7.0517568795388869E-2</v>
      </c>
      <c r="AV244" s="42">
        <f>-SUM([2]Retail!$AQ$63:$AR$63,[2]Retail!$AQ$67:$AR$67)/1000/AV231</f>
        <v>7.8726795525095275E-2</v>
      </c>
      <c r="AW244" s="8"/>
      <c r="AX244" s="20">
        <f>-SUM([2]SME!$AQ$61:$AR$61,[2]SME!$AQ$65:$AR$65)/1000/AX231</f>
        <v>8.4951665380518709E-2</v>
      </c>
      <c r="AY244" s="20">
        <f>-SUM([2]SME!$AQ$62:$AR$62,[2]SME!$AQ$66:$AR$66)/1000/AY231</f>
        <v>7.2936529566428543E-2</v>
      </c>
      <c r="AZ244" s="20">
        <f>-SUM([2]SME!$AQ$63:$AR$63,[2]SME!$AQ$67:$AR$67)/1000/AZ231</f>
        <v>9.334686987275595E-2</v>
      </c>
      <c r="BA244" s="8"/>
      <c r="BB244" s="20">
        <f>-SUM([2]MidCorp!$AQ$61:$AR$61,[2]MidCorp!$AQ$65:$AR$65)/1000/BB231</f>
        <v>0.1170370039727615</v>
      </c>
      <c r="BC244" s="20">
        <f>-SUM([2]MidCorp!$AQ$62:$AR$62,[2]MidCorp!$AQ$66:$AR$66)/1000/BC231</f>
        <v>0.11500909280351614</v>
      </c>
      <c r="BD244" s="20">
        <f>-SUM([2]MidCorp!$AQ$63:$AR$63,[2]MidCorp!$AQ$67:$AR$67)/1000/BD231</f>
        <v>0.12080755654139498</v>
      </c>
      <c r="BJ244" s="20" t="e">
        <f>-SUM([2]Specials!$AQ$61:$AR$61,[2]Specials!$AQ$65:$AR$65)/1000/BJ231</f>
        <v>#DIV/0!</v>
      </c>
      <c r="BK244" s="20" t="e">
        <f>-SUM([2]Specials!$AQ$62:$AR$62,[2]Specials!$AQ$66:$AR$66)/1000/BK231</f>
        <v>#DIV/0!</v>
      </c>
      <c r="BL244" s="20" t="e">
        <f>-SUM([2]Specials!$AQ$63:$AR$63,[2]Specials!$AQ$67:$AR$67)/1000/BL231</f>
        <v>#DIV/0!</v>
      </c>
      <c r="BM244" s="8"/>
      <c r="BN244" s="28">
        <f>-SUM('[2]Total P&amp;C'!$AQ$61:$AR$61,'[2]Total P&amp;C'!$AQ$65:$AR$65)/1000/BN231</f>
        <v>9.8401551365606965E-2</v>
      </c>
      <c r="BO244" s="28">
        <f>-SUM('[2]Total P&amp;C'!$AQ$62:$AR$62,'[2]Total P&amp;C'!$AQ$66:$AR$66)/1000/BO231</f>
        <v>9.1512515061845781E-2</v>
      </c>
      <c r="BP244" s="28">
        <f>-SUM('[2]Total P&amp;C'!$AQ$63:$AR$63,'[2]Total P&amp;C'!$AQ$67:$AR$67)/1000/BP231</f>
        <v>0.10064586905338765</v>
      </c>
      <c r="BR244" s="28">
        <f>-SUM('[3]Total P&amp;C'!$AQ$61:$AR$61,'[2]Total P&amp;C'!$AQ$65:$AR$65)/1000/BR231</f>
        <v>9.73152129140092E-2</v>
      </c>
      <c r="BS244" s="28">
        <f>-SUM('[3]Total P&amp;C'!$AQ$62:$AR$62,'[2]Total P&amp;C'!$AQ$66:$AR$66)/1000/BS231</f>
        <v>9.1297779182839586E-2</v>
      </c>
      <c r="BT244" s="28">
        <f>-SUM('[3]Total P&amp;C'!$AQ$63:$AR$63,'[2]Total P&amp;C'!$AQ$67:$AR$67)/1000/BT231</f>
        <v>0.10118728662815533</v>
      </c>
    </row>
    <row r="245" spans="2:72" ht="16.5" customHeight="1" x14ac:dyDescent="0.25">
      <c r="B245" s="204"/>
      <c r="C245" s="9"/>
      <c r="D245" s="37" t="s">
        <v>34</v>
      </c>
      <c r="J245" s="19">
        <f>(+[1]Retail!$BK$61)/1000</f>
        <v>5.2511139999999915E-2</v>
      </c>
      <c r="K245" s="19">
        <f>(+[1]Retail!$BK$62)/1000</f>
        <v>4.8990500000000083E-2</v>
      </c>
      <c r="L245" s="19">
        <f>(+[1]Retail!$BK$63)/1000</f>
        <v>-1.3205537209233478E-2</v>
      </c>
      <c r="M245" s="6"/>
      <c r="N245" s="19">
        <f>(+[1]SME!$BK$61)/1000</f>
        <v>5.6184320000000086E-2</v>
      </c>
      <c r="O245" s="19">
        <f>(+[1]SME!$BK$62)/1000</f>
        <v>9.8324929999999991E-2</v>
      </c>
      <c r="P245" s="19">
        <f>(+[1]SME!$BK$63)/1000</f>
        <v>2.6028514023141717E-2</v>
      </c>
      <c r="Q245" s="6"/>
      <c r="R245" s="19">
        <f>(+[1]MidCorp!$BK$61)/1000</f>
        <v>0.57436750999999964</v>
      </c>
      <c r="S245" s="19">
        <f>(+[1]MidCorp!$BK$62)/1000</f>
        <v>0.64387365999999979</v>
      </c>
      <c r="T245" s="19">
        <f>(+[1]MidCorp!$BK$63)/1000</f>
        <v>0.52348213233756902</v>
      </c>
      <c r="U245" s="6"/>
      <c r="V245" s="19">
        <f>(+[1]MGA!$BK$61)/1000</f>
        <v>0.56399952999999881</v>
      </c>
      <c r="W245" s="19">
        <f>(+[1]MGA!$BK$62)/1000</f>
        <v>0.49300094999999994</v>
      </c>
      <c r="X245" s="19">
        <f>(+[1]MGA!$BK$63)/1000</f>
        <v>2.8317122471219789E-2</v>
      </c>
      <c r="Y245" s="6"/>
      <c r="Z245" s="19">
        <f>(+[1]Bancassurance!$BK$61)/1000</f>
        <v>-7.36704E-3</v>
      </c>
      <c r="AA245" s="19">
        <f>(+[1]Bancassurance!$BK$62)/1000</f>
        <v>-1.572525E-2</v>
      </c>
      <c r="AB245" s="19">
        <f>(+[1]Bancassurance!$BK$63)/1000</f>
        <v>0</v>
      </c>
      <c r="AC245" s="6"/>
      <c r="AD245" s="19">
        <f>(+[1]Specials!$BK$61)/1000</f>
        <v>8.208E-5</v>
      </c>
      <c r="AE245" s="19">
        <f>(+[1]Specials!$BK$62)/1000</f>
        <v>3.7200000000000004E-6</v>
      </c>
      <c r="AF245" s="19">
        <f>(+[1]Specials!$BK$63)/1000</f>
        <v>0</v>
      </c>
      <c r="AG245" s="6"/>
      <c r="AH245" s="27">
        <f>(+'[1]Total P&amp;C'!$BK$61)/1000</f>
        <v>1.239777539999998</v>
      </c>
      <c r="AI245" s="27">
        <f>(+'[1]Total P&amp;C'!$BK$62)/1000</f>
        <v>1.2684685099999997</v>
      </c>
      <c r="AJ245" s="27">
        <f>(+'[1]Total P&amp;C'!$BK$63)/1000</f>
        <v>0.56462223162269709</v>
      </c>
      <c r="AL245" s="204"/>
      <c r="AM245" s="9"/>
      <c r="AN245" s="37" t="s">
        <v>34</v>
      </c>
      <c r="AT245" s="19">
        <f>(+[2]Retail!$BK$61+[2]Retail!$BK$65)/1000</f>
        <v>4.1491037499999743</v>
      </c>
      <c r="AU245" s="19">
        <f>(+[2]Retail!$BK$62+[2]Retail!$BK$66)/1000</f>
        <v>3.8699621200000194</v>
      </c>
      <c r="AV245" s="19">
        <f>(+[2]Retail!$BK$63+[2]Retail!$BK$67)/1000</f>
        <v>1.1971329068854166</v>
      </c>
      <c r="AW245" s="6"/>
      <c r="AX245" s="19">
        <f>(+[2]SME!$BK$61+[2]SME!$BK$65)/1000</f>
        <v>-1.6108509800000013</v>
      </c>
      <c r="AY245" s="19">
        <f>(+[2]SME!$BK$62+[2]SME!$BK$66)/1000</f>
        <v>2.0009924099999972</v>
      </c>
      <c r="AZ245" s="19">
        <f>(+[2]SME!$BK$63+[2]SME!$BK$67)/1000</f>
        <v>-1.2747681381928844</v>
      </c>
      <c r="BA245" s="6"/>
      <c r="BB245" s="19">
        <f>(+[2]MidCorp!$BK$61+[2]MidCorp!$BK$65)/1000</f>
        <v>1.6939219700000105</v>
      </c>
      <c r="BC245" s="19">
        <f>(+[2]MidCorp!$BK$62+[2]MidCorp!$BK$66)/1000</f>
        <v>-3.2341952200000108</v>
      </c>
      <c r="BD245" s="19">
        <f>(+[2]MidCorp!$BK$63+[2]MidCorp!$BK$67)/1000</f>
        <v>0.65317002459598417</v>
      </c>
      <c r="BJ245" s="19">
        <f>(+[2]Specials!$BK$61+[2]Specials!$BK$65)/1000</f>
        <v>-1.3687999999999504E-3</v>
      </c>
      <c r="BK245" s="19">
        <f>(+[2]Specials!$BK$62+[2]Specials!$BK$66)/1000</f>
        <v>-2.9089360000000127E-2</v>
      </c>
      <c r="BL245" s="19">
        <f>(+[2]Specials!$BK$63+[2]Specials!$BK$67)/1000</f>
        <v>0</v>
      </c>
      <c r="BM245" s="6"/>
      <c r="BN245" s="27">
        <f>(+'[2]Total P&amp;C'!$BK$61+'[2]Total P&amp;C'!$BK$65)/1000</f>
        <v>4.2308059399999873</v>
      </c>
      <c r="BO245" s="27">
        <f>(+'[2]Total P&amp;C'!$BK$62+'[2]Total P&amp;C'!$BK$66)/1000</f>
        <v>2.6076699500000089</v>
      </c>
      <c r="BP245" s="27">
        <f>(+'[2]Total P&amp;C'!$BK$63+'[2]Total P&amp;C'!$BK$67)/1000</f>
        <v>0.57553479328851687</v>
      </c>
      <c r="BR245" s="27">
        <f>(+'[3]Total P&amp;C'!$BK$61+'[2]Total P&amp;C'!$BK$65)/1000</f>
        <v>5.470583479999986</v>
      </c>
      <c r="BS245" s="27">
        <f>(+'[3]Total P&amp;C'!$BK$62+'[2]Total P&amp;C'!$BK$66)/1000</f>
        <v>3.8761384600000084</v>
      </c>
      <c r="BT245" s="27">
        <f>(+'[3]Total P&amp;C'!$BK$63+'[2]Total P&amp;C'!$BK$67)/1000</f>
        <v>1.1401570249112141</v>
      </c>
    </row>
    <row r="246" spans="2:72" x14ac:dyDescent="0.25">
      <c r="B246"/>
      <c r="C246"/>
      <c r="D246"/>
      <c r="J246" s="47"/>
      <c r="K246" s="47"/>
      <c r="L246" s="47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L246"/>
      <c r="AM246"/>
      <c r="AN246"/>
      <c r="AT246" s="47"/>
      <c r="AU246" s="47"/>
      <c r="AV246" s="47"/>
      <c r="AW246"/>
      <c r="AX246"/>
      <c r="AY246"/>
      <c r="AZ246"/>
      <c r="BA246"/>
      <c r="BB246"/>
      <c r="BC246"/>
      <c r="BD246"/>
      <c r="BJ246"/>
      <c r="BK246"/>
      <c r="BL246"/>
      <c r="BM246"/>
      <c r="BN246"/>
      <c r="BO246"/>
      <c r="BP246"/>
      <c r="BR246"/>
      <c r="BS246"/>
      <c r="BT246"/>
    </row>
    <row r="247" spans="2:72" ht="16.5" customHeight="1" x14ac:dyDescent="0.25">
      <c r="B247" s="203" t="s">
        <v>48</v>
      </c>
      <c r="C247" s="9"/>
      <c r="D247" s="49" t="s">
        <v>19</v>
      </c>
      <c r="J247" s="23">
        <f>+[1]Retail!$C$65/1000</f>
        <v>3.3283639900000002</v>
      </c>
      <c r="K247" s="23">
        <f>+[1]Retail!$C$66/1000</f>
        <v>4.0606202500000013</v>
      </c>
      <c r="L247" s="23">
        <f>+[1]Retail!$C$67/1000</f>
        <v>0</v>
      </c>
      <c r="M247" s="6"/>
      <c r="N247" s="23">
        <f>+[1]SME!$C$65/1000</f>
        <v>55.109905680000004</v>
      </c>
      <c r="O247" s="23">
        <f>+[1]SME!$C$66/1000</f>
        <v>57.015730559999987</v>
      </c>
      <c r="P247" s="23">
        <f>+[1]SME!$C$67/1000</f>
        <v>54.376759999999997</v>
      </c>
      <c r="Q247" s="6"/>
      <c r="R247" s="23">
        <f>+[1]MidCorp!$C$65/1000</f>
        <v>264.33504819000001</v>
      </c>
      <c r="S247" s="23">
        <f>+[1]MidCorp!$C$66/1000</f>
        <v>260.56084752999999</v>
      </c>
      <c r="T247" s="23">
        <f>+[1]MidCorp!$C$67/1000</f>
        <v>266.34304000000003</v>
      </c>
      <c r="U247" s="6"/>
      <c r="V247" s="23">
        <f>+[1]MGA!$C$65/1000</f>
        <v>40.8148433</v>
      </c>
      <c r="W247" s="23">
        <f>+[1]MGA!$C$66/1000</f>
        <v>35.432980669999992</v>
      </c>
      <c r="X247" s="23">
        <f>+[1]MGA!$C$67/1000</f>
        <v>41.045490000000008</v>
      </c>
      <c r="Y247" s="6"/>
      <c r="Z247" s="23">
        <f>+[1]Bancassurance!$C$65/1000</f>
        <v>0.65832045000000106</v>
      </c>
      <c r="AA247" s="23">
        <f>+[1]Bancassurance!$C$66/1000</f>
        <v>0.22720669999999982</v>
      </c>
      <c r="AB247" s="23">
        <f>+[1]Bancassurance!$C$67/1000</f>
        <v>0.94816000000000011</v>
      </c>
      <c r="AC247" s="6"/>
      <c r="AD247" s="23">
        <f>+[1]Specials!$C$65/1000</f>
        <v>0.22837774000000002</v>
      </c>
      <c r="AE247" s="23">
        <f>+[1]Specials!$C$66/1000</f>
        <v>0.15682135000000003</v>
      </c>
      <c r="AF247" s="23">
        <f>+[1]Specials!$C$67/1000</f>
        <v>0</v>
      </c>
      <c r="AG247" s="6"/>
      <c r="AH247" s="53">
        <f>+'[1]Total P&amp;C'!$C$65/1000</f>
        <v>364.47485934999997</v>
      </c>
      <c r="AI247" s="53">
        <f>+'[1]Total P&amp;C'!$C$66/1000</f>
        <v>357.45420706000004</v>
      </c>
      <c r="AJ247" s="53">
        <f>+'[1]Total P&amp;C'!$C$67/1000</f>
        <v>362.71345000000008</v>
      </c>
      <c r="AL247" s="203" t="s">
        <v>48</v>
      </c>
      <c r="AM247" s="9"/>
      <c r="AN247" s="49" t="s">
        <v>19</v>
      </c>
      <c r="AT247" s="23"/>
      <c r="AU247" s="23"/>
      <c r="AV247" s="23"/>
      <c r="AW247" s="6"/>
      <c r="AX247" s="23"/>
      <c r="AY247" s="23"/>
      <c r="AZ247" s="23"/>
      <c r="BA247" s="6"/>
      <c r="BB247" s="23"/>
      <c r="BC247" s="23"/>
      <c r="BD247" s="23"/>
      <c r="BJ247" s="23"/>
      <c r="BK247" s="23"/>
      <c r="BL247" s="23"/>
      <c r="BM247" s="6"/>
      <c r="BN247" s="53"/>
      <c r="BO247" s="53"/>
      <c r="BP247" s="53"/>
      <c r="BR247" s="53">
        <f>+'[1]Total P&amp;C'!$C$65/1000</f>
        <v>364.47485934999997</v>
      </c>
      <c r="BS247" s="53">
        <f>+'[1]Total P&amp;C'!$C$66/1000</f>
        <v>357.45420706000004</v>
      </c>
      <c r="BT247" s="53">
        <f>+'[1]Total P&amp;C'!$C$67/1000</f>
        <v>362.71345000000008</v>
      </c>
    </row>
    <row r="248" spans="2:72" ht="16.5" customHeight="1" x14ac:dyDescent="0.25">
      <c r="B248" s="203"/>
      <c r="C248" s="9"/>
      <c r="D248" s="49" t="s">
        <v>20</v>
      </c>
      <c r="J248" s="23">
        <f>+[1]Retail!$N$65/1000</f>
        <v>3.3193088799999999</v>
      </c>
      <c r="K248" s="23">
        <f>+[1]Retail!$N$66/1000</f>
        <v>4.0643585899999968</v>
      </c>
      <c r="L248" s="23">
        <f>+[1]Retail!$N$67/1000</f>
        <v>0</v>
      </c>
      <c r="M248" s="6"/>
      <c r="N248" s="23">
        <f>+[1]SME!$N$65/1000</f>
        <v>29.850909369999997</v>
      </c>
      <c r="O248" s="23">
        <f>+[1]SME!$N$66/1000</f>
        <v>31.852924489999992</v>
      </c>
      <c r="P248" s="23">
        <f>+[1]SME!$N$67/1000</f>
        <v>30.74332840083893</v>
      </c>
      <c r="Q248" s="6"/>
      <c r="R248" s="23">
        <f>+[1]MidCorp!$N$65/1000</f>
        <v>145.68736048</v>
      </c>
      <c r="S248" s="23">
        <f>+[1]MidCorp!$N$66/1000</f>
        <v>138.10891672999998</v>
      </c>
      <c r="T248" s="23">
        <f>+[1]MidCorp!$N$67/1000</f>
        <v>156.97160088096001</v>
      </c>
      <c r="U248" s="6"/>
      <c r="V248" s="23">
        <f>+[1]MGA!$N$65/1000</f>
        <v>33.706112110000007</v>
      </c>
      <c r="W248" s="23">
        <f>+[1]MGA!$N$66/1000</f>
        <v>29.653000869999996</v>
      </c>
      <c r="X248" s="23">
        <f>+[1]MGA!$N$67/1000</f>
        <v>37.836809452275276</v>
      </c>
      <c r="Y248" s="6"/>
      <c r="Z248" s="23">
        <f>+[1]Bancassurance!$N$65/1000</f>
        <v>0.45416076999999949</v>
      </c>
      <c r="AA248" s="23">
        <f>+[1]Bancassurance!$N$66/1000</f>
        <v>0.15421565999999981</v>
      </c>
      <c r="AB248" s="23">
        <f>+[1]Bancassurance!$N$67/1000</f>
        <v>1.0513133004794781</v>
      </c>
      <c r="AC248" s="6"/>
      <c r="AD248" s="23">
        <f>+[1]Specials!$N$65/1000</f>
        <v>9.5219389999999987E-2</v>
      </c>
      <c r="AE248" s="23">
        <f>+[1]Specials!$N$66/1000</f>
        <v>3.6744110000000003E-2</v>
      </c>
      <c r="AF248" s="23">
        <f>+[1]Specials!$N$67/1000</f>
        <v>0</v>
      </c>
      <c r="AG248" s="6"/>
      <c r="AH248" s="53">
        <f>+'[1]Total P&amp;C'!$N$65/1000</f>
        <v>213.11307100000002</v>
      </c>
      <c r="AI248" s="53">
        <f>+'[1]Total P&amp;C'!$N$66/1000</f>
        <v>203.87016044999996</v>
      </c>
      <c r="AJ248" s="53">
        <f>+'[1]Total P&amp;C'!$N$67/1000</f>
        <v>226.60305203455366</v>
      </c>
      <c r="AL248" s="203"/>
      <c r="AM248" s="9"/>
      <c r="AN248" s="49" t="s">
        <v>20</v>
      </c>
      <c r="AT248" s="23"/>
      <c r="AU248" s="23"/>
      <c r="AV248" s="23"/>
      <c r="AW248" s="6"/>
      <c r="AX248" s="23"/>
      <c r="AY248" s="23"/>
      <c r="AZ248" s="23"/>
      <c r="BA248" s="6"/>
      <c r="BB248" s="23"/>
      <c r="BC248" s="23"/>
      <c r="BD248" s="23"/>
      <c r="BJ248" s="23"/>
      <c r="BK248" s="23"/>
      <c r="BL248" s="23"/>
      <c r="BM248" s="6"/>
      <c r="BN248" s="53"/>
      <c r="BO248" s="53"/>
      <c r="BP248" s="53"/>
      <c r="BR248" s="53">
        <f>+'[1]Total P&amp;C'!$N$65/1000</f>
        <v>213.11307100000002</v>
      </c>
      <c r="BS248" s="53">
        <f>+'[1]Total P&amp;C'!$N$66/1000</f>
        <v>203.87016044999996</v>
      </c>
      <c r="BT248" s="53">
        <f>+'[1]Total P&amp;C'!$N$67/1000</f>
        <v>226.60305203455366</v>
      </c>
    </row>
    <row r="249" spans="2:72" ht="16.5" customHeight="1" x14ac:dyDescent="0.25">
      <c r="B249" s="203"/>
      <c r="C249" s="9"/>
      <c r="D249" s="49" t="s">
        <v>21</v>
      </c>
      <c r="J249" s="24">
        <f>+J250+J255+J256+J257+J258</f>
        <v>0.99863321547827777</v>
      </c>
      <c r="K249" s="24">
        <f>+K250+K255+K256+K257+K258</f>
        <v>0.84374848676922687</v>
      </c>
      <c r="L249" s="24" t="e">
        <f>+L250+L255+L256+L257+L258</f>
        <v>#DIV/0!</v>
      </c>
      <c r="M249" s="6"/>
      <c r="N249" s="24">
        <f>+N250+N255+N256+N257+N258</f>
        <v>0.97749407926998777</v>
      </c>
      <c r="O249" s="24">
        <f>+O250+O255+O256+O257+O258</f>
        <v>0.83419367971508995</v>
      </c>
      <c r="P249" s="24">
        <f>+P250+P255+P256+P257+P258</f>
        <v>0.92035398185180495</v>
      </c>
      <c r="Q249" s="6"/>
      <c r="R249" s="24">
        <f>+R250+R255+R256+R257+R258</f>
        <v>0.88108952984718103</v>
      </c>
      <c r="S249" s="24">
        <f>+S250+S255+S256+S257+S258</f>
        <v>0.91616590844286216</v>
      </c>
      <c r="T249" s="24">
        <f>+T250+T255+T256+T257+T258</f>
        <v>0.9109752017275019</v>
      </c>
      <c r="U249" s="6"/>
      <c r="V249" s="24">
        <f>+V250+V255+V256+V257+V258</f>
        <v>0.94656776776501317</v>
      </c>
      <c r="W249" s="24">
        <f>+W250+W255+W256+W257+W258</f>
        <v>0.91503648952612737</v>
      </c>
      <c r="X249" s="24">
        <f>+X250+X255+X256+X257+X258</f>
        <v>0.95405663603488622</v>
      </c>
      <c r="Y249" s="6"/>
      <c r="Z249" s="24">
        <f>+Z250+Z255+Z256+Z257+Z258</f>
        <v>1.7583184694706258</v>
      </c>
      <c r="AA249" s="24">
        <f>+AA250+AA255+AA256+AA257+AA258</f>
        <v>6.9327055371678936</v>
      </c>
      <c r="AB249" s="24">
        <f>+AB250+AB255+AB256+AB257+AB258</f>
        <v>1.0695081650076332</v>
      </c>
      <c r="AC249" s="6"/>
      <c r="AD249" s="24">
        <f>+AD250+AD255+AD256+AD257+AD258</f>
        <v>-5.7557766333096652</v>
      </c>
      <c r="AE249" s="24">
        <f>+AE250+AE255+AE256+AE257+AE258</f>
        <v>-14.244367056379859</v>
      </c>
      <c r="AF249" s="24" t="e">
        <f>+AF250+AF255+AF256+AF257+AF258</f>
        <v>#DIV/0!</v>
      </c>
      <c r="AG249" s="6"/>
      <c r="AH249" s="54">
        <f>+AH250+AH255+AH256+AH257+AH258</f>
        <v>0.90568393268566783</v>
      </c>
      <c r="AI249" s="54">
        <f>+AI250+AI255+AI256+AI257+AI258</f>
        <v>0.90356920524020734</v>
      </c>
      <c r="AJ249" s="54">
        <f>+AJ250+AJ255+AJ256+AJ257+AJ258</f>
        <v>0.92083563232972421</v>
      </c>
      <c r="AL249" s="203"/>
      <c r="AM249" s="9"/>
      <c r="AN249" s="49" t="s">
        <v>21</v>
      </c>
      <c r="AT249" s="24"/>
      <c r="AU249" s="24"/>
      <c r="AV249" s="24"/>
      <c r="AW249" s="6"/>
      <c r="AX249" s="24"/>
      <c r="AY249" s="24"/>
      <c r="AZ249" s="24"/>
      <c r="BA249" s="6"/>
      <c r="BB249" s="24"/>
      <c r="BC249" s="24"/>
      <c r="BD249" s="24"/>
      <c r="BJ249" s="24"/>
      <c r="BK249" s="24"/>
      <c r="BL249" s="24"/>
      <c r="BM249" s="6"/>
      <c r="BN249" s="54"/>
      <c r="BO249" s="54"/>
      <c r="BP249" s="54"/>
      <c r="BR249" s="54">
        <f>+BR250+BR255+BR256+BR257+BR258</f>
        <v>0.90568393268566783</v>
      </c>
      <c r="BS249" s="54">
        <f>+BS250+BS255+BS256+BS257+BS258</f>
        <v>0.90356920524020734</v>
      </c>
      <c r="BT249" s="54">
        <f>+BT250+BT255+BT256+BT257+BT258</f>
        <v>0.92083563232972421</v>
      </c>
    </row>
    <row r="250" spans="2:72" ht="16.5" customHeight="1" x14ac:dyDescent="0.25">
      <c r="B250" s="203"/>
      <c r="C250" s="9"/>
      <c r="D250" s="49" t="s">
        <v>22</v>
      </c>
      <c r="J250" s="24">
        <f>+J251+J252+J253+J254</f>
        <v>0.13455804390219989</v>
      </c>
      <c r="K250" s="24">
        <f>+K251+K252+K253+K254</f>
        <v>1.1083865929260945</v>
      </c>
      <c r="L250" s="24" t="e">
        <f>+L251+L252+L253+L254</f>
        <v>#DIV/0!</v>
      </c>
      <c r="M250" s="6"/>
      <c r="N250" s="24">
        <f>+N251+N252+N253+N254</f>
        <v>0.60401147738970873</v>
      </c>
      <c r="O250" s="24">
        <f>+O251+O252+O253+O254</f>
        <v>0.56999947762096381</v>
      </c>
      <c r="P250" s="24">
        <f>+P251+P252+P253+P254</f>
        <v>0.61135470352413779</v>
      </c>
      <c r="Q250" s="6"/>
      <c r="R250" s="24">
        <f>+R251+R252+R253+R254</f>
        <v>0.69957069284669626</v>
      </c>
      <c r="S250" s="24">
        <f>+S251+S252+S253+S254</f>
        <v>0.70372088914436037</v>
      </c>
      <c r="T250" s="24">
        <f>+T251+T252+T253+T254</f>
        <v>0.70796008848910374</v>
      </c>
      <c r="U250" s="6"/>
      <c r="V250" s="24">
        <f>+V251+V252+V253+V254</f>
        <v>0.7247633280953919</v>
      </c>
      <c r="W250" s="24">
        <f>+W251+W252+W253+W254</f>
        <v>0.68917138166191927</v>
      </c>
      <c r="X250" s="24">
        <f>+X251+X252+X253+X254</f>
        <v>0.66537614146889024</v>
      </c>
      <c r="Y250" s="6"/>
      <c r="Z250" s="24">
        <f>+Z251+Z252+Z253+Z254</f>
        <v>0.8620293866420925</v>
      </c>
      <c r="AA250" s="24">
        <f>+AA251+AA252+AA253+AA254</f>
        <v>1.9702102237866139</v>
      </c>
      <c r="AB250" s="24">
        <f>+AB251+AB252+AB253+AB254</f>
        <v>0.49976271167668496</v>
      </c>
      <c r="AC250" s="6"/>
      <c r="AD250" s="24">
        <f>+AD251+AD252+AD253+AD254</f>
        <v>-4.3238103079635355</v>
      </c>
      <c r="AE250" s="24">
        <f>+AE251+AE252+AE253+AE254</f>
        <v>-10.635705423263754</v>
      </c>
      <c r="AF250" s="24" t="e">
        <f>+AF251+AF252+AF253+AF254</f>
        <v>#DIV/0!</v>
      </c>
      <c r="AG250" s="6"/>
      <c r="AH250" s="54">
        <f>+AH251+AH252+AH253+AH254</f>
        <v>0.67947161546932977</v>
      </c>
      <c r="AI250" s="54">
        <f>+AI251+AI252+AI253+AI254</f>
        <v>0.6876935672220883</v>
      </c>
      <c r="AJ250" s="54">
        <f>+AJ251+AJ252+AJ253+AJ254</f>
        <v>0.68764391241506362</v>
      </c>
      <c r="AL250" s="203"/>
      <c r="AM250" s="9"/>
      <c r="AN250" s="49" t="s">
        <v>22</v>
      </c>
      <c r="AT250" s="24"/>
      <c r="AU250" s="24"/>
      <c r="AV250" s="24"/>
      <c r="AW250" s="6"/>
      <c r="AX250" s="24"/>
      <c r="AY250" s="24"/>
      <c r="AZ250" s="24"/>
      <c r="BA250" s="6"/>
      <c r="BB250" s="24"/>
      <c r="BC250" s="24"/>
      <c r="BD250" s="24"/>
      <c r="BJ250" s="24"/>
      <c r="BK250" s="24"/>
      <c r="BL250" s="24"/>
      <c r="BM250" s="6"/>
      <c r="BN250" s="54"/>
      <c r="BO250" s="54"/>
      <c r="BP250" s="54"/>
      <c r="BR250" s="54">
        <f>+BR251+BR252+BR253+BR254</f>
        <v>0.67947161546932977</v>
      </c>
      <c r="BS250" s="54">
        <f>+BS251+BS252+BS253+BS254</f>
        <v>0.6876935672220883</v>
      </c>
      <c r="BT250" s="54">
        <f>+BT251+BT252+BT253+BT254</f>
        <v>0.68764391241506362</v>
      </c>
    </row>
    <row r="251" spans="2:72" ht="16.5" customHeight="1" x14ac:dyDescent="0.25">
      <c r="B251" s="203"/>
      <c r="C251" s="9"/>
      <c r="D251" s="48" t="s">
        <v>23</v>
      </c>
      <c r="J251" s="24">
        <f>-SUM([1]Retail!$O$65,[1]Retail!$R$65:$V$65,[1]Retail!$Y$65,[1]Retail!$AB$65,[1]Retail!$AU$65,[1]Retail!$AX$65,[1]Retail!$BA$65,[1]Retail!$BD$65)/1000/J248</f>
        <v>6.4922047869193811E-2</v>
      </c>
      <c r="K251" s="51">
        <f>-SUM([1]Retail!$O$66,[1]Retail!$R$66:$V$66,[1]Retail!$Y$66,[1]Retail!$AB$66,[1]Retail!$AU$66,[1]Retail!$AX$66,[1]Retail!$BA$66,[1]Retail!$BD$66)/1000/K248</f>
        <v>0.59736523282965004</v>
      </c>
      <c r="L251" s="51" t="e">
        <f>-SUM([1]Retail!$O$67,[1]Retail!$R$67:$V$67,[1]Retail!$Y$67,[1]Retail!$AB$67,[1]Retail!$AU$67,[1]Retail!$AX$67,[1]Retail!$BA$67,[1]Retail!$BD$67)/1000/L248</f>
        <v>#DIV/0!</v>
      </c>
      <c r="M251" s="6"/>
      <c r="N251" s="24">
        <f>-SUM([1]SME!$O$65,[1]SME!$R$65:$V$65,[1]SME!$Y$65,[1]SME!$AB$65,[1]SME!$AU$65,[1]SME!$AX$65,[1]SME!$BA$65,[1]SME!$BD$65)/1000/N248</f>
        <v>0.45588417317379376</v>
      </c>
      <c r="O251" s="24">
        <f>-SUM([1]SME!$O$66,[1]SME!$R$66:$V$66,[1]SME!$Y$66,[1]SME!$AB$66,[1]SME!$AU$66,[1]SME!$AX$66,[1]SME!$BA$66,[1]SME!$BD$66)/1000/O248</f>
        <v>0.40889873693265483</v>
      </c>
      <c r="P251" s="24">
        <f>-SUM([1]SME!$O$67,[1]SME!$R$67:$V$67,[1]SME!$Y$67,[1]SME!$AB$67,[1]SME!$AU$67,[1]SME!$AX$67,[1]SME!$BA$67,[1]SME!$BD$67)/1000/P248</f>
        <v>0.41637069832813889</v>
      </c>
      <c r="Q251" s="6"/>
      <c r="R251" s="24">
        <f>-SUM([1]MidCorp!$O$65,[1]MidCorp!$R$65:$V$65,[1]MidCorp!$Y$65,[1]MidCorp!$AB$65,[1]MidCorp!$AU$65,[1]MidCorp!$AX$65,[1]MidCorp!$BA$65,[1]MidCorp!$BD$65)/1000/R248</f>
        <v>0.50600987087830829</v>
      </c>
      <c r="S251" s="24">
        <f>-SUM([1]MidCorp!$O$66,[1]MidCorp!$R$66:$V$66,[1]MidCorp!$Y$66,[1]MidCorp!$AB$66,[1]MidCorp!$AU$66,[1]MidCorp!$AX$66,[1]MidCorp!$BA$66,[1]MidCorp!$BD$66)/1000/S248</f>
        <v>0.49362555119178897</v>
      </c>
      <c r="T251" s="24">
        <f>-SUM([1]MidCorp!$O$67,[1]MidCorp!$R$67:$V$67,[1]MidCorp!$Y$67,[1]MidCorp!$AB$67,[1]MidCorp!$AU$67,[1]MidCorp!$AX$67,[1]MidCorp!$BA$67,[1]MidCorp!$BD$67)/1000/T248</f>
        <v>0.46238562231296482</v>
      </c>
      <c r="U251" s="6"/>
      <c r="V251" s="24">
        <f>-SUM([1]MGA!$O$65,[1]MGA!$R$65:$V$65,[1]MGA!$Y$65,[1]MGA!$AB$65,[1]MGA!$AU$65,[1]MGA!$AX$65,[1]MGA!$BA$65,[1]MGA!$BD$65)/1000/V248</f>
        <v>0.62705800108978826</v>
      </c>
      <c r="W251" s="24">
        <f>-SUM([1]MGA!$O$66,[1]MGA!$R$66:$V$66,[1]MGA!$Y$66,[1]MGA!$AB$66,[1]MGA!$AU$66,[1]MGA!$AX$66,[1]MGA!$BA$66,[1]MGA!$BD$66)/1000/W248</f>
        <v>0.58153966405831858</v>
      </c>
      <c r="X251" s="24">
        <f>-SUM([1]MGA!$O$67,[1]MGA!$R$67:$V$67,[1]MGA!$Y$67,[1]MGA!$AB$67,[1]MGA!$AU$67,[1]MGA!$AX$67,[1]MGA!$BA$67,[1]MGA!$BD$67)/1000/X248</f>
        <v>0.53744653447071478</v>
      </c>
      <c r="Y251" s="6"/>
      <c r="Z251" s="24">
        <f>-SUM([1]Bancassurance!$O$65,[1]Bancassurance!$R$65:$V$65,[1]Bancassurance!$Y$65,[1]Bancassurance!$AB$65,[1]Bancassurance!$AU$65,[1]Bancassurance!$AX$65,[1]Bancassurance!$BA$65,[1]Bancassurance!$BD$65)/1000/Z248</f>
        <v>0.78810184331861244</v>
      </c>
      <c r="AA251" s="24">
        <f>-SUM([1]Bancassurance!$O$66,[1]Bancassurance!$R$66:$V$66,[1]Bancassurance!$Y$66,[1]Bancassurance!$AB$66,[1]Bancassurance!$AU$66,[1]Bancassurance!$AX$66,[1]Bancassurance!$BA$66,[1]Bancassurance!$BD$66)/1000/AA248</f>
        <v>1.7083203482707288</v>
      </c>
      <c r="AB251" s="24">
        <f>-SUM([1]Bancassurance!$O$67,[1]Bancassurance!$R$67:$V$67,[1]Bancassurance!$Y$67,[1]Bancassurance!$AB$67,[1]Bancassurance!$AU$67,[1]Bancassurance!$AX$67,[1]Bancassurance!$BA$67,[1]Bancassurance!$BD$67)/1000/AB248</f>
        <v>0.36178617337367458</v>
      </c>
      <c r="AC251" s="6"/>
      <c r="AD251" s="24">
        <f>-SUM([1]Specials!$O$65,[1]Specials!$R$65:$V$65,[1]Specials!$Y$65,[1]Specials!$AB$65,[1]Specials!$AU$65,[1]Specials!$AX$65,[1]Specials!$BA$65,[1]Specials!$BD$65)/1000/AD248</f>
        <v>1.0617060243717164E-2</v>
      </c>
      <c r="AE251" s="24">
        <f>-SUM([1]Specials!$O$66,[1]Specials!$R$66:$V$66,[1]Specials!$Y$66,[1]Specials!$AB$66,[1]Specials!$AU$66,[1]Specials!$AX$66,[1]Specials!$BA$66,[1]Specials!$BD$66)/1000/AE248</f>
        <v>0.53663784481376753</v>
      </c>
      <c r="AF251" s="24" t="e">
        <f>-SUM([1]Specials!$O$67,[1]Specials!$R$67:$V$67,[1]Specials!$Y$67,[1]Specials!$AB$67,[1]Specials!$AU$67,[1]Specials!$AX$67,[1]Specials!$BA$67,[1]Specials!$BD$67)/1000/AF248</f>
        <v>#DIV/0!</v>
      </c>
      <c r="AG251" s="6"/>
      <c r="AH251" s="54">
        <f>-SUM('[1]Total P&amp;C'!$O$65,'[1]Total P&amp;C'!$R$65:$V$65,'[1]Total P&amp;C'!$Y$65,'[1]Total P&amp;C'!$AB$65,'[1]Total P&amp;C'!$AU$65,'[1]Total P&amp;C'!$AX$65,'[1]Total P&amp;C'!$BA$65,'[1]Total P&amp;C'!$BD$65)/1000/AH248</f>
        <v>0.51164350733756514</v>
      </c>
      <c r="AI251" s="54">
        <f>-SUM('[1]Total P&amp;C'!$O$66,'[1]Total P&amp;C'!$R$66:$V$66,'[1]Total P&amp;C'!$Y$66,'[1]Total P&amp;C'!$AB$66,'[1]Total P&amp;C'!$AU$66,'[1]Total P&amp;C'!$AX$66,'[1]Total P&amp;C'!$BA$66,'[1]Total P&amp;C'!$BD$66)/1000/AI248</f>
        <v>0.49616962690038791</v>
      </c>
      <c r="AJ251" s="54">
        <f>-SUM('[1]Total P&amp;C'!$O$67,'[1]Total P&amp;C'!$R$67:$V$67,'[1]Total P&amp;C'!$Y$67,'[1]Total P&amp;C'!$AB$67,'[1]Total P&amp;C'!$AU$67,'[1]Total P&amp;C'!$AX$67,'[1]Total P&amp;C'!$BA$67,'[1]Total P&amp;C'!$BD$67)/1000/AJ248</f>
        <v>0.46907589806448302</v>
      </c>
      <c r="AL251" s="203"/>
      <c r="AM251" s="9"/>
      <c r="AN251" s="48" t="s">
        <v>23</v>
      </c>
      <c r="AT251" s="51"/>
      <c r="AU251" s="51"/>
      <c r="AV251" s="51"/>
      <c r="AW251" s="6"/>
      <c r="AX251" s="51"/>
      <c r="AY251" s="51"/>
      <c r="AZ251" s="51"/>
      <c r="BA251" s="6"/>
      <c r="BB251" s="51"/>
      <c r="BC251" s="51"/>
      <c r="BD251" s="51"/>
      <c r="BJ251" s="51"/>
      <c r="BK251" s="51"/>
      <c r="BL251" s="51"/>
      <c r="BM251" s="6"/>
      <c r="BN251" s="54"/>
      <c r="BO251" s="54"/>
      <c r="BP251" s="54"/>
      <c r="BR251" s="54">
        <f>-SUM('[1]Total P&amp;C'!$O$65,'[1]Total P&amp;C'!$R$65:$V$65,'[1]Total P&amp;C'!$Y$65,'[1]Total P&amp;C'!$AB$65,'[1]Total P&amp;C'!$AU$65,'[1]Total P&amp;C'!$AX$65,'[1]Total P&amp;C'!$BA$65,'[1]Total P&amp;C'!$BD$65)/1000/BR248</f>
        <v>0.51164350733756514</v>
      </c>
      <c r="BS251" s="54">
        <f>-SUM('[1]Total P&amp;C'!$O$66,'[1]Total P&amp;C'!$R$66:$V$66,'[1]Total P&amp;C'!$Y$66,'[1]Total P&amp;C'!$AB$66,'[1]Total P&amp;C'!$AU$66,'[1]Total P&amp;C'!$AX$66,'[1]Total P&amp;C'!$BA$66,'[1]Total P&amp;C'!$BD$66)/1000/BS248</f>
        <v>0.49616962690038791</v>
      </c>
      <c r="BT251" s="54">
        <f>-SUM('[1]Total P&amp;C'!$O$67,'[1]Total P&amp;C'!$R$67:$V$67,'[1]Total P&amp;C'!$Y$67,'[1]Total P&amp;C'!$AB$67,'[1]Total P&amp;C'!$AU$67,'[1]Total P&amp;C'!$AX$67,'[1]Total P&amp;C'!$BA$67,'[1]Total P&amp;C'!$BD$67)/1000/BT248</f>
        <v>0.46907589806448302</v>
      </c>
    </row>
    <row r="252" spans="2:72" ht="16.5" customHeight="1" x14ac:dyDescent="0.25">
      <c r="B252" s="203"/>
      <c r="C252" s="9"/>
      <c r="D252" s="48" t="s">
        <v>24</v>
      </c>
      <c r="J252" s="24">
        <f>-([1]Retail!$P$65+[1]Retail!$W$65+[1]Retail!$AV$65+[1]Retail!$AY$65)/1000/J248</f>
        <v>0</v>
      </c>
      <c r="K252" s="51">
        <f>-([1]Retail!$P$66+[1]Retail!$W$66+[1]Retail!$AV$66+[1]Retail!$AY$66)/1000/K248</f>
        <v>0</v>
      </c>
      <c r="L252" s="51" t="e">
        <f>-([1]Retail!$P$67+[1]Retail!$W$67+[1]Retail!$AV$67+[1]Retail!$AY$67)/1000/L248</f>
        <v>#DIV/0!</v>
      </c>
      <c r="M252" s="7"/>
      <c r="N252" s="24">
        <f>-([1]SME!$P$65+[1]SME!$W$65+[1]SME!$AV$65+[1]SME!$AY$65)/1000/N248</f>
        <v>6.0266170711971186E-5</v>
      </c>
      <c r="O252" s="24">
        <f>-([1]SME!$P$66+[1]SME!$W$66+[1]SME!$AV$66+[1]SME!$AY$66)/1000/O248</f>
        <v>0</v>
      </c>
      <c r="P252" s="24">
        <f>-([1]SME!$P$67+[1]SME!$W$67+[1]SME!$AV$67+[1]SME!$AY$67)/1000/P248</f>
        <v>2.7252996175899283E-2</v>
      </c>
      <c r="Q252" s="7"/>
      <c r="R252" s="24">
        <f>-([1]MidCorp!$P$65+[1]MidCorp!$W$65+[1]MidCorp!$AV$65+[1]MidCorp!$AY$65)/1000/R248</f>
        <v>4.0870006707393125E-3</v>
      </c>
      <c r="S252" s="24">
        <f>-([1]MidCorp!$P$66+[1]MidCorp!$W$66+[1]MidCorp!$AV$66+[1]MidCorp!$AY$66)/1000/S248</f>
        <v>0</v>
      </c>
      <c r="T252" s="24">
        <f>-([1]MidCorp!$P$67+[1]MidCorp!$W$67+[1]MidCorp!$AV$67+[1]MidCorp!$AY$67)/1000/T248</f>
        <v>2.5728971370996678E-2</v>
      </c>
      <c r="U252" s="7"/>
      <c r="V252" s="24">
        <f>-([1]MGA!$P$65+[1]MGA!$W$65+[1]MGA!$AV$65+[1]MGA!$AY$65)/1000/V248</f>
        <v>2.3177517402495811E-4</v>
      </c>
      <c r="W252" s="24">
        <f>-([1]MGA!$P$66+[1]MGA!$W$66+[1]MGA!$AV$66+[1]MGA!$AY$66)/1000/W248</f>
        <v>0</v>
      </c>
      <c r="X252" s="24">
        <f>-([1]MGA!$P$67+[1]MGA!$W$67+[1]MGA!$AV$67+[1]MGA!$AY$67)/1000/X248</f>
        <v>2.4086628904666795E-2</v>
      </c>
      <c r="Y252" s="7"/>
      <c r="Z252" s="24">
        <f>-([1]Bancassurance!$P$65+[1]Bancassurance!$W$65+[1]Bancassurance!$AV$65+[1]Bancassurance!$AY$65)/1000/Z248</f>
        <v>0</v>
      </c>
      <c r="AA252" s="24">
        <f>-([1]Bancassurance!$P$66+[1]Bancassurance!$W$66+[1]Bancassurance!$AV$66+[1]Bancassurance!$AY$66)/1000/AA248</f>
        <v>0</v>
      </c>
      <c r="AB252" s="24">
        <f>-([1]Bancassurance!$P$67+[1]Bancassurance!$W$67+[1]Bancassurance!$AV$67+[1]Bancassurance!$AY$67)/1000/AB248</f>
        <v>5.1830121150913677E-2</v>
      </c>
      <c r="AC252" s="7"/>
      <c r="AD252" s="24">
        <f>-([1]Specials!$P$65+[1]Specials!$W$65+[1]Specials!$AV$65+[1]Specials!$AY$65)/1000/AD248</f>
        <v>0</v>
      </c>
      <c r="AE252" s="24">
        <f>-([1]Specials!$P$66+[1]Specials!$W$66+[1]Specials!$AV$66+[1]Specials!$AY$66)/1000/AE248</f>
        <v>0</v>
      </c>
      <c r="AF252" s="24" t="e">
        <f>-([1]Specials!$P$67+[1]Specials!$W$67+[1]Specials!$AV$67+[1]Specials!$AY$67)/1000/AF248</f>
        <v>#DIV/0!</v>
      </c>
      <c r="AG252" s="7"/>
      <c r="AH252" s="54">
        <f>-('[1]Total P&amp;C'!$P$65+'[1]Total P&amp;C'!$W$65+'[1]Total P&amp;C'!$AV$65+'[1]Total P&amp;C'!$AY$65)/1000/AH248</f>
        <v>2.8390355277645076E-3</v>
      </c>
      <c r="AI252" s="54">
        <f>-('[1]Total P&amp;C'!$P$66+'[1]Total P&amp;C'!$W$66+'[1]Total P&amp;C'!$AV$66+'[1]Total P&amp;C'!$AY$66)/1000/AI248</f>
        <v>0</v>
      </c>
      <c r="AJ252" s="54">
        <f>-('[1]Total P&amp;C'!$P$67+'[1]Total P&amp;C'!$W$67+'[1]Total P&amp;C'!$AV$67+'[1]Total P&amp;C'!$AY$67)/1000/AJ248</f>
        <v>2.5782602961244728E-2</v>
      </c>
      <c r="AL252" s="203"/>
      <c r="AM252" s="9"/>
      <c r="AN252" s="48" t="s">
        <v>24</v>
      </c>
      <c r="AT252" s="51"/>
      <c r="AU252" s="51"/>
      <c r="AV252" s="51"/>
      <c r="AW252" s="7"/>
      <c r="AX252" s="51"/>
      <c r="AY252" s="51"/>
      <c r="AZ252" s="51"/>
      <c r="BA252" s="7"/>
      <c r="BB252" s="51"/>
      <c r="BC252" s="51"/>
      <c r="BD252" s="51"/>
      <c r="BJ252" s="51"/>
      <c r="BK252" s="51"/>
      <c r="BL252" s="51"/>
      <c r="BM252" s="7"/>
      <c r="BN252" s="54"/>
      <c r="BO252" s="54"/>
      <c r="BP252" s="54"/>
      <c r="BR252" s="54">
        <f>-('[1]Total P&amp;C'!$P$65+'[1]Total P&amp;C'!$W$65+'[1]Total P&amp;C'!$AV$65+'[1]Total P&amp;C'!$AY$65)/1000/BR248</f>
        <v>2.8390355277645076E-3</v>
      </c>
      <c r="BS252" s="54">
        <f>-('[1]Total P&amp;C'!$P$66+'[1]Total P&amp;C'!$W$66+'[1]Total P&amp;C'!$AV$66+'[1]Total P&amp;C'!$AY$66)/1000/BS248</f>
        <v>0</v>
      </c>
      <c r="BT252" s="54">
        <f>-('[1]Total P&amp;C'!$P$67+'[1]Total P&amp;C'!$W$67+'[1]Total P&amp;C'!$AV$67+'[1]Total P&amp;C'!$AY$67)/1000/BT248</f>
        <v>2.5782602961244728E-2</v>
      </c>
    </row>
    <row r="253" spans="2:72" ht="16.5" customHeight="1" x14ac:dyDescent="0.25">
      <c r="B253" s="203"/>
      <c r="C253" s="9"/>
      <c r="D253" s="48" t="s">
        <v>25</v>
      </c>
      <c r="J253" s="24">
        <f>-([1]Retail!$Q$65+[1]Retail!$X$65+[1]Retail!$AW$65+[1]Retail!$AZ$65)/1000/J248</f>
        <v>0</v>
      </c>
      <c r="K253" s="51">
        <f>-([1]Retail!$Q$66+[1]Retail!$X$66+[1]Retail!$AW$66+[1]Retail!$AZ$66)/1000/K248</f>
        <v>0.33882912988281993</v>
      </c>
      <c r="L253" s="51" t="e">
        <f>-([1]Retail!$Q$67+[1]Retail!$X$67+[1]Retail!$AW$67+[1]Retail!$AZ$67)/1000/L248</f>
        <v>#DIV/0!</v>
      </c>
      <c r="M253" s="7"/>
      <c r="N253" s="24">
        <f>-([1]SME!$Q$65+[1]SME!$X$65+[1]SME!$AW$65+[1]SME!$AZ$65)/1000/N248</f>
        <v>7.2459907554625252E-2</v>
      </c>
      <c r="O253" s="24">
        <f>-([1]SME!$Q$66+[1]SME!$X$66+[1]SME!$AW$66+[1]SME!$AZ$66)/1000/O248</f>
        <v>8.8681591522768763E-2</v>
      </c>
      <c r="P253" s="24">
        <f>-([1]SME!$Q$67+[1]SME!$X$67+[1]SME!$AW$67+[1]SME!$AZ$67)/1000/P248</f>
        <v>0.1027354010987795</v>
      </c>
      <c r="Q253" s="7"/>
      <c r="R253" s="24">
        <f>-([1]MidCorp!$Q$65+[1]MidCorp!$X$65+[1]MidCorp!$AW$65+[1]MidCorp!$AZ$65)/1000/R248</f>
        <v>0.14469398385323565</v>
      </c>
      <c r="S253" s="24">
        <f>-([1]MidCorp!$Q$66+[1]MidCorp!$X$66+[1]MidCorp!$AW$66+[1]MidCorp!$AZ$66)/1000/S248</f>
        <v>0.13836813941573575</v>
      </c>
      <c r="T253" s="24">
        <f>-([1]MidCorp!$Q$67+[1]MidCorp!$X$67+[1]MidCorp!$AW$67+[1]MidCorp!$AZ$67)/1000/T248</f>
        <v>0.14074175800871047</v>
      </c>
      <c r="U253" s="7"/>
      <c r="V253" s="24">
        <f>-([1]MGA!$Q$65+[1]MGA!$X$65+[1]MGA!$AW$65+[1]MGA!$AZ$65)/1000/V248</f>
        <v>7.0849552686516826E-2</v>
      </c>
      <c r="W253" s="24">
        <f>-([1]MGA!$Q$66+[1]MGA!$X$66+[1]MGA!$AW$66+[1]MGA!$AZ$66)/1000/W248</f>
        <v>7.7552637448769834E-2</v>
      </c>
      <c r="X253" s="24">
        <f>-([1]MGA!$Q$67+[1]MGA!$X$67+[1]MGA!$AW$67+[1]MGA!$AZ$67)/1000/X248</f>
        <v>6.959950950104464E-2</v>
      </c>
      <c r="Y253" s="7"/>
      <c r="Z253" s="24">
        <f>-([1]Bancassurance!$Q$65+[1]Bancassurance!$X$65+[1]Bancassurance!$AW$65+[1]Bancassurance!$AZ$65)/1000/Z248</f>
        <v>0</v>
      </c>
      <c r="AA253" s="24">
        <f>-([1]Bancassurance!$Q$66+[1]Bancassurance!$X$66+[1]Bancassurance!$AW$66+[1]Bancassurance!$AZ$66)/1000/AA248</f>
        <v>0</v>
      </c>
      <c r="AB253" s="24">
        <f>-([1]Bancassurance!$Q$67+[1]Bancassurance!$X$67+[1]Bancassurance!$AW$67+[1]Bancassurance!$AZ$67)/1000/AB248</f>
        <v>4.9605089560555482E-2</v>
      </c>
      <c r="AC253" s="7"/>
      <c r="AD253" s="24">
        <f>-([1]Specials!$Q$65+[1]Specials!$X$65+[1]Specials!$AW$65+[1]Specials!$AZ$65)/1000/AD248</f>
        <v>0</v>
      </c>
      <c r="AE253" s="24">
        <f>-([1]Specials!$Q$66+[1]Specials!$X$66+[1]Specials!$AW$66+[1]Specials!$AZ$66)/1000/AE248</f>
        <v>0</v>
      </c>
      <c r="AF253" s="24" t="e">
        <f>-([1]Specials!$Q$67+[1]Specials!$X$67+[1]Specials!$AW$67+[1]Specials!$AZ$67)/1000/AF248</f>
        <v>#DIV/0!</v>
      </c>
      <c r="AG253" s="7"/>
      <c r="AH253" s="54">
        <f>-('[1]Total P&amp;C'!$Q$65+'[1]Total P&amp;C'!$X$65+'[1]Total P&amp;C'!$AW$65+'[1]Total P&amp;C'!$AZ$65)/1000/AH248</f>
        <v>0.1202701531342506</v>
      </c>
      <c r="AI253" s="54">
        <f>-('[1]Total P&amp;C'!$Q$66+'[1]Total P&amp;C'!$X$66+'[1]Total P&amp;C'!$AW$66+'[1]Total P&amp;C'!$AZ$66)/1000/AI248</f>
        <v>0.12562619922832013</v>
      </c>
      <c r="AJ253" s="54">
        <f>-('[1]Total P&amp;C'!$Q$67+'[1]Total P&amp;C'!$X$67+'[1]Total P&amp;C'!$AW$67+'[1]Total P&amp;C'!$AZ$67)/1000/AJ248</f>
        <v>0.12328369304103229</v>
      </c>
      <c r="AL253" s="203"/>
      <c r="AM253" s="9"/>
      <c r="AN253" s="48" t="s">
        <v>25</v>
      </c>
      <c r="AT253" s="51"/>
      <c r="AU253" s="51"/>
      <c r="AV253" s="51"/>
      <c r="AW253" s="7"/>
      <c r="AX253" s="51"/>
      <c r="AY253" s="51"/>
      <c r="AZ253" s="51"/>
      <c r="BA253" s="7"/>
      <c r="BB253" s="51"/>
      <c r="BC253" s="51"/>
      <c r="BD253" s="51"/>
      <c r="BJ253" s="51"/>
      <c r="BK253" s="51"/>
      <c r="BL253" s="51"/>
      <c r="BM253" s="7"/>
      <c r="BN253" s="54"/>
      <c r="BO253" s="54"/>
      <c r="BP253" s="54"/>
      <c r="BR253" s="54">
        <f>-('[1]Total P&amp;C'!$Q$65+'[1]Total P&amp;C'!$X$65+'[1]Total P&amp;C'!$AW$65+'[1]Total P&amp;C'!$AZ$65)/1000/BR248</f>
        <v>0.1202701531342506</v>
      </c>
      <c r="BS253" s="54">
        <f>-('[1]Total P&amp;C'!$Q$66+'[1]Total P&amp;C'!$X$66+'[1]Total P&amp;C'!$AW$66+'[1]Total P&amp;C'!$AZ$66)/1000/BS248</f>
        <v>0.12562619922832013</v>
      </c>
      <c r="BT253" s="54">
        <f>-('[1]Total P&amp;C'!$Q$67+'[1]Total P&amp;C'!$X$67+'[1]Total P&amp;C'!$AW$67+'[1]Total P&amp;C'!$AZ$67)/1000/BT248</f>
        <v>0.12328369304103229</v>
      </c>
    </row>
    <row r="254" spans="2:72" ht="16.5" customHeight="1" x14ac:dyDescent="0.25">
      <c r="B254" s="203"/>
      <c r="C254" s="9"/>
      <c r="D254" s="48" t="s">
        <v>26</v>
      </c>
      <c r="J254" s="24">
        <f>-[1]Retail!$AT$65/1000/J248</f>
        <v>6.9635996033006062E-2</v>
      </c>
      <c r="K254" s="51">
        <f>-[1]Retail!$AT$66/1000/K248</f>
        <v>0.17219223021362456</v>
      </c>
      <c r="L254" s="51" t="e">
        <f>-[1]Retail!$AT$67/1000/L248</f>
        <v>#DIV/0!</v>
      </c>
      <c r="M254" s="7"/>
      <c r="N254" s="24">
        <f>-[1]SME!$AT$65/1000/N248</f>
        <v>7.5607130490577781E-2</v>
      </c>
      <c r="O254" s="24">
        <f>-[1]SME!$AT$66/1000/O248</f>
        <v>7.2419149165540264E-2</v>
      </c>
      <c r="P254" s="24">
        <f>-[1]SME!$AT$67/1000/P248</f>
        <v>6.4995607921320128E-2</v>
      </c>
      <c r="Q254" s="7"/>
      <c r="R254" s="24">
        <f>-[1]MidCorp!$AT$65/1000/R248</f>
        <v>4.477983744441303E-2</v>
      </c>
      <c r="S254" s="24">
        <f>-[1]MidCorp!$AT$66/1000/S248</f>
        <v>7.172719853683561E-2</v>
      </c>
      <c r="T254" s="24">
        <f>-[1]MidCorp!$AT$67/1000/T248</f>
        <v>7.9103736796431845E-2</v>
      </c>
      <c r="U254" s="7"/>
      <c r="V254" s="24">
        <f>-[1]MGA!$AT$65/1000/V248</f>
        <v>2.6623999145061864E-2</v>
      </c>
      <c r="W254" s="24">
        <f>-[1]MGA!$AT$66/1000/W248</f>
        <v>3.0079080154830896E-2</v>
      </c>
      <c r="X254" s="24">
        <f>-[1]MGA!$AT$67/1000/X248</f>
        <v>3.4243468592463987E-2</v>
      </c>
      <c r="Y254" s="7"/>
      <c r="Z254" s="24">
        <f>-[1]Bancassurance!$AT$65/1000/Z248</f>
        <v>7.3927543323480005E-2</v>
      </c>
      <c r="AA254" s="24">
        <f>-[1]Bancassurance!$AT$66/1000/AA248</f>
        <v>0.26188987551588505</v>
      </c>
      <c r="AB254" s="24">
        <f>-[1]Bancassurance!$AT$67/1000/AB248</f>
        <v>3.6541327591541189E-2</v>
      </c>
      <c r="AC254" s="7"/>
      <c r="AD254" s="24">
        <f>-[1]Specials!$AT$65/1000/AD248</f>
        <v>-4.3344273682072529</v>
      </c>
      <c r="AE254" s="24">
        <f>-[1]Specials!$AT$66/1000/AE248</f>
        <v>-11.172343268077523</v>
      </c>
      <c r="AF254" s="24" t="e">
        <f>-[1]Specials!$AT$67/1000/AF248</f>
        <v>#DIV/0!</v>
      </c>
      <c r="AG254" s="7"/>
      <c r="AH254" s="54">
        <f>-'[1]Total P&amp;C'!$AT$65/1000/AH248</f>
        <v>4.4718919469749478E-2</v>
      </c>
      <c r="AI254" s="54">
        <f>-'[1]Total P&amp;C'!$AT$66/1000/AI248</f>
        <v>6.5897741093380341E-2</v>
      </c>
      <c r="AJ254" s="54">
        <f>-'[1]Total P&amp;C'!$AT$67/1000/AJ248</f>
        <v>6.9501718348303557E-2</v>
      </c>
      <c r="AL254" s="203"/>
      <c r="AM254" s="9"/>
      <c r="AN254" s="48" t="s">
        <v>26</v>
      </c>
      <c r="AT254" s="51"/>
      <c r="AU254" s="51"/>
      <c r="AV254" s="51"/>
      <c r="AW254" s="7"/>
      <c r="AX254" s="51"/>
      <c r="AY254" s="51"/>
      <c r="AZ254" s="51"/>
      <c r="BA254" s="7"/>
      <c r="BB254" s="51"/>
      <c r="BC254" s="51"/>
      <c r="BD254" s="51"/>
      <c r="BJ254" s="51"/>
      <c r="BK254" s="51"/>
      <c r="BL254" s="51"/>
      <c r="BM254" s="7"/>
      <c r="BN254" s="54"/>
      <c r="BO254" s="54"/>
      <c r="BP254" s="54"/>
      <c r="BR254" s="54">
        <f>-'[1]Total P&amp;C'!$AT$65/1000/BR248</f>
        <v>4.4718919469749478E-2</v>
      </c>
      <c r="BS254" s="54">
        <f>-'[1]Total P&amp;C'!$AT$66/1000/BS248</f>
        <v>6.5897741093380341E-2</v>
      </c>
      <c r="BT254" s="54">
        <f>-'[1]Total P&amp;C'!$AT$67/1000/BT248</f>
        <v>6.9501718348303557E-2</v>
      </c>
    </row>
    <row r="255" spans="2:72" ht="16.5" customHeight="1" x14ac:dyDescent="0.25">
      <c r="B255" s="203"/>
      <c r="C255" s="9"/>
      <c r="D255" s="49" t="s">
        <v>27</v>
      </c>
      <c r="J255" s="24">
        <f>-([1]Retail!$Z$65+[1]Retail!$AA$65+[1]Retail!$BB$65+[1]Retail!$BC$65)/1000/J248</f>
        <v>-6.3110818418320846E-3</v>
      </c>
      <c r="K255" s="24">
        <f>-([1]Retail!$Z$66+[1]Retail!$AA$66+[1]Retail!$BB$66+[1]Retail!$BC$66)/1000/K248</f>
        <v>-4.7007082610789064E-2</v>
      </c>
      <c r="L255" s="24" t="e">
        <f>-([1]Retail!$Z$67+[1]Retail!$AA$67+[1]Retail!$BB$67+[1]Retail!$BC$67)/1000/L248</f>
        <v>#DIV/0!</v>
      </c>
      <c r="M255" s="7"/>
      <c r="N255" s="24">
        <f>-([1]SME!$Z$65+[1]SME!$AA$65+[1]SME!$BB$65+[1]SME!$BC$65)/1000/N248</f>
        <v>-2.7303642910762017E-2</v>
      </c>
      <c r="O255" s="24">
        <f>-([1]SME!$Z$66+[1]SME!$AA$66+[1]SME!$BB$66+[1]SME!$BC$66)/1000/O248</f>
        <v>-2.0479343747692419E-2</v>
      </c>
      <c r="P255" s="24">
        <f>-([1]SME!$Z$67+[1]SME!$AA$67+[1]SME!$BB$67+[1]SME!$BC$67)/1000/P248</f>
        <v>-1.8601693626175819E-2</v>
      </c>
      <c r="Q255" s="7"/>
      <c r="R255" s="24">
        <f>-([1]MidCorp!$Z$65+[1]MidCorp!$AA$65+[1]MidCorp!$BB$65+[1]MidCorp!$BC$65)/1000/R248</f>
        <v>-3.8766903672301338E-2</v>
      </c>
      <c r="S255" s="24">
        <f>-([1]MidCorp!$Z$66+[1]MidCorp!$AA$66+[1]MidCorp!$BB$66+[1]MidCorp!$BC$66)/1000/S248</f>
        <v>-3.310098108246888E-2</v>
      </c>
      <c r="T255" s="24">
        <f>-([1]MidCorp!$Z$67+[1]MidCorp!$AA$67+[1]MidCorp!$BB$67+[1]MidCorp!$BC$67)/1000/T248</f>
        <v>-2.0735620319904051E-2</v>
      </c>
      <c r="U255" s="7"/>
      <c r="V255" s="24">
        <f>-([1]MGA!$Z$65+[1]MGA!$AA$65+[1]MGA!$BB$65+[1]MGA!$BC$65)/1000/V248</f>
        <v>-2.8040368966778466E-2</v>
      </c>
      <c r="W255" s="24">
        <f>-([1]MGA!$Z$66+[1]MGA!$AA$66+[1]MGA!$BB$66+[1]MGA!$BC$66)/1000/W248</f>
        <v>-3.04545136581315E-2</v>
      </c>
      <c r="X255" s="24">
        <f>-([1]MGA!$Z$67+[1]MGA!$AA$67+[1]MGA!$BB$67+[1]MGA!$BC$67)/1000/X248</f>
        <v>-2.3787186666666991E-2</v>
      </c>
      <c r="Y255" s="7"/>
      <c r="Z255" s="24">
        <f>-([1]Bancassurance!$Z$65+[1]Bancassurance!$AA$65+[1]Bancassurance!$BB$65+[1]Bancassurance!$BC$65)/1000/Z248</f>
        <v>-5.1104171767191661E-2</v>
      </c>
      <c r="AA255" s="24">
        <f>-([1]Bancassurance!$Z$66+[1]Bancassurance!$AA$66+[1]Bancassurance!$BB$66+[1]Bancassurance!$BC$66)/1000/AA248</f>
        <v>-6.3647232712942467E-3</v>
      </c>
      <c r="AB255" s="24">
        <f>-([1]Bancassurance!$Z$67+[1]Bancassurance!$AA$67+[1]Bancassurance!$BB$67+[1]Bancassurance!$BC$67)/1000/AB248</f>
        <v>-4.3423011863461161E-2</v>
      </c>
      <c r="AC255" s="7"/>
      <c r="AD255" s="24">
        <f>-([1]Specials!$Z$65+[1]Specials!$AA$65+[1]Specials!$BB$65+[1]Specials!$BC$65)/1000/AD248</f>
        <v>-3.2598402489240885E-4</v>
      </c>
      <c r="AE255" s="24">
        <f>-([1]Specials!$Z$66+[1]Specials!$AA$66+[1]Specials!$BB$66+[1]Specials!$BC$66)/1000/AE248</f>
        <v>0</v>
      </c>
      <c r="AF255" s="24" t="e">
        <f>-([1]Specials!$Z$67+[1]Specials!$AA$67+[1]Specials!$BB$67+[1]Specials!$BC$67)/1000/AF248</f>
        <v>#DIV/0!</v>
      </c>
      <c r="AG255" s="7"/>
      <c r="AH255" s="54">
        <f>-('[1]Total P&amp;C'!$Z$65+'[1]Total P&amp;C'!$AA$65+'[1]Total P&amp;C'!$BB$65+'[1]Total P&amp;C'!$BC$65)/1000/AH248</f>
        <v>-3.4968325523308696E-2</v>
      </c>
      <c r="AI255" s="54">
        <f>-('[1]Total P&amp;C'!$Z$66+'[1]Total P&amp;C'!$AA$66+'[1]Total P&amp;C'!$BB$66+'[1]Total P&amp;C'!$BC$66)/1000/AI248</f>
        <v>-3.0995073119343308E-2</v>
      </c>
      <c r="AJ255" s="54">
        <f>-('[1]Total P&amp;C'!$Z$67+'[1]Total P&amp;C'!$AA$67+'[1]Total P&amp;C'!$BB$67+'[1]Total P&amp;C'!$BC$67)/1000/AJ248</f>
        <v>-2.1060898735556329E-2</v>
      </c>
      <c r="AL255" s="203"/>
      <c r="AM255" s="9"/>
      <c r="AN255" s="49" t="s">
        <v>27</v>
      </c>
      <c r="AT255" s="24"/>
      <c r="AU255" s="24"/>
      <c r="AV255" s="24"/>
      <c r="AW255" s="7"/>
      <c r="AX255" s="24"/>
      <c r="AY255" s="24"/>
      <c r="AZ255" s="24"/>
      <c r="BA255" s="7"/>
      <c r="BB255" s="24"/>
      <c r="BC255" s="24"/>
      <c r="BD255" s="24"/>
      <c r="BJ255" s="24"/>
      <c r="BK255" s="24"/>
      <c r="BL255" s="24"/>
      <c r="BM255" s="7"/>
      <c r="BN255" s="54"/>
      <c r="BO255" s="54"/>
      <c r="BP255" s="54"/>
      <c r="BR255" s="54">
        <f>-('[1]Total P&amp;C'!$Z$65+'[1]Total P&amp;C'!$AA$65+'[1]Total P&amp;C'!$BB$65+'[1]Total P&amp;C'!$BC$65)/1000/BR248</f>
        <v>-3.4968325523308696E-2</v>
      </c>
      <c r="BS255" s="54">
        <f>-('[1]Total P&amp;C'!$Z$66+'[1]Total P&amp;C'!$AA$66+'[1]Total P&amp;C'!$BB$66+'[1]Total P&amp;C'!$BC$66)/1000/BS248</f>
        <v>-3.0995073119343308E-2</v>
      </c>
      <c r="BT255" s="54">
        <f>-('[1]Total P&amp;C'!$Z$67+'[1]Total P&amp;C'!$AA$67+'[1]Total P&amp;C'!$BB$67+'[1]Total P&amp;C'!$BC$67)/1000/BT248</f>
        <v>-2.1060898735556329E-2</v>
      </c>
    </row>
    <row r="256" spans="2:72" ht="16.5" customHeight="1" x14ac:dyDescent="0.25">
      <c r="B256" s="203"/>
      <c r="C256" s="9"/>
      <c r="D256" s="49" t="s">
        <v>28</v>
      </c>
      <c r="J256" s="24">
        <f>-SUM([1]Retail!$AC$65:$AI$65,[1]Retail!$BE$65:$BG$65)/1000/J248</f>
        <v>0.38154177444311799</v>
      </c>
      <c r="K256" s="24">
        <f>-SUM([1]Retail!$AC$66:$AI$66,[1]Retail!$BE$66:$BG$66)/1000/K248</f>
        <v>-0.79514914307794882</v>
      </c>
      <c r="L256" s="24" t="e">
        <f>-SUM([1]Retail!$AC$67:$AI$67,[1]Retail!$BE$67:$BG$67)/1000/L248</f>
        <v>#DIV/0!</v>
      </c>
      <c r="M256" s="7"/>
      <c r="N256" s="24">
        <f>-SUM([1]SME!$AC$65:$AI$65,[1]SME!$BE$65:$BG$65)/1000/N248</f>
        <v>9.1653999417170895E-2</v>
      </c>
      <c r="O256" s="24">
        <f>-SUM([1]SME!$AC$66:$AI$66,[1]SME!$BE$66:$BG$66)/1000/O248</f>
        <v>-4.6306859530686695E-2</v>
      </c>
      <c r="P256" s="24">
        <f>-SUM([1]SME!$AC$67:$AI$67,[1]SME!$BE$67:$BG$67)/1000/P248</f>
        <v>-1.1779797112112812E-2</v>
      </c>
      <c r="Q256" s="7"/>
      <c r="R256" s="24">
        <f>-SUM([1]MidCorp!$AC$65:$AI$65,[1]MidCorp!$BE$65:$BG$65)/1000/R248</f>
        <v>-7.8126769285266177E-3</v>
      </c>
      <c r="S256" s="24">
        <f>-SUM([1]MidCorp!$AC$66:$AI$66,[1]MidCorp!$BE$66:$BG$66)/1000/S248</f>
        <v>1.6207231097004171E-2</v>
      </c>
      <c r="T256" s="24">
        <f>-SUM([1]MidCorp!$AC$67:$AI$67,[1]MidCorp!$BE$67:$BG$67)/1000/T248</f>
        <v>-1.3856290587007283E-2</v>
      </c>
      <c r="U256" s="7"/>
      <c r="V256" s="24">
        <f>-SUM([1]MGA!$AC$65:$AI$65,[1]MGA!$BE$65:$BG$65)/1000/V248</f>
        <v>-0.19920940386381486</v>
      </c>
      <c r="W256" s="24">
        <f>-SUM([1]MGA!$AC$66:$AI$66,[1]MGA!$BE$66:$BG$66)/1000/W248</f>
        <v>-1.443638813746833E-2</v>
      </c>
      <c r="X256" s="24">
        <f>-SUM([1]MGA!$AC$67:$AI$67,[1]MGA!$BE$67:$BG$67)/1000/X248</f>
        <v>-3.0881096042557805E-2</v>
      </c>
      <c r="Y256" s="7"/>
      <c r="Z256" s="24">
        <f>-SUM([1]Bancassurance!$AC$65:$AI$65,[1]Bancassurance!$BE$65:$BG$65)/1000/Z248</f>
        <v>-0.65309178950000535</v>
      </c>
      <c r="AA256" s="24">
        <f>-SUM([1]Bancassurance!$AC$66:$AI$66,[1]Bancassurance!$BE$66:$BG$66)/1000/AA248</f>
        <v>0.35858829122801195</v>
      </c>
      <c r="AB256" s="24">
        <f>-SUM([1]Bancassurance!$AC$67:$AI$67,[1]Bancassurance!$BE$67:$BG$67)/1000/AB248</f>
        <v>-1.2599230764021897E-2</v>
      </c>
      <c r="AC256" s="7"/>
      <c r="AD256" s="24">
        <f>-SUM([1]Specials!$AC$65:$AI$65,[1]Specials!$BE$65:$BG$65)/1000/AD248</f>
        <v>-1.8371051316333782</v>
      </c>
      <c r="AE256" s="24">
        <f>-SUM([1]Specials!$AC$66:$AI$66,[1]Specials!$BE$66:$BG$66)/1000/AE248</f>
        <v>-2.7342842158919574</v>
      </c>
      <c r="AF256" s="24" t="e">
        <f>-SUM([1]Specials!$AC$67:$AI$67,[1]Specials!$BE$67:$BG$67)/1000/AF248</f>
        <v>#DIV/0!</v>
      </c>
      <c r="AG256" s="7"/>
      <c r="AH256" s="54">
        <f>-SUM('[1]Total P&amp;C'!$AC$65:$AI$65,'[1]Total P&amp;C'!$BE$65:$BG$65)/1000/AH248</f>
        <v>-2.0279888181987712E-2</v>
      </c>
      <c r="AI256" s="54">
        <f>-SUM('[1]Total P&amp;C'!$AC$66:$AI$66,'[1]Total P&amp;C'!$BE$66:$BG$66)/1000/AI248</f>
        <v>-1.4429125643040887E-2</v>
      </c>
      <c r="AJ256" s="54">
        <f>-SUM('[1]Total P&amp;C'!$AC$67:$AI$67,'[1]Total P&amp;C'!$BE$67:$BG$67)/1000/AJ248</f>
        <v>-1.8617940643189671E-2</v>
      </c>
      <c r="AL256" s="203"/>
      <c r="AM256" s="9"/>
      <c r="AN256" s="49" t="s">
        <v>28</v>
      </c>
      <c r="AT256" s="24"/>
      <c r="AU256" s="24"/>
      <c r="AV256" s="24"/>
      <c r="AW256" s="7"/>
      <c r="AX256" s="24"/>
      <c r="AY256" s="24"/>
      <c r="AZ256" s="24"/>
      <c r="BA256" s="7"/>
      <c r="BB256" s="24"/>
      <c r="BC256" s="24"/>
      <c r="BD256" s="24"/>
      <c r="BJ256" s="24"/>
      <c r="BK256" s="24"/>
      <c r="BL256" s="24"/>
      <c r="BM256" s="7"/>
      <c r="BN256" s="54"/>
      <c r="BO256" s="54"/>
      <c r="BP256" s="54"/>
      <c r="BR256" s="54">
        <f>-SUM('[1]Total P&amp;C'!$AC$65:$AI$65,'[1]Total P&amp;C'!$BE$65:$BG$65)/1000/BR248</f>
        <v>-2.0279888181987712E-2</v>
      </c>
      <c r="BS256" s="54">
        <f>-SUM('[1]Total P&amp;C'!$AC$66:$AI$66,'[1]Total P&amp;C'!$BE$66:$BG$66)/1000/BS248</f>
        <v>-1.4429125643040887E-2</v>
      </c>
      <c r="BT256" s="54">
        <f>-SUM('[1]Total P&amp;C'!$AC$67:$AI$67,'[1]Total P&amp;C'!$BE$67:$BG$67)/1000/BT248</f>
        <v>-1.8617940643189671E-2</v>
      </c>
    </row>
    <row r="257" spans="2:72" ht="16.5" customHeight="1" x14ac:dyDescent="0.25">
      <c r="B257" s="203"/>
      <c r="C257" s="9"/>
      <c r="D257" s="49" t="s">
        <v>29</v>
      </c>
      <c r="J257" s="24">
        <f>-SUM([1]Retail!$AJ$65:$AK$65,[1]Retail!$BH$65:$BI$65)/1000/J248</f>
        <v>0.1435546878059748</v>
      </c>
      <c r="K257" s="24">
        <f>-SUM([1]Retail!$AJ$66:$AK$66,[1]Retail!$BH$66:$BI$66)/1000/K248</f>
        <v>3.8625004788270946E-2</v>
      </c>
      <c r="L257" s="24" t="e">
        <f>-SUM([1]Retail!$AJ$67:$AK$67,[1]Retail!$BH$67:$BI$67)/1000/L248</f>
        <v>#DIV/0!</v>
      </c>
      <c r="M257" s="7"/>
      <c r="N257" s="24">
        <f>-SUM([1]SME!$AJ$65:$AK$65,[1]SME!$BH$65:$BI$65)/1000/N248</f>
        <v>-2.2980361887715572E-3</v>
      </c>
      <c r="O257" s="24">
        <f>-SUM([1]SME!$AJ$66:$AK$66,[1]SME!$BH$66:$BI$66)/1000/O248</f>
        <v>3.4642910114781288E-4</v>
      </c>
      <c r="P257" s="24">
        <f>-SUM([1]SME!$AJ$67:$AK$67,[1]SME!$BH$67:$BI$67)/1000/P248</f>
        <v>0</v>
      </c>
      <c r="Q257" s="7"/>
      <c r="R257" s="24">
        <f>-SUM([1]MidCorp!$AJ$65:$AK$65,[1]MidCorp!$BH$65:$BI$65)/1000/R248</f>
        <v>4.5148924232881462E-3</v>
      </c>
      <c r="S257" s="24">
        <f>-SUM([1]MidCorp!$AJ$66:$AK$66,[1]MidCorp!$BH$66:$BI$66)/1000/S248</f>
        <v>9.6353771465860667E-3</v>
      </c>
      <c r="T257" s="24">
        <f>-SUM([1]MidCorp!$AJ$67:$AK$67,[1]MidCorp!$BH$67:$BI$67)/1000/T248</f>
        <v>0</v>
      </c>
      <c r="U257" s="7"/>
      <c r="V257" s="24">
        <f>-SUM([1]MGA!$AJ$65:$AK$65,[1]MGA!$BH$65:$BI$65)/1000/V248</f>
        <v>0.10523466599838588</v>
      </c>
      <c r="W257" s="24">
        <f>-SUM([1]MGA!$AJ$66:$AK$66,[1]MGA!$BH$66:$BI$66)/1000/W248</f>
        <v>-7.3179738857236262E-2</v>
      </c>
      <c r="X257" s="24">
        <f>-SUM([1]MGA!$AJ$67:$AK$67,[1]MGA!$BH$67:$BI$67)/1000/X248</f>
        <v>0</v>
      </c>
      <c r="Y257" s="7"/>
      <c r="Z257" s="24">
        <f>-SUM([1]Bancassurance!$AJ$65:$AK$65,[1]Bancassurance!$BH$65:$BI$65)/1000/Z248</f>
        <v>8.2846191228714075E-2</v>
      </c>
      <c r="AA257" s="24">
        <f>-SUM([1]Bancassurance!$AJ$66:$AK$66,[1]Bancassurance!$BH$66:$BI$66)/1000/AA248</f>
        <v>-4.2637044772236544E-2</v>
      </c>
      <c r="AB257" s="24">
        <f>-SUM([1]Bancassurance!$AJ$67:$AK$67,[1]Bancassurance!$BH$67:$BI$67)/1000/AB248</f>
        <v>0</v>
      </c>
      <c r="AC257" s="7"/>
      <c r="AD257" s="24">
        <f>-SUM([1]Specials!$AJ$65:$AK$65,[1]Specials!$BH$65:$BI$65)/1000/AD248</f>
        <v>0.37809137403631743</v>
      </c>
      <c r="AE257" s="24">
        <f>-SUM([1]Specials!$AJ$66:$AK$66,[1]Specials!$BH$66:$BI$66)/1000/AE248</f>
        <v>-0.94193545577781002</v>
      </c>
      <c r="AF257" s="24" t="e">
        <f>-SUM([1]Specials!$AJ$67:$AK$67,[1]Specials!$BH$67:$BI$67)/1000/AF248</f>
        <v>#DIV/0!</v>
      </c>
      <c r="AG257" s="7"/>
      <c r="AH257" s="54">
        <f>-SUM('[1]Total P&amp;C'!$AJ$65:$AK$65,'[1]Total P&amp;C'!$BH$65:$BI$65)/1000/AH248</f>
        <v>2.1989947345838774E-2</v>
      </c>
      <c r="AI257" s="54">
        <f>-SUM('[1]Total P&amp;C'!$AJ$66:$AK$66,'[1]Total P&amp;C'!$BH$66:$BI$66)/1000/AI248</f>
        <v>-3.4945407823658791E-3</v>
      </c>
      <c r="AJ257" s="54">
        <f>-SUM('[1]Total P&amp;C'!$AJ$67:$AK$67,'[1]Total P&amp;C'!$BH$67:$BI$67)/1000/AJ248</f>
        <v>0</v>
      </c>
      <c r="AL257" s="203"/>
      <c r="AM257" s="9"/>
      <c r="AN257" s="49" t="s">
        <v>29</v>
      </c>
      <c r="AT257" s="24"/>
      <c r="AU257" s="24"/>
      <c r="AV257" s="24"/>
      <c r="AW257" s="7"/>
      <c r="AX257" s="24"/>
      <c r="AY257" s="24"/>
      <c r="AZ257" s="24"/>
      <c r="BA257" s="7"/>
      <c r="BB257" s="24"/>
      <c r="BC257" s="24"/>
      <c r="BD257" s="24"/>
      <c r="BJ257" s="24"/>
      <c r="BK257" s="24"/>
      <c r="BL257" s="24"/>
      <c r="BM257" s="7"/>
      <c r="BN257" s="54"/>
      <c r="BO257" s="54"/>
      <c r="BP257" s="54"/>
      <c r="BR257" s="54">
        <f>-SUM('[1]Total P&amp;C'!$AJ$65:$AK$65,'[1]Total P&amp;C'!$BH$65:$BI$65)/1000/BR248</f>
        <v>2.1989947345838774E-2</v>
      </c>
      <c r="BS257" s="54">
        <f>-SUM('[1]Total P&amp;C'!$AJ$66:$AK$66,'[1]Total P&amp;C'!$BH$66:$BI$66)/1000/BS248</f>
        <v>-3.4945407823658791E-3</v>
      </c>
      <c r="BT257" s="54">
        <f>-SUM('[1]Total P&amp;C'!$AJ$67:$AK$67,'[1]Total P&amp;C'!$BH$67:$BI$67)/1000/BT248</f>
        <v>0</v>
      </c>
    </row>
    <row r="258" spans="2:72" ht="16.5" customHeight="1" x14ac:dyDescent="0.25">
      <c r="B258" s="203"/>
      <c r="C258" s="9"/>
      <c r="D258" s="49" t="s">
        <v>30</v>
      </c>
      <c r="J258" s="24">
        <f>+J259+J260+J261</f>
        <v>0.3452897911688172</v>
      </c>
      <c r="K258" s="24">
        <f>+K259+K260+K261</f>
        <v>0.53889311474359924</v>
      </c>
      <c r="L258" s="24" t="e">
        <f>+L259+L260+L261</f>
        <v>#DIV/0!</v>
      </c>
      <c r="M258" s="7"/>
      <c r="N258" s="24">
        <f>+N259+N260+N261</f>
        <v>0.3114302815626418</v>
      </c>
      <c r="O258" s="24">
        <f>+O259+O260+O261</f>
        <v>0.33063397627135743</v>
      </c>
      <c r="P258" s="24">
        <f>+P259+P260+P261</f>
        <v>0.33938076906595582</v>
      </c>
      <c r="Q258" s="7"/>
      <c r="R258" s="24">
        <f>+R259+R260+R261</f>
        <v>0.22358352517802449</v>
      </c>
      <c r="S258" s="24">
        <f>+S259+S260+S261</f>
        <v>0.21970339213738041</v>
      </c>
      <c r="T258" s="24">
        <f>+T259+T260+T261</f>
        <v>0.2376070241453096</v>
      </c>
      <c r="U258" s="7"/>
      <c r="V258" s="24">
        <f>+V259+V260+V261</f>
        <v>0.34381954650182867</v>
      </c>
      <c r="W258" s="24">
        <f>+W259+W260+W261</f>
        <v>0.34393574851704417</v>
      </c>
      <c r="X258" s="24">
        <f>+X259+X260+X261</f>
        <v>0.34334877727522084</v>
      </c>
      <c r="Y258" s="7"/>
      <c r="Z258" s="24">
        <f>+Z259+Z260+Z261</f>
        <v>1.5176388528670162</v>
      </c>
      <c r="AA258" s="24">
        <f>+AA259+AA260+AA261</f>
        <v>4.6529087901967987</v>
      </c>
      <c r="AB258" s="24">
        <f>+AB259+AB260+AB261</f>
        <v>0.62576769595843129</v>
      </c>
      <c r="AC258" s="7"/>
      <c r="AD258" s="24">
        <f>+AD259+AD260+AD261</f>
        <v>2.7373416275823657E-2</v>
      </c>
      <c r="AE258" s="24">
        <f>+AE259+AE260+AE261</f>
        <v>6.7558038553662075E-2</v>
      </c>
      <c r="AF258" s="24" t="e">
        <f>+AF259+AF260+AF261</f>
        <v>#DIV/0!</v>
      </c>
      <c r="AG258" s="7"/>
      <c r="AH258" s="54">
        <f>+AH259+AH260+AH261</f>
        <v>0.25947058357579572</v>
      </c>
      <c r="AI258" s="54">
        <f>+AI259+AI260+AI261</f>
        <v>0.26479437756286917</v>
      </c>
      <c r="AJ258" s="54">
        <f>+AJ259+AJ260+AJ261</f>
        <v>0.27287055929340659</v>
      </c>
      <c r="AL258" s="203"/>
      <c r="AM258" s="9"/>
      <c r="AN258" s="49" t="s">
        <v>30</v>
      </c>
      <c r="AT258" s="24"/>
      <c r="AU258" s="24"/>
      <c r="AV258" s="24"/>
      <c r="AW258" s="7"/>
      <c r="AX258" s="24"/>
      <c r="AY258" s="24"/>
      <c r="AZ258" s="24"/>
      <c r="BA258" s="7"/>
      <c r="BB258" s="24"/>
      <c r="BC258" s="24"/>
      <c r="BD258" s="24"/>
      <c r="BJ258" s="24"/>
      <c r="BK258" s="24"/>
      <c r="BL258" s="24"/>
      <c r="BM258" s="7"/>
      <c r="BN258" s="54"/>
      <c r="BO258" s="54"/>
      <c r="BP258" s="54"/>
      <c r="BR258" s="54">
        <f>+BR259+BR260+BR261</f>
        <v>0.25947058357579572</v>
      </c>
      <c r="BS258" s="54">
        <f>+BS259+BS260+BS261</f>
        <v>0.26479437756286917</v>
      </c>
      <c r="BT258" s="54">
        <f>+BT259+BT260+BT261</f>
        <v>0.27287055929340659</v>
      </c>
    </row>
    <row r="259" spans="2:72" ht="16.5" customHeight="1" x14ac:dyDescent="0.25">
      <c r="B259" s="203"/>
      <c r="C259" s="9"/>
      <c r="D259" s="50" t="s">
        <v>31</v>
      </c>
      <c r="J259" s="24">
        <f>-SUM([1]Retail!$AL$65:$AN$65,[1]Retail!$BJ$65)/1000/J248</f>
        <v>0.21030527595853041</v>
      </c>
      <c r="K259" s="51">
        <f>-SUM([1]Retail!$AL$66:$AN$66,[1]Retail!$BJ$66)/1000/K248</f>
        <v>0.21179143545993115</v>
      </c>
      <c r="L259" s="51" t="e">
        <f>-SUM([1]Retail!$AL$67:$AN$67,[1]Retail!$BJ$67)/1000/L248</f>
        <v>#DIV/0!</v>
      </c>
      <c r="M259" s="8"/>
      <c r="N259" s="24">
        <f>-SUM([1]SME!$AL$65:$AN$65,[1]SME!$BJ$65)/1000/N248</f>
        <v>0.18354902633239287</v>
      </c>
      <c r="O259" s="24">
        <f>-SUM([1]SME!$AL$66:$AN$66,[1]SME!$BJ$66)/1000/O248</f>
        <v>0.18275872665404982</v>
      </c>
      <c r="P259" s="24">
        <f>-SUM([1]SME!$AL$67:$AN$67,[1]SME!$BJ$67)/1000/P248</f>
        <v>0.18171703596973812</v>
      </c>
      <c r="Q259" s="8"/>
      <c r="R259" s="24">
        <f>-SUM([1]MidCorp!$AL$65:$AN$65,[1]MidCorp!$BJ$65)/1000/R248</f>
        <v>0.12797657640698035</v>
      </c>
      <c r="S259" s="24">
        <f>-SUM([1]MidCorp!$AL$66:$AN$66,[1]MidCorp!$BJ$66)/1000/S248</f>
        <v>0.13141861843347186</v>
      </c>
      <c r="T259" s="24">
        <f>-SUM([1]MidCorp!$AL$67:$AN$67,[1]MidCorp!$BJ$67)/1000/T248</f>
        <v>0.13167440270038377</v>
      </c>
      <c r="U259" s="8"/>
      <c r="V259" s="24">
        <f>-SUM([1]MGA!$AL$65:$AN$65,[1]MGA!$BJ$65)/1000/V248</f>
        <v>0.27979425301923366</v>
      </c>
      <c r="W259" s="24">
        <f>-SUM([1]MGA!$AL$66:$AN$66,[1]MGA!$BJ$66)/1000/W248</f>
        <v>0.27281509636970552</v>
      </c>
      <c r="X259" s="24">
        <f>-SUM([1]MGA!$AL$67:$AN$67,[1]MGA!$BJ$67)/1000/X248</f>
        <v>0.27027933499760742</v>
      </c>
      <c r="Y259" s="8"/>
      <c r="Z259" s="24">
        <f>-SUM([1]Bancassurance!$AL$65:$AN$65,[1]Bancassurance!$BJ$65)/1000/Z248</f>
        <v>0.14759385756722238</v>
      </c>
      <c r="AA259" s="24">
        <f>-SUM([1]Bancassurance!$AL$66:$AN$66,[1]Bancassurance!$BJ$66)/1000/AA248</f>
        <v>0.1430429309189484</v>
      </c>
      <c r="AB259" s="24">
        <f>-SUM([1]Bancassurance!$AL$67:$AN$67,[1]Bancassurance!$BJ$67)/1000/AB248</f>
        <v>0.14999999999999997</v>
      </c>
      <c r="AC259" s="8"/>
      <c r="AD259" s="24">
        <f>-SUM([1]Specials!$AL$65:$AN$65,[1]Specials!$BJ$65)/1000/AD248</f>
        <v>2.7373416275823657E-2</v>
      </c>
      <c r="AE259" s="24">
        <f>-SUM([1]Specials!$AL$66:$AN$66,[1]Specials!$BJ$66)/1000/AE248</f>
        <v>6.7558038553662075E-2</v>
      </c>
      <c r="AF259" s="24" t="e">
        <f>-SUM([1]Specials!$AL$67:$AN$67,[1]Specials!$BJ$67)/1000/AF248</f>
        <v>#DIV/0!</v>
      </c>
      <c r="AG259" s="8"/>
      <c r="AH259" s="54">
        <f>-SUM('[1]Total P&amp;C'!$AL$65:$AN$65,'[1]Total P&amp;C'!$BJ$65)/1000/AH248</f>
        <v>0.16105139520043793</v>
      </c>
      <c r="AI259" s="54">
        <f>-SUM('[1]Total P&amp;C'!$AL$66:$AN$66,'[1]Total P&amp;C'!$BJ$66)/1000/AI248</f>
        <v>0.16160583445501484</v>
      </c>
      <c r="AJ259" s="54">
        <f>-SUM('[1]Total P&amp;C'!$AL$67:$AN$67,'[1]Total P&amp;C'!$BJ$67)/1000/AJ248</f>
        <v>0.16169214255086548</v>
      </c>
      <c r="AL259" s="203"/>
      <c r="AM259" s="9"/>
      <c r="AN259" s="50" t="s">
        <v>31</v>
      </c>
      <c r="AT259" s="51"/>
      <c r="AU259" s="51"/>
      <c r="AV259" s="51"/>
      <c r="AW259" s="8"/>
      <c r="AX259" s="51"/>
      <c r="AY259" s="51"/>
      <c r="AZ259" s="51"/>
      <c r="BA259" s="8"/>
      <c r="BB259" s="51"/>
      <c r="BC259" s="51"/>
      <c r="BD259" s="51"/>
      <c r="BJ259" s="51"/>
      <c r="BK259" s="51"/>
      <c r="BL259" s="51"/>
      <c r="BM259" s="8"/>
      <c r="BN259" s="54"/>
      <c r="BO259" s="54"/>
      <c r="BP259" s="54"/>
      <c r="BR259" s="54">
        <f>-SUM('[1]Total P&amp;C'!$AL$65:$AN$65,'[1]Total P&amp;C'!$BJ$65)/1000/BR248</f>
        <v>0.16105139520043793</v>
      </c>
      <c r="BS259" s="54">
        <f>-SUM('[1]Total P&amp;C'!$AL$66:$AN$66,'[1]Total P&amp;C'!$BJ$66)/1000/BS248</f>
        <v>0.16160583445501484</v>
      </c>
      <c r="BT259" s="54">
        <f>-SUM('[1]Total P&amp;C'!$AL$67:$AN$67,'[1]Total P&amp;C'!$BJ$67)/1000/BT248</f>
        <v>0.16169214255086548</v>
      </c>
    </row>
    <row r="260" spans="2:72" ht="16.5" customHeight="1" x14ac:dyDescent="0.25">
      <c r="B260" s="203"/>
      <c r="C260" s="9"/>
      <c r="D260" s="50" t="s">
        <v>32</v>
      </c>
      <c r="J260" s="24">
        <f>-SUM([1]Retail!$AO$65:$AP$65)/1000/J248</f>
        <v>4.8968115314414491E-3</v>
      </c>
      <c r="K260" s="51">
        <f>-SUM([1]Retail!$AO$66:$AP$66)/1000/K248</f>
        <v>5.1666824014167542E-2</v>
      </c>
      <c r="L260" s="51" t="e">
        <f>-SUM([1]Retail!$AO$67:$AP$67)/1000/L248</f>
        <v>#DIV/0!</v>
      </c>
      <c r="M260" s="8"/>
      <c r="N260" s="24">
        <f>-SUM([1]SME!$AO$65:$AP$65)/1000/N248</f>
        <v>5.4074345608453409E-2</v>
      </c>
      <c r="O260" s="24">
        <f>-SUM([1]SME!$AO$66:$AP$66)/1000/O248</f>
        <v>7.9352867608546568E-2</v>
      </c>
      <c r="P260" s="24">
        <f>-SUM([1]SME!$AO$67:$AP$67)/1000/P248</f>
        <v>5.495667557140594E-2</v>
      </c>
      <c r="Q260" s="8"/>
      <c r="R260" s="24">
        <f>-SUM([1]MidCorp!$AO$65:$AP$65)/1000/R248</f>
        <v>3.3354941389490675E-2</v>
      </c>
      <c r="S260" s="24">
        <f>-SUM([1]MidCorp!$AO$66:$AP$66)/1000/S248</f>
        <v>2.7789726115245886E-2</v>
      </c>
      <c r="T260" s="24">
        <f>-SUM([1]MidCorp!$AO$67:$AP$67)/1000/T248</f>
        <v>3.2848526657173395E-2</v>
      </c>
      <c r="U260" s="8"/>
      <c r="V260" s="24">
        <f>-SUM([1]MGA!$AO$65:$AP$65)/1000/V248</f>
        <v>1.9700218697219538E-2</v>
      </c>
      <c r="W260" s="24">
        <f>-SUM([1]MGA!$AO$66:$AP$66)/1000/W248</f>
        <v>2.4423293047979466E-2</v>
      </c>
      <c r="X260" s="24">
        <f>-SUM([1]MGA!$AO$67:$AP$67)/1000/X248</f>
        <v>2.227703540599529E-2</v>
      </c>
      <c r="Y260" s="8"/>
      <c r="Z260" s="24">
        <f>-SUM([1]Bancassurance!$AO$65:$AP$65)/1000/Z248</f>
        <v>0.33358561550791843</v>
      </c>
      <c r="AA260" s="24">
        <f>-SUM([1]Bancassurance!$AO$66:$AP$66)/1000/AA248</f>
        <v>0.98876839096626223</v>
      </c>
      <c r="AB260" s="24">
        <f>-SUM([1]Bancassurance!$AO$67:$AP$67)/1000/AB248</f>
        <v>0.1510730052109614</v>
      </c>
      <c r="AC260" s="8"/>
      <c r="AD260" s="24">
        <f>-SUM([1]Specials!$AO$65:$AP$65)/1000/AD248</f>
        <v>0</v>
      </c>
      <c r="AE260" s="24">
        <f>-SUM([1]Specials!$AO$66:$AP$66)/1000/AE248</f>
        <v>0</v>
      </c>
      <c r="AF260" s="24" t="e">
        <f>-SUM([1]Specials!$AO$67:$AP$67)/1000/AF248</f>
        <v>#DIV/0!</v>
      </c>
      <c r="AG260" s="8"/>
      <c r="AH260" s="54">
        <f>-SUM('[1]Total P&amp;C'!$AO$65:$AP$65)/1000/AH248</f>
        <v>3.4279150667393829E-2</v>
      </c>
      <c r="AI260" s="54">
        <f>-SUM('[1]Total P&amp;C'!$AO$66:$AP$66)/1000/AI248</f>
        <v>3.6554294427151912E-2</v>
      </c>
      <c r="AJ260" s="54">
        <f>-SUM('[1]Total P&amp;C'!$AO$67:$AP$67)/1000/AJ248</f>
        <v>3.4707816182498748E-2</v>
      </c>
      <c r="AL260" s="203"/>
      <c r="AM260" s="9"/>
      <c r="AN260" s="50" t="s">
        <v>32</v>
      </c>
      <c r="AT260" s="51"/>
      <c r="AU260" s="51"/>
      <c r="AV260" s="51"/>
      <c r="AW260" s="8"/>
      <c r="AX260" s="51"/>
      <c r="AY260" s="51"/>
      <c r="AZ260" s="51"/>
      <c r="BA260" s="8"/>
      <c r="BB260" s="51"/>
      <c r="BC260" s="51"/>
      <c r="BD260" s="51"/>
      <c r="BJ260" s="51"/>
      <c r="BK260" s="51"/>
      <c r="BL260" s="51"/>
      <c r="BM260" s="8"/>
      <c r="BN260" s="54"/>
      <c r="BO260" s="54"/>
      <c r="BP260" s="54"/>
      <c r="BR260" s="54">
        <f>-SUM('[1]Total P&amp;C'!$AO$65:$AP$65)/1000/BR248</f>
        <v>3.4279150667393829E-2</v>
      </c>
      <c r="BS260" s="54">
        <f>-SUM('[1]Total P&amp;C'!$AO$66:$AP$66)/1000/BS248</f>
        <v>3.6554294427151912E-2</v>
      </c>
      <c r="BT260" s="54">
        <f>-SUM('[1]Total P&amp;C'!$AO$67:$AP$67)/1000/BT248</f>
        <v>3.4707816182498748E-2</v>
      </c>
    </row>
    <row r="261" spans="2:72" ht="16.5" customHeight="1" x14ac:dyDescent="0.25">
      <c r="B261" s="203"/>
      <c r="C261" s="9"/>
      <c r="D261" s="50" t="s">
        <v>33</v>
      </c>
      <c r="J261" s="24">
        <f>-SUM([1]Retail!$AQ$65:$AR$65)/1000/J248</f>
        <v>0.13008770367884537</v>
      </c>
      <c r="K261" s="51">
        <f>-SUM([1]Retail!$AQ$66:$AR$66)/1000/K248</f>
        <v>0.27543485526950057</v>
      </c>
      <c r="L261" s="51" t="e">
        <f>-SUM([1]Retail!$AQ$67:$AR$67)/1000/L248</f>
        <v>#DIV/0!</v>
      </c>
      <c r="M261" s="8"/>
      <c r="N261" s="24">
        <f>-SUM([1]SME!$AQ$65:$AR$65)/1000/N248</f>
        <v>7.3806909621795549E-2</v>
      </c>
      <c r="O261" s="24">
        <f>-SUM([1]SME!$AQ$66:$AR$66)/1000/O248</f>
        <v>6.852238200876104E-2</v>
      </c>
      <c r="P261" s="24">
        <f>-SUM([1]SME!$AQ$67:$AR$67)/1000/P248</f>
        <v>0.1027070575248118</v>
      </c>
      <c r="Q261" s="8"/>
      <c r="R261" s="24">
        <f>-SUM([1]MidCorp!$AQ$65:$AR$65)/1000/R248</f>
        <v>6.2252007381553454E-2</v>
      </c>
      <c r="S261" s="24">
        <f>-SUM([1]MidCorp!$AQ$66:$AR$66)/1000/S248</f>
        <v>6.049504758866267E-2</v>
      </c>
      <c r="T261" s="24">
        <f>-SUM([1]MidCorp!$AQ$67:$AR$67)/1000/T248</f>
        <v>7.3084094787752421E-2</v>
      </c>
      <c r="U261" s="8"/>
      <c r="V261" s="24">
        <f>-SUM([1]MGA!$AQ$65:$AR$65)/1000/V248</f>
        <v>4.4325074785375465E-2</v>
      </c>
      <c r="W261" s="24">
        <f>-SUM([1]MGA!$AQ$66:$AR$66)/1000/W248</f>
        <v>4.6697359099359188E-2</v>
      </c>
      <c r="X261" s="24">
        <f>-SUM([1]MGA!$AQ$67:$AR$67)/1000/X248</f>
        <v>5.0792406871618144E-2</v>
      </c>
      <c r="Y261" s="8"/>
      <c r="Z261" s="24">
        <f>-SUM([1]Bancassurance!$AQ$65:$AR$65)/1000/Z248</f>
        <v>1.0364593797918753</v>
      </c>
      <c r="AA261" s="24">
        <f>-SUM([1]Bancassurance!$AQ$66:$AR$66)/1000/AA248</f>
        <v>3.5210974683115883</v>
      </c>
      <c r="AB261" s="24">
        <f>-SUM([1]Bancassurance!$AQ$67:$AR$67)/1000/AB248</f>
        <v>0.32469469074746998</v>
      </c>
      <c r="AC261" s="8"/>
      <c r="AD261" s="24">
        <f>-SUM([1]Specials!$AQ$65:$AR$65)/1000/AD248</f>
        <v>0</v>
      </c>
      <c r="AE261" s="24">
        <f>-SUM([1]Specials!$AQ$66:$AR$66)/1000/AE248</f>
        <v>0</v>
      </c>
      <c r="AF261" s="24" t="e">
        <f>-SUM([1]Specials!$AQ$67:$AR$67)/1000/AF248</f>
        <v>#DIV/0!</v>
      </c>
      <c r="AG261" s="8"/>
      <c r="AH261" s="54">
        <f>-SUM('[1]Total P&amp;C'!$AQ$65:$AR$65)/1000/AH248</f>
        <v>6.4140037707963948E-2</v>
      </c>
      <c r="AI261" s="54">
        <f>-SUM('[1]Total P&amp;C'!$AQ$66:$AR$66)/1000/AI248</f>
        <v>6.6634248680702418E-2</v>
      </c>
      <c r="AJ261" s="54">
        <f>-SUM('[1]Total P&amp;C'!$AQ$67:$AR$67)/1000/AJ248</f>
        <v>7.6470600560042359E-2</v>
      </c>
      <c r="AL261" s="203"/>
      <c r="AM261" s="9"/>
      <c r="AN261" s="50" t="s">
        <v>33</v>
      </c>
      <c r="AT261" s="51"/>
      <c r="AU261" s="51"/>
      <c r="AV261" s="51"/>
      <c r="AW261" s="8"/>
      <c r="AX261" s="51"/>
      <c r="AY261" s="51"/>
      <c r="AZ261" s="51"/>
      <c r="BA261" s="8"/>
      <c r="BB261" s="51"/>
      <c r="BC261" s="51"/>
      <c r="BD261" s="51"/>
      <c r="BJ261" s="51"/>
      <c r="BK261" s="51"/>
      <c r="BL261" s="51"/>
      <c r="BM261" s="8"/>
      <c r="BN261" s="54"/>
      <c r="BO261" s="54"/>
      <c r="BP261" s="54"/>
      <c r="BR261" s="54">
        <f>-SUM('[1]Total P&amp;C'!$AQ$65:$AR$65)/1000/BR248</f>
        <v>6.4140037707963948E-2</v>
      </c>
      <c r="BS261" s="54">
        <f>-SUM('[1]Total P&amp;C'!$AQ$66:$AR$66)/1000/BS248</f>
        <v>6.6634248680702418E-2</v>
      </c>
      <c r="BT261" s="54">
        <f>-SUM('[1]Total P&amp;C'!$AQ$67:$AR$67)/1000/BT248</f>
        <v>7.6470600560042359E-2</v>
      </c>
    </row>
    <row r="262" spans="2:72" ht="16.5" customHeight="1" x14ac:dyDescent="0.25">
      <c r="B262" s="203"/>
      <c r="C262" s="9"/>
      <c r="D262" s="49" t="s">
        <v>34</v>
      </c>
      <c r="J262" s="23">
        <f>+[1]Retail!$BK$65/1000</f>
        <v>4.5367799999993467E-3</v>
      </c>
      <c r="K262" s="23">
        <f>+[1]Retail!$BK$66/1000</f>
        <v>0.63506217999999182</v>
      </c>
      <c r="L262" s="23">
        <f>+[1]Retail!$BK$67/1000</f>
        <v>-0.1493369177976652</v>
      </c>
      <c r="M262" s="6"/>
      <c r="N262" s="23">
        <f>+[1]SME!$BK$65/1000</f>
        <v>0.6718221999999997</v>
      </c>
      <c r="O262" s="23">
        <f>+[1]SME!$BK$66/1000</f>
        <v>5.2814161999999962</v>
      </c>
      <c r="P262" s="23">
        <f>+[1]SME!$BK$67/1000</f>
        <v>2.4485836917491359</v>
      </c>
      <c r="Q262" s="6"/>
      <c r="R262" s="23">
        <f>+[1]MidCorp!$BK$65/1000</f>
        <v>17.323752529999986</v>
      </c>
      <c r="S262" s="23">
        <f>+[1]MidCorp!$BK$66/1000</f>
        <v>11.578235569999981</v>
      </c>
      <c r="T262" s="23">
        <f>+[1]MidCorp!$BK$67/1000</f>
        <v>13.974365102938544</v>
      </c>
      <c r="U262" s="6"/>
      <c r="V262" s="23">
        <f>+[1]MGA!$BK$65/1000</f>
        <v>1.8009928100000139</v>
      </c>
      <c r="W262" s="23">
        <f>+[1]MGA!$BK$66/1000</f>
        <v>2.5194230499999963</v>
      </c>
      <c r="X262" s="23">
        <f>+[1]MGA!$BK$67/1000</f>
        <v>1.7383503079445377</v>
      </c>
      <c r="Y262" s="6"/>
      <c r="Z262" s="23">
        <f>+[1]Bancassurance!$BK$65/1000</f>
        <v>-0.34439850000000027</v>
      </c>
      <c r="AA262" s="23">
        <f>+[1]Bancassurance!$BK$66/1000</f>
        <v>-0.91491610000000012</v>
      </c>
      <c r="AB262" s="23">
        <f>+[1]Bancassurance!$BK$67/1000</f>
        <v>-7.3074858364447187E-2</v>
      </c>
      <c r="AC262" s="6"/>
      <c r="AD262" s="23">
        <f>+[1]Specials!$BK$65/1000</f>
        <v>0.64328092999999997</v>
      </c>
      <c r="AE262" s="23">
        <f>+[1]Specials!$BK$66/1000</f>
        <v>0.56014069999999716</v>
      </c>
      <c r="AF262" s="23">
        <f>+[1]Specials!$BK$67/1000</f>
        <v>0</v>
      </c>
      <c r="AG262" s="6"/>
      <c r="AH262" s="53">
        <f>+'[1]Total P&amp;C'!$BK$65/1000</f>
        <v>20.099986749999985</v>
      </c>
      <c r="AI262" s="53">
        <f>+'[1]Total P&amp;C'!$BK$66/1000</f>
        <v>19.659361599999961</v>
      </c>
      <c r="AJ262" s="53">
        <f>+'[1]Total P&amp;C'!$BK$67/1000</f>
        <v>17.938887326470084</v>
      </c>
      <c r="AL262" s="203"/>
      <c r="AM262" s="9"/>
      <c r="AN262" s="49" t="s">
        <v>34</v>
      </c>
      <c r="AT262" s="23"/>
      <c r="AU262" s="23"/>
      <c r="AV262" s="23"/>
      <c r="AW262" s="6"/>
      <c r="AX262" s="23"/>
      <c r="AY262" s="23"/>
      <c r="AZ262" s="23"/>
      <c r="BA262" s="6"/>
      <c r="BB262" s="23"/>
      <c r="BC262" s="23"/>
      <c r="BD262" s="23"/>
      <c r="BJ262" s="23"/>
      <c r="BK262" s="23"/>
      <c r="BL262" s="23"/>
      <c r="BM262" s="6"/>
      <c r="BN262" s="53"/>
      <c r="BO262" s="53"/>
      <c r="BP262" s="53"/>
      <c r="BR262" s="53">
        <f>+'[1]Total P&amp;C'!$BK$65/1000</f>
        <v>20.099986749999985</v>
      </c>
      <c r="BS262" s="53">
        <f>+'[1]Total P&amp;C'!$BK$66/1000</f>
        <v>19.659361599999961</v>
      </c>
      <c r="BT262" s="53">
        <f>+'[1]Total P&amp;C'!$BK$67/1000</f>
        <v>17.938887326470084</v>
      </c>
    </row>
    <row r="263" spans="2:72" x14ac:dyDescent="0.25">
      <c r="B263"/>
      <c r="C263"/>
      <c r="D263"/>
      <c r="J263" s="47"/>
      <c r="K263" s="47"/>
      <c r="L263" s="47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L263"/>
      <c r="AM263"/>
      <c r="AN263"/>
      <c r="AT263" s="47"/>
      <c r="AU263" s="47"/>
      <c r="AV263" s="47"/>
      <c r="AW263"/>
      <c r="AX263"/>
      <c r="AY263"/>
      <c r="AZ263"/>
      <c r="BA263"/>
      <c r="BB263"/>
      <c r="BC263"/>
      <c r="BD263"/>
      <c r="BJ263"/>
      <c r="BK263"/>
      <c r="BL263"/>
      <c r="BM263"/>
      <c r="BN263"/>
      <c r="BO263"/>
      <c r="BP263"/>
      <c r="BR263"/>
      <c r="BS263"/>
      <c r="BT263"/>
    </row>
    <row r="264" spans="2:72" ht="16.5" customHeight="1" x14ac:dyDescent="0.25">
      <c r="B264" s="203" t="s">
        <v>49</v>
      </c>
      <c r="C264" s="9"/>
      <c r="D264" s="49" t="s">
        <v>19</v>
      </c>
      <c r="J264" s="23"/>
      <c r="K264" s="23"/>
      <c r="L264" s="23"/>
      <c r="M264" s="6"/>
      <c r="N264" s="23"/>
      <c r="O264" s="23"/>
      <c r="P264" s="23"/>
      <c r="Q264" s="6"/>
      <c r="R264" s="23"/>
      <c r="S264" s="23"/>
      <c r="T264" s="23"/>
      <c r="U264" s="6"/>
      <c r="V264" s="23"/>
      <c r="W264" s="23"/>
      <c r="X264" s="23"/>
      <c r="Y264" s="6"/>
      <c r="Z264" s="23"/>
      <c r="AA264" s="23"/>
      <c r="AB264" s="23"/>
      <c r="AC264" s="6"/>
      <c r="AD264" s="23"/>
      <c r="AE264" s="23"/>
      <c r="AF264" s="23"/>
      <c r="AG264" s="6"/>
      <c r="AH264" s="53">
        <f>+('[1]Total P&amp;C'!$C$69+'[1]Total P&amp;C'!$C$73)/1000</f>
        <v>64.406278970000002</v>
      </c>
      <c r="AI264" s="53">
        <f>+('[1]Total P&amp;C'!$C$70+'[1]Total P&amp;C'!$C$74)/1000</f>
        <v>59.630830390000035</v>
      </c>
      <c r="AJ264" s="53">
        <f>+('[1]Total P&amp;C'!$C$71+'[1]Total P&amp;C'!$C$75)/1000</f>
        <v>56.759920000000001</v>
      </c>
      <c r="AL264" s="203" t="s">
        <v>49</v>
      </c>
      <c r="AM264" s="9"/>
      <c r="AN264" s="49" t="s">
        <v>19</v>
      </c>
      <c r="AT264" s="23">
        <f>+([2]Retail!$C$69+[2]Retail!$C$73)/1000</f>
        <v>0.31993052999999999</v>
      </c>
      <c r="AU264" s="23">
        <f>+([2]Retail!$C$70+[2]Retail!$C$74)/1000</f>
        <v>0.71811395999999983</v>
      </c>
      <c r="AV264" s="23">
        <f>+([2]Retail!$C$71+[2]Retail!$C$75)/1000</f>
        <v>0.28447131946747772</v>
      </c>
      <c r="AW264" s="6"/>
      <c r="AX264" s="23">
        <f>+([2]SME!$C$69+[2]SME!$C$73)/1000</f>
        <v>16.443049369999997</v>
      </c>
      <c r="AY264" s="23">
        <f>+([2]SME!$C$70+[2]SME!$C$74)/1000</f>
        <v>26.973514370000004</v>
      </c>
      <c r="AZ264" s="23">
        <f>+([2]SME!$C$71+[2]SME!$C$75)/1000</f>
        <v>17.132217704845431</v>
      </c>
      <c r="BA264" s="6"/>
      <c r="BB264" s="23"/>
      <c r="BC264" s="23"/>
      <c r="BD264" s="23"/>
      <c r="BJ264" s="23">
        <f>+([2]Specials!$C$69+[2]Specials!$C$73)/1000</f>
        <v>0</v>
      </c>
      <c r="BK264" s="23">
        <f>+([2]Specials!$C$70+[2]Specials!$C$74)/1000</f>
        <v>0</v>
      </c>
      <c r="BL264" s="23">
        <f>+([2]Specials!$C$71+[2]Specials!$C$75)/1000</f>
        <v>0</v>
      </c>
      <c r="BM264" s="6"/>
      <c r="BN264" s="53">
        <f>+('[2]Total P&amp;C'!$C$69+'[2]Total P&amp;C'!$C$73)/1000</f>
        <v>52.17873952000015</v>
      </c>
      <c r="BO264" s="53">
        <f>+('[2]Total P&amp;C'!$C$70+'[2]Total P&amp;C'!$C$74)/1000</f>
        <v>52.056344849999995</v>
      </c>
      <c r="BP264" s="53">
        <f>+('[2]Total P&amp;C'!$C$71+'[2]Total P&amp;C'!$C$75)/1000</f>
        <v>45.391605288146167</v>
      </c>
      <c r="BR264" s="53">
        <f>+('[3]Total P&amp;C'!$C$69+'[3]Total P&amp;C'!$C$73)/1000</f>
        <v>116.58501849000014</v>
      </c>
      <c r="BS264" s="53">
        <f>+('[3]Total P&amp;C'!$C$70+'[3]Total P&amp;C'!$C$74)/1000</f>
        <v>111.68717524000003</v>
      </c>
      <c r="BT264" s="53">
        <f>+('[3]Total P&amp;C'!$C$71+'[3]Total P&amp;C'!$C$75)/1000</f>
        <v>102.15152528814616</v>
      </c>
    </row>
    <row r="265" spans="2:72" ht="16.5" customHeight="1" x14ac:dyDescent="0.25">
      <c r="B265" s="203"/>
      <c r="C265" s="9"/>
      <c r="D265" s="49" t="s">
        <v>20</v>
      </c>
      <c r="J265" s="23"/>
      <c r="K265" s="23"/>
      <c r="L265" s="23"/>
      <c r="M265" s="6"/>
      <c r="N265" s="23"/>
      <c r="O265" s="23"/>
      <c r="P265" s="23"/>
      <c r="Q265" s="6"/>
      <c r="R265" s="23"/>
      <c r="S265" s="23"/>
      <c r="T265" s="23"/>
      <c r="U265" s="6"/>
      <c r="V265" s="23"/>
      <c r="W265" s="23"/>
      <c r="X265" s="23"/>
      <c r="Y265" s="6"/>
      <c r="Z265" s="23"/>
      <c r="AA265" s="23"/>
      <c r="AB265" s="23"/>
      <c r="AC265" s="6"/>
      <c r="AD265" s="23"/>
      <c r="AE265" s="23"/>
      <c r="AF265" s="23"/>
      <c r="AG265" s="6"/>
      <c r="AH265" s="53">
        <f>+('[1]Total P&amp;C'!$N$69+'[1]Total P&amp;C'!$N$73)/1000</f>
        <v>34.75387793000003</v>
      </c>
      <c r="AI265" s="53">
        <f>+('[1]Total P&amp;C'!$N$70+'[1]Total P&amp;C'!$N$74)/1000</f>
        <v>33.016125740000035</v>
      </c>
      <c r="AJ265" s="53">
        <f>+('[1]Total P&amp;C'!$N$71+'[1]Total P&amp;C'!$N$75)/1000</f>
        <v>34.257234375000003</v>
      </c>
      <c r="AL265" s="203"/>
      <c r="AM265" s="9"/>
      <c r="AN265" s="49" t="s">
        <v>20</v>
      </c>
      <c r="AT265" s="23">
        <f>+([2]Retail!$N$69+[2]Retail!$N$73)/1000</f>
        <v>0.5139912900000001</v>
      </c>
      <c r="AU265" s="23">
        <f>+([2]Retail!$N$70+[2]Retail!$N$74)/1000</f>
        <v>0.86886198999999964</v>
      </c>
      <c r="AV265" s="23">
        <f>+([2]Retail!$N$71+[2]Retail!$N$75)/1000</f>
        <v>0.551915745228028</v>
      </c>
      <c r="AW265" s="6"/>
      <c r="AX265" s="23">
        <f>+([2]SME!$N$69+[2]SME!$N$73)/1000</f>
        <v>16.313422059999997</v>
      </c>
      <c r="AY265" s="23">
        <f>+([2]SME!$N$70+[2]SME!$N$74)/1000</f>
        <v>21.612039620000001</v>
      </c>
      <c r="AZ265" s="23">
        <f>+([2]SME!$N$71+[2]SME!$N$75)/1000</f>
        <v>16.701720702876649</v>
      </c>
      <c r="BA265" s="6"/>
      <c r="BB265" s="23"/>
      <c r="BC265" s="23"/>
      <c r="BD265" s="23"/>
      <c r="BJ265" s="23">
        <f>+([2]Specials!$N$69+[2]Specials!$N$73)/1000</f>
        <v>0</v>
      </c>
      <c r="BK265" s="23">
        <f>+([2]Specials!$N$70+[2]Specials!$N$74)/1000</f>
        <v>0</v>
      </c>
      <c r="BL265" s="23">
        <f>+([2]Specials!$N$71+[2]Specials!$N$75)/1000</f>
        <v>0</v>
      </c>
      <c r="BM265" s="6"/>
      <c r="BN265" s="53">
        <f>+('[2]Total P&amp;C'!$N$69+'[2]Total P&amp;C'!$N$73)/1000</f>
        <v>43.141693500000137</v>
      </c>
      <c r="BO265" s="53">
        <f>+('[2]Total P&amp;C'!$N$70+'[2]Total P&amp;C'!$N$74)/1000</f>
        <v>43.863384109999984</v>
      </c>
      <c r="BP265" s="53">
        <f>+('[2]Total P&amp;C'!$N$71+'[2]Total P&amp;C'!$N$75)/1000</f>
        <v>44.212807998104665</v>
      </c>
      <c r="BR265" s="53">
        <f>+('[3]Total P&amp;C'!$N$69+'[3]Total P&amp;C'!$N$73)/1000</f>
        <v>77.89557143000016</v>
      </c>
      <c r="BS265" s="53">
        <f>+('[3]Total P&amp;C'!$N$70+'[3]Total P&amp;C'!$N$74)/1000</f>
        <v>76.879509850000019</v>
      </c>
      <c r="BT265" s="53">
        <f>+('[3]Total P&amp;C'!$N$71+'[3]Total P&amp;C'!$N$75)/1000</f>
        <v>78.470042373104661</v>
      </c>
    </row>
    <row r="266" spans="2:72" ht="16.5" customHeight="1" x14ac:dyDescent="0.25">
      <c r="B266" s="203"/>
      <c r="C266" s="9"/>
      <c r="D266" s="49" t="s">
        <v>21</v>
      </c>
      <c r="J266" s="24"/>
      <c r="K266" s="24"/>
      <c r="L266" s="24"/>
      <c r="M266" s="6"/>
      <c r="N266" s="24"/>
      <c r="O266" s="24"/>
      <c r="P266" s="24"/>
      <c r="Q266" s="6"/>
      <c r="R266" s="24"/>
      <c r="S266" s="24"/>
      <c r="T266" s="24"/>
      <c r="U266" s="6"/>
      <c r="V266" s="24"/>
      <c r="W266" s="24"/>
      <c r="X266" s="24"/>
      <c r="Y266" s="6"/>
      <c r="Z266" s="24"/>
      <c r="AA266" s="24"/>
      <c r="AB266" s="24"/>
      <c r="AC266" s="6"/>
      <c r="AD266" s="24"/>
      <c r="AE266" s="24"/>
      <c r="AF266" s="24"/>
      <c r="AG266" s="6"/>
      <c r="AH266" s="54">
        <f>+AH267+AH272+AH273+AH274+AH275</f>
        <v>0.96976391117801153</v>
      </c>
      <c r="AI266" s="54">
        <f>+AI267+AI272+AI273+AI274+AI275</f>
        <v>0.97172607872434069</v>
      </c>
      <c r="AJ266" s="54">
        <f>+AJ267+AJ272+AJ273+AJ274+AJ275</f>
        <v>0.96795186190573546</v>
      </c>
      <c r="AL266" s="203"/>
      <c r="AM266" s="9"/>
      <c r="AN266" s="49" t="s">
        <v>21</v>
      </c>
      <c r="AT266" s="24">
        <f>+AT267+AT272+AT273+AT274+AT275</f>
        <v>1.9566985269341812</v>
      </c>
      <c r="AU266" s="24">
        <f>+AU267+AU272+AU273+AU274+AU275</f>
        <v>1.0683961672670246</v>
      </c>
      <c r="AV266" s="24">
        <f>+AV267+AV272+AV273+AV274+AV275</f>
        <v>0.53194800204828596</v>
      </c>
      <c r="AW266" s="6"/>
      <c r="AX266" s="24">
        <f>+AX267+AX272+AX273+AX274+AX275</f>
        <v>0.9148704836488486</v>
      </c>
      <c r="AY266" s="24">
        <f>+AY267+AY272+AY273+AY274+AY275</f>
        <v>0.97657181094877332</v>
      </c>
      <c r="AZ266" s="24">
        <f>+AZ267+AZ272+AZ273+AZ274+AZ275</f>
        <v>0.96930461459360029</v>
      </c>
      <c r="BA266" s="6"/>
      <c r="BB266" s="24"/>
      <c r="BC266" s="24"/>
      <c r="BD266" s="24"/>
      <c r="BJ266" s="24" t="e">
        <f>+BJ267+BJ272+BJ273+BJ274+BJ275</f>
        <v>#DIV/0!</v>
      </c>
      <c r="BK266" s="24" t="e">
        <f>+BK267+BK272+BK273+BK274+BK275</f>
        <v>#DIV/0!</v>
      </c>
      <c r="BL266" s="24" t="e">
        <f>+BL267+BL272+BL273+BL274+BL275</f>
        <v>#DIV/0!</v>
      </c>
      <c r="BM266" s="6"/>
      <c r="BN266" s="54">
        <f>+BN267+BN272+BN273+BN274+BN275</f>
        <v>0.95669789875077371</v>
      </c>
      <c r="BO266" s="54">
        <f>+BO267+BO272+BO273+BO274+BO275</f>
        <v>0.93309920131468127</v>
      </c>
      <c r="BP266" s="54">
        <f>+BP267+BP272+BP273+BP274+BP275</f>
        <v>0.97672628332612832</v>
      </c>
      <c r="BR266" s="54">
        <f>+BR267+BR272+BR273+BR274+BR275</f>
        <v>0.96252742914116496</v>
      </c>
      <c r="BS266" s="54">
        <f>+BS267+BS272+BS273+BS274+BS275</f>
        <v>0.9496876244717638</v>
      </c>
      <c r="BT266" s="54">
        <f>+BT267+BT272+BT273+BT274+BT275</f>
        <v>0.97289568247498881</v>
      </c>
    </row>
    <row r="267" spans="2:72" ht="16.5" customHeight="1" x14ac:dyDescent="0.25">
      <c r="B267" s="203"/>
      <c r="C267" s="9"/>
      <c r="D267" s="49" t="s">
        <v>22</v>
      </c>
      <c r="J267" s="24"/>
      <c r="K267" s="24"/>
      <c r="L267" s="24"/>
      <c r="M267" s="6"/>
      <c r="N267" s="24"/>
      <c r="O267" s="24"/>
      <c r="P267" s="24"/>
      <c r="Q267" s="6"/>
      <c r="R267" s="24"/>
      <c r="S267" s="24"/>
      <c r="T267" s="24"/>
      <c r="U267" s="6"/>
      <c r="V267" s="24"/>
      <c r="W267" s="24"/>
      <c r="X267" s="24"/>
      <c r="Y267" s="6"/>
      <c r="Z267" s="24"/>
      <c r="AA267" s="24"/>
      <c r="AB267" s="24"/>
      <c r="AC267" s="6"/>
      <c r="AD267" s="24"/>
      <c r="AE267" s="24"/>
      <c r="AF267" s="24"/>
      <c r="AG267" s="6"/>
      <c r="AH267" s="54">
        <f>+AH268+AH269+AH270+AH271</f>
        <v>1.0855130295383404</v>
      </c>
      <c r="AI267" s="54">
        <f>+AI268+AI269+AI270+AI271</f>
        <v>0.97248984913757996</v>
      </c>
      <c r="AJ267" s="54">
        <f>+AJ268+AJ269+AJ270+AJ271</f>
        <v>1.004305551696262</v>
      </c>
      <c r="AL267" s="203"/>
      <c r="AM267" s="9"/>
      <c r="AN267" s="49" t="s">
        <v>22</v>
      </c>
      <c r="AT267" s="24">
        <f>+AT268+AT269+AT270+AT271</f>
        <v>1.3916899253292787</v>
      </c>
      <c r="AU267" s="24">
        <f>+AU268+AU269+AU270+AU271</f>
        <v>0.7035556820709814</v>
      </c>
      <c r="AV267" s="24">
        <f>+AV268+AV269+AV270+AV271</f>
        <v>0.58252849326433287</v>
      </c>
      <c r="AW267" s="6"/>
      <c r="AX267" s="24">
        <f>+AX268+AX269+AX270+AX271</f>
        <v>0.7979552660455107</v>
      </c>
      <c r="AY267" s="24">
        <f>+AY268+AY269+AY270+AY271</f>
        <v>0.8866144791011632</v>
      </c>
      <c r="AZ267" s="24">
        <f>+AZ268+AZ269+AZ270+AZ271</f>
        <v>0.92318253737229639</v>
      </c>
      <c r="BA267" s="6"/>
      <c r="BB267" s="24"/>
      <c r="BC267" s="24"/>
      <c r="BD267" s="24"/>
      <c r="BJ267" s="24" t="e">
        <f>+BJ268+BJ269+BJ270+BJ271</f>
        <v>#DIV/0!</v>
      </c>
      <c r="BK267" s="24" t="e">
        <f>+BK268+BK269+BK270+BK271</f>
        <v>#DIV/0!</v>
      </c>
      <c r="BL267" s="24" t="e">
        <f>+BL268+BL269+BL270+BL271</f>
        <v>#DIV/0!</v>
      </c>
      <c r="BM267" s="6"/>
      <c r="BN267" s="54">
        <f>+BN268+BN269+BN270+BN271</f>
        <v>0.86333478216379889</v>
      </c>
      <c r="BO267" s="54">
        <f>+BO268+BO269+BO270+BO271</f>
        <v>0.90861217296988928</v>
      </c>
      <c r="BP267" s="54">
        <f>+BP268+BP269+BP270+BP271</f>
        <v>0.93514056434699788</v>
      </c>
      <c r="BR267" s="54">
        <f>+BR268+BR269+BR270+BR271</f>
        <v>0.96246179986460667</v>
      </c>
      <c r="BS267" s="54">
        <f>+BS268+BS269+BS270+BS271</f>
        <v>0.93604462398897559</v>
      </c>
      <c r="BT267" s="54">
        <f>+BT268+BT269+BT270+BT271</f>
        <v>0.96533554208005179</v>
      </c>
    </row>
    <row r="268" spans="2:72" ht="16.5" customHeight="1" x14ac:dyDescent="0.25">
      <c r="B268" s="203"/>
      <c r="C268" s="9"/>
      <c r="D268" s="48" t="s">
        <v>23</v>
      </c>
      <c r="J268" s="51"/>
      <c r="K268" s="51"/>
      <c r="L268" s="51"/>
      <c r="M268" s="6"/>
      <c r="N268" s="51"/>
      <c r="O268" s="51"/>
      <c r="P268" s="51"/>
      <c r="Q268" s="6"/>
      <c r="R268" s="51"/>
      <c r="S268" s="51"/>
      <c r="T268" s="51"/>
      <c r="U268" s="6"/>
      <c r="V268" s="51"/>
      <c r="W268" s="51"/>
      <c r="X268" s="51"/>
      <c r="Y268" s="6"/>
      <c r="Z268" s="51"/>
      <c r="AA268" s="51"/>
      <c r="AB268" s="51"/>
      <c r="AC268" s="6"/>
      <c r="AD268" s="51"/>
      <c r="AE268" s="51"/>
      <c r="AF268" s="51"/>
      <c r="AG268" s="6"/>
      <c r="AH268" s="54">
        <f>-SUM('[1]Total P&amp;C'!$O$69,'[1]Total P&amp;C'!$R$69:$V$69,'[1]Total P&amp;C'!$Y$69,'[1]Total P&amp;C'!$AB$69,'[1]Total P&amp;C'!$AU$69,'[1]Total P&amp;C'!$AX$69,'[1]Total P&amp;C'!$BA$69,'[1]Total P&amp;C'!$BD$69,'[1]Total P&amp;C'!$O$73,'[1]Total P&amp;C'!$R$73:$V$73,'[1]Total P&amp;C'!$Y$73,'[1]Total P&amp;C'!$AB$73,'[1]Total P&amp;C'!$AU$73,'[1]Total P&amp;C'!$AX$73,'[1]Total P&amp;C'!$BA$73,'[1]Total P&amp;C'!$BD$73)/1000/AH265</f>
        <v>1.0354171843061419</v>
      </c>
      <c r="AI268" s="54">
        <f>-SUM('[1]Total P&amp;C'!$O$70,'[1]Total P&amp;C'!$R$70:$V$70,'[1]Total P&amp;C'!$Y$70,'[1]Total P&amp;C'!$AB$70,'[1]Total P&amp;C'!$AU$70,'[1]Total P&amp;C'!$AX$70,'[1]Total P&amp;C'!$BA$70,'[1]Total P&amp;C'!$BD$70,'[1]Total P&amp;C'!$O$74,'[1]Total P&amp;C'!$R$74:$V$74,'[1]Total P&amp;C'!$Y$74,'[1]Total P&amp;C'!$AB$74,'[1]Total P&amp;C'!$AU$74,'[1]Total P&amp;C'!$AX$74,'[1]Total P&amp;C'!$BA$74,'[1]Total P&amp;C'!$BD$74)/1000/AI265</f>
        <v>0.9058251829882924</v>
      </c>
      <c r="AJ268" s="54">
        <f>-SUM('[1]Total P&amp;C'!$O$71,'[1]Total P&amp;C'!$R$71:$V$71,'[1]Total P&amp;C'!$Y$71,'[1]Total P&amp;C'!$AB$71,'[1]Total P&amp;C'!$AU$71,'[1]Total P&amp;C'!$AX$71,'[1]Total P&amp;C'!$BA$71,'[1]Total P&amp;C'!$BD$71,'[1]Total P&amp;C'!$O$75,'[1]Total P&amp;C'!$R$75:$V$75,'[1]Total P&amp;C'!$Y$75,'[1]Total P&amp;C'!$AB$75,'[1]Total P&amp;C'!$AU$75,'[1]Total P&amp;C'!$AX$75,'[1]Total P&amp;C'!$BA$75,'[1]Total P&amp;C'!$BD$75)/1000/AJ265</f>
        <v>0.92995974480945509</v>
      </c>
      <c r="AL268" s="203"/>
      <c r="AM268" s="9"/>
      <c r="AN268" s="48" t="s">
        <v>23</v>
      </c>
      <c r="AT268" s="24">
        <f>-SUM([2]Retail!$O$69,[2]Retail!$R$69:$V$69,[2]Retail!$Y$69,[2]Retail!$AB$69,[2]Retail!$AU$69,[2]Retail!$AX$69,[2]Retail!$BA$69,[2]Retail!$BD$69,[2]Retail!$O$73,[2]Retail!$R$73:$V$73,[2]Retail!$Y$73,[2]Retail!$AB$73,[2]Retail!$AU$73,[2]Retail!$AX$73,[2]Retail!$BA$73,[2]Retail!$BD$73)/1000/AT265</f>
        <v>1.3420178190179053</v>
      </c>
      <c r="AU268" s="51">
        <f>-SUM([2]Retail!$O$70,[2]Retail!$R$70:$V$70,[2]Retail!$Y$70,[2]Retail!$AB$70,[2]Retail!$AU$70,[2]Retail!$AX$70,[2]Retail!$BA$70,[2]Retail!$BD$70,[2]Retail!$O$74,[2]Retail!$R$74:$V$74,[2]Retail!$Y$74,[2]Retail!$AB$74,[2]Retail!$AU$74,[2]Retail!$AX$74,[2]Retail!$BA$74,[2]Retail!$BD$74)/1000/AU265</f>
        <v>0.68497378968091382</v>
      </c>
      <c r="AV268" s="51">
        <f>-SUM([2]Retail!$O$71,[2]Retail!$R$71:$V$71,[2]Retail!$Y$71,[2]Retail!$AB$71,[2]Retail!$AU$71,[2]Retail!$AX$71,[2]Retail!$BA$71,[2]Retail!$BD$71,[2]Retail!$O$75,[2]Retail!$R$75:$V$75,[2]Retail!$Y$75,[2]Retail!$AB$75,[2]Retail!$AU$75,[2]Retail!$AX$75,[2]Retail!$BA$75,[2]Retail!$BD$75)/1000/AV265</f>
        <v>0.54235440032223137</v>
      </c>
      <c r="AW268" s="6"/>
      <c r="AX268" s="24">
        <f>-SUM([2]SME!$O$69,[2]SME!$R$69:$V$69,[2]SME!$Y$69,[2]SME!$AB$69,[2]SME!$AU$69,[2]SME!$AX$69,[2]SME!$BA$69,[2]SME!$BD$69,[2]SME!$O$73,[2]SME!$R$73:$V$73,[2]SME!$Y$73,[2]SME!$AB$73,[2]SME!$AU$73,[2]SME!$AX$73,[2]SME!$BA$73,[2]SME!$BD$73)/1000/AX265</f>
        <v>0.71693029071302061</v>
      </c>
      <c r="AY268" s="24">
        <f>-SUM([2]SME!$O$70,[2]SME!$R$70:$V$70,[2]SME!$Y$70,[2]SME!$AB$70,[2]SME!$AU$70,[2]SME!$AX$70,[2]SME!$BA$70,[2]SME!$BD$70,[2]SME!$O$74,[2]SME!$R$74:$V$74,[2]SME!$Y$74,[2]SME!$AB$74,[2]SME!$AU$74,[2]SME!$AX$74,[2]SME!$BA$74,[2]SME!$BD$74)/1000/AY265</f>
        <v>0.7355372435690547</v>
      </c>
      <c r="AZ268" s="24">
        <f>-SUM([2]SME!$O$71,[2]SME!$R$71:$V$71,[2]SME!$Y$71,[2]SME!$AB$71,[2]SME!$AU$71,[2]SME!$AX$71,[2]SME!$BA$71,[2]SME!$BD$71,[2]SME!$O$75,[2]SME!$R$75:$V$75,[2]SME!$Y$75,[2]SME!$AB$75,[2]SME!$AU$75,[2]SME!$AX$75,[2]SME!$BA$75,[2]SME!$BD$75)/1000/AZ265</f>
        <v>0.82253899556322296</v>
      </c>
      <c r="BA268" s="6"/>
      <c r="BB268" s="51"/>
      <c r="BC268" s="51"/>
      <c r="BD268" s="51"/>
      <c r="BJ268" s="24" t="e">
        <f>-SUM([2]Specials!$O$69,[2]Specials!$R$69:$V$69,[2]Specials!$Y$69,[2]Specials!$AB$69,[2]Specials!$AU$69,[2]Specials!$AX$69,[2]Specials!$BA$69,[2]Specials!$BD$69,[2]Specials!$O$73,[2]Specials!$R$73:$V$73,[2]Specials!$Y$73,[2]Specials!$AB$73,[2]Specials!$AU$73,[2]Specials!$AX$73,[2]Specials!$BA$73,[2]Specials!$BD$73)/1000/BJ265</f>
        <v>#DIV/0!</v>
      </c>
      <c r="BK268" s="24" t="e">
        <f>-SUM([2]Specials!$O$70,[2]Specials!$R$70:$V$70,[2]Specials!$Y$70,[2]Specials!$AB$70,[2]Specials!$AU$70,[2]Specials!$AX$70,[2]Specials!$BA$70,[2]Specials!$BD$70,[2]Specials!$O$74,[2]Specials!$R$74:$V$74,[2]Specials!$Y$74,[2]Specials!$AB$74,[2]Specials!$AU$74,[2]Specials!$AX$74,[2]Specials!$BA$74,[2]Specials!$BD$74)/1000/BK265</f>
        <v>#DIV/0!</v>
      </c>
      <c r="BL268" s="24" t="e">
        <f>-SUM([2]Specials!$O$71,[2]Specials!$R$71:$V$71,[2]Specials!$Y$71,[2]Specials!$AB$71,[2]Specials!$AU$71,[2]Specials!$AX$71,[2]Specials!$BA$71,[2]Specials!$BD$71,[2]Specials!$O$75,[2]Specials!$R$75:$V$75,[2]Specials!$Y$75,[2]Specials!$AB$75,[2]Specials!$AU$75,[2]Specials!$AX$75,[2]Specials!$BA$75,[2]Specials!$BD$75)/1000/BL265</f>
        <v>#DIV/0!</v>
      </c>
      <c r="BM268" s="6"/>
      <c r="BN268" s="54">
        <f>-SUM('[2]Total P&amp;C'!$O$69,'[2]Total P&amp;C'!$R$69:$V$69,'[2]Total P&amp;C'!$Y$69,'[2]Total P&amp;C'!$AB$69,'[2]Total P&amp;C'!$AU$69,'[2]Total P&amp;C'!$AX$69,'[2]Total P&amp;C'!$BA$69,'[2]Total P&amp;C'!$BD$69,'[2]Total P&amp;C'!$O$73,'[2]Total P&amp;C'!$R$73:$V$73,'[2]Total P&amp;C'!$Y$73,'[2]Total P&amp;C'!$AB$73,'[2]Total P&amp;C'!$AU$73,'[2]Total P&amp;C'!$AX$73,'[2]Total P&amp;C'!$BA$73,'[2]Total P&amp;C'!$BD$73)/1000/BN265</f>
        <v>0.71101177310065256</v>
      </c>
      <c r="BO268" s="54">
        <f>-SUM('[2]Total P&amp;C'!$O$70,'[2]Total P&amp;C'!$R$70:$V$70,'[2]Total P&amp;C'!$Y$70,'[2]Total P&amp;C'!$AB$70,'[2]Total P&amp;C'!$AU$70,'[2]Total P&amp;C'!$AX$70,'[2]Total P&amp;C'!$BA$70,'[2]Total P&amp;C'!$BD$70,'[2]Total P&amp;C'!$O$74,'[2]Total P&amp;C'!$R$74:$V$74,'[2]Total P&amp;C'!$Y$74,'[2]Total P&amp;C'!$AB$74,'[2]Total P&amp;C'!$AU$74,'[2]Total P&amp;C'!$AX$74,'[2]Total P&amp;C'!$BA$74,'[2]Total P&amp;C'!$BD$74)/1000/BO265</f>
        <v>0.79779329228777129</v>
      </c>
      <c r="BP268" s="54">
        <f>-SUM('[2]Total P&amp;C'!$O$71,'[2]Total P&amp;C'!$R$71:$V$71,'[2]Total P&amp;C'!$Y$71,'[2]Total P&amp;C'!$AB$71,'[2]Total P&amp;C'!$AU$71,'[2]Total P&amp;C'!$AX$71,'[2]Total P&amp;C'!$BA$71,'[2]Total P&amp;C'!$BD$71,'[2]Total P&amp;C'!$O$75,'[2]Total P&amp;C'!$R$75:$V$75,'[2]Total P&amp;C'!$Y$75,'[2]Total P&amp;C'!$AB$75,'[2]Total P&amp;C'!$AU$75,'[2]Total P&amp;C'!$AX$75,'[2]Total P&amp;C'!$BA$75,'[2]Total P&amp;C'!$BD$75)/1000/BP265</f>
        <v>0.75814093026339158</v>
      </c>
      <c r="BR268" s="54">
        <f>-SUM('[3]Total P&amp;C'!$O$69,'[3]Total P&amp;C'!$R$69:$V$69,'[3]Total P&amp;C'!$Y$69,'[3]Total P&amp;C'!$AB$69,'[3]Total P&amp;C'!$AU$69,'[3]Total P&amp;C'!$AX$69,'[3]Total P&amp;C'!$BA$69,'[3]Total P&amp;C'!$BD$69,'[3]Total P&amp;C'!$O$73,'[3]Total P&amp;C'!$R$73:$V$73,'[3]Total P&amp;C'!$Y$73,'[3]Total P&amp;C'!$AB$73,'[3]Total P&amp;C'!$AU$73,'[3]Total P&amp;C'!$AX$73,'[3]Total P&amp;C'!$BA$73,'[3]Total P&amp;C'!$BD$73)/1000/BR265</f>
        <v>0.85574844880497791</v>
      </c>
      <c r="BS268" s="54">
        <f>-SUM('[3]Total P&amp;C'!$O$70,'[3]Total P&amp;C'!$R$70:$V$70,'[3]Total P&amp;C'!$Y$70,'[3]Total P&amp;C'!$AB$70,'[3]Total P&amp;C'!$AU$70,'[3]Total P&amp;C'!$AX$70,'[3]Total P&amp;C'!$BA$70,'[3]Total P&amp;C'!$BD$70,'[3]Total P&amp;C'!$O$74,'[3]Total P&amp;C'!$R$74:$V$74,'[3]Total P&amp;C'!$Y$74,'[3]Total P&amp;C'!$AB$74,'[3]Total P&amp;C'!$AU$74,'[3]Total P&amp;C'!$AX$74,'[3]Total P&amp;C'!$BA$74,'[3]Total P&amp;C'!$BD$74)/1000/BS265</f>
        <v>0.8441878972255179</v>
      </c>
      <c r="BT268" s="54">
        <f>-SUM('[3]Total P&amp;C'!$O$71,'[3]Total P&amp;C'!$R$71:$V$71,'[3]Total P&amp;C'!$Y$71,'[3]Total P&amp;C'!$AB$71,'[3]Total P&amp;C'!$AU$71,'[3]Total P&amp;C'!$AX$71,'[3]Total P&amp;C'!$BA$71,'[3]Total P&amp;C'!$BD$71,'[3]Total P&amp;C'!$O$75,'[3]Total P&amp;C'!$R$75:$V$75,'[3]Total P&amp;C'!$Y$75,'[3]Total P&amp;C'!$AB$75,'[3]Total P&amp;C'!$AU$75,'[3]Total P&amp;C'!$AX$75,'[3]Total P&amp;C'!$BA$75,'[3]Total P&amp;C'!$BD$75)/1000/BT265</f>
        <v>0.83315092416593861</v>
      </c>
    </row>
    <row r="269" spans="2:72" ht="16.5" customHeight="1" x14ac:dyDescent="0.25">
      <c r="B269" s="203"/>
      <c r="C269" s="9"/>
      <c r="D269" s="48" t="s">
        <v>24</v>
      </c>
      <c r="J269" s="51"/>
      <c r="K269" s="51"/>
      <c r="L269" s="51"/>
      <c r="M269" s="7"/>
      <c r="N269" s="51"/>
      <c r="O269" s="51"/>
      <c r="P269" s="51"/>
      <c r="Q269" s="7"/>
      <c r="R269" s="51"/>
      <c r="S269" s="51"/>
      <c r="T269" s="51"/>
      <c r="U269" s="7"/>
      <c r="V269" s="51"/>
      <c r="W269" s="51"/>
      <c r="X269" s="51"/>
      <c r="Y269" s="7"/>
      <c r="Z269" s="51"/>
      <c r="AA269" s="51"/>
      <c r="AB269" s="51"/>
      <c r="AC269" s="7"/>
      <c r="AD269" s="51"/>
      <c r="AE269" s="51"/>
      <c r="AF269" s="51"/>
      <c r="AG269" s="7"/>
      <c r="AH269" s="54">
        <f>-('[1]Total P&amp;C'!$P$69+'[1]Total P&amp;C'!$W$69+'[1]Total P&amp;C'!$AV$69+'[1]Total P&amp;C'!$AY$69+'[1]Total P&amp;C'!$P$73+'[1]Total P&amp;C'!$W$73+'[1]Total P&amp;C'!$AV$73+'[1]Total P&amp;C'!$AY$73)/1000/AH265</f>
        <v>0</v>
      </c>
      <c r="AI269" s="54">
        <f>-('[1]Total P&amp;C'!$P$70+'[1]Total P&amp;C'!$W$70+'[1]Total P&amp;C'!$AV$70+'[1]Total P&amp;C'!$AY$70+'[1]Total P&amp;C'!$P$74+'[1]Total P&amp;C'!$W$74+'[1]Total P&amp;C'!$AV$74+'[1]Total P&amp;C'!$AY$74)/1000/AI265</f>
        <v>0</v>
      </c>
      <c r="AJ269" s="54">
        <f>-('[1]Total P&amp;C'!$P$71+'[1]Total P&amp;C'!$W$71+'[1]Total P&amp;C'!$AV$71+'[1]Total P&amp;C'!$AY$71+'[1]Total P&amp;C'!$P$75+'[1]Total P&amp;C'!$W$75+'[1]Total P&amp;C'!$AV$75+'[1]Total P&amp;C'!$AY$75)/1000/AJ265</f>
        <v>0</v>
      </c>
      <c r="AL269" s="203"/>
      <c r="AM269" s="9"/>
      <c r="AN269" s="48" t="s">
        <v>24</v>
      </c>
      <c r="AT269" s="24">
        <f>-([2]Retail!$P$69+[2]Retail!$W$69+[2]Retail!$AV$69+[2]Retail!$AY$69+[2]Retail!$P$73+[2]Retail!$W$73+[2]Retail!$AV$73+[2]Retail!$AY$73)/1000/AT265</f>
        <v>0</v>
      </c>
      <c r="AU269" s="51">
        <f>-([2]Retail!$P$70+[2]Retail!$W$70+[2]Retail!$AV$70+[2]Retail!$AY$70+[2]Retail!$P$74+[2]Retail!$W$74+[2]Retail!$AV$74+[2]Retail!$AY$74)/1000/AU265</f>
        <v>0</v>
      </c>
      <c r="AV269" s="51">
        <f>-([2]Retail!$P$71+[2]Retail!$W$71+[2]Retail!$AV$71+[2]Retail!$AY$71+[2]Retail!$P$75+[2]Retail!$W$75+[2]Retail!$AV$75+[2]Retail!$AY$75)/1000/AV265</f>
        <v>0</v>
      </c>
      <c r="AW269" s="7"/>
      <c r="AX269" s="24">
        <f>-([2]SME!$P$69+[2]SME!$W$69+[2]SME!$AV$69+[2]SME!$AY$69+[2]SME!$P$73+[2]SME!$W$73+[2]SME!$AV$73+[2]SME!$AY$73)/1000/AX265</f>
        <v>0</v>
      </c>
      <c r="AY269" s="24">
        <f>-([2]SME!$P$70+[2]SME!$W$70+[2]SME!$AV$70+[2]SME!$AY$70+[2]SME!$P$74+[2]SME!$W$74+[2]SME!$AV$74+[2]SME!$AY$74)/1000/AY265</f>
        <v>0</v>
      </c>
      <c r="AZ269" s="24">
        <f>-([2]SME!$P$71+[2]SME!$W$71+[2]SME!$AV$71+[2]SME!$AY$71+[2]SME!$P$75+[2]SME!$W$75+[2]SME!$AV$75+[2]SME!$AY$75)/1000/AZ265</f>
        <v>0</v>
      </c>
      <c r="BA269" s="7"/>
      <c r="BB269" s="51"/>
      <c r="BC269" s="51"/>
      <c r="BD269" s="51"/>
      <c r="BJ269" s="24" t="e">
        <f>-([2]Specials!$P$69+[2]Specials!$W$69+[2]Specials!$AV$69+[2]Specials!$AY$69+[2]Specials!$P$73+[2]Specials!$W$73+[2]Specials!$AV$73+[2]Specials!$AY$73)/1000/BJ265</f>
        <v>#DIV/0!</v>
      </c>
      <c r="BK269" s="24" t="e">
        <f>-([2]Specials!$P$70+[2]Specials!$W$70+[2]Specials!$AV$70+[2]Specials!$AY$70+[2]Specials!$P$74+[2]Specials!$W$74+[2]Specials!$AV$74+[2]Specials!$AY$74)/1000/BK265</f>
        <v>#DIV/0!</v>
      </c>
      <c r="BL269" s="24" t="e">
        <f>-([2]Specials!$P$71+[2]Specials!$W$71+[2]Specials!$AV$71+[2]Specials!$AY$71+[2]Specials!$P$75+[2]Specials!$W$75+[2]Specials!$AV$75+[2]Specials!$AY$75)/1000/BL265</f>
        <v>#DIV/0!</v>
      </c>
      <c r="BM269" s="7"/>
      <c r="BN269" s="54">
        <f>-('[2]Total P&amp;C'!$P$69+'[2]Total P&amp;C'!$W$69+'[2]Total P&amp;C'!$AV$69+'[2]Total P&amp;C'!$AY$69+'[2]Total P&amp;C'!$P$73+'[2]Total P&amp;C'!$W$73+'[2]Total P&amp;C'!$AV$73+'[2]Total P&amp;C'!$AY$73)/1000/BN265</f>
        <v>0</v>
      </c>
      <c r="BO269" s="54">
        <f>-('[2]Total P&amp;C'!$P$70+'[2]Total P&amp;C'!$W$70+'[2]Total P&amp;C'!$AV$70+'[2]Total P&amp;C'!$AY$70+'[2]Total P&amp;C'!$P$74+'[2]Total P&amp;C'!$W$74+'[2]Total P&amp;C'!$AV$74+'[2]Total P&amp;C'!$AY$74)/1000/BO265</f>
        <v>0</v>
      </c>
      <c r="BP269" s="54">
        <f>-('[2]Total P&amp;C'!$P$71+'[2]Total P&amp;C'!$W$71+'[2]Total P&amp;C'!$AV$71+'[2]Total P&amp;C'!$AY$71+'[2]Total P&amp;C'!$P$75+'[2]Total P&amp;C'!$W$75+'[2]Total P&amp;C'!$AV$75+'[2]Total P&amp;C'!$AY$75)/1000/BP265</f>
        <v>0</v>
      </c>
      <c r="BR269" s="54">
        <f>-('[3]Total P&amp;C'!$P$69+'[3]Total P&amp;C'!$W$69+'[3]Total P&amp;C'!$AV$69+'[3]Total P&amp;C'!$AY$69+'[3]Total P&amp;C'!$P$73+'[3]Total P&amp;C'!$W$73+'[3]Total P&amp;C'!$AV$73+'[3]Total P&amp;C'!$AY$73)/1000/BR265</f>
        <v>0</v>
      </c>
      <c r="BS269" s="54">
        <f>-('[3]Total P&amp;C'!$P$70+'[3]Total P&amp;C'!$W$70+'[3]Total P&amp;C'!$AV$70+'[3]Total P&amp;C'!$AY$70+'[3]Total P&amp;C'!$P$74+'[3]Total P&amp;C'!$W$74+'[3]Total P&amp;C'!$AV$74+'[3]Total P&amp;C'!$AY$74)/1000/BS265</f>
        <v>0</v>
      </c>
      <c r="BT269" s="54">
        <f>-('[3]Total P&amp;C'!$P$71+'[3]Total P&amp;C'!$W$71+'[3]Total P&amp;C'!$AV$71+'[3]Total P&amp;C'!$AY$71+'[3]Total P&amp;C'!$P$75+'[3]Total P&amp;C'!$W$75+'[3]Total P&amp;C'!$AV$75+'[3]Total P&amp;C'!$AY$75)/1000/BT265</f>
        <v>0</v>
      </c>
    </row>
    <row r="270" spans="2:72" ht="16.5" customHeight="1" x14ac:dyDescent="0.25">
      <c r="B270" s="203"/>
      <c r="C270" s="9"/>
      <c r="D270" s="48" t="s">
        <v>25</v>
      </c>
      <c r="J270" s="51"/>
      <c r="K270" s="51"/>
      <c r="L270" s="51"/>
      <c r="M270" s="7"/>
      <c r="N270" s="51"/>
      <c r="O270" s="51"/>
      <c r="P270" s="51"/>
      <c r="Q270" s="7"/>
      <c r="R270" s="51"/>
      <c r="S270" s="51"/>
      <c r="T270" s="51"/>
      <c r="U270" s="7"/>
      <c r="V270" s="51"/>
      <c r="W270" s="51"/>
      <c r="X270" s="51"/>
      <c r="Y270" s="7"/>
      <c r="Z270" s="51"/>
      <c r="AA270" s="51"/>
      <c r="AB270" s="51"/>
      <c r="AC270" s="7"/>
      <c r="AD270" s="51"/>
      <c r="AE270" s="51"/>
      <c r="AF270" s="51"/>
      <c r="AG270" s="7"/>
      <c r="AH270" s="54">
        <f>-('[1]Total P&amp;C'!$Q$69+'[1]Total P&amp;C'!$X$69+'[1]Total P&amp;C'!$AW$69+'[1]Total P&amp;C'!$AZ$69+'[1]Total P&amp;C'!$Q$73+'[1]Total P&amp;C'!$X$73+'[1]Total P&amp;C'!$AW$73+'[1]Total P&amp;C'!$AZ$73)/1000/AH265</f>
        <v>0</v>
      </c>
      <c r="AI270" s="54">
        <f>-('[1]Total P&amp;C'!$Q$70+'[1]Total P&amp;C'!$X$70+'[1]Total P&amp;C'!$AW$70+'[1]Total P&amp;C'!$AZ$70+'[1]Total P&amp;C'!$Q$74+'[1]Total P&amp;C'!$X$74+'[1]Total P&amp;C'!$AW$74+'[1]Total P&amp;C'!$AZ$74)/1000/AI265</f>
        <v>0</v>
      </c>
      <c r="AJ270" s="54">
        <f>-('[1]Total P&amp;C'!$Q$71+'[1]Total P&amp;C'!$X$71+'[1]Total P&amp;C'!$AW$71+'[1]Total P&amp;C'!$AZ$71+'[1]Total P&amp;C'!$Q$75+'[1]Total P&amp;C'!$X$75+'[1]Total P&amp;C'!$AW$75+'[1]Total P&amp;C'!$AZ$75)/1000/AJ265</f>
        <v>9.45533273915195E-3</v>
      </c>
      <c r="AL270" s="203"/>
      <c r="AM270" s="9"/>
      <c r="AN270" s="48" t="s">
        <v>25</v>
      </c>
      <c r="AT270" s="24">
        <f>-([2]Retail!$Q$69+[2]Retail!$X$69+[2]Retail!$AW$69+[2]Retail!$AZ$69+[2]Retail!$Q$73+[2]Retail!$X$73+[2]Retail!$AW$73+[2]Retail!$AZ$73)/1000/AT265</f>
        <v>0</v>
      </c>
      <c r="AU270" s="51">
        <f>-([2]Retail!$Q$70+[2]Retail!$X$70+[2]Retail!$AW$70+[2]Retail!$AZ$70+[2]Retail!$Q$74+[2]Retail!$X$74+[2]Retail!$AW$74+[2]Retail!$AZ$74)/1000/AU265</f>
        <v>0</v>
      </c>
      <c r="AV270" s="51">
        <f>-([2]Retail!$Q$71+[2]Retail!$X$71+[2]Retail!$AW$71+[2]Retail!$AZ$71+[2]Retail!$Q$75+[2]Retail!$X$75+[2]Retail!$AW$75+[2]Retail!$AZ$75)/1000/AV265</f>
        <v>0</v>
      </c>
      <c r="AW270" s="7"/>
      <c r="AX270" s="24">
        <f>-([2]SME!$Q$69+[2]SME!$X$69+[2]SME!$AW$69+[2]SME!$AZ$69+[2]SME!$Q$73+[2]SME!$X$73+[2]SME!$AW$73+[2]SME!$AZ$73)/1000/AX265</f>
        <v>0</v>
      </c>
      <c r="AY270" s="24">
        <f>-([2]SME!$Q$70+[2]SME!$X$70+[2]SME!$AW$70+[2]SME!$AZ$70+[2]SME!$Q$74+[2]SME!$X$74+[2]SME!$AW$74+[2]SME!$AZ$74)/1000/AY265</f>
        <v>4.5464334568899888E-2</v>
      </c>
      <c r="AZ270" s="24">
        <f>-([2]SME!$Q$71+[2]SME!$X$71+[2]SME!$AW$71+[2]SME!$AZ$71+[2]SME!$Q$75+[2]SME!$X$75+[2]SME!$AW$75+[2]SME!$AZ$75)/1000/AZ265</f>
        <v>0</v>
      </c>
      <c r="BA270" s="7"/>
      <c r="BB270" s="51"/>
      <c r="BC270" s="51"/>
      <c r="BD270" s="51"/>
      <c r="BJ270" s="24" t="e">
        <f>-([2]Specials!$Q$69+[2]Specials!$X$69+[2]Specials!$AW$69+[2]Specials!$AZ$69+[2]Specials!$Q$73+[2]Specials!$X$73+[2]Specials!$AW$73+[2]Specials!$AZ$73)/1000/BJ265</f>
        <v>#DIV/0!</v>
      </c>
      <c r="BK270" s="24" t="e">
        <f>-([2]Specials!$Q$70+[2]Specials!$X$70+[2]Specials!$AW$70+[2]Specials!$AZ$70+[2]Specials!$Q$74+[2]Specials!$X$74+[2]Specials!$AW$74+[2]Specials!$AZ$74)/1000/BK265</f>
        <v>#DIV/0!</v>
      </c>
      <c r="BL270" s="24" t="e">
        <f>-([2]Specials!$Q$71+[2]Specials!$X$71+[2]Specials!$AW$71+[2]Specials!$AZ$71+[2]Specials!$Q$75+[2]Specials!$X$75+[2]Specials!$AW$75+[2]Specials!$AZ$75)/1000/BL265</f>
        <v>#DIV/0!</v>
      </c>
      <c r="BM270" s="7"/>
      <c r="BN270" s="54">
        <f>-('[2]Total P&amp;C'!$Q$69+'[2]Total P&amp;C'!$X$69+'[2]Total P&amp;C'!$AW$69+'[2]Total P&amp;C'!$AZ$69+'[2]Total P&amp;C'!$Q$73+'[2]Total P&amp;C'!$X$73+'[2]Total P&amp;C'!$AW$73+'[2]Total P&amp;C'!$AZ$73)/1000/BN265</f>
        <v>9.6037645810078981E-2</v>
      </c>
      <c r="BO270" s="54">
        <f>-('[2]Total P&amp;C'!$Q$70+'[2]Total P&amp;C'!$X$70+'[2]Total P&amp;C'!$AW$70+'[2]Total P&amp;C'!$AZ$70+'[2]Total P&amp;C'!$Q$74+'[2]Total P&amp;C'!$X$74+'[2]Total P&amp;C'!$AW$74+'[2]Total P&amp;C'!$AZ$74)/1000/BO265</f>
        <v>3.6079683136878711E-2</v>
      </c>
      <c r="BP270" s="54">
        <f>-('[2]Total P&amp;C'!$Q$71+'[2]Total P&amp;C'!$X$71+'[2]Total P&amp;C'!$AW$71+'[2]Total P&amp;C'!$AZ$71+'[2]Total P&amp;C'!$Q$75+'[2]Total P&amp;C'!$X$75+'[2]Total P&amp;C'!$AW$75+'[2]Total P&amp;C'!$AZ$75)/1000/BP265</f>
        <v>0.11142058896863906</v>
      </c>
      <c r="BR270" s="54">
        <f>-('[3]Total P&amp;C'!$Q$69+'[3]Total P&amp;C'!$X$69+'[3]Total P&amp;C'!$AW$69+'[3]Total P&amp;C'!$AZ$69+'[3]Total P&amp;C'!$Q$73+'[3]Total P&amp;C'!$X$73+'[3]Total P&amp;C'!$AW$73+'[3]Total P&amp;C'!$AZ$73)/1000/BR265</f>
        <v>5.3189502354742416E-2</v>
      </c>
      <c r="BS270" s="54">
        <f>-('[3]Total P&amp;C'!$Q$70+'[3]Total P&amp;C'!$X$70+'[3]Total P&amp;C'!$AW$70+'[3]Total P&amp;C'!$AZ$70+'[3]Total P&amp;C'!$Q$74+'[3]Total P&amp;C'!$X$74+'[3]Total P&amp;C'!$AW$74+'[3]Total P&amp;C'!$AZ$74)/1000/BS265</f>
        <v>2.0585159857129338E-2</v>
      </c>
      <c r="BT270" s="54">
        <f>-('[3]Total P&amp;C'!$Q$71+'[3]Total P&amp;C'!$X$71+'[3]Total P&amp;C'!$AW$71+'[3]Total P&amp;C'!$AZ$71+'[3]Total P&amp;C'!$Q$75+'[3]Total P&amp;C'!$X$75+'[3]Total P&amp;C'!$AW$75+'[3]Total P&amp;C'!$AZ$75)/1000/BT265</f>
        <v>6.69061784353564E-2</v>
      </c>
    </row>
    <row r="271" spans="2:72" ht="16.5" customHeight="1" x14ac:dyDescent="0.25">
      <c r="B271" s="203"/>
      <c r="C271" s="9"/>
      <c r="D271" s="48" t="s">
        <v>26</v>
      </c>
      <c r="J271" s="51"/>
      <c r="K271" s="51"/>
      <c r="L271" s="51"/>
      <c r="M271" s="7"/>
      <c r="N271" s="51"/>
      <c r="O271" s="51"/>
      <c r="P271" s="51"/>
      <c r="Q271" s="7"/>
      <c r="R271" s="51"/>
      <c r="S271" s="51"/>
      <c r="T271" s="51"/>
      <c r="U271" s="7"/>
      <c r="V271" s="51"/>
      <c r="W271" s="51"/>
      <c r="X271" s="51"/>
      <c r="Y271" s="7"/>
      <c r="Z271" s="51"/>
      <c r="AA271" s="51"/>
      <c r="AB271" s="51"/>
      <c r="AC271" s="7"/>
      <c r="AD271" s="51"/>
      <c r="AE271" s="51"/>
      <c r="AF271" s="51"/>
      <c r="AG271" s="7"/>
      <c r="AH271" s="54">
        <f>-('[1]Total P&amp;C'!$AT$69+'[1]Total P&amp;C'!$AT$73)/1000/AH265</f>
        <v>5.0095845232198455E-2</v>
      </c>
      <c r="AI271" s="54">
        <f>-('[1]Total P&amp;C'!$AT$70+'[1]Total P&amp;C'!$AT$74)/1000/AI265</f>
        <v>6.6664666149287524E-2</v>
      </c>
      <c r="AJ271" s="54">
        <f>-('[1]Total P&amp;C'!$AT$71+'[1]Total P&amp;C'!$AT$75)/1000/AJ265</f>
        <v>6.4890474147655031E-2</v>
      </c>
      <c r="AL271" s="203"/>
      <c r="AM271" s="9"/>
      <c r="AN271" s="48" t="s">
        <v>26</v>
      </c>
      <c r="AT271" s="24">
        <f>-([2]Retail!$AT$69+[2]Retail!$AT$73)/1000/AT265</f>
        <v>4.9672106311373469E-2</v>
      </c>
      <c r="AU271" s="51">
        <f>-([2]Retail!$AT$70+[2]Retail!$AT$74)/1000/AU265</f>
        <v>1.8581892390067616E-2</v>
      </c>
      <c r="AV271" s="51">
        <f>-([2]Retail!$AT$71+[2]Retail!$AT$75)/1000/AV265</f>
        <v>4.017409294210153E-2</v>
      </c>
      <c r="AW271" s="7"/>
      <c r="AX271" s="24">
        <f>-([2]SME!$AT$69+[2]SME!$AT$73)/1000/AX265</f>
        <v>8.1024975332490132E-2</v>
      </c>
      <c r="AY271" s="24">
        <f>-([2]SME!$AT$70+[2]SME!$AT$74)/1000/AY265</f>
        <v>0.10561290096320859</v>
      </c>
      <c r="AZ271" s="24">
        <f>-([2]SME!$AT$71+[2]SME!$AT$75)/1000/AZ265</f>
        <v>0.10064354180907345</v>
      </c>
      <c r="BA271" s="7"/>
      <c r="BB271" s="51"/>
      <c r="BC271" s="51"/>
      <c r="BD271" s="51"/>
      <c r="BJ271" s="24" t="e">
        <f>-([2]Specials!$AT$69+[2]Specials!$AT$73)/1000/BJ265</f>
        <v>#DIV/0!</v>
      </c>
      <c r="BK271" s="24" t="e">
        <f>-([2]Specials!$AT$70+[2]Specials!$AT$74)/1000/BK265</f>
        <v>#DIV/0!</v>
      </c>
      <c r="BL271" s="24" t="e">
        <f>-([2]Specials!$AT$71+[2]Specials!$AT$75)/1000/BL265</f>
        <v>#DIV/0!</v>
      </c>
      <c r="BM271" s="7"/>
      <c r="BN271" s="54">
        <f>-('[2]Total P&amp;C'!$AT$69+'[2]Total P&amp;C'!$AT$73)/1000/BN265</f>
        <v>5.6285363253067308E-2</v>
      </c>
      <c r="BO271" s="54">
        <f>-('[2]Total P&amp;C'!$AT$70+'[2]Total P&amp;C'!$AT$74)/1000/BO265</f>
        <v>7.4739197545239333E-2</v>
      </c>
      <c r="BP271" s="54">
        <f>-('[2]Total P&amp;C'!$AT$71+'[2]Total P&amp;C'!$AT$75)/1000/BP265</f>
        <v>6.5579045114967302E-2</v>
      </c>
      <c r="BR271" s="54">
        <f>-('[3]Total P&amp;C'!$AT$69+'[3]Total P&amp;C'!$AT$73)/1000/BR265</f>
        <v>5.3523848704886384E-2</v>
      </c>
      <c r="BS271" s="54">
        <f>-('[3]Total P&amp;C'!$AT$70+'[3]Total P&amp;C'!$AT$74)/1000/BS265</f>
        <v>7.1271566906328285E-2</v>
      </c>
      <c r="BT271" s="54">
        <f>-('[3]Total P&amp;C'!$AT$71+'[3]Total P&amp;C'!$AT$75)/1000/BT265</f>
        <v>6.527843947875675E-2</v>
      </c>
    </row>
    <row r="272" spans="2:72" ht="16.5" customHeight="1" x14ac:dyDescent="0.25">
      <c r="B272" s="203"/>
      <c r="C272" s="9"/>
      <c r="D272" s="49" t="s">
        <v>27</v>
      </c>
      <c r="J272" s="24"/>
      <c r="K272" s="24"/>
      <c r="L272" s="24"/>
      <c r="M272" s="7"/>
      <c r="N272" s="24"/>
      <c r="O272" s="24"/>
      <c r="P272" s="24"/>
      <c r="Q272" s="7"/>
      <c r="R272" s="24"/>
      <c r="S272" s="24"/>
      <c r="T272" s="24"/>
      <c r="U272" s="7"/>
      <c r="V272" s="24"/>
      <c r="W272" s="24"/>
      <c r="X272" s="24"/>
      <c r="Y272" s="7"/>
      <c r="Z272" s="24"/>
      <c r="AA272" s="24"/>
      <c r="AB272" s="24"/>
      <c r="AC272" s="7"/>
      <c r="AD272" s="24"/>
      <c r="AE272" s="24"/>
      <c r="AF272" s="24"/>
      <c r="AG272" s="7"/>
      <c r="AH272" s="54">
        <f>-('[1]Total P&amp;C'!$Z$69+'[1]Total P&amp;C'!$AA$69+'[1]Total P&amp;C'!$BB$69+'[1]Total P&amp;C'!$BC$69+'[1]Total P&amp;C'!$Z$73+'[1]Total P&amp;C'!$AA$73+'[1]Total P&amp;C'!$BB$73+'[1]Total P&amp;C'!$BC$73)/1000/AH265</f>
        <v>-0.23290704900050249</v>
      </c>
      <c r="AI272" s="54">
        <f>-('[1]Total P&amp;C'!$Z$70+'[1]Total P&amp;C'!$AA$70+'[1]Total P&amp;C'!$BB$70+'[1]Total P&amp;C'!$BC$70+'[1]Total P&amp;C'!$Z$74+'[1]Total P&amp;C'!$AA$74+'[1]Total P&amp;C'!$BB$74+'[1]Total P&amp;C'!$BC$74)/1000/AI265</f>
        <v>-0.17321492518643389</v>
      </c>
      <c r="AJ272" s="54">
        <f>-('[1]Total P&amp;C'!$Z$71+'[1]Total P&amp;C'!$AA$71+'[1]Total P&amp;C'!$BB$71+'[1]Total P&amp;C'!$BC$71+'[1]Total P&amp;C'!$Z$75+'[1]Total P&amp;C'!$AA$75+'[1]Total P&amp;C'!$BB$75+'[1]Total P&amp;C'!$BC$75)/1000/AJ265</f>
        <v>-0.16246864811811718</v>
      </c>
      <c r="AL272" s="203"/>
      <c r="AM272" s="9"/>
      <c r="AN272" s="49" t="s">
        <v>27</v>
      </c>
      <c r="AT272" s="24">
        <f>-([2]Retail!$Z$69+[2]Retail!$AA$69+[2]Retail!$BB$69+[2]Retail!$BC$69+[2]Retail!$Z$73+[2]Retail!$AA$73+[2]Retail!$BB$73+[2]Retail!$BC$73)/1000/AT265</f>
        <v>-0.12769838959722449</v>
      </c>
      <c r="AU272" s="24">
        <f>-([2]Retail!$Z$70+[2]Retail!$AA$70+[2]Retail!$BB$70+[2]Retail!$BC$70+[2]Retail!$Z$74+[2]Retail!$AA$74+[2]Retail!$BB$74+[2]Retail!$BC$74)/1000/AU265</f>
        <v>-4.1056175100950172E-2</v>
      </c>
      <c r="AV272" s="24">
        <f>-([2]Retail!$Z$71+[2]Retail!$AA$71+[2]Retail!$BB$71+[2]Retail!$BC$71+[2]Retail!$Z$75+[2]Retail!$AA$75+[2]Retail!$BB$75+[2]Retail!$BC$75)/1000/AV265</f>
        <v>-9.2552048256216296E-2</v>
      </c>
      <c r="AW272" s="7"/>
      <c r="AX272" s="24">
        <f>-([2]SME!$Z$69+[2]SME!$AA$69+[2]SME!$BB$69+[2]SME!$BC$69+[2]SME!$Z$73+[2]SME!$AA$73+[2]SME!$BB$73+[2]SME!$BC$73)/1000/AX265</f>
        <v>-1.7585759685788457E-2</v>
      </c>
      <c r="AY272" s="24">
        <f>-([2]SME!$Z$70+[2]SME!$AA$70+[2]SME!$BB$70+[2]SME!$BC$70+[2]SME!$Z$74+[2]SME!$AA$74+[2]SME!$BB$74+[2]SME!$BC$74)/1000/AY265</f>
        <v>-0.1276754165047195</v>
      </c>
      <c r="AZ272" s="24">
        <f>-([2]SME!$Z$71+[2]SME!$AA$71+[2]SME!$BB$71+[2]SME!$BC$71+[2]SME!$Z$75+[2]SME!$AA$75+[2]SME!$BB$75+[2]SME!$BC$75)/1000/AZ265</f>
        <v>-0.14511092400565945</v>
      </c>
      <c r="BA272" s="7"/>
      <c r="BB272" s="24"/>
      <c r="BC272" s="24"/>
      <c r="BD272" s="24"/>
      <c r="BJ272" s="24" t="e">
        <f>-([2]Specials!$Z$69+[2]Specials!$AA$69+[2]Specials!$BB$69+[2]Specials!$BC$69+[2]Specials!$Z$73+[2]Specials!$AA$73+[2]Specials!$BB$73+[2]Specials!$BC$73)/1000/BJ265</f>
        <v>#DIV/0!</v>
      </c>
      <c r="BK272" s="24" t="e">
        <f>-([2]Specials!$Z$70+[2]Specials!$AA$70+[2]Specials!$BB$70+[2]Specials!$BC$70+[2]Specials!$Z$74+[2]Specials!$AA$74+[2]Specials!$BB$74+[2]Specials!$BC$74)/1000/BK265</f>
        <v>#DIV/0!</v>
      </c>
      <c r="BL272" s="24" t="e">
        <f>-([2]Specials!$Z$71+[2]Specials!$AA$71+[2]Specials!$BB$71+[2]Specials!$BC$71+[2]Specials!$Z$75+[2]Specials!$AA$75+[2]Specials!$BB$75+[2]Specials!$BC$75)/1000/BL265</f>
        <v>#DIV/0!</v>
      </c>
      <c r="BM272" s="7"/>
      <c r="BN272" s="54">
        <f>-('[2]Total P&amp;C'!$Z$69+'[2]Total P&amp;C'!$AA$69+'[2]Total P&amp;C'!$BB$69+'[2]Total P&amp;C'!$BC$69+'[2]Total P&amp;C'!$Z$73+'[2]Total P&amp;C'!$AA$73+'[2]Total P&amp;C'!$BB$73+'[2]Total P&amp;C'!$BC$73)/1000/BN265</f>
        <v>-5.2463499375609644E-2</v>
      </c>
      <c r="BO272" s="54">
        <f>-('[2]Total P&amp;C'!$Z$70+'[2]Total P&amp;C'!$AA$70+'[2]Total P&amp;C'!$BB$70+'[2]Total P&amp;C'!$BC$70+'[2]Total P&amp;C'!$Z$74+'[2]Total P&amp;C'!$AA$74+'[2]Total P&amp;C'!$BB$74+'[2]Total P&amp;C'!$BC$74)/1000/BO265</f>
        <v>-9.4611015182795508E-2</v>
      </c>
      <c r="BP272" s="54">
        <f>-('[2]Total P&amp;C'!$Z$71+'[2]Total P&amp;C'!$AA$71+'[2]Total P&amp;C'!$BB$71+'[2]Total P&amp;C'!$BC$71+'[2]Total P&amp;C'!$Z$75+'[2]Total P&amp;C'!$AA$75+'[2]Total P&amp;C'!$BB$75+'[2]Total P&amp;C'!$BC$75)/1000/BP265</f>
        <v>-0.13514285980224436</v>
      </c>
      <c r="BR272" s="54">
        <f>-('[3]Total P&amp;C'!$Z$69+'[3]Total P&amp;C'!$AA$69+'[3]Total P&amp;C'!$BB$69+'[3]Total P&amp;C'!$BC$69+'[3]Total P&amp;C'!$Z$73+'[3]Total P&amp;C'!$AA$73+'[3]Total P&amp;C'!$BB$73+'[3]Total P&amp;C'!$BC$73)/1000/BR265</f>
        <v>-0.13297016980365681</v>
      </c>
      <c r="BS272" s="54">
        <f>-('[3]Total P&amp;C'!$Z$70+'[3]Total P&amp;C'!$AA$70+'[3]Total P&amp;C'!$BB$70+'[3]Total P&amp;C'!$BC$70+'[3]Total P&amp;C'!$Z$74+'[3]Total P&amp;C'!$AA$74+'[3]Total P&amp;C'!$BB$74+'[3]Total P&amp;C'!$BC$74)/1000/BS265</f>
        <v>-0.12836768950862393</v>
      </c>
      <c r="BT272" s="54">
        <f>-('[3]Total P&amp;C'!$Z$71+'[3]Total P&amp;C'!$AA$71+'[3]Total P&amp;C'!$BB$71+'[3]Total P&amp;C'!$BC$71+'[3]Total P&amp;C'!$Z$75+'[3]Total P&amp;C'!$AA$75+'[3]Total P&amp;C'!$BB$75+'[3]Total P&amp;C'!$BC$75)/1000/BT265</f>
        <v>-0.14707232876273699</v>
      </c>
    </row>
    <row r="273" spans="2:72" ht="16.5" customHeight="1" x14ac:dyDescent="0.25">
      <c r="B273" s="203"/>
      <c r="C273" s="9"/>
      <c r="D273" s="49" t="s">
        <v>28</v>
      </c>
      <c r="J273" s="24"/>
      <c r="K273" s="24"/>
      <c r="L273" s="24"/>
      <c r="M273" s="7"/>
      <c r="N273" s="24"/>
      <c r="O273" s="24"/>
      <c r="P273" s="24"/>
      <c r="Q273" s="7"/>
      <c r="R273" s="24"/>
      <c r="S273" s="24"/>
      <c r="T273" s="24"/>
      <c r="U273" s="7"/>
      <c r="V273" s="24"/>
      <c r="W273" s="24"/>
      <c r="X273" s="24"/>
      <c r="Y273" s="7"/>
      <c r="Z273" s="24"/>
      <c r="AA273" s="24"/>
      <c r="AB273" s="24"/>
      <c r="AC273" s="7"/>
      <c r="AD273" s="24"/>
      <c r="AE273" s="24"/>
      <c r="AF273" s="24"/>
      <c r="AG273" s="7"/>
      <c r="AH273" s="54">
        <f>-SUM('[1]Total P&amp;C'!$AC$69:$AI$69,'[1]Total P&amp;C'!$BE$69:$BG$69,'[1]Total P&amp;C'!$AC$73:$AI$73,'[1]Total P&amp;C'!$BE$73:$BG$73)/1000/AH265</f>
        <v>1.9380533630135963E-2</v>
      </c>
      <c r="AI273" s="54">
        <f>-SUM('[1]Total P&amp;C'!$AC$70:$AI$70,'[1]Total P&amp;C'!$BE$70:$BG$70,'[1]Total P&amp;C'!$AC$74:$AI$74,'[1]Total P&amp;C'!$BE$74:$BG$74)/1000/AI265</f>
        <v>0.23104779797824937</v>
      </c>
      <c r="AJ273" s="54">
        <f>-SUM('[1]Total P&amp;C'!$AC$71:$AI$71,'[1]Total P&amp;C'!$BE$71:$BG$71,'[1]Total P&amp;C'!$AC$75:$AI$75,'[1]Total P&amp;C'!$BE$75:$BG$75)/1000/AJ265</f>
        <v>-1.6053358599148099E-2</v>
      </c>
      <c r="AL273" s="203"/>
      <c r="AM273" s="9"/>
      <c r="AN273" s="49" t="s">
        <v>28</v>
      </c>
      <c r="AT273" s="24">
        <f>-SUM([2]Retail!$AC$69:$AI$69,[2]Retail!$BE$69:$BG$69,[2]Retail!$AC$73:$AI$73,[2]Retail!$BE$73:$BG$73)/1000/AT265</f>
        <v>0.58445385329389521</v>
      </c>
      <c r="AU273" s="24">
        <f>-SUM([2]Retail!$AC$70:$AI$70,[2]Retail!$BE$70:$BG$70,[2]Retail!$AC$74:$AI$74,[2]Retail!$BE$74:$BG$74)/1000/AU265</f>
        <v>-5.9267398726926108E-2</v>
      </c>
      <c r="AV273" s="24">
        <f>-SUM([2]Retail!$AC$71:$AI$71,[2]Retail!$BE$71:$BG$71,[2]Retail!$AC$75:$AI$75,[2]Retail!$BE$75:$BG$75)/1000/AV265</f>
        <v>-0.11381819064519301</v>
      </c>
      <c r="AW273" s="7"/>
      <c r="AX273" s="24">
        <f>-SUM([2]SME!$AC$69:$AI$69,[2]SME!$BE$69:$BG$69,[2]SME!$AC$73:$AI$73,[2]SME!$BE$73:$BG$73)/1000/AX265</f>
        <v>-2.3929528002416468E-2</v>
      </c>
      <c r="AY273" s="24">
        <f>-SUM([2]SME!$AC$70:$AI$70,[2]SME!$BE$70:$BG$70,[2]SME!$AC$74:$AI$74,[2]SME!$BE$74:$BG$74)/1000/AY265</f>
        <v>3.2312454181963803E-2</v>
      </c>
      <c r="AZ273" s="24">
        <f>-SUM([2]SME!$AC$71:$AI$71,[2]SME!$BE$71:$BG$71,[2]SME!$AC$75:$AI$75,[2]SME!$BE$75:$BG$75)/1000/AZ265</f>
        <v>-2.0762242214711409E-2</v>
      </c>
      <c r="BA273" s="7"/>
      <c r="BB273" s="24"/>
      <c r="BC273" s="24"/>
      <c r="BD273" s="24"/>
      <c r="BJ273" s="24" t="e">
        <f>-SUM([2]Specials!$AC$69:$AI$69,[2]Specials!$BE$69:$BG$69,[2]Specials!$AC$73:$AI$73,[2]Specials!$BE$73:$BG$73)/1000/BJ265</f>
        <v>#DIV/0!</v>
      </c>
      <c r="BK273" s="24" t="e">
        <f>-SUM([2]Specials!$AC$70:$AI$70,[2]Specials!$BE$70:$BG$70,[2]Specials!$AC$74:$AI$74,[2]Specials!$BE$74:$BG$74)/1000/BK265</f>
        <v>#DIV/0!</v>
      </c>
      <c r="BL273" s="24" t="e">
        <f>-SUM([2]Specials!$AC$71:$AI$71,[2]Specials!$BE$71:$BG$71,[2]Specials!$AC$75:$AI$75,[2]Specials!$BE$75:$BG$75)/1000/BL265</f>
        <v>#DIV/0!</v>
      </c>
      <c r="BM273" s="7"/>
      <c r="BN273" s="54">
        <f>-SUM('[2]Total P&amp;C'!$AC$69:$AI$69,'[2]Total P&amp;C'!$BE$69:$BG$69,'[2]Total P&amp;C'!$AC$73:$AI$73,'[2]Total P&amp;C'!$BE$73:$BG$73)/1000/BN265</f>
        <v>-6.749701191029911E-2</v>
      </c>
      <c r="BO273" s="54">
        <f>-SUM('[2]Total P&amp;C'!$AC$70:$AI$70,'[2]Total P&amp;C'!$BE$70:$BG$70,'[2]Total P&amp;C'!$AC$74:$AI$74,'[2]Total P&amp;C'!$BE$74:$BG$74)/1000/BO265</f>
        <v>-3.4383826752120025E-2</v>
      </c>
      <c r="BP273" s="54">
        <f>-SUM('[2]Total P&amp;C'!$AC$71:$AI$71,'[2]Total P&amp;C'!$BE$71:$BG$71,'[2]Total P&amp;C'!$AC$75:$AI$75,'[2]Total P&amp;C'!$BE$75:$BG$75)/1000/BP265</f>
        <v>-2.7784660690203425E-2</v>
      </c>
      <c r="BR273" s="54">
        <f>-SUM('[3]Total P&amp;C'!$AC$69:$AI$69,'[3]Total P&amp;C'!$BE$69:$BG$69,'[3]Total P&amp;C'!$AC$73:$AI$73,'[3]Total P&amp;C'!$BE$73:$BG$73)/1000/BR265</f>
        <v>-2.8735737589542929E-2</v>
      </c>
      <c r="BS273" s="54">
        <f>-SUM('[3]Total P&amp;C'!$AC$70:$AI$70,'[3]Total P&amp;C'!$BE$70:$BG$70,'[3]Total P&amp;C'!$AC$74:$AI$74,'[3]Total P&amp;C'!$BE$74:$BG$74)/1000/BS265</f>
        <v>7.960654486404832E-2</v>
      </c>
      <c r="BT273" s="54">
        <f>-SUM('[3]Total P&amp;C'!$AC$71:$AI$71,'[3]Total P&amp;C'!$BE$71:$BG$71,'[3]Total P&amp;C'!$AC$75:$AI$75,'[3]Total P&amp;C'!$BE$75:$BG$75)/1000/BT265</f>
        <v>-2.2663190724042718E-2</v>
      </c>
    </row>
    <row r="274" spans="2:72" ht="16.5" customHeight="1" x14ac:dyDescent="0.25">
      <c r="B274" s="203"/>
      <c r="C274" s="9"/>
      <c r="D274" s="49" t="s">
        <v>29</v>
      </c>
      <c r="J274" s="24"/>
      <c r="K274" s="24"/>
      <c r="L274" s="24"/>
      <c r="M274" s="7"/>
      <c r="N274" s="24"/>
      <c r="O274" s="24"/>
      <c r="P274" s="24"/>
      <c r="Q274" s="7"/>
      <c r="R274" s="24"/>
      <c r="S274" s="24"/>
      <c r="T274" s="24"/>
      <c r="U274" s="7"/>
      <c r="V274" s="24"/>
      <c r="W274" s="24"/>
      <c r="X274" s="24"/>
      <c r="Y274" s="7"/>
      <c r="Z274" s="24"/>
      <c r="AA274" s="24"/>
      <c r="AB274" s="24"/>
      <c r="AC274" s="7"/>
      <c r="AD274" s="24"/>
      <c r="AE274" s="24"/>
      <c r="AF274" s="24"/>
      <c r="AG274" s="7"/>
      <c r="AH274" s="54">
        <f>-SUM('[1]Total P&amp;C'!$AJ$69:$AK$69,'[1]Total P&amp;C'!$BH$69:$BI$69,'[1]Total P&amp;C'!$AJ$73:$AK$73,'[1]Total P&amp;C'!$BH$73:$BI$73)/1000/AH265</f>
        <v>-3.2945081475688996E-2</v>
      </c>
      <c r="AI274" s="54">
        <f>-SUM('[1]Total P&amp;C'!$AJ$70:$AK$70,'[1]Total P&amp;C'!$BH$70:$BI$70,'[1]Total P&amp;C'!$AJ$74:$AK$74,'[1]Total P&amp;C'!$BH$74:$BI$74)/1000/AI265</f>
        <v>-0.17931391092406213</v>
      </c>
      <c r="AJ274" s="54">
        <f>-SUM('[1]Total P&amp;C'!$AJ$71:$AK$71,'[1]Total P&amp;C'!$BH$71:$BI$71,'[1]Total P&amp;C'!$AJ$75:$AK$75,'[1]Total P&amp;C'!$BH$75:$BI$75)/1000/AJ265</f>
        <v>0</v>
      </c>
      <c r="AL274" s="203"/>
      <c r="AM274" s="9"/>
      <c r="AN274" s="49" t="s">
        <v>29</v>
      </c>
      <c r="AT274" s="24">
        <f>-SUM([2]Retail!$AJ$69:$AK$69,[2]Retail!$BH$69:$BI$69,[2]Retail!$AJ$73:$AK$73,[2]Retail!$BH$73:$BI$73)/1000/AT265</f>
        <v>-2.4047450298233655E-2</v>
      </c>
      <c r="AU274" s="24">
        <f>-SUM([2]Retail!$AJ$70:$AK$70,[2]Retail!$BH$70:$BI$70,[2]Retail!$AJ$74:$AK$74,[2]Retail!$BH$74:$BI$74)/1000/AU265</f>
        <v>2.5764862840875358E-2</v>
      </c>
      <c r="AV274" s="24">
        <f>-SUM([2]Retail!$AJ$71:$AK$71,[2]Retail!$BH$71:$BI$71,[2]Retail!$AJ$75:$AK$75,[2]Retail!$BH$75:$BI$75)/1000/AV265</f>
        <v>0</v>
      </c>
      <c r="AW274" s="7"/>
      <c r="AX274" s="24">
        <f>-SUM([2]SME!$AJ$69:$AK$69,[2]SME!$BH$69:$BI$69,[2]SME!$AJ$73:$AK$73,[2]SME!$BH$73:$BI$73)/1000/AX265</f>
        <v>-4.3745873635540576E-2</v>
      </c>
      <c r="AY274" s="24">
        <f>-SUM([2]SME!$AJ$70:$AK$70,[2]SME!$BH$70:$BI$70,[2]SME!$AJ$74:$AK$74,[2]SME!$BH$74:$BI$74)/1000/AY265</f>
        <v>-2.4109253877075722E-2</v>
      </c>
      <c r="AZ274" s="24">
        <f>-SUM([2]SME!$AJ$71:$AK$71,[2]SME!$BH$71:$BI$71,[2]SME!$AJ$75:$AK$75,[2]SME!$BH$75:$BI$75)/1000/AZ265</f>
        <v>0</v>
      </c>
      <c r="BA274" s="7"/>
      <c r="BB274" s="24"/>
      <c r="BC274" s="24"/>
      <c r="BD274" s="24"/>
      <c r="BJ274" s="24" t="e">
        <f>-SUM([2]Specials!$AJ$69:$AK$69,[2]Specials!$BH$69:$BI$69,[2]Specials!$AJ$73:$AK$73,[2]Specials!$BH$73:$BI$73)/1000/BJ265</f>
        <v>#DIV/0!</v>
      </c>
      <c r="BK274" s="24" t="e">
        <f>-SUM([2]Specials!$AJ$70:$AK$70,[2]Specials!$BH$70:$BI$70,[2]Specials!$AJ$74:$AK$74,[2]Specials!$BH$74:$BI$74)/1000/BK265</f>
        <v>#DIV/0!</v>
      </c>
      <c r="BL274" s="24" t="e">
        <f>-SUM([2]Specials!$AJ$71:$AK$71,[2]Specials!$BH$71:$BI$71,[2]Specials!$AJ$75:$AK$75,[2]Specials!$BH$75:$BI$75)/1000/BL265</f>
        <v>#DIV/0!</v>
      </c>
      <c r="BM274" s="7"/>
      <c r="BN274" s="54">
        <f>-SUM('[2]Total P&amp;C'!$AJ$69:$AK$69,'[2]Total P&amp;C'!$BH$69:$BI$69,'[2]Total P&amp;C'!$AJ$73:$AK$73,'[2]Total P&amp;C'!$BH$73:$BI$73)/1000/BN265</f>
        <v>1.247809708721861E-2</v>
      </c>
      <c r="BO274" s="54">
        <f>-SUM('[2]Total P&amp;C'!$AJ$70:$AK$70,'[2]Total P&amp;C'!$BH$70:$BI$70,'[2]Total P&amp;C'!$AJ$74:$AK$74,'[2]Total P&amp;C'!$BH$74:$BI$74)/1000/BO265</f>
        <v>-4.619974315976233E-2</v>
      </c>
      <c r="BP274" s="54">
        <f>-SUM('[2]Total P&amp;C'!$AJ$71:$AK$71,'[2]Total P&amp;C'!$BH$71:$BI$71,'[2]Total P&amp;C'!$AJ$75:$AK$75,'[2]Total P&amp;C'!$BH$75:$BI$75)/1000/BP265</f>
        <v>0</v>
      </c>
      <c r="BR274" s="54">
        <f>-SUM('[3]Total P&amp;C'!$AJ$69:$AK$69,'[3]Total P&amp;C'!$BH$69:$BI$69,'[3]Total P&amp;C'!$AJ$73:$AK$73,'[3]Total P&amp;C'!$BH$73:$BI$73)/1000/BR265</f>
        <v>-7.7879023012896488E-3</v>
      </c>
      <c r="BS274" s="54">
        <f>-SUM('[3]Total P&amp;C'!$AJ$70:$AK$70,'[3]Total P&amp;C'!$BH$70:$BI$70,'[3]Total P&amp;C'!$AJ$74:$AK$74,'[3]Total P&amp;C'!$BH$74:$BI$74)/1000/BS265</f>
        <v>-0.10336600383515576</v>
      </c>
      <c r="BT274" s="54">
        <f>-SUM('[3]Total P&amp;C'!$AJ$71:$AK$71,'[3]Total P&amp;C'!$BH$71:$BI$71,'[3]Total P&amp;C'!$AJ$75:$AK$75,'[3]Total P&amp;C'!$BH$75:$BI$75)/1000/BT265</f>
        <v>0</v>
      </c>
    </row>
    <row r="275" spans="2:72" ht="16.5" customHeight="1" x14ac:dyDescent="0.25">
      <c r="B275" s="203"/>
      <c r="C275" s="9"/>
      <c r="D275" s="49" t="s">
        <v>30</v>
      </c>
      <c r="J275" s="24"/>
      <c r="K275" s="24"/>
      <c r="L275" s="24"/>
      <c r="M275" s="7"/>
      <c r="N275" s="24"/>
      <c r="O275" s="24"/>
      <c r="P275" s="24"/>
      <c r="Q275" s="7"/>
      <c r="R275" s="24"/>
      <c r="S275" s="24"/>
      <c r="T275" s="24"/>
      <c r="U275" s="7"/>
      <c r="V275" s="24"/>
      <c r="W275" s="24"/>
      <c r="X275" s="24"/>
      <c r="Y275" s="7"/>
      <c r="Z275" s="24"/>
      <c r="AA275" s="24"/>
      <c r="AB275" s="24"/>
      <c r="AC275" s="7"/>
      <c r="AD275" s="24"/>
      <c r="AE275" s="24"/>
      <c r="AF275" s="24"/>
      <c r="AG275" s="7"/>
      <c r="AH275" s="54">
        <f>+AH276+AH277+AH278</f>
        <v>0.13072247848572674</v>
      </c>
      <c r="AI275" s="54">
        <f>+AI276+AI277+AI278</f>
        <v>0.12071726771900751</v>
      </c>
      <c r="AJ275" s="54">
        <f>+AJ276+AJ277+AJ278</f>
        <v>0.14216831692673881</v>
      </c>
      <c r="AL275" s="203"/>
      <c r="AM275" s="9"/>
      <c r="AN275" s="49" t="s">
        <v>30</v>
      </c>
      <c r="AT275" s="24">
        <f>+AT276+AT277+AT278</f>
        <v>0.13230058820646554</v>
      </c>
      <c r="AU275" s="24">
        <f>+AU276+AU277+AU278</f>
        <v>0.43939919618304402</v>
      </c>
      <c r="AV275" s="24">
        <f>+AV276+AV277+AV278</f>
        <v>0.15578974768536244</v>
      </c>
      <c r="AW275" s="7"/>
      <c r="AX275" s="24">
        <f>+AX276+AX277+AX278</f>
        <v>0.20217637892708334</v>
      </c>
      <c r="AY275" s="24">
        <f>+AY276+AY277+AY278</f>
        <v>0.20942954804744157</v>
      </c>
      <c r="AZ275" s="24">
        <f>+AZ276+AZ277+AZ278</f>
        <v>0.21199524344167475</v>
      </c>
      <c r="BA275" s="7"/>
      <c r="BB275" s="24"/>
      <c r="BC275" s="24"/>
      <c r="BD275" s="24"/>
      <c r="BJ275" s="24" t="e">
        <f>+BJ276+BJ277+BJ278</f>
        <v>#DIV/0!</v>
      </c>
      <c r="BK275" s="24" t="e">
        <f>+BK276+BK277+BK278</f>
        <v>#DIV/0!</v>
      </c>
      <c r="BL275" s="24" t="e">
        <f>+BL276+BL277+BL278</f>
        <v>#DIV/0!</v>
      </c>
      <c r="BM275" s="7"/>
      <c r="BN275" s="54">
        <f>+BN276+BN277+BN278</f>
        <v>0.20084553078566508</v>
      </c>
      <c r="BO275" s="54">
        <f>+BO276+BO277+BO278</f>
        <v>0.19968161343946983</v>
      </c>
      <c r="BP275" s="54">
        <f>+BP276+BP277+BP278</f>
        <v>0.20451323947157832</v>
      </c>
      <c r="BR275" s="54">
        <f>+BR276+BR277+BR278</f>
        <v>0.1695594389710478</v>
      </c>
      <c r="BS275" s="54">
        <f>+BS276+BS277+BS278</f>
        <v>0.16577014896251963</v>
      </c>
      <c r="BT275" s="54">
        <f>+BT276+BT277+BT278</f>
        <v>0.17729565988171675</v>
      </c>
    </row>
    <row r="276" spans="2:72" ht="16.5" customHeight="1" x14ac:dyDescent="0.25">
      <c r="B276" s="203"/>
      <c r="C276" s="9"/>
      <c r="D276" s="50" t="s">
        <v>31</v>
      </c>
      <c r="J276" s="51"/>
      <c r="K276" s="51"/>
      <c r="L276" s="51"/>
      <c r="M276" s="8"/>
      <c r="N276" s="51"/>
      <c r="O276" s="51"/>
      <c r="P276" s="51"/>
      <c r="Q276" s="8"/>
      <c r="R276" s="51"/>
      <c r="S276" s="51"/>
      <c r="T276" s="51"/>
      <c r="U276" s="8"/>
      <c r="V276" s="51"/>
      <c r="W276" s="51"/>
      <c r="X276" s="51"/>
      <c r="Y276" s="8"/>
      <c r="Z276" s="51"/>
      <c r="AA276" s="51"/>
      <c r="AB276" s="51"/>
      <c r="AC276" s="8"/>
      <c r="AD276" s="51"/>
      <c r="AE276" s="51"/>
      <c r="AF276" s="51"/>
      <c r="AG276" s="8"/>
      <c r="AH276" s="54">
        <f>-SUM('[1]Total P&amp;C'!$AL$69:$AN$69,'[1]Total P&amp;C'!$BJ$69,'[1]Total P&amp;C'!$AL$73:$AN$73,'[1]Total P&amp;C'!$BJ$73)/1000/AH265</f>
        <v>3.7733476035144736E-2</v>
      </c>
      <c r="AI276" s="54">
        <f>-SUM('[1]Total P&amp;C'!$AL$70:$AN$70,'[1]Total P&amp;C'!$BJ$70,'[1]Total P&amp;C'!$AL$74:$AN$74,'[1]Total P&amp;C'!$BJ$74)/1000/AI265</f>
        <v>3.6923486407827034E-2</v>
      </c>
      <c r="AJ276" s="54">
        <f>-SUM('[1]Total P&amp;C'!$AL$71:$AN$71,'[1]Total P&amp;C'!$BJ$71,'[1]Total P&amp;C'!$AL$75:$AN$75,'[1]Total P&amp;C'!$BJ$75)/1000/AJ265</f>
        <v>3.7777349036220903E-2</v>
      </c>
      <c r="AL276" s="203"/>
      <c r="AM276" s="9"/>
      <c r="AN276" s="50" t="s">
        <v>31</v>
      </c>
      <c r="AT276" s="24">
        <f>-SUM([2]Retail!$AL$69:$AN$69,[2]Retail!$BJ$69,[2]Retail!$AL$73:$AN$73,[2]Retail!$BJ$73)/1000/AT265</f>
        <v>6.5272215021386859E-2</v>
      </c>
      <c r="AU276" s="51">
        <f>-SUM([2]Retail!$AL$70:$AN$70,[2]Retail!$BJ$70,[2]Retail!$AL$74:$AN$74,[2]Retail!$BJ$74)/1000/AU265</f>
        <v>8.1258578246701657E-2</v>
      </c>
      <c r="AV276" s="51">
        <f>-SUM([2]Retail!$AL$71:$AN$71,[2]Retail!$BJ$71,[2]Retail!$AL$75:$AN$75,[2]Retail!$BJ$75)/1000/AV265</f>
        <v>9.1930776473132178E-2</v>
      </c>
      <c r="AW276" s="8"/>
      <c r="AX276" s="24">
        <f>-SUM([2]SME!$AL$69:$AN$69,[2]SME!$BJ$69,[2]SME!$AL$73:$AN$73,[2]SME!$BJ$73)/1000/AX265</f>
        <v>6.6431381840923204E-2</v>
      </c>
      <c r="AY276" s="24">
        <f>-SUM([2]SME!$AL$70:$AN$70,[2]SME!$BJ$70,[2]SME!$AL$74:$AN$74,[2]SME!$BJ$74)/1000/AY265</f>
        <v>7.9144773935038729E-2</v>
      </c>
      <c r="AZ276" s="24">
        <f>-SUM([2]SME!$AL$71:$AN$71,[2]SME!$BJ$71,[2]SME!$AL$75:$AN$75,[2]SME!$BJ$75)/1000/AZ265</f>
        <v>7.2171313712339216E-2</v>
      </c>
      <c r="BA276" s="8"/>
      <c r="BB276" s="51"/>
      <c r="BC276" s="51"/>
      <c r="BD276" s="51"/>
      <c r="BJ276" s="24" t="e">
        <f>-SUM([2]Specials!$AL$69:$AN$69,[2]Specials!$BJ$69,[2]Specials!$AL$73:$AN$73,[2]Specials!$BJ$73)/1000/BJ265</f>
        <v>#DIV/0!</v>
      </c>
      <c r="BK276" s="24" t="e">
        <f>-SUM([2]Specials!$AL$70:$AN$70,[2]Specials!$BJ$70,[2]Specials!$AL$74:$AN$74,[2]Specials!$BJ$74)/1000/BK265</f>
        <v>#DIV/0!</v>
      </c>
      <c r="BL276" s="24" t="e">
        <f>-SUM([2]Specials!$AL$71:$AN$71,[2]Specials!$BJ$71,[2]Specials!$AL$75:$AN$75,[2]Specials!$BJ$75)/1000/BL265</f>
        <v>#DIV/0!</v>
      </c>
      <c r="BM276" s="8"/>
      <c r="BN276" s="54">
        <f>-SUM('[2]Total P&amp;C'!$AL$69:$AN$69,'[2]Total P&amp;C'!$BJ$69,'[2]Total P&amp;C'!$AL$73:$AN$73,'[2]Total P&amp;C'!$BJ$73)/1000/BN265</f>
        <v>7.3006010763114665E-2</v>
      </c>
      <c r="BO276" s="54">
        <f>-SUM('[2]Total P&amp;C'!$AL$70:$AN$70,'[2]Total P&amp;C'!$BJ$70,'[2]Total P&amp;C'!$AL$74:$AN$74,'[2]Total P&amp;C'!$BJ$74)/1000/BO265</f>
        <v>7.4567902964293234E-2</v>
      </c>
      <c r="BP276" s="54">
        <f>-SUM('[2]Total P&amp;C'!$AL$71:$AN$71,'[2]Total P&amp;C'!$BJ$71,'[2]Total P&amp;C'!$AL$75:$AN$75,'[2]Total P&amp;C'!$BJ$75)/1000/BP265</f>
        <v>7.2288087092713296E-2</v>
      </c>
      <c r="BR276" s="54">
        <f>-SUM('[3]Total P&amp;C'!$AL$69:$AN$69,'[3]Total P&amp;C'!$BJ$69,'[3]Total P&amp;C'!$AL$73:$AN$73,'[3]Total P&amp;C'!$BJ$73)/1000/BR265</f>
        <v>5.7268821296327661E-2</v>
      </c>
      <c r="BS276" s="54">
        <f>-SUM('[3]Total P&amp;C'!$AL$70:$AN$70,'[3]Total P&amp;C'!$BJ$70,'[3]Total P&amp;C'!$AL$74:$AN$74,'[3]Total P&amp;C'!$BJ$74)/1000/BS265</f>
        <v>5.8401400435047109E-2</v>
      </c>
      <c r="BT276" s="54">
        <f>-SUM('[3]Total P&amp;C'!$AL$71:$AN$71,'[3]Total P&amp;C'!$BJ$71,'[3]Total P&amp;C'!$AL$75:$AN$75,'[3]Total P&amp;C'!$BJ$75)/1000/BT265</f>
        <v>5.722192418134088E-2</v>
      </c>
    </row>
    <row r="277" spans="2:72" ht="16.5" customHeight="1" x14ac:dyDescent="0.25">
      <c r="B277" s="203"/>
      <c r="C277" s="9"/>
      <c r="D277" s="50" t="s">
        <v>32</v>
      </c>
      <c r="J277" s="51"/>
      <c r="K277" s="51"/>
      <c r="L277" s="51"/>
      <c r="M277" s="8"/>
      <c r="N277" s="51"/>
      <c r="O277" s="51"/>
      <c r="P277" s="51"/>
      <c r="Q277" s="8"/>
      <c r="R277" s="51"/>
      <c r="S277" s="51"/>
      <c r="T277" s="51"/>
      <c r="U277" s="8"/>
      <c r="V277" s="51"/>
      <c r="W277" s="51"/>
      <c r="X277" s="51"/>
      <c r="Y277" s="8"/>
      <c r="Z277" s="51"/>
      <c r="AA277" s="51"/>
      <c r="AB277" s="51"/>
      <c r="AC277" s="8"/>
      <c r="AD277" s="51"/>
      <c r="AE277" s="51"/>
      <c r="AF277" s="51"/>
      <c r="AG277" s="8"/>
      <c r="AH277" s="54">
        <f>-SUM('[1]Total P&amp;C'!$AO$69:$AP$69,'[1]Total P&amp;C'!$AO$73:$AP$73)/1000/AH265</f>
        <v>4.0969454771863478E-2</v>
      </c>
      <c r="AI277" s="54">
        <f>-SUM('[1]Total P&amp;C'!$AO$70:$AP$70,'[1]Total P&amp;C'!$AO$74:$AP$74)/1000/AI265</f>
        <v>3.4477894195226025E-2</v>
      </c>
      <c r="AJ277" s="54">
        <f>-SUM('[1]Total P&amp;C'!$AO$71:$AP$71,'[1]Total P&amp;C'!$AO$75:$AP$75)/1000/AJ265</f>
        <v>4.2815282469237603E-2</v>
      </c>
      <c r="AL277" s="203"/>
      <c r="AM277" s="9"/>
      <c r="AN277" s="50" t="s">
        <v>32</v>
      </c>
      <c r="AT277" s="24">
        <f>-SUM([2]Retail!$AO$69:$AP$69,[2]Retail!$AO$73:$AP$73)/1000/AT265</f>
        <v>1.3455850584549785E-2</v>
      </c>
      <c r="AU277" s="51">
        <f>-SUM([2]Retail!$AO$70:$AP$70,[2]Retail!$AO$74:$AP$74)/1000/AU265</f>
        <v>2.5255460881652807E-2</v>
      </c>
      <c r="AV277" s="51">
        <f>-SUM([2]Retail!$AO$71:$AP$71,[2]Retail!$AO$75:$AP$75)/1000/AV265</f>
        <v>1.2476608806371596E-2</v>
      </c>
      <c r="AW277" s="8"/>
      <c r="AX277" s="24">
        <f>-SUM([2]SME!$AO$69:$AP$69,[2]SME!$AO$73:$AP$73)/1000/AX265</f>
        <v>3.5213091887601182E-2</v>
      </c>
      <c r="AY277" s="24">
        <f>-SUM([2]SME!$AO$70:$AP$70,[2]SME!$AO$74:$AP$74)/1000/AY265</f>
        <v>6.52458566980917E-2</v>
      </c>
      <c r="AZ277" s="24">
        <f>-SUM([2]SME!$AO$71:$AP$71,[2]SME!$AO$75:$AP$75)/1000/AZ265</f>
        <v>3.3538140562265867E-2</v>
      </c>
      <c r="BA277" s="8"/>
      <c r="BB277" s="51"/>
      <c r="BC277" s="51"/>
      <c r="BD277" s="51"/>
      <c r="BJ277" s="24" t="e">
        <f>-SUM([2]Specials!$AO$69:$AP$69,[2]Specials!$AO$73:$AP$73)/1000/BJ265</f>
        <v>#DIV/0!</v>
      </c>
      <c r="BK277" s="24" t="e">
        <f>-SUM([2]Specials!$AO$70:$AP$70,[2]Specials!$AO$74:$AP$74)/1000/BK265</f>
        <v>#DIV/0!</v>
      </c>
      <c r="BL277" s="24" t="e">
        <f>-SUM([2]Specials!$AO$71:$AP$71,[2]Specials!$AO$75:$AP$75)/1000/BL265</f>
        <v>#DIV/0!</v>
      </c>
      <c r="BM277" s="8"/>
      <c r="BN277" s="54">
        <f>-SUM('[2]Total P&amp;C'!$AO$69:$AP$69,'[2]Total P&amp;C'!$AO$73:$AP$73)/1000/BN265</f>
        <v>3.7605896717985698E-2</v>
      </c>
      <c r="BO277" s="54">
        <f>-SUM('[2]Total P&amp;C'!$AO$70:$AP$70,'[2]Total P&amp;C'!$AO$74:$AP$74)/1000/BO265</f>
        <v>4.8056631123439338E-2</v>
      </c>
      <c r="BP277" s="54">
        <f>-SUM('[2]Total P&amp;C'!$AO$71:$AP$71,'[2]Total P&amp;C'!$AO$75:$AP$75)/1000/BP265</f>
        <v>3.5800707352068438E-2</v>
      </c>
      <c r="BR277" s="54">
        <f>-SUM('[3]Total P&amp;C'!$AO$69:$AP$69,'[3]Total P&amp;C'!$AO$73:$AP$73)/1000/BR265</f>
        <v>3.9106581338034796E-2</v>
      </c>
      <c r="BS277" s="54">
        <f>-SUM('[3]Total P&amp;C'!$AO$70:$AP$70,'[3]Total P&amp;C'!$AO$74:$AP$74)/1000/BS265</f>
        <v>4.2225203650930916E-2</v>
      </c>
      <c r="BT277" s="54">
        <f>-SUM('[3]Total P&amp;C'!$AO$71:$AP$71,'[3]Total P&amp;C'!$AO$75:$AP$75)/1000/BT265</f>
        <v>3.8863021791601213E-2</v>
      </c>
    </row>
    <row r="278" spans="2:72" ht="16.5" customHeight="1" x14ac:dyDescent="0.25">
      <c r="B278" s="203"/>
      <c r="C278" s="9"/>
      <c r="D278" s="50" t="s">
        <v>33</v>
      </c>
      <c r="J278" s="51"/>
      <c r="K278" s="51"/>
      <c r="L278" s="51"/>
      <c r="M278" s="8"/>
      <c r="N278" s="51"/>
      <c r="O278" s="51"/>
      <c r="P278" s="51"/>
      <c r="Q278" s="8"/>
      <c r="R278" s="51"/>
      <c r="S278" s="51"/>
      <c r="T278" s="51"/>
      <c r="U278" s="8"/>
      <c r="V278" s="51"/>
      <c r="W278" s="51"/>
      <c r="X278" s="51"/>
      <c r="Y278" s="8"/>
      <c r="Z278" s="51"/>
      <c r="AA278" s="51"/>
      <c r="AB278" s="51"/>
      <c r="AC278" s="8"/>
      <c r="AD278" s="51"/>
      <c r="AE278" s="51"/>
      <c r="AF278" s="51"/>
      <c r="AG278" s="8"/>
      <c r="AH278" s="54">
        <f>-SUM('[1]Total P&amp;C'!$AQ$69:$AR$69,'[1]Total P&amp;C'!$AQ$73:$AR$73)/1000/AH265</f>
        <v>5.2019547678718525E-2</v>
      </c>
      <c r="AI278" s="54">
        <f>-SUM('[1]Total P&amp;C'!$AQ$70:$AR$70,'[1]Total P&amp;C'!$AQ$74:$AR$74)/1000/AI265</f>
        <v>4.931588711595445E-2</v>
      </c>
      <c r="AJ278" s="54">
        <f>-SUM('[1]Total P&amp;C'!$AQ$71:$AR$71,'[1]Total P&amp;C'!$AQ$75:$AR$75)/1000/AJ265</f>
        <v>6.1575685421280293E-2</v>
      </c>
      <c r="AL278" s="203"/>
      <c r="AM278" s="9"/>
      <c r="AN278" s="50" t="s">
        <v>33</v>
      </c>
      <c r="AT278" s="24">
        <f>-SUM([2]Retail!$AQ$69:$AR$69,[2]Retail!$AQ$73:$AR$73)/1000/AT265</f>
        <v>5.3572522600528888E-2</v>
      </c>
      <c r="AU278" s="51">
        <f>-SUM([2]Retail!$AQ$70:$AR$70,[2]Retail!$AQ$74:$AR$74)/1000/AU265</f>
        <v>0.33288515705468957</v>
      </c>
      <c r="AV278" s="51">
        <f>-SUM([2]Retail!$AQ$71:$AR$71,[2]Retail!$AQ$75:$AR$75)/1000/AV265</f>
        <v>5.1382362405858674E-2</v>
      </c>
      <c r="AW278" s="8"/>
      <c r="AX278" s="24">
        <f>-SUM([2]SME!$AQ$69:$AR$69,[2]SME!$AQ$73:$AR$73)/1000/AX265</f>
        <v>0.10053190519855895</v>
      </c>
      <c r="AY278" s="24">
        <f>-SUM([2]SME!$AQ$70:$AR$70,[2]SME!$AQ$74:$AR$74)/1000/AY265</f>
        <v>6.5038917414311129E-2</v>
      </c>
      <c r="AZ278" s="24">
        <f>-SUM([2]SME!$AQ$71:$AR$71,[2]SME!$AQ$75:$AR$75)/1000/AZ265</f>
        <v>0.10628578916706966</v>
      </c>
      <c r="BA278" s="8"/>
      <c r="BB278" s="51"/>
      <c r="BC278" s="51"/>
      <c r="BD278" s="51"/>
      <c r="BJ278" s="24" t="e">
        <f>-SUM([2]Specials!$AQ$69:$AR$69,[2]Specials!$AQ$73:$AR$73)/1000/BJ265</f>
        <v>#DIV/0!</v>
      </c>
      <c r="BK278" s="24" t="e">
        <f>-SUM([2]Specials!$AQ$70:$AR$70,[2]Specials!$AQ$74:$AR$74)/1000/BK265</f>
        <v>#DIV/0!</v>
      </c>
      <c r="BL278" s="24" t="e">
        <f>-SUM([2]Specials!$AQ$71:$AR$71,[2]Specials!$AQ$75:$AR$75)/1000/BL265</f>
        <v>#DIV/0!</v>
      </c>
      <c r="BM278" s="8"/>
      <c r="BN278" s="54">
        <f>-SUM('[2]Total P&amp;C'!$AQ$69:$AR$69,'[2]Total P&amp;C'!$AQ$73:$AR$73)/1000/BN265</f>
        <v>9.023362330456472E-2</v>
      </c>
      <c r="BO278" s="54">
        <f>-SUM('[2]Total P&amp;C'!$AQ$70:$AR$70,'[2]Total P&amp;C'!$AQ$74:$AR$74)/1000/BO265</f>
        <v>7.7057079351737265E-2</v>
      </c>
      <c r="BP278" s="54">
        <f>-SUM('[2]Total P&amp;C'!$AQ$71:$AR$71,'[2]Total P&amp;C'!$AQ$75:$AR$75)/1000/BP265</f>
        <v>9.642444502679659E-2</v>
      </c>
      <c r="BR278" s="54">
        <f>-SUM('[3]Total P&amp;C'!$AQ$69:$AR$69,'[3]Total P&amp;C'!$AQ$73:$AR$73)/1000/BR265</f>
        <v>7.318403633668534E-2</v>
      </c>
      <c r="BS278" s="54">
        <f>-SUM('[3]Total P&amp;C'!$AQ$70:$AR$70,'[3]Total P&amp;C'!$AQ$74:$AR$74)/1000/BS265</f>
        <v>6.5143544876541615E-2</v>
      </c>
      <c r="BT278" s="54">
        <f>-SUM('[3]Total P&amp;C'!$AQ$71:$AR$71,'[3]Total P&amp;C'!$AQ$75:$AR$75)/1000/BT265</f>
        <v>8.1210713908774643E-2</v>
      </c>
    </row>
    <row r="279" spans="2:72" ht="16.5" customHeight="1" x14ac:dyDescent="0.25">
      <c r="B279" s="203"/>
      <c r="C279" s="9"/>
      <c r="D279" s="49" t="s">
        <v>34</v>
      </c>
      <c r="J279" s="23"/>
      <c r="K279" s="23"/>
      <c r="L279" s="23"/>
      <c r="M279" s="6"/>
      <c r="N279" s="23"/>
      <c r="O279" s="23"/>
      <c r="P279" s="23"/>
      <c r="Q279" s="6"/>
      <c r="R279" s="23"/>
      <c r="S279" s="23"/>
      <c r="T279" s="23"/>
      <c r="U279" s="6"/>
      <c r="V279" s="23"/>
      <c r="W279" s="23"/>
      <c r="X279" s="23"/>
      <c r="Y279" s="6"/>
      <c r="Z279" s="23"/>
      <c r="AA279" s="23"/>
      <c r="AB279" s="23"/>
      <c r="AC279" s="6"/>
      <c r="AD279" s="23"/>
      <c r="AE279" s="23"/>
      <c r="AF279" s="23"/>
      <c r="AG279" s="6"/>
      <c r="AH279" s="53">
        <f>+('[1]Total P&amp;C'!$BK$69+'[1]Total P&amp;C'!$BK$73)/1000</f>
        <v>1.0508213400000164</v>
      </c>
      <c r="AI279" s="53">
        <f>+('[1]Total P&amp;C'!$BK$70+'[1]Total P&amp;C'!$BK$74)/1000</f>
        <v>0.93349534000002854</v>
      </c>
      <c r="AJ279" s="53">
        <f>+('[1]Total P&amp;C'!$BK$71+'[1]Total P&amp;C'!$BK$75)/1000</f>
        <v>1.097880577977576</v>
      </c>
      <c r="AL279" s="203"/>
      <c r="AM279" s="9"/>
      <c r="AN279" s="49" t="s">
        <v>34</v>
      </c>
      <c r="AT279" s="23">
        <f>+([2]Retail!$BK$69+[2]Retail!$BK$73)/1000</f>
        <v>-0.49173470999999985</v>
      </c>
      <c r="AU279" s="23">
        <f>+([2]Retail!$BK$70+[2]Retail!$BK$74)/1000</f>
        <v>-5.9426829999999736E-2</v>
      </c>
      <c r="AV279" s="23">
        <f>+([2]Retail!$BK$71+[2]Retail!$BK$75)/1000</f>
        <v>0.25832526725498761</v>
      </c>
      <c r="AW279" s="6"/>
      <c r="AX279" s="23">
        <f>+([2]SME!$BK$69+[2]SME!$BK$73)/1000</f>
        <v>1.3887537300000066</v>
      </c>
      <c r="AY279" s="23">
        <f>+([2]SME!$BK$70+[2]SME!$BK$74)/1000</f>
        <v>0.50633094999996364</v>
      </c>
      <c r="AZ279" s="23">
        <f>+([2]SME!$BK$71+[2]SME!$BK$75)/1000</f>
        <v>0.51266575392484681</v>
      </c>
      <c r="BA279" s="6"/>
      <c r="BB279" s="23"/>
      <c r="BC279" s="23"/>
      <c r="BD279" s="23"/>
      <c r="BJ279" s="23">
        <f>+([2]Specials!$BK$69+[2]Specials!$BK$73)/1000</f>
        <v>0</v>
      </c>
      <c r="BK279" s="23">
        <f>+([2]Specials!$BK$70+[2]Specials!$BK$74)/1000</f>
        <v>0</v>
      </c>
      <c r="BL279" s="23">
        <f>+([2]Specials!$BK$71+[2]Specials!$BK$75)/1000</f>
        <v>0</v>
      </c>
      <c r="BM279" s="6"/>
      <c r="BN279" s="53">
        <f>+('[2]Total P&amp;C'!$BK$69+'[2]Total P&amp;C'!$BK$73)/1000</f>
        <v>1.8681259800000831</v>
      </c>
      <c r="BO279" s="53">
        <f>+('[2]Total P&amp;C'!$BK$70+'[2]Total P&amp;C'!$BK$74)/1000</f>
        <v>2.9344954299999135</v>
      </c>
      <c r="BP279" s="53">
        <f>+('[2]Total P&amp;C'!$BK$71+'[2]Total P&amp;C'!$BK$75)/1000</f>
        <v>1.0289963667041719</v>
      </c>
      <c r="BR279" s="53">
        <f>+('[3]Total P&amp;C'!$BK$69+'[3]Total P&amp;C'!$BK$73)/1000</f>
        <v>2.918947320000107</v>
      </c>
      <c r="BS279" s="53">
        <f>+('[3]Total P&amp;C'!$BK$70+'[3]Total P&amp;C'!$BK$74)/1000</f>
        <v>3.8679907699999547</v>
      </c>
      <c r="BT279" s="53">
        <f>+('[3]Total P&amp;C'!$BK$71+'[3]Total P&amp;C'!$BK$75)/1000</f>
        <v>2.1268769446817455</v>
      </c>
    </row>
    <row r="280" spans="2:72" x14ac:dyDescent="0.25">
      <c r="B280"/>
      <c r="C280"/>
      <c r="D280"/>
      <c r="J280" s="47"/>
      <c r="K280" s="47"/>
      <c r="L280" s="47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L280"/>
      <c r="AM280"/>
      <c r="AN280"/>
      <c r="AT280" s="47"/>
      <c r="AU280" s="47"/>
      <c r="AV280" s="47"/>
      <c r="AW280"/>
      <c r="AX280"/>
      <c r="AY280"/>
      <c r="AZ280"/>
      <c r="BA280"/>
      <c r="BB280"/>
      <c r="BC280"/>
      <c r="BD280"/>
      <c r="BJ280"/>
      <c r="BK280"/>
      <c r="BL280"/>
      <c r="BM280"/>
      <c r="BN280"/>
      <c r="BO280"/>
      <c r="BP280"/>
      <c r="BR280"/>
      <c r="BS280"/>
      <c r="BT280"/>
    </row>
    <row r="281" spans="2:72" ht="16.5" hidden="1" customHeight="1" outlineLevel="1" x14ac:dyDescent="0.25">
      <c r="B281" s="201" t="s">
        <v>50</v>
      </c>
      <c r="C281" s="9"/>
      <c r="D281" s="49" t="s">
        <v>19</v>
      </c>
      <c r="J281" s="23"/>
      <c r="K281" s="23"/>
      <c r="L281" s="23"/>
      <c r="M281" s="6"/>
      <c r="N281" s="23"/>
      <c r="O281" s="23"/>
      <c r="P281" s="23"/>
      <c r="Q281" s="6"/>
      <c r="R281" s="23"/>
      <c r="S281" s="23"/>
      <c r="T281" s="23"/>
      <c r="U281" s="6"/>
      <c r="V281" s="23"/>
      <c r="W281" s="23"/>
      <c r="X281" s="23"/>
      <c r="Y281" s="6"/>
      <c r="Z281" s="23"/>
      <c r="AA281" s="23"/>
      <c r="AB281" s="23"/>
      <c r="AC281" s="6"/>
      <c r="AD281" s="23"/>
      <c r="AE281" s="23"/>
      <c r="AF281" s="23"/>
      <c r="AG281" s="6"/>
      <c r="AH281" s="53">
        <f>+'[1]Total P&amp;C'!$C$69/1000</f>
        <v>64.406278970000002</v>
      </c>
      <c r="AI281" s="53">
        <f>+'[1]Total P&amp;C'!$C$70/1000</f>
        <v>59.630830390000035</v>
      </c>
      <c r="AJ281" s="53">
        <f>+'[1]Total P&amp;C'!$C$71/1000</f>
        <v>56.759920000000001</v>
      </c>
      <c r="AL281" s="201" t="s">
        <v>50</v>
      </c>
      <c r="AM281" s="9"/>
      <c r="AN281" s="49" t="s">
        <v>19</v>
      </c>
      <c r="AT281" s="23">
        <f>+[2]Retail!$C$69/1000</f>
        <v>0</v>
      </c>
      <c r="AU281" s="23">
        <f>+[2]Retail!$C$70/1000</f>
        <v>0.40710583999999977</v>
      </c>
      <c r="AV281" s="23">
        <f>+[2]Retail!$C$71/1000</f>
        <v>0</v>
      </c>
      <c r="AW281" s="6"/>
      <c r="AX281" s="23">
        <f>+[2]SME!$C$69/1000</f>
        <v>0</v>
      </c>
      <c r="AY281" s="23">
        <f>+[2]SME!$C$70/1000</f>
        <v>11.409674880000004</v>
      </c>
      <c r="AZ281" s="23">
        <f>+[2]SME!$C$71/1000</f>
        <v>0</v>
      </c>
      <c r="BA281" s="6"/>
      <c r="BB281" s="23"/>
      <c r="BC281" s="23"/>
      <c r="BD281" s="23"/>
      <c r="BJ281" s="23">
        <f>+[2]Specials!$C$69/1000</f>
        <v>0</v>
      </c>
      <c r="BK281" s="23">
        <f>+[2]Specials!$C$70/1000</f>
        <v>0</v>
      </c>
      <c r="BL281" s="23">
        <f>+[2]Specials!$C$71/1000</f>
        <v>0</v>
      </c>
      <c r="BM281" s="6"/>
      <c r="BN281" s="53">
        <f>+'[2]Total P&amp;C'!$C$69/1000</f>
        <v>35.415759620000152</v>
      </c>
      <c r="BO281" s="53">
        <f>+'[2]Total P&amp;C'!$C$70/1000</f>
        <v>36.181497239999992</v>
      </c>
      <c r="BP281" s="53">
        <f>+'[2]Total P&amp;C'!$C$71/1000</f>
        <v>27.974916263833261</v>
      </c>
      <c r="BR281" s="53">
        <f>+'[3]Total P&amp;C'!$C$69/1000</f>
        <v>99.822038590000147</v>
      </c>
      <c r="BS281" s="53">
        <f>+'[3]Total P&amp;C'!$C$70/1000</f>
        <v>95.812327630000027</v>
      </c>
      <c r="BT281" s="53">
        <f>+'[3]Total P&amp;C'!$C$71/1000</f>
        <v>84.734836263833259</v>
      </c>
    </row>
    <row r="282" spans="2:72" ht="16.5" hidden="1" customHeight="1" outlineLevel="1" x14ac:dyDescent="0.25">
      <c r="B282" s="201"/>
      <c r="C282" s="9"/>
      <c r="D282" s="49" t="s">
        <v>20</v>
      </c>
      <c r="J282" s="23"/>
      <c r="K282" s="23"/>
      <c r="L282" s="23"/>
      <c r="M282" s="6"/>
      <c r="N282" s="23"/>
      <c r="O282" s="23"/>
      <c r="P282" s="23"/>
      <c r="Q282" s="6"/>
      <c r="R282" s="23"/>
      <c r="S282" s="23"/>
      <c r="T282" s="23"/>
      <c r="U282" s="6"/>
      <c r="V282" s="23"/>
      <c r="W282" s="23"/>
      <c r="X282" s="23"/>
      <c r="Y282" s="6"/>
      <c r="Z282" s="23"/>
      <c r="AA282" s="23"/>
      <c r="AB282" s="23"/>
      <c r="AC282" s="6"/>
      <c r="AD282" s="23"/>
      <c r="AE282" s="23"/>
      <c r="AF282" s="23"/>
      <c r="AG282" s="6"/>
      <c r="AH282" s="53">
        <f>+'[1]Total P&amp;C'!$N$69/1000</f>
        <v>34.75387793000003</v>
      </c>
      <c r="AI282" s="53">
        <f>+'[1]Total P&amp;C'!$N$70/1000</f>
        <v>33.016125740000035</v>
      </c>
      <c r="AJ282" s="53">
        <f>+'[1]Total P&amp;C'!$N$71/1000</f>
        <v>34.257234375000003</v>
      </c>
      <c r="AL282" s="201"/>
      <c r="AM282" s="9"/>
      <c r="AN282" s="49" t="s">
        <v>20</v>
      </c>
      <c r="AT282" s="23">
        <f>+[2]Retail!$N$69/1000</f>
        <v>0</v>
      </c>
      <c r="AU282" s="23">
        <f>+[2]Retail!$N$70/1000</f>
        <v>0.11938895999999978</v>
      </c>
      <c r="AV282" s="23">
        <f>+[2]Retail!$N$71/1000</f>
        <v>0</v>
      </c>
      <c r="AW282" s="6"/>
      <c r="AX282" s="23">
        <f>+[2]SME!$N$69/1000</f>
        <v>0</v>
      </c>
      <c r="AY282" s="23">
        <f>+[2]SME!$N$70/1000</f>
        <v>6.6859481999999995</v>
      </c>
      <c r="AZ282" s="23">
        <f>+[2]SME!$N$71/1000</f>
        <v>0</v>
      </c>
      <c r="BA282" s="6"/>
      <c r="BB282" s="23"/>
      <c r="BC282" s="23"/>
      <c r="BD282" s="23"/>
      <c r="BJ282" s="23">
        <f>+[2]Specials!$N$69/1000</f>
        <v>0</v>
      </c>
      <c r="BK282" s="23">
        <f>+[2]Specials!$N$70/1000</f>
        <v>0</v>
      </c>
      <c r="BL282" s="23">
        <f>+[2]Specials!$N$71/1000</f>
        <v>0</v>
      </c>
      <c r="BM282" s="6"/>
      <c r="BN282" s="53">
        <f>+'[2]Total P&amp;C'!$N$69/1000</f>
        <v>26.314280150000137</v>
      </c>
      <c r="BO282" s="53">
        <f>+'[2]Total P&amp;C'!$N$70/1000</f>
        <v>28.187819659999988</v>
      </c>
      <c r="BP282" s="53">
        <f>+'[2]Total P&amp;C'!$N$71/1000</f>
        <v>26.959171549999994</v>
      </c>
      <c r="BR282" s="53">
        <f>+'[3]Total P&amp;C'!$N$69/1000</f>
        <v>61.06815808000016</v>
      </c>
      <c r="BS282" s="53">
        <f>+'[3]Total P&amp;C'!$N$70/1000</f>
        <v>61.203945400000016</v>
      </c>
      <c r="BT282" s="53">
        <f>+'[3]Total P&amp;C'!$N$71/1000</f>
        <v>61.216405924999982</v>
      </c>
    </row>
    <row r="283" spans="2:72" ht="16.5" hidden="1" customHeight="1" outlineLevel="1" x14ac:dyDescent="0.25">
      <c r="B283" s="201"/>
      <c r="C283" s="9"/>
      <c r="D283" s="49" t="s">
        <v>21</v>
      </c>
      <c r="J283" s="24"/>
      <c r="K283" s="24"/>
      <c r="L283" s="24"/>
      <c r="M283" s="6"/>
      <c r="N283" s="24"/>
      <c r="O283" s="24"/>
      <c r="P283" s="24"/>
      <c r="Q283" s="6"/>
      <c r="R283" s="24"/>
      <c r="S283" s="24"/>
      <c r="T283" s="24"/>
      <c r="U283" s="6"/>
      <c r="V283" s="24"/>
      <c r="W283" s="24"/>
      <c r="X283" s="24"/>
      <c r="Y283" s="6"/>
      <c r="Z283" s="24"/>
      <c r="AA283" s="24"/>
      <c r="AB283" s="24"/>
      <c r="AC283" s="6"/>
      <c r="AD283" s="24"/>
      <c r="AE283" s="24"/>
      <c r="AF283" s="24"/>
      <c r="AG283" s="6"/>
      <c r="AH283" s="54">
        <f>+AH284+AH289+AH290+AH291+AH292</f>
        <v>0.96976391117801153</v>
      </c>
      <c r="AI283" s="54">
        <f>+AI284+AI289+AI290+AI291+AI292</f>
        <v>0.97172607872434069</v>
      </c>
      <c r="AJ283" s="54">
        <f>+AJ284+AJ289+AJ290+AJ291+AJ292</f>
        <v>0.96795186190573546</v>
      </c>
      <c r="AL283" s="201"/>
      <c r="AM283" s="9"/>
      <c r="AN283" s="49" t="s">
        <v>21</v>
      </c>
      <c r="AT283" s="24" t="e">
        <f>+AT284+AT289+AT290+AT291+AT292</f>
        <v>#DIV/0!</v>
      </c>
      <c r="AU283" s="24">
        <f>+AU284+AU289+AU290+AU291+AU292</f>
        <v>2.8790936783434633</v>
      </c>
      <c r="AV283" s="24" t="e">
        <f>+AV284+AV289+AV290+AV291+AV292</f>
        <v>#DIV/0!</v>
      </c>
      <c r="AW283" s="6"/>
      <c r="AX283" s="24" t="e">
        <f>+AX284+AX289+AX290+AX291+AX292</f>
        <v>#DIV/0!</v>
      </c>
      <c r="AY283" s="24">
        <f>+AY284+AY289+AY290+AY291+AY292</f>
        <v>0.73143342779712273</v>
      </c>
      <c r="AZ283" s="24" t="e">
        <f>+AZ284+AZ289+AZ290+AZ291+AZ292</f>
        <v>#DIV/0!</v>
      </c>
      <c r="BA283" s="6"/>
      <c r="BB283" s="24"/>
      <c r="BC283" s="24"/>
      <c r="BD283" s="24"/>
      <c r="BJ283" s="24" t="e">
        <f>+BJ284+BJ289+BJ290+BJ291+BJ292</f>
        <v>#DIV/0!</v>
      </c>
      <c r="BK283" s="24" t="e">
        <f>+BK284+BK289+BK290+BK291+BK292</f>
        <v>#DIV/0!</v>
      </c>
      <c r="BL283" s="24" t="e">
        <f>+BL284+BL289+BL290+BL291+BL292</f>
        <v>#DIV/0!</v>
      </c>
      <c r="BM283" s="6"/>
      <c r="BN283" s="54">
        <f>+BN284+BN289+BN290+BN291+BN292</f>
        <v>0.96309581890652385</v>
      </c>
      <c r="BO283" s="54">
        <f>+BO284+BO289+BO290+BO291+BO292</f>
        <v>0.85600622861371189</v>
      </c>
      <c r="BP283" s="54">
        <f>+BP284+BP289+BP290+BP291+BP292</f>
        <v>0.99042977470409932</v>
      </c>
      <c r="BR283" s="54">
        <f>+BR284+BR289+BR290+BR291+BR292</f>
        <v>0.96689062903532563</v>
      </c>
      <c r="BS283" s="54">
        <f>+BS284+BS289+BS290+BS291+BS292</f>
        <v>0.9184306539819902</v>
      </c>
      <c r="BT283" s="54">
        <f>+BT284+BT289+BT290+BT291+BT292</f>
        <v>0.97785093876365325</v>
      </c>
    </row>
    <row r="284" spans="2:72" ht="16.5" hidden="1" customHeight="1" outlineLevel="1" x14ac:dyDescent="0.25">
      <c r="B284" s="201"/>
      <c r="C284" s="9"/>
      <c r="D284" s="49" t="s">
        <v>22</v>
      </c>
      <c r="J284" s="24"/>
      <c r="K284" s="24"/>
      <c r="L284" s="24"/>
      <c r="M284" s="6"/>
      <c r="N284" s="24"/>
      <c r="O284" s="24"/>
      <c r="P284" s="24"/>
      <c r="Q284" s="6"/>
      <c r="R284" s="24"/>
      <c r="S284" s="24"/>
      <c r="T284" s="24"/>
      <c r="U284" s="6"/>
      <c r="V284" s="24"/>
      <c r="W284" s="24"/>
      <c r="X284" s="24"/>
      <c r="Y284" s="6"/>
      <c r="Z284" s="24"/>
      <c r="AA284" s="24"/>
      <c r="AB284" s="24"/>
      <c r="AC284" s="6"/>
      <c r="AD284" s="24"/>
      <c r="AE284" s="24"/>
      <c r="AF284" s="24"/>
      <c r="AG284" s="6"/>
      <c r="AH284" s="54">
        <f>+AH285+AH286+AH287+AH288</f>
        <v>1.0855130295383404</v>
      </c>
      <c r="AI284" s="54">
        <f>+AI285+AI286+AI287+AI288</f>
        <v>0.97248984913757996</v>
      </c>
      <c r="AJ284" s="54">
        <f>+AJ285+AJ286+AJ287+AJ288</f>
        <v>1.004305551696262</v>
      </c>
      <c r="AL284" s="201"/>
      <c r="AM284" s="9"/>
      <c r="AN284" s="49" t="s">
        <v>22</v>
      </c>
      <c r="AT284" s="24" t="e">
        <f>+AT285+AT286+AT287+AT288</f>
        <v>#DIV/0!</v>
      </c>
      <c r="AU284" s="24">
        <f>+AU285+AU286+AU287+AU288</f>
        <v>0.38752393856182415</v>
      </c>
      <c r="AV284" s="24" t="e">
        <f>+AV285+AV286+AV287+AV288</f>
        <v>#DIV/0!</v>
      </c>
      <c r="AW284" s="6"/>
      <c r="AX284" s="24" t="e">
        <f>+AX285+AX286+AX287+AX288</f>
        <v>#DIV/0!</v>
      </c>
      <c r="AY284" s="24">
        <f>+AY285+AY286+AY287+AY288</f>
        <v>0.61771230444172442</v>
      </c>
      <c r="AZ284" s="24" t="e">
        <f>+AZ285+AZ286+AZ287+AZ288</f>
        <v>#DIV/0!</v>
      </c>
      <c r="BA284" s="6"/>
      <c r="BB284" s="24"/>
      <c r="BC284" s="24"/>
      <c r="BD284" s="24"/>
      <c r="BJ284" s="24" t="e">
        <f>+BJ285+BJ286+BJ287+BJ288</f>
        <v>#DIV/0!</v>
      </c>
      <c r="BK284" s="24" t="e">
        <f>+BK285+BK286+BK287+BK288</f>
        <v>#DIV/0!</v>
      </c>
      <c r="BL284" s="24" t="e">
        <f>+BL285+BL286+BL287+BL288</f>
        <v>#DIV/0!</v>
      </c>
      <c r="BM284" s="6"/>
      <c r="BN284" s="54">
        <f>+BN285+BN286+BN287+BN288</f>
        <v>0.8935462754811434</v>
      </c>
      <c r="BO284" s="54">
        <f>+BO285+BO286+BO287+BO288</f>
        <v>0.86059239602783855</v>
      </c>
      <c r="BP284" s="54">
        <f>+BP285+BP286+BP287+BP288</f>
        <v>0.94976756354634517</v>
      </c>
      <c r="BR284" s="54">
        <f>+BR285+BR286+BR287+BR288</f>
        <v>1.002794521160705</v>
      </c>
      <c r="BS284" s="54">
        <f>+BS285+BS286+BS287+BS288</f>
        <v>0.92095485073091354</v>
      </c>
      <c r="BT284" s="54">
        <f>+BT285+BT286+BT287+BT288</f>
        <v>0.98028749711908225</v>
      </c>
    </row>
    <row r="285" spans="2:72" ht="16.5" hidden="1" customHeight="1" outlineLevel="1" x14ac:dyDescent="0.25">
      <c r="B285" s="201"/>
      <c r="C285" s="9"/>
      <c r="D285" s="48" t="s">
        <v>23</v>
      </c>
      <c r="J285" s="51"/>
      <c r="K285" s="51"/>
      <c r="L285" s="51"/>
      <c r="M285" s="6"/>
      <c r="N285" s="51"/>
      <c r="O285" s="51"/>
      <c r="P285" s="51"/>
      <c r="Q285" s="6"/>
      <c r="R285" s="51"/>
      <c r="S285" s="51"/>
      <c r="T285" s="51"/>
      <c r="U285" s="6"/>
      <c r="V285" s="51"/>
      <c r="W285" s="51"/>
      <c r="X285" s="51"/>
      <c r="Y285" s="6"/>
      <c r="Z285" s="51"/>
      <c r="AA285" s="51"/>
      <c r="AB285" s="51"/>
      <c r="AC285" s="6"/>
      <c r="AD285" s="51"/>
      <c r="AE285" s="51"/>
      <c r="AF285" s="51"/>
      <c r="AG285" s="6"/>
      <c r="AH285" s="54">
        <f>-SUM('[1]Total P&amp;C'!$O$69,'[1]Total P&amp;C'!$R$69:$V$69,'[1]Total P&amp;C'!$Y$69,'[1]Total P&amp;C'!$AB$69,'[1]Total P&amp;C'!$AU$69,'[1]Total P&amp;C'!$AX$69,'[1]Total P&amp;C'!$BA$69,'[1]Total P&amp;C'!$BD$69)/1000/AH282</f>
        <v>1.0354171843061419</v>
      </c>
      <c r="AI285" s="54">
        <f>-SUM('[1]Total P&amp;C'!$O$70,'[1]Total P&amp;C'!$R$70:$V$70,'[1]Total P&amp;C'!$Y$70,'[1]Total P&amp;C'!$AB$70,'[1]Total P&amp;C'!$AU$70,'[1]Total P&amp;C'!$AX$70,'[1]Total P&amp;C'!$BA$70,'[1]Total P&amp;C'!$BD$70)/1000/AI282</f>
        <v>0.9058251829882924</v>
      </c>
      <c r="AJ285" s="54">
        <f>-SUM('[1]Total P&amp;C'!$O$71,'[1]Total P&amp;C'!$R$71:$V$71,'[1]Total P&amp;C'!$Y$71,'[1]Total P&amp;C'!$AB$71,'[1]Total P&amp;C'!$AU$71,'[1]Total P&amp;C'!$AX$71,'[1]Total P&amp;C'!$BA$71,'[1]Total P&amp;C'!$BD$71)/1000/AJ282</f>
        <v>0.92995974480945509</v>
      </c>
      <c r="AL285" s="201"/>
      <c r="AM285" s="9"/>
      <c r="AN285" s="48" t="s">
        <v>23</v>
      </c>
      <c r="AT285" s="24" t="e">
        <f>-SUM([2]Retail!$O$69,[2]Retail!$R$69:$V$69,[2]Retail!$Y$69,[2]Retail!$AB$69,[2]Retail!$AU$69,[2]Retail!$AX$69,[2]Retail!$BA$69,[2]Retail!$BD$69)/1000/AT282</f>
        <v>#DIV/0!</v>
      </c>
      <c r="AU285" s="51">
        <f>-SUM([2]Retail!$O$70,[2]Retail!$R$70:$V$70,[2]Retail!$Y$70,[2]Retail!$AB$70,[2]Retail!$AU$70,[2]Retail!$AX$70,[2]Retail!$BA$70,[2]Retail!$BD$70)/1000/AU282</f>
        <v>0.38752393856182415</v>
      </c>
      <c r="AV285" s="51" t="e">
        <f>-SUM([2]Retail!$O$71,[2]Retail!$R$71:$V$71,[2]Retail!$Y$71,[2]Retail!$AB$71,[2]Retail!$AU$71,[2]Retail!$AX$71,[2]Retail!$BA$71,[2]Retail!$BD$71)/1000/AV282</f>
        <v>#DIV/0!</v>
      </c>
      <c r="AW285" s="6"/>
      <c r="AX285" s="24" t="e">
        <f>-SUM([2]SME!$O$69,[2]SME!$R$69:$V$69,[2]SME!$Y$69,[2]SME!$AB$69,[2]SME!$AU$69,[2]SME!$AX$69,[2]SME!$BA$69,[2]SME!$BD$69)/1000/AX282</f>
        <v>#DIV/0!</v>
      </c>
      <c r="AY285" s="24">
        <f>-SUM([2]SME!$O$70,[2]SME!$R$70:$V$70,[2]SME!$Y$70,[2]SME!$AB$70,[2]SME!$AU$70,[2]SME!$AX$70,[2]SME!$BA$70,[2]SME!$BD$70)/1000/AY282</f>
        <v>0.46091357094271235</v>
      </c>
      <c r="AZ285" s="24" t="e">
        <f>-SUM([2]SME!$O$71,[2]SME!$R$71:$V$71,[2]SME!$Y$71,[2]SME!$AB$71,[2]SME!$AU$71,[2]SME!$AX$71,[2]SME!$BA$71,[2]SME!$BD$71)/1000/AZ282</f>
        <v>#DIV/0!</v>
      </c>
      <c r="BA285" s="6"/>
      <c r="BB285" s="51"/>
      <c r="BC285" s="51"/>
      <c r="BD285" s="51"/>
      <c r="BJ285" s="24" t="e">
        <f>-SUM([2]Specials!$O$69,[2]Specials!$R$69:$V$69,[2]Specials!$Y$69,[2]Specials!$AB$69,[2]Specials!$AU$69,[2]Specials!$AX$69,[2]Specials!$BA$69,[2]Specials!$BD$69)/1000/BJ282</f>
        <v>#DIV/0!</v>
      </c>
      <c r="BK285" s="24" t="e">
        <f>-SUM([2]Specials!$O$70,[2]Specials!$R$70:$V$70,[2]Specials!$Y$70,[2]Specials!$AB$70,[2]Specials!$AU$70,[2]Specials!$AX$70,[2]Specials!$BA$70,[2]Specials!$BD$70)/1000/BK282</f>
        <v>#DIV/0!</v>
      </c>
      <c r="BL285" s="24" t="e">
        <f>-SUM([2]Specials!$O$71,[2]Specials!$R$71:$V$71,[2]Specials!$Y$71,[2]Specials!$AB$71,[2]Specials!$AU$71,[2]Specials!$AX$71,[2]Specials!$BA$71,[2]Specials!$BD$71)/1000/BL282</f>
        <v>#DIV/0!</v>
      </c>
      <c r="BM285" s="6"/>
      <c r="BN285" s="54">
        <f>-SUM('[2]Total P&amp;C'!$O$69,'[2]Total P&amp;C'!$R$69:$V$69,'[2]Total P&amp;C'!$Y$69,'[2]Total P&amp;C'!$AB$69,'[2]Total P&amp;C'!$AU$69,'[2]Total P&amp;C'!$AX$69,'[2]Total P&amp;C'!$BA$69,'[2]Total P&amp;C'!$BD$69)/1000/BN282</f>
        <v>0.69501730603107181</v>
      </c>
      <c r="BO285" s="54">
        <f>-SUM('[2]Total P&amp;C'!$O$70,'[2]Total P&amp;C'!$R$70:$V$70,'[2]Total P&amp;C'!$Y$70,'[2]Total P&amp;C'!$AB$70,'[2]Total P&amp;C'!$AU$70,'[2]Total P&amp;C'!$AX$70,'[2]Total P&amp;C'!$BA$70,'[2]Total P&amp;C'!$BD$70)/1000/BO282</f>
        <v>0.7673603876036722</v>
      </c>
      <c r="BP285" s="54">
        <f>-SUM('[2]Total P&amp;C'!$O$71,'[2]Total P&amp;C'!$R$71:$V$71,'[2]Total P&amp;C'!$Y$71,'[2]Total P&amp;C'!$AB$71,'[2]Total P&amp;C'!$AU$71,'[2]Total P&amp;C'!$AX$71,'[2]Total P&amp;C'!$BA$71,'[2]Total P&amp;C'!$BD$71)/1000/BP282</f>
        <v>0.72266274373281358</v>
      </c>
      <c r="BR285" s="54">
        <f>-SUM('[3]Total P&amp;C'!$O$69,'[3]Total P&amp;C'!$R$69:$V$69,'[3]Total P&amp;C'!$Y$69,'[3]Total P&amp;C'!$AB$69,'[3]Total P&amp;C'!$AU$69,'[3]Total P&amp;C'!$AX$69,'[3]Total P&amp;C'!$BA$69,'[3]Total P&amp;C'!$BD$69)/1000/BR282</f>
        <v>0.88873881637138541</v>
      </c>
      <c r="BS285" s="54">
        <f>-SUM('[3]Total P&amp;C'!$O$70,'[3]Total P&amp;C'!$R$70:$V$70,'[3]Total P&amp;C'!$Y$70,'[3]Total P&amp;C'!$AB$70,'[3]Total P&amp;C'!$AU$70,'[3]Total P&amp;C'!$AX$70,'[3]Total P&amp;C'!$BA$70,'[3]Total P&amp;C'!$BD$70)/1000/BS282</f>
        <v>0.8420544463788765</v>
      </c>
      <c r="BT285" s="54">
        <f>-SUM('[3]Total P&amp;C'!$O$71,'[3]Total P&amp;C'!$R$71:$V$71,'[3]Total P&amp;C'!$Y$71,'[3]Total P&amp;C'!$AB$71,'[3]Total P&amp;C'!$AU$71,'[3]Total P&amp;C'!$AX$71,'[3]Total P&amp;C'!$BA$71,'[3]Total P&amp;C'!$BD$71)/1000/BT282</f>
        <v>0.83866795252957882</v>
      </c>
    </row>
    <row r="286" spans="2:72" ht="16.5" hidden="1" customHeight="1" outlineLevel="1" x14ac:dyDescent="0.25">
      <c r="B286" s="201"/>
      <c r="C286" s="9"/>
      <c r="D286" s="48" t="s">
        <v>24</v>
      </c>
      <c r="J286" s="51"/>
      <c r="K286" s="51"/>
      <c r="L286" s="51"/>
      <c r="M286" s="7"/>
      <c r="N286" s="51"/>
      <c r="O286" s="51"/>
      <c r="P286" s="51"/>
      <c r="Q286" s="7"/>
      <c r="R286" s="51"/>
      <c r="S286" s="51"/>
      <c r="T286" s="51"/>
      <c r="U286" s="7"/>
      <c r="V286" s="51"/>
      <c r="W286" s="51"/>
      <c r="X286" s="51"/>
      <c r="Y286" s="7"/>
      <c r="Z286" s="51"/>
      <c r="AA286" s="51"/>
      <c r="AB286" s="51"/>
      <c r="AC286" s="7"/>
      <c r="AD286" s="51"/>
      <c r="AE286" s="51"/>
      <c r="AF286" s="51"/>
      <c r="AG286" s="7"/>
      <c r="AH286" s="54">
        <f>-('[1]Total P&amp;C'!$P$69+'[1]Total P&amp;C'!$W$69+'[1]Total P&amp;C'!$AV$69+'[1]Total P&amp;C'!$AY$69)/1000/AH282</f>
        <v>0</v>
      </c>
      <c r="AI286" s="54">
        <f>-('[1]Total P&amp;C'!$P$70+'[1]Total P&amp;C'!$W$70+'[1]Total P&amp;C'!$AV$70+'[1]Total P&amp;C'!$AY$70)/1000/AI282</f>
        <v>0</v>
      </c>
      <c r="AJ286" s="54">
        <f>-('[1]Total P&amp;C'!$P$71+'[1]Total P&amp;C'!$W$71+'[1]Total P&amp;C'!$AV$71+'[1]Total P&amp;C'!$AY$71)/1000/AJ282</f>
        <v>0</v>
      </c>
      <c r="AL286" s="201"/>
      <c r="AM286" s="9"/>
      <c r="AN286" s="48" t="s">
        <v>24</v>
      </c>
      <c r="AT286" s="24" t="e">
        <f>-([2]Retail!$P$69+[2]Retail!$W$69+[2]Retail!$AV$69+[2]Retail!$AY$69)/1000/AT282</f>
        <v>#DIV/0!</v>
      </c>
      <c r="AU286" s="51">
        <f>-([2]Retail!$P$70+[2]Retail!$W$70+[2]Retail!$AV$70+[2]Retail!$AY$70)/1000/AU282</f>
        <v>0</v>
      </c>
      <c r="AV286" s="51" t="e">
        <f>-([2]Retail!$P$71+[2]Retail!$W$71+[2]Retail!$AV$71+[2]Retail!$AY$71)/1000/AV282</f>
        <v>#DIV/0!</v>
      </c>
      <c r="AW286" s="7"/>
      <c r="AX286" s="24" t="e">
        <f>-([2]SME!$P$69+[2]SME!$W$69+[2]SME!$AV$69+[2]SME!$AY$69)/1000/AX282</f>
        <v>#DIV/0!</v>
      </c>
      <c r="AY286" s="24">
        <f>-([2]SME!$P$70+[2]SME!$W$70+[2]SME!$AV$70+[2]SME!$AY$70)/1000/AY282</f>
        <v>0</v>
      </c>
      <c r="AZ286" s="24" t="e">
        <f>-([2]SME!$P$71+[2]SME!$W$71+[2]SME!$AV$71+[2]SME!$AY$71)/1000/AZ282</f>
        <v>#DIV/0!</v>
      </c>
      <c r="BA286" s="7"/>
      <c r="BB286" s="51"/>
      <c r="BC286" s="51"/>
      <c r="BD286" s="51"/>
      <c r="BJ286" s="24" t="e">
        <f>-([2]Specials!$P$69+[2]Specials!$W$69+[2]Specials!$AV$69+[2]Specials!$AY$69)/1000/BJ282</f>
        <v>#DIV/0!</v>
      </c>
      <c r="BK286" s="24" t="e">
        <f>-([2]Specials!$P$70+[2]Specials!$W$70+[2]Specials!$AV$70+[2]Specials!$AY$70)/1000/BK282</f>
        <v>#DIV/0!</v>
      </c>
      <c r="BL286" s="24" t="e">
        <f>-([2]Specials!$P$71+[2]Specials!$W$71+[2]Specials!$AV$71+[2]Specials!$AY$71)/1000/BL282</f>
        <v>#DIV/0!</v>
      </c>
      <c r="BM286" s="7"/>
      <c r="BN286" s="54">
        <f>-('[2]Total P&amp;C'!$P$69+'[2]Total P&amp;C'!$W$69+'[2]Total P&amp;C'!$AV$69+'[2]Total P&amp;C'!$AY$69)/1000/BN282</f>
        <v>0</v>
      </c>
      <c r="BO286" s="54">
        <f>-('[2]Total P&amp;C'!$P$70+'[2]Total P&amp;C'!$W$70+'[2]Total P&amp;C'!$AV$70+'[2]Total P&amp;C'!$AY$70)/1000/BO282</f>
        <v>0</v>
      </c>
      <c r="BP286" s="54">
        <f>-('[2]Total P&amp;C'!$P$71+'[2]Total P&amp;C'!$W$71+'[2]Total P&amp;C'!$AV$71+'[2]Total P&amp;C'!$AY$71)/1000/BP282</f>
        <v>0</v>
      </c>
      <c r="BR286" s="54">
        <f>-('[3]Total P&amp;C'!$P$69+'[3]Total P&amp;C'!$W$69+'[3]Total P&amp;C'!$AV$69+'[3]Total P&amp;C'!$AY$69)/1000/BR282</f>
        <v>0</v>
      </c>
      <c r="BS286" s="54">
        <f>-('[3]Total P&amp;C'!$P$70+'[3]Total P&amp;C'!$W$70+'[3]Total P&amp;C'!$AV$70+'[3]Total P&amp;C'!$AY$70)/1000/BS282</f>
        <v>0</v>
      </c>
      <c r="BT286" s="54">
        <f>-('[3]Total P&amp;C'!$P$71+'[3]Total P&amp;C'!$W$71+'[3]Total P&amp;C'!$AV$71+'[3]Total P&amp;C'!$AY$71)/1000/BT282</f>
        <v>0</v>
      </c>
    </row>
    <row r="287" spans="2:72" ht="16.5" hidden="1" customHeight="1" outlineLevel="1" x14ac:dyDescent="0.25">
      <c r="B287" s="201"/>
      <c r="C287" s="9"/>
      <c r="D287" s="48" t="s">
        <v>25</v>
      </c>
      <c r="J287" s="51"/>
      <c r="K287" s="51"/>
      <c r="L287" s="51"/>
      <c r="M287" s="7"/>
      <c r="N287" s="51"/>
      <c r="O287" s="51"/>
      <c r="P287" s="51"/>
      <c r="Q287" s="7"/>
      <c r="R287" s="51"/>
      <c r="S287" s="51"/>
      <c r="T287" s="51"/>
      <c r="U287" s="7"/>
      <c r="V287" s="51"/>
      <c r="W287" s="51"/>
      <c r="X287" s="51"/>
      <c r="Y287" s="7"/>
      <c r="Z287" s="51"/>
      <c r="AA287" s="51"/>
      <c r="AB287" s="51"/>
      <c r="AC287" s="7"/>
      <c r="AD287" s="51"/>
      <c r="AE287" s="51"/>
      <c r="AF287" s="51"/>
      <c r="AG287" s="7"/>
      <c r="AH287" s="54">
        <f>-('[1]Total P&amp;C'!$Q$69+'[1]Total P&amp;C'!$X$69+'[1]Total P&amp;C'!$AW$69+'[1]Total P&amp;C'!$AZ$69)/1000/AH282</f>
        <v>0</v>
      </c>
      <c r="AI287" s="54">
        <f>-('[1]Total P&amp;C'!$Q$70+'[1]Total P&amp;C'!$X$70+'[1]Total P&amp;C'!$AW$70+'[1]Total P&amp;C'!$AZ$70)/1000/AI282</f>
        <v>0</v>
      </c>
      <c r="AJ287" s="54">
        <f>-('[1]Total P&amp;C'!$Q$71+'[1]Total P&amp;C'!$X$71+'[1]Total P&amp;C'!$AW$71+'[1]Total P&amp;C'!$AZ$71)/1000/AJ282</f>
        <v>9.45533273915195E-3</v>
      </c>
      <c r="AL287" s="201"/>
      <c r="AM287" s="9"/>
      <c r="AN287" s="48" t="s">
        <v>25</v>
      </c>
      <c r="AT287" s="24" t="e">
        <f>-([2]Retail!$Q$69+[2]Retail!$X$69+[2]Retail!$AW$69+[2]Retail!$AZ$69)/1000/AT282</f>
        <v>#DIV/0!</v>
      </c>
      <c r="AU287" s="51">
        <f>-([2]Retail!$Q$70+[2]Retail!$X$70+[2]Retail!$AW$70+[2]Retail!$AZ$70)/1000/AU282</f>
        <v>0</v>
      </c>
      <c r="AV287" s="51" t="e">
        <f>-([2]Retail!$Q$71+[2]Retail!$X$71+[2]Retail!$AW$71+[2]Retail!$AZ$71)/1000/AV282</f>
        <v>#DIV/0!</v>
      </c>
      <c r="AW287" s="7"/>
      <c r="AX287" s="24" t="e">
        <f>-([2]SME!$Q$69+[2]SME!$X$69+[2]SME!$AW$69+[2]SME!$AZ$69)/1000/AX282</f>
        <v>#DIV/0!</v>
      </c>
      <c r="AY287" s="24">
        <f>-([2]SME!$Q$70+[2]SME!$X$70+[2]SME!$AW$70+[2]SME!$AZ$70)/1000/AY282</f>
        <v>0.14696150353064358</v>
      </c>
      <c r="AZ287" s="24" t="e">
        <f>-([2]SME!$Q$71+[2]SME!$X$71+[2]SME!$AW$71+[2]SME!$AZ$71)/1000/AZ282</f>
        <v>#DIV/0!</v>
      </c>
      <c r="BA287" s="7"/>
      <c r="BB287" s="51"/>
      <c r="BC287" s="51"/>
      <c r="BD287" s="51"/>
      <c r="BJ287" s="24" t="e">
        <f>-([2]Specials!$Q$69+[2]Specials!$X$69+[2]Specials!$AW$69+[2]Specials!$AZ$69)/1000/BJ282</f>
        <v>#DIV/0!</v>
      </c>
      <c r="BK287" s="24" t="e">
        <f>-([2]Specials!$Q$70+[2]Specials!$X$70+[2]Specials!$AW$70+[2]Specials!$AZ$70)/1000/BK282</f>
        <v>#DIV/0!</v>
      </c>
      <c r="BL287" s="24" t="e">
        <f>-([2]Specials!$Q$71+[2]Specials!$X$71+[2]Specials!$AW$71+[2]Specials!$AZ$71)/1000/BL282</f>
        <v>#DIV/0!</v>
      </c>
      <c r="BM287" s="7"/>
      <c r="BN287" s="54">
        <f>-('[2]Total P&amp;C'!$Q$69+'[2]Total P&amp;C'!$X$69+'[2]Total P&amp;C'!$AW$69+'[2]Total P&amp;C'!$AZ$69)/1000/BN282</f>
        <v>0.15745164436884579</v>
      </c>
      <c r="BO287" s="54">
        <f>-('[2]Total P&amp;C'!$Q$70+'[2]Total P&amp;C'!$X$70+'[2]Total P&amp;C'!$AW$70+'[2]Total P&amp;C'!$AZ$70)/1000/BO282</f>
        <v>5.6144001880562643E-2</v>
      </c>
      <c r="BP287" s="54">
        <f>-('[2]Total P&amp;C'!$Q$71+'[2]Total P&amp;C'!$X$71+'[2]Total P&amp;C'!$AW$71+'[2]Total P&amp;C'!$AZ$71)/1000/BP282</f>
        <v>0.18272880151267773</v>
      </c>
      <c r="BR287" s="54">
        <f>-('[3]Total P&amp;C'!$Q$69+'[3]Total P&amp;C'!$X$69+'[3]Total P&amp;C'!$AW$69+'[3]Total P&amp;C'!$AZ$69)/1000/BR282</f>
        <v>6.7845941490036643E-2</v>
      </c>
      <c r="BS287" s="54">
        <f>-('[3]Total P&amp;C'!$Q$70+'[3]Total P&amp;C'!$X$70+'[3]Total P&amp;C'!$AW$70+'[3]Total P&amp;C'!$AZ$70)/1000/BS282</f>
        <v>2.5857434347688304E-2</v>
      </c>
      <c r="BT287" s="54">
        <f>-('[3]Total P&amp;C'!$Q$71+'[3]Total P&amp;C'!$X$71+'[3]Total P&amp;C'!$AW$71+'[3]Total P&amp;C'!$AZ$71)/1000/BT282</f>
        <v>8.5763457973621948E-2</v>
      </c>
    </row>
    <row r="288" spans="2:72" ht="16.5" hidden="1" customHeight="1" outlineLevel="1" x14ac:dyDescent="0.25">
      <c r="B288" s="201"/>
      <c r="C288" s="9"/>
      <c r="D288" s="48" t="s">
        <v>26</v>
      </c>
      <c r="J288" s="51"/>
      <c r="K288" s="51"/>
      <c r="L288" s="51"/>
      <c r="M288" s="7"/>
      <c r="N288" s="51"/>
      <c r="O288" s="51"/>
      <c r="P288" s="51"/>
      <c r="Q288" s="7"/>
      <c r="R288" s="51"/>
      <c r="S288" s="51"/>
      <c r="T288" s="51"/>
      <c r="U288" s="7"/>
      <c r="V288" s="51"/>
      <c r="W288" s="51"/>
      <c r="X288" s="51"/>
      <c r="Y288" s="7"/>
      <c r="Z288" s="51"/>
      <c r="AA288" s="51"/>
      <c r="AB288" s="51"/>
      <c r="AC288" s="7"/>
      <c r="AD288" s="51"/>
      <c r="AE288" s="51"/>
      <c r="AF288" s="51"/>
      <c r="AG288" s="7"/>
      <c r="AH288" s="54">
        <f>-'[1]Total P&amp;C'!$AT$69/1000/AH282</f>
        <v>5.0095845232198455E-2</v>
      </c>
      <c r="AI288" s="54">
        <f>-'[1]Total P&amp;C'!$AT$70/1000/AI282</f>
        <v>6.6664666149287524E-2</v>
      </c>
      <c r="AJ288" s="54">
        <f>-'[1]Total P&amp;C'!$AT$71/1000/AJ282</f>
        <v>6.4890474147655031E-2</v>
      </c>
      <c r="AL288" s="201"/>
      <c r="AM288" s="9"/>
      <c r="AN288" s="48" t="s">
        <v>26</v>
      </c>
      <c r="AT288" s="24" t="e">
        <f>-[2]Retail!$AT$69/1000/AT282</f>
        <v>#DIV/0!</v>
      </c>
      <c r="AU288" s="51">
        <f>-[2]Retail!$AT$70/1000/AU282</f>
        <v>0</v>
      </c>
      <c r="AV288" s="51" t="e">
        <f>-[2]Retail!$AT$71/1000/AV282</f>
        <v>#DIV/0!</v>
      </c>
      <c r="AW288" s="7"/>
      <c r="AX288" s="24" t="e">
        <f>-[2]SME!$AT$69/1000/AX282</f>
        <v>#DIV/0!</v>
      </c>
      <c r="AY288" s="24">
        <f>-[2]SME!$AT$70/1000/AY282</f>
        <v>9.8372299683685896E-3</v>
      </c>
      <c r="AZ288" s="24" t="e">
        <f>-[2]SME!$AT$71/1000/AZ282</f>
        <v>#DIV/0!</v>
      </c>
      <c r="BA288" s="7"/>
      <c r="BB288" s="51"/>
      <c r="BC288" s="51"/>
      <c r="BD288" s="51"/>
      <c r="BJ288" s="24" t="e">
        <f>-[2]Specials!$AT$69/1000/BJ282</f>
        <v>#DIV/0!</v>
      </c>
      <c r="BK288" s="24" t="e">
        <f>-[2]Specials!$AT$70/1000/BK282</f>
        <v>#DIV/0!</v>
      </c>
      <c r="BL288" s="24" t="e">
        <f>-[2]Specials!$AT$71/1000/BL282</f>
        <v>#DIV/0!</v>
      </c>
      <c r="BM288" s="7"/>
      <c r="BN288" s="54">
        <f>-'[2]Total P&amp;C'!$AT$69/1000/BN282</f>
        <v>4.1077325081225698E-2</v>
      </c>
      <c r="BO288" s="54">
        <f>-'[2]Total P&amp;C'!$AT$70/1000/BO282</f>
        <v>3.7088006543603683E-2</v>
      </c>
      <c r="BP288" s="54">
        <f>-'[2]Total P&amp;C'!$AT$71/1000/BP282</f>
        <v>4.4376018300853887E-2</v>
      </c>
      <c r="BR288" s="54">
        <f>-'[3]Total P&amp;C'!$AT$69/1000/BR282</f>
        <v>4.6209763299282919E-2</v>
      </c>
      <c r="BS288" s="54">
        <f>-'[3]Total P&amp;C'!$AT$70/1000/BS282</f>
        <v>5.3042970004348766E-2</v>
      </c>
      <c r="BT288" s="54">
        <f>-'[3]Total P&amp;C'!$AT$71/1000/BT282</f>
        <v>5.5856086615881435E-2</v>
      </c>
    </row>
    <row r="289" spans="2:72" ht="16.5" hidden="1" customHeight="1" outlineLevel="1" x14ac:dyDescent="0.25">
      <c r="B289" s="201"/>
      <c r="C289" s="9"/>
      <c r="D289" s="49" t="s">
        <v>27</v>
      </c>
      <c r="J289" s="24"/>
      <c r="K289" s="24"/>
      <c r="L289" s="24"/>
      <c r="M289" s="7"/>
      <c r="N289" s="24"/>
      <c r="O289" s="24"/>
      <c r="P289" s="24"/>
      <c r="Q289" s="7"/>
      <c r="R289" s="24"/>
      <c r="S289" s="24"/>
      <c r="T289" s="24"/>
      <c r="U289" s="7"/>
      <c r="V289" s="24"/>
      <c r="W289" s="24"/>
      <c r="X289" s="24"/>
      <c r="Y289" s="7"/>
      <c r="Z289" s="24"/>
      <c r="AA289" s="24"/>
      <c r="AB289" s="24"/>
      <c r="AC289" s="7"/>
      <c r="AD289" s="24"/>
      <c r="AE289" s="24"/>
      <c r="AF289" s="24"/>
      <c r="AG289" s="7"/>
      <c r="AH289" s="54">
        <f>-('[1]Total P&amp;C'!$Z$69+'[1]Total P&amp;C'!$AA$69+'[1]Total P&amp;C'!$BB$69+'[1]Total P&amp;C'!$BC$69)/1000/AH282</f>
        <v>-0.23290704900050249</v>
      </c>
      <c r="AI289" s="54">
        <f>-('[1]Total P&amp;C'!$Z$70+'[1]Total P&amp;C'!$AA$70+'[1]Total P&amp;C'!$BB$70+'[1]Total P&amp;C'!$BC$70)/1000/AI282</f>
        <v>-0.17321492518643389</v>
      </c>
      <c r="AJ289" s="54">
        <f>-('[1]Total P&amp;C'!$Z$71+'[1]Total P&amp;C'!$AA$71+'[1]Total P&amp;C'!$BB$71+'[1]Total P&amp;C'!$BC$71)/1000/AJ282</f>
        <v>-0.16246864811811718</v>
      </c>
      <c r="AL289" s="201"/>
      <c r="AM289" s="9"/>
      <c r="AN289" s="49" t="s">
        <v>27</v>
      </c>
      <c r="AT289" s="24" t="e">
        <f>-([2]Retail!$Z$69+[2]Retail!$AA$69+[2]Retail!$BB$69+[2]Retail!$BC$69)/1000/AT282</f>
        <v>#DIV/0!</v>
      </c>
      <c r="AU289" s="24">
        <f>-([2]Retail!$Z$70+[2]Retail!$AA$70+[2]Retail!$BB$70+[2]Retail!$BC$70)/1000/AU282</f>
        <v>-1.59468681191293E-2</v>
      </c>
      <c r="AV289" s="24" t="e">
        <f>-([2]Retail!$Z$71+[2]Retail!$AA$71+[2]Retail!$BB$71+[2]Retail!$BC$71)/1000/AV282</f>
        <v>#DIV/0!</v>
      </c>
      <c r="AW289" s="7"/>
      <c r="AX289" s="24" t="e">
        <f>-([2]SME!$Z$69+[2]SME!$AA$69+[2]SME!$BB$69+[2]SME!$BC$69)/1000/AX282</f>
        <v>#DIV/0!</v>
      </c>
      <c r="AY289" s="24">
        <f>-([2]SME!$Z$70+[2]SME!$AA$70+[2]SME!$BB$70+[2]SME!$BC$70)/1000/AY282</f>
        <v>-4.7806726950113079E-2</v>
      </c>
      <c r="AZ289" s="24" t="e">
        <f>-([2]SME!$Z$71+[2]SME!$AA$71+[2]SME!$BB$71+[2]SME!$BC$71)/1000/AZ282</f>
        <v>#DIV/0!</v>
      </c>
      <c r="BA289" s="7"/>
      <c r="BB289" s="24"/>
      <c r="BC289" s="24"/>
      <c r="BD289" s="24"/>
      <c r="BJ289" s="24" t="e">
        <f>-([2]Specials!$Z$69+[2]Specials!$AA$69+[2]Specials!$BB$69+[2]Specials!$BC$69)/1000/BJ282</f>
        <v>#DIV/0!</v>
      </c>
      <c r="BK289" s="24" t="e">
        <f>-([2]Specials!$Z$70+[2]Specials!$AA$70+[2]Specials!$BB$70+[2]Specials!$BC$70)/1000/BK282</f>
        <v>#DIV/0!</v>
      </c>
      <c r="BL289" s="24" t="e">
        <f>-([2]Specials!$Z$71+[2]Specials!$AA$71+[2]Specials!$BB$71+[2]Specials!$BC$71)/1000/BL282</f>
        <v>#DIV/0!</v>
      </c>
      <c r="BM289" s="7"/>
      <c r="BN289" s="54">
        <f>-('[2]Total P&amp;C'!$Z$69+'[2]Total P&amp;C'!$AA$69+'[2]Total P&amp;C'!$BB$69+'[2]Total P&amp;C'!$BC$69)/1000/BN282</f>
        <v>-7.2616253194370206E-2</v>
      </c>
      <c r="BO289" s="54">
        <f>-('[2]Total P&amp;C'!$Z$70+'[2]Total P&amp;C'!$AA$70+'[2]Total P&amp;C'!$BB$70+'[2]Total P&amp;C'!$BC$70)/1000/BO282</f>
        <v>-5.9475978994538554E-2</v>
      </c>
      <c r="BP289" s="54">
        <f>-('[2]Total P&amp;C'!$Z$71+'[2]Total P&amp;C'!$AA$71+'[2]Total P&amp;C'!$BB$71+'[2]Total P&amp;C'!$BC$71)/1000/BP282</f>
        <v>-0.129839385082544</v>
      </c>
      <c r="BR289" s="54">
        <f>-('[3]Total P&amp;C'!$Z$69+'[3]Total P&amp;C'!$AA$69+'[3]Total P&amp;C'!$BB$69+'[3]Total P&amp;C'!$BC$69)/1000/BR282</f>
        <v>-0.16383771665248126</v>
      </c>
      <c r="BS289" s="54">
        <f>-('[3]Total P&amp;C'!$Z$70+'[3]Total P&amp;C'!$AA$70+'[3]Total P&amp;C'!$BB$70+'[3]Total P&amp;C'!$BC$70)/1000/BS282</f>
        <v>-0.12083181683251416</v>
      </c>
      <c r="BT289" s="54">
        <f>-('[3]Total P&amp;C'!$Z$71+'[3]Total P&amp;C'!$AA$71+'[3]Total P&amp;C'!$BB$71+'[3]Total P&amp;C'!$BC$71)/1000/BT282</f>
        <v>-0.14809900510438306</v>
      </c>
    </row>
    <row r="290" spans="2:72" ht="16.5" hidden="1" customHeight="1" outlineLevel="1" x14ac:dyDescent="0.25">
      <c r="B290" s="201"/>
      <c r="C290" s="9"/>
      <c r="D290" s="49" t="s">
        <v>28</v>
      </c>
      <c r="J290" s="24"/>
      <c r="K290" s="24"/>
      <c r="L290" s="24"/>
      <c r="M290" s="7"/>
      <c r="N290" s="24"/>
      <c r="O290" s="24"/>
      <c r="P290" s="24"/>
      <c r="Q290" s="7"/>
      <c r="R290" s="24"/>
      <c r="S290" s="24"/>
      <c r="T290" s="24"/>
      <c r="U290" s="7"/>
      <c r="V290" s="24"/>
      <c r="W290" s="24"/>
      <c r="X290" s="24"/>
      <c r="Y290" s="7"/>
      <c r="Z290" s="24"/>
      <c r="AA290" s="24"/>
      <c r="AB290" s="24"/>
      <c r="AC290" s="7"/>
      <c r="AD290" s="24"/>
      <c r="AE290" s="24"/>
      <c r="AF290" s="24"/>
      <c r="AG290" s="7"/>
      <c r="AH290" s="54">
        <f>-SUM('[1]Total P&amp;C'!$AC$69:$AI$69,'[1]Total P&amp;C'!$BE$69:$BG$69)/1000/AH282</f>
        <v>1.9380533630135963E-2</v>
      </c>
      <c r="AI290" s="54">
        <f>-SUM('[1]Total P&amp;C'!$AC$70:$AI$70,'[1]Total P&amp;C'!$BE$70:$BG$70)/1000/AI282</f>
        <v>0.23104779797824937</v>
      </c>
      <c r="AJ290" s="54">
        <f>-SUM('[1]Total P&amp;C'!$AC$71:$AI$71,'[1]Total P&amp;C'!$BE$71:$BG$71)/1000/AJ282</f>
        <v>-1.6053358599148099E-2</v>
      </c>
      <c r="AL290" s="201"/>
      <c r="AM290" s="9"/>
      <c r="AN290" s="49" t="s">
        <v>28</v>
      </c>
      <c r="AT290" s="24" t="e">
        <f>-SUM([2]Retail!$AC$69:$AI$69,[2]Retail!$BE$69:$BG$69)/1000/AT282</f>
        <v>#DIV/0!</v>
      </c>
      <c r="AU290" s="24">
        <f>-SUM([2]Retail!$AC$70:$AI$70,[2]Retail!$BE$70:$BG$70)/1000/AU282</f>
        <v>0.10884800403655438</v>
      </c>
      <c r="AV290" s="24" t="e">
        <f>-SUM([2]Retail!$AC$71:$AI$71,[2]Retail!$BE$71:$BG$71)/1000/AV282</f>
        <v>#DIV/0!</v>
      </c>
      <c r="AW290" s="7"/>
      <c r="AX290" s="24" t="e">
        <f>-SUM([2]SME!$AC$69:$AI$69,[2]SME!$BE$69:$BG$69)/1000/AX282</f>
        <v>#DIV/0!</v>
      </c>
      <c r="AY290" s="24">
        <f>-SUM([2]SME!$AC$70:$AI$70,[2]SME!$BE$70:$BG$70)/1000/AY282</f>
        <v>-9.6988875863555733E-3</v>
      </c>
      <c r="AZ290" s="24" t="e">
        <f>-SUM([2]SME!$AC$71:$AI$71,[2]SME!$BE$71:$BG$71)/1000/AZ282</f>
        <v>#DIV/0!</v>
      </c>
      <c r="BA290" s="7"/>
      <c r="BB290" s="24"/>
      <c r="BC290" s="24"/>
      <c r="BD290" s="24"/>
      <c r="BJ290" s="24" t="e">
        <f>-SUM([2]Specials!$AC$69:$AI$69,[2]Specials!$BE$69:$BG$69)/1000/BJ282</f>
        <v>#DIV/0!</v>
      </c>
      <c r="BK290" s="24" t="e">
        <f>-SUM([2]Specials!$AC$70:$AI$70,[2]Specials!$BE$70:$BG$70)/1000/BK282</f>
        <v>#DIV/0!</v>
      </c>
      <c r="BL290" s="24" t="e">
        <f>-SUM([2]Specials!$AC$71:$AI$71,[2]Specials!$BE$71:$BG$71)/1000/BL282</f>
        <v>#DIV/0!</v>
      </c>
      <c r="BM290" s="7"/>
      <c r="BN290" s="54">
        <f>-SUM('[2]Total P&amp;C'!$AC$69:$AI$69,'[2]Total P&amp;C'!$BE$69:$BG$69)/1000/BN282</f>
        <v>-0.10724090052677954</v>
      </c>
      <c r="BO290" s="54">
        <f>-SUM('[2]Total P&amp;C'!$AC$70:$AI$70,'[2]Total P&amp;C'!$BE$70:$BG$70)/1000/BO282</f>
        <v>-7.8292144856157611E-2</v>
      </c>
      <c r="BP290" s="54">
        <f>-SUM('[2]Total P&amp;C'!$AC$71:$AI$71,'[2]Total P&amp;C'!$BE$71:$BG$71)/1000/BP282</f>
        <v>-3.0373880173718368E-2</v>
      </c>
      <c r="BR290" s="54">
        <f>-SUM('[3]Total P&amp;C'!$AC$69:$AI$69,'[3]Total P&amp;C'!$BE$69:$BG$69)/1000/BR282</f>
        <v>-3.518066481038308E-2</v>
      </c>
      <c r="BS290" s="54">
        <f>-SUM('[3]Total P&amp;C'!$AC$70:$AI$70,'[3]Total P&amp;C'!$BE$70:$BG$70)/1000/BS282</f>
        <v>8.8579555689885944E-2</v>
      </c>
      <c r="BT290" s="54">
        <f>-SUM('[3]Total P&amp;C'!$AC$71:$AI$71,'[3]Total P&amp;C'!$BE$71:$BG$71)/1000/BT282</f>
        <v>-2.2359991469547418E-2</v>
      </c>
    </row>
    <row r="291" spans="2:72" ht="16.5" hidden="1" customHeight="1" outlineLevel="1" x14ac:dyDescent="0.25">
      <c r="B291" s="201"/>
      <c r="C291" s="9"/>
      <c r="D291" s="49" t="s">
        <v>29</v>
      </c>
      <c r="J291" s="24"/>
      <c r="K291" s="24"/>
      <c r="L291" s="24"/>
      <c r="M291" s="7"/>
      <c r="N291" s="24"/>
      <c r="O291" s="24"/>
      <c r="P291" s="24"/>
      <c r="Q291" s="7"/>
      <c r="R291" s="24"/>
      <c r="S291" s="24"/>
      <c r="T291" s="24"/>
      <c r="U291" s="7"/>
      <c r="V291" s="24"/>
      <c r="W291" s="24"/>
      <c r="X291" s="24"/>
      <c r="Y291" s="7"/>
      <c r="Z291" s="24"/>
      <c r="AA291" s="24"/>
      <c r="AB291" s="24"/>
      <c r="AC291" s="7"/>
      <c r="AD291" s="24"/>
      <c r="AE291" s="24"/>
      <c r="AF291" s="24"/>
      <c r="AG291" s="7"/>
      <c r="AH291" s="54">
        <f>-SUM('[1]Total P&amp;C'!$AJ$69:$AK$69,'[1]Total P&amp;C'!$BH$69:$BI$69)/1000/AH282</f>
        <v>-3.2945081475688996E-2</v>
      </c>
      <c r="AI291" s="54">
        <f>-SUM('[1]Total P&amp;C'!$AJ$70:$AK$70,'[1]Total P&amp;C'!$BH$70:$BI$70)/1000/AI282</f>
        <v>-0.17931391092406213</v>
      </c>
      <c r="AJ291" s="54">
        <f>-SUM('[1]Total P&amp;C'!$AJ$71:$AK$71,'[1]Total P&amp;C'!$BH$71:$BI$71)/1000/AJ282</f>
        <v>0</v>
      </c>
      <c r="AL291" s="201"/>
      <c r="AM291" s="9"/>
      <c r="AN291" s="49" t="s">
        <v>29</v>
      </c>
      <c r="AT291" s="24" t="e">
        <f>-SUM([2]Retail!$AJ$69:$AK$69,[2]Retail!$BH$69:$BI$69)/1000/AT282</f>
        <v>#DIV/0!</v>
      </c>
      <c r="AU291" s="24">
        <f>-SUM([2]Retail!$AJ$70:$AK$70,[2]Retail!$BH$70:$BI$70)/1000/AU282</f>
        <v>-7.1655117860144002E-2</v>
      </c>
      <c r="AV291" s="24" t="e">
        <f>-SUM([2]Retail!$AJ$71:$AK$71,[2]Retail!$BH$71:$BI$71)/1000/AV282</f>
        <v>#DIV/0!</v>
      </c>
      <c r="AW291" s="7"/>
      <c r="AX291" s="24" t="e">
        <f>-SUM([2]SME!$AJ$69:$AK$69,[2]SME!$BH$69:$BI$69)/1000/AX282</f>
        <v>#DIV/0!</v>
      </c>
      <c r="AY291" s="24">
        <f>-SUM([2]SME!$AJ$70:$AK$70,[2]SME!$BH$70:$BI$70)/1000/AY282</f>
        <v>-0.13229232167847191</v>
      </c>
      <c r="AZ291" s="24" t="e">
        <f>-SUM([2]SME!$AJ$71:$AK$71,[2]SME!$BH$71:$BI$71)/1000/AZ282</f>
        <v>#DIV/0!</v>
      </c>
      <c r="BA291" s="7"/>
      <c r="BB291" s="24"/>
      <c r="BC291" s="24"/>
      <c r="BD291" s="24"/>
      <c r="BJ291" s="24" t="e">
        <f>-SUM([2]Specials!$AJ$69:$AK$69,[2]Specials!$BH$69:$BI$69)/1000/BJ282</f>
        <v>#DIV/0!</v>
      </c>
      <c r="BK291" s="24" t="e">
        <f>-SUM([2]Specials!$AJ$70:$AK$70,[2]Specials!$BH$70:$BI$70)/1000/BK282</f>
        <v>#DIV/0!</v>
      </c>
      <c r="BL291" s="24" t="e">
        <f>-SUM([2]Specials!$AJ$71:$AK$71,[2]Specials!$BH$71:$BI$71)/1000/BL282</f>
        <v>#DIV/0!</v>
      </c>
      <c r="BM291" s="7"/>
      <c r="BN291" s="54">
        <f>-SUM('[2]Total P&amp;C'!$AJ$69:$AK$69,'[2]Total P&amp;C'!$BH$69:$BI$69)/1000/BN282</f>
        <v>4.8047345881890809E-2</v>
      </c>
      <c r="BO291" s="54">
        <f>-SUM('[2]Total P&amp;C'!$AJ$70:$AK$70,'[2]Total P&amp;C'!$BH$70:$BI$70)/1000/BO282</f>
        <v>-8.5883459919936261E-2</v>
      </c>
      <c r="BP291" s="54">
        <f>-SUM('[2]Total P&amp;C'!$AJ$71:$AK$71,'[2]Total P&amp;C'!$BH$71:$BI$71)/1000/BP282</f>
        <v>0</v>
      </c>
      <c r="BR291" s="54">
        <f>-SUM('[3]Total P&amp;C'!$AJ$69:$AK$69,'[3]Total P&amp;C'!$BH$69:$BI$69)/1000/BR282</f>
        <v>1.9545698405323418E-3</v>
      </c>
      <c r="BS291" s="54">
        <f>-SUM('[3]Total P&amp;C'!$AJ$70:$AK$70,'[3]Total P&amp;C'!$BH$70:$BI$70)/1000/BS282</f>
        <v>-0.13628399371129427</v>
      </c>
      <c r="BT291" s="54">
        <f>-SUM('[3]Total P&amp;C'!$AJ$71:$AK$71,'[3]Total P&amp;C'!$BH$71:$BI$71)/1000/BT282</f>
        <v>0</v>
      </c>
    </row>
    <row r="292" spans="2:72" ht="16.5" hidden="1" customHeight="1" outlineLevel="1" x14ac:dyDescent="0.25">
      <c r="B292" s="201"/>
      <c r="C292" s="9"/>
      <c r="D292" s="49" t="s">
        <v>30</v>
      </c>
      <c r="J292" s="24"/>
      <c r="K292" s="24"/>
      <c r="L292" s="24"/>
      <c r="M292" s="7"/>
      <c r="N292" s="24"/>
      <c r="O292" s="24"/>
      <c r="P292" s="24"/>
      <c r="Q292" s="7"/>
      <c r="R292" s="24"/>
      <c r="S292" s="24"/>
      <c r="T292" s="24"/>
      <c r="U292" s="7"/>
      <c r="V292" s="24"/>
      <c r="W292" s="24"/>
      <c r="X292" s="24"/>
      <c r="Y292" s="7"/>
      <c r="Z292" s="24"/>
      <c r="AA292" s="24"/>
      <c r="AB292" s="24"/>
      <c r="AC292" s="7"/>
      <c r="AD292" s="24"/>
      <c r="AE292" s="24"/>
      <c r="AF292" s="24"/>
      <c r="AG292" s="7"/>
      <c r="AH292" s="54">
        <f>+AH293+AH294+AH295</f>
        <v>0.13072247848572674</v>
      </c>
      <c r="AI292" s="54">
        <f>+AI293+AI294+AI295</f>
        <v>0.12071726771900751</v>
      </c>
      <c r="AJ292" s="54">
        <f>+AJ293+AJ294+AJ295</f>
        <v>0.14216831692673881</v>
      </c>
      <c r="AL292" s="201"/>
      <c r="AM292" s="9"/>
      <c r="AN292" s="49" t="s">
        <v>30</v>
      </c>
      <c r="AT292" s="24" t="e">
        <f>+AT293+AT294+AT295</f>
        <v>#DIV/0!</v>
      </c>
      <c r="AU292" s="24">
        <f>+AU293+AU294+AU295</f>
        <v>2.4703237217243581</v>
      </c>
      <c r="AV292" s="24" t="e">
        <f>+AV293+AV294+AV295</f>
        <v>#DIV/0!</v>
      </c>
      <c r="AW292" s="7"/>
      <c r="AX292" s="24" t="e">
        <f>+AX293+AX294+AX295</f>
        <v>#DIV/0!</v>
      </c>
      <c r="AY292" s="24">
        <f>+AY293+AY294+AY295</f>
        <v>0.30351905957033898</v>
      </c>
      <c r="AZ292" s="24" t="e">
        <f>+AZ293+AZ294+AZ295</f>
        <v>#DIV/0!</v>
      </c>
      <c r="BA292" s="7"/>
      <c r="BB292" s="24"/>
      <c r="BC292" s="24"/>
      <c r="BD292" s="24"/>
      <c r="BJ292" s="24" t="e">
        <f>+BJ293+BJ294+BJ295</f>
        <v>#DIV/0!</v>
      </c>
      <c r="BK292" s="24" t="e">
        <f>+BK293+BK294+BK295</f>
        <v>#DIV/0!</v>
      </c>
      <c r="BL292" s="24" t="e">
        <f>+BL293+BL294+BL295</f>
        <v>#DIV/0!</v>
      </c>
      <c r="BM292" s="7"/>
      <c r="BN292" s="54">
        <f>+BN293+BN294+BN295</f>
        <v>0.20135935126463936</v>
      </c>
      <c r="BO292" s="54">
        <f>+BO293+BO294+BO295</f>
        <v>0.21906541635650589</v>
      </c>
      <c r="BP292" s="54">
        <f>+BP293+BP294+BP295</f>
        <v>0.20087547641401643</v>
      </c>
      <c r="BR292" s="54">
        <f>+BR293+BR294+BR295</f>
        <v>0.16115991949695269</v>
      </c>
      <c r="BS292" s="54">
        <f>+BS293+BS294+BS295</f>
        <v>0.16601205810499919</v>
      </c>
      <c r="BT292" s="54">
        <f>+BT293+BT294+BT295</f>
        <v>0.16802243821850149</v>
      </c>
    </row>
    <row r="293" spans="2:72" ht="16.5" hidden="1" customHeight="1" outlineLevel="1" x14ac:dyDescent="0.25">
      <c r="B293" s="201"/>
      <c r="C293" s="9"/>
      <c r="D293" s="50" t="s">
        <v>31</v>
      </c>
      <c r="J293" s="51"/>
      <c r="K293" s="51"/>
      <c r="L293" s="51"/>
      <c r="M293" s="8"/>
      <c r="N293" s="51"/>
      <c r="O293" s="51"/>
      <c r="P293" s="51"/>
      <c r="Q293" s="8"/>
      <c r="R293" s="51"/>
      <c r="S293" s="51"/>
      <c r="T293" s="51"/>
      <c r="U293" s="8"/>
      <c r="V293" s="51"/>
      <c r="W293" s="51"/>
      <c r="X293" s="51"/>
      <c r="Y293" s="8"/>
      <c r="Z293" s="51"/>
      <c r="AA293" s="51"/>
      <c r="AB293" s="51"/>
      <c r="AC293" s="8"/>
      <c r="AD293" s="51"/>
      <c r="AE293" s="51"/>
      <c r="AF293" s="51"/>
      <c r="AG293" s="8"/>
      <c r="AH293" s="54">
        <f>-SUM('[1]Total P&amp;C'!$AL$69:$AN$69,'[1]Total P&amp;C'!$BJ$69)/1000/AH282</f>
        <v>3.7733476035144736E-2</v>
      </c>
      <c r="AI293" s="54">
        <f>-SUM('[1]Total P&amp;C'!$AL$70:$AN$70,'[1]Total P&amp;C'!$BJ$70)/1000/AI282</f>
        <v>3.6923486407827034E-2</v>
      </c>
      <c r="AJ293" s="54">
        <f>-SUM('[1]Total P&amp;C'!$AL$71:$AN$71,'[1]Total P&amp;C'!$BJ$71)/1000/AJ282</f>
        <v>3.7777349036220903E-2</v>
      </c>
      <c r="AL293" s="201"/>
      <c r="AM293" s="9"/>
      <c r="AN293" s="50" t="s">
        <v>31</v>
      </c>
      <c r="AT293" s="24" t="e">
        <f>-SUM([2]Retail!$AL$69:$AN$69,[2]Retail!$BJ$69)/1000/AT282</f>
        <v>#DIV/0!</v>
      </c>
      <c r="AU293" s="51">
        <f>-SUM([2]Retail!$AL$70:$AN$70,[2]Retail!$BJ$70)/1000/AU282</f>
        <v>0.17910383003587602</v>
      </c>
      <c r="AV293" s="51" t="e">
        <f>-SUM([2]Retail!$AL$71:$AN$71,[2]Retail!$BJ$71)/1000/AV282</f>
        <v>#DIV/0!</v>
      </c>
      <c r="AW293" s="8"/>
      <c r="AX293" s="24" t="e">
        <f>-SUM([2]SME!$AL$69:$AN$69,[2]SME!$BJ$69)/1000/AX282</f>
        <v>#DIV/0!</v>
      </c>
      <c r="AY293" s="24">
        <f>-SUM([2]SME!$AL$70:$AN$70,[2]SME!$BJ$70)/1000/AY282</f>
        <v>9.2914903229432855E-2</v>
      </c>
      <c r="AZ293" s="24" t="e">
        <f>-SUM([2]SME!$AL$71:$AN$71,[2]SME!$BJ$71)/1000/AZ282</f>
        <v>#DIV/0!</v>
      </c>
      <c r="BA293" s="8"/>
      <c r="BB293" s="51"/>
      <c r="BC293" s="51"/>
      <c r="BD293" s="51"/>
      <c r="BJ293" s="24" t="e">
        <f>-SUM([2]Specials!$AL$69:$AN$69,[2]Specials!$BJ$69)/1000/BJ282</f>
        <v>#DIV/0!</v>
      </c>
      <c r="BK293" s="24" t="e">
        <f>-SUM([2]Specials!$AL$70:$AN$70,[2]Specials!$BJ$70)/1000/BK282</f>
        <v>#DIV/0!</v>
      </c>
      <c r="BL293" s="24" t="e">
        <f>-SUM([2]Specials!$AL$71:$AN$71,[2]Specials!$BJ$71)/1000/BL282</f>
        <v>#DIV/0!</v>
      </c>
      <c r="BM293" s="8"/>
      <c r="BN293" s="54">
        <f>-SUM('[2]Total P&amp;C'!$AL$69:$AN$69,'[2]Total P&amp;C'!$BJ$69)/1000/BN282</f>
        <v>7.7232985603825965E-2</v>
      </c>
      <c r="BO293" s="54">
        <f>-SUM('[2]Total P&amp;C'!$AL$70:$AN$70,'[2]Total P&amp;C'!$BJ$70)/1000/BO282</f>
        <v>7.5647047757506525E-2</v>
      </c>
      <c r="BP293" s="54">
        <f>-SUM('[2]Total P&amp;C'!$AL$71:$AN$71,'[2]Total P&amp;C'!$BJ$71)/1000/BP282</f>
        <v>7.1958299764247044E-2</v>
      </c>
      <c r="BR293" s="54">
        <f>-SUM('[3]Total P&amp;C'!$AL$69:$AN$69,'[3]Total P&amp;C'!$BJ$69)/1000/BR282</f>
        <v>5.4753821715396951E-2</v>
      </c>
      <c r="BS293" s="54">
        <f>-SUM('[3]Total P&amp;C'!$AL$70:$AN$70,'[3]Total P&amp;C'!$BJ$70)/1000/BS282</f>
        <v>5.4757839353278021E-2</v>
      </c>
      <c r="BT293" s="54">
        <f>-SUM('[3]Total P&amp;C'!$AL$71:$AN$71,'[3]Total P&amp;C'!$BJ$71)/1000/BT282</f>
        <v>5.2830341783752163E-2</v>
      </c>
    </row>
    <row r="294" spans="2:72" ht="16.5" hidden="1" customHeight="1" outlineLevel="1" x14ac:dyDescent="0.25">
      <c r="B294" s="201"/>
      <c r="C294" s="9"/>
      <c r="D294" s="50" t="s">
        <v>32</v>
      </c>
      <c r="J294" s="51"/>
      <c r="K294" s="51"/>
      <c r="L294" s="51"/>
      <c r="M294" s="8"/>
      <c r="N294" s="51"/>
      <c r="O294" s="51"/>
      <c r="P294" s="51"/>
      <c r="Q294" s="8"/>
      <c r="R294" s="51"/>
      <c r="S294" s="51"/>
      <c r="T294" s="51"/>
      <c r="U294" s="8"/>
      <c r="V294" s="51"/>
      <c r="W294" s="51"/>
      <c r="X294" s="51"/>
      <c r="Y294" s="8"/>
      <c r="Z294" s="51"/>
      <c r="AA294" s="51"/>
      <c r="AB294" s="51"/>
      <c r="AC294" s="8"/>
      <c r="AD294" s="51"/>
      <c r="AE294" s="51"/>
      <c r="AF294" s="51"/>
      <c r="AG294" s="8"/>
      <c r="AH294" s="54">
        <f>-SUM('[1]Total P&amp;C'!$AO$69:$AP$69)/1000/AH282</f>
        <v>4.0969454771863478E-2</v>
      </c>
      <c r="AI294" s="54">
        <f>-SUM('[1]Total P&amp;C'!$AO$70:$AP$70)/1000/AI282</f>
        <v>3.4477894195226025E-2</v>
      </c>
      <c r="AJ294" s="54">
        <f>-SUM('[1]Total P&amp;C'!$AO$71:$AP$71)/1000/AJ282</f>
        <v>4.2815282469237603E-2</v>
      </c>
      <c r="AL294" s="201"/>
      <c r="AM294" s="9"/>
      <c r="AN294" s="50" t="s">
        <v>32</v>
      </c>
      <c r="AT294" s="24" t="e">
        <f>-SUM([2]Retail!$AO$69:$AP$69)/1000/AT282</f>
        <v>#DIV/0!</v>
      </c>
      <c r="AU294" s="51">
        <f>-SUM([2]Retail!$AO$70:$AP$70)/1000/AU282</f>
        <v>9.8864585134170069E-2</v>
      </c>
      <c r="AV294" s="51" t="e">
        <f>-SUM([2]Retail!$AO$71:$AP$71)/1000/AV282</f>
        <v>#DIV/0!</v>
      </c>
      <c r="AW294" s="8"/>
      <c r="AX294" s="24" t="e">
        <f>-SUM([2]SME!$AO$69:$AP$69)/1000/AX282</f>
        <v>#DIV/0!</v>
      </c>
      <c r="AY294" s="24">
        <f>-SUM([2]SME!$AO$70:$AP$70)/1000/AY282</f>
        <v>0.1373151679517948</v>
      </c>
      <c r="AZ294" s="24" t="e">
        <f>-SUM([2]SME!$AO$71:$AP$71)/1000/AZ282</f>
        <v>#DIV/0!</v>
      </c>
      <c r="BA294" s="8"/>
      <c r="BB294" s="51"/>
      <c r="BC294" s="51"/>
      <c r="BD294" s="51"/>
      <c r="BJ294" s="24" t="e">
        <f>-SUM([2]Specials!$AO$69:$AP$69)/1000/BJ282</f>
        <v>#DIV/0!</v>
      </c>
      <c r="BK294" s="24" t="e">
        <f>-SUM([2]Specials!$AO$70:$AP$70)/1000/BK282</f>
        <v>#DIV/0!</v>
      </c>
      <c r="BL294" s="24" t="e">
        <f>-SUM([2]Specials!$AO$71:$AP$71)/1000/BL282</f>
        <v>#DIV/0!</v>
      </c>
      <c r="BM294" s="8"/>
      <c r="BN294" s="54">
        <f>-SUM('[2]Total P&amp;C'!$AO$69:$AP$69)/1000/BN282</f>
        <v>3.9561023294798152E-2</v>
      </c>
      <c r="BO294" s="54">
        <f>-SUM('[2]Total P&amp;C'!$AO$70:$AP$70)/1000/BO282</f>
        <v>5.6966887803623779E-2</v>
      </c>
      <c r="BP294" s="54">
        <f>-SUM('[2]Total P&amp;C'!$AO$71:$AP$71)/1000/BP282</f>
        <v>3.7679908117995049E-2</v>
      </c>
      <c r="BR294" s="54">
        <f>-SUM('[3]Total P&amp;C'!$AO$69:$AP$69)/1000/BR282</f>
        <v>4.0362561398544057E-2</v>
      </c>
      <c r="BS294" s="54">
        <f>-SUM('[3]Total P&amp;C'!$AO$70:$AP$70)/1000/BS282</f>
        <v>4.4835326089941903E-2</v>
      </c>
      <c r="BT294" s="54">
        <f>-SUM('[3]Total P&amp;C'!$AO$71:$AP$71)/1000/BT282</f>
        <v>4.0553708369669657E-2</v>
      </c>
    </row>
    <row r="295" spans="2:72" ht="16.5" hidden="1" customHeight="1" outlineLevel="1" x14ac:dyDescent="0.25">
      <c r="B295" s="201"/>
      <c r="C295" s="9"/>
      <c r="D295" s="50" t="s">
        <v>33</v>
      </c>
      <c r="J295" s="51"/>
      <c r="K295" s="51"/>
      <c r="L295" s="51"/>
      <c r="M295" s="8"/>
      <c r="N295" s="51"/>
      <c r="O295" s="51"/>
      <c r="P295" s="51"/>
      <c r="Q295" s="8"/>
      <c r="R295" s="51"/>
      <c r="S295" s="51"/>
      <c r="T295" s="51"/>
      <c r="U295" s="8"/>
      <c r="V295" s="51"/>
      <c r="W295" s="51"/>
      <c r="X295" s="51"/>
      <c r="Y295" s="8"/>
      <c r="Z295" s="51"/>
      <c r="AA295" s="51"/>
      <c r="AB295" s="51"/>
      <c r="AC295" s="8"/>
      <c r="AD295" s="51"/>
      <c r="AE295" s="51"/>
      <c r="AF295" s="51"/>
      <c r="AG295" s="8"/>
      <c r="AH295" s="54">
        <f>-SUM('[1]Total P&amp;C'!$AQ$69:$AR$69)/1000/AH282</f>
        <v>5.2019547678718525E-2</v>
      </c>
      <c r="AI295" s="54">
        <f>-SUM('[1]Total P&amp;C'!$AQ$70:$AR$70)/1000/AI282</f>
        <v>4.931588711595445E-2</v>
      </c>
      <c r="AJ295" s="54">
        <f>-SUM('[1]Total P&amp;C'!$AQ$71:$AR$71)/1000/AJ282</f>
        <v>6.1575685421280293E-2</v>
      </c>
      <c r="AL295" s="201"/>
      <c r="AM295" s="9"/>
      <c r="AN295" s="50" t="s">
        <v>33</v>
      </c>
      <c r="AT295" s="24" t="e">
        <f>-SUM([2]Retail!$AQ$69:$AR$69)/1000/AT282</f>
        <v>#DIV/0!</v>
      </c>
      <c r="AU295" s="51">
        <f>-SUM([2]Retail!$AQ$70:$AR$70)/1000/AU282</f>
        <v>2.1923553065543118</v>
      </c>
      <c r="AV295" s="51" t="e">
        <f>-SUM([2]Retail!$AQ$71:$AR$71)/1000/AV282</f>
        <v>#DIV/0!</v>
      </c>
      <c r="AW295" s="8"/>
      <c r="AX295" s="24" t="e">
        <f>-SUM([2]SME!$AQ$69:$AR$69)/1000/AX282</f>
        <v>#DIV/0!</v>
      </c>
      <c r="AY295" s="24">
        <f>-SUM([2]SME!$AQ$70:$AR$70)/1000/AY282</f>
        <v>7.3288988389111354E-2</v>
      </c>
      <c r="AZ295" s="24" t="e">
        <f>-SUM([2]SME!$AQ$71:$AR$71)/1000/AZ282</f>
        <v>#DIV/0!</v>
      </c>
      <c r="BA295" s="8"/>
      <c r="BB295" s="51"/>
      <c r="BC295" s="51"/>
      <c r="BD295" s="51"/>
      <c r="BJ295" s="24" t="e">
        <f>-SUM([2]Specials!$AQ$69:$AR$69)/1000/BJ282</f>
        <v>#DIV/0!</v>
      </c>
      <c r="BK295" s="24" t="e">
        <f>-SUM([2]Specials!$AQ$70:$AR$70)/1000/BK282</f>
        <v>#DIV/0!</v>
      </c>
      <c r="BL295" s="24" t="e">
        <f>-SUM([2]Specials!$AQ$71:$AR$71)/1000/BL282</f>
        <v>#DIV/0!</v>
      </c>
      <c r="BM295" s="8"/>
      <c r="BN295" s="54">
        <f>-SUM('[2]Total P&amp;C'!$AQ$69:$AR$69)/1000/BN282</f>
        <v>8.4565342366015234E-2</v>
      </c>
      <c r="BO295" s="54">
        <f>-SUM('[2]Total P&amp;C'!$AQ$70:$AR$70)/1000/BO282</f>
        <v>8.645148079537561E-2</v>
      </c>
      <c r="BP295" s="54">
        <f>-SUM('[2]Total P&amp;C'!$AQ$71:$AR$71)/1000/BP282</f>
        <v>9.1237268531774329E-2</v>
      </c>
      <c r="BR295" s="54">
        <f>-SUM('[3]Total P&amp;C'!$AQ$69:$AR$69)/1000/BR282</f>
        <v>6.6043536383011692E-2</v>
      </c>
      <c r="BS295" s="54">
        <f>-SUM('[3]Total P&amp;C'!$AQ$70:$AR$70)/1000/BS282</f>
        <v>6.6418892661779264E-2</v>
      </c>
      <c r="BT295" s="54">
        <f>-SUM('[3]Total P&amp;C'!$AQ$71:$AR$71)/1000/BT282</f>
        <v>7.463838806507965E-2</v>
      </c>
    </row>
    <row r="296" spans="2:72" ht="16.5" hidden="1" customHeight="1" outlineLevel="1" x14ac:dyDescent="0.25">
      <c r="B296" s="201"/>
      <c r="C296" s="9"/>
      <c r="D296" s="49" t="s">
        <v>34</v>
      </c>
      <c r="J296" s="23"/>
      <c r="K296" s="23"/>
      <c r="L296" s="23"/>
      <c r="M296" s="6"/>
      <c r="N296" s="23"/>
      <c r="O296" s="23"/>
      <c r="P296" s="23"/>
      <c r="Q296" s="6"/>
      <c r="R296" s="23"/>
      <c r="S296" s="23"/>
      <c r="T296" s="23"/>
      <c r="U296" s="6"/>
      <c r="V296" s="23"/>
      <c r="W296" s="23"/>
      <c r="X296" s="23"/>
      <c r="Y296" s="6"/>
      <c r="Z296" s="23"/>
      <c r="AA296" s="23"/>
      <c r="AB296" s="23"/>
      <c r="AC296" s="6"/>
      <c r="AD296" s="23"/>
      <c r="AE296" s="23"/>
      <c r="AF296" s="23"/>
      <c r="AG296" s="6"/>
      <c r="AH296" s="53">
        <f>+'[1]Total P&amp;C'!$BK$69/1000</f>
        <v>1.0508213400000164</v>
      </c>
      <c r="AI296" s="53">
        <f>+'[1]Total P&amp;C'!$BK$70/1000</f>
        <v>0.93349534000002854</v>
      </c>
      <c r="AJ296" s="53">
        <f>+'[1]Total P&amp;C'!$BK$71/1000</f>
        <v>1.097880577977576</v>
      </c>
      <c r="AL296" s="201"/>
      <c r="AM296" s="9"/>
      <c r="AN296" s="49" t="s">
        <v>34</v>
      </c>
      <c r="AT296" s="23">
        <f>+[2]Retail!$BK$69/1000</f>
        <v>0</v>
      </c>
      <c r="AU296" s="23">
        <f>+[2]Retail!$BK$70/1000</f>
        <v>-0.22434304000000016</v>
      </c>
      <c r="AV296" s="23">
        <f>+[2]Retail!$BK$71/1000</f>
        <v>0</v>
      </c>
      <c r="AW296" s="6"/>
      <c r="AX296" s="23">
        <f>+[2]SME!$BK$69/1000</f>
        <v>0</v>
      </c>
      <c r="AY296" s="23">
        <f>+[2]SME!$BK$70/1000</f>
        <v>1.7956221899999969</v>
      </c>
      <c r="AZ296" s="23">
        <f>+[2]SME!$BK$71/1000</f>
        <v>0</v>
      </c>
      <c r="BA296" s="6"/>
      <c r="BB296" s="23"/>
      <c r="BC296" s="23"/>
      <c r="BD296" s="23"/>
      <c r="BJ296" s="23">
        <f>+[2]Specials!$BK$69/1000</f>
        <v>0</v>
      </c>
      <c r="BK296" s="23">
        <f>+[2]Specials!$BK$70/1000</f>
        <v>0</v>
      </c>
      <c r="BL296" s="23">
        <f>+[2]Specials!$BK$71/1000</f>
        <v>0</v>
      </c>
      <c r="BM296" s="6"/>
      <c r="BN296" s="53">
        <f>+'[2]Total P&amp;C'!$BK$69/1000</f>
        <v>0.97110696000007524</v>
      </c>
      <c r="BO296" s="53">
        <f>+'[2]Total P&amp;C'!$BK$70/1000</f>
        <v>4.0588704599999472</v>
      </c>
      <c r="BP296" s="53">
        <f>+'[2]Total P&amp;C'!$BK$71/1000</f>
        <v>0.25800534552433735</v>
      </c>
      <c r="BR296" s="53">
        <f>+'[3]Total P&amp;C'!$BK$69/1000</f>
        <v>2.0219283000000994</v>
      </c>
      <c r="BS296" s="53">
        <f>+'[3]Total P&amp;C'!$BK$70/1000</f>
        <v>4.9923657999999884</v>
      </c>
      <c r="BT296" s="53">
        <f>+'[3]Total P&amp;C'!$BK$71/1000</f>
        <v>1.3558859235019107</v>
      </c>
    </row>
    <row r="297" spans="2:72" hidden="1" outlineLevel="1" x14ac:dyDescent="0.25">
      <c r="B297"/>
      <c r="C297"/>
      <c r="D297"/>
      <c r="J297" s="47"/>
      <c r="K297" s="47"/>
      <c r="L297" s="4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L297"/>
      <c r="AM297"/>
      <c r="AN297"/>
      <c r="AT297" s="47"/>
      <c r="AU297" s="47"/>
      <c r="AV297" s="47"/>
      <c r="AW297"/>
      <c r="AX297"/>
      <c r="AY297"/>
      <c r="AZ297"/>
      <c r="BA297"/>
      <c r="BB297"/>
      <c r="BC297"/>
      <c r="BD297"/>
      <c r="BJ297"/>
      <c r="BK297"/>
      <c r="BL297"/>
      <c r="BM297"/>
      <c r="BN297"/>
      <c r="BO297"/>
      <c r="BP297"/>
      <c r="BR297"/>
      <c r="BS297"/>
      <c r="BT297"/>
    </row>
    <row r="298" spans="2:72" ht="16.5" hidden="1" customHeight="1" outlineLevel="1" x14ac:dyDescent="0.25">
      <c r="B298" s="201" t="s">
        <v>51</v>
      </c>
      <c r="C298" s="9"/>
      <c r="D298" s="49" t="s">
        <v>19</v>
      </c>
      <c r="J298" s="23"/>
      <c r="K298" s="23"/>
      <c r="L298" s="23"/>
      <c r="M298" s="6"/>
      <c r="N298" s="23"/>
      <c r="O298" s="23"/>
      <c r="P298" s="23"/>
      <c r="Q298" s="6"/>
      <c r="R298" s="23"/>
      <c r="S298" s="23"/>
      <c r="T298" s="23"/>
      <c r="U298" s="6"/>
      <c r="V298" s="23"/>
      <c r="W298" s="23"/>
      <c r="X298" s="23"/>
      <c r="Y298" s="6"/>
      <c r="Z298" s="23"/>
      <c r="AA298" s="23"/>
      <c r="AB298" s="23"/>
      <c r="AC298" s="6"/>
      <c r="AD298" s="23"/>
      <c r="AE298" s="23"/>
      <c r="AF298" s="23"/>
      <c r="AG298" s="6"/>
      <c r="AH298" s="53">
        <f>+'[1]Total P&amp;C'!$C$73/1000</f>
        <v>0</v>
      </c>
      <c r="AI298" s="53">
        <f>+'[1]Total P&amp;C'!$C$74/1000</f>
        <v>0</v>
      </c>
      <c r="AJ298" s="53">
        <f>+'[1]Total P&amp;C'!$C$75/1000</f>
        <v>0</v>
      </c>
      <c r="AL298" s="201" t="s">
        <v>51</v>
      </c>
      <c r="AM298" s="9"/>
      <c r="AN298" s="49" t="s">
        <v>19</v>
      </c>
      <c r="AT298" s="23">
        <f>+[2]Retail!$C$73/1000</f>
        <v>0.31993052999999999</v>
      </c>
      <c r="AU298" s="23">
        <f>+[2]Retail!$C$74/1000</f>
        <v>0.31100812</v>
      </c>
      <c r="AV298" s="23">
        <f>+[2]Retail!$C$75/1000</f>
        <v>0.28447131946747772</v>
      </c>
      <c r="AW298" s="6"/>
      <c r="AX298" s="23">
        <f>+[2]SME!$C$73/1000</f>
        <v>16.443049369999997</v>
      </c>
      <c r="AY298" s="23">
        <f>+[2]SME!$C$74/1000</f>
        <v>15.563839490000003</v>
      </c>
      <c r="AZ298" s="23">
        <f>+[2]SME!$C$75/1000</f>
        <v>17.132217704845431</v>
      </c>
      <c r="BA298" s="6"/>
      <c r="BB298" s="23"/>
      <c r="BC298" s="23"/>
      <c r="BD298" s="23"/>
      <c r="BJ298" s="23">
        <f>+[2]Specials!$C$73/1000</f>
        <v>0</v>
      </c>
      <c r="BK298" s="23">
        <f>+[2]Specials!$C$74/1000</f>
        <v>0</v>
      </c>
      <c r="BL298" s="23">
        <f>+[2]Specials!$C$75/1000</f>
        <v>0</v>
      </c>
      <c r="BM298" s="6"/>
      <c r="BN298" s="53">
        <f>+'[2]Total P&amp;C'!$C$73/1000</f>
        <v>16.762979899999998</v>
      </c>
      <c r="BO298" s="53">
        <f>+'[2]Total P&amp;C'!$C$74/1000</f>
        <v>15.874847610000003</v>
      </c>
      <c r="BP298" s="53">
        <f>+'[2]Total P&amp;C'!$C$75/1000</f>
        <v>17.416689024312909</v>
      </c>
      <c r="BR298" s="53">
        <f>+'[3]Total P&amp;C'!$C$73/1000</f>
        <v>16.762979899999998</v>
      </c>
      <c r="BS298" s="53">
        <f>+'[3]Total P&amp;C'!$C$74/1000</f>
        <v>15.874847610000003</v>
      </c>
      <c r="BT298" s="53">
        <f>+'[3]Total P&amp;C'!$C$75/1000</f>
        <v>17.416689024312909</v>
      </c>
    </row>
    <row r="299" spans="2:72" ht="16.5" hidden="1" customHeight="1" outlineLevel="1" x14ac:dyDescent="0.25">
      <c r="B299" s="201"/>
      <c r="C299" s="9"/>
      <c r="D299" s="49" t="s">
        <v>20</v>
      </c>
      <c r="J299" s="23"/>
      <c r="K299" s="23"/>
      <c r="L299" s="23"/>
      <c r="M299" s="6"/>
      <c r="N299" s="23"/>
      <c r="O299" s="23"/>
      <c r="P299" s="23"/>
      <c r="Q299" s="6"/>
      <c r="R299" s="23"/>
      <c r="S299" s="23"/>
      <c r="T299" s="23"/>
      <c r="U299" s="6"/>
      <c r="V299" s="23"/>
      <c r="W299" s="23"/>
      <c r="X299" s="23"/>
      <c r="Y299" s="6"/>
      <c r="Z299" s="23"/>
      <c r="AA299" s="23"/>
      <c r="AB299" s="23"/>
      <c r="AC299" s="6"/>
      <c r="AD299" s="23"/>
      <c r="AE299" s="23"/>
      <c r="AF299" s="23"/>
      <c r="AG299" s="6"/>
      <c r="AH299" s="53">
        <f>+'[1]Total P&amp;C'!$N$73/1000</f>
        <v>0</v>
      </c>
      <c r="AI299" s="53">
        <f>+'[1]Total P&amp;C'!$N$74/1000</f>
        <v>0</v>
      </c>
      <c r="AJ299" s="53">
        <f>+'[1]Total P&amp;C'!$N$75/1000</f>
        <v>0</v>
      </c>
      <c r="AL299" s="201"/>
      <c r="AM299" s="9"/>
      <c r="AN299" s="49" t="s">
        <v>20</v>
      </c>
      <c r="AT299" s="23">
        <f>+[2]Retail!$N$73/1000</f>
        <v>0.5139912900000001</v>
      </c>
      <c r="AU299" s="23">
        <f>+[2]Retail!$N$74/1000</f>
        <v>0.74947302999999987</v>
      </c>
      <c r="AV299" s="23">
        <f>+[2]Retail!$N$75/1000</f>
        <v>0.551915745228028</v>
      </c>
      <c r="AW299" s="6"/>
      <c r="AX299" s="23">
        <f>+[2]SME!$N$73/1000</f>
        <v>16.313422059999997</v>
      </c>
      <c r="AY299" s="23">
        <f>+[2]SME!$N$74/1000</f>
        <v>14.926091420000001</v>
      </c>
      <c r="AZ299" s="23">
        <f>+[2]SME!$N$75/1000</f>
        <v>16.701720702876649</v>
      </c>
      <c r="BA299" s="6"/>
      <c r="BB299" s="23"/>
      <c r="BC299" s="23"/>
      <c r="BD299" s="23"/>
      <c r="BJ299" s="23">
        <f>+[2]Specials!$N$73/1000</f>
        <v>0</v>
      </c>
      <c r="BK299" s="23">
        <f>+[2]Specials!$N$74/1000</f>
        <v>0</v>
      </c>
      <c r="BL299" s="23">
        <f>+[2]Specials!$N$75/1000</f>
        <v>0</v>
      </c>
      <c r="BM299" s="6"/>
      <c r="BN299" s="53">
        <f>+'[2]Total P&amp;C'!$N$73/1000</f>
        <v>16.82741335</v>
      </c>
      <c r="BO299" s="53">
        <f>+'[2]Total P&amp;C'!$N$74/1000</f>
        <v>15.675564450000001</v>
      </c>
      <c r="BP299" s="53">
        <f>+'[2]Total P&amp;C'!$N$75/1000</f>
        <v>17.253636448104675</v>
      </c>
      <c r="BR299" s="53">
        <f>+'[3]Total P&amp;C'!$N$73/1000</f>
        <v>16.82741335</v>
      </c>
      <c r="BS299" s="53">
        <f>+'[3]Total P&amp;C'!$N$74/1000</f>
        <v>15.675564450000001</v>
      </c>
      <c r="BT299" s="53">
        <f>+'[3]Total P&amp;C'!$N$75/1000</f>
        <v>17.253636448104675</v>
      </c>
    </row>
    <row r="300" spans="2:72" ht="16.5" hidden="1" customHeight="1" outlineLevel="1" x14ac:dyDescent="0.25">
      <c r="B300" s="201"/>
      <c r="C300" s="9"/>
      <c r="D300" s="49" t="s">
        <v>21</v>
      </c>
      <c r="J300" s="24"/>
      <c r="K300" s="24"/>
      <c r="L300" s="24"/>
      <c r="M300" s="6"/>
      <c r="N300" s="24"/>
      <c r="O300" s="24"/>
      <c r="P300" s="24"/>
      <c r="Q300" s="6"/>
      <c r="R300" s="24"/>
      <c r="S300" s="24"/>
      <c r="T300" s="24"/>
      <c r="U300" s="6"/>
      <c r="V300" s="24"/>
      <c r="W300" s="24"/>
      <c r="X300" s="24"/>
      <c r="Y300" s="6"/>
      <c r="Z300" s="24"/>
      <c r="AA300" s="24"/>
      <c r="AB300" s="24"/>
      <c r="AC300" s="6"/>
      <c r="AD300" s="24"/>
      <c r="AE300" s="24"/>
      <c r="AF300" s="24"/>
      <c r="AG300" s="6"/>
      <c r="AH300" s="54" t="e">
        <f>+AH301+AH306+AH307+AH308+AH309</f>
        <v>#DIV/0!</v>
      </c>
      <c r="AI300" s="54" t="e">
        <f>+AI301+AI306+AI307+AI308+AI309</f>
        <v>#DIV/0!</v>
      </c>
      <c r="AJ300" s="54" t="e">
        <f>+AJ301+AJ306+AJ307+AJ308+AJ309</f>
        <v>#DIV/0!</v>
      </c>
      <c r="AL300" s="201"/>
      <c r="AM300" s="9"/>
      <c r="AN300" s="49" t="s">
        <v>21</v>
      </c>
      <c r="AT300" s="24">
        <f>+AT301+AT306+AT307+AT308+AT309</f>
        <v>1.9566985269341812</v>
      </c>
      <c r="AU300" s="24">
        <f>+AU301+AU306+AU307+AU308+AU309</f>
        <v>0.77995711199907947</v>
      </c>
      <c r="AV300" s="24">
        <f>+AV301+AV306+AV307+AV308+AV309</f>
        <v>0.53194800204828596</v>
      </c>
      <c r="AW300" s="6"/>
      <c r="AX300" s="24">
        <f>+AX301+AX306+AX307+AX308+AX309</f>
        <v>0.9148704836488486</v>
      </c>
      <c r="AY300" s="24">
        <f>+AY301+AY306+AY307+AY308+AY309</f>
        <v>1.0863783561095213</v>
      </c>
      <c r="AZ300" s="24">
        <f>+AZ301+AZ306+AZ307+AZ308+AZ309</f>
        <v>0.96930461459360029</v>
      </c>
      <c r="BA300" s="6"/>
      <c r="BB300" s="24"/>
      <c r="BC300" s="24"/>
      <c r="BD300" s="24"/>
      <c r="BJ300" s="24" t="e">
        <f>+BJ301+BJ306+BJ307+BJ308+BJ309</f>
        <v>#DIV/0!</v>
      </c>
      <c r="BK300" s="24" t="e">
        <f>+BK301+BK306+BK307+BK308+BK309</f>
        <v>#DIV/0!</v>
      </c>
      <c r="BL300" s="24" t="e">
        <f>+BL301+BL306+BL307+BL308+BL309</f>
        <v>#DIV/0!</v>
      </c>
      <c r="BM300" s="6"/>
      <c r="BN300" s="54">
        <f>+BN301+BN306+BN307+BN308+BN309</f>
        <v>0.94669299426224574</v>
      </c>
      <c r="BO300" s="54">
        <f>+BO301+BO306+BO307+BO308+BO309</f>
        <v>1.071727881543687</v>
      </c>
      <c r="BP300" s="54">
        <f>+BP301+BP306+BP307+BP308+BP309</f>
        <v>0.9553142884690532</v>
      </c>
      <c r="BR300" s="54">
        <f>+BR301+BR306+BR307+BR308+BR309</f>
        <v>0.94669299426224574</v>
      </c>
      <c r="BS300" s="54">
        <f>+BS301+BS306+BS307+BS308+BS309</f>
        <v>1.071727881543687</v>
      </c>
      <c r="BT300" s="54">
        <f>+BT301+BT306+BT307+BT308+BT309</f>
        <v>0.9553142884690532</v>
      </c>
    </row>
    <row r="301" spans="2:72" ht="16.5" hidden="1" customHeight="1" outlineLevel="1" x14ac:dyDescent="0.25">
      <c r="B301" s="201"/>
      <c r="C301" s="9"/>
      <c r="D301" s="49" t="s">
        <v>22</v>
      </c>
      <c r="J301" s="24"/>
      <c r="K301" s="24"/>
      <c r="L301" s="24"/>
      <c r="M301" s="6"/>
      <c r="N301" s="24"/>
      <c r="O301" s="24"/>
      <c r="P301" s="24"/>
      <c r="Q301" s="6"/>
      <c r="R301" s="24"/>
      <c r="S301" s="24"/>
      <c r="T301" s="24"/>
      <c r="U301" s="6"/>
      <c r="V301" s="24"/>
      <c r="W301" s="24"/>
      <c r="X301" s="24"/>
      <c r="Y301" s="6"/>
      <c r="Z301" s="24"/>
      <c r="AA301" s="24"/>
      <c r="AB301" s="24"/>
      <c r="AC301" s="6"/>
      <c r="AD301" s="24"/>
      <c r="AE301" s="24"/>
      <c r="AF301" s="24"/>
      <c r="AG301" s="6"/>
      <c r="AH301" s="54" t="e">
        <f>+AH302+AH303+AH304+AH305</f>
        <v>#DIV/0!</v>
      </c>
      <c r="AI301" s="54" t="e">
        <f>+AI302+AI303+AI304+AI305</f>
        <v>#DIV/0!</v>
      </c>
      <c r="AJ301" s="54" t="e">
        <f>+AJ302+AJ303+AJ304+AJ305</f>
        <v>#DIV/0!</v>
      </c>
      <c r="AL301" s="201"/>
      <c r="AM301" s="9"/>
      <c r="AN301" s="49" t="s">
        <v>22</v>
      </c>
      <c r="AT301" s="24">
        <f>+AT302+AT303+AT304+AT305</f>
        <v>1.3916899253292787</v>
      </c>
      <c r="AU301" s="24">
        <f>+AU302+AU303+AU304+AU305</f>
        <v>0.75389865596631289</v>
      </c>
      <c r="AV301" s="24">
        <f>+AV302+AV303+AV304+AV305</f>
        <v>0.58252849326433287</v>
      </c>
      <c r="AW301" s="6"/>
      <c r="AX301" s="24">
        <f>+AX302+AX303+AX304+AX305</f>
        <v>0.7979552660455107</v>
      </c>
      <c r="AY301" s="24">
        <f>+AY302+AY303+AY304+AY305</f>
        <v>1.0070657050819536</v>
      </c>
      <c r="AZ301" s="24">
        <f>+AZ302+AZ303+AZ304+AZ305</f>
        <v>0.92318253737229639</v>
      </c>
      <c r="BA301" s="6"/>
      <c r="BB301" s="24"/>
      <c r="BC301" s="24"/>
      <c r="BD301" s="24"/>
      <c r="BJ301" s="24" t="e">
        <f>+BJ302+BJ303+BJ304+BJ305</f>
        <v>#DIV/0!</v>
      </c>
      <c r="BK301" s="24" t="e">
        <f>+BK302+BK303+BK304+BK305</f>
        <v>#DIV/0!</v>
      </c>
      <c r="BL301" s="24" t="e">
        <f>+BL302+BL303+BL304+BL305</f>
        <v>#DIV/0!</v>
      </c>
      <c r="BM301" s="6"/>
      <c r="BN301" s="54">
        <f>+BN302+BN303+BN304+BN305</f>
        <v>0.81609081885422385</v>
      </c>
      <c r="BO301" s="54">
        <f>+BO302+BO303+BO304+BO305</f>
        <v>0.99496139611100243</v>
      </c>
      <c r="BP301" s="54">
        <f>+BP302+BP303+BP304+BP305</f>
        <v>0.91228556900366919</v>
      </c>
      <c r="BR301" s="54">
        <f>+BR302+BR303+BR304+BR305</f>
        <v>0.81609081885422385</v>
      </c>
      <c r="BS301" s="54">
        <f>+BS302+BS303+BS304+BS305</f>
        <v>0.99496139611100243</v>
      </c>
      <c r="BT301" s="54">
        <f>+BT302+BT303+BT304+BT305</f>
        <v>0.91228556900366919</v>
      </c>
    </row>
    <row r="302" spans="2:72" ht="16.5" hidden="1" customHeight="1" outlineLevel="1" x14ac:dyDescent="0.25">
      <c r="B302" s="201"/>
      <c r="C302" s="9"/>
      <c r="D302" s="48" t="s">
        <v>23</v>
      </c>
      <c r="J302" s="51"/>
      <c r="K302" s="51"/>
      <c r="L302" s="51"/>
      <c r="M302" s="6"/>
      <c r="N302" s="51"/>
      <c r="O302" s="51"/>
      <c r="P302" s="51"/>
      <c r="Q302" s="6"/>
      <c r="R302" s="51"/>
      <c r="S302" s="51"/>
      <c r="T302" s="51"/>
      <c r="U302" s="6"/>
      <c r="V302" s="51"/>
      <c r="W302" s="51"/>
      <c r="X302" s="51"/>
      <c r="Y302" s="6"/>
      <c r="Z302" s="51"/>
      <c r="AA302" s="51"/>
      <c r="AB302" s="51"/>
      <c r="AC302" s="6"/>
      <c r="AD302" s="51"/>
      <c r="AE302" s="51"/>
      <c r="AF302" s="51"/>
      <c r="AG302" s="6"/>
      <c r="AH302" s="54" t="e">
        <f>-SUM('[1]Total P&amp;C'!$O$73,'[1]Total P&amp;C'!$R$73:$V$73,'[1]Total P&amp;C'!$Y$73,'[1]Total P&amp;C'!$AB$73,'[1]Total P&amp;C'!$AU$73,'[1]Total P&amp;C'!$AX$73,'[1]Total P&amp;C'!$BA$73,'[1]Total P&amp;C'!$BD$73)/1000/AH299</f>
        <v>#DIV/0!</v>
      </c>
      <c r="AI302" s="54" t="e">
        <f>-SUM('[1]Total P&amp;C'!$O$74,'[1]Total P&amp;C'!$R$74:$V$74,'[1]Total P&amp;C'!$Y$74,'[1]Total P&amp;C'!$AB$74,'[1]Total P&amp;C'!$AU$74,'[1]Total P&amp;C'!$AX$74,'[1]Total P&amp;C'!$BA$74,'[1]Total P&amp;C'!$BD$74)/1000/AI299</f>
        <v>#DIV/0!</v>
      </c>
      <c r="AJ302" s="54" t="e">
        <f>-SUM('[1]Total P&amp;C'!$O$75,'[1]Total P&amp;C'!$R$75:$V$75,'[1]Total P&amp;C'!$Y$75,'[1]Total P&amp;C'!$AB$75,'[1]Total P&amp;C'!$AU$75,'[1]Total P&amp;C'!$AX$75,'[1]Total P&amp;C'!$BA$75,'[1]Total P&amp;C'!$BD$75)/1000/AJ299</f>
        <v>#DIV/0!</v>
      </c>
      <c r="AL302" s="201"/>
      <c r="AM302" s="9"/>
      <c r="AN302" s="48" t="s">
        <v>23</v>
      </c>
      <c r="AT302" s="24">
        <f>-SUM([2]Retail!$O$73,[2]Retail!$R$73:$V$73,[2]Retail!$Y$73,[2]Retail!$AB$73,[2]Retail!$AU$73,[2]Retail!$AX$73,[2]Retail!$BA$73,[2]Retail!$BD$73)/1000/AT299</f>
        <v>1.3420178190179053</v>
      </c>
      <c r="AU302" s="51">
        <f>-SUM([2]Retail!$O$74,[2]Retail!$R$74:$V$74,[2]Retail!$Y$74,[2]Retail!$AB$74,[2]Retail!$AU$74,[2]Retail!$AX$74,[2]Retail!$BA$74,[2]Retail!$BD$74)/1000/AU299</f>
        <v>0.73235672002767083</v>
      </c>
      <c r="AV302" s="51">
        <f>-SUM([2]Retail!$O$75,[2]Retail!$R$75:$V$75,[2]Retail!$Y$75,[2]Retail!$AB$75,[2]Retail!$AU$75,[2]Retail!$AX$75,[2]Retail!$BA$75,[2]Retail!$BD$75)/1000/AV299</f>
        <v>0.54235440032223137</v>
      </c>
      <c r="AW302" s="6"/>
      <c r="AX302" s="24">
        <f>-SUM([2]SME!$O$73,[2]SME!$R$73:$V$73,[2]SME!$Y$73,[2]SME!$AB$73,[2]SME!$AU$73,[2]SME!$AX$73,[2]SME!$BA$73,[2]SME!$BD$73)/1000/AX299</f>
        <v>0.71693029071302061</v>
      </c>
      <c r="AY302" s="24">
        <f>-SUM([2]SME!$O$74,[2]SME!$R$74:$V$74,[2]SME!$Y$74,[2]SME!$AB$74,[2]SME!$AU$74,[2]SME!$AX$74,[2]SME!$BA$74,[2]SME!$BD$74)/1000/AY299</f>
        <v>0.85855134002656397</v>
      </c>
      <c r="AZ302" s="24">
        <f>-SUM([2]SME!$O$75,[2]SME!$R$75:$V$75,[2]SME!$Y$75,[2]SME!$AB$75,[2]SME!$AU$75,[2]SME!$AX$75,[2]SME!$BA$75,[2]SME!$BD$75)/1000/AZ299</f>
        <v>0.82253899556322296</v>
      </c>
      <c r="BA302" s="6"/>
      <c r="BB302" s="51"/>
      <c r="BC302" s="51"/>
      <c r="BD302" s="51"/>
      <c r="BJ302" s="24" t="e">
        <f>-SUM([2]Specials!$O$73,[2]Specials!$R$73:$V$73,[2]Specials!$Y$73,[2]Specials!$AB$73,[2]Specials!$AU$73,[2]Specials!$AX$73,[2]Specials!$BA$73,[2]Specials!$BD$73)/1000/BJ299</f>
        <v>#DIV/0!</v>
      </c>
      <c r="BK302" s="24" t="e">
        <f>-SUM([2]Specials!$O$74,[2]Specials!$R$74:$V$74,[2]Specials!$Y$74,[2]Specials!$AB$74,[2]Specials!$AU$74,[2]Specials!$AX$74,[2]Specials!$BA$74,[2]Specials!$BD$74)/1000/BK299</f>
        <v>#DIV/0!</v>
      </c>
      <c r="BL302" s="24" t="e">
        <f>-SUM([2]Specials!$O$75,[2]Specials!$R$75:$V$75,[2]Specials!$Y$75,[2]Specials!$AB$75,[2]Specials!$AU$75,[2]Specials!$AX$75,[2]Specials!$BA$75,[2]Specials!$BD$75)/1000/BL299</f>
        <v>#DIV/0!</v>
      </c>
      <c r="BM302" s="6"/>
      <c r="BN302" s="54">
        <f>-SUM('[2]Total P&amp;C'!$O$73,'[2]Total P&amp;C'!$R$73:$V$73,'[2]Total P&amp;C'!$Y$73,'[2]Total P&amp;C'!$AB$73,'[2]Total P&amp;C'!$AU$73,'[2]Total P&amp;C'!$AX$73,'[2]Total P&amp;C'!$BA$73,'[2]Total P&amp;C'!$BD$73)/1000/BN299</f>
        <v>0.73602351308497438</v>
      </c>
      <c r="BO302" s="54">
        <f>-SUM('[2]Total P&amp;C'!$O$74,'[2]Total P&amp;C'!$R$74:$V$74,'[2]Total P&amp;C'!$Y$74,'[2]Total P&amp;C'!$AB$74,'[2]Total P&amp;C'!$AU$74,'[2]Total P&amp;C'!$AX$74,'[2]Total P&amp;C'!$BA$74,'[2]Total P&amp;C'!$BD$74)/1000/BO299</f>
        <v>0.85251777967076636</v>
      </c>
      <c r="BP302" s="54">
        <f>-SUM('[2]Total P&amp;C'!$O$75,'[2]Total P&amp;C'!$R$75:$V$75,'[2]Total P&amp;C'!$Y$75,'[2]Total P&amp;C'!$AB$75,'[2]Total P&amp;C'!$AU$75,'[2]Total P&amp;C'!$AX$75,'[2]Total P&amp;C'!$BA$75,'[2]Total P&amp;C'!$BD$75)/1000/BP299</f>
        <v>0.81357634643421373</v>
      </c>
      <c r="BR302" s="54">
        <f>-SUM('[3]Total P&amp;C'!$O$73,'[3]Total P&amp;C'!$R$73:$V$73,'[3]Total P&amp;C'!$Y$73,'[3]Total P&amp;C'!$AB$73,'[3]Total P&amp;C'!$AU$73,'[3]Total P&amp;C'!$AX$73,'[3]Total P&amp;C'!$BA$73,'[3]Total P&amp;C'!$BD$73)/1000/BR299</f>
        <v>0.73602351308497438</v>
      </c>
      <c r="BS302" s="54">
        <f>-SUM('[3]Total P&amp;C'!$O$74,'[3]Total P&amp;C'!$R$74:$V$74,'[3]Total P&amp;C'!$Y$74,'[3]Total P&amp;C'!$AB$74,'[3]Total P&amp;C'!$AU$74,'[3]Total P&amp;C'!$AX$74,'[3]Total P&amp;C'!$BA$74,'[3]Total P&amp;C'!$BD$74)/1000/BS299</f>
        <v>0.85251777967076636</v>
      </c>
      <c r="BT302" s="54">
        <f>-SUM('[3]Total P&amp;C'!$O$75,'[3]Total P&amp;C'!$R$75:$V$75,'[3]Total P&amp;C'!$Y$75,'[3]Total P&amp;C'!$AB$75,'[3]Total P&amp;C'!$AU$75,'[3]Total P&amp;C'!$AX$75,'[3]Total P&amp;C'!$BA$75,'[3]Total P&amp;C'!$BD$75)/1000/BT299</f>
        <v>0.81357634643421373</v>
      </c>
    </row>
    <row r="303" spans="2:72" ht="16.5" hidden="1" customHeight="1" outlineLevel="1" x14ac:dyDescent="0.25">
      <c r="B303" s="201"/>
      <c r="C303" s="9"/>
      <c r="D303" s="48" t="s">
        <v>24</v>
      </c>
      <c r="J303" s="51"/>
      <c r="K303" s="51"/>
      <c r="L303" s="51"/>
      <c r="M303" s="7"/>
      <c r="N303" s="51"/>
      <c r="O303" s="51"/>
      <c r="P303" s="51"/>
      <c r="Q303" s="7"/>
      <c r="R303" s="51"/>
      <c r="S303" s="51"/>
      <c r="T303" s="51"/>
      <c r="U303" s="7"/>
      <c r="V303" s="51"/>
      <c r="W303" s="51"/>
      <c r="X303" s="51"/>
      <c r="Y303" s="7"/>
      <c r="Z303" s="51"/>
      <c r="AA303" s="51"/>
      <c r="AB303" s="51"/>
      <c r="AC303" s="7"/>
      <c r="AD303" s="51"/>
      <c r="AE303" s="51"/>
      <c r="AF303" s="51"/>
      <c r="AG303" s="7"/>
      <c r="AH303" s="54" t="e">
        <f>-('[1]Total P&amp;C'!$P$73+'[1]Total P&amp;C'!$W$73+'[1]Total P&amp;C'!$AV$73+'[1]Total P&amp;C'!$AY$73)/1000/AH299</f>
        <v>#DIV/0!</v>
      </c>
      <c r="AI303" s="54" t="e">
        <f>-('[1]Total P&amp;C'!$P$74+'[1]Total P&amp;C'!$W$74+'[1]Total P&amp;C'!$AV$74+'[1]Total P&amp;C'!$AY$74)/1000/AI299</f>
        <v>#DIV/0!</v>
      </c>
      <c r="AJ303" s="54" t="e">
        <f>-('[1]Total P&amp;C'!$P$75+'[1]Total P&amp;C'!$W$75+'[1]Total P&amp;C'!$AV$75+'[1]Total P&amp;C'!$AY$75)/1000/AJ299</f>
        <v>#DIV/0!</v>
      </c>
      <c r="AL303" s="201"/>
      <c r="AM303" s="9"/>
      <c r="AN303" s="48" t="s">
        <v>24</v>
      </c>
      <c r="AT303" s="24">
        <f>-([2]Retail!$P$73+[2]Retail!$W$73+[2]Retail!$AV$73+[2]Retail!$AY$73)/1000/AT299</f>
        <v>0</v>
      </c>
      <c r="AU303" s="51">
        <f>-([2]Retail!$P$74+[2]Retail!$W$74+[2]Retail!$AV$74+[2]Retail!$AY$74)/1000/AU299</f>
        <v>0</v>
      </c>
      <c r="AV303" s="51">
        <f>-([2]Retail!$P$75+[2]Retail!$W$75+[2]Retail!$AV$75+[2]Retail!$AY$75)/1000/AV299</f>
        <v>0</v>
      </c>
      <c r="AW303" s="7"/>
      <c r="AX303" s="24">
        <f>-([2]SME!$P$73+[2]SME!$W$73+[2]SME!$AV$73+[2]SME!$AY$73)/1000/AX299</f>
        <v>0</v>
      </c>
      <c r="AY303" s="24">
        <f>-([2]SME!$P$74+[2]SME!$W$74+[2]SME!$AV$74+[2]SME!$AY$74)/1000/AY299</f>
        <v>0</v>
      </c>
      <c r="AZ303" s="24">
        <f>-([2]SME!$P$75+[2]SME!$W$75+[2]SME!$AV$75+[2]SME!$AY$75)/1000/AZ299</f>
        <v>0</v>
      </c>
      <c r="BA303" s="7"/>
      <c r="BB303" s="51"/>
      <c r="BC303" s="51"/>
      <c r="BD303" s="51"/>
      <c r="BJ303" s="24" t="e">
        <f>-([2]Specials!$P$73+[2]Specials!$W$73+[2]Specials!$AV$73+[2]Specials!$AY$73)/1000/BJ299</f>
        <v>#DIV/0!</v>
      </c>
      <c r="BK303" s="24" t="e">
        <f>-([2]Specials!$P$74+[2]Specials!$W$74+[2]Specials!$AV$74+[2]Specials!$AY$74)/1000/BK299</f>
        <v>#DIV/0!</v>
      </c>
      <c r="BL303" s="24" t="e">
        <f>-([2]Specials!$P$75+[2]Specials!$W$75+[2]Specials!$AV$75+[2]Specials!$AY$75)/1000/BL299</f>
        <v>#DIV/0!</v>
      </c>
      <c r="BM303" s="7"/>
      <c r="BN303" s="54">
        <f>-('[2]Total P&amp;C'!$P$73+'[2]Total P&amp;C'!$W$73+'[2]Total P&amp;C'!$AV$73+'[2]Total P&amp;C'!$AY$73)/1000/BN299</f>
        <v>0</v>
      </c>
      <c r="BO303" s="54">
        <f>-('[2]Total P&amp;C'!$P$74+'[2]Total P&amp;C'!$W$74+'[2]Total P&amp;C'!$AV$74+'[2]Total P&amp;C'!$AY$74)/1000/BO299</f>
        <v>0</v>
      </c>
      <c r="BP303" s="54">
        <f>-('[2]Total P&amp;C'!$P$75+'[2]Total P&amp;C'!$W$75+'[2]Total P&amp;C'!$AV$75+'[2]Total P&amp;C'!$AY$75)/1000/BP299</f>
        <v>0</v>
      </c>
      <c r="BR303" s="54">
        <f>-('[3]Total P&amp;C'!$P$73+'[3]Total P&amp;C'!$W$73+'[3]Total P&amp;C'!$AV$73+'[3]Total P&amp;C'!$AY$73)/1000/BR299</f>
        <v>0</v>
      </c>
      <c r="BS303" s="54">
        <f>-('[3]Total P&amp;C'!$P$74+'[3]Total P&amp;C'!$W$74+'[3]Total P&amp;C'!$AV$74+'[3]Total P&amp;C'!$AY$74)/1000/BS299</f>
        <v>0</v>
      </c>
      <c r="BT303" s="54">
        <f>-('[3]Total P&amp;C'!$P$75+'[3]Total P&amp;C'!$W$75+'[3]Total P&amp;C'!$AV$75+'[3]Total P&amp;C'!$AY$75)/1000/BT299</f>
        <v>0</v>
      </c>
    </row>
    <row r="304" spans="2:72" ht="16.5" hidden="1" customHeight="1" outlineLevel="1" x14ac:dyDescent="0.25">
      <c r="B304" s="201"/>
      <c r="C304" s="9"/>
      <c r="D304" s="48" t="s">
        <v>25</v>
      </c>
      <c r="J304" s="51"/>
      <c r="K304" s="51"/>
      <c r="L304" s="51"/>
      <c r="M304" s="7"/>
      <c r="N304" s="51"/>
      <c r="O304" s="51"/>
      <c r="P304" s="51"/>
      <c r="Q304" s="7"/>
      <c r="R304" s="51"/>
      <c r="S304" s="51"/>
      <c r="T304" s="51"/>
      <c r="U304" s="7"/>
      <c r="V304" s="51"/>
      <c r="W304" s="51"/>
      <c r="X304" s="51"/>
      <c r="Y304" s="7"/>
      <c r="Z304" s="51"/>
      <c r="AA304" s="51"/>
      <c r="AB304" s="51"/>
      <c r="AC304" s="7"/>
      <c r="AD304" s="51"/>
      <c r="AE304" s="51"/>
      <c r="AF304" s="51"/>
      <c r="AG304" s="7"/>
      <c r="AH304" s="54" t="e">
        <f>-('[1]Total P&amp;C'!$Q$73+'[1]Total P&amp;C'!$X$73+'[1]Total P&amp;C'!$AW$73+'[1]Total P&amp;C'!$AZ$73)/1000/AH299</f>
        <v>#DIV/0!</v>
      </c>
      <c r="AI304" s="54" t="e">
        <f>-('[1]Total P&amp;C'!$Q$74+'[1]Total P&amp;C'!$X$74+'[1]Total P&amp;C'!$AW$74+'[1]Total P&amp;C'!$AZ$74)/1000/AI299</f>
        <v>#DIV/0!</v>
      </c>
      <c r="AJ304" s="54" t="e">
        <f>-('[1]Total P&amp;C'!$Q$75+'[1]Total P&amp;C'!$X$75+'[1]Total P&amp;C'!$AW$75+'[1]Total P&amp;C'!$AZ$75)/1000/AJ299</f>
        <v>#DIV/0!</v>
      </c>
      <c r="AL304" s="201"/>
      <c r="AM304" s="9"/>
      <c r="AN304" s="48" t="s">
        <v>25</v>
      </c>
      <c r="AT304" s="24">
        <f>-([2]Retail!$Q$73+[2]Retail!$X$73+[2]Retail!$AW$73+[2]Retail!$AZ$73)/1000/AT299</f>
        <v>0</v>
      </c>
      <c r="AU304" s="51">
        <f>-([2]Retail!$Q$74+[2]Retail!$X$74+[2]Retail!$AW$74+[2]Retail!$AZ$74)/1000/AU299</f>
        <v>0</v>
      </c>
      <c r="AV304" s="51">
        <f>-([2]Retail!$Q$75+[2]Retail!$X$75+[2]Retail!$AW$75+[2]Retail!$AZ$75)/1000/AV299</f>
        <v>0</v>
      </c>
      <c r="AW304" s="7"/>
      <c r="AX304" s="24">
        <f>-([2]SME!$Q$73+[2]SME!$X$73+[2]SME!$AW$73+[2]SME!$AZ$73)/1000/AX299</f>
        <v>0</v>
      </c>
      <c r="AY304" s="24">
        <f>-([2]SME!$Q$74+[2]SME!$X$74+[2]SME!$AW$74+[2]SME!$AZ$74)/1000/AY299</f>
        <v>0</v>
      </c>
      <c r="AZ304" s="24">
        <f>-([2]SME!$Q$75+[2]SME!$X$75+[2]SME!$AW$75+[2]SME!$AZ$75)/1000/AZ299</f>
        <v>0</v>
      </c>
      <c r="BA304" s="7"/>
      <c r="BB304" s="51"/>
      <c r="BC304" s="51"/>
      <c r="BD304" s="51"/>
      <c r="BJ304" s="24" t="e">
        <f>-([2]Specials!$Q$73+[2]Specials!$X$73+[2]Specials!$AW$73+[2]Specials!$AZ$73)/1000/BJ299</f>
        <v>#DIV/0!</v>
      </c>
      <c r="BK304" s="24" t="e">
        <f>-([2]Specials!$Q$74+[2]Specials!$X$74+[2]Specials!$AW$74+[2]Specials!$AZ$74)/1000/BK299</f>
        <v>#DIV/0!</v>
      </c>
      <c r="BL304" s="24" t="e">
        <f>-([2]Specials!$Q$75+[2]Specials!$X$75+[2]Specials!$AW$75+[2]Specials!$AZ$75)/1000/BL299</f>
        <v>#DIV/0!</v>
      </c>
      <c r="BM304" s="7"/>
      <c r="BN304" s="54">
        <f>-('[2]Total P&amp;C'!$Q$73+'[2]Total P&amp;C'!$X$73+'[2]Total P&amp;C'!$AW$73+'[2]Total P&amp;C'!$AZ$73)/1000/BN299</f>
        <v>0</v>
      </c>
      <c r="BO304" s="54">
        <f>-('[2]Total P&amp;C'!$Q$74+'[2]Total P&amp;C'!$X$74+'[2]Total P&amp;C'!$AW$74+'[2]Total P&amp;C'!$AZ$74)/1000/BO299</f>
        <v>0</v>
      </c>
      <c r="BP304" s="54">
        <f>-('[2]Total P&amp;C'!$Q$75+'[2]Total P&amp;C'!$X$75+'[2]Total P&amp;C'!$AW$75+'[2]Total P&amp;C'!$AZ$75)/1000/BP299</f>
        <v>0</v>
      </c>
      <c r="BR304" s="54">
        <f>-('[3]Total P&amp;C'!$Q$73+'[3]Total P&amp;C'!$X$73+'[3]Total P&amp;C'!$AW$73+'[3]Total P&amp;C'!$AZ$73)/1000/BR299</f>
        <v>0</v>
      </c>
      <c r="BS304" s="54">
        <f>-('[3]Total P&amp;C'!$Q$74+'[3]Total P&amp;C'!$X$74+'[3]Total P&amp;C'!$AW$74+'[3]Total P&amp;C'!$AZ$74)/1000/BS299</f>
        <v>0</v>
      </c>
      <c r="BT304" s="54">
        <f>-('[3]Total P&amp;C'!$Q$75+'[3]Total P&amp;C'!$X$75+'[3]Total P&amp;C'!$AW$75+'[3]Total P&amp;C'!$AZ$75)/1000/BT299</f>
        <v>0</v>
      </c>
    </row>
    <row r="305" spans="2:72" ht="16.5" hidden="1" customHeight="1" outlineLevel="1" x14ac:dyDescent="0.25">
      <c r="B305" s="201"/>
      <c r="C305" s="9"/>
      <c r="D305" s="48" t="s">
        <v>26</v>
      </c>
      <c r="J305" s="51"/>
      <c r="K305" s="51"/>
      <c r="L305" s="51"/>
      <c r="M305" s="7"/>
      <c r="N305" s="51"/>
      <c r="O305" s="51"/>
      <c r="P305" s="51"/>
      <c r="Q305" s="7"/>
      <c r="R305" s="51"/>
      <c r="S305" s="51"/>
      <c r="T305" s="51"/>
      <c r="U305" s="7"/>
      <c r="V305" s="51"/>
      <c r="W305" s="51"/>
      <c r="X305" s="51"/>
      <c r="Y305" s="7"/>
      <c r="Z305" s="51"/>
      <c r="AA305" s="51"/>
      <c r="AB305" s="51"/>
      <c r="AC305" s="7"/>
      <c r="AD305" s="51"/>
      <c r="AE305" s="51"/>
      <c r="AF305" s="51"/>
      <c r="AG305" s="7"/>
      <c r="AH305" s="54" t="e">
        <f>-'[1]Total P&amp;C'!$AT$73/1000/AH299</f>
        <v>#DIV/0!</v>
      </c>
      <c r="AI305" s="54" t="e">
        <f>-'[1]Total P&amp;C'!$AT$74/1000/AI299</f>
        <v>#DIV/0!</v>
      </c>
      <c r="AJ305" s="54" t="e">
        <f>-'[1]Total P&amp;C'!$AT$75/1000/AJ299</f>
        <v>#DIV/0!</v>
      </c>
      <c r="AL305" s="201"/>
      <c r="AM305" s="9"/>
      <c r="AN305" s="48" t="s">
        <v>26</v>
      </c>
      <c r="AT305" s="24">
        <f>-[2]Retail!$AT$73/1000/AT299</f>
        <v>4.9672106311373469E-2</v>
      </c>
      <c r="AU305" s="51">
        <f>-[2]Retail!$AT$74/1000/AU299</f>
        <v>2.1541935938642117E-2</v>
      </c>
      <c r="AV305" s="51">
        <f>-[2]Retail!$AT$75/1000/AV299</f>
        <v>4.017409294210153E-2</v>
      </c>
      <c r="AW305" s="7"/>
      <c r="AX305" s="24">
        <f>-[2]SME!$AT$73/1000/AX299</f>
        <v>8.1024975332490132E-2</v>
      </c>
      <c r="AY305" s="24">
        <f>-[2]SME!$AT$74/1000/AY299</f>
        <v>0.1485143650553897</v>
      </c>
      <c r="AZ305" s="24">
        <f>-[2]SME!$AT$75/1000/AZ299</f>
        <v>0.10064354180907345</v>
      </c>
      <c r="BA305" s="7"/>
      <c r="BB305" s="51"/>
      <c r="BC305" s="51"/>
      <c r="BD305" s="51"/>
      <c r="BJ305" s="24" t="e">
        <f>-[2]Specials!$AT$73/1000/BJ299</f>
        <v>#DIV/0!</v>
      </c>
      <c r="BK305" s="24" t="e">
        <f>-[2]Specials!$AT$74/1000/BK299</f>
        <v>#DIV/0!</v>
      </c>
      <c r="BL305" s="24" t="e">
        <f>-[2]Specials!$AT$75/1000/BL299</f>
        <v>#DIV/0!</v>
      </c>
      <c r="BM305" s="7"/>
      <c r="BN305" s="54">
        <f>-'[2]Total P&amp;C'!$AT$73/1000/BN299</f>
        <v>8.0067305769249447E-2</v>
      </c>
      <c r="BO305" s="54">
        <f>-'[2]Total P&amp;C'!$AT$74/1000/BO299</f>
        <v>0.14244361644023609</v>
      </c>
      <c r="BP305" s="54">
        <f>-'[2]Total P&amp;C'!$AT$75/1000/BP299</f>
        <v>9.8709222569455496E-2</v>
      </c>
      <c r="BR305" s="54">
        <f>-'[3]Total P&amp;C'!$AT$73/1000/BR299</f>
        <v>8.0067305769249447E-2</v>
      </c>
      <c r="BS305" s="54">
        <f>-'[3]Total P&amp;C'!$AT$74/1000/BS299</f>
        <v>0.14244361644023609</v>
      </c>
      <c r="BT305" s="54">
        <f>-'[3]Total P&amp;C'!$AT$75/1000/BT299</f>
        <v>9.8709222569455496E-2</v>
      </c>
    </row>
    <row r="306" spans="2:72" ht="16.5" hidden="1" customHeight="1" outlineLevel="1" x14ac:dyDescent="0.25">
      <c r="B306" s="201"/>
      <c r="C306" s="9"/>
      <c r="D306" s="49" t="s">
        <v>27</v>
      </c>
      <c r="J306" s="24"/>
      <c r="K306" s="24"/>
      <c r="L306" s="24"/>
      <c r="M306" s="7"/>
      <c r="N306" s="24"/>
      <c r="O306" s="24"/>
      <c r="P306" s="24"/>
      <c r="Q306" s="7"/>
      <c r="R306" s="24"/>
      <c r="S306" s="24"/>
      <c r="T306" s="24"/>
      <c r="U306" s="7"/>
      <c r="V306" s="24"/>
      <c r="W306" s="24"/>
      <c r="X306" s="24"/>
      <c r="Y306" s="7"/>
      <c r="Z306" s="24"/>
      <c r="AA306" s="24"/>
      <c r="AB306" s="24"/>
      <c r="AC306" s="7"/>
      <c r="AD306" s="24"/>
      <c r="AE306" s="24"/>
      <c r="AF306" s="24"/>
      <c r="AG306" s="7"/>
      <c r="AH306" s="54" t="e">
        <f>-('[1]Total P&amp;C'!$Z$73+'[1]Total P&amp;C'!$AA$73+'[1]Total P&amp;C'!$BB$73+'[1]Total P&amp;C'!$BC$73)/1000/AH299</f>
        <v>#DIV/0!</v>
      </c>
      <c r="AI306" s="54" t="e">
        <f>-('[1]Total P&amp;C'!$Z$74+'[1]Total P&amp;C'!$AA$74+'[1]Total P&amp;C'!$BB$74+'[1]Total P&amp;C'!$BC$74)/1000/AI299</f>
        <v>#DIV/0!</v>
      </c>
      <c r="AJ306" s="54" t="e">
        <f>-('[1]Total P&amp;C'!$Z$75+'[1]Total P&amp;C'!$AA$75+'[1]Total P&amp;C'!$BB$75+'[1]Total P&amp;C'!$BC$75)/1000/AJ299</f>
        <v>#DIV/0!</v>
      </c>
      <c r="AL306" s="201"/>
      <c r="AM306" s="9"/>
      <c r="AN306" s="49" t="s">
        <v>27</v>
      </c>
      <c r="AT306" s="24">
        <f>-([2]Retail!$Z$73+[2]Retail!$AA$73+[2]Retail!$BB$73+[2]Retail!$BC$73)/1000/AT299</f>
        <v>-0.12769838959722449</v>
      </c>
      <c r="AU306" s="24">
        <f>-([2]Retail!$Z$74+[2]Retail!$AA$74+[2]Retail!$BB$74+[2]Retail!$BC$74)/1000/AU299</f>
        <v>-4.5056017559431068E-2</v>
      </c>
      <c r="AV306" s="24">
        <f>-([2]Retail!$Z$75+[2]Retail!$AA$75+[2]Retail!$BB$75+[2]Retail!$BC$75)/1000/AV299</f>
        <v>-9.2552048256216296E-2</v>
      </c>
      <c r="AW306" s="7"/>
      <c r="AX306" s="24">
        <f>-([2]SME!$Z$73+[2]SME!$AA$73+[2]SME!$BB$73+[2]SME!$BC$73)/1000/AX299</f>
        <v>-1.7585759685788457E-2</v>
      </c>
      <c r="AY306" s="24">
        <f>-([2]SME!$Z$74+[2]SME!$AA$74+[2]SME!$BB$74+[2]SME!$BC$74)/1000/AY299</f>
        <v>-0.16345155549100879</v>
      </c>
      <c r="AZ306" s="24">
        <f>-([2]SME!$Z$75+[2]SME!$AA$75+[2]SME!$BB$75+[2]SME!$BC$75)/1000/AZ299</f>
        <v>-0.14511092400565945</v>
      </c>
      <c r="BA306" s="7"/>
      <c r="BB306" s="24"/>
      <c r="BC306" s="24"/>
      <c r="BD306" s="24"/>
      <c r="BJ306" s="24" t="e">
        <f>-([2]Specials!$Z$73+[2]Specials!$AA$73+[2]Specials!$BB$73+[2]Specials!$BC$73)/1000/BJ299</f>
        <v>#DIV/0!</v>
      </c>
      <c r="BK306" s="24" t="e">
        <f>-([2]Specials!$Z$74+[2]Specials!$AA$74+[2]Specials!$BB$74+[2]Specials!$BC$74)/1000/BK299</f>
        <v>#DIV/0!</v>
      </c>
      <c r="BL306" s="24" t="e">
        <f>-([2]Specials!$Z$75+[2]Specials!$AA$75+[2]Specials!$BB$75+[2]Specials!$BC$75)/1000/BL299</f>
        <v>#DIV/0!</v>
      </c>
      <c r="BM306" s="7"/>
      <c r="BN306" s="54">
        <f>-('[2]Total P&amp;C'!$Z$73+'[2]Total P&amp;C'!$AA$73+'[2]Total P&amp;C'!$BB$73+'[2]Total P&amp;C'!$BC$73)/1000/BN299</f>
        <v>-2.094913654688348E-2</v>
      </c>
      <c r="BO306" s="54">
        <f>-('[2]Total P&amp;C'!$Z$74+'[2]Total P&amp;C'!$AA$74+'[2]Total P&amp;C'!$BB$74+'[2]Total P&amp;C'!$BC$74)/1000/BO299</f>
        <v>-0.15779088133569566</v>
      </c>
      <c r="BP306" s="54">
        <f>-('[2]Total P&amp;C'!$Z$75+'[2]Total P&amp;C'!$AA$75+'[2]Total P&amp;C'!$BB$75+'[2]Total P&amp;C'!$BC$75)/1000/BP299</f>
        <v>-0.14342965112357159</v>
      </c>
      <c r="BR306" s="54">
        <f>-('[3]Total P&amp;C'!$Z$73+'[3]Total P&amp;C'!$AA$73+'[3]Total P&amp;C'!$BB$73+'[3]Total P&amp;C'!$BC$73)/1000/BR299</f>
        <v>-2.094913654688348E-2</v>
      </c>
      <c r="BS306" s="54">
        <f>-('[3]Total P&amp;C'!$Z$74+'[3]Total P&amp;C'!$AA$74+'[3]Total P&amp;C'!$BB$74+'[3]Total P&amp;C'!$BC$74)/1000/BS299</f>
        <v>-0.15779088133569566</v>
      </c>
      <c r="BT306" s="54">
        <f>-('[3]Total P&amp;C'!$Z$75+'[3]Total P&amp;C'!$AA$75+'[3]Total P&amp;C'!$BB$75+'[3]Total P&amp;C'!$BC$75)/1000/BT299</f>
        <v>-0.14342965112357159</v>
      </c>
    </row>
    <row r="307" spans="2:72" ht="16.5" hidden="1" customHeight="1" outlineLevel="1" x14ac:dyDescent="0.25">
      <c r="B307" s="201"/>
      <c r="C307" s="9"/>
      <c r="D307" s="49" t="s">
        <v>28</v>
      </c>
      <c r="J307" s="24"/>
      <c r="K307" s="24"/>
      <c r="L307" s="24"/>
      <c r="M307" s="7"/>
      <c r="N307" s="24"/>
      <c r="O307" s="24"/>
      <c r="P307" s="24"/>
      <c r="Q307" s="7"/>
      <c r="R307" s="24"/>
      <c r="S307" s="24"/>
      <c r="T307" s="24"/>
      <c r="U307" s="7"/>
      <c r="V307" s="24"/>
      <c r="W307" s="24"/>
      <c r="X307" s="24"/>
      <c r="Y307" s="7"/>
      <c r="Z307" s="24"/>
      <c r="AA307" s="24"/>
      <c r="AB307" s="24"/>
      <c r="AC307" s="7"/>
      <c r="AD307" s="24"/>
      <c r="AE307" s="24"/>
      <c r="AF307" s="24"/>
      <c r="AG307" s="7"/>
      <c r="AH307" s="54" t="e">
        <f>-SUM('[1]Total P&amp;C'!$AC$73:$AI$73,'[1]Total P&amp;C'!$BE$73:$BG$73)/1000/AH299</f>
        <v>#DIV/0!</v>
      </c>
      <c r="AI307" s="54" t="e">
        <f>-SUM('[1]Total P&amp;C'!$AC$74:$AI$74,'[1]Total P&amp;C'!$BE$74:$BG$74)/1000/AI299</f>
        <v>#DIV/0!</v>
      </c>
      <c r="AJ307" s="54" t="e">
        <f>-SUM('[1]Total P&amp;C'!$AC$75:$AI$75,'[1]Total P&amp;C'!$BE$75:$BG$75)/1000/AJ299</f>
        <v>#DIV/0!</v>
      </c>
      <c r="AL307" s="201"/>
      <c r="AM307" s="9"/>
      <c r="AN307" s="49" t="s">
        <v>28</v>
      </c>
      <c r="AT307" s="24">
        <f>-SUM([2]Retail!$AC$73:$AI$73,[2]Retail!$BE$73:$BG$73)/1000/AT299</f>
        <v>0.58445385329389521</v>
      </c>
      <c r="AU307" s="24">
        <f>-SUM([2]Retail!$AC$74:$AI$74,[2]Retail!$BE$74:$BG$74)/1000/AU299</f>
        <v>-8.604771275091852E-2</v>
      </c>
      <c r="AV307" s="24">
        <f>-SUM([2]Retail!$AC$75:$AI$75,[2]Retail!$BE$75:$BG$75)/1000/AV299</f>
        <v>-0.11381819064519301</v>
      </c>
      <c r="AW307" s="7"/>
      <c r="AX307" s="24">
        <f>-SUM([2]SME!$AC$73:$AI$73,[2]SME!$BE$73:$BG$73)/1000/AX299</f>
        <v>-2.3929528002416468E-2</v>
      </c>
      <c r="AY307" s="24">
        <f>-SUM([2]SME!$AC$74:$AI$74,[2]SME!$BE$74:$BG$74)/1000/AY299</f>
        <v>5.1130887418886849E-2</v>
      </c>
      <c r="AZ307" s="24">
        <f>-SUM([2]SME!$AC$75:$AI$75,[2]SME!$BE$75:$BG$75)/1000/AZ299</f>
        <v>-2.0762242214711409E-2</v>
      </c>
      <c r="BA307" s="7"/>
      <c r="BB307" s="24"/>
      <c r="BC307" s="24"/>
      <c r="BD307" s="24"/>
      <c r="BJ307" s="24" t="e">
        <f>-SUM([2]Specials!$AC$73:$AI$73,[2]Specials!$BE$73:$BG$73)/1000/BJ299</f>
        <v>#DIV/0!</v>
      </c>
      <c r="BK307" s="24" t="e">
        <f>-SUM([2]Specials!$AC$74:$AI$74,[2]Specials!$BE$74:$BG$74)/1000/BK299</f>
        <v>#DIV/0!</v>
      </c>
      <c r="BL307" s="24" t="e">
        <f>-SUM([2]Specials!$AC$75:$AI$75,[2]Specials!$BE$75:$BG$75)/1000/BL299</f>
        <v>#DIV/0!</v>
      </c>
      <c r="BM307" s="7"/>
      <c r="BN307" s="54">
        <f>-SUM('[2]Total P&amp;C'!$AC$73:$AI$73,'[2]Total P&amp;C'!$BE$73:$BG$73)/1000/BN299</f>
        <v>-5.3465317650861002E-3</v>
      </c>
      <c r="BO307" s="54">
        <f>-SUM('[2]Total P&amp;C'!$AC$74:$AI$74,'[2]Total P&amp;C'!$BE$74:$BG$74)/1000/BO299</f>
        <v>4.457216594838679E-2</v>
      </c>
      <c r="BP307" s="54">
        <f>-SUM('[2]Total P&amp;C'!$AC$75:$AI$75,'[2]Total P&amp;C'!$BE$75:$BG$75)/1000/BP299</f>
        <v>-2.3738950532426785E-2</v>
      </c>
      <c r="BR307" s="54">
        <f>-SUM('[3]Total P&amp;C'!$AC$73:$AI$73,'[3]Total P&amp;C'!$BE$73:$BG$73)/1000/BR299</f>
        <v>-5.3465317650861002E-3</v>
      </c>
      <c r="BS307" s="54">
        <f>-SUM('[3]Total P&amp;C'!$AC$74:$AI$74,'[3]Total P&amp;C'!$BE$74:$BG$74)/1000/BS299</f>
        <v>4.457216594838679E-2</v>
      </c>
      <c r="BT307" s="54">
        <f>-SUM('[3]Total P&amp;C'!$AC$75:$AI$75,'[3]Total P&amp;C'!$BE$75:$BG$75)/1000/BT299</f>
        <v>-2.3738950532426785E-2</v>
      </c>
    </row>
    <row r="308" spans="2:72" ht="16.5" hidden="1" customHeight="1" outlineLevel="1" x14ac:dyDescent="0.25">
      <c r="B308" s="201"/>
      <c r="C308" s="9"/>
      <c r="D308" s="49" t="s">
        <v>29</v>
      </c>
      <c r="J308" s="24"/>
      <c r="K308" s="24"/>
      <c r="L308" s="24"/>
      <c r="M308" s="7"/>
      <c r="N308" s="24"/>
      <c r="O308" s="24"/>
      <c r="P308" s="24"/>
      <c r="Q308" s="7"/>
      <c r="R308" s="24"/>
      <c r="S308" s="24"/>
      <c r="T308" s="24"/>
      <c r="U308" s="7"/>
      <c r="V308" s="24"/>
      <c r="W308" s="24"/>
      <c r="X308" s="24"/>
      <c r="Y308" s="7"/>
      <c r="Z308" s="24"/>
      <c r="AA308" s="24"/>
      <c r="AB308" s="24"/>
      <c r="AC308" s="7"/>
      <c r="AD308" s="24"/>
      <c r="AE308" s="24"/>
      <c r="AF308" s="24"/>
      <c r="AG308" s="7"/>
      <c r="AH308" s="54" t="e">
        <f>-SUM('[1]Total P&amp;C'!$AJ$73:$AK$73,'[1]Total P&amp;C'!$BH$73:$BI$73)/1000/AH299</f>
        <v>#DIV/0!</v>
      </c>
      <c r="AI308" s="54" t="e">
        <f>-SUM('[1]Total P&amp;C'!$AJ$74:$AK$74,'[1]Total P&amp;C'!$BH$74:$BI$74)/1000/AI299</f>
        <v>#DIV/0!</v>
      </c>
      <c r="AJ308" s="54" t="e">
        <f>-SUM('[1]Total P&amp;C'!$AJ$75:$AK$75,'[1]Total P&amp;C'!$BH$75:$BI$75)/1000/AJ299</f>
        <v>#DIV/0!</v>
      </c>
      <c r="AL308" s="201"/>
      <c r="AM308" s="9"/>
      <c r="AN308" s="49" t="s">
        <v>29</v>
      </c>
      <c r="AT308" s="24">
        <f>-SUM([2]Retail!$AJ$73:$AK$73,[2]Retail!$BH$73:$BI$73)/1000/AT299</f>
        <v>-2.4047450298233655E-2</v>
      </c>
      <c r="AU308" s="24">
        <f>-SUM([2]Retail!$AJ$74:$AK$74,[2]Retail!$BH$74:$BI$74)/1000/AU299</f>
        <v>4.1283593620440241E-2</v>
      </c>
      <c r="AV308" s="24">
        <f>-SUM([2]Retail!$AJ$75:$AK$75,[2]Retail!$BH$75:$BI$75)/1000/AV299</f>
        <v>0</v>
      </c>
      <c r="AW308" s="7"/>
      <c r="AX308" s="24">
        <f>-SUM([2]SME!$AJ$73:$AK$73,[2]SME!$BH$73:$BI$73)/1000/AX299</f>
        <v>-4.3745873635540576E-2</v>
      </c>
      <c r="AY308" s="24">
        <f>-SUM([2]SME!$AJ$74:$AK$74,[2]SME!$BH$74:$BI$74)/1000/AY299</f>
        <v>2.4349941975633494E-2</v>
      </c>
      <c r="AZ308" s="24">
        <f>-SUM([2]SME!$AJ$75:$AK$75,[2]SME!$BH$75:$BI$75)/1000/AZ299</f>
        <v>0</v>
      </c>
      <c r="BA308" s="7"/>
      <c r="BB308" s="24"/>
      <c r="BC308" s="24"/>
      <c r="BD308" s="24"/>
      <c r="BJ308" s="24" t="e">
        <f>-SUM([2]Specials!$AJ$73:$AK$73,[2]Specials!$BH$73:$BI$73)/1000/BJ299</f>
        <v>#DIV/0!</v>
      </c>
      <c r="BK308" s="24" t="e">
        <f>-SUM([2]Specials!$AJ$74:$AK$74,[2]Specials!$BH$74:$BI$74)/1000/BK299</f>
        <v>#DIV/0!</v>
      </c>
      <c r="BL308" s="24" t="e">
        <f>-SUM([2]Specials!$AJ$75:$AK$75,[2]Specials!$BH$75:$BI$75)/1000/BL299</f>
        <v>#DIV/0!</v>
      </c>
      <c r="BM308" s="7"/>
      <c r="BN308" s="54">
        <f>-SUM('[2]Total P&amp;C'!$AJ$73:$AK$73,'[2]Total P&amp;C'!$BH$73:$BI$73)/1000/BN299</f>
        <v>-4.3144187695371518E-2</v>
      </c>
      <c r="BO308" s="54">
        <f>-SUM('[2]Total P&amp;C'!$AJ$74:$AK$74,'[2]Total P&amp;C'!$BH$74:$BI$74)/1000/BO299</f>
        <v>2.5159566104173105E-2</v>
      </c>
      <c r="BP308" s="54">
        <f>-SUM('[2]Total P&amp;C'!$AJ$75:$AK$75,'[2]Total P&amp;C'!$BH$75:$BI$75)/1000/BP299</f>
        <v>0</v>
      </c>
      <c r="BR308" s="54">
        <f>-SUM('[3]Total P&amp;C'!$AJ$73:$AK$73,'[3]Total P&amp;C'!$BH$73:$BI$73)/1000/BR299</f>
        <v>-4.3144187695371518E-2</v>
      </c>
      <c r="BS308" s="54">
        <f>-SUM('[3]Total P&amp;C'!$AJ$74:$AK$74,'[3]Total P&amp;C'!$BH$74:$BI$74)/1000/BS299</f>
        <v>2.5159566104173105E-2</v>
      </c>
      <c r="BT308" s="54">
        <f>-SUM('[3]Total P&amp;C'!$AJ$75:$AK$75,'[3]Total P&amp;C'!$BH$75:$BI$75)/1000/BT299</f>
        <v>0</v>
      </c>
    </row>
    <row r="309" spans="2:72" ht="16.5" hidden="1" customHeight="1" outlineLevel="1" x14ac:dyDescent="0.25">
      <c r="B309" s="201"/>
      <c r="C309" s="9"/>
      <c r="D309" s="49" t="s">
        <v>30</v>
      </c>
      <c r="J309" s="24"/>
      <c r="K309" s="24"/>
      <c r="L309" s="24"/>
      <c r="M309" s="7"/>
      <c r="N309" s="24"/>
      <c r="O309" s="24"/>
      <c r="P309" s="24"/>
      <c r="Q309" s="7"/>
      <c r="R309" s="24"/>
      <c r="S309" s="24"/>
      <c r="T309" s="24"/>
      <c r="U309" s="7"/>
      <c r="V309" s="24"/>
      <c r="W309" s="24"/>
      <c r="X309" s="24"/>
      <c r="Y309" s="7"/>
      <c r="Z309" s="24"/>
      <c r="AA309" s="24"/>
      <c r="AB309" s="24"/>
      <c r="AC309" s="7"/>
      <c r="AD309" s="24"/>
      <c r="AE309" s="24"/>
      <c r="AF309" s="24"/>
      <c r="AG309" s="7"/>
      <c r="AH309" s="54" t="e">
        <f>+AH310+AH311+AH312</f>
        <v>#DIV/0!</v>
      </c>
      <c r="AI309" s="54" t="e">
        <f>+AI310+AI311+AI312</f>
        <v>#DIV/0!</v>
      </c>
      <c r="AJ309" s="54" t="e">
        <f>+AJ310+AJ311+AJ312</f>
        <v>#DIV/0!</v>
      </c>
      <c r="AL309" s="201"/>
      <c r="AM309" s="9"/>
      <c r="AN309" s="49" t="s">
        <v>30</v>
      </c>
      <c r="AT309" s="24">
        <f>+AT310+AT311+AT312</f>
        <v>0.13230058820646554</v>
      </c>
      <c r="AU309" s="24">
        <f>+AU310+AU311+AU312</f>
        <v>0.115878592722676</v>
      </c>
      <c r="AV309" s="24">
        <f>+AV310+AV311+AV312</f>
        <v>0.15578974768536244</v>
      </c>
      <c r="AW309" s="7"/>
      <c r="AX309" s="24">
        <f>+AX310+AX311+AX312</f>
        <v>0.20217637892708334</v>
      </c>
      <c r="AY309" s="24">
        <f>+AY310+AY311+AY312</f>
        <v>0.16728337712405622</v>
      </c>
      <c r="AZ309" s="24">
        <f>+AZ310+AZ311+AZ312</f>
        <v>0.21199524344167475</v>
      </c>
      <c r="BA309" s="7"/>
      <c r="BB309" s="24"/>
      <c r="BC309" s="24"/>
      <c r="BD309" s="24"/>
      <c r="BJ309" s="24" t="e">
        <f>+BJ310+BJ311+BJ312</f>
        <v>#DIV/0!</v>
      </c>
      <c r="BK309" s="24" t="e">
        <f>+BK310+BK311+BK312</f>
        <v>#DIV/0!</v>
      </c>
      <c r="BL309" s="24" t="e">
        <f>+BL310+BL311+BL312</f>
        <v>#DIV/0!</v>
      </c>
      <c r="BM309" s="7"/>
      <c r="BN309" s="54">
        <f>+BN310+BN311+BN312</f>
        <v>0.20004203141536306</v>
      </c>
      <c r="BO309" s="54">
        <f>+BO310+BO311+BO312</f>
        <v>0.16482563471582037</v>
      </c>
      <c r="BP309" s="54">
        <f>+BP310+BP311+BP312</f>
        <v>0.21019732112138248</v>
      </c>
      <c r="BR309" s="54">
        <f>+BR310+BR311+BR312</f>
        <v>0.20004203141536306</v>
      </c>
      <c r="BS309" s="54">
        <f>+BS310+BS311+BS312</f>
        <v>0.16482563471582037</v>
      </c>
      <c r="BT309" s="54">
        <f>+BT310+BT311+BT312</f>
        <v>0.21019732112138248</v>
      </c>
    </row>
    <row r="310" spans="2:72" ht="16.5" hidden="1" customHeight="1" outlineLevel="1" x14ac:dyDescent="0.25">
      <c r="B310" s="201"/>
      <c r="C310" s="9"/>
      <c r="D310" s="50" t="s">
        <v>31</v>
      </c>
      <c r="J310" s="51"/>
      <c r="K310" s="51"/>
      <c r="L310" s="51"/>
      <c r="M310" s="8"/>
      <c r="N310" s="51"/>
      <c r="O310" s="51"/>
      <c r="P310" s="51"/>
      <c r="Q310" s="8"/>
      <c r="R310" s="51"/>
      <c r="S310" s="51"/>
      <c r="T310" s="51"/>
      <c r="U310" s="8"/>
      <c r="V310" s="51"/>
      <c r="W310" s="51"/>
      <c r="X310" s="51"/>
      <c r="Y310" s="8"/>
      <c r="Z310" s="51"/>
      <c r="AA310" s="51"/>
      <c r="AB310" s="51"/>
      <c r="AC310" s="8"/>
      <c r="AD310" s="51"/>
      <c r="AE310" s="51"/>
      <c r="AF310" s="51"/>
      <c r="AG310" s="8"/>
      <c r="AH310" s="54" t="e">
        <f>-SUM('[1]Total P&amp;C'!$AL$73:$AN$73,'[1]Total P&amp;C'!$BJ$73)/1000/AH299</f>
        <v>#DIV/0!</v>
      </c>
      <c r="AI310" s="54" t="e">
        <f>-SUM('[1]Total P&amp;C'!$AL$74:$AN$74,'[1]Total P&amp;C'!$BJ$74)/1000/AI299</f>
        <v>#DIV/0!</v>
      </c>
      <c r="AJ310" s="54" t="e">
        <f>-SUM('[1]Total P&amp;C'!$AL$75:$AN$75,'[1]Total P&amp;C'!$BJ$75)/1000/AJ299</f>
        <v>#DIV/0!</v>
      </c>
      <c r="AL310" s="201"/>
      <c r="AM310" s="9"/>
      <c r="AN310" s="50" t="s">
        <v>31</v>
      </c>
      <c r="AT310" s="24">
        <f>-SUM([2]Retail!$AL$73:$AN$73,[2]Retail!$BJ$73)/1000/AT299</f>
        <v>6.5272215021386859E-2</v>
      </c>
      <c r="AU310" s="51">
        <f>-SUM([2]Retail!$AL$74:$AN$74,[2]Retail!$BJ$74)/1000/AU299</f>
        <v>6.5672102970803267E-2</v>
      </c>
      <c r="AV310" s="51">
        <f>-SUM([2]Retail!$AL$75:$AN$75,[2]Retail!$BJ$75)/1000/AV299</f>
        <v>9.1930776473132178E-2</v>
      </c>
      <c r="AW310" s="8"/>
      <c r="AX310" s="24">
        <f>-SUM([2]SME!$AL$73:$AN$73,[2]SME!$BJ$73)/1000/AX299</f>
        <v>6.6431381840923204E-2</v>
      </c>
      <c r="AY310" s="24">
        <f>-SUM([2]SME!$AL$74:$AN$74,[2]SME!$BJ$74)/1000/AY299</f>
        <v>7.2976623909757593E-2</v>
      </c>
      <c r="AZ310" s="24">
        <f>-SUM([2]SME!$AL$75:$AN$75,[2]SME!$BJ$75)/1000/AZ299</f>
        <v>7.2171313712339216E-2</v>
      </c>
      <c r="BA310" s="8"/>
      <c r="BB310" s="51"/>
      <c r="BC310" s="51"/>
      <c r="BD310" s="51"/>
      <c r="BJ310" s="24" t="e">
        <f>-SUM([2]Specials!$AL$73:$AN$73,[2]Specials!$BJ$73)/1000/BJ299</f>
        <v>#DIV/0!</v>
      </c>
      <c r="BK310" s="24" t="e">
        <f>-SUM([2]Specials!$AL$74:$AN$74,[2]Specials!$BJ$74)/1000/BK299</f>
        <v>#DIV/0!</v>
      </c>
      <c r="BL310" s="24" t="e">
        <f>-SUM([2]Specials!$AL$75:$AN$75,[2]Specials!$BJ$75)/1000/BL299</f>
        <v>#DIV/0!</v>
      </c>
      <c r="BM310" s="8"/>
      <c r="BN310" s="54">
        <f>-SUM('[2]Total P&amp;C'!$AL$73:$AN$73,'[2]Total P&amp;C'!$BJ$73)/1000/BN299</f>
        <v>6.6395975231689414E-2</v>
      </c>
      <c r="BO310" s="54">
        <f>-SUM('[2]Total P&amp;C'!$AL$74:$AN$74,'[2]Total P&amp;C'!$BJ$74)/1000/BO299</f>
        <v>7.2627383443280069E-2</v>
      </c>
      <c r="BP310" s="54">
        <f>-SUM('[2]Total P&amp;C'!$AL$75:$AN$75,'[2]Total P&amp;C'!$BJ$75)/1000/BP299</f>
        <v>7.2803386762431019E-2</v>
      </c>
      <c r="BR310" s="54">
        <f>-SUM('[3]Total P&amp;C'!$AL$73:$AN$73,'[3]Total P&amp;C'!$BJ$73)/1000/BR299</f>
        <v>6.6395975231689414E-2</v>
      </c>
      <c r="BS310" s="54">
        <f>-SUM('[3]Total P&amp;C'!$AL$74:$AN$74,'[3]Total P&amp;C'!$BJ$74)/1000/BS299</f>
        <v>7.2627383443280069E-2</v>
      </c>
      <c r="BT310" s="54">
        <f>-SUM('[3]Total P&amp;C'!$AL$75:$AN$75,'[3]Total P&amp;C'!$BJ$75)/1000/BT299</f>
        <v>7.2803386762431019E-2</v>
      </c>
    </row>
    <row r="311" spans="2:72" ht="16.5" hidden="1" customHeight="1" outlineLevel="1" x14ac:dyDescent="0.25">
      <c r="B311" s="201"/>
      <c r="C311" s="9"/>
      <c r="D311" s="50" t="s">
        <v>32</v>
      </c>
      <c r="J311" s="51"/>
      <c r="K311" s="51"/>
      <c r="L311" s="51"/>
      <c r="M311" s="8"/>
      <c r="N311" s="51"/>
      <c r="O311" s="51"/>
      <c r="P311" s="51"/>
      <c r="Q311" s="8"/>
      <c r="R311" s="51"/>
      <c r="S311" s="51"/>
      <c r="T311" s="51"/>
      <c r="U311" s="8"/>
      <c r="V311" s="51"/>
      <c r="W311" s="51"/>
      <c r="X311" s="51"/>
      <c r="Y311" s="8"/>
      <c r="Z311" s="51"/>
      <c r="AA311" s="51"/>
      <c r="AB311" s="51"/>
      <c r="AC311" s="8"/>
      <c r="AD311" s="51"/>
      <c r="AE311" s="51"/>
      <c r="AF311" s="51"/>
      <c r="AG311" s="8"/>
      <c r="AH311" s="54" t="e">
        <f>-SUM('[1]Total P&amp;C'!$AO$73:$AP$73)/1000/AH299</f>
        <v>#DIV/0!</v>
      </c>
      <c r="AI311" s="54" t="e">
        <f>-SUM('[1]Total P&amp;C'!$AO$74:$AP$74)/1000/AI299</f>
        <v>#DIV/0!</v>
      </c>
      <c r="AJ311" s="54" t="e">
        <f>-SUM('[1]Total P&amp;C'!$AO$75:$AP$75)/1000/AJ299</f>
        <v>#DIV/0!</v>
      </c>
      <c r="AL311" s="201"/>
      <c r="AM311" s="9"/>
      <c r="AN311" s="50" t="s">
        <v>32</v>
      </c>
      <c r="AT311" s="24">
        <f>-SUM([2]Retail!$AO$73:$AP$73)/1000/AT299</f>
        <v>1.3455850584549785E-2</v>
      </c>
      <c r="AU311" s="51">
        <f>-SUM([2]Retail!$AO$74:$AP$74)/1000/AU299</f>
        <v>1.3529733017877908E-2</v>
      </c>
      <c r="AV311" s="51">
        <f>-SUM([2]Retail!$AO$75:$AP$75)/1000/AV299</f>
        <v>1.2476608806371596E-2</v>
      </c>
      <c r="AW311" s="8"/>
      <c r="AX311" s="24">
        <f>-SUM([2]SME!$AO$73:$AP$73)/1000/AX299</f>
        <v>3.5213091887601182E-2</v>
      </c>
      <c r="AY311" s="24">
        <f>-SUM([2]SME!$AO$74:$AP$74)/1000/AY299</f>
        <v>3.2963347614281192E-2</v>
      </c>
      <c r="AZ311" s="24">
        <f>-SUM([2]SME!$AO$75:$AP$75)/1000/AZ299</f>
        <v>3.3538140562265867E-2</v>
      </c>
      <c r="BA311" s="8"/>
      <c r="BB311" s="51"/>
      <c r="BC311" s="51"/>
      <c r="BD311" s="51"/>
      <c r="BJ311" s="24" t="e">
        <f>-SUM([2]Specials!$AO$73:$AP$73)/1000/BJ299</f>
        <v>#DIV/0!</v>
      </c>
      <c r="BK311" s="24" t="e">
        <f>-SUM([2]Specials!$AO$74:$AP$74)/1000/BK299</f>
        <v>#DIV/0!</v>
      </c>
      <c r="BL311" s="24" t="e">
        <f>-SUM([2]Specials!$AO$75:$AP$75)/1000/BL299</f>
        <v>#DIV/0!</v>
      </c>
      <c r="BM311" s="8"/>
      <c r="BN311" s="54">
        <f>-SUM('[2]Total P&amp;C'!$AO$73:$AP$73)/1000/BN299</f>
        <v>3.4548519603578881E-2</v>
      </c>
      <c r="BO311" s="54">
        <f>-SUM('[2]Total P&amp;C'!$AO$74:$AP$74)/1000/BO299</f>
        <v>3.2034196382638068E-2</v>
      </c>
      <c r="BP311" s="54">
        <f>-SUM('[2]Total P&amp;C'!$AO$75:$AP$75)/1000/BP299</f>
        <v>3.2864416444474166E-2</v>
      </c>
      <c r="BR311" s="54">
        <f>-SUM('[3]Total P&amp;C'!$AO$73:$AP$73)/1000/BR299</f>
        <v>3.4548519603578881E-2</v>
      </c>
      <c r="BS311" s="54">
        <f>-SUM('[3]Total P&amp;C'!$AO$74:$AP$74)/1000/BS299</f>
        <v>3.2034196382638068E-2</v>
      </c>
      <c r="BT311" s="54">
        <f>-SUM('[3]Total P&amp;C'!$AO$75:$AP$75)/1000/BT299</f>
        <v>3.2864416444474166E-2</v>
      </c>
    </row>
    <row r="312" spans="2:72" ht="16.5" hidden="1" customHeight="1" outlineLevel="1" x14ac:dyDescent="0.25">
      <c r="B312" s="201"/>
      <c r="C312" s="9"/>
      <c r="D312" s="50" t="s">
        <v>33</v>
      </c>
      <c r="J312" s="51"/>
      <c r="K312" s="51"/>
      <c r="L312" s="51"/>
      <c r="M312" s="8"/>
      <c r="N312" s="51"/>
      <c r="O312" s="51"/>
      <c r="P312" s="51"/>
      <c r="Q312" s="8"/>
      <c r="R312" s="51"/>
      <c r="S312" s="51"/>
      <c r="T312" s="51"/>
      <c r="U312" s="8"/>
      <c r="V312" s="51"/>
      <c r="W312" s="51"/>
      <c r="X312" s="51"/>
      <c r="Y312" s="8"/>
      <c r="Z312" s="51"/>
      <c r="AA312" s="51"/>
      <c r="AB312" s="51"/>
      <c r="AC312" s="8"/>
      <c r="AD312" s="51"/>
      <c r="AE312" s="51"/>
      <c r="AF312" s="51"/>
      <c r="AG312" s="8"/>
      <c r="AH312" s="54" t="e">
        <f>-SUM('[1]Total P&amp;C'!$AQ$73:$AR$73)/1000/AH299</f>
        <v>#DIV/0!</v>
      </c>
      <c r="AI312" s="54" t="e">
        <f>-SUM('[1]Total P&amp;C'!$AQ$74:$AR$74)/1000/AI299</f>
        <v>#DIV/0!</v>
      </c>
      <c r="AJ312" s="54" t="e">
        <f>-SUM('[1]Total P&amp;C'!$AQ$75:$AR$75)/1000/AJ299</f>
        <v>#DIV/0!</v>
      </c>
      <c r="AL312" s="201"/>
      <c r="AM312" s="9"/>
      <c r="AN312" s="50" t="s">
        <v>33</v>
      </c>
      <c r="AT312" s="24">
        <f>-SUM([2]Retail!$AQ$73:$AR$73)/1000/AT299</f>
        <v>5.3572522600528888E-2</v>
      </c>
      <c r="AU312" s="51">
        <f>-SUM([2]Retail!$AQ$74:$AR$74)/1000/AU299</f>
        <v>3.6676756733994828E-2</v>
      </c>
      <c r="AV312" s="51">
        <f>-SUM([2]Retail!$AQ$75:$AR$75)/1000/AV299</f>
        <v>5.1382362405858674E-2</v>
      </c>
      <c r="AW312" s="8"/>
      <c r="AX312" s="24">
        <f>-SUM([2]SME!$AQ$73:$AR$73)/1000/AX299</f>
        <v>0.10053190519855895</v>
      </c>
      <c r="AY312" s="24">
        <f>-SUM([2]SME!$AQ$74:$AR$74)/1000/AY299</f>
        <v>6.1343405600017428E-2</v>
      </c>
      <c r="AZ312" s="24">
        <f>-SUM([2]SME!$AQ$75:$AR$75)/1000/AZ299</f>
        <v>0.10628578916706966</v>
      </c>
      <c r="BA312" s="8"/>
      <c r="BB312" s="51"/>
      <c r="BC312" s="51"/>
      <c r="BD312" s="51"/>
      <c r="BJ312" s="24" t="e">
        <f>-SUM([2]Specials!$AQ$73:$AR$73)/1000/BJ299</f>
        <v>#DIV/0!</v>
      </c>
      <c r="BK312" s="24" t="e">
        <f>-SUM([2]Specials!$AQ$74:$AR$74)/1000/BK299</f>
        <v>#DIV/0!</v>
      </c>
      <c r="BL312" s="24" t="e">
        <f>-SUM([2]Specials!$AQ$75:$AR$75)/1000/BL299</f>
        <v>#DIV/0!</v>
      </c>
      <c r="BM312" s="8"/>
      <c r="BN312" s="54">
        <f>-SUM('[2]Total P&amp;C'!$AQ$73:$AR$73)/1000/BN299</f>
        <v>9.9097536580094764E-2</v>
      </c>
      <c r="BO312" s="54">
        <f>-SUM('[2]Total P&amp;C'!$AQ$74:$AR$74)/1000/BO299</f>
        <v>6.0164054889902223E-2</v>
      </c>
      <c r="BP312" s="54">
        <f>-SUM('[2]Total P&amp;C'!$AQ$75:$AR$75)/1000/BP299</f>
        <v>0.10452951791447729</v>
      </c>
      <c r="BR312" s="54">
        <f>-SUM('[3]Total P&amp;C'!$AQ$73:$AR$73)/1000/BR299</f>
        <v>9.9097536580094764E-2</v>
      </c>
      <c r="BS312" s="54">
        <f>-SUM('[3]Total P&amp;C'!$AQ$74:$AR$74)/1000/BS299</f>
        <v>6.0164054889902223E-2</v>
      </c>
      <c r="BT312" s="54">
        <f>-SUM('[3]Total P&amp;C'!$AQ$75:$AR$75)/1000/BT299</f>
        <v>0.10452951791447729</v>
      </c>
    </row>
    <row r="313" spans="2:72" ht="16.5" hidden="1" customHeight="1" outlineLevel="1" x14ac:dyDescent="0.25">
      <c r="B313" s="201"/>
      <c r="C313" s="9"/>
      <c r="D313" s="49" t="s">
        <v>34</v>
      </c>
      <c r="J313" s="23"/>
      <c r="K313" s="23"/>
      <c r="L313" s="23"/>
      <c r="M313" s="6"/>
      <c r="N313" s="23"/>
      <c r="O313" s="23"/>
      <c r="P313" s="23"/>
      <c r="Q313" s="6"/>
      <c r="R313" s="23"/>
      <c r="S313" s="23"/>
      <c r="T313" s="23"/>
      <c r="U313" s="6"/>
      <c r="V313" s="23"/>
      <c r="W313" s="23"/>
      <c r="X313" s="23"/>
      <c r="Y313" s="6"/>
      <c r="Z313" s="23"/>
      <c r="AA313" s="23"/>
      <c r="AB313" s="23"/>
      <c r="AC313" s="6"/>
      <c r="AD313" s="23"/>
      <c r="AE313" s="23"/>
      <c r="AF313" s="23"/>
      <c r="AG313" s="6"/>
      <c r="AH313" s="53">
        <f>+'[1]Total P&amp;C'!$BK$73/1000</f>
        <v>0</v>
      </c>
      <c r="AI313" s="53">
        <f>+'[1]Total P&amp;C'!$BK$74/1000</f>
        <v>0</v>
      </c>
      <c r="AJ313" s="53">
        <f>+'[1]Total P&amp;C'!$BK$75/1000</f>
        <v>0</v>
      </c>
      <c r="AL313" s="201"/>
      <c r="AM313" s="9"/>
      <c r="AN313" s="49" t="s">
        <v>34</v>
      </c>
      <c r="AT313" s="23">
        <f>+[2]Retail!$BK$73/1000</f>
        <v>-0.49173470999999985</v>
      </c>
      <c r="AU313" s="23">
        <f>+[2]Retail!$BK$74/1000</f>
        <v>0.16491621000000042</v>
      </c>
      <c r="AV313" s="23">
        <f>+[2]Retail!$BK$75/1000</f>
        <v>0.25832526725498761</v>
      </c>
      <c r="AW313" s="6"/>
      <c r="AX313" s="23">
        <f>+[2]SME!$BK$73/1000</f>
        <v>1.3887537300000066</v>
      </c>
      <c r="AY313" s="23">
        <f>+[2]SME!$BK$74/1000</f>
        <v>-1.2892912400000331</v>
      </c>
      <c r="AZ313" s="23">
        <f>+[2]SME!$BK$75/1000</f>
        <v>0.51266575392484681</v>
      </c>
      <c r="BA313" s="6"/>
      <c r="BB313" s="23"/>
      <c r="BC313" s="23"/>
      <c r="BD313" s="23"/>
      <c r="BJ313" s="23">
        <f>+[2]Specials!$BK$73/1000</f>
        <v>0</v>
      </c>
      <c r="BK313" s="23">
        <f>+[2]Specials!$BK$74/1000</f>
        <v>0</v>
      </c>
      <c r="BL313" s="23">
        <f>+[2]Specials!$BK$75/1000</f>
        <v>0</v>
      </c>
      <c r="BM313" s="6"/>
      <c r="BN313" s="53">
        <f>+'[2]Total P&amp;C'!$BK$73/1000</f>
        <v>0.89701902000000788</v>
      </c>
      <c r="BO313" s="53">
        <f>+'[2]Total P&amp;C'!$BK$74/1000</f>
        <v>-1.1243750300000337</v>
      </c>
      <c r="BP313" s="53">
        <f>+'[2]Total P&amp;C'!$BK$75/1000</f>
        <v>0.77099102117983453</v>
      </c>
      <c r="BR313" s="53">
        <f>+'[3]Total P&amp;C'!$BK$73/1000</f>
        <v>0.89701902000000788</v>
      </c>
      <c r="BS313" s="53">
        <f>+'[3]Total P&amp;C'!$BK$74/1000</f>
        <v>-1.1243750300000337</v>
      </c>
      <c r="BT313" s="53">
        <f>+'[3]Total P&amp;C'!$BK$75/1000</f>
        <v>0.77099102117983453</v>
      </c>
    </row>
    <row r="314" spans="2:72" hidden="1" outlineLevel="1" x14ac:dyDescent="0.25">
      <c r="B314"/>
      <c r="C314"/>
      <c r="D314"/>
      <c r="J314" s="47"/>
      <c r="K314" s="47"/>
      <c r="L314" s="47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L314"/>
      <c r="AM314"/>
      <c r="AN314"/>
      <c r="AT314" s="47"/>
      <c r="AU314" s="47"/>
      <c r="AV314" s="47"/>
      <c r="AW314"/>
      <c r="AX314"/>
      <c r="AY314"/>
      <c r="AZ314"/>
      <c r="BA314"/>
      <c r="BB314"/>
      <c r="BC314"/>
      <c r="BD314"/>
      <c r="BJ314"/>
      <c r="BK314"/>
      <c r="BL314"/>
      <c r="BM314"/>
      <c r="BN314"/>
      <c r="BO314"/>
      <c r="BP314"/>
      <c r="BR314"/>
      <c r="BS314"/>
      <c r="BT314"/>
    </row>
    <row r="315" spans="2:72" ht="16.5" customHeight="1" collapsed="1" x14ac:dyDescent="0.25">
      <c r="B315" s="202" t="s">
        <v>52</v>
      </c>
      <c r="C315" s="9"/>
      <c r="D315" s="37" t="s">
        <v>19</v>
      </c>
      <c r="J315" s="19">
        <f>+[1]Retail!$C$81/1000</f>
        <v>0</v>
      </c>
      <c r="K315" s="19">
        <f>+[1]Retail!$C$82/1000</f>
        <v>0</v>
      </c>
      <c r="L315" s="19">
        <f>+[1]Retail!$C$83/1000</f>
        <v>0</v>
      </c>
      <c r="M315" s="6"/>
      <c r="N315" s="19">
        <f>+[1]SME!$C$81/1000</f>
        <v>63.621299710000002</v>
      </c>
      <c r="O315" s="19">
        <f>+[1]SME!$C$82/1000</f>
        <v>59.630830390000035</v>
      </c>
      <c r="P315" s="19">
        <f>+[1]SME!$C$83/1000</f>
        <v>56.188929999999999</v>
      </c>
      <c r="Q315" s="6"/>
      <c r="R315" s="19">
        <f>+[1]MidCorp!$C$81/1000</f>
        <v>0</v>
      </c>
      <c r="S315" s="19">
        <f>+[1]MidCorp!$C$82/1000</f>
        <v>0</v>
      </c>
      <c r="T315" s="19">
        <f>+[1]MidCorp!$C$83/1000</f>
        <v>0</v>
      </c>
      <c r="U315" s="6"/>
      <c r="V315" s="19">
        <f>+[1]MGA!$C$81/1000</f>
        <v>0.78497925999999996</v>
      </c>
      <c r="W315" s="19">
        <f>+[1]MGA!$C$82/1000</f>
        <v>0</v>
      </c>
      <c r="X315" s="19">
        <f>+[1]MGA!$C$83/1000</f>
        <v>0.43636000000000003</v>
      </c>
      <c r="Y315" s="6"/>
      <c r="Z315" s="19">
        <f>+[1]Bancassurance!$C$81/1000</f>
        <v>0</v>
      </c>
      <c r="AA315" s="19">
        <f>+[1]Bancassurance!$C$82/1000</f>
        <v>0</v>
      </c>
      <c r="AB315" s="19">
        <f>+[1]Bancassurance!$C$83/1000</f>
        <v>0.13463</v>
      </c>
      <c r="AC315" s="6"/>
      <c r="AD315" s="19">
        <f>+[1]Specials!$C$81/1000</f>
        <v>0</v>
      </c>
      <c r="AE315" s="19">
        <f>+[1]Specials!$C$82/1000</f>
        <v>0</v>
      </c>
      <c r="AF315" s="19">
        <f>+[1]Specials!$C$83/1000</f>
        <v>0</v>
      </c>
      <c r="AG315" s="6"/>
      <c r="AH315" s="27">
        <f>+'[1]Total P&amp;C'!$C$81/1000</f>
        <v>64.406278970000002</v>
      </c>
      <c r="AI315" s="27">
        <f>+'[1]Total P&amp;C'!$C$82/1000</f>
        <v>59.630830390000035</v>
      </c>
      <c r="AJ315" s="27">
        <f>+'[1]Total P&amp;C'!$C$83/1000</f>
        <v>56.759920000000001</v>
      </c>
      <c r="AL315" s="202" t="s">
        <v>52</v>
      </c>
      <c r="AM315" s="9"/>
      <c r="AN315" s="37" t="s">
        <v>19</v>
      </c>
      <c r="AT315" s="19">
        <f>+[2]Retail!$C$81/1000</f>
        <v>4.1836531500000005</v>
      </c>
      <c r="AU315" s="19">
        <f>+[2]Retail!$C$82/1000</f>
        <v>4.3870655699999999</v>
      </c>
      <c r="AV315" s="19">
        <f>+[2]Retail!$C$83/1000</f>
        <v>4.2469875842562406</v>
      </c>
      <c r="AW315" s="6"/>
      <c r="AX315" s="19">
        <f>+[2]SME!$C$81/1000</f>
        <v>34.017837979999996</v>
      </c>
      <c r="AY315" s="19">
        <f>+[2]SME!$C$82/1000</f>
        <v>43.531007320000008</v>
      </c>
      <c r="AZ315" s="19">
        <f>+[2]SME!$C$83/1000</f>
        <v>32.005183201116758</v>
      </c>
      <c r="BA315" s="6"/>
      <c r="BB315" s="19">
        <f>+[2]MidCorp!$C$81/1000</f>
        <v>35.415759620000152</v>
      </c>
      <c r="BC315" s="19">
        <f>+[2]MidCorp!$C$82/1000</f>
        <v>24.364716519999984</v>
      </c>
      <c r="BD315" s="19">
        <f>+[2]MidCorp!$C$83/1000</f>
        <v>27.974916263833261</v>
      </c>
      <c r="BJ315" s="19">
        <f>+[2]Specials!$C$81/1000</f>
        <v>0</v>
      </c>
      <c r="BK315" s="19">
        <f>+[2]Specials!$C$82/1000</f>
        <v>0</v>
      </c>
      <c r="BL315" s="19">
        <f>+[2]Specials!$C$83/1000</f>
        <v>0</v>
      </c>
      <c r="BM315" s="6"/>
      <c r="BN315" s="27">
        <f>+'[2]Total P&amp;C'!$C$81/1000</f>
        <v>73.617250750000153</v>
      </c>
      <c r="BO315" s="27">
        <f>+'[2]Total P&amp;C'!$C$82/1000</f>
        <v>72.282789409999992</v>
      </c>
      <c r="BP315" s="27">
        <f>+'[2]Total P&amp;C'!$C$83/1000</f>
        <v>64.227087049206247</v>
      </c>
      <c r="BR315" s="27">
        <f>+'[3]Total P&amp;C'!$C$81/1000</f>
        <v>138.02352972000014</v>
      </c>
      <c r="BS315" s="27">
        <f>+'[3]Total P&amp;C'!$C$82/1000</f>
        <v>131.91361980000005</v>
      </c>
      <c r="BT315" s="27">
        <f>+'[3]Total P&amp;C'!$C$83/1000</f>
        <v>120.98700704920626</v>
      </c>
    </row>
    <row r="316" spans="2:72" ht="16.5" customHeight="1" x14ac:dyDescent="0.25">
      <c r="B316" s="202"/>
      <c r="C316" s="9"/>
      <c r="D316" s="37" t="s">
        <v>20</v>
      </c>
      <c r="J316" s="19">
        <f>+[1]Retail!$N$81/1000</f>
        <v>0</v>
      </c>
      <c r="K316" s="19">
        <f>+[1]Retail!$N$82/1000</f>
        <v>0</v>
      </c>
      <c r="L316" s="19">
        <f>+[1]Retail!$N$83/1000</f>
        <v>0</v>
      </c>
      <c r="M316" s="6"/>
      <c r="N316" s="19">
        <f>+[1]SME!$N$81/1000</f>
        <v>34.547963020000033</v>
      </c>
      <c r="O316" s="19">
        <f>+[1]SME!$N$82/1000</f>
        <v>33.016125740000035</v>
      </c>
      <c r="P316" s="19">
        <f>+[1]SME!$N$83/1000</f>
        <v>33.337499999999999</v>
      </c>
      <c r="Q316" s="6"/>
      <c r="R316" s="19">
        <f>+[1]MidCorp!$N$81/1000</f>
        <v>0</v>
      </c>
      <c r="S316" s="19">
        <f>+[1]MidCorp!$N$82/1000</f>
        <v>0</v>
      </c>
      <c r="T316" s="19">
        <f>+[1]MidCorp!$N$83/1000</f>
        <v>0</v>
      </c>
      <c r="U316" s="6"/>
      <c r="V316" s="19">
        <f>+[1]MGA!$N$81/1000</f>
        <v>0.20591491000000001</v>
      </c>
      <c r="W316" s="19">
        <f>+[1]MGA!$N$82/1000</f>
        <v>0</v>
      </c>
      <c r="X316" s="19">
        <f>+[1]MGA!$N$83/1000</f>
        <v>0.6</v>
      </c>
      <c r="Y316" s="6"/>
      <c r="Z316" s="19">
        <f>+[1]Bancassurance!$N$81/1000</f>
        <v>0</v>
      </c>
      <c r="AA316" s="19">
        <f>+[1]Bancassurance!$N$82/1000</f>
        <v>0</v>
      </c>
      <c r="AB316" s="19">
        <f>+[1]Bancassurance!$N$83/1000</f>
        <v>0.31973437500000002</v>
      </c>
      <c r="AC316" s="6"/>
      <c r="AD316" s="19">
        <f>+[1]Specials!$N$81/1000</f>
        <v>0</v>
      </c>
      <c r="AE316" s="19">
        <f>+[1]Specials!$N$82/1000</f>
        <v>0</v>
      </c>
      <c r="AF316" s="19">
        <f>+[1]Specials!$N$83/1000</f>
        <v>0</v>
      </c>
      <c r="AG316" s="6"/>
      <c r="AH316" s="27">
        <f>+'[1]Total P&amp;C'!$N$81/1000</f>
        <v>34.75387793000003</v>
      </c>
      <c r="AI316" s="27">
        <f>+'[1]Total P&amp;C'!$N$82/1000</f>
        <v>33.016125740000035</v>
      </c>
      <c r="AJ316" s="27">
        <f>+'[1]Total P&amp;C'!$N$83/1000</f>
        <v>34.257234375000003</v>
      </c>
      <c r="AL316" s="202"/>
      <c r="AM316" s="9"/>
      <c r="AN316" s="37" t="s">
        <v>20</v>
      </c>
      <c r="AT316" s="19">
        <f>+[2]Retail!$N$81/1000</f>
        <v>4.0908774500000007</v>
      </c>
      <c r="AU316" s="19">
        <f>+[2]Retail!$N$82/1000</f>
        <v>6.0645270799999986</v>
      </c>
      <c r="AV316" s="19">
        <f>+[2]Retail!$N$83/1000</f>
        <v>3.9547912091763608</v>
      </c>
      <c r="AW316" s="6"/>
      <c r="AX316" s="19">
        <f>+[2]SME!$N$81/1000</f>
        <v>29.647175949999998</v>
      </c>
      <c r="AY316" s="19">
        <f>+[2]SME!$N$82/1000</f>
        <v>34.113199229999999</v>
      </c>
      <c r="AZ316" s="19">
        <f>+[2]SME!$N$83/1000</f>
        <v>28.657032650014365</v>
      </c>
      <c r="BA316" s="6"/>
      <c r="BB316" s="19">
        <f>+[2]MidCorp!$N$81/1000</f>
        <v>26.314280150000137</v>
      </c>
      <c r="BC316" s="19">
        <f>+[2]MidCorp!$N$82/1000</f>
        <v>21.382482499999988</v>
      </c>
      <c r="BD316" s="19">
        <f>+[2]MidCorp!$N$83/1000</f>
        <v>26.959171549999994</v>
      </c>
      <c r="BJ316" s="19">
        <f>+[2]Specials!$N$81/1000</f>
        <v>0</v>
      </c>
      <c r="BK316" s="19">
        <f>+[2]Specials!$N$82/1000</f>
        <v>0</v>
      </c>
      <c r="BL316" s="19">
        <f>+[2]Specials!$N$83/1000</f>
        <v>0</v>
      </c>
      <c r="BM316" s="6"/>
      <c r="BN316" s="27">
        <f>+'[2]Total P&amp;C'!$N$81/1000</f>
        <v>60.052333550000142</v>
      </c>
      <c r="BO316" s="27">
        <f>+'[2]Total P&amp;C'!$N$82/1000</f>
        <v>61.560208809999985</v>
      </c>
      <c r="BP316" s="27">
        <f>+'[2]Total P&amp;C'!$N$83/1000</f>
        <v>59.570995409190715</v>
      </c>
      <c r="BR316" s="27">
        <f>+'[3]Total P&amp;C'!$N$81/1000</f>
        <v>94.806211480000158</v>
      </c>
      <c r="BS316" s="27">
        <f>+'[3]Total P&amp;C'!$N$82/1000</f>
        <v>94.576334550000013</v>
      </c>
      <c r="BT316" s="27">
        <f>+'[3]Total P&amp;C'!$N$83/1000</f>
        <v>93.828229784190711</v>
      </c>
    </row>
    <row r="317" spans="2:72" ht="16.5" customHeight="1" x14ac:dyDescent="0.25">
      <c r="B317" s="202"/>
      <c r="C317" s="9"/>
      <c r="D317" s="37" t="s">
        <v>21</v>
      </c>
      <c r="J317" s="20" t="e">
        <f>+J318+J323+J324+J325+J326</f>
        <v>#DIV/0!</v>
      </c>
      <c r="K317" s="20" t="e">
        <f>+K318+K323+K324+K325+K326</f>
        <v>#DIV/0!</v>
      </c>
      <c r="L317" s="20" t="e">
        <f>+L318+L323+L324+L325+L326</f>
        <v>#DIV/0!</v>
      </c>
      <c r="M317" s="6"/>
      <c r="N317" s="20">
        <f>+N318+N323+N324+N325+N326</f>
        <v>0.95674330584599465</v>
      </c>
      <c r="O317" s="20">
        <f>+O318+O323+O324+O325+O326</f>
        <v>0.9671449061424604</v>
      </c>
      <c r="P317" s="20">
        <f>+P318+P323+P324+P325+P326</f>
        <v>0.96065184023966077</v>
      </c>
      <c r="Q317" s="6"/>
      <c r="R317" s="20" t="e">
        <f>+R318+R323+R324+R325+R326</f>
        <v>#DIV/0!</v>
      </c>
      <c r="S317" s="20" t="e">
        <f>+S318+S323+S324+S325+S326</f>
        <v>#DIV/0!</v>
      </c>
      <c r="T317" s="20" t="e">
        <f>+T318+T323+T324+T325+T326</f>
        <v>#DIV/0!</v>
      </c>
      <c r="U317" s="6"/>
      <c r="V317" s="20">
        <f>+V318+V323+V324+V325+V326</f>
        <v>1.2705920615461987</v>
      </c>
      <c r="W317" s="20" t="e">
        <f>+W318+W323+W324+W325+W326</f>
        <v>#DIV/0!</v>
      </c>
      <c r="X317" s="20">
        <f>+X318+X323+X324+X325+X326</f>
        <v>1.230529124893792</v>
      </c>
      <c r="Y317" s="6"/>
      <c r="Z317" s="20" t="e">
        <f>+Z318+Z323+Z324+Z325+Z326</f>
        <v>#DIV/0!</v>
      </c>
      <c r="AA317" s="20" t="e">
        <f>+AA318+AA323+AA324+AA325+AA326</f>
        <v>#DIV/0!</v>
      </c>
      <c r="AB317" s="20">
        <f>+AB318+AB323+AB324+AB325+AB326</f>
        <v>1.2363562663428054</v>
      </c>
      <c r="AC317" s="6"/>
      <c r="AD317" s="20" t="e">
        <f>+AD318+AD323+AD324+AD325+AD326</f>
        <v>#DIV/0!</v>
      </c>
      <c r="AE317" s="20" t="e">
        <f>+AE318+AE323+AE324+AE325+AE326</f>
        <v>#DIV/0!</v>
      </c>
      <c r="AF317" s="20" t="e">
        <f>+AF318+AF323+AF324+AF325+AF326</f>
        <v>#DIV/0!</v>
      </c>
      <c r="AG317" s="6"/>
      <c r="AH317" s="28">
        <f>+AH318+AH323+AH324+AH325+AH326</f>
        <v>0.96976391117801153</v>
      </c>
      <c r="AI317" s="28">
        <f>+AI318+AI323+AI324+AI325+AI326</f>
        <v>0.97172607872434069</v>
      </c>
      <c r="AJ317" s="28">
        <f>+AJ318+AJ323+AJ324+AJ325+AJ326</f>
        <v>0.96795186190573546</v>
      </c>
      <c r="AL317" s="202"/>
      <c r="AM317" s="9"/>
      <c r="AN317" s="37" t="s">
        <v>21</v>
      </c>
      <c r="AT317" s="20">
        <f>+AT318+AT323+AT324+AT325+AT326</f>
        <v>0.90793448970220414</v>
      </c>
      <c r="AU317" s="20">
        <f>+AU318+AU323+AU324+AU325+AU326</f>
        <v>0.49561246084830718</v>
      </c>
      <c r="AV317" s="20">
        <f>+AV318+AV323+AV324+AV325+AV326</f>
        <v>0.78847030360530079</v>
      </c>
      <c r="AW317" s="6"/>
      <c r="AX317" s="20">
        <f>+AX318+AX323+AX324+AX325+AX326</f>
        <v>0.9008028371754575</v>
      </c>
      <c r="AY317" s="20">
        <f>+AY318+AY323+AY324+AY325+AY326</f>
        <v>0.9945861811800536</v>
      </c>
      <c r="AZ317" s="20">
        <f>+AZ318+AZ323+AZ324+AZ325+AZ326</f>
        <v>0.98562048106756905</v>
      </c>
      <c r="BA317" s="6"/>
      <c r="BB317" s="20">
        <f>+BB318+BB323+BB324+BB325+BB326</f>
        <v>0.96309581890652385</v>
      </c>
      <c r="BC317" s="20">
        <f>+BC318+BC323+BC324+BC325+BC326</f>
        <v>0.88366218422019271</v>
      </c>
      <c r="BD317" s="20">
        <f>+BD318+BD323+BD324+BD325+BD326</f>
        <v>0.99042977470409932</v>
      </c>
      <c r="BJ317" s="20" t="e">
        <f>+BJ318+BJ323+BJ324+BJ325+BJ326</f>
        <v>#DIV/0!</v>
      </c>
      <c r="BK317" s="20" t="e">
        <f>+BK318+BK323+BK324+BK325+BK326</f>
        <v>#DIV/0!</v>
      </c>
      <c r="BL317" s="20" t="e">
        <f>+BL318+BL323+BL324+BL325+BL326</f>
        <v>#DIV/0!</v>
      </c>
      <c r="BM317" s="6"/>
      <c r="BN317" s="28">
        <f>+BN318+BN323+BN324+BN325+BN326</f>
        <v>0.92858476654484534</v>
      </c>
      <c r="BO317" s="28">
        <f>+BO318+BO323+BO324+BO325+BO326</f>
        <v>0.9069017797244876</v>
      </c>
      <c r="BP317" s="28">
        <f>+BP318+BP323+BP324+BP325+BP326</f>
        <v>0.9747085731488121</v>
      </c>
      <c r="BR317" s="28">
        <f>+BR318+BR323+BR324+BR325+BR326</f>
        <v>0.94368013786600335</v>
      </c>
      <c r="BS317" s="28">
        <f>+BS318+BS323+BS324+BS325+BS326</f>
        <v>0.9295316185416711</v>
      </c>
      <c r="BT317" s="28">
        <f>+BT318+BT323+BT324+BT325+BT326</f>
        <v>0.9722416584346516</v>
      </c>
    </row>
    <row r="318" spans="2:72" ht="16.5" customHeight="1" x14ac:dyDescent="0.25">
      <c r="B318" s="202"/>
      <c r="C318" s="9"/>
      <c r="D318" s="37" t="s">
        <v>22</v>
      </c>
      <c r="J318" s="20" t="e">
        <f>+J319+J320+J321+J322</f>
        <v>#DIV/0!</v>
      </c>
      <c r="K318" s="20" t="e">
        <f>+K319+K320+K321+K322</f>
        <v>#DIV/0!</v>
      </c>
      <c r="L318" s="20" t="e">
        <f>+L319+L320+L321+L322</f>
        <v>#DIV/0!</v>
      </c>
      <c r="M318" s="6"/>
      <c r="N318" s="20">
        <f>+N319+N320+N321+N322</f>
        <v>1.0875299489654242</v>
      </c>
      <c r="O318" s="20">
        <f>+O319+O320+O321+O322</f>
        <v>0.97169961286923445</v>
      </c>
      <c r="P318" s="20">
        <f>+P319+P320+P321+P322</f>
        <v>1.0088372333659203</v>
      </c>
      <c r="Q318" s="6"/>
      <c r="R318" s="20" t="e">
        <f>+R319+R320+R321+R322</f>
        <v>#DIV/0!</v>
      </c>
      <c r="S318" s="20" t="e">
        <f>+S319+S320+S321+S322</f>
        <v>#DIV/0!</v>
      </c>
      <c r="T318" s="20" t="e">
        <f>+T319+T320+T321+T322</f>
        <v>#DIV/0!</v>
      </c>
      <c r="U318" s="6"/>
      <c r="V318" s="20">
        <f>+V319+V320+V321+V322</f>
        <v>0.74636105758441673</v>
      </c>
      <c r="W318" s="20" t="e">
        <f>+W319+W320+W321+W322</f>
        <v>#DIV/0!</v>
      </c>
      <c r="X318" s="20">
        <f>+X319+X320+X321+X322</f>
        <v>0.86223498507382046</v>
      </c>
      <c r="Y318" s="6"/>
      <c r="Z318" s="20" t="e">
        <f>+Z319+Z320+Z321+Z322</f>
        <v>#DIV/0!</v>
      </c>
      <c r="AA318" s="20" t="e">
        <f>+AA319+AA320+AA321+AA322</f>
        <v>#DIV/0!</v>
      </c>
      <c r="AB318" s="20">
        <f>+AB319+AB320+AB321+AB322</f>
        <v>0.79840777267650764</v>
      </c>
      <c r="AC318" s="6"/>
      <c r="AD318" s="20" t="e">
        <f>+AD319+AD320+AD321+AD322</f>
        <v>#DIV/0!</v>
      </c>
      <c r="AE318" s="20" t="e">
        <f>+AE319+AE320+AE321+AE322</f>
        <v>#DIV/0!</v>
      </c>
      <c r="AF318" s="20" t="e">
        <f>+AF319+AF320+AF321+AF322</f>
        <v>#DIV/0!</v>
      </c>
      <c r="AG318" s="6"/>
      <c r="AH318" s="28">
        <f>+AH319+AH320+AH321+AH322</f>
        <v>1.0855130295383404</v>
      </c>
      <c r="AI318" s="28">
        <f>+AI319+AI320+AI321+AI322</f>
        <v>0.97248984913757996</v>
      </c>
      <c r="AJ318" s="28">
        <f>+AJ319+AJ320+AJ321+AJ322</f>
        <v>1.004305551696262</v>
      </c>
      <c r="AL318" s="202"/>
      <c r="AM318" s="9"/>
      <c r="AN318" s="37" t="s">
        <v>22</v>
      </c>
      <c r="AT318" s="20">
        <f>+AT319+AT320+AT321+AT322</f>
        <v>0.80893376309769527</v>
      </c>
      <c r="AU318" s="20">
        <f>+AU319+AU320+AU321+AU322</f>
        <v>0.49122750062812803</v>
      </c>
      <c r="AV318" s="20">
        <f>+AV319+AV320+AV321+AV322</f>
        <v>0.74579097727811439</v>
      </c>
      <c r="AW318" s="6"/>
      <c r="AX318" s="20">
        <f>+AX319+AX320+AX321+AX322</f>
        <v>0.84682838265409888</v>
      </c>
      <c r="AY318" s="20">
        <f>+AY319+AY320+AY321+AY322</f>
        <v>0.91681200256631579</v>
      </c>
      <c r="AZ318" s="20">
        <f>+AZ319+AZ320+AZ321+AZ322</f>
        <v>0.89128989773362999</v>
      </c>
      <c r="BA318" s="6"/>
      <c r="BB318" s="20">
        <f>+BB319+BB320+BB321+BB322</f>
        <v>0.8935462754811434</v>
      </c>
      <c r="BC318" s="20">
        <f>+BC319+BC320+BC321+BC322</f>
        <v>0.93917835358920643</v>
      </c>
      <c r="BD318" s="20">
        <f>+BD319+BD320+BD321+BD322</f>
        <v>0.94976756354634517</v>
      </c>
      <c r="BJ318" s="20" t="e">
        <f>+BJ319+BJ320+BJ321+BJ322</f>
        <v>#DIV/0!</v>
      </c>
      <c r="BK318" s="20" t="e">
        <f>+BK319+BK320+BK321+BK322</f>
        <v>#DIV/0!</v>
      </c>
      <c r="BL318" s="20" t="e">
        <f>+BL319+BL320+BL321+BL322</f>
        <v>#DIV/0!</v>
      </c>
      <c r="BM318" s="6"/>
      <c r="BN318" s="28">
        <f>+BN319+BN320+BN321+BN322</f>
        <v>0.86471820327787885</v>
      </c>
      <c r="BO318" s="28">
        <f>+BO319+BO320+BO321+BO322</f>
        <v>0.88265486326897369</v>
      </c>
      <c r="BP318" s="28">
        <f>+BP319+BP320+BP321+BP322</f>
        <v>0.90809491443764834</v>
      </c>
      <c r="BR318" s="28">
        <f>+BR319+BR320+BR321+BR322</f>
        <v>0.94565674432537539</v>
      </c>
      <c r="BS318" s="28">
        <f>+BS319+BS320+BS321+BS322</f>
        <v>0.91401580787949865</v>
      </c>
      <c r="BT318" s="28">
        <f>+BT319+BT320+BT321+BT322</f>
        <v>0.9432219796878103</v>
      </c>
    </row>
    <row r="319" spans="2:72" ht="16.5" customHeight="1" x14ac:dyDescent="0.25">
      <c r="B319" s="202"/>
      <c r="C319" s="9"/>
      <c r="D319" s="38" t="s">
        <v>23</v>
      </c>
      <c r="J319" s="20" t="e">
        <f>-SUM([1]Retail!$O$81,[1]Retail!$R$81:$V$81,[1]Retail!$Y$81,[1]Retail!$AB$81,[1]Retail!$AU$81,[1]Retail!$AX$81,[1]Retail!$BA$81,[1]Retail!$BD$81)/1000/J316</f>
        <v>#DIV/0!</v>
      </c>
      <c r="K319" s="42" t="e">
        <f>-SUM([1]Retail!$O$82,[1]Retail!$R$82:$V$82,[1]Retail!$Y$82,[1]Retail!$AB$82,[1]Retail!$AU$82,[1]Retail!$AX$82,[1]Retail!$BA$82,[1]Retail!$BD$82)/1000/K316</f>
        <v>#DIV/0!</v>
      </c>
      <c r="L319" s="42" t="e">
        <f>-SUM([1]Retail!$O$83,[1]Retail!$R$83:$V$83,[1]Retail!$Y$83,[1]Retail!$AB$83,[1]Retail!$AU$83,[1]Retail!$AX$83,[1]Retail!$BA$83,[1]Retail!$BD$83)/1000/L316</f>
        <v>#DIV/0!</v>
      </c>
      <c r="M319" s="6"/>
      <c r="N319" s="20">
        <f>-SUM([1]SME!$O$81,[1]SME!$R$81:$V$81,[1]SME!$Y$81,[1]SME!$AB$81,[1]SME!$AU$81,[1]SME!$AX$81,[1]SME!$BA$81,[1]SME!$BD$81)/1000/N316</f>
        <v>1.0371355193722205</v>
      </c>
      <c r="O319" s="20">
        <f>-SUM([1]SME!$O$82,[1]SME!$R$82:$V$82,[1]SME!$Y$82,[1]SME!$AB$82,[1]SME!$AU$82,[1]SME!$AX$82,[1]SME!$BA$82,[1]SME!$BD$82)/1000/O316</f>
        <v>0.90503494671994689</v>
      </c>
      <c r="P319" s="20">
        <f>-SUM([1]SME!$O$83,[1]SME!$R$83:$V$83,[1]SME!$Y$83,[1]SME!$AB$83,[1]SME!$AU$83,[1]SME!$AX$83,[1]SME!$BA$83,[1]SME!$BD$83)/1000/P316</f>
        <v>0.9349535893763472</v>
      </c>
      <c r="Q319" s="6"/>
      <c r="R319" s="20" t="e">
        <f>-SUM([1]MidCorp!$O$81,[1]MidCorp!$R$81:$V$81,[1]MidCorp!$Y$81,[1]MidCorp!$AB$81,[1]MidCorp!$AU$81,[1]MidCorp!$AX$81,[1]MidCorp!$BA$81,[1]MidCorp!$BD$81)/1000/R316</f>
        <v>#DIV/0!</v>
      </c>
      <c r="S319" s="20" t="e">
        <f>-SUM([1]MidCorp!$O$82,[1]MidCorp!$R$82:$V$82,[1]MidCorp!$Y$82,[1]MidCorp!$AB$82,[1]MidCorp!$AU$82,[1]MidCorp!$AX$82,[1]MidCorp!$BA$82,[1]MidCorp!$BD$82)/1000/S316</f>
        <v>#DIV/0!</v>
      </c>
      <c r="T319" s="20" t="e">
        <f>-SUM([1]MidCorp!$O$83,[1]MidCorp!$R$83:$V$83,[1]MidCorp!$Y$83,[1]MidCorp!$AB$83,[1]MidCorp!$AU$83,[1]MidCorp!$AX$83,[1]MidCorp!$BA$83,[1]MidCorp!$BD$83)/1000/T316</f>
        <v>#DIV/0!</v>
      </c>
      <c r="U319" s="6"/>
      <c r="V319" s="20">
        <f>-SUM([1]MGA!$O$81,[1]MGA!$R$81:$V$81,[1]MGA!$Y$81,[1]MGA!$AB$81,[1]MGA!$AU$81,[1]MGA!$AX$81,[1]MGA!$BA$81,[1]MGA!$BD$81)/1000/V316</f>
        <v>0.74636105758441673</v>
      </c>
      <c r="W319" s="20" t="e">
        <f>-SUM([1]MGA!$O$82,[1]MGA!$R$82:$V$82,[1]MGA!$Y$82,[1]MGA!$AB$82,[1]MGA!$AU$82,[1]MGA!$AX$82,[1]MGA!$BA$82,[1]MGA!$BD$82)/1000/W316</f>
        <v>#DIV/0!</v>
      </c>
      <c r="X319" s="20">
        <f>-SUM([1]MGA!$O$83,[1]MGA!$R$83:$V$83,[1]MGA!$Y$83,[1]MGA!$AB$83,[1]MGA!$AU$83,[1]MGA!$AX$83,[1]MGA!$BA$83,[1]MGA!$BD$83)/1000/X316</f>
        <v>0.74223498507382046</v>
      </c>
      <c r="Y319" s="6"/>
      <c r="Z319" s="20" t="e">
        <f>-SUM([1]Bancassurance!$O$81,[1]Bancassurance!$R$81:$V$81,[1]Bancassurance!$Y$81,[1]Bancassurance!$AB$81,[1]Bancassurance!$AU$81,[1]Bancassurance!$AX$81,[1]Bancassurance!$BA$81,[1]Bancassurance!$BD$81)/1000/Z316</f>
        <v>#DIV/0!</v>
      </c>
      <c r="AA319" s="20" t="e">
        <f>-SUM([1]Bancassurance!$O$82,[1]Bancassurance!$R$82:$V$82,[1]Bancassurance!$Y$82,[1]Bancassurance!$AB$82,[1]Bancassurance!$AU$82,[1]Bancassurance!$AX$82,[1]Bancassurance!$BA$82,[1]Bancassurance!$BD$82)/1000/AA316</f>
        <v>#DIV/0!</v>
      </c>
      <c r="AB319" s="20">
        <f>-SUM([1]Bancassurance!$O$83,[1]Bancassurance!$R$83:$V$83,[1]Bancassurance!$Y$83,[1]Bancassurance!$AB$83,[1]Bancassurance!$AU$83,[1]Bancassurance!$AX$83,[1]Bancassurance!$BA$83,[1]Bancassurance!$BD$83)/1000/AB316</f>
        <v>0.76154670693267845</v>
      </c>
      <c r="AC319" s="6"/>
      <c r="AD319" s="20" t="e">
        <f>-SUM([1]Specials!$O$81,[1]Specials!$R$81:$V$81,[1]Specials!$Y$81,[1]Specials!$AB$81,[1]Specials!$AU$81,[1]Specials!$AX$81,[1]Specials!$BA$81,[1]Specials!$BD$81)/1000/AD316</f>
        <v>#DIV/0!</v>
      </c>
      <c r="AE319" s="20" t="e">
        <f>-SUM([1]Specials!$O$82,[1]Specials!$R$82:$V$82,[1]Specials!$Y$82,[1]Specials!$AB$82,[1]Specials!$AU$82,[1]Specials!$AX$82,[1]Specials!$BA$82,[1]Specials!$BD$82)/1000/AE316</f>
        <v>#DIV/0!</v>
      </c>
      <c r="AF319" s="20" t="e">
        <f>-SUM([1]Specials!$O$83,[1]Specials!$R$83:$V$83,[1]Specials!$Y$83,[1]Specials!$AB$83,[1]Specials!$AU$83,[1]Specials!$AX$83,[1]Specials!$BA$83,[1]Specials!$BD$83)/1000/AF316</f>
        <v>#DIV/0!</v>
      </c>
      <c r="AG319" s="6"/>
      <c r="AH319" s="28">
        <f>-SUM('[1]Total P&amp;C'!$O$81,'[1]Total P&amp;C'!$R$81:$V$81,'[1]Total P&amp;C'!$Y$81,'[1]Total P&amp;C'!$AB$81,'[1]Total P&amp;C'!$AU$81,'[1]Total P&amp;C'!$AX$81,'[1]Total P&amp;C'!$BA$81,'[1]Total P&amp;C'!$BD$81)/1000/AH316</f>
        <v>1.0354171843061419</v>
      </c>
      <c r="AI319" s="28">
        <f>-SUM('[1]Total P&amp;C'!$O$82,'[1]Total P&amp;C'!$R$82:$V$82,'[1]Total P&amp;C'!$Y$82,'[1]Total P&amp;C'!$AB$82,'[1]Total P&amp;C'!$AU$82,'[1]Total P&amp;C'!$AX$82,'[1]Total P&amp;C'!$BA$82,'[1]Total P&amp;C'!$BD$82)/1000/AI316</f>
        <v>0.9058251829882924</v>
      </c>
      <c r="AJ319" s="28">
        <f>-SUM('[1]Total P&amp;C'!$O$83,'[1]Total P&amp;C'!$R$83:$V$83,'[1]Total P&amp;C'!$Y$83,'[1]Total P&amp;C'!$AB$83,'[1]Total P&amp;C'!$AU$83,'[1]Total P&amp;C'!$AX$83,'[1]Total P&amp;C'!$BA$83,'[1]Total P&amp;C'!$BD$83)/1000/AJ316</f>
        <v>0.92995974480945509</v>
      </c>
      <c r="AL319" s="202"/>
      <c r="AM319" s="9"/>
      <c r="AN319" s="38" t="s">
        <v>23</v>
      </c>
      <c r="AT319" s="20">
        <f>-SUM([2]Retail!$O$81,[2]Retail!$R$81:$V$81,[2]Retail!$Y$81,[2]Retail!$AB$81,[2]Retail!$AU$81,[2]Retail!$AX$81,[2]Retail!$BA$81,[2]Retail!$BD$81)/1000/AT316</f>
        <v>0.80269279638284052</v>
      </c>
      <c r="AU319" s="42">
        <f>-SUM([2]Retail!$O$82,[2]Retail!$R$82:$V$82,[2]Retail!$Y$82,[2]Retail!$AB$82,[2]Retail!$AU$82,[2]Retail!$AX$82,[2]Retail!$BA$82,[2]Retail!$BD$82)/1000/AU316</f>
        <v>0.48856528149924583</v>
      </c>
      <c r="AV319" s="42">
        <f>-SUM([2]Retail!$O$83,[2]Retail!$R$83:$V$83,[2]Retail!$Y$83,[2]Retail!$AB$83,[2]Retail!$AU$83,[2]Retail!$AX$83,[2]Retail!$BA$83,[2]Retail!$BD$83)/1000/AV316</f>
        <v>0.74018443238807008</v>
      </c>
      <c r="AW319" s="6"/>
      <c r="AX319" s="20">
        <f>-SUM([2]SME!$O$81,[2]SME!$R$81:$V$81,[2]SME!$Y$81,[2]SME!$AB$81,[2]SME!$AU$81,[2]SME!$AX$81,[2]SME!$BA$81,[2]SME!$BD$81)/1000/AX316</f>
        <v>0.77253141171444351</v>
      </c>
      <c r="AY319" s="20">
        <f>-SUM([2]SME!$O$82,[2]SME!$R$82:$V$82,[2]SME!$Y$82,[2]SME!$AB$82,[2]SME!$AU$82,[2]SME!$AX$82,[2]SME!$BA$82,[2]SME!$BD$82)/1000/AY316</f>
        <v>0.78673663232376934</v>
      </c>
      <c r="AZ319" s="20">
        <f>-SUM([2]SME!$O$83,[2]SME!$R$83:$V$83,[2]SME!$Y$83,[2]SME!$AB$83,[2]SME!$AU$83,[2]SME!$AX$83,[2]SME!$BA$83,[2]SME!$BD$83)/1000/AZ316</f>
        <v>0.79788147000019916</v>
      </c>
      <c r="BA319" s="6"/>
      <c r="BB319" s="20">
        <f>-SUM([2]MidCorp!$O$81,[2]MidCorp!$R$81:$V$81,[2]MidCorp!$Y$81,[2]MidCorp!$AB$81,[2]MidCorp!$AU$81,[2]MidCorp!$AX$81,[2]MidCorp!$BA$81,[2]MidCorp!$BD$81)/1000/BB316</f>
        <v>0.69501730603107181</v>
      </c>
      <c r="BC319" s="20">
        <f>-SUM([2]MidCorp!$O$82,[2]MidCorp!$R$82:$V$82,[2]MidCorp!$Y$82,[2]MidCorp!$AB$82,[2]MidCorp!$AU$82,[2]MidCorp!$AX$82,[2]MidCorp!$BA$82,[2]MidCorp!$BD$82)/1000/BC316</f>
        <v>0.86530204713133829</v>
      </c>
      <c r="BD319" s="20">
        <f>-SUM([2]MidCorp!$O$83,[2]MidCorp!$R$83:$V$83,[2]MidCorp!$Y$83,[2]MidCorp!$AB$83,[2]MidCorp!$AU$83,[2]MidCorp!$AX$83,[2]MidCorp!$BA$83,[2]MidCorp!$BD$83)/1000/BD316</f>
        <v>0.72266274373281358</v>
      </c>
      <c r="BJ319" s="20" t="e">
        <f>-SUM([2]Specials!$O$81,[2]Specials!$R$81:$V$81,[2]Specials!$Y$81,[2]Specials!$AB$81,[2]Specials!$AU$81,[2]Specials!$AX$81,[2]Specials!$BA$81,[2]Specials!$BD$81)/1000/BJ316</f>
        <v>#DIV/0!</v>
      </c>
      <c r="BK319" s="20" t="e">
        <f>-SUM([2]Specials!$O$82,[2]Specials!$R$82:$V$82,[2]Specials!$Y$82,[2]Specials!$AB$82,[2]Specials!$AU$82,[2]Specials!$AX$82,[2]Specials!$BA$82,[2]Specials!$BD$82)/1000/BK316</f>
        <v>#DIV/0!</v>
      </c>
      <c r="BL319" s="20" t="e">
        <f>-SUM([2]Specials!$O$83,[2]Specials!$R$83:$V$83,[2]Specials!$Y$83,[2]Specials!$AB$83,[2]Specials!$AU$83,[2]Specials!$AX$83,[2]Specials!$BA$83,[2]Specials!$BD$83)/1000/BL316</f>
        <v>#DIV/0!</v>
      </c>
      <c r="BM319" s="6"/>
      <c r="BN319" s="28">
        <f>-SUM('[2]Total P&amp;C'!$O$81,'[2]Total P&amp;C'!$R$81:$V$81,'[2]Total P&amp;C'!$Y$81,'[2]Total P&amp;C'!$AB$81,'[2]Total P&amp;C'!$AU$81,'[2]Total P&amp;C'!$AX$81,'[2]Total P&amp;C'!$BA$81,'[2]Total P&amp;C'!$BD$81)/1000/BN316</f>
        <v>0.74062022274236672</v>
      </c>
      <c r="BO319" s="28">
        <f>-SUM('[2]Total P&amp;C'!$O$82,'[2]Total P&amp;C'!$R$82:$V$82,'[2]Total P&amp;C'!$Y$82,'[2]Total P&amp;C'!$AB$82,'[2]Total P&amp;C'!$AU$82,'[2]Total P&amp;C'!$AX$82,'[2]Total P&amp;C'!$BA$82,'[2]Total P&amp;C'!$BD$82)/1000/BO316</f>
        <v>0.78465176895490807</v>
      </c>
      <c r="BP319" s="28">
        <f>-SUM('[2]Total P&amp;C'!$O$83,'[2]Total P&amp;C'!$R$83:$V$83,'[2]Total P&amp;C'!$Y$83,'[2]Total P&amp;C'!$AB$83,'[2]Total P&amp;C'!$AU$83,'[2]Total P&amp;C'!$AX$83,'[2]Total P&amp;C'!$BA$83,'[2]Total P&amp;C'!$BD$83)/1000/BP316</f>
        <v>0.76001045127938682</v>
      </c>
      <c r="BR319" s="28">
        <f>-SUM('[3]Total P&amp;C'!$O$81,'[3]Total P&amp;C'!$R$81:$V$81,'[3]Total P&amp;C'!$Y$81,'[3]Total P&amp;C'!$AB$81,'[3]Total P&amp;C'!$AU$81,'[3]Total P&amp;C'!$AX$81,'[3]Total P&amp;C'!$BA$81,'[3]Total P&amp;C'!$BD$81)/1000/BR316</f>
        <v>0.84868632364846242</v>
      </c>
      <c r="BS319" s="28">
        <f>-SUM('[3]Total P&amp;C'!$O$82,'[3]Total P&amp;C'!$R$82:$V$82,'[3]Total P&amp;C'!$Y$82,'[3]Total P&amp;C'!$AB$82,'[3]Total P&amp;C'!$AU$82,'[3]Total P&amp;C'!$AX$82,'[3]Total P&amp;C'!$BA$82,'[3]Total P&amp;C'!$BD$82)/1000/BS316</f>
        <v>0.82695280222191681</v>
      </c>
      <c r="BT319" s="28">
        <f>-SUM('[3]Total P&amp;C'!$O$83,'[3]Total P&amp;C'!$R$83:$V$83,'[3]Total P&amp;C'!$Y$83,'[3]Total P&amp;C'!$AB$83,'[3]Total P&amp;C'!$AU$83,'[3]Total P&amp;C'!$AX$83,'[3]Total P&amp;C'!$BA$83,'[3]Total P&amp;C'!$BD$83)/1000/BT316</f>
        <v>0.82205993035104885</v>
      </c>
    </row>
    <row r="320" spans="2:72" ht="16.5" customHeight="1" x14ac:dyDescent="0.25">
      <c r="B320" s="202"/>
      <c r="C320" s="9"/>
      <c r="D320" s="38" t="s">
        <v>24</v>
      </c>
      <c r="J320" s="20" t="e">
        <f>-([1]Retail!$P$81+[1]Retail!$W$81+[1]Retail!$AV$81+[1]Retail!$AY$81)/1000/J316</f>
        <v>#DIV/0!</v>
      </c>
      <c r="K320" s="42" t="e">
        <f>-([1]Retail!$P$82+[1]Retail!$W$82+[1]Retail!$AV$82+[1]Retail!$AY$82)/1000/K316</f>
        <v>#DIV/0!</v>
      </c>
      <c r="L320" s="42" t="e">
        <f>-([1]Retail!$P$83+[1]Retail!$W$83+[1]Retail!$AV$83+[1]Retail!$AY$83)/1000/L316</f>
        <v>#DIV/0!</v>
      </c>
      <c r="M320" s="7"/>
      <c r="N320" s="20">
        <f>-([1]SME!$P$81+[1]SME!$W$81+[1]SME!$AV$81+[1]SME!$AY$81)/1000/N316</f>
        <v>0</v>
      </c>
      <c r="O320" s="20">
        <f>-([1]SME!$P$82+[1]SME!$W$82+[1]SME!$AV$82+[1]SME!$AY$82)/1000/O316</f>
        <v>0</v>
      </c>
      <c r="P320" s="20">
        <f>-([1]SME!$P$83+[1]SME!$W$83+[1]SME!$AV$83+[1]SME!$AY$83)/1000/P316</f>
        <v>0</v>
      </c>
      <c r="Q320" s="7"/>
      <c r="R320" s="20" t="e">
        <f>-([1]MidCorp!$P$81+[1]MidCorp!$W$81+[1]MidCorp!$AV$81+[1]MidCorp!$AY$81)/1000/R316</f>
        <v>#DIV/0!</v>
      </c>
      <c r="S320" s="20" t="e">
        <f>-([1]MidCorp!$P$82+[1]MidCorp!$W$82+[1]MidCorp!$AV$82+[1]MidCorp!$AY$82)/1000/S316</f>
        <v>#DIV/0!</v>
      </c>
      <c r="T320" s="20" t="e">
        <f>-([1]MidCorp!$P$83+[1]MidCorp!$W$83+[1]MidCorp!$AV$83+[1]MidCorp!$AY$83)/1000/T316</f>
        <v>#DIV/0!</v>
      </c>
      <c r="U320" s="7"/>
      <c r="V320" s="20">
        <f>-([1]MGA!$P$81+[1]MGA!$W$81+[1]MGA!$AV$81+[1]MGA!$AY$81)/1000/V316</f>
        <v>0</v>
      </c>
      <c r="W320" s="20" t="e">
        <f>-([1]MGA!$P$82+[1]MGA!$W$82+[1]MGA!$AV$82+[1]MGA!$AY$82)/1000/W316</f>
        <v>#DIV/0!</v>
      </c>
      <c r="X320" s="20">
        <f>-([1]MGA!$P$83+[1]MGA!$W$83+[1]MGA!$AV$83+[1]MGA!$AY$83)/1000/X316</f>
        <v>0</v>
      </c>
      <c r="Y320" s="7"/>
      <c r="Z320" s="20" t="e">
        <f>-([1]Bancassurance!$P$81+[1]Bancassurance!$W$81+[1]Bancassurance!$AV$81+[1]Bancassurance!$AY$81)/1000/Z316</f>
        <v>#DIV/0!</v>
      </c>
      <c r="AA320" s="20" t="e">
        <f>-([1]Bancassurance!$P$82+[1]Bancassurance!$W$82+[1]Bancassurance!$AV$82+[1]Bancassurance!$AY$82)/1000/AA316</f>
        <v>#DIV/0!</v>
      </c>
      <c r="AB320" s="20">
        <f>-([1]Bancassurance!$P$83+[1]Bancassurance!$W$83+[1]Bancassurance!$AV$83+[1]Bancassurance!$AY$83)/1000/AB316</f>
        <v>0</v>
      </c>
      <c r="AC320" s="7"/>
      <c r="AD320" s="20" t="e">
        <f>-([1]Specials!$P$81+[1]Specials!$W$81+[1]Specials!$AV$81+[1]Specials!$AY$81)/1000/AD316</f>
        <v>#DIV/0!</v>
      </c>
      <c r="AE320" s="20" t="e">
        <f>-([1]Specials!$P$82+[1]Specials!$W$82+[1]Specials!$AV$82+[1]Specials!$AY$82)/1000/AE316</f>
        <v>#DIV/0!</v>
      </c>
      <c r="AF320" s="20" t="e">
        <f>-([1]Specials!$P$83+[1]Specials!$W$83+[1]Specials!$AV$83+[1]Specials!$AY$83)/1000/AF316</f>
        <v>#DIV/0!</v>
      </c>
      <c r="AG320" s="7"/>
      <c r="AH320" s="28">
        <f>-('[1]Total P&amp;C'!$P$81+'[1]Total P&amp;C'!$W$81+'[1]Total P&amp;C'!$AV$81+'[1]Total P&amp;C'!$AY$81)/1000/AH316</f>
        <v>0</v>
      </c>
      <c r="AI320" s="28">
        <f>-('[1]Total P&amp;C'!$P$82+'[1]Total P&amp;C'!$W$82+'[1]Total P&amp;C'!$AV$82+'[1]Total P&amp;C'!$AY$82)/1000/AI316</f>
        <v>0</v>
      </c>
      <c r="AJ320" s="28">
        <f>-('[1]Total P&amp;C'!$P$83+'[1]Total P&amp;C'!$W$83+'[1]Total P&amp;C'!$AV$83+'[1]Total P&amp;C'!$AY$83)/1000/AJ316</f>
        <v>0</v>
      </c>
      <c r="AL320" s="202"/>
      <c r="AM320" s="9"/>
      <c r="AN320" s="38" t="s">
        <v>24</v>
      </c>
      <c r="AT320" s="20">
        <f>-([2]Retail!$P$81+[2]Retail!$W$81+[2]Retail!$AV$81+[2]Retail!$AY$81)/1000/AT316</f>
        <v>0</v>
      </c>
      <c r="AU320" s="42">
        <f>-([2]Retail!$P$82+[2]Retail!$W$82+[2]Retail!$AV$82+[2]Retail!$AY$82)/1000/AU316</f>
        <v>0</v>
      </c>
      <c r="AV320" s="42">
        <f>-([2]Retail!$P$83+[2]Retail!$W$83+[2]Retail!$AV$83+[2]Retail!$AY$83)/1000/AV316</f>
        <v>0</v>
      </c>
      <c r="AW320" s="7"/>
      <c r="AX320" s="20">
        <f>-([2]SME!$P$81+[2]SME!$W$81+[2]SME!$AV$81+[2]SME!$AY$81)/1000/AX316</f>
        <v>0</v>
      </c>
      <c r="AY320" s="20">
        <f>-([2]SME!$P$82+[2]SME!$W$82+[2]SME!$AV$82+[2]SME!$AY$82)/1000/AY316</f>
        <v>0</v>
      </c>
      <c r="AZ320" s="20">
        <f>-([2]SME!$P$83+[2]SME!$W$83+[2]SME!$AV$83+[2]SME!$AY$83)/1000/AZ316</f>
        <v>0</v>
      </c>
      <c r="BA320" s="7"/>
      <c r="BB320" s="20">
        <f>-([2]MidCorp!$P$81+[2]MidCorp!$W$81+[2]MidCorp!$AV$81+[2]MidCorp!$AY$81)/1000/BB316</f>
        <v>0</v>
      </c>
      <c r="BC320" s="20">
        <f>-([2]MidCorp!$P$82+[2]MidCorp!$W$82+[2]MidCorp!$AV$82+[2]MidCorp!$AY$82)/1000/BC316</f>
        <v>0</v>
      </c>
      <c r="BD320" s="20">
        <f>-([2]MidCorp!$P$83+[2]MidCorp!$W$83+[2]MidCorp!$AV$83+[2]MidCorp!$AY$83)/1000/BD316</f>
        <v>0</v>
      </c>
      <c r="BJ320" s="20" t="e">
        <f>-([2]Specials!$P$81+[2]Specials!$W$81+[2]Specials!$AV$81+[2]Specials!$AY$81)/1000/BJ316</f>
        <v>#DIV/0!</v>
      </c>
      <c r="BK320" s="20" t="e">
        <f>-([2]Specials!$P$82+[2]Specials!$W$82+[2]Specials!$AV$82+[2]Specials!$AY$82)/1000/BK316</f>
        <v>#DIV/0!</v>
      </c>
      <c r="BL320" s="20" t="e">
        <f>-([2]Specials!$P$83+[2]Specials!$W$83+[2]Specials!$AV$83+[2]Specials!$AY$83)/1000/BL316</f>
        <v>#DIV/0!</v>
      </c>
      <c r="BM320" s="7"/>
      <c r="BN320" s="28">
        <f>-('[2]Total P&amp;C'!$P$81+'[2]Total P&amp;C'!$W$81+'[2]Total P&amp;C'!$AV$81+'[2]Total P&amp;C'!$AY$81)/1000/BN316</f>
        <v>0</v>
      </c>
      <c r="BO320" s="28">
        <f>-('[2]Total P&amp;C'!$P$82+'[2]Total P&amp;C'!$W$82+'[2]Total P&amp;C'!$AV$82+'[2]Total P&amp;C'!$AY$82)/1000/BO316</f>
        <v>0</v>
      </c>
      <c r="BP320" s="28">
        <f>-('[2]Total P&amp;C'!$P$83+'[2]Total P&amp;C'!$W$83+'[2]Total P&amp;C'!$AV$83+'[2]Total P&amp;C'!$AY$83)/1000/BP316</f>
        <v>0</v>
      </c>
      <c r="BR320" s="28">
        <f>-('[3]Total P&amp;C'!$P$81+'[3]Total P&amp;C'!$W$81+'[3]Total P&amp;C'!$AV$81+'[3]Total P&amp;C'!$AY$81)/1000/BR316</f>
        <v>0</v>
      </c>
      <c r="BS320" s="28">
        <f>-('[3]Total P&amp;C'!$P$82+'[3]Total P&amp;C'!$W$82+'[3]Total P&amp;C'!$AV$82+'[3]Total P&amp;C'!$AY$82)/1000/BS316</f>
        <v>0</v>
      </c>
      <c r="BT320" s="28">
        <f>-('[3]Total P&amp;C'!$P$83+'[3]Total P&amp;C'!$W$83+'[3]Total P&amp;C'!$AV$83+'[3]Total P&amp;C'!$AY$83)/1000/BT316</f>
        <v>0</v>
      </c>
    </row>
    <row r="321" spans="2:72" ht="16.5" customHeight="1" x14ac:dyDescent="0.25">
      <c r="B321" s="202"/>
      <c r="C321" s="9"/>
      <c r="D321" s="38" t="s">
        <v>25</v>
      </c>
      <c r="J321" s="20" t="e">
        <f>-([1]Retail!$Q$81+[1]Retail!$X$81+[1]Retail!$AW$81+[1]Retail!$AZ$81)/1000/J316</f>
        <v>#DIV/0!</v>
      </c>
      <c r="K321" s="42" t="e">
        <f>-([1]Retail!$Q$82+[1]Retail!$X$82+[1]Retail!$AW$82+[1]Retail!$AZ$82)/1000/K316</f>
        <v>#DIV/0!</v>
      </c>
      <c r="L321" s="42" t="e">
        <f>-([1]Retail!$Q$83+[1]Retail!$X$83+[1]Retail!$AW$83+[1]Retail!$AZ$83)/1000/L316</f>
        <v>#DIV/0!</v>
      </c>
      <c r="M321" s="7"/>
      <c r="N321" s="20">
        <f>-([1]SME!$Q$81+[1]SME!$X$81+[1]SME!$AW$81+[1]SME!$AZ$81)/1000/N316</f>
        <v>0</v>
      </c>
      <c r="O321" s="20">
        <f>-([1]SME!$Q$82+[1]SME!$X$82+[1]SME!$AW$82+[1]SME!$AZ$82)/1000/O316</f>
        <v>0</v>
      </c>
      <c r="P321" s="20">
        <f>-([1]SME!$Q$83+[1]SME!$X$83+[1]SME!$AW$83+[1]SME!$AZ$83)/1000/P316</f>
        <v>7.4990626171728535E-3</v>
      </c>
      <c r="Q321" s="7"/>
      <c r="R321" s="20" t="e">
        <f>-([1]MidCorp!$Q$81+[1]MidCorp!$X$81+[1]MidCorp!$AW$81+[1]MidCorp!$AZ$81)/1000/R316</f>
        <v>#DIV/0!</v>
      </c>
      <c r="S321" s="20" t="e">
        <f>-([1]MidCorp!$Q$82+[1]MidCorp!$X$82+[1]MidCorp!$AW$82+[1]MidCorp!$AZ$82)/1000/S316</f>
        <v>#DIV/0!</v>
      </c>
      <c r="T321" s="20" t="e">
        <f>-([1]MidCorp!$Q$83+[1]MidCorp!$X$83+[1]MidCorp!$AW$83+[1]MidCorp!$AZ$83)/1000/T316</f>
        <v>#DIV/0!</v>
      </c>
      <c r="U321" s="7"/>
      <c r="V321" s="20">
        <f>-([1]MGA!$Q$81+[1]MGA!$X$81+[1]MGA!$AW$81+[1]MGA!$AZ$81)/1000/V316</f>
        <v>0</v>
      </c>
      <c r="W321" s="20" t="e">
        <f>-([1]MGA!$Q$82+[1]MGA!$X$82+[1]MGA!$AW$82+[1]MGA!$AZ$82)/1000/W316</f>
        <v>#DIV/0!</v>
      </c>
      <c r="X321" s="20">
        <f>-([1]MGA!$Q$83+[1]MGA!$X$83+[1]MGA!$AW$83+[1]MGA!$AZ$83)/1000/X316</f>
        <v>0.12</v>
      </c>
      <c r="Y321" s="7"/>
      <c r="Z321" s="20" t="e">
        <f>-([1]Bancassurance!$Q$81+[1]Bancassurance!$X$81+[1]Bancassurance!$AW$81+[1]Bancassurance!$AZ$81)/1000/Z316</f>
        <v>#DIV/0!</v>
      </c>
      <c r="AA321" s="20" t="e">
        <f>-([1]Bancassurance!$Q$82+[1]Bancassurance!$X$82+[1]Bancassurance!$AW$82+[1]Bancassurance!$AZ$82)/1000/AA316</f>
        <v>#DIV/0!</v>
      </c>
      <c r="AB321" s="20">
        <f>-([1]Bancassurance!$Q$83+[1]Bancassurance!$X$83+[1]Bancassurance!$AW$83+[1]Bancassurance!$AZ$83)/1000/AB316</f>
        <v>5.9848107940823642E-3</v>
      </c>
      <c r="AC321" s="7"/>
      <c r="AD321" s="20" t="e">
        <f>-([1]Specials!$Q$81+[1]Specials!$X$81+[1]Specials!$AW$81+[1]Specials!$AZ$81)/1000/AD316</f>
        <v>#DIV/0!</v>
      </c>
      <c r="AE321" s="20" t="e">
        <f>-([1]Specials!$Q$82+[1]Specials!$X$82+[1]Specials!$AW$82+[1]Specials!$AZ$82)/1000/AE316</f>
        <v>#DIV/0!</v>
      </c>
      <c r="AF321" s="20" t="e">
        <f>-([1]Specials!$Q$83+[1]Specials!$X$83+[1]Specials!$AW$83+[1]Specials!$AZ$83)/1000/AF316</f>
        <v>#DIV/0!</v>
      </c>
      <c r="AG321" s="7"/>
      <c r="AH321" s="28">
        <f>-('[1]Total P&amp;C'!$Q$81+'[1]Total P&amp;C'!$X$81+'[1]Total P&amp;C'!$AW$81+'[1]Total P&amp;C'!$AZ$81)/1000/AH316</f>
        <v>0</v>
      </c>
      <c r="AI321" s="28">
        <f>-('[1]Total P&amp;C'!$Q$82+'[1]Total P&amp;C'!$X$82+'[1]Total P&amp;C'!$AW$82+'[1]Total P&amp;C'!$AZ$82)/1000/AI316</f>
        <v>0</v>
      </c>
      <c r="AJ321" s="28">
        <f>-('[1]Total P&amp;C'!$Q$83+'[1]Total P&amp;C'!$X$83+'[1]Total P&amp;C'!$AW$83+'[1]Total P&amp;C'!$AZ$83)/1000/AJ316</f>
        <v>9.45533273915195E-3</v>
      </c>
      <c r="AL321" s="202"/>
      <c r="AM321" s="9"/>
      <c r="AN321" s="38" t="s">
        <v>25</v>
      </c>
      <c r="AT321" s="20">
        <f>-([2]Retail!$Q$81+[2]Retail!$X$81+[2]Retail!$AW$81+[2]Retail!$AZ$81)/1000/AT316</f>
        <v>0</v>
      </c>
      <c r="AU321" s="42">
        <f>-([2]Retail!$Q$82+[2]Retail!$X$82+[2]Retail!$AW$82+[2]Retail!$AZ$82)/1000/AU316</f>
        <v>0</v>
      </c>
      <c r="AV321" s="42">
        <f>-([2]Retail!$Q$83+[2]Retail!$X$83+[2]Retail!$AW$83+[2]Retail!$AZ$83)/1000/AV316</f>
        <v>0</v>
      </c>
      <c r="AW321" s="7"/>
      <c r="AX321" s="20">
        <f>-([2]SME!$Q$81+[2]SME!$X$81+[2]SME!$AW$81+[2]SME!$AZ$81)/1000/AX316</f>
        <v>0</v>
      </c>
      <c r="AY321" s="20">
        <f>-([2]SME!$Q$82+[2]SME!$X$82+[2]SME!$AW$82+[2]SME!$AZ$82)/1000/AY316</f>
        <v>2.8803425717277707E-2</v>
      </c>
      <c r="AZ321" s="20">
        <f>-([2]SME!$Q$83+[2]SME!$X$83+[2]SME!$AW$83+[2]SME!$AZ$83)/1000/AZ316</f>
        <v>0</v>
      </c>
      <c r="BA321" s="7"/>
      <c r="BB321" s="20">
        <f>-([2]MidCorp!$Q$81+[2]MidCorp!$X$81+[2]MidCorp!$AW$81+[2]MidCorp!$AZ$81)/1000/BB316</f>
        <v>0.15745164436884579</v>
      </c>
      <c r="BC321" s="20">
        <f>-([2]MidCorp!$Q$82+[2]MidCorp!$X$82+[2]MidCorp!$AW$82+[2]MidCorp!$AZ$82)/1000/BC316</f>
        <v>2.8060352674204238E-2</v>
      </c>
      <c r="BD321" s="20">
        <f>-([2]MidCorp!$Q$83+[2]MidCorp!$X$83+[2]MidCorp!$AW$83+[2]MidCorp!$AZ$83)/1000/BD316</f>
        <v>0.18272880151267773</v>
      </c>
      <c r="BJ321" s="20" t="e">
        <f>-([2]Specials!$Q$81+[2]Specials!$X$81+[2]Specials!$AW$81+[2]Specials!$AZ$81)/1000/BJ316</f>
        <v>#DIV/0!</v>
      </c>
      <c r="BK321" s="20" t="e">
        <f>-([2]Specials!$Q$82+[2]Specials!$X$82+[2]Specials!$AW$82+[2]Specials!$AZ$82)/1000/BK316</f>
        <v>#DIV/0!</v>
      </c>
      <c r="BL321" s="20" t="e">
        <f>-([2]Specials!$Q$83+[2]Specials!$X$83+[2]Specials!$AW$83+[2]Specials!$AZ$83)/1000/BL316</f>
        <v>#DIV/0!</v>
      </c>
      <c r="BM321" s="7"/>
      <c r="BN321" s="28">
        <f>-('[2]Total P&amp;C'!$Q$81+'[2]Total P&amp;C'!$X$81+'[2]Total P&amp;C'!$AW$81+'[2]Total P&amp;C'!$AZ$81)/1000/BN316</f>
        <v>6.8993599999745386E-2</v>
      </c>
      <c r="BO321" s="28">
        <f>-('[2]Total P&amp;C'!$Q$82+'[2]Total P&amp;C'!$X$82+'[2]Total P&amp;C'!$AW$82+'[2]Total P&amp;C'!$AZ$82)/1000/BO316</f>
        <v>2.5707791292334317E-2</v>
      </c>
      <c r="BP321" s="28">
        <f>-('[2]Total P&amp;C'!$Q$83+'[2]Total P&amp;C'!$X$83+'[2]Total P&amp;C'!$AW$83+'[2]Total P&amp;C'!$AZ$83)/1000/BP316</f>
        <v>8.2694893265895505E-2</v>
      </c>
      <c r="BR321" s="28">
        <f>-('[3]Total P&amp;C'!$Q$81+'[3]Total P&amp;C'!$X$81+'[3]Total P&amp;C'!$AW$81+'[3]Total P&amp;C'!$AZ$81)/1000/BR316</f>
        <v>4.370205934105946E-2</v>
      </c>
      <c r="BS321" s="28">
        <f>-('[3]Total P&amp;C'!$Q$82+'[3]Total P&amp;C'!$X$82+'[3]Total P&amp;C'!$AW$82+'[3]Total P&amp;C'!$AZ$82)/1000/BS316</f>
        <v>1.6733329828545355E-2</v>
      </c>
      <c r="BT321" s="28">
        <f>-('[3]Total P&amp;C'!$Q$83+'[3]Total P&amp;C'!$X$83+'[3]Total P&amp;C'!$AW$83+'[3]Total P&amp;C'!$AZ$83)/1000/BT316</f>
        <v>5.5954702214040079E-2</v>
      </c>
    </row>
    <row r="322" spans="2:72" ht="16.5" customHeight="1" x14ac:dyDescent="0.25">
      <c r="B322" s="202"/>
      <c r="C322" s="9"/>
      <c r="D322" s="38" t="s">
        <v>26</v>
      </c>
      <c r="J322" s="20" t="e">
        <f>-[1]Retail!$AT$81/1000/J316</f>
        <v>#DIV/0!</v>
      </c>
      <c r="K322" s="42" t="e">
        <f>-[1]Retail!$AT$82/1000/K316</f>
        <v>#DIV/0!</v>
      </c>
      <c r="L322" s="42" t="e">
        <f>-[1]Retail!$AT$83/1000/L316</f>
        <v>#DIV/0!</v>
      </c>
      <c r="M322" s="7"/>
      <c r="N322" s="20">
        <f>-[1]SME!$AT$81/1000/N316</f>
        <v>5.0394429593203768E-2</v>
      </c>
      <c r="O322" s="20">
        <f>-[1]SME!$AT$82/1000/O316</f>
        <v>6.6664666149287524E-2</v>
      </c>
      <c r="P322" s="20">
        <f>-[1]SME!$AT$83/1000/P316</f>
        <v>6.6384581372400428E-2</v>
      </c>
      <c r="Q322" s="7"/>
      <c r="R322" s="20" t="e">
        <f>-[1]MidCorp!$AT$81/1000/R316</f>
        <v>#DIV/0!</v>
      </c>
      <c r="S322" s="20" t="e">
        <f>-[1]MidCorp!$AT$82/1000/S316</f>
        <v>#DIV/0!</v>
      </c>
      <c r="T322" s="20" t="e">
        <f>-[1]MidCorp!$AT$83/1000/T316</f>
        <v>#DIV/0!</v>
      </c>
      <c r="U322" s="7"/>
      <c r="V322" s="20">
        <f>-[1]MGA!$AT$81/1000/V316</f>
        <v>0</v>
      </c>
      <c r="W322" s="20" t="e">
        <f>-[1]MGA!$AT$82/1000/W316</f>
        <v>#DIV/0!</v>
      </c>
      <c r="X322" s="20">
        <f>-[1]MGA!$AT$83/1000/X316</f>
        <v>0</v>
      </c>
      <c r="Y322" s="7"/>
      <c r="Z322" s="20" t="e">
        <f>-[1]Bancassurance!$AT$81/1000/Z316</f>
        <v>#DIV/0!</v>
      </c>
      <c r="AA322" s="20" t="e">
        <f>-[1]Bancassurance!$AT$82/1000/AA316</f>
        <v>#DIV/0!</v>
      </c>
      <c r="AB322" s="20">
        <f>-[1]Bancassurance!$AT$83/1000/AB316</f>
        <v>3.0876254949746745E-2</v>
      </c>
      <c r="AC322" s="7"/>
      <c r="AD322" s="20" t="e">
        <f>-[1]Specials!$AT$81/1000/AD316</f>
        <v>#DIV/0!</v>
      </c>
      <c r="AE322" s="20" t="e">
        <f>-[1]Specials!$AT$82/1000/AE316</f>
        <v>#DIV/0!</v>
      </c>
      <c r="AF322" s="20" t="e">
        <f>-[1]Specials!$AT$83/1000/AF316</f>
        <v>#DIV/0!</v>
      </c>
      <c r="AG322" s="7"/>
      <c r="AH322" s="28">
        <f>-'[1]Total P&amp;C'!$AT$81/1000/AH316</f>
        <v>5.0095845232198455E-2</v>
      </c>
      <c r="AI322" s="28">
        <f>-'[1]Total P&amp;C'!$AT$82/1000/AI316</f>
        <v>6.6664666149287524E-2</v>
      </c>
      <c r="AJ322" s="28">
        <f>-'[1]Total P&amp;C'!$AT$83/1000/AJ316</f>
        <v>6.4890474147655031E-2</v>
      </c>
      <c r="AL322" s="202"/>
      <c r="AM322" s="9"/>
      <c r="AN322" s="38" t="s">
        <v>26</v>
      </c>
      <c r="AT322" s="20">
        <f>-[2]Retail!$AT$81/1000/AT316</f>
        <v>6.2409667148547784E-3</v>
      </c>
      <c r="AU322" s="42">
        <f>-[2]Retail!$AT$82/1000/AU316</f>
        <v>2.6622191288821818E-3</v>
      </c>
      <c r="AV322" s="42">
        <f>-[2]Retail!$AT$83/1000/AV316</f>
        <v>5.6065448900443461E-3</v>
      </c>
      <c r="AW322" s="7"/>
      <c r="AX322" s="20">
        <f>-[2]SME!$AT$81/1000/AX316</f>
        <v>7.4296970939655399E-2</v>
      </c>
      <c r="AY322" s="20">
        <f>-[2]SME!$AT$82/1000/AY316</f>
        <v>0.10127194452526875</v>
      </c>
      <c r="AZ322" s="20">
        <f>-[2]SME!$AT$83/1000/AZ316</f>
        <v>9.3408427733430791E-2</v>
      </c>
      <c r="BA322" s="7"/>
      <c r="BB322" s="20">
        <f>-[2]MidCorp!$AT$81/1000/BB316</f>
        <v>4.1077325081225698E-2</v>
      </c>
      <c r="BC322" s="20">
        <f>-[2]MidCorp!$AT$82/1000/BC316</f>
        <v>4.5815953783663821E-2</v>
      </c>
      <c r="BD322" s="20">
        <f>-[2]MidCorp!$AT$83/1000/BD316</f>
        <v>4.4376018300853887E-2</v>
      </c>
      <c r="BJ322" s="20" t="e">
        <f>-[2]Specials!$AT$81/1000/BJ316</f>
        <v>#DIV/0!</v>
      </c>
      <c r="BK322" s="20" t="e">
        <f>-[2]Specials!$AT$82/1000/BK316</f>
        <v>#DIV/0!</v>
      </c>
      <c r="BL322" s="20" t="e">
        <f>-[2]Specials!$AT$83/1000/BL316</f>
        <v>#DIV/0!</v>
      </c>
      <c r="BM322" s="7"/>
      <c r="BN322" s="28">
        <f>-'[2]Total P&amp;C'!$AT$81/1000/BN316</f>
        <v>5.5104380535766738E-2</v>
      </c>
      <c r="BO322" s="28">
        <f>-'[2]Total P&amp;C'!$AT$82/1000/BO316</f>
        <v>7.2295303021731275E-2</v>
      </c>
      <c r="BP322" s="28">
        <f>-'[2]Total P&amp;C'!$AT$83/1000/BP316</f>
        <v>6.5389569892366037E-2</v>
      </c>
      <c r="BR322" s="28">
        <f>-'[3]Total P&amp;C'!$AT$81/1000/BR316</f>
        <v>5.3268361335853581E-2</v>
      </c>
      <c r="BS322" s="28">
        <f>-'[3]Total P&amp;C'!$AT$82/1000/BS316</f>
        <v>7.0329675829036445E-2</v>
      </c>
      <c r="BT322" s="28">
        <f>-'[3]Total P&amp;C'!$AT$83/1000/BT316</f>
        <v>6.5207347122721401E-2</v>
      </c>
    </row>
    <row r="323" spans="2:72" ht="16.5" customHeight="1" x14ac:dyDescent="0.25">
      <c r="B323" s="202"/>
      <c r="C323" s="9"/>
      <c r="D323" s="37" t="s">
        <v>27</v>
      </c>
      <c r="J323" s="20" t="e">
        <f>-([1]Retail!$Z$81+[1]Retail!$AA$81+[1]Retail!$BB$81+[1]Retail!$BC$81)/1000/J316</f>
        <v>#DIV/0!</v>
      </c>
      <c r="K323" s="20" t="e">
        <f>-([1]Retail!$Z$82+[1]Retail!$AA$82+[1]Retail!$BB$82+[1]Retail!$BC$82)/1000/K316</f>
        <v>#DIV/0!</v>
      </c>
      <c r="L323" s="20" t="e">
        <f>-([1]Retail!$Z$83+[1]Retail!$AA$83+[1]Retail!$BB$83+[1]Retail!$BC$83)/1000/L316</f>
        <v>#DIV/0!</v>
      </c>
      <c r="M323" s="7"/>
      <c r="N323" s="20">
        <f>-([1]SME!$Z$81+[1]SME!$AA$81+[1]SME!$BB$81+[1]SME!$BC$81)/1000/N316</f>
        <v>-0.23423563945912756</v>
      </c>
      <c r="O323" s="20">
        <f>-([1]SME!$Z$82+[1]SME!$AA$82+[1]SME!$BB$82+[1]SME!$BC$82)/1000/O316</f>
        <v>-0.17321492518643389</v>
      </c>
      <c r="P323" s="20">
        <f>-([1]SME!$Z$83+[1]SME!$AA$83+[1]SME!$BB$83+[1]SME!$BC$83)/1000/P316</f>
        <v>-0.1667709503459561</v>
      </c>
      <c r="Q323" s="7"/>
      <c r="R323" s="20" t="e">
        <f>-([1]MidCorp!$Z$81+[1]MidCorp!$AA$81+[1]MidCorp!$BB$81+[1]MidCorp!$BC$81)/1000/R316</f>
        <v>#DIV/0!</v>
      </c>
      <c r="S323" s="20" t="e">
        <f>-([1]MidCorp!$Z$82+[1]MidCorp!$AA$82+[1]MidCorp!$BB$82+[1]MidCorp!$BC$82)/1000/S316</f>
        <v>#DIV/0!</v>
      </c>
      <c r="T323" s="20" t="e">
        <f>-([1]MidCorp!$Z$83+[1]MidCorp!$AA$83+[1]MidCorp!$BB$83+[1]MidCorp!$BC$83)/1000/T316</f>
        <v>#DIV/0!</v>
      </c>
      <c r="U323" s="7"/>
      <c r="V323" s="20">
        <f>-([1]MGA!$Z$81+[1]MGA!$AA$81+[1]MGA!$BB$81+[1]MGA!$BC$81)/1000/V316</f>
        <v>-9.9989845320088786E-3</v>
      </c>
      <c r="W323" s="20" t="e">
        <f>-([1]MGA!$Z$82+[1]MGA!$AA$82+[1]MGA!$BB$82+[1]MGA!$BC$82)/1000/W316</f>
        <v>#DIV/0!</v>
      </c>
      <c r="X323" s="20">
        <f>-([1]MGA!$Z$83+[1]MGA!$AA$83+[1]MGA!$BB$83+[1]MGA!$BC$83)/1000/X316</f>
        <v>-0.01</v>
      </c>
      <c r="Y323" s="7"/>
      <c r="Z323" s="20" t="e">
        <f>-([1]Bancassurance!$Z$81+[1]Bancassurance!$AA$81+[1]Bancassurance!$BB$81+[1]Bancassurance!$BC$81)/1000/Z316</f>
        <v>#DIV/0!</v>
      </c>
      <c r="AA323" s="20" t="e">
        <f>-([1]Bancassurance!$Z$82+[1]Bancassurance!$AA$82+[1]Bancassurance!$BB$82+[1]Bancassurance!$BC$82)/1000/AA316</f>
        <v>#DIV/0!</v>
      </c>
      <c r="AB323" s="20">
        <f>-([1]Bancassurance!$Z$83+[1]Bancassurance!$AA$83+[1]Bancassurance!$BB$83+[1]Bancassurance!$BC$83)/1000/AB316</f>
        <v>-4.2011054276499602E-11</v>
      </c>
      <c r="AC323" s="7"/>
      <c r="AD323" s="20" t="e">
        <f>-([1]Specials!$Z$81+[1]Specials!$AA$81+[1]Specials!$BB$81+[1]Specials!$BC$81)/1000/AD316</f>
        <v>#DIV/0!</v>
      </c>
      <c r="AE323" s="20" t="e">
        <f>-([1]Specials!$Z$82+[1]Specials!$AA$82+[1]Specials!$BB$82+[1]Specials!$BC$82)/1000/AE316</f>
        <v>#DIV/0!</v>
      </c>
      <c r="AF323" s="20" t="e">
        <f>-([1]Specials!$Z$83+[1]Specials!$AA$83+[1]Specials!$BB$83+[1]Specials!$BC$83)/1000/AF316</f>
        <v>#DIV/0!</v>
      </c>
      <c r="AG323" s="7"/>
      <c r="AH323" s="28">
        <f>-('[1]Total P&amp;C'!$Z$81+'[1]Total P&amp;C'!$AA$81+'[1]Total P&amp;C'!$BB$81+'[1]Total P&amp;C'!$BC$81)/1000/AH316</f>
        <v>-0.23290704900050249</v>
      </c>
      <c r="AI323" s="28">
        <f>-('[1]Total P&amp;C'!$Z$82+'[1]Total P&amp;C'!$AA$82+'[1]Total P&amp;C'!$BB$82+'[1]Total P&amp;C'!$BC$82)/1000/AI316</f>
        <v>-0.17321492518643389</v>
      </c>
      <c r="AJ323" s="28">
        <f>-('[1]Total P&amp;C'!$Z$83+'[1]Total P&amp;C'!$AA$83+'[1]Total P&amp;C'!$BB$83+'[1]Total P&amp;C'!$BC$83)/1000/AJ316</f>
        <v>-0.16246864811811718</v>
      </c>
      <c r="AL323" s="202"/>
      <c r="AM323" s="9"/>
      <c r="AN323" s="37" t="s">
        <v>27</v>
      </c>
      <c r="AT323" s="20">
        <f>-([2]Retail!$Z$81+[2]Retail!$AA$81+[2]Retail!$BB$81+[2]Retail!$BC$81)/1000/AT316</f>
        <v>-2.4416299735402731E-2</v>
      </c>
      <c r="AU323" s="20">
        <f>-([2]Retail!$Z$82+[2]Retail!$AA$82+[2]Retail!$BB$82+[2]Retail!$BC$82)/1000/AU316</f>
        <v>-1.1566497943645096E-2</v>
      </c>
      <c r="AV323" s="20">
        <f>-([2]Retail!$Z$83+[2]Retail!$AA$83+[2]Retail!$BB$83+[2]Retail!$BC$83)/1000/AV316</f>
        <v>-1.6936966138241163E-2</v>
      </c>
      <c r="AW323" s="7"/>
      <c r="AX323" s="20">
        <f>-([2]SME!$Z$81+[2]SME!$AA$81+[2]SME!$BB$81+[2]SME!$BC$81)/1000/AX316</f>
        <v>-1.5175222110826378E-2</v>
      </c>
      <c r="AY323" s="20">
        <f>-([2]SME!$Z$82+[2]SME!$AA$82+[2]SME!$BB$82+[2]SME!$BC$82)/1000/AY316</f>
        <v>-8.6119868740320432E-2</v>
      </c>
      <c r="AZ323" s="20">
        <f>-([2]SME!$Z$83+[2]SME!$AA$83+[2]SME!$BB$83+[2]SME!$BC$83)/1000/AZ316</f>
        <v>-8.6239005439424338E-2</v>
      </c>
      <c r="BA323" s="7"/>
      <c r="BB323" s="20">
        <f>-([2]MidCorp!$Z$81+[2]MidCorp!$AA$81+[2]MidCorp!$BB$81+[2]MidCorp!$BC$81)/1000/BB316</f>
        <v>-7.2616253194370206E-2</v>
      </c>
      <c r="BC323" s="20">
        <f>-([2]MidCorp!$Z$82+[2]MidCorp!$AA$82+[2]MidCorp!$BB$82+[2]MidCorp!$BC$82)/1000/BC316</f>
        <v>-6.3367805398648211E-2</v>
      </c>
      <c r="BD323" s="20">
        <f>-([2]MidCorp!$Z$83+[2]MidCorp!$AA$83+[2]MidCorp!$BB$83+[2]MidCorp!$BC$83)/1000/BD316</f>
        <v>-0.129839385082544</v>
      </c>
      <c r="BJ323" s="20" t="e">
        <f>-([2]Specials!$Z$81+[2]Specials!$AA$81+[2]Specials!$BB$81+[2]Specials!$BC$81)/1000/BJ316</f>
        <v>#DIV/0!</v>
      </c>
      <c r="BK323" s="20" t="e">
        <f>-([2]Specials!$Z$82+[2]Specials!$AA$82+[2]Specials!$BB$82+[2]Specials!$BC$82)/1000/BK316</f>
        <v>#DIV/0!</v>
      </c>
      <c r="BL323" s="20" t="e">
        <f>-([2]Specials!$Z$83+[2]Specials!$AA$83+[2]Specials!$BB$83+[2]Specials!$BC$83)/1000/BL316</f>
        <v>#DIV/0!</v>
      </c>
      <c r="BM323" s="7"/>
      <c r="BN323" s="28">
        <f>-('[2]Total P&amp;C'!$Z$81+'[2]Total P&amp;C'!$AA$81+'[2]Total P&amp;C'!$BB$81+'[2]Total P&amp;C'!$BC$81)/1000/BN316</f>
        <v>-4.0974777407296846E-2</v>
      </c>
      <c r="BO323" s="28">
        <f>-('[2]Total P&amp;C'!$Z$82+'[2]Total P&amp;C'!$AA$82+'[2]Total P&amp;C'!$BB$82+'[2]Total P&amp;C'!$BC$82)/1000/BO316</f>
        <v>-7.0872575878775684E-2</v>
      </c>
      <c r="BP323" s="28">
        <f>-('[2]Total P&amp;C'!$Z$83+'[2]Total P&amp;C'!$AA$83+'[2]Total P&amp;C'!$BB$83+'[2]Total P&amp;C'!$BC$83)/1000/BP316</f>
        <v>-0.10136977524520492</v>
      </c>
      <c r="BR323" s="28">
        <f>-('[3]Total P&amp;C'!$Z$81+'[3]Total P&amp;C'!$AA$81+'[3]Total P&amp;C'!$BB$81+'[3]Total P&amp;C'!$BC$81)/1000/BR316</f>
        <v>-0.1113329388995429</v>
      </c>
      <c r="BS323" s="28">
        <f>-('[3]Total P&amp;C'!$Z$82+'[3]Total P&amp;C'!$AA$82+'[3]Total P&amp;C'!$BB$82+'[3]Total P&amp;C'!$BC$82)/1000/BS316</f>
        <v>-0.10659977855950856</v>
      </c>
      <c r="BT323" s="28">
        <f>-('[3]Total P&amp;C'!$Z$83+'[3]Total P&amp;C'!$AA$83+'[3]Total P&amp;C'!$BB$83+'[3]Total P&amp;C'!$BC$83)/1000/BT316</f>
        <v>-0.12367733036875211</v>
      </c>
    </row>
    <row r="324" spans="2:72" ht="16.5" customHeight="1" x14ac:dyDescent="0.25">
      <c r="B324" s="202"/>
      <c r="C324" s="9"/>
      <c r="D324" s="37" t="s">
        <v>28</v>
      </c>
      <c r="J324" s="20" t="e">
        <f>-SUM([1]Retail!$AC$81:$AI$81,[1]Retail!$BE$81:$BG$81)/1000/J316</f>
        <v>#DIV/0!</v>
      </c>
      <c r="K324" s="20" t="e">
        <f>-SUM([1]Retail!$AC$82:$AI$82,[1]Retail!$BE$82:$BG$82)/1000/K316</f>
        <v>#DIV/0!</v>
      </c>
      <c r="L324" s="20" t="e">
        <f>-SUM([1]Retail!$AC$83:$AI$83,[1]Retail!$BE$83:$BG$83)/1000/L316</f>
        <v>#DIV/0!</v>
      </c>
      <c r="M324" s="7"/>
      <c r="N324" s="20">
        <f>-SUM([1]SME!$AC$81:$AI$81,[1]SME!$BE$81:$BG$81)/1000/N316</f>
        <v>1.0733207911139131E-2</v>
      </c>
      <c r="O324" s="20">
        <f>-SUM([1]SME!$AC$82:$AI$82,[1]SME!$BE$82:$BG$82)/1000/O316</f>
        <v>0.23104737061132838</v>
      </c>
      <c r="P324" s="20">
        <f>-SUM([1]SME!$AC$83:$AI$83,[1]SME!$BE$83:$BG$83)/1000/P316</f>
        <v>-1.610776473022003E-2</v>
      </c>
      <c r="Q324" s="7"/>
      <c r="R324" s="20" t="e">
        <f>-SUM([1]MidCorp!$AC$81:$AI$81,[1]MidCorp!$BE$81:$BG$81)/1000/R316</f>
        <v>#DIV/0!</v>
      </c>
      <c r="S324" s="20" t="e">
        <f>-SUM([1]MidCorp!$AC$82:$AI$82,[1]MidCorp!$BE$82:$BG$82)/1000/S316</f>
        <v>#DIV/0!</v>
      </c>
      <c r="T324" s="20" t="e">
        <f>-SUM([1]MidCorp!$AC$83:$AI$83,[1]MidCorp!$BE$83:$BG$83)/1000/T316</f>
        <v>#DIV/0!</v>
      </c>
      <c r="U324" s="7"/>
      <c r="V324" s="20">
        <f>-SUM([1]MGA!$AC$81:$AI$81,[1]MGA!$BE$81:$BG$81)/1000/V316</f>
        <v>2.7302539675247412E-4</v>
      </c>
      <c r="W324" s="20" t="e">
        <f>-SUM([1]MGA!$AC$82:$AI$82,[1]MGA!$BE$82:$BG$82)/1000/W316</f>
        <v>#DIV/0!</v>
      </c>
      <c r="X324" s="20">
        <f>-SUM([1]MGA!$AC$83:$AI$83,[1]MGA!$BE$83:$BG$83)/1000/X316</f>
        <v>-1.2662347242610105E-2</v>
      </c>
      <c r="Y324" s="7"/>
      <c r="Z324" s="20" t="e">
        <f>-SUM([1]Bancassurance!$AC$81:$AI$81,[1]Bancassurance!$BE$81:$BG$81)/1000/Z316</f>
        <v>#DIV/0!</v>
      </c>
      <c r="AA324" s="20" t="e">
        <f>-SUM([1]Bancassurance!$AC$82:$AI$82,[1]Bancassurance!$BE$82:$BG$82)/1000/AA316</f>
        <v>#DIV/0!</v>
      </c>
      <c r="AB324" s="20">
        <f>-SUM([1]Bancassurance!$AC$83:$AI$83,[1]Bancassurance!$BE$83:$BG$83)/1000/AB316</f>
        <v>-1.6744064499358079E-2</v>
      </c>
      <c r="AC324" s="7"/>
      <c r="AD324" s="20" t="e">
        <f>-SUM([1]Specials!$AC$81:$AI$81,[1]Specials!$BE$81:$BG$81)/1000/AD316</f>
        <v>#DIV/0!</v>
      </c>
      <c r="AE324" s="20" t="e">
        <f>-SUM([1]Specials!$AC$82:$AI$82,[1]Specials!$BE$82:$BG$82)/1000/AE316</f>
        <v>#DIV/0!</v>
      </c>
      <c r="AF324" s="20" t="e">
        <f>-SUM([1]Specials!$AC$83:$AI$83,[1]Specials!$BE$83:$BG$83)/1000/AF316</f>
        <v>#DIV/0!</v>
      </c>
      <c r="AG324" s="7"/>
      <c r="AH324" s="28">
        <f>-SUM('[1]Total P&amp;C'!$AC$81:$AI$81,'[1]Total P&amp;C'!$BE$81:$BG$81)/1000/AH316</f>
        <v>1.9380533630135963E-2</v>
      </c>
      <c r="AI324" s="28">
        <f>-SUM('[1]Total P&amp;C'!$AC$82:$AI$82,'[1]Total P&amp;C'!$BE$82:$BG$82)/1000/AI316</f>
        <v>0.23104779797824937</v>
      </c>
      <c r="AJ324" s="28">
        <f>-SUM('[1]Total P&amp;C'!$AC$83:$AI$83,'[1]Total P&amp;C'!$BE$83:$BG$83)/1000/AJ316</f>
        <v>-1.6053358599148099E-2</v>
      </c>
      <c r="AL324" s="202"/>
      <c r="AM324" s="9"/>
      <c r="AN324" s="37" t="s">
        <v>28</v>
      </c>
      <c r="AT324" s="20">
        <f>-SUM([2]Retail!$AC$81:$AI$81,[2]Retail!$BE$81:$BG$81)/1000/AT316</f>
        <v>-3.6833029549687403E-2</v>
      </c>
      <c r="AU324" s="20">
        <f>-SUM([2]Retail!$AC$82:$AI$82,[2]Retail!$BE$82:$BG$82)/1000/AU316</f>
        <v>-0.13749996974207604</v>
      </c>
      <c r="AV324" s="20">
        <f>-SUM([2]Retail!$AC$83:$AI$83,[2]Retail!$BE$83:$BG$83)/1000/AV316</f>
        <v>-0.11512565714806372</v>
      </c>
      <c r="AW324" s="7"/>
      <c r="AX324" s="20">
        <f>-SUM([2]SME!$AC$81:$AI$81,[2]SME!$BE$81:$BG$81)/1000/AX316</f>
        <v>-0.11300597283364555</v>
      </c>
      <c r="AY324" s="20">
        <f>-SUM([2]SME!$AC$82:$AI$82,[2]SME!$BE$82:$BG$82)/1000/AY316</f>
        <v>-3.0647240469915977E-2</v>
      </c>
      <c r="AZ324" s="20">
        <f>-SUM([2]SME!$AC$83:$AI$83,[2]SME!$BE$83:$BG$83)/1000/AZ316</f>
        <v>-2.4856803914291278E-2</v>
      </c>
      <c r="BA324" s="7"/>
      <c r="BB324" s="20">
        <f>-SUM([2]MidCorp!$AC$81:$AI$81,[2]MidCorp!$BE$81:$BG$81)/1000/BB316</f>
        <v>-0.10724090052677954</v>
      </c>
      <c r="BC324" s="20">
        <f>-SUM([2]MidCorp!$AC$82:$AI$82,[2]MidCorp!$BE$82:$BG$82)/1000/BC316</f>
        <v>-0.10078501642641222</v>
      </c>
      <c r="BD324" s="20">
        <f>-SUM([2]MidCorp!$AC$83:$AI$83,[2]MidCorp!$BE$83:$BG$83)/1000/BD316</f>
        <v>-3.0373880173718368E-2</v>
      </c>
      <c r="BJ324" s="20" t="e">
        <f>-SUM([2]Specials!$AC$81:$AI$81,[2]Specials!$BE$81:$BG$81)/1000/BJ316</f>
        <v>#DIV/0!</v>
      </c>
      <c r="BK324" s="20" t="e">
        <f>-SUM([2]Specials!$AC$82:$AI$82,[2]Specials!$BE$82:$BG$82)/1000/BK316</f>
        <v>#DIV/0!</v>
      </c>
      <c r="BL324" s="20" t="e">
        <f>-SUM([2]Specials!$AC$83:$AI$83,[2]Specials!$BE$83:$BG$83)/1000/BL316</f>
        <v>#DIV/0!</v>
      </c>
      <c r="BM324" s="7"/>
      <c r="BN324" s="28">
        <f>-SUM('[2]Total P&amp;C'!$AC$81:$AI$81,'[2]Total P&amp;C'!$BE$81:$BG$81)/1000/BN316</f>
        <v>-0.10529073719900375</v>
      </c>
      <c r="BO324" s="28">
        <f>-SUM('[2]Total P&amp;C'!$AC$82:$AI$82,'[2]Total P&amp;C'!$BE$82:$BG$82)/1000/BO316</f>
        <v>-6.5535540538072146E-2</v>
      </c>
      <c r="BP324" s="28">
        <f>-SUM('[2]Total P&amp;C'!$AC$83:$AI$83,'[2]Total P&amp;C'!$BE$83:$BG$83)/1000/BP316</f>
        <v>-3.3346342641818655E-2</v>
      </c>
      <c r="BR324" s="28">
        <f>-SUM('[3]Total P&amp;C'!$AC$81:$AI$81,'[3]Total P&amp;C'!$BE$81:$BG$81)/1000/BR316</f>
        <v>-5.958898348334235E-2</v>
      </c>
      <c r="BS324" s="28">
        <f>-SUM('[3]Total P&amp;C'!$AC$82:$AI$82,'[3]Total P&amp;C'!$BE$82:$BG$82)/1000/BS316</f>
        <v>3.8000220743383335E-2</v>
      </c>
      <c r="BT324" s="28">
        <f>-SUM('[3]Total P&amp;C'!$AC$83:$AI$83,'[3]Total P&amp;C'!$BE$83:$BG$83)/1000/BT316</f>
        <v>-2.7032573227693812E-2</v>
      </c>
    </row>
    <row r="325" spans="2:72" ht="16.5" customHeight="1" x14ac:dyDescent="0.25">
      <c r="B325" s="202"/>
      <c r="C325" s="9"/>
      <c r="D325" s="37" t="s">
        <v>29</v>
      </c>
      <c r="J325" s="20" t="e">
        <f>-SUM([1]Retail!$AJ$81:$AK$81,[1]Retail!$BH$81:$BI$81)/1000/J316</f>
        <v>#DIV/0!</v>
      </c>
      <c r="K325" s="20" t="e">
        <f>-SUM([1]Retail!$AJ$82:$AK$82,[1]Retail!$BH$82:$BI$82)/1000/K316</f>
        <v>#DIV/0!</v>
      </c>
      <c r="L325" s="20" t="e">
        <f>-SUM([1]Retail!$AJ$83:$AK$83,[1]Retail!$BH$83:$BI$83)/1000/L316</f>
        <v>#DIV/0!</v>
      </c>
      <c r="M325" s="7"/>
      <c r="N325" s="20">
        <f>-SUM([1]SME!$AJ$81:$AK$81,[1]SME!$BH$81:$BI$81)/1000/N316</f>
        <v>-3.3141442791784013E-2</v>
      </c>
      <c r="O325" s="20">
        <f>-SUM([1]SME!$AJ$82:$AK$82,[1]SME!$BH$82:$BI$82)/1000/O316</f>
        <v>-0.17931391092406213</v>
      </c>
      <c r="P325" s="20">
        <f>-SUM([1]SME!$AJ$83:$AK$83,[1]SME!$BH$83:$BI$83)/1000/P316</f>
        <v>0</v>
      </c>
      <c r="Q325" s="7"/>
      <c r="R325" s="20" t="e">
        <f>-SUM([1]MidCorp!$AJ$81:$AK$81,[1]MidCorp!$BH$81:$BI$81)/1000/R316</f>
        <v>#DIV/0!</v>
      </c>
      <c r="S325" s="20" t="e">
        <f>-SUM([1]MidCorp!$AJ$82:$AK$82,[1]MidCorp!$BH$82:$BI$82)/1000/S316</f>
        <v>#DIV/0!</v>
      </c>
      <c r="T325" s="20" t="e">
        <f>-SUM([1]MidCorp!$AJ$83:$AK$83,[1]MidCorp!$BH$83:$BI$83)/1000/T316</f>
        <v>#DIV/0!</v>
      </c>
      <c r="U325" s="7"/>
      <c r="V325" s="20">
        <f>-SUM([1]MGA!$AJ$81:$AK$81,[1]MGA!$BH$81:$BI$81)/1000/V316</f>
        <v>0</v>
      </c>
      <c r="W325" s="20" t="e">
        <f>-SUM([1]MGA!$AJ$82:$AK$82,[1]MGA!$BH$82:$BI$82)/1000/W316</f>
        <v>#DIV/0!</v>
      </c>
      <c r="X325" s="20">
        <f>-SUM([1]MGA!$AJ$83:$AK$83,[1]MGA!$BH$83:$BI$83)/1000/X316</f>
        <v>0</v>
      </c>
      <c r="Y325" s="7"/>
      <c r="Z325" s="20" t="e">
        <f>-SUM([1]Bancassurance!$AJ$81:$AK$81,[1]Bancassurance!$BH$81:$BI$81)/1000/Z316</f>
        <v>#DIV/0!</v>
      </c>
      <c r="AA325" s="20" t="e">
        <f>-SUM([1]Bancassurance!$AJ$82:$AK$82,[1]Bancassurance!$BH$82:$BI$82)/1000/AA316</f>
        <v>#DIV/0!</v>
      </c>
      <c r="AB325" s="20">
        <f>-SUM([1]Bancassurance!$AJ$83:$AK$83,[1]Bancassurance!$BH$83:$BI$83)/1000/AB316</f>
        <v>0</v>
      </c>
      <c r="AC325" s="7"/>
      <c r="AD325" s="20" t="e">
        <f>-SUM([1]Specials!$AJ$81:$AK$81,[1]Specials!$BH$81:$BI$81)/1000/AD316</f>
        <v>#DIV/0!</v>
      </c>
      <c r="AE325" s="20" t="e">
        <f>-SUM([1]Specials!$AJ$82:$AK$82,[1]Specials!$BH$82:$BI$82)/1000/AE316</f>
        <v>#DIV/0!</v>
      </c>
      <c r="AF325" s="20" t="e">
        <f>-SUM([1]Specials!$AJ$83:$AK$83,[1]Specials!$BH$83:$BI$83)/1000/AF316</f>
        <v>#DIV/0!</v>
      </c>
      <c r="AG325" s="7"/>
      <c r="AH325" s="28">
        <f>-SUM('[1]Total P&amp;C'!$AJ$81:$AK$81,'[1]Total P&amp;C'!$BH$81:$BI$81)/1000/AH316</f>
        <v>-3.2945081475688996E-2</v>
      </c>
      <c r="AI325" s="28">
        <f>-SUM('[1]Total P&amp;C'!$AJ$82:$AK$82,'[1]Total P&amp;C'!$BH$82:$BI$82)/1000/AI316</f>
        <v>-0.17931391092406213</v>
      </c>
      <c r="AJ325" s="28">
        <f>-SUM('[1]Total P&amp;C'!$AJ$83:$AK$83,'[1]Total P&amp;C'!$BH$83:$BI$83)/1000/AJ316</f>
        <v>0</v>
      </c>
      <c r="AL325" s="202"/>
      <c r="AM325" s="9"/>
      <c r="AN325" s="37" t="s">
        <v>29</v>
      </c>
      <c r="AT325" s="20">
        <f>-SUM([2]Retail!$AJ$81:$AK$81,[2]Retail!$BH$81:$BI$81)/1000/AT316</f>
        <v>3.4265973917160472E-3</v>
      </c>
      <c r="AU325" s="20">
        <f>-SUM([2]Retail!$AJ$82:$AK$82,[2]Retail!$BH$82:$BI$82)/1000/AU316</f>
        <v>-6.7885260395275529E-4</v>
      </c>
      <c r="AV325" s="20">
        <f>-SUM([2]Retail!$AJ$83:$AK$83,[2]Retail!$BH$83:$BI$83)/1000/AV316</f>
        <v>0</v>
      </c>
      <c r="AW325" s="7"/>
      <c r="AX325" s="20">
        <f>-SUM([2]SME!$AJ$81:$AK$81,[2]SME!$BH$81:$BI$81)/1000/AX316</f>
        <v>-2.3804102326312811E-2</v>
      </c>
      <c r="AY325" s="20">
        <f>-SUM([2]SME!$AJ$82:$AK$82,[2]SME!$BH$82:$BI$82)/1000/AY316</f>
        <v>-1.4666703249573806E-2</v>
      </c>
      <c r="AZ325" s="20">
        <f>-SUM([2]SME!$AJ$83:$AK$83,[2]SME!$BH$83:$BI$83)/1000/AZ316</f>
        <v>0</v>
      </c>
      <c r="BA325" s="7"/>
      <c r="BB325" s="20">
        <f>-SUM([2]MidCorp!$AJ$81:$AK$81,[2]MidCorp!$BH$81:$BI$81)/1000/BB316</f>
        <v>4.8047345881890809E-2</v>
      </c>
      <c r="BC325" s="20">
        <f>-SUM([2]MidCorp!$AJ$82:$AK$82,[2]MidCorp!$BH$82:$BI$82)/1000/BC316</f>
        <v>-7.1451621204413521E-2</v>
      </c>
      <c r="BD325" s="20">
        <f>-SUM([2]MidCorp!$AJ$83:$AK$83,[2]MidCorp!$BH$83:$BI$83)/1000/BD316</f>
        <v>0</v>
      </c>
      <c r="BJ325" s="20" t="e">
        <f>-SUM([2]Specials!$AJ$81:$AK$81,[2]Specials!$BH$81:$BI$81)/1000/BJ316</f>
        <v>#DIV/0!</v>
      </c>
      <c r="BK325" s="20" t="e">
        <f>-SUM([2]Specials!$AJ$82:$AK$82,[2]Specials!$BH$82:$BI$82)/1000/BK316</f>
        <v>#DIV/0!</v>
      </c>
      <c r="BL325" s="20" t="e">
        <f>-SUM([2]Specials!$AJ$83:$AK$83,[2]Specials!$BH$83:$BI$83)/1000/BL316</f>
        <v>#DIV/0!</v>
      </c>
      <c r="BM325" s="7"/>
      <c r="BN325" s="28">
        <f>-SUM('[2]Total P&amp;C'!$AJ$81:$AK$81,'[2]Total P&amp;C'!$BH$81:$BI$81)/1000/BN316</f>
        <v>9.535427953407621E-3</v>
      </c>
      <c r="BO325" s="28">
        <f>-SUM('[2]Total P&amp;C'!$AJ$82:$AK$82,'[2]Total P&amp;C'!$BH$82:$BI$82)/1000/BO316</f>
        <v>-3.3012528210753476E-2</v>
      </c>
      <c r="BP325" s="28">
        <f>-SUM('[2]Total P&amp;C'!$AJ$83:$AK$83,'[2]Total P&amp;C'!$BH$83:$BI$83)/1000/BP316</f>
        <v>0</v>
      </c>
      <c r="BR325" s="28">
        <f>-SUM('[3]Total P&amp;C'!$AJ$81:$AK$81,'[3]Total P&amp;C'!$BH$81:$BI$81)/1000/BR316</f>
        <v>-6.0369951616588919E-3</v>
      </c>
      <c r="BS325" s="28">
        <f>-SUM('[3]Total P&amp;C'!$AJ$82:$AK$82,'[3]Total P&amp;C'!$BH$82:$BI$82)/1000/BS316</f>
        <v>-8.4085609765260222E-2</v>
      </c>
      <c r="BT325" s="28">
        <f>-SUM('[3]Total P&amp;C'!$AJ$83:$AK$83,'[3]Total P&amp;C'!$BH$83:$BI$83)/1000/BT316</f>
        <v>0</v>
      </c>
    </row>
    <row r="326" spans="2:72" ht="16.5" customHeight="1" x14ac:dyDescent="0.25">
      <c r="B326" s="202"/>
      <c r="C326" s="9"/>
      <c r="D326" s="37" t="s">
        <v>30</v>
      </c>
      <c r="J326" s="20" t="e">
        <f>+J327+J328+J329</f>
        <v>#DIV/0!</v>
      </c>
      <c r="K326" s="20" t="e">
        <f>+K327+K328+K329</f>
        <v>#DIV/0!</v>
      </c>
      <c r="L326" s="20" t="e">
        <f>+L327+L328+L329</f>
        <v>#DIV/0!</v>
      </c>
      <c r="M326" s="7"/>
      <c r="N326" s="20">
        <f>+N327+N328+N329</f>
        <v>0.12585723122034295</v>
      </c>
      <c r="O326" s="20">
        <f>+O327+O328+O329</f>
        <v>0.1169267587723936</v>
      </c>
      <c r="P326" s="20">
        <f>+P327+P328+P329</f>
        <v>0.13469332194991657</v>
      </c>
      <c r="Q326" s="7"/>
      <c r="R326" s="20" t="e">
        <f>+R327+R328+R329</f>
        <v>#DIV/0!</v>
      </c>
      <c r="S326" s="20" t="e">
        <f>+S327+S328+S329</f>
        <v>#DIV/0!</v>
      </c>
      <c r="T326" s="20" t="e">
        <f>+T327+T328+T329</f>
        <v>#DIV/0!</v>
      </c>
      <c r="U326" s="7"/>
      <c r="V326" s="20">
        <f>+V327+V328+V329</f>
        <v>0.53395696309703844</v>
      </c>
      <c r="W326" s="20" t="e">
        <f>+W327+W328+W329</f>
        <v>#DIV/0!</v>
      </c>
      <c r="X326" s="20">
        <f>+X327+X328+X329</f>
        <v>0.39095648706258146</v>
      </c>
      <c r="Y326" s="7"/>
      <c r="Z326" s="20" t="e">
        <f>+Z327+Z328+Z329</f>
        <v>#DIV/0!</v>
      </c>
      <c r="AA326" s="20" t="e">
        <f>+AA327+AA328+AA329</f>
        <v>#DIV/0!</v>
      </c>
      <c r="AB326" s="20">
        <f>+AB327+AB328+AB329</f>
        <v>0.45469255820766691</v>
      </c>
      <c r="AC326" s="7"/>
      <c r="AD326" s="20" t="e">
        <f>+AD327+AD328+AD329</f>
        <v>#DIV/0!</v>
      </c>
      <c r="AE326" s="20" t="e">
        <f>+AE327+AE328+AE329</f>
        <v>#DIV/0!</v>
      </c>
      <c r="AF326" s="20" t="e">
        <f>+AF327+AF328+AF329</f>
        <v>#DIV/0!</v>
      </c>
      <c r="AG326" s="7"/>
      <c r="AH326" s="28">
        <f>+AH327+AH328+AH329</f>
        <v>0.13072247848572674</v>
      </c>
      <c r="AI326" s="28">
        <f>+AI327+AI328+AI329</f>
        <v>0.12071726771900751</v>
      </c>
      <c r="AJ326" s="28">
        <f>+AJ327+AJ328+AJ329</f>
        <v>0.14216831692673881</v>
      </c>
      <c r="AL326" s="202"/>
      <c r="AM326" s="9"/>
      <c r="AN326" s="37" t="s">
        <v>30</v>
      </c>
      <c r="AT326" s="20">
        <f>+AT327+AT328+AT329</f>
        <v>0.1568234584978829</v>
      </c>
      <c r="AU326" s="20">
        <f>+AU327+AU328+AU329</f>
        <v>0.15413028050985306</v>
      </c>
      <c r="AV326" s="20">
        <f>+AV327+AV328+AV329</f>
        <v>0.17474194961349135</v>
      </c>
      <c r="AW326" s="7"/>
      <c r="AX326" s="20">
        <f>+AX327+AX328+AX329</f>
        <v>0.20595975179214332</v>
      </c>
      <c r="AY326" s="20">
        <f>+AY327+AY328+AY329</f>
        <v>0.2092079910735479</v>
      </c>
      <c r="AZ326" s="20">
        <f>+AZ327+AZ328+AZ329</f>
        <v>0.20542639268765464</v>
      </c>
      <c r="BA326" s="7"/>
      <c r="BB326" s="20">
        <f>+BB327+BB328+BB329</f>
        <v>0.20135935126463936</v>
      </c>
      <c r="BC326" s="20">
        <f>+BC327+BC328+BC329</f>
        <v>0.18008827366046021</v>
      </c>
      <c r="BD326" s="20">
        <f>+BD327+BD328+BD329</f>
        <v>0.20087547641401643</v>
      </c>
      <c r="BJ326" s="20" t="e">
        <f>+BJ327+BJ328+BJ329</f>
        <v>#DIV/0!</v>
      </c>
      <c r="BK326" s="20" t="e">
        <f>+BK327+BK328+BK329</f>
        <v>#DIV/0!</v>
      </c>
      <c r="BL326" s="20" t="e">
        <f>+BL327+BL328+BL329</f>
        <v>#DIV/0!</v>
      </c>
      <c r="BM326" s="7"/>
      <c r="BN326" s="28">
        <f>+BN327+BN328+BN329</f>
        <v>0.20059664991985934</v>
      </c>
      <c r="BO326" s="28">
        <f>+BO327+BO328+BO329</f>
        <v>0.19366756108311517</v>
      </c>
      <c r="BP326" s="28">
        <f>+BP327+BP328+BP329</f>
        <v>0.20132977659818735</v>
      </c>
      <c r="BR326" s="28">
        <f>+BR327+BR328+BR329</f>
        <v>0.17498231108517215</v>
      </c>
      <c r="BS326" s="28">
        <f>+BS327+BS328+BS329</f>
        <v>0.16820097824355784</v>
      </c>
      <c r="BT326" s="28">
        <f>+BT327+BT328+BT329</f>
        <v>0.17972958234328726</v>
      </c>
    </row>
    <row r="327" spans="2:72" ht="16.5" customHeight="1" x14ac:dyDescent="0.25">
      <c r="B327" s="202"/>
      <c r="C327" s="9"/>
      <c r="D327" s="39" t="s">
        <v>31</v>
      </c>
      <c r="J327" s="20" t="e">
        <f>-SUM([1]Retail!$AL$81:$AN$81,[1]Retail!$BJ$81)/1000/J316</f>
        <v>#DIV/0!</v>
      </c>
      <c r="K327" s="42" t="e">
        <f>-SUM([1]Retail!$AL$82:$AN$82,[1]Retail!$BJ$82)/1000/K316</f>
        <v>#DIV/0!</v>
      </c>
      <c r="L327" s="42" t="e">
        <f>-SUM([1]Retail!$AL$83:$AN$83,[1]Retail!$BJ$83)/1000/L316</f>
        <v>#DIV/0!</v>
      </c>
      <c r="M327" s="8"/>
      <c r="N327" s="20">
        <f>-SUM([1]SME!$AL$81:$AN$81,[1]SME!$BJ$81)/1000/N316</f>
        <v>3.6849913821634071E-2</v>
      </c>
      <c r="O327" s="20">
        <f>-SUM([1]SME!$AL$82:$AN$82,[1]SME!$BJ$82)/1000/O316</f>
        <v>3.6923486407827034E-2</v>
      </c>
      <c r="P327" s="20">
        <f>-SUM([1]SME!$AL$83:$AN$83,[1]SME!$BJ$83)/1000/P316</f>
        <v>3.5400000000000008E-2</v>
      </c>
      <c r="Q327" s="8"/>
      <c r="R327" s="20" t="e">
        <f>-SUM([1]MidCorp!$AL$81:$AN$81,[1]MidCorp!$BJ$81)/1000/R316</f>
        <v>#DIV/0!</v>
      </c>
      <c r="S327" s="20" t="e">
        <f>-SUM([1]MidCorp!$AL$82:$AN$82,[1]MidCorp!$BJ$82)/1000/S316</f>
        <v>#DIV/0!</v>
      </c>
      <c r="T327" s="20" t="e">
        <f>-SUM([1]MidCorp!$AL$83:$AN$83,[1]MidCorp!$BJ$83)/1000/T316</f>
        <v>#DIV/0!</v>
      </c>
      <c r="U327" s="8"/>
      <c r="V327" s="20">
        <f>-SUM([1]MGA!$AL$81:$AN$81,[1]MGA!$BJ$81)/1000/V316</f>
        <v>0.18597565372997993</v>
      </c>
      <c r="W327" s="20" t="e">
        <f>-SUM([1]MGA!$AL$82:$AN$82,[1]MGA!$BJ$82)/1000/W316</f>
        <v>#DIV/0!</v>
      </c>
      <c r="X327" s="20">
        <f>-SUM([1]MGA!$AL$83:$AN$83,[1]MGA!$BJ$83)/1000/X316</f>
        <v>0.19</v>
      </c>
      <c r="Y327" s="8"/>
      <c r="Z327" s="20" t="e">
        <f>-SUM([1]Bancassurance!$AL$81:$AN$81,[1]Bancassurance!$BJ$81)/1000/Z316</f>
        <v>#DIV/0!</v>
      </c>
      <c r="AA327" s="20" t="e">
        <f>-SUM([1]Bancassurance!$AL$82:$AN$82,[1]Bancassurance!$BJ$82)/1000/AA316</f>
        <v>#DIV/0!</v>
      </c>
      <c r="AB327" s="20">
        <f>-SUM([1]Bancassurance!$AL$83:$AN$83,[1]Bancassurance!$BJ$83)/1000/AB316</f>
        <v>0</v>
      </c>
      <c r="AC327" s="8"/>
      <c r="AD327" s="20" t="e">
        <f>-SUM([1]Specials!$AL$81:$AN$81,[1]Specials!$BJ$81)/1000/AD316</f>
        <v>#DIV/0!</v>
      </c>
      <c r="AE327" s="20" t="e">
        <f>-SUM([1]Specials!$AL$82:$AN$82,[1]Specials!$BJ$82)/1000/AE316</f>
        <v>#DIV/0!</v>
      </c>
      <c r="AF327" s="20" t="e">
        <f>-SUM([1]Specials!$AL$83:$AN$83,[1]Specials!$BJ$83)/1000/AF316</f>
        <v>#DIV/0!</v>
      </c>
      <c r="AG327" s="8"/>
      <c r="AH327" s="28">
        <f>-SUM('[1]Total P&amp;C'!$AL$81:$AN$81,'[1]Total P&amp;C'!$BJ$81)/1000/AH316</f>
        <v>3.7733476035144736E-2</v>
      </c>
      <c r="AI327" s="28">
        <f>-SUM('[1]Total P&amp;C'!$AL$82:$AN$82,'[1]Total P&amp;C'!$BJ$82)/1000/AI316</f>
        <v>3.6923486407827034E-2</v>
      </c>
      <c r="AJ327" s="28">
        <f>-SUM('[1]Total P&amp;C'!$AL$83:$AN$83,'[1]Total P&amp;C'!$BJ$83)/1000/AJ316</f>
        <v>3.7777349036220903E-2</v>
      </c>
      <c r="AL327" s="202"/>
      <c r="AM327" s="9"/>
      <c r="AN327" s="39" t="s">
        <v>31</v>
      </c>
      <c r="AT327" s="20">
        <f>-SUM([2]Retail!$AL$81:$AN$81,[2]Retail!$BJ$81)/1000/AT316</f>
        <v>7.8609553556780357E-2</v>
      </c>
      <c r="AU327" s="42">
        <f>-SUM([2]Retail!$AL$82:$AN$82,[2]Retail!$BJ$82)/1000/AU316</f>
        <v>6.6715596230794622E-2</v>
      </c>
      <c r="AV327" s="42">
        <f>-SUM([2]Retail!$AL$83:$AN$83,[2]Retail!$BJ$83)/1000/AV316</f>
        <v>9.0111111633396329E-2</v>
      </c>
      <c r="AW327" s="8"/>
      <c r="AX327" s="20">
        <f>-SUM([2]SME!$AL$81:$AN$81,[2]SME!$BJ$81)/1000/AX316</f>
        <v>9.8287776714867867E-2</v>
      </c>
      <c r="AY327" s="20">
        <f>-SUM([2]SME!$AL$82:$AN$82,[2]SME!$BJ$82)/1000/AY316</f>
        <v>0.10206655015041816</v>
      </c>
      <c r="AZ327" s="20">
        <f>-SUM([2]SME!$AL$83:$AN$83,[2]SME!$BJ$83)/1000/AZ316</f>
        <v>8.7750946332122021E-2</v>
      </c>
      <c r="BA327" s="8"/>
      <c r="BB327" s="20">
        <f>-SUM([2]MidCorp!$AL$81:$AN$81,[2]MidCorp!$BJ$81)/1000/BB316</f>
        <v>7.7232985603825965E-2</v>
      </c>
      <c r="BC327" s="20">
        <f>-SUM([2]MidCorp!$AL$82:$AN$82,[2]MidCorp!$BJ$82)/1000/BC316</f>
        <v>6.9670024984236509E-2</v>
      </c>
      <c r="BD327" s="20">
        <f>-SUM([2]MidCorp!$AL$83:$AN$83,[2]MidCorp!$BJ$83)/1000/BD316</f>
        <v>7.1958299764247044E-2</v>
      </c>
      <c r="BJ327" s="20" t="e">
        <f>-SUM([2]Specials!$AL$81:$AN$81,[2]Specials!$BJ$81)/1000/BJ316</f>
        <v>#DIV/0!</v>
      </c>
      <c r="BK327" s="20" t="e">
        <f>-SUM([2]Specials!$AL$82:$AN$82,[2]Specials!$BJ$82)/1000/BK316</f>
        <v>#DIV/0!</v>
      </c>
      <c r="BL327" s="20" t="e">
        <f>-SUM([2]Specials!$AL$83:$AN$83,[2]Specials!$BJ$83)/1000/BL316</f>
        <v>#DIV/0!</v>
      </c>
      <c r="BM327" s="8"/>
      <c r="BN327" s="28">
        <f>-SUM('[2]Total P&amp;C'!$AL$81:$AN$81,'[2]Total P&amp;C'!$BJ$81)/1000/BN316</f>
        <v>8.7721278568033106E-2</v>
      </c>
      <c r="BO327" s="28">
        <f>-SUM('[2]Total P&amp;C'!$AL$82:$AN$82,'[2]Total P&amp;C'!$BJ$82)/1000/BO316</f>
        <v>8.7331302052482435E-2</v>
      </c>
      <c r="BP327" s="28">
        <f>-SUM('[2]Total P&amp;C'!$AL$83:$AN$83,'[2]Total P&amp;C'!$BJ$83)/1000/BP316</f>
        <v>8.0760586271730453E-2</v>
      </c>
      <c r="BR327" s="28">
        <f>-SUM('[3]Total P&amp;C'!$AL$81:$AN$81,'[3]Total P&amp;C'!$BJ$81)/1000/BR316</f>
        <v>6.9396846443842281E-2</v>
      </c>
      <c r="BS327" s="28">
        <f>-SUM('[3]Total P&amp;C'!$AL$82:$AN$82,'[3]Total P&amp;C'!$BJ$82)/1000/BS316</f>
        <v>6.9734185527282111E-2</v>
      </c>
      <c r="BT327" s="28">
        <f>-SUM('[3]Total P&amp;C'!$AL$83:$AN$83,'[3]Total P&amp;C'!$BJ$83)/1000/BT316</f>
        <v>6.5067155461409662E-2</v>
      </c>
    </row>
    <row r="328" spans="2:72" ht="16.5" customHeight="1" x14ac:dyDescent="0.25">
      <c r="B328" s="202"/>
      <c r="C328" s="9"/>
      <c r="D328" s="39" t="s">
        <v>32</v>
      </c>
      <c r="J328" s="20" t="e">
        <f>-SUM([1]Retail!$AO$81:$AP$81)/1000/J316</f>
        <v>#DIV/0!</v>
      </c>
      <c r="K328" s="42" t="e">
        <f>-SUM([1]Retail!$AO$82:$AP$82)/1000/K316</f>
        <v>#DIV/0!</v>
      </c>
      <c r="L328" s="42" t="e">
        <f>-SUM([1]Retail!$AO$83:$AP$83)/1000/L316</f>
        <v>#DIV/0!</v>
      </c>
      <c r="M328" s="8"/>
      <c r="N328" s="20">
        <f>-SUM([1]SME!$AO$81:$AP$81)/1000/N316</f>
        <v>3.8763292331438846E-2</v>
      </c>
      <c r="O328" s="20">
        <f>-SUM([1]SME!$AO$82:$AP$82)/1000/O316</f>
        <v>3.3339790036794263E-2</v>
      </c>
      <c r="P328" s="20">
        <f>-SUM([1]SME!$AO$83:$AP$83)/1000/P316</f>
        <v>3.9905168067873496E-2</v>
      </c>
      <c r="Q328" s="8"/>
      <c r="R328" s="20" t="e">
        <f>-SUM([1]MidCorp!$AO$81:$AP$81)/1000/R316</f>
        <v>#DIV/0!</v>
      </c>
      <c r="S328" s="20" t="e">
        <f>-SUM([1]MidCorp!$AO$82:$AP$82)/1000/S316</f>
        <v>#DIV/0!</v>
      </c>
      <c r="T328" s="20" t="e">
        <f>-SUM([1]MidCorp!$AO$83:$AP$83)/1000/T316</f>
        <v>#DIV/0!</v>
      </c>
      <c r="U328" s="8"/>
      <c r="V328" s="20">
        <f>-SUM([1]MGA!$AO$81:$AP$81)/1000/V316</f>
        <v>0.24966856455416464</v>
      </c>
      <c r="W328" s="20" t="e">
        <f>-SUM([1]MGA!$AO$82:$AP$82)/1000/W316</f>
        <v>#DIV/0!</v>
      </c>
      <c r="X328" s="20">
        <f>-SUM([1]MGA!$AO$83:$AP$83)/1000/X316</f>
        <v>0.13183943858138894</v>
      </c>
      <c r="Y328" s="8"/>
      <c r="Z328" s="20" t="e">
        <f>-SUM([1]Bancassurance!$AO$81:$AP$81)/1000/Z316</f>
        <v>#DIV/0!</v>
      </c>
      <c r="AA328" s="20" t="e">
        <f>-SUM([1]Bancassurance!$AO$82:$AP$82)/1000/AA316</f>
        <v>#DIV/0!</v>
      </c>
      <c r="AB328" s="20">
        <f>-SUM([1]Bancassurance!$AO$83:$AP$83)/1000/AB316</f>
        <v>0.17918299453706032</v>
      </c>
      <c r="AC328" s="8"/>
      <c r="AD328" s="20" t="e">
        <f>-SUM([1]Specials!$AO$81:$AP$81)/1000/AD316</f>
        <v>#DIV/0!</v>
      </c>
      <c r="AE328" s="20" t="e">
        <f>-SUM([1]Specials!$AO$82:$AP$82)/1000/AE316</f>
        <v>#DIV/0!</v>
      </c>
      <c r="AF328" s="20" t="e">
        <f>-SUM([1]Specials!$AO$83:$AP$83)/1000/AF316</f>
        <v>#DIV/0!</v>
      </c>
      <c r="AG328" s="8"/>
      <c r="AH328" s="28">
        <f>-SUM('[1]Total P&amp;C'!$AO$81:$AP$81)/1000/AH316</f>
        <v>4.0969454771863478E-2</v>
      </c>
      <c r="AI328" s="28">
        <f>-SUM('[1]Total P&amp;C'!$AO$82:$AP$82)/1000/AI316</f>
        <v>3.4477894195226025E-2</v>
      </c>
      <c r="AJ328" s="28">
        <f>-SUM('[1]Total P&amp;C'!$AO$83:$AP$83)/1000/AJ316</f>
        <v>4.2815282469237603E-2</v>
      </c>
      <c r="AL328" s="202"/>
      <c r="AM328" s="9"/>
      <c r="AN328" s="39" t="s">
        <v>32</v>
      </c>
      <c r="AT328" s="20">
        <f>-SUM([2]Retail!$AO$81:$AP$81)/1000/AT316</f>
        <v>7.9807792824495398E-3</v>
      </c>
      <c r="AU328" s="42">
        <f>-SUM([2]Retail!$AO$82:$AP$82)/1000/AU316</f>
        <v>9.7816514325796394E-3</v>
      </c>
      <c r="AV328" s="42">
        <f>-SUM([2]Retail!$AO$83:$AP$83)/1000/AV316</f>
        <v>8.5974837671567578E-3</v>
      </c>
      <c r="AW328" s="8"/>
      <c r="AX328" s="20">
        <f>-SUM([2]SME!$AO$81:$AP$81)/1000/AX316</f>
        <v>2.8546417757540247E-2</v>
      </c>
      <c r="AY328" s="20">
        <f>-SUM([2]SME!$AO$82:$AP$82)/1000/AY316</f>
        <v>5.052010948549196E-2</v>
      </c>
      <c r="AZ328" s="20">
        <f>-SUM([2]SME!$AO$83:$AP$83)/1000/AZ316</f>
        <v>3.0040371620684635E-2</v>
      </c>
      <c r="BA328" s="8"/>
      <c r="BB328" s="20">
        <f>-SUM([2]MidCorp!$AO$81:$AP$81)/1000/BB316</f>
        <v>3.9561023294798152E-2</v>
      </c>
      <c r="BC328" s="20">
        <f>-SUM([2]MidCorp!$AO$82:$AP$82)/1000/BC316</f>
        <v>3.1609375571802781E-2</v>
      </c>
      <c r="BD328" s="20">
        <f>-SUM([2]MidCorp!$AO$83:$AP$83)/1000/BD316</f>
        <v>3.7679908117995049E-2</v>
      </c>
      <c r="BJ328" s="20" t="e">
        <f>-SUM([2]Specials!$AO$81:$AP$81)/1000/BJ316</f>
        <v>#DIV/0!</v>
      </c>
      <c r="BK328" s="20" t="e">
        <f>-SUM([2]Specials!$AO$82:$AP$82)/1000/BK316</f>
        <v>#DIV/0!</v>
      </c>
      <c r="BL328" s="20" t="e">
        <f>-SUM([2]Specials!$AO$83:$AP$83)/1000/BL316</f>
        <v>#DIV/0!</v>
      </c>
      <c r="BM328" s="8"/>
      <c r="BN328" s="28">
        <f>-SUM('[2]Total P&amp;C'!$AO$81:$AP$81)/1000/BN316</f>
        <v>3.1971928424753035E-2</v>
      </c>
      <c r="BO328" s="28">
        <f>-SUM('[2]Total P&amp;C'!$AO$82:$AP$82)/1000/BO316</f>
        <v>3.993830783758838E-2</v>
      </c>
      <c r="BP328" s="28">
        <f>-SUM('[2]Total P&amp;C'!$AO$83:$AP$83)/1000/BP316</f>
        <v>3.2074137042578173E-2</v>
      </c>
      <c r="BR328" s="28">
        <f>-SUM('[3]Total P&amp;C'!$AO$81:$AP$81)/1000/BR316</f>
        <v>3.5270224258517065E-2</v>
      </c>
      <c r="BS328" s="28">
        <f>-SUM('[3]Total P&amp;C'!$AO$82:$AP$82)/1000/BS316</f>
        <v>3.8032104723813277E-2</v>
      </c>
      <c r="BT328" s="28">
        <f>-SUM('[3]Total P&amp;C'!$AO$83:$AP$83)/1000/BT316</f>
        <v>3.5995791934537238E-2</v>
      </c>
    </row>
    <row r="329" spans="2:72" ht="16.5" customHeight="1" x14ac:dyDescent="0.25">
      <c r="B329" s="202"/>
      <c r="C329" s="9"/>
      <c r="D329" s="39" t="s">
        <v>33</v>
      </c>
      <c r="J329" s="20" t="e">
        <f>-SUM([1]Retail!$AQ$81:$AR$81)/1000/J316</f>
        <v>#DIV/0!</v>
      </c>
      <c r="K329" s="42" t="e">
        <f>-SUM([1]Retail!$AQ$82:$AR$82)/1000/K316</f>
        <v>#DIV/0!</v>
      </c>
      <c r="L329" s="42" t="e">
        <f>-SUM([1]Retail!$AQ$83:$AR$83)/1000/L316</f>
        <v>#DIV/0!</v>
      </c>
      <c r="M329" s="8"/>
      <c r="N329" s="20">
        <f>-SUM([1]SME!$AQ$81:$AR$81)/1000/N316</f>
        <v>5.0244025067270041E-2</v>
      </c>
      <c r="O329" s="20">
        <f>-SUM([1]SME!$AQ$82:$AR$82)/1000/O316</f>
        <v>4.6663482327772302E-2</v>
      </c>
      <c r="P329" s="20">
        <f>-SUM([1]SME!$AQ$83:$AR$83)/1000/P316</f>
        <v>5.9388153882043049E-2</v>
      </c>
      <c r="Q329" s="8"/>
      <c r="R329" s="20" t="e">
        <f>-SUM([1]MidCorp!$AQ$81:$AR$81)/1000/R316</f>
        <v>#DIV/0!</v>
      </c>
      <c r="S329" s="20" t="e">
        <f>-SUM([1]MidCorp!$AQ$82:$AR$82)/1000/S316</f>
        <v>#DIV/0!</v>
      </c>
      <c r="T329" s="20" t="e">
        <f>-SUM([1]MidCorp!$AQ$83:$AR$83)/1000/T316</f>
        <v>#DIV/0!</v>
      </c>
      <c r="U329" s="8"/>
      <c r="V329" s="20">
        <f>-SUM([1]MGA!$AQ$81:$AR$81)/1000/V316</f>
        <v>9.8312744812893815E-2</v>
      </c>
      <c r="W329" s="20" t="e">
        <f>-SUM([1]MGA!$AQ$82:$AR$82)/1000/W316</f>
        <v>#DIV/0!</v>
      </c>
      <c r="X329" s="20">
        <f>-SUM([1]MGA!$AQ$83:$AR$83)/1000/X316</f>
        <v>6.9117048481192503E-2</v>
      </c>
      <c r="Y329" s="8"/>
      <c r="Z329" s="20" t="e">
        <f>-SUM([1]Bancassurance!$AQ$81:$AR$81)/1000/Z316</f>
        <v>#DIV/0!</v>
      </c>
      <c r="AA329" s="20" t="e">
        <f>-SUM([1]Bancassurance!$AQ$82:$AR$82)/1000/AA316</f>
        <v>#DIV/0!</v>
      </c>
      <c r="AB329" s="20">
        <f>-SUM([1]Bancassurance!$AQ$83:$AR$83)/1000/AB316</f>
        <v>0.27550956367060658</v>
      </c>
      <c r="AC329" s="8"/>
      <c r="AD329" s="20" t="e">
        <f>-SUM([1]Specials!$AQ$81:$AR$81)/1000/AD316</f>
        <v>#DIV/0!</v>
      </c>
      <c r="AE329" s="20" t="e">
        <f>-SUM([1]Specials!$AQ$82:$AR$82)/1000/AE316</f>
        <v>#DIV/0!</v>
      </c>
      <c r="AF329" s="20" t="e">
        <f>-SUM([1]Specials!$AQ$83:$AR$83)/1000/AF316</f>
        <v>#DIV/0!</v>
      </c>
      <c r="AG329" s="8"/>
      <c r="AH329" s="28">
        <f>-SUM('[1]Total P&amp;C'!$AQ$81:$AR$81)/1000/AH316</f>
        <v>5.2019547678718525E-2</v>
      </c>
      <c r="AI329" s="28">
        <f>-SUM('[1]Total P&amp;C'!$AQ$82:$AR$82)/1000/AI316</f>
        <v>4.931588711595445E-2</v>
      </c>
      <c r="AJ329" s="28">
        <f>-SUM('[1]Total P&amp;C'!$AQ$83:$AR$83)/1000/AJ316</f>
        <v>6.1575685421280293E-2</v>
      </c>
      <c r="AL329" s="202"/>
      <c r="AM329" s="9"/>
      <c r="AN329" s="39" t="s">
        <v>33</v>
      </c>
      <c r="AT329" s="20">
        <f>-SUM([2]Retail!$AQ$81:$AR$81)/1000/AT316</f>
        <v>7.0233125658653001E-2</v>
      </c>
      <c r="AU329" s="42">
        <f>-SUM([2]Retail!$AQ$82:$AR$82)/1000/AU316</f>
        <v>7.7633032846478794E-2</v>
      </c>
      <c r="AV329" s="42">
        <f>-SUM([2]Retail!$AQ$83:$AR$83)/1000/AV316</f>
        <v>7.6033354212938262E-2</v>
      </c>
      <c r="AW329" s="8"/>
      <c r="AX329" s="20">
        <f>-SUM([2]SME!$AQ$81:$AR$81)/1000/AX316</f>
        <v>7.9125557319735196E-2</v>
      </c>
      <c r="AY329" s="20">
        <f>-SUM([2]SME!$AQ$82:$AR$82)/1000/AY316</f>
        <v>5.6621331437637784E-2</v>
      </c>
      <c r="AZ329" s="20">
        <f>-SUM([2]SME!$AQ$83:$AR$83)/1000/AZ316</f>
        <v>8.7635074734847981E-2</v>
      </c>
      <c r="BA329" s="8"/>
      <c r="BB329" s="20">
        <f>-SUM([2]MidCorp!$AQ$81:$AR$81)/1000/BB316</f>
        <v>8.4565342366015234E-2</v>
      </c>
      <c r="BC329" s="20">
        <f>-SUM([2]MidCorp!$AQ$82:$AR$82)/1000/BC316</f>
        <v>7.8808873104420918E-2</v>
      </c>
      <c r="BD329" s="20">
        <f>-SUM([2]MidCorp!$AQ$83:$AR$83)/1000/BD316</f>
        <v>9.1237268531774329E-2</v>
      </c>
      <c r="BJ329" s="20" t="e">
        <f>-SUM([2]Specials!$AQ$81:$AR$81)/1000/BJ316</f>
        <v>#DIV/0!</v>
      </c>
      <c r="BK329" s="20" t="e">
        <f>-SUM([2]Specials!$AQ$82:$AR$82)/1000/BK316</f>
        <v>#DIV/0!</v>
      </c>
      <c r="BL329" s="20" t="e">
        <f>-SUM([2]Specials!$AQ$83:$AR$83)/1000/BL316</f>
        <v>#DIV/0!</v>
      </c>
      <c r="BM329" s="8"/>
      <c r="BN329" s="28">
        <f>-SUM('[2]Total P&amp;C'!$AQ$81:$AR$81)/1000/BN316</f>
        <v>8.0903442927073202E-2</v>
      </c>
      <c r="BO329" s="28">
        <f>-SUM('[2]Total P&amp;C'!$AQ$82:$AR$82)/1000/BO316</f>
        <v>6.6397951193044383E-2</v>
      </c>
      <c r="BP329" s="28">
        <f>-SUM('[2]Total P&amp;C'!$AQ$83:$AR$83)/1000/BP316</f>
        <v>8.8495053283878716E-2</v>
      </c>
      <c r="BR329" s="28">
        <f>-SUM('[3]Total P&amp;C'!$AQ$81:$AR$81)/1000/BR316</f>
        <v>7.0315240382812824E-2</v>
      </c>
      <c r="BS329" s="28">
        <f>-SUM('[3]Total P&amp;C'!$AQ$82:$AR$82)/1000/BS316</f>
        <v>6.0434687992462474E-2</v>
      </c>
      <c r="BT329" s="28">
        <f>-SUM('[3]Total P&amp;C'!$AQ$83:$AR$83)/1000/BT316</f>
        <v>7.8666634947340358E-2</v>
      </c>
    </row>
    <row r="330" spans="2:72" ht="16.5" customHeight="1" x14ac:dyDescent="0.25">
      <c r="B330" s="202"/>
      <c r="C330" s="9"/>
      <c r="D330" s="37" t="s">
        <v>34</v>
      </c>
      <c r="J330" s="19">
        <f>+[1]Retail!$BK$81/1000</f>
        <v>0</v>
      </c>
      <c r="K330" s="19">
        <f>+[1]Retail!$BK$82/1000</f>
        <v>0</v>
      </c>
      <c r="L330" s="19">
        <f>+[1]Retail!$BK$83/1000</f>
        <v>0</v>
      </c>
      <c r="M330" s="6"/>
      <c r="N330" s="19">
        <f>+[1]SME!$BK$81/1000</f>
        <v>1.4944306700000245</v>
      </c>
      <c r="O330" s="19">
        <f>+[1]SME!$BK$82/1000</f>
        <v>1.0847479100000297</v>
      </c>
      <c r="P330" s="19">
        <f>+[1]SME!$BK$83/1000</f>
        <v>1.3117692760103006</v>
      </c>
      <c r="Q330" s="6"/>
      <c r="R330" s="19">
        <f>+[1]MidCorp!$BK$81/1000</f>
        <v>0</v>
      </c>
      <c r="S330" s="19">
        <f>+[1]MidCorp!$BK$82/1000</f>
        <v>0</v>
      </c>
      <c r="T330" s="19">
        <f>+[1]MidCorp!$BK$83/1000</f>
        <v>0</v>
      </c>
      <c r="U330" s="6"/>
      <c r="V330" s="19">
        <f>+[1]MGA!$BK$81/1000</f>
        <v>-5.5718939999999974E-2</v>
      </c>
      <c r="W330" s="19">
        <f>+[1]MGA!$BK$82/1000</f>
        <v>-6.6924410000000004E-2</v>
      </c>
      <c r="X330" s="19">
        <f>+[1]MGA!$BK$83/1000</f>
        <v>-0.138317474936275</v>
      </c>
      <c r="Y330" s="6"/>
      <c r="Z330" s="19">
        <f>+[1]Bancassurance!$BK$81/1000</f>
        <v>-8.5218940000000007E-2</v>
      </c>
      <c r="AA330" s="19">
        <f>+[1]Bancassurance!$BK$82/1000</f>
        <v>-8.4157549999999984E-2</v>
      </c>
      <c r="AB330" s="19">
        <f>+[1]Bancassurance!$BK$83/1000</f>
        <v>-7.5571223096450396E-2</v>
      </c>
      <c r="AC330" s="6"/>
      <c r="AD330" s="19">
        <f>+[1]Specials!$BK$81/1000</f>
        <v>-0.30267144999999995</v>
      </c>
      <c r="AE330" s="19">
        <f>+[1]Specials!$BK$82/1000</f>
        <v>-1.7061000000000002E-4</v>
      </c>
      <c r="AF330" s="19">
        <f>+[1]Specials!$BK$83/1000</f>
        <v>0</v>
      </c>
      <c r="AG330" s="6"/>
      <c r="AH330" s="27">
        <f>+'[1]Total P&amp;C'!$BK$81/1000</f>
        <v>1.0508213400000164</v>
      </c>
      <c r="AI330" s="27">
        <f>+'[1]Total P&amp;C'!$BK$82/1000</f>
        <v>0.93349534000002854</v>
      </c>
      <c r="AJ330" s="27">
        <f>+'[1]Total P&amp;C'!$BK$83/1000</f>
        <v>1.097880577977576</v>
      </c>
      <c r="AL330" s="202"/>
      <c r="AM330" s="9"/>
      <c r="AN330" s="37" t="s">
        <v>34</v>
      </c>
      <c r="AT330" s="19">
        <f>+[2]Retail!$BK$81/1000</f>
        <v>0.37662871999999631</v>
      </c>
      <c r="AU330" s="19">
        <f>+[2]Retail!$BK$82/1000</f>
        <v>3.0588718900000016</v>
      </c>
      <c r="AV330" s="19">
        <f>+[2]Retail!$BK$83/1000</f>
        <v>0.83655578378149997</v>
      </c>
      <c r="AW330" s="6"/>
      <c r="AX330" s="19">
        <f>+[2]SME!$BK$81/1000</f>
        <v>2.9409157400000057</v>
      </c>
      <c r="AY330" s="19">
        <f>+[2]SME!$BK$82/1000</f>
        <v>0.18468267999996085</v>
      </c>
      <c r="AZ330" s="19">
        <f>+[2]SME!$BK$83/1000</f>
        <v>0.41207434353817285</v>
      </c>
      <c r="BA330" s="6"/>
      <c r="BB330" s="19">
        <f>+[2]MidCorp!$BK$81/1000</f>
        <v>0.97110696000007524</v>
      </c>
      <c r="BC330" s="19">
        <f>+[2]MidCorp!$BK$82/1000</f>
        <v>2.4875913099999534</v>
      </c>
      <c r="BD330" s="19">
        <f>+[2]MidCorp!$BK$83/1000</f>
        <v>0.25800534552433735</v>
      </c>
      <c r="BJ330" s="19">
        <f>+[2]Specials!$BK$81/1000</f>
        <v>0</v>
      </c>
      <c r="BK330" s="19">
        <f>+[2]Specials!$BK$82/1000</f>
        <v>0</v>
      </c>
      <c r="BL330" s="19">
        <f>+[2]Specials!$BK$83/1000</f>
        <v>0</v>
      </c>
      <c r="BM330" s="6"/>
      <c r="BN330" s="27">
        <f>+'[2]Total P&amp;C'!$BK$81/1000</f>
        <v>4.288651420000078</v>
      </c>
      <c r="BO330" s="27">
        <f>+'[2]Total P&amp;C'!$BK$82/1000</f>
        <v>5.7311458799999109</v>
      </c>
      <c r="BP330" s="27">
        <f>+'[2]Total P&amp;C'!$BK$83/1000</f>
        <v>1.5066354728440114</v>
      </c>
      <c r="BR330" s="27">
        <f>+'[3]Total P&amp;C'!$BK$81/1000</f>
        <v>5.3394727600001026</v>
      </c>
      <c r="BS330" s="27">
        <f>+'[3]Total P&amp;C'!$BK$82/1000</f>
        <v>6.6646412199999521</v>
      </c>
      <c r="BT330" s="27">
        <f>+'[3]Total P&amp;C'!$BK$83/1000</f>
        <v>2.604516050821585</v>
      </c>
    </row>
  </sheetData>
  <mergeCells count="53">
    <mergeCell ref="BJ4:BL4"/>
    <mergeCell ref="BN4:BP4"/>
    <mergeCell ref="BR4:BT4"/>
    <mergeCell ref="B3:D3"/>
    <mergeCell ref="F3:AJ3"/>
    <mergeCell ref="AL3:AN3"/>
    <mergeCell ref="AP3:BP3"/>
    <mergeCell ref="BR3:BT3"/>
    <mergeCell ref="F4:H4"/>
    <mergeCell ref="V4:X4"/>
    <mergeCell ref="Z4:AB4"/>
    <mergeCell ref="AD4:AF4"/>
    <mergeCell ref="AH4:AJ4"/>
    <mergeCell ref="B9:B24"/>
    <mergeCell ref="B26:B41"/>
    <mergeCell ref="B43:B58"/>
    <mergeCell ref="AP4:AR4"/>
    <mergeCell ref="BF4:BH4"/>
    <mergeCell ref="B94:B109"/>
    <mergeCell ref="B111:B126"/>
    <mergeCell ref="B128:B143"/>
    <mergeCell ref="AL128:AL143"/>
    <mergeCell ref="B60:B75"/>
    <mergeCell ref="B77:B92"/>
    <mergeCell ref="AL179:AL194"/>
    <mergeCell ref="B145:B160"/>
    <mergeCell ref="B162:B177"/>
    <mergeCell ref="AL145:AL160"/>
    <mergeCell ref="AL162:AL177"/>
    <mergeCell ref="B281:B296"/>
    <mergeCell ref="B298:B313"/>
    <mergeCell ref="B315:B330"/>
    <mergeCell ref="AL9:AL24"/>
    <mergeCell ref="AL26:AL41"/>
    <mergeCell ref="AL43:AL58"/>
    <mergeCell ref="AL60:AL75"/>
    <mergeCell ref="AL77:AL92"/>
    <mergeCell ref="AL94:AL109"/>
    <mergeCell ref="AL111:AL126"/>
    <mergeCell ref="B230:B245"/>
    <mergeCell ref="B247:B262"/>
    <mergeCell ref="B264:B279"/>
    <mergeCell ref="B179:B194"/>
    <mergeCell ref="B196:B211"/>
    <mergeCell ref="B213:B228"/>
    <mergeCell ref="AL298:AL313"/>
    <mergeCell ref="AL315:AL330"/>
    <mergeCell ref="AL196:AL211"/>
    <mergeCell ref="AL213:AL228"/>
    <mergeCell ref="AL230:AL245"/>
    <mergeCell ref="AL247:AL262"/>
    <mergeCell ref="AL264:AL279"/>
    <mergeCell ref="AL281:AL296"/>
  </mergeCells>
  <conditionalFormatting sqref="J9:J10 N9:N10 R9:R10 V9:V10 Z9:Z10 AD9:AD10 AH9:AH10 AT9:AT10 AX9:AX10 BB9:BB10 BJ9:BJ10 BN9:BN10 BR9:BR10 J24 N24 R24 V24 Z24 AD24 AH24 AT24 AX24 BB24 BJ24 BN24 BR24 J26:J27 N26:N27 R26:R27 V26:V27 Z26:Z27 AD26:AD27 AH26:AH27 AT26:AT27 AX26:AX27 BB26:BB27 BJ26:BJ27 BN26:BN27 BR26:BR27 J41 N41 R41 V41 Z41 AD41 AH41 AT41 AX41 BB41 BJ41 BN41 BR41 J43:J44 N43:N44 R43:R44 V43:V44 Z43:Z44 AD43:AD44 AH43:AH44 AT43:AT44 AX43:AX44 BB43:BB44 BJ43:BJ44 BN43:BN44 BR43:BR44 J58 N58 R58 V58 Z58 AD58 AH58 AT58 AX58 BB58 BJ58 BN58 BR58 J60:J61 N60:N61 R60:R61 V60:V61 Z60:Z61 AD60:AD61 AH60:AH61 AT60:AT61 AX60:AX61 BB60:BB61 BJ60:BJ61 BN60:BN61 BR60:BR61 J75 N75 R75 V75 Z75 AD75:AE75 AH75 AT75 AX75 BB75 BJ75 BN75 BR75 J77:J78 N77:N78 R77:R78 V77:V78 Z77:Z78 AD77:AD78 AH77:AH78 AT77:AT78 AX77:AX78 BB77:BB78 BJ77:BJ78 BN77:BN78 BR77:BR78 J92 N92 R92 V92 Z92 AD92 AH92 AT92 AX92 BB92 BJ92 BN92 BR92 J94:J95 N94:N95 R94:R95 V94:V95 Z94:Z95 AD94:AD95 AH94:AH95 AT94:AT95 AX94:AX95 BB94:BB95 BJ94:BJ95 BN94:BN95 BR94:BR95 J109 N109 R109 V109 Z109 AD109 AH109 AT109 AX109 BB109 BJ109 BN109 BR109 K111 J111:J112 N111:N112 R111:R112 V111:V112 Z111:Z112 AD111:AD112 AH111:AH112 AT111:AT112 AX111:AX112 BB111:BB112 BJ111:BJ112 BN111:BN112 BR111:BR112 J126 N126 R126 V126 Z126 AD126 AH126 AT126 AX126 BB126 BJ126 BN126 BR126 J128:J129 N128:N129 R128:R129 V128:V129 Z128:Z129 AD128:AD129 AH128:AH129 AT128:AT129 AX128:AX129 BB128:BB129 BJ128:BJ129 BN128:BN129 BR128:BR129 J143 N143 R143 V143 Z143 AD143 AH143 AT143 AX143 BB143 BJ143 BN143 BR143 J145:J146 N145:N146 R145:R146 V145:V146 Z145:Z146 AD145:AD146 AH145:AH146 AT145:AT146 AX145:AX146 BB145:BB146 BJ145:BJ146 BN145:BN146 BR145:BR146 J160 N160 R160 V160 Z160 AD160 AH160 AT160 AX160 BB160 BJ160 BN160 BR160 J162:J163 N162:N163 R162:R163 V162:V163 Z162:Z163 AD162:AD163 AH162:AH163 AT162:AT163 AX162:AX163 BB162:BB163 BJ162:BJ163 BN162:BN163 BR162:BR163 J177 N177 R177 V177 Z177 AD177 AH177 AT177 AX177 BB177 BJ177 BN177 BR177 J179:J180 N179:N180 R179:R180 V179:V180 Z179:Z180 AD179:AD180 AH179:AH180 AT179:AT180 AX179:AX180 BB179:BB180 BJ179:BJ180 BN179:BN180 BR179:BR180 J194 N194 R194 V194 Z194 AD194 AH194 AT194 AX194 BB194 BJ194 BN194 BR194 J196:J197 N196:N197 R196:R197 V196:V197 Z196:Z197 AD196:AD197 AH196:AH197 AT196:AT197 AX196:AX197 BB196:BB197 BJ196:BJ197 BN196:BN197 BR196:BR197 J211 N211 R211 V211 Z211 AD211 AH211 AT211 AX211 BB211 BJ211 BN211 BR211 AT213:AT214 AX213:AX214 BB213:BB214 BJ213:BJ214 BN213:BN214 BR213:BR214 AT228 AX228 BB228 BJ228 BN228 BR228 J230:J231 N230:N231 R230:R231 V230:V231 Z230:Z231 AD230:AD231 AH230:AH231 AT230:AT231 AX230:AX231 BB230:BB231 BJ230:BJ231 BN230:BN231 BR230:BR231 J245 N245 R245 V245 Z245 AD245 AH245 AT245 AX245 BB245 BJ245 BN245 BR245 J247:J248 N247:N248 R247:R248 V247:V248 Z247:Z248 AD247:AD248 AH247:AH248 BR247:BR248 J262 N262 R262 V262 Z262 AD262 AH262 BR262 AT264:AT265 AX264:AX265 BJ264:BJ265 BN264:BN265 BR264:BR265 AT279 AX279 BJ279 BN279 BR279 J315:J316 N315:N316 R315:R316 V315:V316 Z315:Z316 AD315:AD316 AH315:AH316 AT315:AT316 AX315:AX316 BB315:BB316 BJ315:BJ316 BN315:BN316 BR315:BR316 J330 N330 R330 V330 Z330 AD330 AH330 AT330 AX330 BB330 BJ330 BN330 BR330">
    <cfRule type="expression" dxfId="4045" priority="989">
      <formula>J9&lt;L9</formula>
    </cfRule>
  </conditionalFormatting>
  <conditionalFormatting sqref="J9:J10 N9:N10 R9:R10 V9:V10 Z9:Z10 AD9:AD10 AH9:AH10 AT9:AT10 AX9:AX10 BB9:BB10 BJ9:BJ10 BN9:BN10 BR9:BR10 J24 N24 R24:R27 V24:V27 Z24:Z27 AD24:AD27 AH24:AH27 AT24:AT27 AX24:AX27 BB24:BB27 BJ24:BJ27 BN24:BN27 BR24:BR27 J26:J27 N26:N27 J41 N41 R41:R44 V41:V44 Z41:Z44 AD41:AD44 AH41:AH44 AT41:AT44 AX41:AX44 BB41:BB44 BJ41:BJ44 BN41:BN44 BR41:BR44 J43:J44 N43:N44 J58 N58 R58:R61 V58:V61 Z58:Z61 AD58:AD61 AH58:AH61 AT58:AT61 AX58:AX61 BB58:BB61 BJ58:BJ61 BN58:BN61 BR58:BR61 J60:J61 N60:N61 J75 N75 AD75:AE75 R75:R78 V75:V78 Z75:Z78 AD75:AD78 AH75:AH78 AT75:AT78 AX75:AX78 BB75:BB78 BJ75:BJ78 BN75:BN78 BR75:BR78 J77:J78 N77:N78 J92 N92 R92:R95 V92:V95 Z92:Z95 AD92:AD95 AH92:AH95 AT92:AT95 AX92:AX95 BB92:BB95 BJ92:BJ95 BN92:BN95 BR92:BR95 J94:J95 N94:N95 J109 N109 R109:R112 V109:V112 Z109:Z112 AD109:AD112 AH109:AH112 AT109:AT112 AX109:AX112 BB109:BB112 BJ109:BJ112 BN109:BN112 BR109:BR112 K111 J111:J112 N111:N112 J126 N126 R126:R129 V126:V129 Z126:Z129 AD126:AD129 AH126:AH129 AT126:AT129 AX126:AX129 BB126:BB129 BJ126:BJ129 BN126:BN129 BR126:BR129 J128:J129 N128:N129 J143 N143 R143:R146 V143:V146 Z143:Z146 AD143:AD146 AH143:AH146 AT143:AT146 AX143:AX146 BB143:BB146 BJ143:BJ146 BN143:BN146 BR143:BR146 J145:J146 N145:N146 J160 N160 R160:R163 V160:V163 Z160:Z163 AD160:AD163 AH160:AH163 AT160:AT163 AX160:AX163 BB160:BB163 BJ160:BJ163 BN160:BN163 BR160:BR163 J162:J163 N162:N163 J177 N177 R177:R180 V177:V180 Z177:Z180 AD177:AD180 AH177:AH180 AT177:AT180 AX177:AX180 BB177:BB180 BJ177:BJ180 BN177:BN180 BR177:BR180 J179:J180 N179:N180 J194 N194 R194:R197 V194:V197 Z194:Z197 AD194:AD197 AH194:AH197 AT194:AT197 AX194:AX197 BB194:BB197 BJ194:BJ197 BN194:BN197 BR194:BR197 J196:J197 N196:N197 J211 N211 AT211:AT214 AX211:AX214 BB211:BB214 BJ211:BJ214 BN211:BN214 BR211:BR214 R211:R231 V211:V231 Z211:Z231 AD211:AD231 AH211:AH231 AT228:AT231 AX228:AX231 BB228:BB231 BJ228:BJ231 BN228:BN231 BR228:BR231 J230:J231 N230:N231 J245 N245 R245:R248 V245:V248 Z245:Z248 AD245:AD248 AH245:AH248 BR245:BR248 AT245:AT265 AX245:AX265 BJ245:BJ265 BN245:BN265 BB245:BB316 J247:J248 N247:N248 J262 N262 R262:R263 V262:V263 Z262:Z263 AD262:AD263 AH262:AH265 BR262:BR265 AT279:AT282 AX279:AX282 BJ279:BJ282 BN279:BN282 BR279:BR282 AH313:AH316 AT313:AT316 AX313:AX316 BJ313:BJ316 BN313:BN316 BR313:BR316 R314:R316 V314:V316 Z314:Z316 AD314:AD316 J315:J316 N315:N316 J330 N330 R330 V330 Z330 AD330 AH330 AT330 AX330 BB330 BJ330 BN330 BR330">
    <cfRule type="expression" dxfId="4044" priority="990">
      <formula>J9&gt;L9</formula>
    </cfRule>
  </conditionalFormatting>
  <conditionalFormatting sqref="J11:J23">
    <cfRule type="expression" dxfId="4043" priority="988">
      <formula>J11&lt;L11</formula>
    </cfRule>
    <cfRule type="expression" dxfId="4042" priority="987">
      <formula>J11&gt;L11</formula>
    </cfRule>
  </conditionalFormatting>
  <conditionalFormatting sqref="J28:J40">
    <cfRule type="expression" dxfId="4041" priority="975">
      <formula>J28&gt;L28</formula>
    </cfRule>
    <cfRule type="expression" dxfId="4040" priority="976">
      <formula>J28&lt;L28</formula>
    </cfRule>
  </conditionalFormatting>
  <conditionalFormatting sqref="J45:J57">
    <cfRule type="expression" dxfId="4039" priority="963">
      <formula>J45&gt;L45</formula>
    </cfRule>
    <cfRule type="expression" dxfId="4038" priority="964">
      <formula>J45&lt;L45</formula>
    </cfRule>
  </conditionalFormatting>
  <conditionalFormatting sqref="J62:J74">
    <cfRule type="expression" dxfId="4037" priority="951">
      <formula>J62&gt;L62</formula>
    </cfRule>
    <cfRule type="expression" dxfId="4036" priority="952">
      <formula>J62&lt;L62</formula>
    </cfRule>
  </conditionalFormatting>
  <conditionalFormatting sqref="J79:J91">
    <cfRule type="expression" dxfId="4035" priority="940">
      <formula>J79&lt;L79</formula>
    </cfRule>
    <cfRule type="expression" dxfId="4034" priority="939">
      <formula>J79&gt;L79</formula>
    </cfRule>
  </conditionalFormatting>
  <conditionalFormatting sqref="J96:J108">
    <cfRule type="expression" dxfId="4033" priority="918">
      <formula>J96&lt;L96</formula>
    </cfRule>
    <cfRule type="expression" dxfId="4032" priority="917">
      <formula>J96&gt;L96</formula>
    </cfRule>
  </conditionalFormatting>
  <conditionalFormatting sqref="J113:J125">
    <cfRule type="expression" dxfId="4031" priority="916">
      <formula>J113&lt;L113</formula>
    </cfRule>
    <cfRule type="expression" dxfId="4030" priority="915">
      <formula>J113&gt;L113</formula>
    </cfRule>
  </conditionalFormatting>
  <conditionalFormatting sqref="J130:J142">
    <cfRule type="expression" dxfId="4029" priority="903">
      <formula>J130&gt;L130</formula>
    </cfRule>
    <cfRule type="expression" dxfId="4028" priority="904">
      <formula>J130&lt;L130</formula>
    </cfRule>
  </conditionalFormatting>
  <conditionalFormatting sqref="J147:J159">
    <cfRule type="expression" dxfId="4027" priority="892">
      <formula>J147&lt;L147</formula>
    </cfRule>
    <cfRule type="expression" dxfId="4026" priority="891">
      <formula>J147&gt;L147</formula>
    </cfRule>
  </conditionalFormatting>
  <conditionalFormatting sqref="J164:J176">
    <cfRule type="expression" dxfId="4025" priority="880">
      <formula>J164&lt;L164</formula>
    </cfRule>
    <cfRule type="expression" dxfId="4024" priority="879">
      <formula>J164&gt;L164</formula>
    </cfRule>
  </conditionalFormatting>
  <conditionalFormatting sqref="J181:J193">
    <cfRule type="expression" dxfId="4023" priority="867">
      <formula>J181&gt;L181</formula>
    </cfRule>
    <cfRule type="expression" dxfId="4022" priority="868">
      <formula>J181&lt;L181</formula>
    </cfRule>
  </conditionalFormatting>
  <conditionalFormatting sqref="J198:J210">
    <cfRule type="expression" dxfId="4021" priority="846">
      <formula>J198&lt;L198</formula>
    </cfRule>
    <cfRule type="expression" dxfId="4020" priority="845">
      <formula>J198&gt;L198</formula>
    </cfRule>
  </conditionalFormatting>
  <conditionalFormatting sqref="J232:J244">
    <cfRule type="expression" dxfId="4019" priority="844">
      <formula>J232&lt;L232</formula>
    </cfRule>
    <cfRule type="expression" dxfId="4018" priority="843">
      <formula>J232&gt;L232</formula>
    </cfRule>
  </conditionalFormatting>
  <conditionalFormatting sqref="J249:J261">
    <cfRule type="expression" dxfId="4017" priority="824">
      <formula>J249&lt;L249</formula>
    </cfRule>
    <cfRule type="expression" dxfId="4016" priority="823">
      <formula>J249&gt;L249</formula>
    </cfRule>
  </conditionalFormatting>
  <conditionalFormatting sqref="J274:J278">
    <cfRule type="expression" dxfId="4015" priority="297">
      <formula>J274&lt;L274-#REF!</formula>
    </cfRule>
  </conditionalFormatting>
  <conditionalFormatting sqref="J291:J295">
    <cfRule type="expression" dxfId="4014" priority="561">
      <formula>J291&lt;L291-#REF!</formula>
    </cfRule>
  </conditionalFormatting>
  <conditionalFormatting sqref="J308:J312">
    <cfRule type="expression" dxfId="4013" priority="6543">
      <formula>J308&lt;L308-#REF!</formula>
    </cfRule>
  </conditionalFormatting>
  <conditionalFormatting sqref="J317:J329">
    <cfRule type="expression" dxfId="4012" priority="822">
      <formula>J317&lt;L317</formula>
    </cfRule>
    <cfRule type="expression" dxfId="4011" priority="821">
      <formula>J317&gt;L317</formula>
    </cfRule>
  </conditionalFormatting>
  <conditionalFormatting sqref="J26:L27">
    <cfRule type="expression" dxfId="4010" priority="3655">
      <formula>J26&lt;L26*#REF!</formula>
    </cfRule>
    <cfRule type="expression" dxfId="4009" priority="3656">
      <formula>J26&gt;L26*#REF!</formula>
    </cfRule>
  </conditionalFormatting>
  <conditionalFormatting sqref="J41:L41">
    <cfRule type="expression" dxfId="4008" priority="3654">
      <formula>J41&gt;L41*#REF!</formula>
    </cfRule>
    <cfRule type="expression" dxfId="4007" priority="6574">
      <formula>J41&lt;L41*#REF!</formula>
    </cfRule>
  </conditionalFormatting>
  <conditionalFormatting sqref="J43:L44">
    <cfRule type="expression" dxfId="4006" priority="3680">
      <formula>J43&lt;L43*#REF!</formula>
    </cfRule>
    <cfRule type="expression" dxfId="4005" priority="3681">
      <formula>J43&gt;L43*#REF!</formula>
    </cfRule>
  </conditionalFormatting>
  <conditionalFormatting sqref="J58:L58">
    <cfRule type="expression" dxfId="4004" priority="3679">
      <formula>J58&gt;L58*#REF!</formula>
    </cfRule>
  </conditionalFormatting>
  <conditionalFormatting sqref="J60:L61">
    <cfRule type="expression" dxfId="4003" priority="3706">
      <formula>J60&gt;L60*#REF!</formula>
    </cfRule>
    <cfRule type="expression" dxfId="4002" priority="3705">
      <formula>J60&lt;L60*#REF!</formula>
    </cfRule>
  </conditionalFormatting>
  <conditionalFormatting sqref="J75:L75">
    <cfRule type="expression" dxfId="4001" priority="3704">
      <formula>J75&gt;L75*#REF!</formula>
    </cfRule>
    <cfRule type="expression" dxfId="4000" priority="6570">
      <formula>J75&lt;L75*#REF!</formula>
    </cfRule>
  </conditionalFormatting>
  <conditionalFormatting sqref="J77:L78">
    <cfRule type="expression" dxfId="3999" priority="3730">
      <formula>J77&lt;L77*#REF!</formula>
    </cfRule>
    <cfRule type="expression" dxfId="3998" priority="3731">
      <formula>J77&gt;L77*#REF!</formula>
    </cfRule>
  </conditionalFormatting>
  <conditionalFormatting sqref="J92:L92">
    <cfRule type="expression" dxfId="3997" priority="3729">
      <formula>J92&gt;L92*#REF!</formula>
    </cfRule>
  </conditionalFormatting>
  <conditionalFormatting sqref="J94:L95">
    <cfRule type="expression" dxfId="3996" priority="3755">
      <formula>J94&lt;L94*#REF!</formula>
    </cfRule>
    <cfRule type="expression" dxfId="3995" priority="3756">
      <formula>J94&gt;L94*#REF!</formula>
    </cfRule>
  </conditionalFormatting>
  <conditionalFormatting sqref="J109:L109">
    <cfRule type="expression" dxfId="3994" priority="3754">
      <formula>J109&gt;L109*#REF!</formula>
    </cfRule>
    <cfRule type="expression" dxfId="3993" priority="6566">
      <formula>J109&lt;L109*#REF!</formula>
    </cfRule>
  </conditionalFormatting>
  <conditionalFormatting sqref="J111:L112">
    <cfRule type="expression" dxfId="3992" priority="3780">
      <formula>J111&lt;L111*#REF!</formula>
    </cfRule>
    <cfRule type="expression" dxfId="3991" priority="3781">
      <formula>J111&gt;L111*#REF!</formula>
    </cfRule>
  </conditionalFormatting>
  <conditionalFormatting sqref="J126:L126">
    <cfRule type="expression" dxfId="3990" priority="3779">
      <formula>J126&gt;L126*#REF!</formula>
    </cfRule>
  </conditionalFormatting>
  <conditionalFormatting sqref="J128:L129">
    <cfRule type="expression" dxfId="3989" priority="3805">
      <formula>J128&lt;L128*#REF!</formula>
    </cfRule>
    <cfRule type="expression" dxfId="3988" priority="3806">
      <formula>J128&gt;L128*#REF!</formula>
    </cfRule>
  </conditionalFormatting>
  <conditionalFormatting sqref="J143:L143">
    <cfRule type="expression" dxfId="3987" priority="3804">
      <formula>J143&gt;L143*#REF!</formula>
    </cfRule>
    <cfRule type="expression" dxfId="3986" priority="6562">
      <formula>J143&lt;L143*#REF!</formula>
    </cfRule>
  </conditionalFormatting>
  <conditionalFormatting sqref="J145:L146">
    <cfRule type="expression" dxfId="3985" priority="3830">
      <formula>J145&lt;L145*#REF!</formula>
    </cfRule>
    <cfRule type="expression" dxfId="3984" priority="3831">
      <formula>J145&gt;L145*#REF!</formula>
    </cfRule>
  </conditionalFormatting>
  <conditionalFormatting sqref="J160:L160">
    <cfRule type="expression" dxfId="3983" priority="3829">
      <formula>J160&gt;L160*#REF!</formula>
    </cfRule>
  </conditionalFormatting>
  <conditionalFormatting sqref="J162:L163">
    <cfRule type="expression" dxfId="3982" priority="3856">
      <formula>J162&gt;L162*#REF!</formula>
    </cfRule>
    <cfRule type="expression" dxfId="3981" priority="3855">
      <formula>J162&lt;L162*#REF!</formula>
    </cfRule>
  </conditionalFormatting>
  <conditionalFormatting sqref="J177:L177">
    <cfRule type="expression" dxfId="3980" priority="3854">
      <formula>J177&gt;L177*#REF!</formula>
    </cfRule>
    <cfRule type="expression" dxfId="3979" priority="6558">
      <formula>J177&lt;L177*#REF!</formula>
    </cfRule>
  </conditionalFormatting>
  <conditionalFormatting sqref="J179:L180">
    <cfRule type="expression" dxfId="3978" priority="3880">
      <formula>J179&lt;L179*#REF!</formula>
    </cfRule>
    <cfRule type="expression" dxfId="3977" priority="3881">
      <formula>J179&gt;L179*#REF!</formula>
    </cfRule>
  </conditionalFormatting>
  <conditionalFormatting sqref="J194:L194">
    <cfRule type="expression" dxfId="3976" priority="3879">
      <formula>J194&gt;L194*#REF!</formula>
    </cfRule>
  </conditionalFormatting>
  <conditionalFormatting sqref="J196:L197">
    <cfRule type="expression" dxfId="3975" priority="3905">
      <formula>J196&lt;L196*#REF!</formula>
    </cfRule>
    <cfRule type="expression" dxfId="3974" priority="3906">
      <formula>J196&gt;L196*#REF!</formula>
    </cfRule>
  </conditionalFormatting>
  <conditionalFormatting sqref="J211:L211">
    <cfRule type="expression" dxfId="3973" priority="3904">
      <formula>J211&gt;L211*#REF!</formula>
    </cfRule>
    <cfRule type="expression" dxfId="3972" priority="6554">
      <formula>J211&lt;L211*#REF!</formula>
    </cfRule>
  </conditionalFormatting>
  <conditionalFormatting sqref="J213:L214">
    <cfRule type="expression" dxfId="3971" priority="3931">
      <formula>J213&gt;L213*#REF!</formula>
    </cfRule>
    <cfRule type="expression" dxfId="3970" priority="3930">
      <formula>J213&lt;L213*#REF!</formula>
    </cfRule>
  </conditionalFormatting>
  <conditionalFormatting sqref="J215:L217">
    <cfRule type="expression" dxfId="3969" priority="3934">
      <formula>J215&lt;L215-#REF!</formula>
    </cfRule>
  </conditionalFormatting>
  <conditionalFormatting sqref="J215:L227">
    <cfRule type="expression" dxfId="3968" priority="3910">
      <formula>J215&gt;L215+#REF!</formula>
    </cfRule>
  </conditionalFormatting>
  <conditionalFormatting sqref="J228:L228">
    <cfRule type="expression" dxfId="3967" priority="3929">
      <formula>J228&gt;L228*#REF!</formula>
    </cfRule>
  </conditionalFormatting>
  <conditionalFormatting sqref="J230:L231">
    <cfRule type="expression" dxfId="3966" priority="3956">
      <formula>J230&gt;L230*#REF!</formula>
    </cfRule>
    <cfRule type="expression" dxfId="3965" priority="3955">
      <formula>J230&lt;L230*#REF!</formula>
    </cfRule>
  </conditionalFormatting>
  <conditionalFormatting sqref="J245:L245">
    <cfRule type="expression" dxfId="3964" priority="3954">
      <formula>J245&gt;L245*#REF!</formula>
    </cfRule>
    <cfRule type="expression" dxfId="3963" priority="6550">
      <formula>J245&lt;L245*#REF!</formula>
    </cfRule>
  </conditionalFormatting>
  <conditionalFormatting sqref="J247:L248">
    <cfRule type="expression" dxfId="3962" priority="3980">
      <formula>J247&lt;L247*#REF!</formula>
    </cfRule>
    <cfRule type="expression" dxfId="3961" priority="3981">
      <formula>J247&gt;L247*#REF!</formula>
    </cfRule>
  </conditionalFormatting>
  <conditionalFormatting sqref="J262:L262">
    <cfRule type="expression" dxfId="3960" priority="3979">
      <formula>J262&gt;L262*#REF!</formula>
    </cfRule>
  </conditionalFormatting>
  <conditionalFormatting sqref="J264:L265">
    <cfRule type="expression" dxfId="3959" priority="291">
      <formula>J264&gt;L264*#REF!</formula>
    </cfRule>
    <cfRule type="expression" dxfId="3958" priority="290">
      <formula>J264&lt;L264*#REF!</formula>
    </cfRule>
  </conditionalFormatting>
  <conditionalFormatting sqref="J266:L273">
    <cfRule type="expression" dxfId="3957" priority="279">
      <formula>J266&lt;L266-#REF!</formula>
    </cfRule>
  </conditionalFormatting>
  <conditionalFormatting sqref="J266:L278">
    <cfRule type="expression" dxfId="3956" priority="275">
      <formula>J266&gt;L266+#REF!</formula>
    </cfRule>
  </conditionalFormatting>
  <conditionalFormatting sqref="J279:L279">
    <cfRule type="expression" dxfId="3955" priority="298">
      <formula>J279&lt;L279*#REF!</formula>
    </cfRule>
    <cfRule type="expression" dxfId="3954" priority="289">
      <formula>J279&gt;L279*#REF!</formula>
    </cfRule>
  </conditionalFormatting>
  <conditionalFormatting sqref="J281:L282">
    <cfRule type="expression" dxfId="3953" priority="554">
      <formula>J281&lt;L281*#REF!</formula>
    </cfRule>
    <cfRule type="expression" dxfId="3952" priority="555">
      <formula>J281&gt;L281*#REF!</formula>
    </cfRule>
  </conditionalFormatting>
  <conditionalFormatting sqref="J283:L290">
    <cfRule type="expression" dxfId="3951" priority="543">
      <formula>J283&lt;L283-#REF!</formula>
    </cfRule>
  </conditionalFormatting>
  <conditionalFormatting sqref="J283:L295">
    <cfRule type="expression" dxfId="3950" priority="539">
      <formula>J283&gt;L283+#REF!</formula>
    </cfRule>
  </conditionalFormatting>
  <conditionalFormatting sqref="J296:L296">
    <cfRule type="expression" dxfId="3949" priority="553">
      <formula>J296&gt;L296*#REF!</formula>
    </cfRule>
    <cfRule type="expression" dxfId="3948" priority="562">
      <formula>J296&lt;L296*#REF!</formula>
    </cfRule>
  </conditionalFormatting>
  <conditionalFormatting sqref="J298:L299">
    <cfRule type="expression" dxfId="3947" priority="4034">
      <formula>J298&gt;L298*#REF!</formula>
    </cfRule>
    <cfRule type="expression" dxfId="3946" priority="4033">
      <formula>J298&lt;L298*#REF!</formula>
    </cfRule>
  </conditionalFormatting>
  <conditionalFormatting sqref="J300:L307">
    <cfRule type="expression" dxfId="3945" priority="3993">
      <formula>J300&lt;L300-#REF!</formula>
    </cfRule>
  </conditionalFormatting>
  <conditionalFormatting sqref="J300:L312">
    <cfRule type="expression" dxfId="3944" priority="3989">
      <formula>J300&gt;L300+#REF!</formula>
    </cfRule>
  </conditionalFormatting>
  <conditionalFormatting sqref="J313:L313">
    <cfRule type="expression" dxfId="3943" priority="6544">
      <formula>J313&lt;L313*#REF!</formula>
    </cfRule>
    <cfRule type="expression" dxfId="3942" priority="4032">
      <formula>J313&gt;L313*#REF!</formula>
    </cfRule>
  </conditionalFormatting>
  <conditionalFormatting sqref="J315:L316">
    <cfRule type="expression" dxfId="3941" priority="4018">
      <formula>J315&lt;L315*#REF!</formula>
    </cfRule>
    <cfRule type="expression" dxfId="3940" priority="4019">
      <formula>J315&gt;L315*#REF!</formula>
    </cfRule>
  </conditionalFormatting>
  <conditionalFormatting sqref="J330:L330">
    <cfRule type="expression" dxfId="3939" priority="4017">
      <formula>J330&gt;L330*#REF!</formula>
    </cfRule>
  </conditionalFormatting>
  <conditionalFormatting sqref="K19:K23">
    <cfRule type="expression" dxfId="3938" priority="6582">
      <formula>K19&lt;M19-#REF!</formula>
    </cfRule>
  </conditionalFormatting>
  <conditionalFormatting sqref="K38:K40">
    <cfRule type="expression" dxfId="3937" priority="3642">
      <formula>K38&lt;M38-#REF!</formula>
    </cfRule>
  </conditionalFormatting>
  <conditionalFormatting sqref="K53:K57">
    <cfRule type="expression" dxfId="3936" priority="3667">
      <formula>K53&lt;M53-#REF!</formula>
    </cfRule>
  </conditionalFormatting>
  <conditionalFormatting sqref="K70:K74">
    <cfRule type="expression" dxfId="3935" priority="3690">
      <formula>K70&gt;M70+#REF!</formula>
    </cfRule>
  </conditionalFormatting>
  <conditionalFormatting sqref="K72:K74">
    <cfRule type="expression" dxfId="3934" priority="3692">
      <formula>K72&lt;M72-#REF!</formula>
    </cfRule>
  </conditionalFormatting>
  <conditionalFormatting sqref="K87:K91">
    <cfRule type="expression" dxfId="3933" priority="3715">
      <formula>K87&gt;M87+#REF!</formula>
    </cfRule>
    <cfRule type="expression" dxfId="3932" priority="3717">
      <formula>K87&lt;M87-#REF!</formula>
    </cfRule>
  </conditionalFormatting>
  <conditionalFormatting sqref="K106:K108">
    <cfRule type="expression" dxfId="3931" priority="3742">
      <formula>K106&lt;M106-#REF!</formula>
    </cfRule>
  </conditionalFormatting>
  <conditionalFormatting sqref="K121:K125">
    <cfRule type="expression" dxfId="3930" priority="3767">
      <formula>K121&lt;M121-#REF!</formula>
    </cfRule>
  </conditionalFormatting>
  <conditionalFormatting sqref="K138:K142">
    <cfRule type="expression" dxfId="3929" priority="3790">
      <formula>K138&gt;M138+#REF!</formula>
    </cfRule>
  </conditionalFormatting>
  <conditionalFormatting sqref="K140:K142">
    <cfRule type="expression" dxfId="3928" priority="3792">
      <formula>K140&lt;M140-#REF!</formula>
    </cfRule>
  </conditionalFormatting>
  <conditionalFormatting sqref="K155:K159">
    <cfRule type="expression" dxfId="3927" priority="3817">
      <formula>K155&lt;M155-#REF!</formula>
    </cfRule>
  </conditionalFormatting>
  <conditionalFormatting sqref="K174:K176">
    <cfRule type="expression" dxfId="3926" priority="3842">
      <formula>K174&lt;M174-#REF!</formula>
    </cfRule>
  </conditionalFormatting>
  <conditionalFormatting sqref="K189:K193">
    <cfRule type="expression" dxfId="3925" priority="3867">
      <formula>K189&lt;M189-#REF!</formula>
    </cfRule>
  </conditionalFormatting>
  <conditionalFormatting sqref="K206:K210">
    <cfRule type="expression" dxfId="3924" priority="3890">
      <formula>K206&gt;M206+#REF!</formula>
    </cfRule>
  </conditionalFormatting>
  <conditionalFormatting sqref="K208:K210">
    <cfRule type="expression" dxfId="3923" priority="3892">
      <formula>K208&lt;M208-#REF!</formula>
    </cfRule>
  </conditionalFormatting>
  <conditionalFormatting sqref="K223:K227">
    <cfRule type="expression" dxfId="3922" priority="3917">
      <formula>K223&lt;M223-#REF!</formula>
    </cfRule>
  </conditionalFormatting>
  <conditionalFormatting sqref="K242:K244">
    <cfRule type="expression" dxfId="3921" priority="3942">
      <formula>K242&lt;M242-#REF!</formula>
    </cfRule>
  </conditionalFormatting>
  <conditionalFormatting sqref="K15:L16">
    <cfRule type="expression" dxfId="3920" priority="6578">
      <formula>K15&gt;M15+#REF!</formula>
    </cfRule>
    <cfRule type="expression" dxfId="3919" priority="6579">
      <formula>K15&lt;M15-#REF!</formula>
    </cfRule>
  </conditionalFormatting>
  <conditionalFormatting sqref="K19:L23">
    <cfRule type="expression" dxfId="3918" priority="6575">
      <formula>K19&gt;M19+#REF!</formula>
    </cfRule>
  </conditionalFormatting>
  <conditionalFormatting sqref="K28:L35">
    <cfRule type="expression" dxfId="3917" priority="3639">
      <formula>K28&lt;M28-#REF!</formula>
    </cfRule>
  </conditionalFormatting>
  <conditionalFormatting sqref="K28:L40">
    <cfRule type="expression" dxfId="3916" priority="3635">
      <formula>K28&gt;M28+#REF!</formula>
    </cfRule>
  </conditionalFormatting>
  <conditionalFormatting sqref="K45:L47">
    <cfRule type="expression" dxfId="3915" priority="3684">
      <formula>K45&lt;M45-#REF!</formula>
    </cfRule>
  </conditionalFormatting>
  <conditionalFormatting sqref="K45:L57">
    <cfRule type="expression" dxfId="3914" priority="3660">
      <formula>K45&gt;M45+#REF!</formula>
    </cfRule>
  </conditionalFormatting>
  <conditionalFormatting sqref="K49:L50">
    <cfRule type="expression" dxfId="3913" priority="3664">
      <formula>K49&lt;M49-#REF!</formula>
    </cfRule>
  </conditionalFormatting>
  <conditionalFormatting sqref="K62:L69">
    <cfRule type="expression" dxfId="3912" priority="3688">
      <formula>K62&gt;M62+#REF!</formula>
    </cfRule>
    <cfRule type="expression" dxfId="3911" priority="3689">
      <formula>K62&lt;M62-#REF!</formula>
    </cfRule>
  </conditionalFormatting>
  <conditionalFormatting sqref="K79:L81">
    <cfRule type="expression" dxfId="3910" priority="3734">
      <formula>K79&lt;M79-#REF!</formula>
    </cfRule>
  </conditionalFormatting>
  <conditionalFormatting sqref="K79:L86">
    <cfRule type="expression" dxfId="3909" priority="3713">
      <formula>K79&gt;M79+#REF!</formula>
    </cfRule>
  </conditionalFormatting>
  <conditionalFormatting sqref="K83:L84">
    <cfRule type="expression" dxfId="3908" priority="3714">
      <formula>K83&lt;M83-#REF!</formula>
    </cfRule>
  </conditionalFormatting>
  <conditionalFormatting sqref="K96:L103">
    <cfRule type="expression" dxfId="3907" priority="3739">
      <formula>K96&lt;M96-#REF!</formula>
    </cfRule>
  </conditionalFormatting>
  <conditionalFormatting sqref="K96:L108">
    <cfRule type="expression" dxfId="3906" priority="3735">
      <formula>K96&gt;M96+#REF!</formula>
    </cfRule>
  </conditionalFormatting>
  <conditionalFormatting sqref="K113:L115">
    <cfRule type="expression" dxfId="3905" priority="3784">
      <formula>K113&lt;M113-#REF!</formula>
    </cfRule>
  </conditionalFormatting>
  <conditionalFormatting sqref="K113:L125">
    <cfRule type="expression" dxfId="3904" priority="3760">
      <formula>K113&gt;M113+#REF!</formula>
    </cfRule>
  </conditionalFormatting>
  <conditionalFormatting sqref="K117:L118">
    <cfRule type="expression" dxfId="3903" priority="3764">
      <formula>K117&lt;M117-#REF!</formula>
    </cfRule>
  </conditionalFormatting>
  <conditionalFormatting sqref="K130:L137">
    <cfRule type="expression" dxfId="3902" priority="3789">
      <formula>K130&lt;M130-#REF!</formula>
    </cfRule>
    <cfRule type="expression" dxfId="3901" priority="3788">
      <formula>K130&gt;M130+#REF!</formula>
    </cfRule>
  </conditionalFormatting>
  <conditionalFormatting sqref="K147:L149">
    <cfRule type="expression" dxfId="3900" priority="3834">
      <formula>K147&lt;M147-#REF!</formula>
    </cfRule>
  </conditionalFormatting>
  <conditionalFormatting sqref="K147:L159">
    <cfRule type="expression" dxfId="3899" priority="3810">
      <formula>K147&gt;M147+#REF!</formula>
    </cfRule>
  </conditionalFormatting>
  <conditionalFormatting sqref="K151:L152">
    <cfRule type="expression" dxfId="3898" priority="3814">
      <formula>K151&lt;M151-#REF!</formula>
    </cfRule>
  </conditionalFormatting>
  <conditionalFormatting sqref="K164:L171">
    <cfRule type="expression" dxfId="3897" priority="3839">
      <formula>K164&lt;M164-#REF!</formula>
    </cfRule>
  </conditionalFormatting>
  <conditionalFormatting sqref="K164:L176">
    <cfRule type="expression" dxfId="3896" priority="3835">
      <formula>K164&gt;M164+#REF!</formula>
    </cfRule>
  </conditionalFormatting>
  <conditionalFormatting sqref="K181:L183">
    <cfRule type="expression" dxfId="3895" priority="3884">
      <formula>K181&lt;M181-#REF!</formula>
    </cfRule>
  </conditionalFormatting>
  <conditionalFormatting sqref="K181:L193">
    <cfRule type="expression" dxfId="3894" priority="3860">
      <formula>K181&gt;M181+#REF!</formula>
    </cfRule>
  </conditionalFormatting>
  <conditionalFormatting sqref="K185:L186">
    <cfRule type="expression" dxfId="3893" priority="3864">
      <formula>K185&lt;M185-#REF!</formula>
    </cfRule>
  </conditionalFormatting>
  <conditionalFormatting sqref="K198:L205">
    <cfRule type="expression" dxfId="3892" priority="3888">
      <formula>K198&gt;M198+#REF!</formula>
    </cfRule>
    <cfRule type="expression" dxfId="3891" priority="3889">
      <formula>K198&lt;M198-#REF!</formula>
    </cfRule>
  </conditionalFormatting>
  <conditionalFormatting sqref="K219:L220">
    <cfRule type="expression" dxfId="3890" priority="3914">
      <formula>K219&lt;M219-#REF!</formula>
    </cfRule>
  </conditionalFormatting>
  <conditionalFormatting sqref="K232:L239">
    <cfRule type="expression" dxfId="3889" priority="3939">
      <formula>K232&lt;M232-#REF!</formula>
    </cfRule>
  </conditionalFormatting>
  <conditionalFormatting sqref="K232:L244">
    <cfRule type="expression" dxfId="3888" priority="3935">
      <formula>K232&gt;M232+#REF!</formula>
    </cfRule>
  </conditionalFormatting>
  <conditionalFormatting sqref="K249:L251">
    <cfRule type="expression" dxfId="3887" priority="3984">
      <formula>K249&lt;M249-#REF!</formula>
    </cfRule>
  </conditionalFormatting>
  <conditionalFormatting sqref="K249:L261">
    <cfRule type="expression" dxfId="3886" priority="3960">
      <formula>K249&gt;M249+#REF!</formula>
    </cfRule>
  </conditionalFormatting>
  <conditionalFormatting sqref="K253:L254">
    <cfRule type="expression" dxfId="3885" priority="3964">
      <formula>K253&lt;M253-#REF!</formula>
    </cfRule>
  </conditionalFormatting>
  <conditionalFormatting sqref="K257:L261">
    <cfRule type="expression" dxfId="3884" priority="3962">
      <formula>K257&lt;M257-#REF!</formula>
    </cfRule>
  </conditionalFormatting>
  <conditionalFormatting sqref="K276:L278">
    <cfRule type="expression" dxfId="3883" priority="277">
      <formula>K276&lt;M276-#REF!</formula>
    </cfRule>
  </conditionalFormatting>
  <conditionalFormatting sqref="K293:L295">
    <cfRule type="expression" dxfId="3882" priority="541">
      <formula>K293&lt;M293-#REF!</formula>
    </cfRule>
  </conditionalFormatting>
  <conditionalFormatting sqref="K310:L312">
    <cfRule type="expression" dxfId="3881" priority="3991">
      <formula>K310&lt;M310-#REF!</formula>
    </cfRule>
  </conditionalFormatting>
  <conditionalFormatting sqref="K317:L319">
    <cfRule type="expression" dxfId="3880" priority="4022">
      <formula>K317&lt;M317-#REF!</formula>
    </cfRule>
  </conditionalFormatting>
  <conditionalFormatting sqref="K317:L329">
    <cfRule type="expression" dxfId="3879" priority="3985">
      <formula>K317&gt;M317+#REF!</formula>
    </cfRule>
  </conditionalFormatting>
  <conditionalFormatting sqref="K321:L322">
    <cfRule type="expression" dxfId="3878" priority="3988">
      <formula>K321&lt;M321-#REF!</formula>
    </cfRule>
  </conditionalFormatting>
  <conditionalFormatting sqref="K325:L326">
    <cfRule type="expression" dxfId="3877" priority="6546">
      <formula>K325&lt;M325-#REF!</formula>
    </cfRule>
  </conditionalFormatting>
  <conditionalFormatting sqref="L19:L20">
    <cfRule type="expression" dxfId="3876" priority="6577">
      <formula>L19&lt;N19-#REF!</formula>
    </cfRule>
  </conditionalFormatting>
  <conditionalFormatting sqref="L36:L37">
    <cfRule type="expression" dxfId="3875" priority="3637">
      <formula>L36&lt;N36-#REF!</formula>
    </cfRule>
  </conditionalFormatting>
  <conditionalFormatting sqref="L53:L54">
    <cfRule type="expression" dxfId="3874" priority="3662">
      <formula>L53&lt;N53-#REF!</formula>
    </cfRule>
  </conditionalFormatting>
  <conditionalFormatting sqref="L70:L71">
    <cfRule type="expression" dxfId="3873" priority="3686">
      <formula>L70&gt;N70+#REF!</formula>
    </cfRule>
    <cfRule type="expression" dxfId="3872" priority="3687">
      <formula>L70&lt;N70-#REF!</formula>
    </cfRule>
  </conditionalFormatting>
  <conditionalFormatting sqref="L72:L74">
    <cfRule type="expression" dxfId="3871" priority="3685">
      <formula>L72&lt;N72-#REF!</formula>
    </cfRule>
  </conditionalFormatting>
  <conditionalFormatting sqref="L87:L88">
    <cfRule type="expression" dxfId="3870" priority="3712">
      <formula>L87&lt;N87-#REF!</formula>
    </cfRule>
    <cfRule type="expression" dxfId="3869" priority="3711">
      <formula>L87&gt;N87+#REF!</formula>
    </cfRule>
  </conditionalFormatting>
  <conditionalFormatting sqref="L89:L91">
    <cfRule type="expression" dxfId="3868" priority="3710">
      <formula>L89&lt;N89-#REF!</formula>
    </cfRule>
  </conditionalFormatting>
  <conditionalFormatting sqref="L104:L105">
    <cfRule type="expression" dxfId="3867" priority="3737">
      <formula>L104&lt;N104-#REF!</formula>
    </cfRule>
  </conditionalFormatting>
  <conditionalFormatting sqref="L121:L122">
    <cfRule type="expression" dxfId="3866" priority="3762">
      <formula>L121&lt;N121-#REF!</formula>
    </cfRule>
  </conditionalFormatting>
  <conditionalFormatting sqref="L138:L139">
    <cfRule type="expression" dxfId="3865" priority="3786">
      <formula>L138&gt;N138+#REF!</formula>
    </cfRule>
    <cfRule type="expression" dxfId="3864" priority="3787">
      <formula>L138&lt;N138-#REF!</formula>
    </cfRule>
  </conditionalFormatting>
  <conditionalFormatting sqref="L140:L142">
    <cfRule type="expression" dxfId="3863" priority="3785">
      <formula>L140&lt;N140-#REF!</formula>
    </cfRule>
  </conditionalFormatting>
  <conditionalFormatting sqref="L155:L156">
    <cfRule type="expression" dxfId="3862" priority="3812">
      <formula>L155&lt;N155-#REF!</formula>
    </cfRule>
  </conditionalFormatting>
  <conditionalFormatting sqref="L172:L173">
    <cfRule type="expression" dxfId="3861" priority="3837">
      <formula>L172&lt;N172-#REF!</formula>
    </cfRule>
  </conditionalFormatting>
  <conditionalFormatting sqref="L189:L190">
    <cfRule type="expression" dxfId="3860" priority="3862">
      <formula>L189&lt;N189-#REF!</formula>
    </cfRule>
  </conditionalFormatting>
  <conditionalFormatting sqref="L206:L207">
    <cfRule type="expression" dxfId="3859" priority="3886">
      <formula>L206&gt;N206+#REF!</formula>
    </cfRule>
    <cfRule type="expression" dxfId="3858" priority="3887">
      <formula>L206&lt;N206-#REF!</formula>
    </cfRule>
  </conditionalFormatting>
  <conditionalFormatting sqref="L208:L210">
    <cfRule type="expression" dxfId="3857" priority="3885">
      <formula>L208&lt;N208-#REF!</formula>
    </cfRule>
  </conditionalFormatting>
  <conditionalFormatting sqref="L223:L224">
    <cfRule type="expression" dxfId="3856" priority="3912">
      <formula>L223&lt;N223-#REF!</formula>
    </cfRule>
  </conditionalFormatting>
  <conditionalFormatting sqref="L240:L241">
    <cfRule type="expression" dxfId="3855" priority="3937">
      <formula>L240&lt;N240-#REF!</formula>
    </cfRule>
  </conditionalFormatting>
  <conditionalFormatting sqref="N9">
    <cfRule type="expression" dxfId="3854" priority="6731">
      <formula>N9&lt;P9*#REF!</formula>
    </cfRule>
    <cfRule type="expression" dxfId="3853" priority="6732">
      <formula>N9&gt;P9*#REF!</formula>
    </cfRule>
  </conditionalFormatting>
  <conditionalFormatting sqref="N11:N23">
    <cfRule type="expression" dxfId="3852" priority="986">
      <formula>N11&lt;P11</formula>
    </cfRule>
    <cfRule type="expression" dxfId="3851" priority="985">
      <formula>N11&gt;P11</formula>
    </cfRule>
  </conditionalFormatting>
  <conditionalFormatting sqref="N24">
    <cfRule type="expression" dxfId="3850" priority="6728">
      <formula>N24&gt;P24*#REF!</formula>
    </cfRule>
    <cfRule type="expression" dxfId="3849" priority="6727">
      <formula>N24&lt;P24*#REF!</formula>
    </cfRule>
  </conditionalFormatting>
  <conditionalFormatting sqref="N26:N27">
    <cfRule type="expression" dxfId="3848" priority="6535">
      <formula>N26&gt;P26*#REF!</formula>
    </cfRule>
    <cfRule type="expression" dxfId="3847" priority="6534">
      <formula>N26&lt;P26*#REF!</formula>
    </cfRule>
  </conditionalFormatting>
  <conditionalFormatting sqref="N28:N40">
    <cfRule type="expression" dxfId="3846" priority="974">
      <formula>N28&lt;P28</formula>
    </cfRule>
    <cfRule type="expression" dxfId="3845" priority="973">
      <formula>N28&gt;P28</formula>
    </cfRule>
  </conditionalFormatting>
  <conditionalFormatting sqref="N41">
    <cfRule type="expression" dxfId="3844" priority="6532">
      <formula>N41&lt;P41*#REF!</formula>
    </cfRule>
    <cfRule type="expression" dxfId="3843" priority="6533">
      <formula>N41&gt;P41*#REF!</formula>
    </cfRule>
  </conditionalFormatting>
  <conditionalFormatting sqref="N43:N44">
    <cfRule type="expression" dxfId="3842" priority="6402">
      <formula>N43&lt;P43*#REF!</formula>
    </cfRule>
    <cfRule type="expression" dxfId="3841" priority="6403">
      <formula>N43&gt;P43*#REF!</formula>
    </cfRule>
  </conditionalFormatting>
  <conditionalFormatting sqref="N45:N57">
    <cfRule type="expression" dxfId="3840" priority="961">
      <formula>N45&gt;P45</formula>
    </cfRule>
    <cfRule type="expression" dxfId="3839" priority="962">
      <formula>N45&lt;P45</formula>
    </cfRule>
  </conditionalFormatting>
  <conditionalFormatting sqref="N58">
    <cfRule type="expression" dxfId="3838" priority="6400">
      <formula>N58&lt;P58*#REF!</formula>
    </cfRule>
    <cfRule type="expression" dxfId="3837" priority="6401">
      <formula>N58&gt;P58*#REF!</formula>
    </cfRule>
  </conditionalFormatting>
  <conditionalFormatting sqref="N60:N61">
    <cfRule type="expression" dxfId="3836" priority="6270">
      <formula>N60&lt;P60*#REF!</formula>
    </cfRule>
    <cfRule type="expression" dxfId="3835" priority="6271">
      <formula>N60&gt;P60*#REF!</formula>
    </cfRule>
  </conditionalFormatting>
  <conditionalFormatting sqref="N62:N74">
    <cfRule type="expression" dxfId="3834" priority="949">
      <formula>N62&gt;P62</formula>
    </cfRule>
    <cfRule type="expression" dxfId="3833" priority="950">
      <formula>N62&lt;P62</formula>
    </cfRule>
  </conditionalFormatting>
  <conditionalFormatting sqref="N75">
    <cfRule type="expression" dxfId="3832" priority="6269">
      <formula>N75&gt;P75*#REF!</formula>
    </cfRule>
    <cfRule type="expression" dxfId="3831" priority="6268">
      <formula>N75&lt;P75*#REF!</formula>
    </cfRule>
  </conditionalFormatting>
  <conditionalFormatting sqref="N77:N78">
    <cfRule type="expression" dxfId="3830" priority="4341">
      <formula>N77&gt;P77*#REF!</formula>
    </cfRule>
    <cfRule type="expression" dxfId="3829" priority="4340">
      <formula>N77&lt;P77*#REF!</formula>
    </cfRule>
  </conditionalFormatting>
  <conditionalFormatting sqref="N79:N91">
    <cfRule type="expression" dxfId="3828" priority="937">
      <formula>N79&gt;P79</formula>
    </cfRule>
    <cfRule type="expression" dxfId="3827" priority="938">
      <formula>N79&lt;P79</formula>
    </cfRule>
  </conditionalFormatting>
  <conditionalFormatting sqref="N92">
    <cfRule type="expression" dxfId="3826" priority="4338">
      <formula>N92&lt;P92*#REF!</formula>
    </cfRule>
    <cfRule type="expression" dxfId="3825" priority="4339">
      <formula>N92&gt;P92*#REF!</formula>
    </cfRule>
  </conditionalFormatting>
  <conditionalFormatting sqref="N94:N95">
    <cfRule type="expression" dxfId="3824" priority="4202">
      <formula>N94&lt;P94*#REF!</formula>
    </cfRule>
    <cfRule type="expression" dxfId="3823" priority="4203">
      <formula>N94&gt;P94*#REF!</formula>
    </cfRule>
  </conditionalFormatting>
  <conditionalFormatting sqref="N96:N108">
    <cfRule type="expression" dxfId="3822" priority="920">
      <formula>N96&lt;P96</formula>
    </cfRule>
    <cfRule type="expression" dxfId="3821" priority="919">
      <formula>N96&gt;P96</formula>
    </cfRule>
  </conditionalFormatting>
  <conditionalFormatting sqref="N109">
    <cfRule type="expression" dxfId="3820" priority="4200">
      <formula>N109&lt;P109*#REF!</formula>
    </cfRule>
    <cfRule type="expression" dxfId="3819" priority="4201">
      <formula>N109&gt;P109*#REF!</formula>
    </cfRule>
  </conditionalFormatting>
  <conditionalFormatting sqref="N111:N112">
    <cfRule type="expression" dxfId="3818" priority="6134">
      <formula>N111&lt;P111*#REF!</formula>
    </cfRule>
    <cfRule type="expression" dxfId="3817" priority="6135">
      <formula>N111&gt;P111*#REF!</formula>
    </cfRule>
  </conditionalFormatting>
  <conditionalFormatting sqref="N113:N125">
    <cfRule type="expression" dxfId="3816" priority="914">
      <formula>N113&lt;P113</formula>
    </cfRule>
    <cfRule type="expression" dxfId="3815" priority="913">
      <formula>N113&gt;P113</formula>
    </cfRule>
  </conditionalFormatting>
  <conditionalFormatting sqref="N126">
    <cfRule type="expression" dxfId="3814" priority="6132">
      <formula>N126&lt;P126*#REF!</formula>
    </cfRule>
    <cfRule type="expression" dxfId="3813" priority="6133">
      <formula>N126&gt;P126*#REF!</formula>
    </cfRule>
  </conditionalFormatting>
  <conditionalFormatting sqref="N128:N129">
    <cfRule type="expression" dxfId="3812" priority="5996">
      <formula>N128&lt;P128*#REF!</formula>
    </cfRule>
    <cfRule type="expression" dxfId="3811" priority="5997">
      <formula>N128&gt;P128*#REF!</formula>
    </cfRule>
  </conditionalFormatting>
  <conditionalFormatting sqref="N130:N142">
    <cfRule type="expression" dxfId="3810" priority="902">
      <formula>N130&lt;P130</formula>
    </cfRule>
    <cfRule type="expression" dxfId="3809" priority="901">
      <formula>N130&gt;P130</formula>
    </cfRule>
  </conditionalFormatting>
  <conditionalFormatting sqref="N143">
    <cfRule type="expression" dxfId="3808" priority="5995">
      <formula>N143&gt;P143*#REF!</formula>
    </cfRule>
    <cfRule type="expression" dxfId="3807" priority="5994">
      <formula>N143&lt;P143*#REF!</formula>
    </cfRule>
  </conditionalFormatting>
  <conditionalFormatting sqref="N145:N146">
    <cfRule type="expression" dxfId="3806" priority="5859">
      <formula>N145&gt;P145*#REF!</formula>
    </cfRule>
    <cfRule type="expression" dxfId="3805" priority="5858">
      <formula>N145&lt;P145*#REF!</formula>
    </cfRule>
  </conditionalFormatting>
  <conditionalFormatting sqref="N147:N159">
    <cfRule type="expression" dxfId="3804" priority="889">
      <formula>N147&gt;P147</formula>
    </cfRule>
    <cfRule type="expression" dxfId="3803" priority="890">
      <formula>N147&lt;P147</formula>
    </cfRule>
  </conditionalFormatting>
  <conditionalFormatting sqref="N160">
    <cfRule type="expression" dxfId="3802" priority="5857">
      <formula>N160&gt;P160*#REF!</formula>
    </cfRule>
    <cfRule type="expression" dxfId="3801" priority="5856">
      <formula>N160&lt;P160*#REF!</formula>
    </cfRule>
  </conditionalFormatting>
  <conditionalFormatting sqref="N162:N163">
    <cfRule type="expression" dxfId="3800" priority="5720">
      <formula>N162&lt;P162*#REF!</formula>
    </cfRule>
    <cfRule type="expression" dxfId="3799" priority="5721">
      <formula>N162&gt;P162*#REF!</formula>
    </cfRule>
  </conditionalFormatting>
  <conditionalFormatting sqref="N164:N176">
    <cfRule type="expression" dxfId="3798" priority="878">
      <formula>N164&lt;P164</formula>
    </cfRule>
    <cfRule type="expression" dxfId="3797" priority="877">
      <formula>N164&gt;P164</formula>
    </cfRule>
  </conditionalFormatting>
  <conditionalFormatting sqref="N177">
    <cfRule type="expression" dxfId="3796" priority="5718">
      <formula>N177&lt;P177*#REF!</formula>
    </cfRule>
    <cfRule type="expression" dxfId="3795" priority="5719">
      <formula>N177&gt;P177*#REF!</formula>
    </cfRule>
  </conditionalFormatting>
  <conditionalFormatting sqref="N179:N180">
    <cfRule type="expression" dxfId="3794" priority="5582">
      <formula>N179&lt;P179*#REF!</formula>
    </cfRule>
    <cfRule type="expression" dxfId="3793" priority="5583">
      <formula>N179&gt;P179*#REF!</formula>
    </cfRule>
  </conditionalFormatting>
  <conditionalFormatting sqref="N181:N193">
    <cfRule type="expression" dxfId="3792" priority="865">
      <formula>N181&gt;P181</formula>
    </cfRule>
    <cfRule type="expression" dxfId="3791" priority="866">
      <formula>N181&lt;P181</formula>
    </cfRule>
  </conditionalFormatting>
  <conditionalFormatting sqref="N194">
    <cfRule type="expression" dxfId="3790" priority="5580">
      <formula>N194&lt;P194*#REF!</formula>
    </cfRule>
    <cfRule type="expression" dxfId="3789" priority="5581">
      <formula>N194&gt;P194*#REF!</formula>
    </cfRule>
  </conditionalFormatting>
  <conditionalFormatting sqref="N196:N197">
    <cfRule type="expression" dxfId="3788" priority="5444">
      <formula>N196&lt;P196*#REF!</formula>
    </cfRule>
    <cfRule type="expression" dxfId="3787" priority="5445">
      <formula>N196&gt;P196*#REF!</formula>
    </cfRule>
  </conditionalFormatting>
  <conditionalFormatting sqref="N198:N210">
    <cfRule type="expression" dxfId="3786" priority="848">
      <formula>N198&lt;P198</formula>
    </cfRule>
    <cfRule type="expression" dxfId="3785" priority="847">
      <formula>N198&gt;P198</formula>
    </cfRule>
  </conditionalFormatting>
  <conditionalFormatting sqref="N211">
    <cfRule type="expression" dxfId="3784" priority="5442">
      <formula>N211&lt;P211*#REF!</formula>
    </cfRule>
    <cfRule type="expression" dxfId="3783" priority="5443">
      <formula>N211&gt;P211*#REF!</formula>
    </cfRule>
  </conditionalFormatting>
  <conditionalFormatting sqref="N213:N214">
    <cfRule type="expression" dxfId="3782" priority="5306">
      <formula>N213&lt;P213*#REF!</formula>
    </cfRule>
    <cfRule type="expression" dxfId="3781" priority="5307">
      <formula>N213&gt;P213*#REF!</formula>
    </cfRule>
  </conditionalFormatting>
  <conditionalFormatting sqref="N215:N227">
    <cfRule type="expression" dxfId="3780" priority="5286">
      <formula>N215&gt;P215+#REF!</formula>
    </cfRule>
    <cfRule type="expression" dxfId="3779" priority="5287">
      <formula>N215&lt;P215-#REF!</formula>
    </cfRule>
  </conditionalFormatting>
  <conditionalFormatting sqref="N228">
    <cfRule type="expression" dxfId="3778" priority="5305">
      <formula>N228&gt;P228*#REF!</formula>
    </cfRule>
    <cfRule type="expression" dxfId="3777" priority="5304">
      <formula>N228&lt;P228*#REF!</formula>
    </cfRule>
  </conditionalFormatting>
  <conditionalFormatting sqref="N230:N231">
    <cfRule type="expression" dxfId="3776" priority="5168">
      <formula>N230&lt;P230*#REF!</formula>
    </cfRule>
    <cfRule type="expression" dxfId="3775" priority="5169">
      <formula>N230&gt;P230*#REF!</formula>
    </cfRule>
  </conditionalFormatting>
  <conditionalFormatting sqref="N232:N244">
    <cfRule type="expression" dxfId="3774" priority="841">
      <formula>N232&gt;P232</formula>
    </cfRule>
    <cfRule type="expression" dxfId="3773" priority="842">
      <formula>N232&lt;P232</formula>
    </cfRule>
  </conditionalFormatting>
  <conditionalFormatting sqref="N245">
    <cfRule type="expression" dxfId="3772" priority="5166">
      <formula>N245&lt;P245*#REF!</formula>
    </cfRule>
    <cfRule type="expression" dxfId="3771" priority="5167">
      <formula>N245&gt;P245*#REF!</formula>
    </cfRule>
  </conditionalFormatting>
  <conditionalFormatting sqref="N247:N248">
    <cfRule type="expression" dxfId="3770" priority="5030">
      <formula>N247&lt;P247*#REF!</formula>
    </cfRule>
    <cfRule type="expression" dxfId="3769" priority="5031">
      <formula>N247&gt;P247*#REF!</formula>
    </cfRule>
  </conditionalFormatting>
  <conditionalFormatting sqref="N249:N261">
    <cfRule type="expression" dxfId="3768" priority="5010">
      <formula>N249&gt;P249+#REF!</formula>
    </cfRule>
    <cfRule type="expression" dxfId="3767" priority="5011">
      <formula>N249&lt;P249-#REF!</formula>
    </cfRule>
  </conditionalFormatting>
  <conditionalFormatting sqref="N262">
    <cfRule type="expression" dxfId="3766" priority="5029">
      <formula>N262&gt;P262*#REF!</formula>
    </cfRule>
    <cfRule type="expression" dxfId="3765" priority="5028">
      <formula>N262&lt;P262*#REF!</formula>
    </cfRule>
  </conditionalFormatting>
  <conditionalFormatting sqref="N274:N278">
    <cfRule type="expression" dxfId="3764" priority="273">
      <formula>N274&lt;P274-#REF!</formula>
    </cfRule>
  </conditionalFormatting>
  <conditionalFormatting sqref="N291:N295">
    <cfRule type="expression" dxfId="3763" priority="537">
      <formula>N291&lt;P291-#REF!</formula>
    </cfRule>
  </conditionalFormatting>
  <conditionalFormatting sqref="N308:N312">
    <cfRule type="expression" dxfId="3762" priority="417">
      <formula>N308&lt;P308-#REF!</formula>
    </cfRule>
  </conditionalFormatting>
  <conditionalFormatting sqref="N315:N316">
    <cfRule type="expression" dxfId="3761" priority="4479">
      <formula>N315&gt;P315*#REF!</formula>
    </cfRule>
    <cfRule type="expression" dxfId="3760" priority="4478">
      <formula>N315&lt;P315*#REF!</formula>
    </cfRule>
  </conditionalFormatting>
  <conditionalFormatting sqref="N317:N329">
    <cfRule type="expression" dxfId="3759" priority="819">
      <formula>N317&gt;P317</formula>
    </cfRule>
    <cfRule type="expression" dxfId="3758" priority="820">
      <formula>N317&lt;P317</formula>
    </cfRule>
  </conditionalFormatting>
  <conditionalFormatting sqref="N330">
    <cfRule type="expression" dxfId="3757" priority="4477">
      <formula>N330&gt;P330*#REF!</formula>
    </cfRule>
    <cfRule type="expression" dxfId="3756" priority="4476">
      <formula>N330&lt;P330*#REF!</formula>
    </cfRule>
  </conditionalFormatting>
  <conditionalFormatting sqref="N264:P265">
    <cfRule type="expression" dxfId="3755" priority="267">
      <formula>N264&gt;P264*#REF!</formula>
    </cfRule>
    <cfRule type="expression" dxfId="3754" priority="266">
      <formula>N264&lt;P264*#REF!</formula>
    </cfRule>
  </conditionalFormatting>
  <conditionalFormatting sqref="N266:P273">
    <cfRule type="expression" dxfId="3753" priority="255">
      <formula>N266&lt;P266-#REF!</formula>
    </cfRule>
  </conditionalFormatting>
  <conditionalFormatting sqref="N266:P278">
    <cfRule type="expression" dxfId="3752" priority="251">
      <formula>N266&gt;P266+#REF!</formula>
    </cfRule>
  </conditionalFormatting>
  <conditionalFormatting sqref="N279:P279">
    <cfRule type="expression" dxfId="3751" priority="274">
      <formula>N279&lt;P279*#REF!</formula>
    </cfRule>
    <cfRule type="expression" dxfId="3750" priority="265">
      <formula>N279&gt;P279*#REF!</formula>
    </cfRule>
  </conditionalFormatting>
  <conditionalFormatting sqref="N281:P282">
    <cfRule type="expression" dxfId="3749" priority="531">
      <formula>N281&gt;P281*#REF!</formula>
    </cfRule>
    <cfRule type="expression" dxfId="3748" priority="530">
      <formula>N281&lt;P281*#REF!</formula>
    </cfRule>
  </conditionalFormatting>
  <conditionalFormatting sqref="N283:P290">
    <cfRule type="expression" dxfId="3747" priority="519">
      <formula>N283&lt;P283-#REF!</formula>
    </cfRule>
  </conditionalFormatting>
  <conditionalFormatting sqref="N283:P295">
    <cfRule type="expression" dxfId="3746" priority="515">
      <formula>N283&gt;P283+#REF!</formula>
    </cfRule>
  </conditionalFormatting>
  <conditionalFormatting sqref="N296:P296">
    <cfRule type="expression" dxfId="3745" priority="538">
      <formula>N296&lt;P296*#REF!</formula>
    </cfRule>
    <cfRule type="expression" dxfId="3744" priority="529">
      <formula>N296&gt;P296*#REF!</formula>
    </cfRule>
  </conditionalFormatting>
  <conditionalFormatting sqref="N298:P299">
    <cfRule type="expression" dxfId="3743" priority="411">
      <formula>N298&gt;P298*#REF!</formula>
    </cfRule>
    <cfRule type="expression" dxfId="3742" priority="410">
      <formula>N298&lt;P298*#REF!</formula>
    </cfRule>
  </conditionalFormatting>
  <conditionalFormatting sqref="N300:P307">
    <cfRule type="expression" dxfId="3741" priority="399">
      <formula>N300&lt;P300-#REF!</formula>
    </cfRule>
  </conditionalFormatting>
  <conditionalFormatting sqref="N300:P312">
    <cfRule type="expression" dxfId="3740" priority="395">
      <formula>N300&gt;P300+#REF!</formula>
    </cfRule>
  </conditionalFormatting>
  <conditionalFormatting sqref="N313:P313">
    <cfRule type="expression" dxfId="3739" priority="409">
      <formula>N313&gt;P313*#REF!</formula>
    </cfRule>
    <cfRule type="expression" dxfId="3738" priority="418">
      <formula>N313&lt;P313*#REF!</formula>
    </cfRule>
  </conditionalFormatting>
  <conditionalFormatting sqref="O276:P278">
    <cfRule type="expression" dxfId="3737" priority="253">
      <formula>O276&lt;Q276-#REF!</formula>
    </cfRule>
  </conditionalFormatting>
  <conditionalFormatting sqref="O293:P295">
    <cfRule type="expression" dxfId="3736" priority="517">
      <formula>O293&lt;Q293-#REF!</formula>
    </cfRule>
  </conditionalFormatting>
  <conditionalFormatting sqref="O310:P312">
    <cfRule type="expression" dxfId="3735" priority="397">
      <formula>O310&lt;Q310-#REF!</formula>
    </cfRule>
  </conditionalFormatting>
  <conditionalFormatting sqref="R9:R10">
    <cfRule type="expression" dxfId="3734" priority="6707">
      <formula>R9&gt;T9*#REF!</formula>
    </cfRule>
    <cfRule type="expression" dxfId="3733" priority="6706">
      <formula>R9&lt;T9*#REF!</formula>
    </cfRule>
  </conditionalFormatting>
  <conditionalFormatting sqref="R11:R23">
    <cfRule type="expression" dxfId="3732" priority="984">
      <formula>R11&lt;T11</formula>
    </cfRule>
    <cfRule type="expression" dxfId="3731" priority="983">
      <formula>R11&gt;T11</formula>
    </cfRule>
  </conditionalFormatting>
  <conditionalFormatting sqref="R24">
    <cfRule type="expression" dxfId="3730" priority="6705">
      <formula>R24&gt;T24*#REF!</formula>
    </cfRule>
    <cfRule type="expression" dxfId="3729" priority="6704">
      <formula>R24&lt;T24*#REF!</formula>
    </cfRule>
  </conditionalFormatting>
  <conditionalFormatting sqref="R26:R27">
    <cfRule type="expression" dxfId="3728" priority="6511">
      <formula>R26&lt;T26*#REF!</formula>
    </cfRule>
    <cfRule type="expression" dxfId="3727" priority="6512">
      <formula>R26&gt;T26*#REF!</formula>
    </cfRule>
  </conditionalFormatting>
  <conditionalFormatting sqref="R28:R40">
    <cfRule type="expression" dxfId="3726" priority="972">
      <formula>R28&lt;T28</formula>
    </cfRule>
    <cfRule type="expression" dxfId="3725" priority="971">
      <formula>R28&gt;T28</formula>
    </cfRule>
  </conditionalFormatting>
  <conditionalFormatting sqref="R41">
    <cfRule type="expression" dxfId="3724" priority="6509">
      <formula>R41&lt;T41*#REF!</formula>
    </cfRule>
    <cfRule type="expression" dxfId="3723" priority="6510">
      <formula>R41&gt;T41*#REF!</formula>
    </cfRule>
  </conditionalFormatting>
  <conditionalFormatting sqref="R43:R44">
    <cfRule type="expression" dxfId="3722" priority="6380">
      <formula>R43&gt;T43*#REF!</formula>
    </cfRule>
    <cfRule type="expression" dxfId="3721" priority="6379">
      <formula>R43&lt;T43*#REF!</formula>
    </cfRule>
  </conditionalFormatting>
  <conditionalFormatting sqref="R45:R57">
    <cfRule type="expression" dxfId="3720" priority="959">
      <formula>R45&gt;T45</formula>
    </cfRule>
    <cfRule type="expression" dxfId="3719" priority="960">
      <formula>R45&lt;T45</formula>
    </cfRule>
  </conditionalFormatting>
  <conditionalFormatting sqref="R58">
    <cfRule type="expression" dxfId="3718" priority="6377">
      <formula>R58&lt;T58*#REF!</formula>
    </cfRule>
    <cfRule type="expression" dxfId="3717" priority="6378">
      <formula>R58&gt;T58*#REF!</formula>
    </cfRule>
  </conditionalFormatting>
  <conditionalFormatting sqref="R60:R61">
    <cfRule type="expression" dxfId="3716" priority="6248">
      <formula>R60&gt;T60*#REF!</formula>
    </cfRule>
    <cfRule type="expression" dxfId="3715" priority="6247">
      <formula>R60&lt;T60*#REF!</formula>
    </cfRule>
  </conditionalFormatting>
  <conditionalFormatting sqref="R62:R74">
    <cfRule type="expression" dxfId="3714" priority="948">
      <formula>R62&lt;T62</formula>
    </cfRule>
    <cfRule type="expression" dxfId="3713" priority="947">
      <formula>R62&gt;T62</formula>
    </cfRule>
  </conditionalFormatting>
  <conditionalFormatting sqref="R75">
    <cfRule type="expression" dxfId="3712" priority="6246">
      <formula>R75&gt;T75*#REF!</formula>
    </cfRule>
    <cfRule type="expression" dxfId="3711" priority="6245">
      <formula>R75&lt;T75*#REF!</formula>
    </cfRule>
  </conditionalFormatting>
  <conditionalFormatting sqref="R77:R78">
    <cfRule type="expression" dxfId="3710" priority="4317">
      <formula>R77&gt;T77*#REF!</formula>
    </cfRule>
    <cfRule type="expression" dxfId="3709" priority="4316">
      <formula>R77&lt;T77*#REF!</formula>
    </cfRule>
  </conditionalFormatting>
  <conditionalFormatting sqref="R79:R91">
    <cfRule type="expression" dxfId="3708" priority="936">
      <formula>R79&lt;T79</formula>
    </cfRule>
    <cfRule type="expression" dxfId="3707" priority="935">
      <formula>R79&gt;T79</formula>
    </cfRule>
  </conditionalFormatting>
  <conditionalFormatting sqref="R92">
    <cfRule type="expression" dxfId="3706" priority="4314">
      <formula>R92&lt;T92*#REF!</formula>
    </cfRule>
    <cfRule type="expression" dxfId="3705" priority="4315">
      <formula>R92&gt;T92*#REF!</formula>
    </cfRule>
  </conditionalFormatting>
  <conditionalFormatting sqref="R94:R95">
    <cfRule type="expression" dxfId="3704" priority="4178">
      <formula>R94&lt;T94*#REF!</formula>
    </cfRule>
    <cfRule type="expression" dxfId="3703" priority="4179">
      <formula>R94&gt;T94*#REF!</formula>
    </cfRule>
  </conditionalFormatting>
  <conditionalFormatting sqref="R96:R108">
    <cfRule type="expression" dxfId="3702" priority="922">
      <formula>R96&lt;T96</formula>
    </cfRule>
    <cfRule type="expression" dxfId="3701" priority="921">
      <formula>R96&gt;T96</formula>
    </cfRule>
  </conditionalFormatting>
  <conditionalFormatting sqref="R109">
    <cfRule type="expression" dxfId="3700" priority="4177">
      <formula>R109&gt;T109*#REF!</formula>
    </cfRule>
    <cfRule type="expression" dxfId="3699" priority="4176">
      <formula>R109&lt;T109*#REF!</formula>
    </cfRule>
  </conditionalFormatting>
  <conditionalFormatting sqref="R111:R112">
    <cfRule type="expression" dxfId="3698" priority="6110">
      <formula>R111&lt;T111*#REF!</formula>
    </cfRule>
    <cfRule type="expression" dxfId="3697" priority="6111">
      <formula>R111&gt;T111*#REF!</formula>
    </cfRule>
  </conditionalFormatting>
  <conditionalFormatting sqref="R113:R125">
    <cfRule type="expression" dxfId="3696" priority="911">
      <formula>R113&gt;T113</formula>
    </cfRule>
    <cfRule type="expression" dxfId="3695" priority="912">
      <formula>R113&lt;T113</formula>
    </cfRule>
  </conditionalFormatting>
  <conditionalFormatting sqref="R126">
    <cfRule type="expression" dxfId="3694" priority="6108">
      <formula>R126&lt;T126*#REF!</formula>
    </cfRule>
    <cfRule type="expression" dxfId="3693" priority="6109">
      <formula>R126&gt;T126*#REF!</formula>
    </cfRule>
  </conditionalFormatting>
  <conditionalFormatting sqref="R128:R129">
    <cfRule type="expression" dxfId="3692" priority="5973">
      <formula>R128&gt;T128*#REF!</formula>
    </cfRule>
    <cfRule type="expression" dxfId="3691" priority="5972">
      <formula>R128&lt;T128*#REF!</formula>
    </cfRule>
  </conditionalFormatting>
  <conditionalFormatting sqref="R130:R142">
    <cfRule type="expression" dxfId="3690" priority="899">
      <formula>R130&gt;T130</formula>
    </cfRule>
    <cfRule type="expression" dxfId="3689" priority="900">
      <formula>R130&lt;T130</formula>
    </cfRule>
  </conditionalFormatting>
  <conditionalFormatting sqref="R143">
    <cfRule type="expression" dxfId="3688" priority="5970">
      <formula>R143&lt;T143*#REF!</formula>
    </cfRule>
    <cfRule type="expression" dxfId="3687" priority="5971">
      <formula>R143&gt;T143*#REF!</formula>
    </cfRule>
  </conditionalFormatting>
  <conditionalFormatting sqref="R145:R146">
    <cfRule type="expression" dxfId="3686" priority="5835">
      <formula>R145&gt;T145*#REF!</formula>
    </cfRule>
    <cfRule type="expression" dxfId="3685" priority="5834">
      <formula>R145&lt;T145*#REF!</formula>
    </cfRule>
  </conditionalFormatting>
  <conditionalFormatting sqref="R147:R159">
    <cfRule type="expression" dxfId="3684" priority="888">
      <formula>R147&lt;T147</formula>
    </cfRule>
    <cfRule type="expression" dxfId="3683" priority="887">
      <formula>R147&gt;T147</formula>
    </cfRule>
  </conditionalFormatting>
  <conditionalFormatting sqref="R160">
    <cfRule type="expression" dxfId="3682" priority="5833">
      <formula>R160&gt;T160*#REF!</formula>
    </cfRule>
    <cfRule type="expression" dxfId="3681" priority="5832">
      <formula>R160&lt;T160*#REF!</formula>
    </cfRule>
  </conditionalFormatting>
  <conditionalFormatting sqref="R162:R163">
    <cfRule type="expression" dxfId="3680" priority="5697">
      <formula>R162&gt;T162*#REF!</formula>
    </cfRule>
    <cfRule type="expression" dxfId="3679" priority="5696">
      <formula>R162&lt;T162*#REF!</formula>
    </cfRule>
  </conditionalFormatting>
  <conditionalFormatting sqref="R164:R176">
    <cfRule type="expression" dxfId="3678" priority="876">
      <formula>R164&lt;T164</formula>
    </cfRule>
    <cfRule type="expression" dxfId="3677" priority="875">
      <formula>R164&gt;T164</formula>
    </cfRule>
  </conditionalFormatting>
  <conditionalFormatting sqref="R177">
    <cfRule type="expression" dxfId="3676" priority="5694">
      <formula>R177&lt;T177*#REF!</formula>
    </cfRule>
    <cfRule type="expression" dxfId="3675" priority="5695">
      <formula>R177&gt;T177*#REF!</formula>
    </cfRule>
  </conditionalFormatting>
  <conditionalFormatting sqref="R179:R180">
    <cfRule type="expression" dxfId="3674" priority="5559">
      <formula>R179&gt;T179*#REF!</formula>
    </cfRule>
    <cfRule type="expression" dxfId="3673" priority="5558">
      <formula>R179&lt;T179*#REF!</formula>
    </cfRule>
  </conditionalFormatting>
  <conditionalFormatting sqref="R181:R193">
    <cfRule type="expression" dxfId="3672" priority="863">
      <formula>R181&gt;T181</formula>
    </cfRule>
    <cfRule type="expression" dxfId="3671" priority="864">
      <formula>R181&lt;T181</formula>
    </cfRule>
  </conditionalFormatting>
  <conditionalFormatting sqref="R194">
    <cfRule type="expression" dxfId="3670" priority="5557">
      <formula>R194&gt;T194*#REF!</formula>
    </cfRule>
    <cfRule type="expression" dxfId="3669" priority="5556">
      <formula>R194&lt;T194*#REF!</formula>
    </cfRule>
  </conditionalFormatting>
  <conditionalFormatting sqref="R196:R197">
    <cfRule type="expression" dxfId="3668" priority="5421">
      <formula>R196&gt;T196*#REF!</formula>
    </cfRule>
    <cfRule type="expression" dxfId="3667" priority="5420">
      <formula>R196&lt;T196*#REF!</formula>
    </cfRule>
  </conditionalFormatting>
  <conditionalFormatting sqref="R198:R210">
    <cfRule type="expression" dxfId="3666" priority="849">
      <formula>R198&gt;T198</formula>
    </cfRule>
    <cfRule type="expression" dxfId="3665" priority="850">
      <formula>R198&lt;T198</formula>
    </cfRule>
  </conditionalFormatting>
  <conditionalFormatting sqref="R211">
    <cfRule type="expression" dxfId="3664" priority="5418">
      <formula>R211&lt;T211*#REF!</formula>
    </cfRule>
    <cfRule type="expression" dxfId="3663" priority="5419">
      <formula>R211&gt;T211*#REF!</formula>
    </cfRule>
  </conditionalFormatting>
  <conditionalFormatting sqref="R213:R214">
    <cfRule type="expression" dxfId="3662" priority="5283">
      <formula>R213&gt;T213*#REF!</formula>
    </cfRule>
    <cfRule type="expression" dxfId="3661" priority="5282">
      <formula>R213&lt;T213*#REF!</formula>
    </cfRule>
  </conditionalFormatting>
  <conditionalFormatting sqref="R215:R227">
    <cfRule type="expression" dxfId="3660" priority="5262">
      <formula>R215&gt;T215+#REF!</formula>
    </cfRule>
    <cfRule type="expression" dxfId="3659" priority="5263">
      <formula>R215&lt;T215-#REF!</formula>
    </cfRule>
  </conditionalFormatting>
  <conditionalFormatting sqref="R228">
    <cfRule type="expression" dxfId="3658" priority="5281">
      <formula>R228&gt;T228*#REF!</formula>
    </cfRule>
    <cfRule type="expression" dxfId="3657" priority="5280">
      <formula>R228&lt;T228*#REF!</formula>
    </cfRule>
  </conditionalFormatting>
  <conditionalFormatting sqref="R230:R231">
    <cfRule type="expression" dxfId="3656" priority="5144">
      <formula>R230&lt;T230*#REF!</formula>
    </cfRule>
    <cfRule type="expression" dxfId="3655" priority="5145">
      <formula>R230&gt;T230*#REF!</formula>
    </cfRule>
  </conditionalFormatting>
  <conditionalFormatting sqref="R232:R244">
    <cfRule type="expression" dxfId="3654" priority="839">
      <formula>R232&gt;T232</formula>
    </cfRule>
    <cfRule type="expression" dxfId="3653" priority="840">
      <formula>R232&lt;T232</formula>
    </cfRule>
  </conditionalFormatting>
  <conditionalFormatting sqref="R245">
    <cfRule type="expression" dxfId="3652" priority="5143">
      <formula>R245&gt;T245*#REF!</formula>
    </cfRule>
    <cfRule type="expression" dxfId="3651" priority="5142">
      <formula>R245&lt;T245*#REF!</formula>
    </cfRule>
  </conditionalFormatting>
  <conditionalFormatting sqref="R247:R248">
    <cfRule type="expression" dxfId="3650" priority="5007">
      <formula>R247&gt;T247*#REF!</formula>
    </cfRule>
    <cfRule type="expression" dxfId="3649" priority="5006">
      <formula>R247&lt;T247*#REF!</formula>
    </cfRule>
  </conditionalFormatting>
  <conditionalFormatting sqref="R249:R261">
    <cfRule type="expression" dxfId="3648" priority="825">
      <formula>R249&gt;T249</formula>
    </cfRule>
    <cfRule type="expression" dxfId="3647" priority="826">
      <formula>R249&lt;T249</formula>
    </cfRule>
  </conditionalFormatting>
  <conditionalFormatting sqref="R262">
    <cfRule type="expression" dxfId="3646" priority="5005">
      <formula>R262&gt;T262*#REF!</formula>
    </cfRule>
    <cfRule type="expression" dxfId="3645" priority="5004">
      <formula>R262&lt;T262*#REF!</formula>
    </cfRule>
  </conditionalFormatting>
  <conditionalFormatting sqref="R274:R278">
    <cfRule type="expression" dxfId="3644" priority="249">
      <formula>R274&lt;T274-#REF!</formula>
    </cfRule>
  </conditionalFormatting>
  <conditionalFormatting sqref="R291:R295">
    <cfRule type="expression" dxfId="3643" priority="513">
      <formula>R291&lt;T291-#REF!</formula>
    </cfRule>
  </conditionalFormatting>
  <conditionalFormatting sqref="R308:R312">
    <cfRule type="expression" dxfId="3642" priority="393">
      <formula>R308&lt;T308-#REF!</formula>
    </cfRule>
  </conditionalFormatting>
  <conditionalFormatting sqref="R315:R316">
    <cfRule type="expression" dxfId="3641" priority="4455">
      <formula>R315&gt;T315*#REF!</formula>
    </cfRule>
    <cfRule type="expression" dxfId="3640" priority="4454">
      <formula>R315&lt;T315*#REF!</formula>
    </cfRule>
  </conditionalFormatting>
  <conditionalFormatting sqref="R317:R329">
    <cfRule type="expression" dxfId="3639" priority="817">
      <formula>R317&gt;T317</formula>
    </cfRule>
    <cfRule type="expression" dxfId="3638" priority="818">
      <formula>R317&lt;T317</formula>
    </cfRule>
  </conditionalFormatting>
  <conditionalFormatting sqref="R330">
    <cfRule type="expression" dxfId="3637" priority="4453">
      <formula>R330&gt;T330*#REF!</formula>
    </cfRule>
    <cfRule type="expression" dxfId="3636" priority="4452">
      <formula>R330&lt;T330*#REF!</formula>
    </cfRule>
  </conditionalFormatting>
  <conditionalFormatting sqref="R264:T265">
    <cfRule type="expression" dxfId="3635" priority="243">
      <formula>R264&gt;T264*#REF!</formula>
    </cfRule>
    <cfRule type="expression" dxfId="3634" priority="242">
      <formula>R264&lt;T264*#REF!</formula>
    </cfRule>
  </conditionalFormatting>
  <conditionalFormatting sqref="R266:T273">
    <cfRule type="expression" dxfId="3633" priority="231">
      <formula>R266&lt;T266-#REF!</formula>
    </cfRule>
  </conditionalFormatting>
  <conditionalFormatting sqref="R266:T278">
    <cfRule type="expression" dxfId="3632" priority="227">
      <formula>R266&gt;T266+#REF!</formula>
    </cfRule>
  </conditionalFormatting>
  <conditionalFormatting sqref="R279:T279">
    <cfRule type="expression" dxfId="3631" priority="241">
      <formula>R279&gt;T279*#REF!</formula>
    </cfRule>
    <cfRule type="expression" dxfId="3630" priority="250">
      <formula>R279&lt;T279*#REF!</formula>
    </cfRule>
  </conditionalFormatting>
  <conditionalFormatting sqref="R281:T282">
    <cfRule type="expression" dxfId="3629" priority="506">
      <formula>R281&lt;T281*#REF!</formula>
    </cfRule>
    <cfRule type="expression" dxfId="3628" priority="507">
      <formula>R281&gt;T281*#REF!</formula>
    </cfRule>
  </conditionalFormatting>
  <conditionalFormatting sqref="R283:T290">
    <cfRule type="expression" dxfId="3627" priority="495">
      <formula>R283&lt;T283-#REF!</formula>
    </cfRule>
  </conditionalFormatting>
  <conditionalFormatting sqref="R283:T295">
    <cfRule type="expression" dxfId="3626" priority="491">
      <formula>R283&gt;T283+#REF!</formula>
    </cfRule>
  </conditionalFormatting>
  <conditionalFormatting sqref="R296:T296">
    <cfRule type="expression" dxfId="3625" priority="505">
      <formula>R296&gt;T296*#REF!</formula>
    </cfRule>
    <cfRule type="expression" dxfId="3624" priority="514">
      <formula>R296&lt;T296*#REF!</formula>
    </cfRule>
  </conditionalFormatting>
  <conditionalFormatting sqref="R298:T299">
    <cfRule type="expression" dxfId="3623" priority="387">
      <formula>R298&gt;T298*#REF!</formula>
    </cfRule>
    <cfRule type="expression" dxfId="3622" priority="386">
      <formula>R298&lt;T298*#REF!</formula>
    </cfRule>
  </conditionalFormatting>
  <conditionalFormatting sqref="R300:T307">
    <cfRule type="expression" dxfId="3621" priority="375">
      <formula>R300&lt;T300-#REF!</formula>
    </cfRule>
  </conditionalFormatting>
  <conditionalFormatting sqref="R300:T312">
    <cfRule type="expression" dxfId="3620" priority="371">
      <formula>R300&gt;T300+#REF!</formula>
    </cfRule>
  </conditionalFormatting>
  <conditionalFormatting sqref="R313:T313">
    <cfRule type="expression" dxfId="3619" priority="394">
      <formula>R313&lt;T313*#REF!</formula>
    </cfRule>
    <cfRule type="expression" dxfId="3618" priority="385">
      <formula>R313&gt;T313*#REF!</formula>
    </cfRule>
  </conditionalFormatting>
  <conditionalFormatting sqref="S276:T278">
    <cfRule type="expression" dxfId="3617" priority="229">
      <formula>S276&lt;U276-#REF!</formula>
    </cfRule>
  </conditionalFormatting>
  <conditionalFormatting sqref="S293:T295">
    <cfRule type="expression" dxfId="3616" priority="493">
      <formula>S293&lt;U293-#REF!</formula>
    </cfRule>
  </conditionalFormatting>
  <conditionalFormatting sqref="S310:T312">
    <cfRule type="expression" dxfId="3615" priority="373">
      <formula>S310&lt;U310-#REF!</formula>
    </cfRule>
  </conditionalFormatting>
  <conditionalFormatting sqref="V9:V10">
    <cfRule type="expression" dxfId="3614" priority="6683">
      <formula>V9&lt;X9*#REF!</formula>
    </cfRule>
    <cfRule type="expression" dxfId="3613" priority="6684">
      <formula>V9&gt;X9*#REF!</formula>
    </cfRule>
  </conditionalFormatting>
  <conditionalFormatting sqref="V11:V23">
    <cfRule type="expression" dxfId="3612" priority="981">
      <formula>V11&gt;X11</formula>
    </cfRule>
    <cfRule type="expression" dxfId="3611" priority="982">
      <formula>V11&lt;X11</formula>
    </cfRule>
  </conditionalFormatting>
  <conditionalFormatting sqref="V24">
    <cfRule type="expression" dxfId="3610" priority="6682">
      <formula>V24&gt;X24*#REF!</formula>
    </cfRule>
    <cfRule type="expression" dxfId="3609" priority="6681">
      <formula>V24&lt;X24*#REF!</formula>
    </cfRule>
  </conditionalFormatting>
  <conditionalFormatting sqref="V26:V27">
    <cfRule type="expression" dxfId="3608" priority="6489">
      <formula>V26&gt;X26*#REF!</formula>
    </cfRule>
    <cfRule type="expression" dxfId="3607" priority="6488">
      <formula>V26&lt;X26*#REF!</formula>
    </cfRule>
  </conditionalFormatting>
  <conditionalFormatting sqref="V28:V40">
    <cfRule type="expression" dxfId="3606" priority="969">
      <formula>V28&gt;X28</formula>
    </cfRule>
    <cfRule type="expression" dxfId="3605" priority="970">
      <formula>V28&lt;X28</formula>
    </cfRule>
  </conditionalFormatting>
  <conditionalFormatting sqref="V41">
    <cfRule type="expression" dxfId="3604" priority="6486">
      <formula>V41&lt;X41*#REF!</formula>
    </cfRule>
    <cfRule type="expression" dxfId="3603" priority="6487">
      <formula>V41&gt;X41*#REF!</formula>
    </cfRule>
  </conditionalFormatting>
  <conditionalFormatting sqref="V43:V44">
    <cfRule type="expression" dxfId="3602" priority="6356">
      <formula>V43&lt;X43*#REF!</formula>
    </cfRule>
    <cfRule type="expression" dxfId="3601" priority="6357">
      <formula>V43&gt;X43*#REF!</formula>
    </cfRule>
  </conditionalFormatting>
  <conditionalFormatting sqref="V45:V57">
    <cfRule type="expression" dxfId="3600" priority="957">
      <formula>V45&gt;X45</formula>
    </cfRule>
    <cfRule type="expression" dxfId="3599" priority="958">
      <formula>V45&lt;X45</formula>
    </cfRule>
  </conditionalFormatting>
  <conditionalFormatting sqref="V58">
    <cfRule type="expression" dxfId="3598" priority="6354">
      <formula>V58&lt;X58*#REF!</formula>
    </cfRule>
    <cfRule type="expression" dxfId="3597" priority="6355">
      <formula>V58&gt;X58*#REF!</formula>
    </cfRule>
  </conditionalFormatting>
  <conditionalFormatting sqref="V60:V61">
    <cfRule type="expression" dxfId="3596" priority="6224">
      <formula>V60&lt;X60*#REF!</formula>
    </cfRule>
    <cfRule type="expression" dxfId="3595" priority="6225">
      <formula>V60&gt;X60*#REF!</formula>
    </cfRule>
  </conditionalFormatting>
  <conditionalFormatting sqref="V62:V74">
    <cfRule type="expression" dxfId="3594" priority="946">
      <formula>V62&lt;X62</formula>
    </cfRule>
    <cfRule type="expression" dxfId="3593" priority="945">
      <formula>V62&gt;X62</formula>
    </cfRule>
  </conditionalFormatting>
  <conditionalFormatting sqref="V75">
    <cfRule type="expression" dxfId="3592" priority="6222">
      <formula>V75&lt;X75*#REF!</formula>
    </cfRule>
    <cfRule type="expression" dxfId="3591" priority="6223">
      <formula>V75&gt;X75*#REF!</formula>
    </cfRule>
  </conditionalFormatting>
  <conditionalFormatting sqref="V77:V78">
    <cfRule type="expression" dxfId="3590" priority="4293">
      <formula>V77&gt;X77*#REF!</formula>
    </cfRule>
    <cfRule type="expression" dxfId="3589" priority="4292">
      <formula>V77&lt;X77*#REF!</formula>
    </cfRule>
  </conditionalFormatting>
  <conditionalFormatting sqref="V79:V91">
    <cfRule type="expression" dxfId="3588" priority="934">
      <formula>V79&lt;X79</formula>
    </cfRule>
    <cfRule type="expression" dxfId="3587" priority="933">
      <formula>V79&gt;X79</formula>
    </cfRule>
  </conditionalFormatting>
  <conditionalFormatting sqref="V92">
    <cfRule type="expression" dxfId="3586" priority="4291">
      <formula>V92&gt;X92*#REF!</formula>
    </cfRule>
    <cfRule type="expression" dxfId="3585" priority="4290">
      <formula>V92&lt;X92*#REF!</formula>
    </cfRule>
  </conditionalFormatting>
  <conditionalFormatting sqref="V94:V95">
    <cfRule type="expression" dxfId="3584" priority="4155">
      <formula>V94&gt;X94*#REF!</formula>
    </cfRule>
    <cfRule type="expression" dxfId="3583" priority="4154">
      <formula>V94&lt;X94*#REF!</formula>
    </cfRule>
  </conditionalFormatting>
  <conditionalFormatting sqref="V96:V108">
    <cfRule type="expression" dxfId="3582" priority="924">
      <formula>V96&lt;X96</formula>
    </cfRule>
    <cfRule type="expression" dxfId="3581" priority="923">
      <formula>V96&gt;X96</formula>
    </cfRule>
  </conditionalFormatting>
  <conditionalFormatting sqref="V109">
    <cfRule type="expression" dxfId="3580" priority="4153">
      <formula>V109&gt;X109*#REF!</formula>
    </cfRule>
    <cfRule type="expression" dxfId="3579" priority="4152">
      <formula>V109&lt;X109*#REF!</formula>
    </cfRule>
  </conditionalFormatting>
  <conditionalFormatting sqref="V111:V112">
    <cfRule type="expression" dxfId="3578" priority="6086">
      <formula>V111&lt;X111*#REF!</formula>
    </cfRule>
    <cfRule type="expression" dxfId="3577" priority="6087">
      <formula>V111&gt;X111*#REF!</formula>
    </cfRule>
  </conditionalFormatting>
  <conditionalFormatting sqref="V113:V125">
    <cfRule type="expression" dxfId="3576" priority="909">
      <formula>V113&gt;X113</formula>
    </cfRule>
    <cfRule type="expression" dxfId="3575" priority="910">
      <formula>V113&lt;X113</formula>
    </cfRule>
  </conditionalFormatting>
  <conditionalFormatting sqref="V126">
    <cfRule type="expression" dxfId="3574" priority="6084">
      <formula>V126&lt;X126*#REF!</formula>
    </cfRule>
    <cfRule type="expression" dxfId="3573" priority="6085">
      <formula>V126&gt;X126*#REF!</formula>
    </cfRule>
  </conditionalFormatting>
  <conditionalFormatting sqref="V128:V129">
    <cfRule type="expression" dxfId="3572" priority="5948">
      <formula>V128&lt;X128*#REF!</formula>
    </cfRule>
    <cfRule type="expression" dxfId="3571" priority="5949">
      <formula>V128&gt;X128*#REF!</formula>
    </cfRule>
  </conditionalFormatting>
  <conditionalFormatting sqref="V130:V142">
    <cfRule type="expression" dxfId="3570" priority="898">
      <formula>V130&lt;X130</formula>
    </cfRule>
    <cfRule type="expression" dxfId="3569" priority="897">
      <formula>V130&gt;X130</formula>
    </cfRule>
  </conditionalFormatting>
  <conditionalFormatting sqref="V143">
    <cfRule type="expression" dxfId="3568" priority="5947">
      <formula>V143&gt;X143*#REF!</formula>
    </cfRule>
    <cfRule type="expression" dxfId="3567" priority="5946">
      <formula>V143&lt;X143*#REF!</formula>
    </cfRule>
  </conditionalFormatting>
  <conditionalFormatting sqref="V145:V146">
    <cfRule type="expression" dxfId="3566" priority="5810">
      <formula>V145&lt;X145*#REF!</formula>
    </cfRule>
    <cfRule type="expression" dxfId="3565" priority="5811">
      <formula>V145&gt;X145*#REF!</formula>
    </cfRule>
  </conditionalFormatting>
  <conditionalFormatting sqref="V147:V159">
    <cfRule type="expression" dxfId="3564" priority="885">
      <formula>V147&gt;X147</formula>
    </cfRule>
    <cfRule type="expression" dxfId="3563" priority="886">
      <formula>V147&lt;X147</formula>
    </cfRule>
  </conditionalFormatting>
  <conditionalFormatting sqref="V160">
    <cfRule type="expression" dxfId="3562" priority="5808">
      <formula>V160&lt;X160*#REF!</formula>
    </cfRule>
    <cfRule type="expression" dxfId="3561" priority="5809">
      <formula>V160&gt;X160*#REF!</formula>
    </cfRule>
  </conditionalFormatting>
  <conditionalFormatting sqref="V162:V163">
    <cfRule type="expression" dxfId="3560" priority="5672">
      <formula>V162&lt;X162*#REF!</formula>
    </cfRule>
    <cfRule type="expression" dxfId="3559" priority="5673">
      <formula>V162&gt;X162*#REF!</formula>
    </cfRule>
  </conditionalFormatting>
  <conditionalFormatting sqref="V164:V176">
    <cfRule type="expression" dxfId="3558" priority="874">
      <formula>V164&lt;X164</formula>
    </cfRule>
    <cfRule type="expression" dxfId="3557" priority="873">
      <formula>V164&gt;X164</formula>
    </cfRule>
  </conditionalFormatting>
  <conditionalFormatting sqref="V177">
    <cfRule type="expression" dxfId="3556" priority="5670">
      <formula>V177&lt;X177*#REF!</formula>
    </cfRule>
    <cfRule type="expression" dxfId="3555" priority="5671">
      <formula>V177&gt;X177*#REF!</formula>
    </cfRule>
  </conditionalFormatting>
  <conditionalFormatting sqref="V179:V180">
    <cfRule type="expression" dxfId="3554" priority="5534">
      <formula>V179&lt;X179*#REF!</formula>
    </cfRule>
    <cfRule type="expression" dxfId="3553" priority="5535">
      <formula>V179&gt;X179*#REF!</formula>
    </cfRule>
  </conditionalFormatting>
  <conditionalFormatting sqref="V181:V193">
    <cfRule type="expression" dxfId="3552" priority="861">
      <formula>V181&gt;X181</formula>
    </cfRule>
    <cfRule type="expression" dxfId="3551" priority="862">
      <formula>V181&lt;X181</formula>
    </cfRule>
  </conditionalFormatting>
  <conditionalFormatting sqref="V194">
    <cfRule type="expression" dxfId="3550" priority="5533">
      <formula>V194&gt;X194*#REF!</formula>
    </cfRule>
    <cfRule type="expression" dxfId="3549" priority="5532">
      <formula>V194&lt;X194*#REF!</formula>
    </cfRule>
  </conditionalFormatting>
  <conditionalFormatting sqref="V196:V197">
    <cfRule type="expression" dxfId="3548" priority="5396">
      <formula>V196&lt;X196*#REF!</formula>
    </cfRule>
    <cfRule type="expression" dxfId="3547" priority="5397">
      <formula>V196&gt;X196*#REF!</formula>
    </cfRule>
  </conditionalFormatting>
  <conditionalFormatting sqref="V198:V210">
    <cfRule type="expression" dxfId="3546" priority="851">
      <formula>V198&gt;X198</formula>
    </cfRule>
    <cfRule type="expression" dxfId="3545" priority="852">
      <formula>V198&lt;X198</formula>
    </cfRule>
  </conditionalFormatting>
  <conditionalFormatting sqref="V211">
    <cfRule type="expression" dxfId="3544" priority="5395">
      <formula>V211&gt;X211*#REF!</formula>
    </cfRule>
    <cfRule type="expression" dxfId="3543" priority="5394">
      <formula>V211&lt;X211*#REF!</formula>
    </cfRule>
  </conditionalFormatting>
  <conditionalFormatting sqref="V213:V214">
    <cfRule type="expression" dxfId="3542" priority="5259">
      <formula>V213&gt;X213*#REF!</formula>
    </cfRule>
    <cfRule type="expression" dxfId="3541" priority="5258">
      <formula>V213&lt;X213*#REF!</formula>
    </cfRule>
  </conditionalFormatting>
  <conditionalFormatting sqref="V215:V227">
    <cfRule type="expression" dxfId="3540" priority="5239">
      <formula>V215&lt;X215-#REF!</formula>
    </cfRule>
    <cfRule type="expression" dxfId="3539" priority="5238">
      <formula>V215&gt;X215+#REF!</formula>
    </cfRule>
  </conditionalFormatting>
  <conditionalFormatting sqref="V228">
    <cfRule type="expression" dxfId="3538" priority="5256">
      <formula>V228&lt;X228*#REF!</formula>
    </cfRule>
    <cfRule type="expression" dxfId="3537" priority="5257">
      <formula>V228&gt;X228*#REF!</formula>
    </cfRule>
  </conditionalFormatting>
  <conditionalFormatting sqref="V230:V231">
    <cfRule type="expression" dxfId="3536" priority="5120">
      <formula>V230&lt;X230*#REF!</formula>
    </cfRule>
    <cfRule type="expression" dxfId="3535" priority="5121">
      <formula>V230&gt;X230*#REF!</formula>
    </cfRule>
  </conditionalFormatting>
  <conditionalFormatting sqref="V232:V244">
    <cfRule type="expression" dxfId="3534" priority="838">
      <formula>V232&lt;X232</formula>
    </cfRule>
    <cfRule type="expression" dxfId="3533" priority="837">
      <formula>V232&gt;X232</formula>
    </cfRule>
  </conditionalFormatting>
  <conditionalFormatting sqref="V245">
    <cfRule type="expression" dxfId="3532" priority="5119">
      <formula>V245&gt;X245*#REF!</formula>
    </cfRule>
    <cfRule type="expression" dxfId="3531" priority="5118">
      <formula>V245&lt;X245*#REF!</formula>
    </cfRule>
  </conditionalFormatting>
  <conditionalFormatting sqref="V247:V248">
    <cfRule type="expression" dxfId="3530" priority="4982">
      <formula>V247&lt;X247*#REF!</formula>
    </cfRule>
    <cfRule type="expression" dxfId="3529" priority="4983">
      <formula>V247&gt;X247*#REF!</formula>
    </cfRule>
  </conditionalFormatting>
  <conditionalFormatting sqref="V249:V261">
    <cfRule type="expression" dxfId="3528" priority="828">
      <formula>V249&lt;X249</formula>
    </cfRule>
    <cfRule type="expression" dxfId="3527" priority="827">
      <formula>V249&gt;X249</formula>
    </cfRule>
  </conditionalFormatting>
  <conditionalFormatting sqref="V262">
    <cfRule type="expression" dxfId="3526" priority="4980">
      <formula>V262&lt;X262*#REF!</formula>
    </cfRule>
    <cfRule type="expression" dxfId="3525" priority="4981">
      <formula>V262&gt;X262*#REF!</formula>
    </cfRule>
  </conditionalFormatting>
  <conditionalFormatting sqref="V274:V278">
    <cfRule type="expression" dxfId="3524" priority="225">
      <formula>V274&lt;X274-#REF!</formula>
    </cfRule>
  </conditionalFormatting>
  <conditionalFormatting sqref="V291:V295">
    <cfRule type="expression" dxfId="3523" priority="489">
      <formula>V291&lt;X291-#REF!</formula>
    </cfRule>
  </conditionalFormatting>
  <conditionalFormatting sqref="V308:V312">
    <cfRule type="expression" dxfId="3522" priority="369">
      <formula>V308&lt;X308-#REF!</formula>
    </cfRule>
  </conditionalFormatting>
  <conditionalFormatting sqref="V315:V316">
    <cfRule type="expression" dxfId="3521" priority="4430">
      <formula>V315&lt;X315*#REF!</formula>
    </cfRule>
    <cfRule type="expression" dxfId="3520" priority="4431">
      <formula>V315&gt;X315*#REF!</formula>
    </cfRule>
  </conditionalFormatting>
  <conditionalFormatting sqref="V317:V329">
    <cfRule type="expression" dxfId="3519" priority="815">
      <formula>V317&gt;X317</formula>
    </cfRule>
    <cfRule type="expression" dxfId="3518" priority="816">
      <formula>V317&lt;X317</formula>
    </cfRule>
  </conditionalFormatting>
  <conditionalFormatting sqref="V330">
    <cfRule type="expression" dxfId="3517" priority="4429">
      <formula>V330&gt;X330*#REF!</formula>
    </cfRule>
    <cfRule type="expression" dxfId="3516" priority="4428">
      <formula>V330&lt;X330*#REF!</formula>
    </cfRule>
  </conditionalFormatting>
  <conditionalFormatting sqref="V264:X265">
    <cfRule type="expression" dxfId="3515" priority="218">
      <formula>V264&lt;X264*#REF!</formula>
    </cfRule>
    <cfRule type="expression" dxfId="3514" priority="219">
      <formula>V264&gt;X264*#REF!</formula>
    </cfRule>
  </conditionalFormatting>
  <conditionalFormatting sqref="V266:X273">
    <cfRule type="expression" dxfId="3513" priority="207">
      <formula>V266&lt;X266-#REF!</formula>
    </cfRule>
  </conditionalFormatting>
  <conditionalFormatting sqref="V266:X278">
    <cfRule type="expression" dxfId="3512" priority="203">
      <formula>V266&gt;X266+#REF!</formula>
    </cfRule>
  </conditionalFormatting>
  <conditionalFormatting sqref="V279:X279">
    <cfRule type="expression" dxfId="3511" priority="226">
      <formula>V279&lt;X279*#REF!</formula>
    </cfRule>
    <cfRule type="expression" dxfId="3510" priority="217">
      <formula>V279&gt;X279*#REF!</formula>
    </cfRule>
  </conditionalFormatting>
  <conditionalFormatting sqref="V281:X282">
    <cfRule type="expression" dxfId="3509" priority="483">
      <formula>V281&gt;X281*#REF!</formula>
    </cfRule>
    <cfRule type="expression" dxfId="3508" priority="482">
      <formula>V281&lt;X281*#REF!</formula>
    </cfRule>
  </conditionalFormatting>
  <conditionalFormatting sqref="V283:X290">
    <cfRule type="expression" dxfId="3507" priority="471">
      <formula>V283&lt;X283-#REF!</formula>
    </cfRule>
  </conditionalFormatting>
  <conditionalFormatting sqref="V283:X295">
    <cfRule type="expression" dxfId="3506" priority="467">
      <formula>V283&gt;X283+#REF!</formula>
    </cfRule>
  </conditionalFormatting>
  <conditionalFormatting sqref="V296:X296">
    <cfRule type="expression" dxfId="3505" priority="490">
      <formula>V296&lt;X296*#REF!</formula>
    </cfRule>
    <cfRule type="expression" dxfId="3504" priority="481">
      <formula>V296&gt;X296*#REF!</formula>
    </cfRule>
  </conditionalFormatting>
  <conditionalFormatting sqref="V298:X299">
    <cfRule type="expression" dxfId="3503" priority="363">
      <formula>V298&gt;X298*#REF!</formula>
    </cfRule>
    <cfRule type="expression" dxfId="3502" priority="362">
      <formula>V298&lt;X298*#REF!</formula>
    </cfRule>
  </conditionalFormatting>
  <conditionalFormatting sqref="V300:X307">
    <cfRule type="expression" dxfId="3501" priority="351">
      <formula>V300&lt;X300-#REF!</formula>
    </cfRule>
  </conditionalFormatting>
  <conditionalFormatting sqref="V300:X312">
    <cfRule type="expression" dxfId="3500" priority="347">
      <formula>V300&gt;X300+#REF!</formula>
    </cfRule>
  </conditionalFormatting>
  <conditionalFormatting sqref="V313:X313">
    <cfRule type="expression" dxfId="3499" priority="361">
      <formula>V313&gt;X313*#REF!</formula>
    </cfRule>
    <cfRule type="expression" dxfId="3498" priority="370">
      <formula>V313&lt;X313*#REF!</formula>
    </cfRule>
  </conditionalFormatting>
  <conditionalFormatting sqref="W276:X278">
    <cfRule type="expression" dxfId="3497" priority="205">
      <formula>W276&lt;Y276-#REF!</formula>
    </cfRule>
  </conditionalFormatting>
  <conditionalFormatting sqref="W293:X295">
    <cfRule type="expression" dxfId="3496" priority="469">
      <formula>W293&lt;Y293-#REF!</formula>
    </cfRule>
  </conditionalFormatting>
  <conditionalFormatting sqref="W310:X312">
    <cfRule type="expression" dxfId="3495" priority="349">
      <formula>W310&lt;Y310-#REF!</formula>
    </cfRule>
  </conditionalFormatting>
  <conditionalFormatting sqref="Z9:Z10">
    <cfRule type="expression" dxfId="3494" priority="6620">
      <formula>Z9&lt;AB9*#REF!</formula>
    </cfRule>
    <cfRule type="expression" dxfId="3493" priority="6621">
      <formula>Z9&gt;AB9*#REF!</formula>
    </cfRule>
  </conditionalFormatting>
  <conditionalFormatting sqref="Z11:Z23">
    <cfRule type="expression" dxfId="3492" priority="979">
      <formula>Z11&gt;AB11</formula>
    </cfRule>
    <cfRule type="expression" dxfId="3491" priority="980">
      <formula>Z11&lt;AB11</formula>
    </cfRule>
  </conditionalFormatting>
  <conditionalFormatting sqref="Z24">
    <cfRule type="expression" dxfId="3490" priority="6618">
      <formula>Z24&lt;AB24*#REF!</formula>
    </cfRule>
    <cfRule type="expression" dxfId="3489" priority="6619">
      <formula>Z24&gt;AB24*#REF!</formula>
    </cfRule>
  </conditionalFormatting>
  <conditionalFormatting sqref="Z26:Z27">
    <cfRule type="expression" dxfId="3488" priority="6426">
      <formula>Z26&gt;AB26*#REF!</formula>
    </cfRule>
    <cfRule type="expression" dxfId="3487" priority="6425">
      <formula>Z26&lt;AB26*#REF!</formula>
    </cfRule>
  </conditionalFormatting>
  <conditionalFormatting sqref="Z28:Z40">
    <cfRule type="expression" dxfId="3486" priority="968">
      <formula>Z28&lt;AB28</formula>
    </cfRule>
    <cfRule type="expression" dxfId="3485" priority="967">
      <formula>Z28&gt;AB28</formula>
    </cfRule>
  </conditionalFormatting>
  <conditionalFormatting sqref="Z41">
    <cfRule type="expression" dxfId="3484" priority="6424">
      <formula>Z41&gt;AB41*#REF!</formula>
    </cfRule>
    <cfRule type="expression" dxfId="3483" priority="6423">
      <formula>Z41&lt;AB41*#REF!</formula>
    </cfRule>
  </conditionalFormatting>
  <conditionalFormatting sqref="Z43:Z44">
    <cfRule type="expression" dxfId="3482" priority="6294">
      <formula>Z43&gt;AB43*#REF!</formula>
    </cfRule>
    <cfRule type="expression" dxfId="3481" priority="6293">
      <formula>Z43&lt;AB43*#REF!</formula>
    </cfRule>
  </conditionalFormatting>
  <conditionalFormatting sqref="Z45:Z57">
    <cfRule type="expression" dxfId="3480" priority="956">
      <formula>Z45&lt;AB45</formula>
    </cfRule>
    <cfRule type="expression" dxfId="3479" priority="955">
      <formula>Z45&gt;AB45</formula>
    </cfRule>
  </conditionalFormatting>
  <conditionalFormatting sqref="Z58">
    <cfRule type="expression" dxfId="3478" priority="6291">
      <formula>Z58&lt;AB58*#REF!</formula>
    </cfRule>
    <cfRule type="expression" dxfId="3477" priority="6292">
      <formula>Z58&gt;AB58*#REF!</formula>
    </cfRule>
  </conditionalFormatting>
  <conditionalFormatting sqref="Z60:Z61">
    <cfRule type="expression" dxfId="3476" priority="6159">
      <formula>Z60&gt;AB60*#REF!</formula>
    </cfRule>
    <cfRule type="expression" dxfId="3475" priority="6158">
      <formula>Z60&lt;AB60*#REF!</formula>
    </cfRule>
  </conditionalFormatting>
  <conditionalFormatting sqref="Z62:Z74">
    <cfRule type="expression" dxfId="3474" priority="943">
      <formula>Z62&gt;AB62</formula>
    </cfRule>
    <cfRule type="expression" dxfId="3473" priority="944">
      <formula>Z62&lt;AB62</formula>
    </cfRule>
  </conditionalFormatting>
  <conditionalFormatting sqref="Z75">
    <cfRule type="expression" dxfId="3472" priority="6156">
      <formula>Z75&lt;AB75*#REF!</formula>
    </cfRule>
    <cfRule type="expression" dxfId="3471" priority="6157">
      <formula>Z75&gt;AB75*#REF!</formula>
    </cfRule>
  </conditionalFormatting>
  <conditionalFormatting sqref="Z77:Z78">
    <cfRule type="expression" dxfId="3470" priority="4226">
      <formula>Z77&lt;AB77*#REF!</formula>
    </cfRule>
    <cfRule type="expression" dxfId="3469" priority="4227">
      <formula>Z77&gt;AB77*#REF!</formula>
    </cfRule>
  </conditionalFormatting>
  <conditionalFormatting sqref="Z79:Z91">
    <cfRule type="expression" dxfId="3468" priority="931">
      <formula>Z79&gt;AB79</formula>
    </cfRule>
    <cfRule type="expression" dxfId="3467" priority="932">
      <formula>Z79&lt;AB79</formula>
    </cfRule>
  </conditionalFormatting>
  <conditionalFormatting sqref="Z92">
    <cfRule type="expression" dxfId="3466" priority="4224">
      <formula>Z92&lt;AB92*#REF!</formula>
    </cfRule>
    <cfRule type="expression" dxfId="3465" priority="4225">
      <formula>Z92&gt;AB92*#REF!</formula>
    </cfRule>
  </conditionalFormatting>
  <conditionalFormatting sqref="Z94:Z95">
    <cfRule type="expression" dxfId="3464" priority="4088">
      <formula>Z94&lt;AB94*#REF!</formula>
    </cfRule>
    <cfRule type="expression" dxfId="3463" priority="4089">
      <formula>Z94&gt;AB94*#REF!</formula>
    </cfRule>
  </conditionalFormatting>
  <conditionalFormatting sqref="Z96:Z108">
    <cfRule type="expression" dxfId="3462" priority="925">
      <formula>Z96&gt;AB96</formula>
    </cfRule>
    <cfRule type="expression" dxfId="3461" priority="926">
      <formula>Z96&lt;AB96</formula>
    </cfRule>
  </conditionalFormatting>
  <conditionalFormatting sqref="Z109">
    <cfRule type="expression" dxfId="3460" priority="4087">
      <formula>Z109&gt;AB109*#REF!</formula>
    </cfRule>
    <cfRule type="expression" dxfId="3459" priority="4086">
      <formula>Z109&lt;AB109*#REF!</formula>
    </cfRule>
  </conditionalFormatting>
  <conditionalFormatting sqref="Z111:Z112">
    <cfRule type="expression" dxfId="3458" priority="6020">
      <formula>Z111&lt;AB111*#REF!</formula>
    </cfRule>
    <cfRule type="expression" dxfId="3457" priority="6021">
      <formula>Z111&gt;AB111*#REF!</formula>
    </cfRule>
  </conditionalFormatting>
  <conditionalFormatting sqref="Z113:Z125">
    <cfRule type="expression" dxfId="3456" priority="907">
      <formula>Z113&gt;AB113</formula>
    </cfRule>
    <cfRule type="expression" dxfId="3455" priority="908">
      <formula>Z113&lt;AB113</formula>
    </cfRule>
  </conditionalFormatting>
  <conditionalFormatting sqref="Z126">
    <cfRule type="expression" dxfId="3454" priority="6019">
      <formula>Z126&gt;AB126*#REF!</formula>
    </cfRule>
    <cfRule type="expression" dxfId="3453" priority="6018">
      <formula>Z126&lt;AB126*#REF!</formula>
    </cfRule>
  </conditionalFormatting>
  <conditionalFormatting sqref="Z128:Z129">
    <cfRule type="expression" dxfId="3452" priority="5883">
      <formula>Z128&gt;AB128*#REF!</formula>
    </cfRule>
    <cfRule type="expression" dxfId="3451" priority="5882">
      <formula>Z128&lt;AB128*#REF!</formula>
    </cfRule>
  </conditionalFormatting>
  <conditionalFormatting sqref="Z130:Z142">
    <cfRule type="expression" dxfId="3450" priority="2">
      <formula>Z130&lt;AB130</formula>
    </cfRule>
    <cfRule type="expression" dxfId="3449" priority="1">
      <formula>Z130&gt;AB130</formula>
    </cfRule>
  </conditionalFormatting>
  <conditionalFormatting sqref="Z143">
    <cfRule type="expression" dxfId="3448" priority="5881">
      <formula>Z143&gt;AB143*#REF!</formula>
    </cfRule>
    <cfRule type="expression" dxfId="3447" priority="5880">
      <formula>Z143&lt;AB143*#REF!</formula>
    </cfRule>
  </conditionalFormatting>
  <conditionalFormatting sqref="Z145:Z146">
    <cfRule type="expression" dxfId="3446" priority="5744">
      <formula>Z145&lt;AB145*#REF!</formula>
    </cfRule>
    <cfRule type="expression" dxfId="3445" priority="5745">
      <formula>Z145&gt;AB145*#REF!</formula>
    </cfRule>
  </conditionalFormatting>
  <conditionalFormatting sqref="Z147:Z159">
    <cfRule type="expression" dxfId="3444" priority="883">
      <formula>Z147&gt;AB147</formula>
    </cfRule>
    <cfRule type="expression" dxfId="3443" priority="884">
      <formula>Z147&lt;AB147</formula>
    </cfRule>
  </conditionalFormatting>
  <conditionalFormatting sqref="Z160">
    <cfRule type="expression" dxfId="3442" priority="5743">
      <formula>Z160&gt;AB160*#REF!</formula>
    </cfRule>
    <cfRule type="expression" dxfId="3441" priority="5742">
      <formula>Z160&lt;AB160*#REF!</formula>
    </cfRule>
  </conditionalFormatting>
  <conditionalFormatting sqref="Z162:Z163">
    <cfRule type="expression" dxfId="3440" priority="5607">
      <formula>Z162&gt;AB162*#REF!</formula>
    </cfRule>
    <cfRule type="expression" dxfId="3439" priority="5606">
      <formula>Z162&lt;AB162*#REF!</formula>
    </cfRule>
  </conditionalFormatting>
  <conditionalFormatting sqref="Z164:Z176">
    <cfRule type="expression" dxfId="3438" priority="871">
      <formula>Z164&gt;AB164</formula>
    </cfRule>
    <cfRule type="expression" dxfId="3437" priority="872">
      <formula>Z164&lt;AB164</formula>
    </cfRule>
  </conditionalFormatting>
  <conditionalFormatting sqref="Z177">
    <cfRule type="expression" dxfId="3436" priority="5604">
      <formula>Z177&lt;AB177*#REF!</formula>
    </cfRule>
    <cfRule type="expression" dxfId="3435" priority="5605">
      <formula>Z177&gt;AB177*#REF!</formula>
    </cfRule>
  </conditionalFormatting>
  <conditionalFormatting sqref="Z179:Z180">
    <cfRule type="expression" dxfId="3434" priority="5469">
      <formula>Z179&gt;AB179*#REF!</formula>
    </cfRule>
    <cfRule type="expression" dxfId="3433" priority="5468">
      <formula>Z179&lt;AB179*#REF!</formula>
    </cfRule>
  </conditionalFormatting>
  <conditionalFormatting sqref="Z181:Z193">
    <cfRule type="expression" dxfId="3432" priority="859">
      <formula>Z181&gt;AB181</formula>
    </cfRule>
    <cfRule type="expression" dxfId="3431" priority="860">
      <formula>Z181&lt;AB181</formula>
    </cfRule>
  </conditionalFormatting>
  <conditionalFormatting sqref="Z194">
    <cfRule type="expression" dxfId="3430" priority="5467">
      <formula>Z194&gt;AB194*#REF!</formula>
    </cfRule>
    <cfRule type="expression" dxfId="3429" priority="5466">
      <formula>Z194&lt;AB194*#REF!</formula>
    </cfRule>
  </conditionalFormatting>
  <conditionalFormatting sqref="Z196:Z197">
    <cfRule type="expression" dxfId="3428" priority="5331">
      <formula>Z196&gt;AB196*#REF!</formula>
    </cfRule>
    <cfRule type="expression" dxfId="3427" priority="5330">
      <formula>Z196&lt;AB196*#REF!</formula>
    </cfRule>
  </conditionalFormatting>
  <conditionalFormatting sqref="Z198:Z210">
    <cfRule type="expression" dxfId="3426" priority="853">
      <formula>Z198&gt;AB198</formula>
    </cfRule>
    <cfRule type="expression" dxfId="3425" priority="854">
      <formula>Z198&lt;AB198</formula>
    </cfRule>
  </conditionalFormatting>
  <conditionalFormatting sqref="Z211">
    <cfRule type="expression" dxfId="3424" priority="5329">
      <formula>Z211&gt;AB211*#REF!</formula>
    </cfRule>
    <cfRule type="expression" dxfId="3423" priority="5328">
      <formula>Z211&lt;AB211*#REF!</formula>
    </cfRule>
  </conditionalFormatting>
  <conditionalFormatting sqref="Z213:Z214">
    <cfRule type="expression" dxfId="3422" priority="5192">
      <formula>Z213&lt;AB213*#REF!</formula>
    </cfRule>
    <cfRule type="expression" dxfId="3421" priority="5193">
      <formula>Z213&gt;AB213*#REF!</formula>
    </cfRule>
  </conditionalFormatting>
  <conditionalFormatting sqref="Z215:Z227">
    <cfRule type="expression" dxfId="3420" priority="5173">
      <formula>Z215&lt;AB215-#REF!</formula>
    </cfRule>
    <cfRule type="expression" dxfId="3419" priority="5172">
      <formula>Z215&gt;AB215+#REF!</formula>
    </cfRule>
  </conditionalFormatting>
  <conditionalFormatting sqref="Z228">
    <cfRule type="expression" dxfId="3418" priority="5191">
      <formula>Z228&gt;AB228*#REF!</formula>
    </cfRule>
    <cfRule type="expression" dxfId="3417" priority="5190">
      <formula>Z228&lt;AB228*#REF!</formula>
    </cfRule>
  </conditionalFormatting>
  <conditionalFormatting sqref="Z232:Z244">
    <cfRule type="expression" dxfId="3416" priority="835">
      <formula>Z232&gt;AB232</formula>
    </cfRule>
    <cfRule type="expression" dxfId="3415" priority="836">
      <formula>Z232&lt;AB232</formula>
    </cfRule>
  </conditionalFormatting>
  <conditionalFormatting sqref="Z247:Z248">
    <cfRule type="expression" dxfId="3414" priority="4917">
      <formula>Z247&gt;AB247*#REF!</formula>
    </cfRule>
    <cfRule type="expression" dxfId="3413" priority="4916">
      <formula>Z247&lt;AB247*#REF!</formula>
    </cfRule>
  </conditionalFormatting>
  <conditionalFormatting sqref="Z249:Z261">
    <cfRule type="expression" dxfId="3412" priority="830">
      <formula>Z249&lt;AB249</formula>
    </cfRule>
    <cfRule type="expression" dxfId="3411" priority="829">
      <formula>Z249&gt;AB249</formula>
    </cfRule>
  </conditionalFormatting>
  <conditionalFormatting sqref="Z262">
    <cfRule type="expression" dxfId="3410" priority="4915">
      <formula>Z262&gt;AB262*#REF!</formula>
    </cfRule>
    <cfRule type="expression" dxfId="3409" priority="4914">
      <formula>Z262&lt;AB262*#REF!</formula>
    </cfRule>
  </conditionalFormatting>
  <conditionalFormatting sqref="Z274:Z278">
    <cfRule type="expression" dxfId="3408" priority="201">
      <formula>Z274&lt;AB274-#REF!</formula>
    </cfRule>
  </conditionalFormatting>
  <conditionalFormatting sqref="Z291:Z295">
    <cfRule type="expression" dxfId="3407" priority="465">
      <formula>Z291&lt;AB291-#REF!</formula>
    </cfRule>
  </conditionalFormatting>
  <conditionalFormatting sqref="Z308:Z312">
    <cfRule type="expression" dxfId="3406" priority="345">
      <formula>Z308&lt;AB308-#REF!</formula>
    </cfRule>
  </conditionalFormatting>
  <conditionalFormatting sqref="Z315:Z316">
    <cfRule type="expression" dxfId="3405" priority="4365">
      <formula>Z315&gt;AB315*#REF!</formula>
    </cfRule>
    <cfRule type="expression" dxfId="3404" priority="4364">
      <formula>Z315&lt;AB315*#REF!</formula>
    </cfRule>
  </conditionalFormatting>
  <conditionalFormatting sqref="Z317:Z329">
    <cfRule type="expression" dxfId="3403" priority="813">
      <formula>Z317&gt;AB317</formula>
    </cfRule>
    <cfRule type="expression" dxfId="3402" priority="814">
      <formula>Z317&lt;AB317</formula>
    </cfRule>
  </conditionalFormatting>
  <conditionalFormatting sqref="Z330">
    <cfRule type="expression" dxfId="3401" priority="4363">
      <formula>Z330&gt;AB330*#REF!</formula>
    </cfRule>
    <cfRule type="expression" dxfId="3400" priority="4362">
      <formula>Z330&lt;AB330*#REF!</formula>
    </cfRule>
  </conditionalFormatting>
  <conditionalFormatting sqref="Z230:AB231">
    <cfRule type="expression" dxfId="3399" priority="5055">
      <formula>Z230&gt;AB230*#REF!</formula>
    </cfRule>
    <cfRule type="expression" dxfId="3398" priority="5054">
      <formula>Z230&lt;AB230*#REF!</formula>
    </cfRule>
  </conditionalFormatting>
  <conditionalFormatting sqref="Z245:AB245">
    <cfRule type="expression" dxfId="3397" priority="5053">
      <formula>Z245&gt;AB245*#REF!</formula>
    </cfRule>
    <cfRule type="expression" dxfId="3396" priority="5052">
      <formula>Z245&lt;AB245*#REF!</formula>
    </cfRule>
  </conditionalFormatting>
  <conditionalFormatting sqref="Z264:AB265">
    <cfRule type="expression" dxfId="3395" priority="195">
      <formula>Z264&gt;AB264*#REF!</formula>
    </cfRule>
    <cfRule type="expression" dxfId="3394" priority="194">
      <formula>Z264&lt;AB264*#REF!</formula>
    </cfRule>
  </conditionalFormatting>
  <conditionalFormatting sqref="Z266:AB273">
    <cfRule type="expression" dxfId="3393" priority="183">
      <formula>Z266&lt;AB266-#REF!</formula>
    </cfRule>
  </conditionalFormatting>
  <conditionalFormatting sqref="Z266:AB278">
    <cfRule type="expression" dxfId="3392" priority="179">
      <formula>Z266&gt;AB266+#REF!</formula>
    </cfRule>
  </conditionalFormatting>
  <conditionalFormatting sqref="Z279:AB279">
    <cfRule type="expression" dxfId="3391" priority="193">
      <formula>Z279&gt;AB279*#REF!</formula>
    </cfRule>
    <cfRule type="expression" dxfId="3390" priority="202">
      <formula>Z279&lt;AB279*#REF!</formula>
    </cfRule>
  </conditionalFormatting>
  <conditionalFormatting sqref="Z281:AB282">
    <cfRule type="expression" dxfId="3389" priority="459">
      <formula>Z281&gt;AB281*#REF!</formula>
    </cfRule>
    <cfRule type="expression" dxfId="3388" priority="458">
      <formula>Z281&lt;AB281*#REF!</formula>
    </cfRule>
  </conditionalFormatting>
  <conditionalFormatting sqref="Z283:AB290">
    <cfRule type="expression" dxfId="3387" priority="447">
      <formula>Z283&lt;AB283-#REF!</formula>
    </cfRule>
  </conditionalFormatting>
  <conditionalFormatting sqref="Z283:AB295">
    <cfRule type="expression" dxfId="3386" priority="443">
      <formula>Z283&gt;AB283+#REF!</formula>
    </cfRule>
  </conditionalFormatting>
  <conditionalFormatting sqref="Z296:AB296">
    <cfRule type="expression" dxfId="3385" priority="457">
      <formula>Z296&gt;AB296*#REF!</formula>
    </cfRule>
    <cfRule type="expression" dxfId="3384" priority="466">
      <formula>Z296&lt;AB296*#REF!</formula>
    </cfRule>
  </conditionalFormatting>
  <conditionalFormatting sqref="Z298:AB299">
    <cfRule type="expression" dxfId="3383" priority="338">
      <formula>Z298&lt;AB298*#REF!</formula>
    </cfRule>
    <cfRule type="expression" dxfId="3382" priority="339">
      <formula>Z298&gt;AB298*#REF!</formula>
    </cfRule>
  </conditionalFormatting>
  <conditionalFormatting sqref="Z300:AB307">
    <cfRule type="expression" dxfId="3381" priority="327">
      <formula>Z300&lt;AB300-#REF!</formula>
    </cfRule>
  </conditionalFormatting>
  <conditionalFormatting sqref="Z300:AB312">
    <cfRule type="expression" dxfId="3380" priority="323">
      <formula>Z300&gt;AB300+#REF!</formula>
    </cfRule>
  </conditionalFormatting>
  <conditionalFormatting sqref="Z313:AB313">
    <cfRule type="expression" dxfId="3379" priority="337">
      <formula>Z313&gt;AB313*#REF!</formula>
    </cfRule>
    <cfRule type="expression" dxfId="3378" priority="346">
      <formula>Z313&lt;AB313*#REF!</formula>
    </cfRule>
  </conditionalFormatting>
  <conditionalFormatting sqref="AA232:AB244">
    <cfRule type="expression" dxfId="3377" priority="3623">
      <formula>AA232&gt;AC232+#REF!</formula>
    </cfRule>
    <cfRule type="expression" dxfId="3376" priority="3624">
      <formula>AA232&lt;AC232-#REF!</formula>
    </cfRule>
  </conditionalFormatting>
  <conditionalFormatting sqref="AA276:AB278">
    <cfRule type="expression" dxfId="3375" priority="181">
      <formula>AA276&lt;AC276-#REF!</formula>
    </cfRule>
  </conditionalFormatting>
  <conditionalFormatting sqref="AA293:AB295">
    <cfRule type="expression" dxfId="3374" priority="445">
      <formula>AA293&lt;AC293-#REF!</formula>
    </cfRule>
  </conditionalFormatting>
  <conditionalFormatting sqref="AA310:AB312">
    <cfRule type="expression" dxfId="3373" priority="325">
      <formula>AA310&lt;AC310-#REF!</formula>
    </cfRule>
  </conditionalFormatting>
  <conditionalFormatting sqref="AD9:AD10">
    <cfRule type="expression" dxfId="3372" priority="6660">
      <formula>AD9&lt;AF9*#REF!</formula>
    </cfRule>
    <cfRule type="expression" dxfId="3371" priority="6661">
      <formula>AD9&gt;AF9*#REF!</formula>
    </cfRule>
  </conditionalFormatting>
  <conditionalFormatting sqref="AD11:AD23">
    <cfRule type="expression" dxfId="3370" priority="977">
      <formula>AD11&gt;AF11</formula>
    </cfRule>
    <cfRule type="expression" dxfId="3369" priority="978">
      <formula>AD11&lt;AF11</formula>
    </cfRule>
  </conditionalFormatting>
  <conditionalFormatting sqref="AD24">
    <cfRule type="expression" dxfId="3368" priority="6658">
      <formula>AD24&lt;AF24*#REF!</formula>
    </cfRule>
    <cfRule type="expression" dxfId="3367" priority="6659">
      <formula>AD24&gt;AF24*#REF!</formula>
    </cfRule>
  </conditionalFormatting>
  <conditionalFormatting sqref="AD26:AD27">
    <cfRule type="expression" dxfId="3366" priority="6466">
      <formula>AD26&gt;AF26*#REF!</formula>
    </cfRule>
    <cfRule type="expression" dxfId="3365" priority="6465">
      <formula>AD26&lt;AF26*#REF!</formula>
    </cfRule>
  </conditionalFormatting>
  <conditionalFormatting sqref="AD28:AD40">
    <cfRule type="expression" dxfId="3364" priority="966">
      <formula>AD28&lt;AF28</formula>
    </cfRule>
    <cfRule type="expression" dxfId="3363" priority="965">
      <formula>AD28&gt;AF28</formula>
    </cfRule>
  </conditionalFormatting>
  <conditionalFormatting sqref="AD41">
    <cfRule type="expression" dxfId="3362" priority="6463">
      <formula>AD41&lt;AF41*#REF!</formula>
    </cfRule>
    <cfRule type="expression" dxfId="3361" priority="6464">
      <formula>AD41&gt;AF41*#REF!</formula>
    </cfRule>
  </conditionalFormatting>
  <conditionalFormatting sqref="AD43:AD44">
    <cfRule type="expression" dxfId="3360" priority="6333">
      <formula>AD43&lt;AF43*#REF!</formula>
    </cfRule>
    <cfRule type="expression" dxfId="3359" priority="6334">
      <formula>AD43&gt;AF43*#REF!</formula>
    </cfRule>
  </conditionalFormatting>
  <conditionalFormatting sqref="AD45:AD57">
    <cfRule type="expression" dxfId="3358" priority="953">
      <formula>AD45&gt;AF45</formula>
    </cfRule>
    <cfRule type="expression" dxfId="3357" priority="954">
      <formula>AD45&lt;AF45</formula>
    </cfRule>
  </conditionalFormatting>
  <conditionalFormatting sqref="AD58">
    <cfRule type="expression" dxfId="3356" priority="6332">
      <formula>AD58&gt;AF58*#REF!</formula>
    </cfRule>
    <cfRule type="expression" dxfId="3355" priority="6331">
      <formula>AD58&lt;AF58*#REF!</formula>
    </cfRule>
  </conditionalFormatting>
  <conditionalFormatting sqref="AD60:AD61">
    <cfRule type="expression" dxfId="3354" priority="6201">
      <formula>AD60&gt;AF60*#REF!</formula>
    </cfRule>
    <cfRule type="expression" dxfId="3353" priority="6200">
      <formula>AD60&lt;AF60*#REF!</formula>
    </cfRule>
  </conditionalFormatting>
  <conditionalFormatting sqref="AD62:AD74">
    <cfRule type="expression" dxfId="3352" priority="941">
      <formula>AD62&gt;AF62</formula>
    </cfRule>
    <cfRule type="expression" dxfId="3351" priority="942">
      <formula>AD62&lt;AF62</formula>
    </cfRule>
  </conditionalFormatting>
  <conditionalFormatting sqref="AD75">
    <cfRule type="expression" dxfId="3350" priority="6198">
      <formula>AD75&lt;AF75*#REF!</formula>
    </cfRule>
    <cfRule type="expression" dxfId="3349" priority="6199">
      <formula>AD75&gt;AF75*#REF!</formula>
    </cfRule>
  </conditionalFormatting>
  <conditionalFormatting sqref="AD77:AD78">
    <cfRule type="expression" dxfId="3348" priority="4269">
      <formula>AD77&gt;AF77*#REF!</formula>
    </cfRule>
    <cfRule type="expression" dxfId="3347" priority="4268">
      <formula>AD77&lt;AF77*#REF!</formula>
    </cfRule>
  </conditionalFormatting>
  <conditionalFormatting sqref="AD79:AD91">
    <cfRule type="expression" dxfId="3346" priority="929">
      <formula>AD79&gt;AF79</formula>
    </cfRule>
    <cfRule type="expression" dxfId="3345" priority="930">
      <formula>AD79&lt;AF79</formula>
    </cfRule>
  </conditionalFormatting>
  <conditionalFormatting sqref="AD92">
    <cfRule type="expression" dxfId="3344" priority="4266">
      <formula>AD92&lt;AF92*#REF!</formula>
    </cfRule>
    <cfRule type="expression" dxfId="3343" priority="4267">
      <formula>AD92&gt;AF92*#REF!</formula>
    </cfRule>
  </conditionalFormatting>
  <conditionalFormatting sqref="AD94:AD95">
    <cfRule type="expression" dxfId="3342" priority="4131">
      <formula>AD94&gt;AF94*#REF!</formula>
    </cfRule>
    <cfRule type="expression" dxfId="3341" priority="4130">
      <formula>AD94&lt;AF94*#REF!</formula>
    </cfRule>
  </conditionalFormatting>
  <conditionalFormatting sqref="AD96:AD108">
    <cfRule type="expression" dxfId="3340" priority="927">
      <formula>AD96&gt;AF96</formula>
    </cfRule>
    <cfRule type="expression" dxfId="3339" priority="928">
      <formula>AD96&lt;AF96</formula>
    </cfRule>
  </conditionalFormatting>
  <conditionalFormatting sqref="AD109">
    <cfRule type="expression" dxfId="3338" priority="4128">
      <formula>AD109&lt;AF109*#REF!</formula>
    </cfRule>
    <cfRule type="expression" dxfId="3337" priority="4129">
      <formula>AD109&gt;AF109*#REF!</formula>
    </cfRule>
  </conditionalFormatting>
  <conditionalFormatting sqref="AD111:AD112">
    <cfRule type="expression" dxfId="3336" priority="6062">
      <formula>AD111&lt;AF111*#REF!</formula>
    </cfRule>
    <cfRule type="expression" dxfId="3335" priority="6063">
      <formula>AD111&gt;AF111*#REF!</formula>
    </cfRule>
  </conditionalFormatting>
  <conditionalFormatting sqref="AD113:AD125">
    <cfRule type="expression" dxfId="3334" priority="905">
      <formula>AD113&gt;AF113</formula>
    </cfRule>
    <cfRule type="expression" dxfId="3333" priority="906">
      <formula>AD113&lt;AF113</formula>
    </cfRule>
  </conditionalFormatting>
  <conditionalFormatting sqref="AD126">
    <cfRule type="expression" dxfId="3332" priority="6061">
      <formula>AD126&gt;AF126*#REF!</formula>
    </cfRule>
    <cfRule type="expression" dxfId="3331" priority="6060">
      <formula>AD126&lt;AF126*#REF!</formula>
    </cfRule>
  </conditionalFormatting>
  <conditionalFormatting sqref="AD128:AD129">
    <cfRule type="expression" dxfId="3330" priority="5925">
      <formula>AD128&gt;AF128*#REF!</formula>
    </cfRule>
    <cfRule type="expression" dxfId="3329" priority="5924">
      <formula>AD128&lt;AF128*#REF!</formula>
    </cfRule>
  </conditionalFormatting>
  <conditionalFormatting sqref="AD130:AD142">
    <cfRule type="expression" dxfId="3328" priority="893">
      <formula>AD130&gt;AF130</formula>
    </cfRule>
    <cfRule type="expression" dxfId="3327" priority="894">
      <formula>AD130&lt;AF130</formula>
    </cfRule>
  </conditionalFormatting>
  <conditionalFormatting sqref="AD143">
    <cfRule type="expression" dxfId="3326" priority="5923">
      <formula>AD143&gt;AF143*#REF!</formula>
    </cfRule>
    <cfRule type="expression" dxfId="3325" priority="5922">
      <formula>AD143&lt;AF143*#REF!</formula>
    </cfRule>
  </conditionalFormatting>
  <conditionalFormatting sqref="AD145:AD146">
    <cfRule type="expression" dxfId="3324" priority="5786">
      <formula>AD145&lt;AF145*#REF!</formula>
    </cfRule>
    <cfRule type="expression" dxfId="3323" priority="5787">
      <formula>AD145&gt;AF145*#REF!</formula>
    </cfRule>
  </conditionalFormatting>
  <conditionalFormatting sqref="AD147:AD159">
    <cfRule type="expression" dxfId="3322" priority="881">
      <formula>AD147&gt;AF147</formula>
    </cfRule>
    <cfRule type="expression" dxfId="3321" priority="882">
      <formula>AD147&lt;AF147</formula>
    </cfRule>
  </conditionalFormatting>
  <conditionalFormatting sqref="AD160">
    <cfRule type="expression" dxfId="3320" priority="5784">
      <formula>AD160&lt;AF160*#REF!</formula>
    </cfRule>
    <cfRule type="expression" dxfId="3319" priority="5785">
      <formula>AD160&gt;AF160*#REF!</formula>
    </cfRule>
  </conditionalFormatting>
  <conditionalFormatting sqref="AD162:AD163">
    <cfRule type="expression" dxfId="3318" priority="5649">
      <formula>AD162&gt;AF162*#REF!</formula>
    </cfRule>
    <cfRule type="expression" dxfId="3317" priority="5648">
      <formula>AD162&lt;AF162*#REF!</formula>
    </cfRule>
  </conditionalFormatting>
  <conditionalFormatting sqref="AD164:AD176">
    <cfRule type="expression" dxfId="3316" priority="870">
      <formula>AD164&lt;AF164</formula>
    </cfRule>
    <cfRule type="expression" dxfId="3315" priority="869">
      <formula>AD164&gt;AF164</formula>
    </cfRule>
  </conditionalFormatting>
  <conditionalFormatting sqref="AD177">
    <cfRule type="expression" dxfId="3314" priority="5647">
      <formula>AD177&gt;AF177*#REF!</formula>
    </cfRule>
    <cfRule type="expression" dxfId="3313" priority="5646">
      <formula>AD177&lt;AF177*#REF!</formula>
    </cfRule>
  </conditionalFormatting>
  <conditionalFormatting sqref="AD179:AD180">
    <cfRule type="expression" dxfId="3312" priority="5510">
      <formula>AD179&lt;AF179*#REF!</formula>
    </cfRule>
    <cfRule type="expression" dxfId="3311" priority="5511">
      <formula>AD179&gt;AF179*#REF!</formula>
    </cfRule>
  </conditionalFormatting>
  <conditionalFormatting sqref="AD181:AD193">
    <cfRule type="expression" dxfId="3310" priority="858">
      <formula>AD181&lt;AF181</formula>
    </cfRule>
    <cfRule type="expression" dxfId="3309" priority="857">
      <formula>AD181&gt;AF181</formula>
    </cfRule>
  </conditionalFormatting>
  <conditionalFormatting sqref="AD194">
    <cfRule type="expression" dxfId="3308" priority="5509">
      <formula>AD194&gt;AF194*#REF!</formula>
    </cfRule>
    <cfRule type="expression" dxfId="3307" priority="5508">
      <formula>AD194&lt;AF194*#REF!</formula>
    </cfRule>
  </conditionalFormatting>
  <conditionalFormatting sqref="AD196:AD197">
    <cfRule type="expression" dxfId="3306" priority="5372">
      <formula>AD196&lt;AF196*#REF!</formula>
    </cfRule>
    <cfRule type="expression" dxfId="3305" priority="5373">
      <formula>AD196&gt;AF196*#REF!</formula>
    </cfRule>
  </conditionalFormatting>
  <conditionalFormatting sqref="AD198:AD210">
    <cfRule type="expression" dxfId="3304" priority="855">
      <formula>AD198&gt;AF198</formula>
    </cfRule>
    <cfRule type="expression" dxfId="3303" priority="856">
      <formula>AD198&lt;AF198</formula>
    </cfRule>
  </conditionalFormatting>
  <conditionalFormatting sqref="AD211">
    <cfRule type="expression" dxfId="3302" priority="5371">
      <formula>AD211&gt;AF211*#REF!</formula>
    </cfRule>
    <cfRule type="expression" dxfId="3301" priority="5370">
      <formula>AD211&lt;AF211*#REF!</formula>
    </cfRule>
  </conditionalFormatting>
  <conditionalFormatting sqref="AD213:AD214">
    <cfRule type="expression" dxfId="3300" priority="5234">
      <formula>AD213&lt;AF213*#REF!</formula>
    </cfRule>
    <cfRule type="expression" dxfId="3299" priority="5235">
      <formula>AD213&gt;AF213*#REF!</formula>
    </cfRule>
  </conditionalFormatting>
  <conditionalFormatting sqref="AD218:AD227">
    <cfRule type="expression" dxfId="3298" priority="5220">
      <formula>AD218&gt;AF218+#REF!</formula>
    </cfRule>
    <cfRule type="expression" dxfId="3297" priority="5221">
      <formula>AD218&lt;AF218-#REF!</formula>
    </cfRule>
  </conditionalFormatting>
  <conditionalFormatting sqref="AD228">
    <cfRule type="expression" dxfId="3296" priority="5232">
      <formula>AD228&lt;AF228*#REF!</formula>
    </cfRule>
    <cfRule type="expression" dxfId="3295" priority="5233">
      <formula>AD228&gt;AF228*#REF!</formula>
    </cfRule>
  </conditionalFormatting>
  <conditionalFormatting sqref="AD230:AD231">
    <cfRule type="expression" dxfId="3294" priority="5096">
      <formula>AD230&lt;AF230*#REF!</formula>
    </cfRule>
    <cfRule type="expression" dxfId="3293" priority="5097">
      <formula>AD230&gt;AF230*#REF!</formula>
    </cfRule>
  </conditionalFormatting>
  <conditionalFormatting sqref="AD232:AD244">
    <cfRule type="expression" dxfId="3292" priority="833">
      <formula>AD232&gt;AF232</formula>
    </cfRule>
    <cfRule type="expression" dxfId="3291" priority="834">
      <formula>AD232&lt;AF232</formula>
    </cfRule>
  </conditionalFormatting>
  <conditionalFormatting sqref="AD245">
    <cfRule type="expression" dxfId="3290" priority="5094">
      <formula>AD245&lt;AF245*#REF!</formula>
    </cfRule>
    <cfRule type="expression" dxfId="3289" priority="5095">
      <formula>AD245&gt;AF245*#REF!</formula>
    </cfRule>
  </conditionalFormatting>
  <conditionalFormatting sqref="AD247:AD248">
    <cfRule type="expression" dxfId="3288" priority="4959">
      <formula>AD247&gt;AF247*#REF!</formula>
    </cfRule>
    <cfRule type="expression" dxfId="3287" priority="4958">
      <formula>AD247&lt;AF247*#REF!</formula>
    </cfRule>
  </conditionalFormatting>
  <conditionalFormatting sqref="AD249:AD261">
    <cfRule type="expression" dxfId="3286" priority="832">
      <formula>AD249&lt;AF249</formula>
    </cfRule>
    <cfRule type="expression" dxfId="3285" priority="831">
      <formula>AD249&gt;AF249</formula>
    </cfRule>
  </conditionalFormatting>
  <conditionalFormatting sqref="AD262">
    <cfRule type="expression" dxfId="3284" priority="4956">
      <formula>AD262&lt;AF262*#REF!</formula>
    </cfRule>
    <cfRule type="expression" dxfId="3283" priority="4957">
      <formula>AD262&gt;AF262*#REF!</formula>
    </cfRule>
  </conditionalFormatting>
  <conditionalFormatting sqref="AD274:AD278">
    <cfRule type="expression" dxfId="3282" priority="177">
      <formula>AD274&lt;AF274-#REF!</formula>
    </cfRule>
  </conditionalFormatting>
  <conditionalFormatting sqref="AD291:AD295">
    <cfRule type="expression" dxfId="3281" priority="441">
      <formula>AD291&lt;AF291-#REF!</formula>
    </cfRule>
  </conditionalFormatting>
  <conditionalFormatting sqref="AD308:AD312">
    <cfRule type="expression" dxfId="3280" priority="321">
      <formula>AD308&lt;AF308-#REF!</formula>
    </cfRule>
  </conditionalFormatting>
  <conditionalFormatting sqref="AD315:AD316">
    <cfRule type="expression" dxfId="3279" priority="4406">
      <formula>AD315&lt;AF315*#REF!</formula>
    </cfRule>
    <cfRule type="expression" dxfId="3278" priority="4407">
      <formula>AD315&gt;AF315*#REF!</formula>
    </cfRule>
  </conditionalFormatting>
  <conditionalFormatting sqref="AD317:AD329">
    <cfRule type="expression" dxfId="3277" priority="812">
      <formula>AD317&lt;AF317</formula>
    </cfRule>
    <cfRule type="expression" dxfId="3276" priority="811">
      <formula>AD317&gt;AF317</formula>
    </cfRule>
  </conditionalFormatting>
  <conditionalFormatting sqref="AD330">
    <cfRule type="expression" dxfId="3275" priority="4404">
      <formula>AD330&lt;AF330*#REF!</formula>
    </cfRule>
    <cfRule type="expression" dxfId="3274" priority="4405">
      <formula>AD330&gt;AF330*#REF!</formula>
    </cfRule>
  </conditionalFormatting>
  <conditionalFormatting sqref="AD264:AF265">
    <cfRule type="expression" dxfId="3273" priority="170">
      <formula>AD264&lt;AF264*#REF!</formula>
    </cfRule>
    <cfRule type="expression" dxfId="3272" priority="171">
      <formula>AD264&gt;AF264*#REF!</formula>
    </cfRule>
  </conditionalFormatting>
  <conditionalFormatting sqref="AD266:AF273">
    <cfRule type="expression" dxfId="3271" priority="159">
      <formula>AD266&lt;AF266-#REF!</formula>
    </cfRule>
  </conditionalFormatting>
  <conditionalFormatting sqref="AD266:AF278">
    <cfRule type="expression" dxfId="3270" priority="155">
      <formula>AD266&gt;AF266+#REF!</formula>
    </cfRule>
  </conditionalFormatting>
  <conditionalFormatting sqref="AD279:AF279">
    <cfRule type="expression" dxfId="3269" priority="178">
      <formula>AD279&lt;AF279*#REF!</formula>
    </cfRule>
    <cfRule type="expression" dxfId="3268" priority="169">
      <formula>AD279&gt;AF279*#REF!</formula>
    </cfRule>
  </conditionalFormatting>
  <conditionalFormatting sqref="AD281:AF282">
    <cfRule type="expression" dxfId="3267" priority="434">
      <formula>AD281&lt;AF281*#REF!</formula>
    </cfRule>
    <cfRule type="expression" dxfId="3266" priority="435">
      <formula>AD281&gt;AF281*#REF!</formula>
    </cfRule>
  </conditionalFormatting>
  <conditionalFormatting sqref="AD283:AF290">
    <cfRule type="expression" dxfId="3265" priority="423">
      <formula>AD283&lt;AF283-#REF!</formula>
    </cfRule>
  </conditionalFormatting>
  <conditionalFormatting sqref="AD283:AF295">
    <cfRule type="expression" dxfId="3264" priority="419">
      <formula>AD283&gt;AF283+#REF!</formula>
    </cfRule>
  </conditionalFormatting>
  <conditionalFormatting sqref="AD296:AF296">
    <cfRule type="expression" dxfId="3263" priority="433">
      <formula>AD296&gt;AF296*#REF!</formula>
    </cfRule>
    <cfRule type="expression" dxfId="3262" priority="442">
      <formula>AD296&lt;AF296*#REF!</formula>
    </cfRule>
  </conditionalFormatting>
  <conditionalFormatting sqref="AD298:AF299">
    <cfRule type="expression" dxfId="3261" priority="315">
      <formula>AD298&gt;AF298*#REF!</formula>
    </cfRule>
    <cfRule type="expression" dxfId="3260" priority="314">
      <formula>AD298&lt;AF298*#REF!</formula>
    </cfRule>
  </conditionalFormatting>
  <conditionalFormatting sqref="AD300:AF307">
    <cfRule type="expression" dxfId="3259" priority="303">
      <formula>AD300&lt;AF300-#REF!</formula>
    </cfRule>
  </conditionalFormatting>
  <conditionalFormatting sqref="AD300:AF312">
    <cfRule type="expression" dxfId="3258" priority="299">
      <formula>AD300&gt;AF300+#REF!</formula>
    </cfRule>
  </conditionalFormatting>
  <conditionalFormatting sqref="AD313:AF313">
    <cfRule type="expression" dxfId="3257" priority="313">
      <formula>AD313&gt;AF313*#REF!</formula>
    </cfRule>
    <cfRule type="expression" dxfId="3256" priority="322">
      <formula>AD313&lt;AF313*#REF!</formula>
    </cfRule>
  </conditionalFormatting>
  <conditionalFormatting sqref="AE276:AF278">
    <cfRule type="expression" dxfId="3255" priority="157">
      <formula>AE276&lt;AG276-#REF!</formula>
    </cfRule>
  </conditionalFormatting>
  <conditionalFormatting sqref="AE293:AF295">
    <cfRule type="expression" dxfId="3254" priority="421">
      <formula>AE293&lt;AG293-#REF!</formula>
    </cfRule>
  </conditionalFormatting>
  <conditionalFormatting sqref="AE310:AF312">
    <cfRule type="expression" dxfId="3253" priority="301">
      <formula>AE310&lt;AG310-#REF!</formula>
    </cfRule>
  </conditionalFormatting>
  <conditionalFormatting sqref="AH9:AH10">
    <cfRule type="expression" dxfId="3252" priority="6644">
      <formula>AH9&gt;AJ9*#REF!</formula>
    </cfRule>
    <cfRule type="expression" dxfId="3251" priority="6643">
      <formula>AH9&lt;AJ9*#REF!</formula>
    </cfRule>
  </conditionalFormatting>
  <conditionalFormatting sqref="AH11:AH23">
    <cfRule type="expression" dxfId="3250" priority="810">
      <formula>AH11&lt;AJ11</formula>
    </cfRule>
    <cfRule type="expression" dxfId="3249" priority="809">
      <formula>AH11&gt;AJ11</formula>
    </cfRule>
  </conditionalFormatting>
  <conditionalFormatting sqref="AH24">
    <cfRule type="expression" dxfId="3248" priority="6641">
      <formula>AH24&lt;AJ24*#REF!</formula>
    </cfRule>
    <cfRule type="expression" dxfId="3247" priority="6642">
      <formula>AH24&gt;AJ24*#REF!</formula>
    </cfRule>
  </conditionalFormatting>
  <conditionalFormatting sqref="AH26:AH27">
    <cfRule type="expression" dxfId="3246" priority="6449">
      <formula>AH26&gt;AJ26*#REF!</formula>
    </cfRule>
    <cfRule type="expression" dxfId="3245" priority="6448">
      <formula>AH26&lt;AJ26*#REF!</formula>
    </cfRule>
  </conditionalFormatting>
  <conditionalFormatting sqref="AH28:AH40">
    <cfRule type="expression" dxfId="3244" priority="807">
      <formula>AH28&gt;AJ28</formula>
    </cfRule>
    <cfRule type="expression" dxfId="3243" priority="808">
      <formula>AH28&lt;AJ28</formula>
    </cfRule>
  </conditionalFormatting>
  <conditionalFormatting sqref="AH41">
    <cfRule type="expression" dxfId="3242" priority="6447">
      <formula>AH41&gt;AJ41*#REF!</formula>
    </cfRule>
    <cfRule type="expression" dxfId="3241" priority="6446">
      <formula>AH41&lt;AJ41*#REF!</formula>
    </cfRule>
  </conditionalFormatting>
  <conditionalFormatting sqref="AH43:AH44">
    <cfRule type="expression" dxfId="3240" priority="6316">
      <formula>AH43&lt;AJ43*#REF!</formula>
    </cfRule>
    <cfRule type="expression" dxfId="3239" priority="6317">
      <formula>AH43&gt;AJ43*#REF!</formula>
    </cfRule>
  </conditionalFormatting>
  <conditionalFormatting sqref="AH45:AH57">
    <cfRule type="expression" dxfId="3238" priority="806">
      <formula>AH45&lt;AJ45</formula>
    </cfRule>
    <cfRule type="expression" dxfId="3237" priority="805">
      <formula>AH45&gt;AJ45</formula>
    </cfRule>
  </conditionalFormatting>
  <conditionalFormatting sqref="AH58">
    <cfRule type="expression" dxfId="3236" priority="6314">
      <formula>AH58&lt;AJ58*#REF!</formula>
    </cfRule>
    <cfRule type="expression" dxfId="3235" priority="6315">
      <formula>AH58&gt;AJ58*#REF!</formula>
    </cfRule>
  </conditionalFormatting>
  <conditionalFormatting sqref="AH60:AH61">
    <cfRule type="expression" dxfId="3234" priority="6183">
      <formula>AH60&gt;AJ60*#REF!</formula>
    </cfRule>
    <cfRule type="expression" dxfId="3233" priority="6182">
      <formula>AH60&lt;AJ60*#REF!</formula>
    </cfRule>
  </conditionalFormatting>
  <conditionalFormatting sqref="AH62:AH74">
    <cfRule type="expression" dxfId="3232" priority="804">
      <formula>AH62&lt;AJ62</formula>
    </cfRule>
    <cfRule type="expression" dxfId="3231" priority="803">
      <formula>AH62&gt;AJ62</formula>
    </cfRule>
  </conditionalFormatting>
  <conditionalFormatting sqref="AH75">
    <cfRule type="expression" dxfId="3230" priority="6180">
      <formula>AH75&lt;AJ75*#REF!</formula>
    </cfRule>
    <cfRule type="expression" dxfId="3229" priority="6181">
      <formula>AH75&gt;AJ75*#REF!</formula>
    </cfRule>
  </conditionalFormatting>
  <conditionalFormatting sqref="AH77:AH78">
    <cfRule type="expression" dxfId="3228" priority="4250">
      <formula>AH77&lt;AJ77*#REF!</formula>
    </cfRule>
    <cfRule type="expression" dxfId="3227" priority="4251">
      <formula>AH77&gt;AJ77*#REF!</formula>
    </cfRule>
  </conditionalFormatting>
  <conditionalFormatting sqref="AH79:AH91">
    <cfRule type="expression" dxfId="3226" priority="802">
      <formula>AH79&lt;AJ79</formula>
    </cfRule>
    <cfRule type="expression" dxfId="3225" priority="801">
      <formula>AH79&gt;AJ79</formula>
    </cfRule>
  </conditionalFormatting>
  <conditionalFormatting sqref="AH92">
    <cfRule type="expression" dxfId="3224" priority="4248">
      <formula>AH92&lt;AJ92*#REF!</formula>
    </cfRule>
    <cfRule type="expression" dxfId="3223" priority="4249">
      <formula>AH92&gt;AJ92*#REF!</formula>
    </cfRule>
  </conditionalFormatting>
  <conditionalFormatting sqref="AH94:AH95">
    <cfRule type="expression" dxfId="3222" priority="4113">
      <formula>AH94&gt;AJ94*#REF!</formula>
    </cfRule>
    <cfRule type="expression" dxfId="3221" priority="4112">
      <formula>AH94&lt;AJ94*#REF!</formula>
    </cfRule>
  </conditionalFormatting>
  <conditionalFormatting sqref="AH96:AH108">
    <cfRule type="expression" dxfId="3220" priority="800">
      <formula>AH96&lt;AJ96</formula>
    </cfRule>
    <cfRule type="expression" dxfId="3219" priority="799">
      <formula>AH96&gt;AJ96</formula>
    </cfRule>
  </conditionalFormatting>
  <conditionalFormatting sqref="AH109">
    <cfRule type="expression" dxfId="3218" priority="4110">
      <formula>AH109&lt;AJ109*#REF!</formula>
    </cfRule>
    <cfRule type="expression" dxfId="3217" priority="4111">
      <formula>AH109&gt;AJ109*#REF!</formula>
    </cfRule>
  </conditionalFormatting>
  <conditionalFormatting sqref="AH111:AH112">
    <cfRule type="expression" dxfId="3216" priority="6044">
      <formula>AH111&lt;AJ111*#REF!</formula>
    </cfRule>
    <cfRule type="expression" dxfId="3215" priority="6045">
      <formula>AH111&gt;AJ111*#REF!</formula>
    </cfRule>
  </conditionalFormatting>
  <conditionalFormatting sqref="AH113:AH125">
    <cfRule type="expression" dxfId="3214" priority="797">
      <formula>AH113&gt;AJ113</formula>
    </cfRule>
    <cfRule type="expression" dxfId="3213" priority="798">
      <formula>AH113&lt;AJ113</formula>
    </cfRule>
  </conditionalFormatting>
  <conditionalFormatting sqref="AH126">
    <cfRule type="expression" dxfId="3212" priority="6043">
      <formula>AH126&gt;AJ126*#REF!</formula>
    </cfRule>
    <cfRule type="expression" dxfId="3211" priority="6042">
      <formula>AH126&lt;AJ126*#REF!</formula>
    </cfRule>
  </conditionalFormatting>
  <conditionalFormatting sqref="AH128:AH129">
    <cfRule type="expression" dxfId="3210" priority="5906">
      <formula>AH128&lt;AJ128*#REF!</formula>
    </cfRule>
    <cfRule type="expression" dxfId="3209" priority="5907">
      <formula>AH128&gt;AJ128*#REF!</formula>
    </cfRule>
  </conditionalFormatting>
  <conditionalFormatting sqref="AH130:AH142">
    <cfRule type="expression" dxfId="3208" priority="795">
      <formula>AH130&gt;AJ130</formula>
    </cfRule>
    <cfRule type="expression" dxfId="3207" priority="796">
      <formula>AH130&lt;AJ130</formula>
    </cfRule>
  </conditionalFormatting>
  <conditionalFormatting sqref="AH143">
    <cfRule type="expression" dxfId="3206" priority="5905">
      <formula>AH143&gt;AJ143*#REF!</formula>
    </cfRule>
    <cfRule type="expression" dxfId="3205" priority="5904">
      <formula>AH143&lt;AJ143*#REF!</formula>
    </cfRule>
  </conditionalFormatting>
  <conditionalFormatting sqref="AH145:AH146">
    <cfRule type="expression" dxfId="3204" priority="5769">
      <formula>AH145&gt;AJ145*#REF!</formula>
    </cfRule>
    <cfRule type="expression" dxfId="3203" priority="5768">
      <formula>AH145&lt;AJ145*#REF!</formula>
    </cfRule>
  </conditionalFormatting>
  <conditionalFormatting sqref="AH147:AH159">
    <cfRule type="expression" dxfId="3202" priority="794">
      <formula>AH147&lt;AJ147</formula>
    </cfRule>
    <cfRule type="expression" dxfId="3201" priority="793">
      <formula>AH147&gt;AJ147</formula>
    </cfRule>
  </conditionalFormatting>
  <conditionalFormatting sqref="AH160">
    <cfRule type="expression" dxfId="3200" priority="5767">
      <formula>AH160&gt;AJ160*#REF!</formula>
    </cfRule>
    <cfRule type="expression" dxfId="3199" priority="5766">
      <formula>AH160&lt;AJ160*#REF!</formula>
    </cfRule>
  </conditionalFormatting>
  <conditionalFormatting sqref="AH162:AH163">
    <cfRule type="expression" dxfId="3198" priority="5630">
      <formula>AH162&lt;AJ162*#REF!</formula>
    </cfRule>
    <cfRule type="expression" dxfId="3197" priority="5631">
      <formula>AH162&gt;AJ162*#REF!</formula>
    </cfRule>
  </conditionalFormatting>
  <conditionalFormatting sqref="AH164:AH176">
    <cfRule type="expression" dxfId="3196" priority="791">
      <formula>AH164&gt;AJ164</formula>
    </cfRule>
    <cfRule type="expression" dxfId="3195" priority="792">
      <formula>AH164&lt;AJ164</formula>
    </cfRule>
  </conditionalFormatting>
  <conditionalFormatting sqref="AH177">
    <cfRule type="expression" dxfId="3194" priority="5628">
      <formula>AH177&lt;AJ177*#REF!</formula>
    </cfRule>
    <cfRule type="expression" dxfId="3193" priority="5629">
      <formula>AH177&gt;AJ177*#REF!</formula>
    </cfRule>
  </conditionalFormatting>
  <conditionalFormatting sqref="AH179:AH180">
    <cfRule type="expression" dxfId="3192" priority="5493">
      <formula>AH179&gt;AJ179*#REF!</formula>
    </cfRule>
    <cfRule type="expression" dxfId="3191" priority="5492">
      <formula>AH179&lt;AJ179*#REF!</formula>
    </cfRule>
  </conditionalFormatting>
  <conditionalFormatting sqref="AH181:AH193">
    <cfRule type="expression" dxfId="3190" priority="790">
      <formula>AH181&lt;AJ181</formula>
    </cfRule>
    <cfRule type="expression" dxfId="3189" priority="789">
      <formula>AH181&gt;AJ181</formula>
    </cfRule>
  </conditionalFormatting>
  <conditionalFormatting sqref="AH194">
    <cfRule type="expression" dxfId="3188" priority="5491">
      <formula>AH194&gt;AJ194*#REF!</formula>
    </cfRule>
    <cfRule type="expression" dxfId="3187" priority="5490">
      <formula>AH194&lt;AJ194*#REF!</formula>
    </cfRule>
  </conditionalFormatting>
  <conditionalFormatting sqref="AH196:AH197">
    <cfRule type="expression" dxfId="3186" priority="5355">
      <formula>AH196&gt;AJ196*#REF!</formula>
    </cfRule>
    <cfRule type="expression" dxfId="3185" priority="5354">
      <formula>AH196&lt;AJ196*#REF!</formula>
    </cfRule>
  </conditionalFormatting>
  <conditionalFormatting sqref="AH198:AH210">
    <cfRule type="expression" dxfId="3184" priority="788">
      <formula>AH198&lt;AJ198</formula>
    </cfRule>
    <cfRule type="expression" dxfId="3183" priority="787">
      <formula>AH198&gt;AJ198</formula>
    </cfRule>
  </conditionalFormatting>
  <conditionalFormatting sqref="AH211">
    <cfRule type="expression" dxfId="3182" priority="5353">
      <formula>AH211&gt;AJ211*#REF!</formula>
    </cfRule>
    <cfRule type="expression" dxfId="3181" priority="5352">
      <formula>AH211&lt;AJ211*#REF!</formula>
    </cfRule>
  </conditionalFormatting>
  <conditionalFormatting sqref="AH213:AH214">
    <cfRule type="expression" dxfId="3180" priority="5217">
      <formula>AH213&gt;AJ213*#REF!</formula>
    </cfRule>
    <cfRule type="expression" dxfId="3179" priority="5216">
      <formula>AH213&lt;AJ213*#REF!</formula>
    </cfRule>
  </conditionalFormatting>
  <conditionalFormatting sqref="AH215:AH227">
    <cfRule type="expression" dxfId="3178" priority="5197">
      <formula>AH215&lt;AJ215-#REF!</formula>
    </cfRule>
    <cfRule type="expression" dxfId="3177" priority="5196">
      <formula>AH215&gt;AJ215+#REF!</formula>
    </cfRule>
  </conditionalFormatting>
  <conditionalFormatting sqref="AH228">
    <cfRule type="expression" dxfId="3176" priority="5215">
      <formula>AH228&gt;AJ228*#REF!</formula>
    </cfRule>
    <cfRule type="expression" dxfId="3175" priority="5214">
      <formula>AH228&lt;AJ228*#REF!</formula>
    </cfRule>
  </conditionalFormatting>
  <conditionalFormatting sqref="AH230:AH231">
    <cfRule type="expression" dxfId="3174" priority="5078">
      <formula>AH230&lt;AJ230*#REF!</formula>
    </cfRule>
    <cfRule type="expression" dxfId="3173" priority="5079">
      <formula>AH230&gt;AJ230*#REF!</formula>
    </cfRule>
  </conditionalFormatting>
  <conditionalFormatting sqref="AH232:AH244">
    <cfRule type="expression" dxfId="3172" priority="786">
      <formula>AH232&lt;AJ232</formula>
    </cfRule>
    <cfRule type="expression" dxfId="3171" priority="785">
      <formula>AH232&gt;AJ232</formula>
    </cfRule>
  </conditionalFormatting>
  <conditionalFormatting sqref="AH245">
    <cfRule type="expression" dxfId="3170" priority="5076">
      <formula>AH245&lt;AJ245*#REF!</formula>
    </cfRule>
    <cfRule type="expression" dxfId="3169" priority="5077">
      <formula>AH245&gt;AJ245*#REF!</formula>
    </cfRule>
  </conditionalFormatting>
  <conditionalFormatting sqref="AH247:AH248">
    <cfRule type="expression" dxfId="3168" priority="4941">
      <formula>AH247&gt;AJ247*#REF!</formula>
    </cfRule>
    <cfRule type="expression" dxfId="3167" priority="4940">
      <formula>AH247&lt;AJ247*#REF!</formula>
    </cfRule>
  </conditionalFormatting>
  <conditionalFormatting sqref="AH249:AH261">
    <cfRule type="expression" dxfId="3166" priority="784">
      <formula>AH249&lt;AJ249</formula>
    </cfRule>
    <cfRule type="expression" dxfId="3165" priority="783">
      <formula>AH249&gt;AJ249</formula>
    </cfRule>
  </conditionalFormatting>
  <conditionalFormatting sqref="AH262">
    <cfRule type="expression" dxfId="3164" priority="4939">
      <formula>AH262&gt;AJ262*#REF!</formula>
    </cfRule>
    <cfRule type="expression" dxfId="3163" priority="4938">
      <formula>AH262&lt;AJ262*#REF!</formula>
    </cfRule>
  </conditionalFormatting>
  <conditionalFormatting sqref="AH264:AH265">
    <cfRule type="expression" dxfId="3162" priority="4802">
      <formula>AH264&lt;AJ264*#REF!</formula>
    </cfRule>
    <cfRule type="expression" dxfId="3161" priority="4803">
      <formula>AH264&gt;AJ264*#REF!</formula>
    </cfRule>
  </conditionalFormatting>
  <conditionalFormatting sqref="AH266:AH278">
    <cfRule type="expression" dxfId="3160" priority="782">
      <formula>AH266&lt;AJ266</formula>
    </cfRule>
    <cfRule type="expression" dxfId="3159" priority="781">
      <formula>AH266&gt;AJ266</formula>
    </cfRule>
  </conditionalFormatting>
  <conditionalFormatting sqref="AH279">
    <cfRule type="expression" dxfId="3158" priority="4801">
      <formula>AH279&gt;AJ279*#REF!</formula>
    </cfRule>
    <cfRule type="expression" dxfId="3157" priority="4800">
      <formula>AH279&lt;AJ279*#REF!</formula>
    </cfRule>
  </conditionalFormatting>
  <conditionalFormatting sqref="AH279:AH282 R280 V280 Z280 AD280 AH296:AH299 AT296:AT299 AX296:AX299 BJ296:BJ299 BN296:BN299 BR296:BR299 R297 V297 Z297 AD297">
    <cfRule type="expression" dxfId="3156" priority="991">
      <formula>R279&gt;T279</formula>
    </cfRule>
  </conditionalFormatting>
  <conditionalFormatting sqref="AH281:AH282">
    <cfRule type="expression" dxfId="3155" priority="4664">
      <formula>AH281&lt;AJ281*#REF!</formula>
    </cfRule>
    <cfRule type="expression" dxfId="3154" priority="4665">
      <formula>AH281&gt;AJ281*#REF!</formula>
    </cfRule>
  </conditionalFormatting>
  <conditionalFormatting sqref="AH283:AH295">
    <cfRule type="expression" dxfId="3153" priority="779">
      <formula>AH283&gt;AJ283</formula>
    </cfRule>
    <cfRule type="expression" dxfId="3152" priority="780">
      <formula>AH283&lt;AJ283</formula>
    </cfRule>
  </conditionalFormatting>
  <conditionalFormatting sqref="AH296">
    <cfRule type="expression" dxfId="3151" priority="4662">
      <formula>AH296&lt;AJ296*#REF!</formula>
    </cfRule>
    <cfRule type="expression" dxfId="3150" priority="4663">
      <formula>AH296&gt;AJ296*#REF!</formula>
    </cfRule>
  </conditionalFormatting>
  <conditionalFormatting sqref="AH298:AH299">
    <cfRule type="expression" dxfId="3149" priority="4526">
      <formula>AH298&lt;AJ298*#REF!</formula>
    </cfRule>
    <cfRule type="expression" dxfId="3148" priority="4527">
      <formula>AH298&gt;AJ298*#REF!</formula>
    </cfRule>
  </conditionalFormatting>
  <conditionalFormatting sqref="AH300:AH312">
    <cfRule type="expression" dxfId="3147" priority="777">
      <formula>AH300&gt;AJ300</formula>
    </cfRule>
    <cfRule type="expression" dxfId="3146" priority="778">
      <formula>AH300&lt;AJ300</formula>
    </cfRule>
  </conditionalFormatting>
  <conditionalFormatting sqref="AH313">
    <cfRule type="expression" dxfId="3145" priority="4525">
      <formula>AH313&gt;AJ313*#REF!</formula>
    </cfRule>
    <cfRule type="expression" dxfId="3144" priority="4524">
      <formula>AH313&lt;AJ313*#REF!</formula>
    </cfRule>
  </conditionalFormatting>
  <conditionalFormatting sqref="AH315:AH316">
    <cfRule type="expression" dxfId="3143" priority="4388">
      <formula>AH315&lt;AJ315*#REF!</formula>
    </cfRule>
    <cfRule type="expression" dxfId="3142" priority="4389">
      <formula>AH315&gt;AJ315*#REF!</formula>
    </cfRule>
  </conditionalFormatting>
  <conditionalFormatting sqref="AH317:AH329">
    <cfRule type="expression" dxfId="3141" priority="775">
      <formula>AH317&gt;AJ317</formula>
    </cfRule>
    <cfRule type="expression" dxfId="3140" priority="776">
      <formula>AH317&lt;AJ317</formula>
    </cfRule>
  </conditionalFormatting>
  <conditionalFormatting sqref="AH330">
    <cfRule type="expression" dxfId="3139" priority="4387">
      <formula>AH330&gt;AJ330*#REF!</formula>
    </cfRule>
    <cfRule type="expression" dxfId="3138" priority="4386">
      <formula>AH330&lt;AJ330*#REF!</formula>
    </cfRule>
  </conditionalFormatting>
  <conditionalFormatting sqref="AT11:AT23">
    <cfRule type="expression" dxfId="3137" priority="773">
      <formula>AT11&gt;AV11</formula>
    </cfRule>
    <cfRule type="expression" dxfId="3136" priority="774">
      <formula>AT11&lt;AV11</formula>
    </cfRule>
  </conditionalFormatting>
  <conditionalFormatting sqref="AT28:AT40">
    <cfRule type="expression" dxfId="3135" priority="765">
      <formula>AT28&gt;AV28</formula>
    </cfRule>
    <cfRule type="expression" dxfId="3134" priority="766">
      <formula>AT28&lt;AV28</formula>
    </cfRule>
  </conditionalFormatting>
  <conditionalFormatting sqref="AT45:AT57">
    <cfRule type="expression" dxfId="3133" priority="757">
      <formula>AT45&gt;AV45</formula>
    </cfRule>
    <cfRule type="expression" dxfId="3132" priority="758">
      <formula>AT45&lt;AV45</formula>
    </cfRule>
  </conditionalFormatting>
  <conditionalFormatting sqref="AT62:AT74">
    <cfRule type="expression" dxfId="3131" priority="744">
      <formula>AT62&lt;AV62</formula>
    </cfRule>
    <cfRule type="expression" dxfId="3130" priority="743">
      <formula>AT62&gt;AV62</formula>
    </cfRule>
  </conditionalFormatting>
  <conditionalFormatting sqref="AT79:AT91">
    <cfRule type="expression" dxfId="3129" priority="741">
      <formula>AT79&gt;AV79</formula>
    </cfRule>
    <cfRule type="expression" dxfId="3128" priority="742">
      <formula>AT79&lt;AV79</formula>
    </cfRule>
  </conditionalFormatting>
  <conditionalFormatting sqref="AT96:AT108">
    <cfRule type="expression" dxfId="3127" priority="733">
      <formula>AT96&gt;AV96</formula>
    </cfRule>
    <cfRule type="expression" dxfId="3126" priority="734">
      <formula>AT96&lt;AV96</formula>
    </cfRule>
  </conditionalFormatting>
  <conditionalFormatting sqref="AT113:AT125">
    <cfRule type="expression" dxfId="3125" priority="719">
      <formula>AT113&gt;AV113</formula>
    </cfRule>
    <cfRule type="expression" dxfId="3124" priority="720">
      <formula>AT113&lt;AV113</formula>
    </cfRule>
  </conditionalFormatting>
  <conditionalFormatting sqref="AT130:AT142">
    <cfRule type="expression" dxfId="3123" priority="717">
      <formula>AT130&gt;AV130</formula>
    </cfRule>
    <cfRule type="expression" dxfId="3122" priority="718">
      <formula>AT130&lt;AV130</formula>
    </cfRule>
  </conditionalFormatting>
  <conditionalFormatting sqref="AT147:AT159">
    <cfRule type="expression" dxfId="3121" priority="704">
      <formula>AT147&lt;AV147</formula>
    </cfRule>
    <cfRule type="expression" dxfId="3120" priority="703">
      <formula>AT147&gt;AV147</formula>
    </cfRule>
  </conditionalFormatting>
  <conditionalFormatting sqref="AT164:AT176">
    <cfRule type="expression" dxfId="3119" priority="701">
      <formula>AT164&gt;AV164</formula>
    </cfRule>
    <cfRule type="expression" dxfId="3118" priority="702">
      <formula>AT164&lt;AV164</formula>
    </cfRule>
  </conditionalFormatting>
  <conditionalFormatting sqref="AT181:AT193">
    <cfRule type="expression" dxfId="3117" priority="694">
      <formula>AT181&lt;AV181</formula>
    </cfRule>
    <cfRule type="expression" dxfId="3116" priority="693">
      <formula>AT181&gt;AV181</formula>
    </cfRule>
  </conditionalFormatting>
  <conditionalFormatting sqref="AT198:AT210">
    <cfRule type="expression" dxfId="3115" priority="685">
      <formula>AT198&gt;AV198</formula>
    </cfRule>
    <cfRule type="expression" dxfId="3114" priority="686">
      <formula>AT198&lt;AV198</formula>
    </cfRule>
  </conditionalFormatting>
  <conditionalFormatting sqref="AT215:AT227">
    <cfRule type="expression" dxfId="3113" priority="671">
      <formula>AT215&gt;AV215</formula>
    </cfRule>
    <cfRule type="expression" dxfId="3112" priority="672">
      <formula>AT215&lt;AV215</formula>
    </cfRule>
  </conditionalFormatting>
  <conditionalFormatting sqref="AT232:AT244">
    <cfRule type="expression" dxfId="3111" priority="669">
      <formula>AT232&gt;AV232</formula>
    </cfRule>
    <cfRule type="expression" dxfId="3110" priority="670">
      <formula>AT232&lt;AV232</formula>
    </cfRule>
  </conditionalFormatting>
  <conditionalFormatting sqref="AT266:AT278">
    <cfRule type="expression" dxfId="3109" priority="657">
      <formula>AT266&gt;AV266</formula>
    </cfRule>
    <cfRule type="expression" dxfId="3108" priority="658">
      <formula>AT266&lt;AV266</formula>
    </cfRule>
  </conditionalFormatting>
  <conditionalFormatting sqref="AT283:AT295">
    <cfRule type="expression" dxfId="3107" priority="655">
      <formula>AT283&gt;AV283</formula>
    </cfRule>
    <cfRule type="expression" dxfId="3106" priority="656">
      <formula>AT283&lt;AV283</formula>
    </cfRule>
  </conditionalFormatting>
  <conditionalFormatting sqref="AT300:AT312">
    <cfRule type="expression" dxfId="3105" priority="646">
      <formula>AT300&lt;AV300</formula>
    </cfRule>
    <cfRule type="expression" dxfId="3104" priority="645">
      <formula>AT300&gt;AV300</formula>
    </cfRule>
  </conditionalFormatting>
  <conditionalFormatting sqref="AT317:AT329">
    <cfRule type="expression" dxfId="3103" priority="643">
      <formula>AT317&gt;AV317</formula>
    </cfRule>
    <cfRule type="expression" dxfId="3102" priority="644">
      <formula>AT317&lt;AV317</formula>
    </cfRule>
  </conditionalFormatting>
  <conditionalFormatting sqref="AT9:AV10">
    <cfRule type="expression" dxfId="3101" priority="2242">
      <formula>AT9&lt;AV9*#REF!</formula>
    </cfRule>
    <cfRule type="expression" dxfId="3100" priority="2243">
      <formula>AT9&gt;AV9*#REF!</formula>
    </cfRule>
  </conditionalFormatting>
  <conditionalFormatting sqref="AT24:AV24">
    <cfRule type="expression" dxfId="3099" priority="2241">
      <formula>AT24&gt;AV24*#REF!</formula>
    </cfRule>
  </conditionalFormatting>
  <conditionalFormatting sqref="AT26:AV27">
    <cfRule type="expression" dxfId="3098" priority="2268">
      <formula>AT26&gt;AV26*#REF!</formula>
    </cfRule>
    <cfRule type="expression" dxfId="3097" priority="2267">
      <formula>AT26&lt;AV26*#REF!</formula>
    </cfRule>
  </conditionalFormatting>
  <conditionalFormatting sqref="AT41:AV41">
    <cfRule type="expression" dxfId="3096" priority="3622">
      <formula>AT41&lt;AV41*#REF!</formula>
    </cfRule>
    <cfRule type="expression" dxfId="3095" priority="2266">
      <formula>AT41&gt;AV41*#REF!</formula>
    </cfRule>
  </conditionalFormatting>
  <conditionalFormatting sqref="AT43:AV44">
    <cfRule type="expression" dxfId="3094" priority="2292">
      <formula>AT43&lt;AV43*#REF!</formula>
    </cfRule>
    <cfRule type="expression" dxfId="3093" priority="2293">
      <formula>AT43&gt;AV43*#REF!</formula>
    </cfRule>
  </conditionalFormatting>
  <conditionalFormatting sqref="AT58:AV58">
    <cfRule type="expression" dxfId="3092" priority="2291">
      <formula>AT58&gt;AV58*#REF!</formula>
    </cfRule>
  </conditionalFormatting>
  <conditionalFormatting sqref="AT60:AV61">
    <cfRule type="expression" dxfId="3091" priority="2318">
      <formula>AT60&gt;AV60*#REF!</formula>
    </cfRule>
    <cfRule type="expression" dxfId="3090" priority="2317">
      <formula>AT60&lt;AV60*#REF!</formula>
    </cfRule>
  </conditionalFormatting>
  <conditionalFormatting sqref="AT75:AV75">
    <cfRule type="expression" dxfId="3089" priority="3618">
      <formula>AT75&lt;AV75*#REF!</formula>
    </cfRule>
    <cfRule type="expression" dxfId="3088" priority="2316">
      <formula>AT75&gt;AV75*#REF!</formula>
    </cfRule>
  </conditionalFormatting>
  <conditionalFormatting sqref="AT77:AV78">
    <cfRule type="expression" dxfId="3087" priority="2342">
      <formula>AT77&lt;AV77*#REF!</formula>
    </cfRule>
    <cfRule type="expression" dxfId="3086" priority="2343">
      <formula>AT77&gt;AV77*#REF!</formula>
    </cfRule>
  </conditionalFormatting>
  <conditionalFormatting sqref="AT92:AV92">
    <cfRule type="expression" dxfId="3085" priority="2341">
      <formula>AT92&gt;AV92*#REF!</formula>
    </cfRule>
  </conditionalFormatting>
  <conditionalFormatting sqref="AT94:AV95">
    <cfRule type="expression" dxfId="3084" priority="2368">
      <formula>AT94&gt;AV94*#REF!</formula>
    </cfRule>
    <cfRule type="expression" dxfId="3083" priority="2367">
      <formula>AT94&lt;AV94*#REF!</formula>
    </cfRule>
  </conditionalFormatting>
  <conditionalFormatting sqref="AT109:AV109">
    <cfRule type="expression" dxfId="3082" priority="3614">
      <formula>AT109&lt;AV109*#REF!</formula>
    </cfRule>
    <cfRule type="expression" dxfId="3081" priority="2366">
      <formula>AT109&gt;AV109*#REF!</formula>
    </cfRule>
  </conditionalFormatting>
  <conditionalFormatting sqref="AT111:AV112">
    <cfRule type="expression" dxfId="3080" priority="2392">
      <formula>AT111&lt;AV111*#REF!</formula>
    </cfRule>
    <cfRule type="expression" dxfId="3079" priority="2393">
      <formula>AT111&gt;AV111*#REF!</formula>
    </cfRule>
  </conditionalFormatting>
  <conditionalFormatting sqref="AT126:AV126">
    <cfRule type="expression" dxfId="3078" priority="2391">
      <formula>AT126&gt;AV126*#REF!</formula>
    </cfRule>
  </conditionalFormatting>
  <conditionalFormatting sqref="AT128:AV129">
    <cfRule type="expression" dxfId="3077" priority="2418">
      <formula>AT128&gt;AV128*#REF!</formula>
    </cfRule>
    <cfRule type="expression" dxfId="3076" priority="2417">
      <formula>AT128&lt;AV128*#REF!</formula>
    </cfRule>
  </conditionalFormatting>
  <conditionalFormatting sqref="AT143:AV143">
    <cfRule type="expression" dxfId="3075" priority="2416">
      <formula>AT143&gt;AV143*#REF!</formula>
    </cfRule>
    <cfRule type="expression" dxfId="3074" priority="3610">
      <formula>AT143&lt;AV143*#REF!</formula>
    </cfRule>
  </conditionalFormatting>
  <conditionalFormatting sqref="AT145:AV146">
    <cfRule type="expression" dxfId="3073" priority="2443">
      <formula>AT145&gt;AV145*#REF!</formula>
    </cfRule>
    <cfRule type="expression" dxfId="3072" priority="2442">
      <formula>AT145&lt;AV145*#REF!</formula>
    </cfRule>
  </conditionalFormatting>
  <conditionalFormatting sqref="AT160:AV160">
    <cfRule type="expression" dxfId="3071" priority="2441">
      <formula>AT160&gt;AV160*#REF!</formula>
    </cfRule>
  </conditionalFormatting>
  <conditionalFormatting sqref="AT162:AV163">
    <cfRule type="expression" dxfId="3070" priority="2468">
      <formula>AT162&gt;AV162*#REF!</formula>
    </cfRule>
    <cfRule type="expression" dxfId="3069" priority="2467">
      <formula>AT162&lt;AV162*#REF!</formula>
    </cfRule>
  </conditionalFormatting>
  <conditionalFormatting sqref="AT177:AV177">
    <cfRule type="expression" dxfId="3068" priority="2466">
      <formula>AT177&gt;AV177*#REF!</formula>
    </cfRule>
    <cfRule type="expression" dxfId="3067" priority="3606">
      <formula>AT177&lt;AV177*#REF!</formula>
    </cfRule>
  </conditionalFormatting>
  <conditionalFormatting sqref="AT179:AV180">
    <cfRule type="expression" dxfId="3066" priority="2492">
      <formula>AT179&lt;AV179*#REF!</formula>
    </cfRule>
    <cfRule type="expression" dxfId="3065" priority="2493">
      <formula>AT179&gt;AV179*#REF!</formula>
    </cfRule>
  </conditionalFormatting>
  <conditionalFormatting sqref="AT194:AV194">
    <cfRule type="expression" dxfId="3064" priority="2491">
      <formula>AT194&gt;AV194*#REF!</formula>
    </cfRule>
  </conditionalFormatting>
  <conditionalFormatting sqref="AT196:AV197">
    <cfRule type="expression" dxfId="3063" priority="2517">
      <formula>AT196&lt;AV196*#REF!</formula>
    </cfRule>
    <cfRule type="expression" dxfId="3062" priority="2518">
      <formula>AT196&gt;AV196*#REF!</formula>
    </cfRule>
  </conditionalFormatting>
  <conditionalFormatting sqref="AT211:AV211">
    <cfRule type="expression" dxfId="3061" priority="3602">
      <formula>AT211&lt;AV211*#REF!</formula>
    </cfRule>
    <cfRule type="expression" dxfId="3060" priority="2516">
      <formula>AT211&gt;AV211*#REF!</formula>
    </cfRule>
  </conditionalFormatting>
  <conditionalFormatting sqref="AT213:AV214">
    <cfRule type="expression" dxfId="3059" priority="2543">
      <formula>AT213&gt;AV213*#REF!</formula>
    </cfRule>
    <cfRule type="expression" dxfId="3058" priority="2542">
      <formula>AT213&lt;AV213*#REF!</formula>
    </cfRule>
  </conditionalFormatting>
  <conditionalFormatting sqref="AT228:AV228">
    <cfRule type="expression" dxfId="3057" priority="2541">
      <formula>AT228&gt;AV228*#REF!</formula>
    </cfRule>
  </conditionalFormatting>
  <conditionalFormatting sqref="AT230:AV231">
    <cfRule type="expression" dxfId="3056" priority="2568">
      <formula>AT230&gt;AV230*#REF!</formula>
    </cfRule>
    <cfRule type="expression" dxfId="3055" priority="2567">
      <formula>AT230&lt;AV230*#REF!</formula>
    </cfRule>
  </conditionalFormatting>
  <conditionalFormatting sqref="AT245:AV245">
    <cfRule type="expression" dxfId="3054" priority="3598">
      <formula>AT245&lt;AV245*#REF!</formula>
    </cfRule>
    <cfRule type="expression" dxfId="3053" priority="2566">
      <formula>AT245&gt;AV245*#REF!</formula>
    </cfRule>
  </conditionalFormatting>
  <conditionalFormatting sqref="AT247:AV248">
    <cfRule type="expression" dxfId="3052" priority="2593">
      <formula>AT247&gt;AV247*#REF!</formula>
    </cfRule>
    <cfRule type="expression" dxfId="3051" priority="2592">
      <formula>AT247&lt;AV247*#REF!</formula>
    </cfRule>
  </conditionalFormatting>
  <conditionalFormatting sqref="AT249:AV251">
    <cfRule type="expression" dxfId="3050" priority="2596">
      <formula>AT249&lt;AV249-#REF!</formula>
    </cfRule>
  </conditionalFormatting>
  <conditionalFormatting sqref="AT249:AV261">
    <cfRule type="expression" dxfId="3049" priority="2572">
      <formula>AT249&gt;AV249+#REF!</formula>
    </cfRule>
  </conditionalFormatting>
  <conditionalFormatting sqref="AT262:AV262">
    <cfRule type="expression" dxfId="3048" priority="2591">
      <formula>AT262&gt;AV262*#REF!</formula>
    </cfRule>
  </conditionalFormatting>
  <conditionalFormatting sqref="AT264:AV265">
    <cfRule type="expression" dxfId="3047" priority="2675">
      <formula>AT264&lt;AV264*#REF!</formula>
    </cfRule>
    <cfRule type="expression" dxfId="3046" priority="2676">
      <formula>AT264&gt;AV264*#REF!</formula>
    </cfRule>
  </conditionalFormatting>
  <conditionalFormatting sqref="AT279:AV279">
    <cfRule type="expression" dxfId="3045" priority="2674">
      <formula>AT279&gt;AV279*#REF!</formula>
    </cfRule>
    <cfRule type="expression" dxfId="3044" priority="3588">
      <formula>AT279&lt;AV279*#REF!</formula>
    </cfRule>
  </conditionalFormatting>
  <conditionalFormatting sqref="AT281:AV282">
    <cfRule type="expression" dxfId="3043" priority="2660">
      <formula>AT281&lt;AV281*#REF!</formula>
    </cfRule>
    <cfRule type="expression" dxfId="3042" priority="2661">
      <formula>AT281&gt;AV281*#REF!</formula>
    </cfRule>
  </conditionalFormatting>
  <conditionalFormatting sqref="AT296:AV296">
    <cfRule type="expression" dxfId="3041" priority="2659">
      <formula>AT296&gt;AV296*#REF!</formula>
    </cfRule>
  </conditionalFormatting>
  <conditionalFormatting sqref="AT298:AV299">
    <cfRule type="expression" dxfId="3040" priority="2645">
      <formula>AT298&lt;AV298*#REF!</formula>
    </cfRule>
    <cfRule type="expression" dxfId="3039" priority="2646">
      <formula>AT298&gt;AV298*#REF!</formula>
    </cfRule>
  </conditionalFormatting>
  <conditionalFormatting sqref="AT313:AV313">
    <cfRule type="expression" dxfId="3038" priority="2644">
      <formula>AT313&gt;AV313*#REF!</formula>
    </cfRule>
    <cfRule type="expression" dxfId="3037" priority="3592">
      <formula>AT313&lt;AV313*#REF!</formula>
    </cfRule>
  </conditionalFormatting>
  <conditionalFormatting sqref="AT315:AV316">
    <cfRule type="expression" dxfId="3036" priority="2631">
      <formula>AT315&gt;AV315*#REF!</formula>
    </cfRule>
    <cfRule type="expression" dxfId="3035" priority="2630">
      <formula>AT315&lt;AV315*#REF!</formula>
    </cfRule>
  </conditionalFormatting>
  <conditionalFormatting sqref="AT330:AV330">
    <cfRule type="expression" dxfId="3034" priority="2629">
      <formula>AT330&gt;AV330*#REF!</formula>
    </cfRule>
  </conditionalFormatting>
  <conditionalFormatting sqref="AU19:AU23">
    <cfRule type="expression" dxfId="3033" priority="2229">
      <formula>AU19&lt;AW19-#REF!</formula>
    </cfRule>
  </conditionalFormatting>
  <conditionalFormatting sqref="AU38:AU40">
    <cfRule type="expression" dxfId="3032" priority="2254">
      <formula>AU38&lt;AW38-#REF!</formula>
    </cfRule>
  </conditionalFormatting>
  <conditionalFormatting sqref="AU53:AU57">
    <cfRule type="expression" dxfId="3031" priority="2279">
      <formula>AU53&lt;AW53-#REF!</formula>
    </cfRule>
  </conditionalFormatting>
  <conditionalFormatting sqref="AU70:AU74">
    <cfRule type="expression" dxfId="3030" priority="2302">
      <formula>AU70&gt;AW70+#REF!</formula>
    </cfRule>
  </conditionalFormatting>
  <conditionalFormatting sqref="AU72:AU74">
    <cfRule type="expression" dxfId="3029" priority="2304">
      <formula>AU72&lt;AW72-#REF!</formula>
    </cfRule>
  </conditionalFormatting>
  <conditionalFormatting sqref="AU87:AU91">
    <cfRule type="expression" dxfId="3028" priority="2329">
      <formula>AU87&lt;AW87-#REF!</formula>
    </cfRule>
    <cfRule type="expression" dxfId="3027" priority="2327">
      <formula>AU87&gt;AW87+#REF!</formula>
    </cfRule>
  </conditionalFormatting>
  <conditionalFormatting sqref="AU106:AU108">
    <cfRule type="expression" dxfId="3026" priority="2354">
      <formula>AU106&lt;AW106-#REF!</formula>
    </cfRule>
  </conditionalFormatting>
  <conditionalFormatting sqref="AU121:AU125">
    <cfRule type="expression" dxfId="3025" priority="2379">
      <formula>AU121&lt;AW121-#REF!</formula>
    </cfRule>
  </conditionalFormatting>
  <conditionalFormatting sqref="AU138:AU142">
    <cfRule type="expression" dxfId="3024" priority="2402">
      <formula>AU138&gt;AW138+#REF!</formula>
    </cfRule>
  </conditionalFormatting>
  <conditionalFormatting sqref="AU140:AU142">
    <cfRule type="expression" dxfId="3023" priority="2404">
      <formula>AU140&lt;AW140-#REF!</formula>
    </cfRule>
  </conditionalFormatting>
  <conditionalFormatting sqref="AU155:AU159">
    <cfRule type="expression" dxfId="3022" priority="2429">
      <formula>AU155&lt;AW155-#REF!</formula>
    </cfRule>
  </conditionalFormatting>
  <conditionalFormatting sqref="AU174:AU176">
    <cfRule type="expression" dxfId="3021" priority="2454">
      <formula>AU174&lt;AW174-#REF!</formula>
    </cfRule>
  </conditionalFormatting>
  <conditionalFormatting sqref="AU189:AU193">
    <cfRule type="expression" dxfId="3020" priority="2479">
      <formula>AU189&lt;AW189-#REF!</formula>
    </cfRule>
  </conditionalFormatting>
  <conditionalFormatting sqref="AU206:AU210">
    <cfRule type="expression" dxfId="3019" priority="2502">
      <formula>AU206&gt;AW206+#REF!</formula>
    </cfRule>
  </conditionalFormatting>
  <conditionalFormatting sqref="AU208:AU210">
    <cfRule type="expression" dxfId="3018" priority="2504">
      <formula>AU208&lt;AW208-#REF!</formula>
    </cfRule>
  </conditionalFormatting>
  <conditionalFormatting sqref="AU223:AU227">
    <cfRule type="expression" dxfId="3017" priority="2529">
      <formula>AU223&lt;AW223-#REF!</formula>
    </cfRule>
  </conditionalFormatting>
  <conditionalFormatting sqref="AU242:AU244">
    <cfRule type="expression" dxfId="3016" priority="2554">
      <formula>AU242&lt;AW242-#REF!</formula>
    </cfRule>
  </conditionalFormatting>
  <conditionalFormatting sqref="AU11:AV13">
    <cfRule type="expression" dxfId="3015" priority="2246">
      <formula>AU11&lt;AW11-#REF!</formula>
    </cfRule>
  </conditionalFormatting>
  <conditionalFormatting sqref="AU11:AV23">
    <cfRule type="expression" dxfId="3014" priority="2222">
      <formula>AU11&gt;AW11+#REF!</formula>
    </cfRule>
  </conditionalFormatting>
  <conditionalFormatting sqref="AU15:AV16">
    <cfRule type="expression" dxfId="3013" priority="2226">
      <formula>AU15&lt;AW15-#REF!</formula>
    </cfRule>
  </conditionalFormatting>
  <conditionalFormatting sqref="AU28:AV35">
    <cfRule type="expression" dxfId="3012" priority="2251">
      <formula>AU28&lt;AW28-#REF!</formula>
    </cfRule>
  </conditionalFormatting>
  <conditionalFormatting sqref="AU28:AV40">
    <cfRule type="expression" dxfId="3011" priority="2247">
      <formula>AU28&gt;AW28+#REF!</formula>
    </cfRule>
  </conditionalFormatting>
  <conditionalFormatting sqref="AU45:AV47">
    <cfRule type="expression" dxfId="3010" priority="2296">
      <formula>AU45&lt;AW45-#REF!</formula>
    </cfRule>
  </conditionalFormatting>
  <conditionalFormatting sqref="AU45:AV57">
    <cfRule type="expression" dxfId="3009" priority="2272">
      <formula>AU45&gt;AW45+#REF!</formula>
    </cfRule>
  </conditionalFormatting>
  <conditionalFormatting sqref="AU49:AV50">
    <cfRule type="expression" dxfId="3008" priority="2276">
      <formula>AU49&lt;AW49-#REF!</formula>
    </cfRule>
  </conditionalFormatting>
  <conditionalFormatting sqref="AU62:AV69">
    <cfRule type="expression" dxfId="3007" priority="2300">
      <formula>AU62&gt;AW62+#REF!</formula>
    </cfRule>
    <cfRule type="expression" dxfId="3006" priority="2301">
      <formula>AU62&lt;AW62-#REF!</formula>
    </cfRule>
  </conditionalFormatting>
  <conditionalFormatting sqref="AU79:AV81">
    <cfRule type="expression" dxfId="3005" priority="2346">
      <formula>AU79&lt;AW79-#REF!</formula>
    </cfRule>
  </conditionalFormatting>
  <conditionalFormatting sqref="AU79:AV86">
    <cfRule type="expression" dxfId="3004" priority="2325">
      <formula>AU79&gt;AW79+#REF!</formula>
    </cfRule>
  </conditionalFormatting>
  <conditionalFormatting sqref="AU83:AV84">
    <cfRule type="expression" dxfId="3003" priority="2326">
      <formula>AU83&lt;AW83-#REF!</formula>
    </cfRule>
  </conditionalFormatting>
  <conditionalFormatting sqref="AU96:AV103">
    <cfRule type="expression" dxfId="3002" priority="2351">
      <formula>AU96&lt;AW96-#REF!</formula>
    </cfRule>
  </conditionalFormatting>
  <conditionalFormatting sqref="AU96:AV108">
    <cfRule type="expression" dxfId="3001" priority="2347">
      <formula>AU96&gt;AW96+#REF!</formula>
    </cfRule>
  </conditionalFormatting>
  <conditionalFormatting sqref="AU113:AV115">
    <cfRule type="expression" dxfId="3000" priority="2396">
      <formula>AU113&lt;AW113-#REF!</formula>
    </cfRule>
  </conditionalFormatting>
  <conditionalFormatting sqref="AU113:AV125">
    <cfRule type="expression" dxfId="2999" priority="2372">
      <formula>AU113&gt;AW113+#REF!</formula>
    </cfRule>
  </conditionalFormatting>
  <conditionalFormatting sqref="AU117:AV118">
    <cfRule type="expression" dxfId="2998" priority="2376">
      <formula>AU117&lt;AW117-#REF!</formula>
    </cfRule>
  </conditionalFormatting>
  <conditionalFormatting sqref="AU130:AV137">
    <cfRule type="expression" dxfId="2997" priority="2401">
      <formula>AU130&lt;AW130-#REF!</formula>
    </cfRule>
    <cfRule type="expression" dxfId="2996" priority="2400">
      <formula>AU130&gt;AW130+#REF!</formula>
    </cfRule>
  </conditionalFormatting>
  <conditionalFormatting sqref="AU147:AV149">
    <cfRule type="expression" dxfId="2995" priority="2446">
      <formula>AU147&lt;AW147-#REF!</formula>
    </cfRule>
  </conditionalFormatting>
  <conditionalFormatting sqref="AU147:AV159">
    <cfRule type="expression" dxfId="2994" priority="2422">
      <formula>AU147&gt;AW147+#REF!</formula>
    </cfRule>
  </conditionalFormatting>
  <conditionalFormatting sqref="AU151:AV152">
    <cfRule type="expression" dxfId="2993" priority="2426">
      <formula>AU151&lt;AW151-#REF!</formula>
    </cfRule>
  </conditionalFormatting>
  <conditionalFormatting sqref="AU164:AV171">
    <cfRule type="expression" dxfId="2992" priority="2451">
      <formula>AU164&lt;AW164-#REF!</formula>
    </cfRule>
  </conditionalFormatting>
  <conditionalFormatting sqref="AU164:AV176">
    <cfRule type="expression" dxfId="2991" priority="2447">
      <formula>AU164&gt;AW164+#REF!</formula>
    </cfRule>
  </conditionalFormatting>
  <conditionalFormatting sqref="AU181:AV183">
    <cfRule type="expression" dxfId="2990" priority="2496">
      <formula>AU181&lt;AW181-#REF!</formula>
    </cfRule>
  </conditionalFormatting>
  <conditionalFormatting sqref="AU181:AV193">
    <cfRule type="expression" dxfId="2989" priority="2472">
      <formula>AU181&gt;AW181+#REF!</formula>
    </cfRule>
  </conditionalFormatting>
  <conditionalFormatting sqref="AU185:AV186">
    <cfRule type="expression" dxfId="2988" priority="2476">
      <formula>AU185&lt;AW185-#REF!</formula>
    </cfRule>
  </conditionalFormatting>
  <conditionalFormatting sqref="AU198:AV205">
    <cfRule type="expression" dxfId="2987" priority="2501">
      <formula>AU198&lt;AW198-#REF!</formula>
    </cfRule>
    <cfRule type="expression" dxfId="2986" priority="2500">
      <formula>AU198&gt;AW198+#REF!</formula>
    </cfRule>
  </conditionalFormatting>
  <conditionalFormatting sqref="AU215:AV217">
    <cfRule type="expression" dxfId="2985" priority="2546">
      <formula>AU215&lt;AW215-#REF!</formula>
    </cfRule>
  </conditionalFormatting>
  <conditionalFormatting sqref="AU215:AV227">
    <cfRule type="expression" dxfId="2984" priority="2522">
      <formula>AU215&gt;AW215+#REF!</formula>
    </cfRule>
  </conditionalFormatting>
  <conditionalFormatting sqref="AU219:AV220">
    <cfRule type="expression" dxfId="2983" priority="2526">
      <formula>AU219&lt;AW219-#REF!</formula>
    </cfRule>
  </conditionalFormatting>
  <conditionalFormatting sqref="AU232:AV239">
    <cfRule type="expression" dxfId="2982" priority="2551">
      <formula>AU232&lt;AW232-#REF!</formula>
    </cfRule>
  </conditionalFormatting>
  <conditionalFormatting sqref="AU232:AV244">
    <cfRule type="expression" dxfId="2981" priority="2547">
      <formula>AU232&gt;AW232+#REF!</formula>
    </cfRule>
  </conditionalFormatting>
  <conditionalFormatting sqref="AU253:AV254">
    <cfRule type="expression" dxfId="2980" priority="2576">
      <formula>AU253&lt;AW253-#REF!</formula>
    </cfRule>
  </conditionalFormatting>
  <conditionalFormatting sqref="AU257:AV261">
    <cfRule type="expression" dxfId="2979" priority="2574">
      <formula>AU257&lt;AW257-#REF!</formula>
    </cfRule>
  </conditionalFormatting>
  <conditionalFormatting sqref="AU266:AV273">
    <cfRule type="expression" dxfId="2978" priority="2614">
      <formula>AU266&lt;AW266-#REF!</formula>
    </cfRule>
  </conditionalFormatting>
  <conditionalFormatting sqref="AU266:AV278">
    <cfRule type="expression" dxfId="2977" priority="2610">
      <formula>AU266&gt;AW266+#REF!</formula>
    </cfRule>
  </conditionalFormatting>
  <conditionalFormatting sqref="AU276:AV278">
    <cfRule type="expression" dxfId="2976" priority="2612">
      <formula>AU276&lt;AW276-#REF!</formula>
    </cfRule>
  </conditionalFormatting>
  <conditionalFormatting sqref="AU283:AV285">
    <cfRule type="expression" dxfId="2975" priority="2664">
      <formula>AU283&lt;AW283-#REF!</formula>
    </cfRule>
  </conditionalFormatting>
  <conditionalFormatting sqref="AU283:AV295">
    <cfRule type="expression" dxfId="2974" priority="2606">
      <formula>AU283&gt;AW283+#REF!</formula>
    </cfRule>
  </conditionalFormatting>
  <conditionalFormatting sqref="AU287:AV288">
    <cfRule type="expression" dxfId="2973" priority="2609">
      <formula>AU287&lt;AW287-#REF!</formula>
    </cfRule>
  </conditionalFormatting>
  <conditionalFormatting sqref="AU291:AV292">
    <cfRule type="expression" dxfId="2972" priority="3593">
      <formula>AU291&lt;AW291-#REF!</formula>
    </cfRule>
  </conditionalFormatting>
  <conditionalFormatting sqref="AU300:AV307">
    <cfRule type="expression" dxfId="2971" priority="2605">
      <formula>AU300&lt;AW300-#REF!</formula>
    </cfRule>
  </conditionalFormatting>
  <conditionalFormatting sqref="AU300:AV312">
    <cfRule type="expression" dxfId="2970" priority="2601">
      <formula>AU300&gt;AW300+#REF!</formula>
    </cfRule>
  </conditionalFormatting>
  <conditionalFormatting sqref="AU310:AV312">
    <cfRule type="expression" dxfId="2969" priority="2603">
      <formula>AU310&lt;AW310-#REF!</formula>
    </cfRule>
  </conditionalFormatting>
  <conditionalFormatting sqref="AU317:AV319">
    <cfRule type="expression" dxfId="2968" priority="2634">
      <formula>AU317&lt;AW317-#REF!</formula>
    </cfRule>
  </conditionalFormatting>
  <conditionalFormatting sqref="AU317:AV329">
    <cfRule type="expression" dxfId="2967" priority="2597">
      <formula>AU317&gt;AW317+#REF!</formula>
    </cfRule>
  </conditionalFormatting>
  <conditionalFormatting sqref="AU321:AV322">
    <cfRule type="expression" dxfId="2966" priority="2600">
      <formula>AU321&lt;AW321-#REF!</formula>
    </cfRule>
  </conditionalFormatting>
  <conditionalFormatting sqref="AU325:AV326">
    <cfRule type="expression" dxfId="2965" priority="3594">
      <formula>AU325&lt;AW325-#REF!</formula>
    </cfRule>
  </conditionalFormatting>
  <conditionalFormatting sqref="AV19:AV20">
    <cfRule type="expression" dxfId="2964" priority="2224">
      <formula>AV19&lt;AX19-#REF!</formula>
    </cfRule>
  </conditionalFormatting>
  <conditionalFormatting sqref="AV36:AV37">
    <cfRule type="expression" dxfId="2963" priority="2249">
      <formula>AV36&lt;AX36-#REF!</formula>
    </cfRule>
  </conditionalFormatting>
  <conditionalFormatting sqref="AV53:AV54">
    <cfRule type="expression" dxfId="2962" priority="2274">
      <formula>AV53&lt;AX53-#REF!</formula>
    </cfRule>
  </conditionalFormatting>
  <conditionalFormatting sqref="AV70:AV71">
    <cfRule type="expression" dxfId="2961" priority="2298">
      <formula>AV70&gt;AX70+#REF!</formula>
    </cfRule>
    <cfRule type="expression" dxfId="2960" priority="2299">
      <formula>AV70&lt;AX70-#REF!</formula>
    </cfRule>
  </conditionalFormatting>
  <conditionalFormatting sqref="AV72:AV74">
    <cfRule type="expression" dxfId="2959" priority="2297">
      <formula>AV72&lt;AX72-#REF!</formula>
    </cfRule>
  </conditionalFormatting>
  <conditionalFormatting sqref="AV87:AV88">
    <cfRule type="expression" dxfId="2958" priority="2323">
      <formula>AV87&gt;AX87+#REF!</formula>
    </cfRule>
    <cfRule type="expression" dxfId="2957" priority="2324">
      <formula>AV87&lt;AX87-#REF!</formula>
    </cfRule>
  </conditionalFormatting>
  <conditionalFormatting sqref="AV89:AV91">
    <cfRule type="expression" dxfId="2956" priority="2322">
      <formula>AV89&lt;AX89-#REF!</formula>
    </cfRule>
  </conditionalFormatting>
  <conditionalFormatting sqref="AV104:AV105">
    <cfRule type="expression" dxfId="2955" priority="2349">
      <formula>AV104&lt;AX104-#REF!</formula>
    </cfRule>
  </conditionalFormatting>
  <conditionalFormatting sqref="AV121:AV122">
    <cfRule type="expression" dxfId="2954" priority="2374">
      <formula>AV121&lt;AX121-#REF!</formula>
    </cfRule>
  </conditionalFormatting>
  <conditionalFormatting sqref="AV138:AV139">
    <cfRule type="expression" dxfId="2953" priority="2398">
      <formula>AV138&gt;AX138+#REF!</formula>
    </cfRule>
    <cfRule type="expression" dxfId="2952" priority="2399">
      <formula>AV138&lt;AX138-#REF!</formula>
    </cfRule>
  </conditionalFormatting>
  <conditionalFormatting sqref="AV140:AV142">
    <cfRule type="expression" dxfId="2951" priority="2397">
      <formula>AV140&lt;AX140-#REF!</formula>
    </cfRule>
  </conditionalFormatting>
  <conditionalFormatting sqref="AV155:AV156">
    <cfRule type="expression" dxfId="2950" priority="2424">
      <formula>AV155&lt;AX155-#REF!</formula>
    </cfRule>
  </conditionalFormatting>
  <conditionalFormatting sqref="AV172:AV173">
    <cfRule type="expression" dxfId="2949" priority="2449">
      <formula>AV172&lt;AX172-#REF!</formula>
    </cfRule>
  </conditionalFormatting>
  <conditionalFormatting sqref="AV189:AV190">
    <cfRule type="expression" dxfId="2948" priority="2474">
      <formula>AV189&lt;AX189-#REF!</formula>
    </cfRule>
  </conditionalFormatting>
  <conditionalFormatting sqref="AV206:AV207">
    <cfRule type="expression" dxfId="2947" priority="2498">
      <formula>AV206&gt;AX206+#REF!</formula>
    </cfRule>
    <cfRule type="expression" dxfId="2946" priority="2499">
      <formula>AV206&lt;AX206-#REF!</formula>
    </cfRule>
  </conditionalFormatting>
  <conditionalFormatting sqref="AV208:AV210">
    <cfRule type="expression" dxfId="2945" priority="2497">
      <formula>AV208&lt;AX208-#REF!</formula>
    </cfRule>
  </conditionalFormatting>
  <conditionalFormatting sqref="AV223:AV224">
    <cfRule type="expression" dxfId="2944" priority="2524">
      <formula>AV223&lt;AX223-#REF!</formula>
    </cfRule>
  </conditionalFormatting>
  <conditionalFormatting sqref="AV240:AV241">
    <cfRule type="expression" dxfId="2943" priority="2549">
      <formula>AV240&lt;AX240-#REF!</formula>
    </cfRule>
  </conditionalFormatting>
  <conditionalFormatting sqref="AX9:AX10">
    <cfRule type="expression" dxfId="2942" priority="3581">
      <formula>AX9&lt;AZ9*#REF!</formula>
    </cfRule>
    <cfRule type="expression" dxfId="2941" priority="3582">
      <formula>AX9&gt;AZ9*#REF!</formula>
    </cfRule>
  </conditionalFormatting>
  <conditionalFormatting sqref="AX11:AX23">
    <cfRule type="expression" dxfId="2940" priority="771">
      <formula>AX11&gt;AZ11</formula>
    </cfRule>
    <cfRule type="expression" dxfId="2939" priority="772">
      <formula>AX11&lt;AZ11</formula>
    </cfRule>
  </conditionalFormatting>
  <conditionalFormatting sqref="AX24">
    <cfRule type="expression" dxfId="2938" priority="3580">
      <formula>AX24&gt;AZ24*#REF!</formula>
    </cfRule>
    <cfRule type="expression" dxfId="2937" priority="3579">
      <formula>AX24&lt;AZ24*#REF!</formula>
    </cfRule>
  </conditionalFormatting>
  <conditionalFormatting sqref="AX26:AX27">
    <cfRule type="expression" dxfId="2936" priority="3535">
      <formula>AX26&lt;AZ26*#REF!</formula>
    </cfRule>
    <cfRule type="expression" dxfId="2935" priority="3536">
      <formula>AX26&gt;AZ26*#REF!</formula>
    </cfRule>
  </conditionalFormatting>
  <conditionalFormatting sqref="AX28:AX40">
    <cfRule type="expression" dxfId="2934" priority="764">
      <formula>AX28&lt;AZ28</formula>
    </cfRule>
    <cfRule type="expression" dxfId="2933" priority="763">
      <formula>AX28&gt;AZ28</formula>
    </cfRule>
  </conditionalFormatting>
  <conditionalFormatting sqref="AX41">
    <cfRule type="expression" dxfId="2932" priority="3534">
      <formula>AX41&gt;AZ41*#REF!</formula>
    </cfRule>
    <cfRule type="expression" dxfId="2931" priority="3533">
      <formula>AX41&lt;AZ41*#REF!</formula>
    </cfRule>
  </conditionalFormatting>
  <conditionalFormatting sqref="AX43:AX44">
    <cfRule type="expression" dxfId="2930" priority="3490">
      <formula>AX43&gt;AZ43*#REF!</formula>
    </cfRule>
    <cfRule type="expression" dxfId="2929" priority="3489">
      <formula>AX43&lt;AZ43*#REF!</formula>
    </cfRule>
  </conditionalFormatting>
  <conditionalFormatting sqref="AX45:AX57">
    <cfRule type="expression" dxfId="2928" priority="755">
      <formula>AX45&gt;AZ45</formula>
    </cfRule>
    <cfRule type="expression" dxfId="2927" priority="756">
      <formula>AX45&lt;AZ45</formula>
    </cfRule>
  </conditionalFormatting>
  <conditionalFormatting sqref="AX58">
    <cfRule type="expression" dxfId="2926" priority="3488">
      <formula>AX58&gt;AZ58*#REF!</formula>
    </cfRule>
    <cfRule type="expression" dxfId="2925" priority="3487">
      <formula>AX58&lt;AZ58*#REF!</formula>
    </cfRule>
  </conditionalFormatting>
  <conditionalFormatting sqref="AX60:AX61">
    <cfRule type="expression" dxfId="2924" priority="3443">
      <formula>AX60&lt;AZ60*#REF!</formula>
    </cfRule>
    <cfRule type="expression" dxfId="2923" priority="3444">
      <formula>AX60&gt;AZ60*#REF!</formula>
    </cfRule>
  </conditionalFormatting>
  <conditionalFormatting sqref="AX62:AX74">
    <cfRule type="expression" dxfId="2922" priority="745">
      <formula>AX62&gt;AZ62</formula>
    </cfRule>
    <cfRule type="expression" dxfId="2921" priority="746">
      <formula>AX62&lt;AZ62</formula>
    </cfRule>
  </conditionalFormatting>
  <conditionalFormatting sqref="AX75">
    <cfRule type="expression" dxfId="2920" priority="3441">
      <formula>AX75&lt;AZ75*#REF!</formula>
    </cfRule>
    <cfRule type="expression" dxfId="2919" priority="3442">
      <formula>AX75&gt;AZ75*#REF!</formula>
    </cfRule>
  </conditionalFormatting>
  <conditionalFormatting sqref="AX77:AX78">
    <cfRule type="expression" dxfId="2918" priority="2773">
      <formula>AX77&gt;AZ77*#REF!</formula>
    </cfRule>
    <cfRule type="expression" dxfId="2917" priority="2772">
      <formula>AX77&lt;AZ77*#REF!</formula>
    </cfRule>
  </conditionalFormatting>
  <conditionalFormatting sqref="AX79:AX91">
    <cfRule type="expression" dxfId="2916" priority="739">
      <formula>AX79&gt;AZ79</formula>
    </cfRule>
    <cfRule type="expression" dxfId="2915" priority="740">
      <formula>AX79&lt;AZ79</formula>
    </cfRule>
  </conditionalFormatting>
  <conditionalFormatting sqref="AX92">
    <cfRule type="expression" dxfId="2914" priority="2771">
      <formula>AX92&gt;AZ92*#REF!</formula>
    </cfRule>
    <cfRule type="expression" dxfId="2913" priority="2770">
      <formula>AX92&lt;AZ92*#REF!</formula>
    </cfRule>
  </conditionalFormatting>
  <conditionalFormatting sqref="AX94:AX95">
    <cfRule type="expression" dxfId="2912" priority="2725">
      <formula>AX94&gt;AZ94*#REF!</formula>
    </cfRule>
    <cfRule type="expression" dxfId="2911" priority="2724">
      <formula>AX94&lt;AZ94*#REF!</formula>
    </cfRule>
  </conditionalFormatting>
  <conditionalFormatting sqref="AX96:AX108">
    <cfRule type="expression" dxfId="2910" priority="732">
      <formula>AX96&lt;AZ96</formula>
    </cfRule>
    <cfRule type="expression" dxfId="2909" priority="731">
      <formula>AX96&gt;AZ96</formula>
    </cfRule>
  </conditionalFormatting>
  <conditionalFormatting sqref="AX109">
    <cfRule type="expression" dxfId="2908" priority="2722">
      <formula>AX109&lt;AZ109*#REF!</formula>
    </cfRule>
    <cfRule type="expression" dxfId="2907" priority="2723">
      <formula>AX109&gt;AZ109*#REF!</formula>
    </cfRule>
  </conditionalFormatting>
  <conditionalFormatting sqref="AX111:AX112">
    <cfRule type="expression" dxfId="2906" priority="3396">
      <formula>AX111&lt;AZ111*#REF!</formula>
    </cfRule>
    <cfRule type="expression" dxfId="2905" priority="3397">
      <formula>AX111&gt;AZ111*#REF!</formula>
    </cfRule>
  </conditionalFormatting>
  <conditionalFormatting sqref="AX113:AX125">
    <cfRule type="expression" dxfId="2904" priority="721">
      <formula>AX113&gt;AZ113</formula>
    </cfRule>
    <cfRule type="expression" dxfId="2903" priority="722">
      <formula>AX113&lt;AZ113</formula>
    </cfRule>
  </conditionalFormatting>
  <conditionalFormatting sqref="AX126">
    <cfRule type="expression" dxfId="2902" priority="3394">
      <formula>AX126&lt;AZ126*#REF!</formula>
    </cfRule>
    <cfRule type="expression" dxfId="2901" priority="3395">
      <formula>AX126&gt;AZ126*#REF!</formula>
    </cfRule>
  </conditionalFormatting>
  <conditionalFormatting sqref="AX128:AX129">
    <cfRule type="expression" dxfId="2900" priority="3349">
      <formula>AX128&gt;AZ128*#REF!</formula>
    </cfRule>
    <cfRule type="expression" dxfId="2899" priority="3348">
      <formula>AX128&lt;AZ128*#REF!</formula>
    </cfRule>
  </conditionalFormatting>
  <conditionalFormatting sqref="AX130:AX142">
    <cfRule type="expression" dxfId="2898" priority="715">
      <formula>AX130&gt;AZ130</formula>
    </cfRule>
    <cfRule type="expression" dxfId="2897" priority="716">
      <formula>AX130&lt;AZ130</formula>
    </cfRule>
  </conditionalFormatting>
  <conditionalFormatting sqref="AX143">
    <cfRule type="expression" dxfId="2896" priority="3347">
      <formula>AX143&gt;AZ143*#REF!</formula>
    </cfRule>
    <cfRule type="expression" dxfId="2895" priority="3346">
      <formula>AX143&lt;AZ143*#REF!</formula>
    </cfRule>
  </conditionalFormatting>
  <conditionalFormatting sqref="AX145:AX146">
    <cfRule type="expression" dxfId="2894" priority="3301">
      <formula>AX145&gt;AZ145*#REF!</formula>
    </cfRule>
    <cfRule type="expression" dxfId="2893" priority="3300">
      <formula>AX145&lt;AZ145*#REF!</formula>
    </cfRule>
  </conditionalFormatting>
  <conditionalFormatting sqref="AX147:AX159">
    <cfRule type="expression" dxfId="2892" priority="705">
      <formula>AX147&gt;AZ147</formula>
    </cfRule>
    <cfRule type="expression" dxfId="2891" priority="706">
      <formula>AX147&lt;AZ147</formula>
    </cfRule>
  </conditionalFormatting>
  <conditionalFormatting sqref="AX160">
    <cfRule type="expression" dxfId="2890" priority="3298">
      <formula>AX160&lt;AZ160*#REF!</formula>
    </cfRule>
    <cfRule type="expression" dxfId="2889" priority="3299">
      <formula>AX160&gt;AZ160*#REF!</formula>
    </cfRule>
  </conditionalFormatting>
  <conditionalFormatting sqref="AX162:AX163">
    <cfRule type="expression" dxfId="2888" priority="3252">
      <formula>AX162&lt;AZ162*#REF!</formula>
    </cfRule>
    <cfRule type="expression" dxfId="2887" priority="3253">
      <formula>AX162&gt;AZ162*#REF!</formula>
    </cfRule>
  </conditionalFormatting>
  <conditionalFormatting sqref="AX164:AX176">
    <cfRule type="expression" dxfId="2886" priority="700">
      <formula>AX164&lt;AZ164</formula>
    </cfRule>
    <cfRule type="expression" dxfId="2885" priority="699">
      <formula>AX164&gt;AZ164</formula>
    </cfRule>
  </conditionalFormatting>
  <conditionalFormatting sqref="AX177">
    <cfRule type="expression" dxfId="2884" priority="3251">
      <formula>AX177&gt;AZ177*#REF!</formula>
    </cfRule>
    <cfRule type="expression" dxfId="2883" priority="3250">
      <formula>AX177&lt;AZ177*#REF!</formula>
    </cfRule>
  </conditionalFormatting>
  <conditionalFormatting sqref="AX179:AX180">
    <cfRule type="expression" dxfId="2882" priority="3205">
      <formula>AX179&gt;AZ179*#REF!</formula>
    </cfRule>
    <cfRule type="expression" dxfId="2881" priority="3204">
      <formula>AX179&lt;AZ179*#REF!</formula>
    </cfRule>
  </conditionalFormatting>
  <conditionalFormatting sqref="AX181:AX193">
    <cfRule type="expression" dxfId="2880" priority="692">
      <formula>AX181&lt;AZ181</formula>
    </cfRule>
    <cfRule type="expression" dxfId="2879" priority="691">
      <formula>AX181&gt;AZ181</formula>
    </cfRule>
  </conditionalFormatting>
  <conditionalFormatting sqref="AX194">
    <cfRule type="expression" dxfId="2878" priority="3202">
      <formula>AX194&lt;AZ194*#REF!</formula>
    </cfRule>
    <cfRule type="expression" dxfId="2877" priority="3203">
      <formula>AX194&gt;AZ194*#REF!</formula>
    </cfRule>
  </conditionalFormatting>
  <conditionalFormatting sqref="AX196:AX197">
    <cfRule type="expression" dxfId="2876" priority="3156">
      <formula>AX196&lt;AZ196*#REF!</formula>
    </cfRule>
    <cfRule type="expression" dxfId="2875" priority="3157">
      <formula>AX196&gt;AZ196*#REF!</formula>
    </cfRule>
  </conditionalFormatting>
  <conditionalFormatting sqref="AX198:AX210">
    <cfRule type="expression" dxfId="2874" priority="683">
      <formula>AX198&gt;AZ198</formula>
    </cfRule>
    <cfRule type="expression" dxfId="2873" priority="684">
      <formula>AX198&lt;AZ198</formula>
    </cfRule>
  </conditionalFormatting>
  <conditionalFormatting sqref="AX211">
    <cfRule type="expression" dxfId="2872" priority="3155">
      <formula>AX211&gt;AZ211*#REF!</formula>
    </cfRule>
    <cfRule type="expression" dxfId="2871" priority="3154">
      <formula>AX211&lt;AZ211*#REF!</formula>
    </cfRule>
  </conditionalFormatting>
  <conditionalFormatting sqref="AX213:AX214">
    <cfRule type="expression" dxfId="2870" priority="3108">
      <formula>AX213&lt;AZ213*#REF!</formula>
    </cfRule>
    <cfRule type="expression" dxfId="2869" priority="3109">
      <formula>AX213&gt;AZ213*#REF!</formula>
    </cfRule>
  </conditionalFormatting>
  <conditionalFormatting sqref="AX215:AX227">
    <cfRule type="expression" dxfId="2868" priority="673">
      <formula>AX215&gt;AZ215</formula>
    </cfRule>
    <cfRule type="expression" dxfId="2867" priority="674">
      <formula>AX215&lt;AZ215</formula>
    </cfRule>
  </conditionalFormatting>
  <conditionalFormatting sqref="AX228">
    <cfRule type="expression" dxfId="2866" priority="3107">
      <formula>AX228&gt;AZ228*#REF!</formula>
    </cfRule>
    <cfRule type="expression" dxfId="2865" priority="3106">
      <formula>AX228&lt;AZ228*#REF!</formula>
    </cfRule>
  </conditionalFormatting>
  <conditionalFormatting sqref="AX230:AX231">
    <cfRule type="expression" dxfId="2864" priority="3060">
      <formula>AX230&lt;AZ230*#REF!</formula>
    </cfRule>
    <cfRule type="expression" dxfId="2863" priority="3061">
      <formula>AX230&gt;AZ230*#REF!</formula>
    </cfRule>
  </conditionalFormatting>
  <conditionalFormatting sqref="AX232:AX244">
    <cfRule type="expression" dxfId="2862" priority="668">
      <formula>AX232&lt;AZ232</formula>
    </cfRule>
    <cfRule type="expression" dxfId="2861" priority="667">
      <formula>AX232&gt;AZ232</formula>
    </cfRule>
  </conditionalFormatting>
  <conditionalFormatting sqref="AX245">
    <cfRule type="expression" dxfId="2860" priority="3058">
      <formula>AX245&lt;AZ245*#REF!</formula>
    </cfRule>
    <cfRule type="expression" dxfId="2859" priority="3059">
      <formula>AX245&gt;AZ245*#REF!</formula>
    </cfRule>
  </conditionalFormatting>
  <conditionalFormatting sqref="AX264:AX265">
    <cfRule type="expression" dxfId="2858" priority="2964">
      <formula>AX264&lt;AZ264*#REF!</formula>
    </cfRule>
    <cfRule type="expression" dxfId="2857" priority="2965">
      <formula>AX264&gt;AZ264*#REF!</formula>
    </cfRule>
  </conditionalFormatting>
  <conditionalFormatting sqref="AX266:AX278">
    <cfRule type="expression" dxfId="2856" priority="660">
      <formula>AX266&lt;AZ266</formula>
    </cfRule>
    <cfRule type="expression" dxfId="2855" priority="659">
      <formula>AX266&gt;AZ266</formula>
    </cfRule>
  </conditionalFormatting>
  <conditionalFormatting sqref="AX279">
    <cfRule type="expression" dxfId="2854" priority="2963">
      <formula>AX279&gt;AZ279*#REF!</formula>
    </cfRule>
    <cfRule type="expression" dxfId="2853" priority="2962">
      <formula>AX279&lt;AZ279*#REF!</formula>
    </cfRule>
  </conditionalFormatting>
  <conditionalFormatting sqref="AX281:AX282">
    <cfRule type="expression" dxfId="2852" priority="2916">
      <formula>AX281&lt;AZ281*#REF!</formula>
    </cfRule>
    <cfRule type="expression" dxfId="2851" priority="2917">
      <formula>AX281&gt;AZ281*#REF!</formula>
    </cfRule>
  </conditionalFormatting>
  <conditionalFormatting sqref="AX283:AX295">
    <cfRule type="expression" dxfId="2850" priority="653">
      <formula>AX283&gt;AZ283</formula>
    </cfRule>
    <cfRule type="expression" dxfId="2849" priority="654">
      <formula>AX283&lt;AZ283</formula>
    </cfRule>
  </conditionalFormatting>
  <conditionalFormatting sqref="AX296">
    <cfRule type="expression" dxfId="2848" priority="2914">
      <formula>AX296&lt;AZ296*#REF!</formula>
    </cfRule>
    <cfRule type="expression" dxfId="2847" priority="2915">
      <formula>AX296&gt;AZ296*#REF!</formula>
    </cfRule>
  </conditionalFormatting>
  <conditionalFormatting sqref="AX298:AX299">
    <cfRule type="expression" dxfId="2846" priority="2869">
      <formula>AX298&gt;AZ298*#REF!</formula>
    </cfRule>
    <cfRule type="expression" dxfId="2845" priority="2868">
      <formula>AX298&lt;AZ298*#REF!</formula>
    </cfRule>
  </conditionalFormatting>
  <conditionalFormatting sqref="AX300:AX312">
    <cfRule type="expression" dxfId="2844" priority="648">
      <formula>AX300&lt;AZ300</formula>
    </cfRule>
    <cfRule type="expression" dxfId="2843" priority="647">
      <formula>AX300&gt;AZ300</formula>
    </cfRule>
  </conditionalFormatting>
  <conditionalFormatting sqref="AX313">
    <cfRule type="expression" dxfId="2842" priority="2867">
      <formula>AX313&gt;AZ313*#REF!</formula>
    </cfRule>
    <cfRule type="expression" dxfId="2841" priority="2866">
      <formula>AX313&lt;AZ313*#REF!</formula>
    </cfRule>
  </conditionalFormatting>
  <conditionalFormatting sqref="AX315:AX316">
    <cfRule type="expression" dxfId="2840" priority="2821">
      <formula>AX315&gt;AZ315*#REF!</formula>
    </cfRule>
    <cfRule type="expression" dxfId="2839" priority="2820">
      <formula>AX315&lt;AZ315*#REF!</formula>
    </cfRule>
  </conditionalFormatting>
  <conditionalFormatting sqref="AX317:AX329">
    <cfRule type="expression" dxfId="2838" priority="641">
      <formula>AX317&gt;AZ317</formula>
    </cfRule>
    <cfRule type="expression" dxfId="2837" priority="642">
      <formula>AX317&lt;AZ317</formula>
    </cfRule>
  </conditionalFormatting>
  <conditionalFormatting sqref="AX330">
    <cfRule type="expression" dxfId="2836" priority="2819">
      <formula>AX330&gt;AZ330*#REF!</formula>
    </cfRule>
    <cfRule type="expression" dxfId="2835" priority="2818">
      <formula>AX330&lt;AZ330*#REF!</formula>
    </cfRule>
  </conditionalFormatting>
  <conditionalFormatting sqref="AX247:AZ248">
    <cfRule type="expression" dxfId="2834" priority="151">
      <formula>AX247&gt;AZ247*#REF!</formula>
    </cfRule>
    <cfRule type="expression" dxfId="2833" priority="150">
      <formula>AX247&lt;AZ247*#REF!</formula>
    </cfRule>
  </conditionalFormatting>
  <conditionalFormatting sqref="AX249:AZ251">
    <cfRule type="expression" dxfId="2832" priority="154">
      <formula>AX249&lt;AZ249-#REF!</formula>
    </cfRule>
  </conditionalFormatting>
  <conditionalFormatting sqref="AX249:AZ261">
    <cfRule type="expression" dxfId="2831" priority="130">
      <formula>AX249&gt;AZ249+#REF!</formula>
    </cfRule>
  </conditionalFormatting>
  <conditionalFormatting sqref="AX262:AZ262">
    <cfRule type="expression" dxfId="2830" priority="149">
      <formula>AX262&gt;AZ262*#REF!</formula>
    </cfRule>
  </conditionalFormatting>
  <conditionalFormatting sqref="AY253:AZ254">
    <cfRule type="expression" dxfId="2829" priority="134">
      <formula>AY253&lt;BA253-#REF!</formula>
    </cfRule>
  </conditionalFormatting>
  <conditionalFormatting sqref="AY257:AZ261">
    <cfRule type="expression" dxfId="2828" priority="132">
      <formula>AY257&lt;BA257-#REF!</formula>
    </cfRule>
  </conditionalFormatting>
  <conditionalFormatting sqref="BB9:BB10">
    <cfRule type="expression" dxfId="2827" priority="3559">
      <formula>BB9&gt;BD9*#REF!</formula>
    </cfRule>
    <cfRule type="expression" dxfId="2826" priority="3558">
      <formula>BB9&lt;BD9*#REF!</formula>
    </cfRule>
  </conditionalFormatting>
  <conditionalFormatting sqref="BB11:BB23">
    <cfRule type="expression" dxfId="2825" priority="770">
      <formula>BB11&lt;BD11</formula>
    </cfRule>
    <cfRule type="expression" dxfId="2824" priority="769">
      <formula>BB11&gt;BD11</formula>
    </cfRule>
  </conditionalFormatting>
  <conditionalFormatting sqref="BB24">
    <cfRule type="expression" dxfId="2823" priority="3557">
      <formula>BB24&gt;BD24*#REF!</formula>
    </cfRule>
    <cfRule type="expression" dxfId="2822" priority="3556">
      <formula>BB24&lt;BD24*#REF!</formula>
    </cfRule>
  </conditionalFormatting>
  <conditionalFormatting sqref="BB26:BB27">
    <cfRule type="expression" dxfId="2821" priority="3513">
      <formula>BB26&gt;BD26*#REF!</formula>
    </cfRule>
    <cfRule type="expression" dxfId="2820" priority="3512">
      <formula>BB26&lt;BD26*#REF!</formula>
    </cfRule>
  </conditionalFormatting>
  <conditionalFormatting sqref="BB28:BB40">
    <cfRule type="expression" dxfId="2819" priority="762">
      <formula>BB28&lt;BD28</formula>
    </cfRule>
    <cfRule type="expression" dxfId="2818" priority="761">
      <formula>BB28&gt;BD28</formula>
    </cfRule>
  </conditionalFormatting>
  <conditionalFormatting sqref="BB41">
    <cfRule type="expression" dxfId="2817" priority="3511">
      <formula>BB41&gt;BD41*#REF!</formula>
    </cfRule>
    <cfRule type="expression" dxfId="2816" priority="3510">
      <formula>BB41&lt;BD41*#REF!</formula>
    </cfRule>
  </conditionalFormatting>
  <conditionalFormatting sqref="BB44">
    <cfRule type="expression" dxfId="2815" priority="3467">
      <formula>BB44&gt;BD44*#REF!</formula>
    </cfRule>
  </conditionalFormatting>
  <conditionalFormatting sqref="BB45:BB57">
    <cfRule type="expression" dxfId="2814" priority="754">
      <formula>BB45&lt;BD45</formula>
    </cfRule>
    <cfRule type="expression" dxfId="2813" priority="753">
      <formula>BB45&gt;BD45</formula>
    </cfRule>
  </conditionalFormatting>
  <conditionalFormatting sqref="BB58">
    <cfRule type="expression" dxfId="2812" priority="3464">
      <formula>BB58&lt;BD58*#REF!</formula>
    </cfRule>
    <cfRule type="expression" dxfId="2811" priority="3465">
      <formula>BB58&gt;BD58*#REF!</formula>
    </cfRule>
  </conditionalFormatting>
  <conditionalFormatting sqref="BB60:BB61">
    <cfRule type="expression" dxfId="2810" priority="3421">
      <formula>BB60&gt;BD60*#REF!</formula>
    </cfRule>
    <cfRule type="expression" dxfId="2809" priority="3420">
      <formula>BB60&lt;BD60*#REF!</formula>
    </cfRule>
  </conditionalFormatting>
  <conditionalFormatting sqref="BB62:BB74">
    <cfRule type="expression" dxfId="2808" priority="748">
      <formula>BB62&lt;BD62</formula>
    </cfRule>
    <cfRule type="expression" dxfId="2807" priority="747">
      <formula>BB62&gt;BD62</formula>
    </cfRule>
  </conditionalFormatting>
  <conditionalFormatting sqref="BB75">
    <cfRule type="expression" dxfId="2806" priority="3419">
      <formula>BB75&gt;BD75*#REF!</formula>
    </cfRule>
    <cfRule type="expression" dxfId="2805" priority="3418">
      <formula>BB75&lt;BD75*#REF!</formula>
    </cfRule>
  </conditionalFormatting>
  <conditionalFormatting sqref="BB77:BB78">
    <cfRule type="expression" dxfId="2804" priority="2749">
      <formula>BB77&gt;BD77*#REF!</formula>
    </cfRule>
    <cfRule type="expression" dxfId="2803" priority="2748">
      <formula>BB77&lt;BD77*#REF!</formula>
    </cfRule>
  </conditionalFormatting>
  <conditionalFormatting sqref="BB79:BB91">
    <cfRule type="expression" dxfId="2802" priority="738">
      <formula>BB79&lt;BD79</formula>
    </cfRule>
    <cfRule type="expression" dxfId="2801" priority="737">
      <formula>BB79&gt;BD79</formula>
    </cfRule>
  </conditionalFormatting>
  <conditionalFormatting sqref="BB92">
    <cfRule type="expression" dxfId="2800" priority="2746">
      <formula>BB92&lt;BD92*#REF!</formula>
    </cfRule>
    <cfRule type="expression" dxfId="2799" priority="2747">
      <formula>BB92&gt;BD92*#REF!</formula>
    </cfRule>
  </conditionalFormatting>
  <conditionalFormatting sqref="BB94:BB95">
    <cfRule type="expression" dxfId="2798" priority="2700">
      <formula>BB94&lt;BD94*#REF!</formula>
    </cfRule>
    <cfRule type="expression" dxfId="2797" priority="2701">
      <formula>BB94&gt;BD94*#REF!</formula>
    </cfRule>
  </conditionalFormatting>
  <conditionalFormatting sqref="BB96:BB108">
    <cfRule type="expression" dxfId="2796" priority="730">
      <formula>BB96&lt;BD96</formula>
    </cfRule>
    <cfRule type="expression" dxfId="2795" priority="729">
      <formula>BB96&gt;BD96</formula>
    </cfRule>
  </conditionalFormatting>
  <conditionalFormatting sqref="BB109">
    <cfRule type="expression" dxfId="2794" priority="2698">
      <formula>BB109&lt;BD109*#REF!</formula>
    </cfRule>
    <cfRule type="expression" dxfId="2793" priority="2699">
      <formula>BB109&gt;BD109*#REF!</formula>
    </cfRule>
  </conditionalFormatting>
  <conditionalFormatting sqref="BB111:BB112">
    <cfRule type="expression" dxfId="2792" priority="3373">
      <formula>BB111&gt;BD111*#REF!</formula>
    </cfRule>
    <cfRule type="expression" dxfId="2791" priority="3372">
      <formula>BB111&lt;BD111*#REF!</formula>
    </cfRule>
  </conditionalFormatting>
  <conditionalFormatting sqref="BB113:BB125">
    <cfRule type="expression" dxfId="2790" priority="723">
      <formula>BB113&gt;BD113</formula>
    </cfRule>
    <cfRule type="expression" dxfId="2789" priority="724">
      <formula>BB113&lt;BD113</formula>
    </cfRule>
  </conditionalFormatting>
  <conditionalFormatting sqref="BB126">
    <cfRule type="expression" dxfId="2788" priority="3371">
      <formula>BB126&gt;BD126*#REF!</formula>
    </cfRule>
    <cfRule type="expression" dxfId="2787" priority="3370">
      <formula>BB126&lt;BD126*#REF!</formula>
    </cfRule>
  </conditionalFormatting>
  <conditionalFormatting sqref="BB128:BB129">
    <cfRule type="expression" dxfId="2786" priority="3325">
      <formula>BB128&gt;BD128*#REF!</formula>
    </cfRule>
    <cfRule type="expression" dxfId="2785" priority="3324">
      <formula>BB128&lt;BD128*#REF!</formula>
    </cfRule>
  </conditionalFormatting>
  <conditionalFormatting sqref="BB130:BB142">
    <cfRule type="expression" dxfId="2784" priority="713">
      <formula>BB130&gt;BD130</formula>
    </cfRule>
    <cfRule type="expression" dxfId="2783" priority="714">
      <formula>BB130&lt;BD130</formula>
    </cfRule>
  </conditionalFormatting>
  <conditionalFormatting sqref="BB143">
    <cfRule type="expression" dxfId="2782" priority="3323">
      <formula>BB143&gt;BD143*#REF!</formula>
    </cfRule>
    <cfRule type="expression" dxfId="2781" priority="3322">
      <formula>BB143&lt;BD143*#REF!</formula>
    </cfRule>
  </conditionalFormatting>
  <conditionalFormatting sqref="BB145:BB146">
    <cfRule type="expression" dxfId="2780" priority="3277">
      <formula>BB145&gt;BD145*#REF!</formula>
    </cfRule>
    <cfRule type="expression" dxfId="2779" priority="3276">
      <formula>BB145&lt;BD145*#REF!</formula>
    </cfRule>
  </conditionalFormatting>
  <conditionalFormatting sqref="BB147:BB159">
    <cfRule type="expression" dxfId="2778" priority="707">
      <formula>BB147&gt;BD147</formula>
    </cfRule>
    <cfRule type="expression" dxfId="2777" priority="708">
      <formula>BB147&lt;BD147</formula>
    </cfRule>
  </conditionalFormatting>
  <conditionalFormatting sqref="BB160">
    <cfRule type="expression" dxfId="2776" priority="3275">
      <formula>BB160&gt;BD160*#REF!</formula>
    </cfRule>
    <cfRule type="expression" dxfId="2775" priority="3274">
      <formula>BB160&lt;BD160*#REF!</formula>
    </cfRule>
  </conditionalFormatting>
  <conditionalFormatting sqref="BB162:BB163">
    <cfRule type="expression" dxfId="2774" priority="3229">
      <formula>BB162&gt;BD162*#REF!</formula>
    </cfRule>
    <cfRule type="expression" dxfId="2773" priority="3228">
      <formula>BB162&lt;BD162*#REF!</formula>
    </cfRule>
  </conditionalFormatting>
  <conditionalFormatting sqref="BB164:BB176">
    <cfRule type="expression" dxfId="2772" priority="697">
      <formula>BB164&gt;BD164</formula>
    </cfRule>
    <cfRule type="expression" dxfId="2771" priority="698">
      <formula>BB164&lt;BD164</formula>
    </cfRule>
  </conditionalFormatting>
  <conditionalFormatting sqref="BB177">
    <cfRule type="expression" dxfId="2770" priority="3226">
      <formula>BB177&lt;BD177*#REF!</formula>
    </cfRule>
    <cfRule type="expression" dxfId="2769" priority="3227">
      <formula>BB177&gt;BD177*#REF!</formula>
    </cfRule>
  </conditionalFormatting>
  <conditionalFormatting sqref="BB179:BB180">
    <cfRule type="expression" dxfId="2768" priority="3180">
      <formula>BB179&lt;BD179*#REF!</formula>
    </cfRule>
    <cfRule type="expression" dxfId="2767" priority="3181">
      <formula>BB179&gt;BD179*#REF!</formula>
    </cfRule>
  </conditionalFormatting>
  <conditionalFormatting sqref="BB181:BB193">
    <cfRule type="expression" dxfId="2766" priority="689">
      <formula>BB181&gt;BD181</formula>
    </cfRule>
    <cfRule type="expression" dxfId="2765" priority="690">
      <formula>BB181&lt;BD181</formula>
    </cfRule>
  </conditionalFormatting>
  <conditionalFormatting sqref="BB194">
    <cfRule type="expression" dxfId="2764" priority="3178">
      <formula>BB194&lt;BD194*#REF!</formula>
    </cfRule>
    <cfRule type="expression" dxfId="2763" priority="3179">
      <formula>BB194&gt;BD194*#REF!</formula>
    </cfRule>
  </conditionalFormatting>
  <conditionalFormatting sqref="BB196:BB197">
    <cfRule type="expression" dxfId="2762" priority="3132">
      <formula>BB196&lt;BD196*#REF!</formula>
    </cfRule>
    <cfRule type="expression" dxfId="2761" priority="3133">
      <formula>BB196&gt;BD196*#REF!</formula>
    </cfRule>
  </conditionalFormatting>
  <conditionalFormatting sqref="BB198:BB210">
    <cfRule type="expression" dxfId="2760" priority="681">
      <formula>BB198&gt;BD198</formula>
    </cfRule>
    <cfRule type="expression" dxfId="2759" priority="682">
      <formula>BB198&lt;BD198</formula>
    </cfRule>
  </conditionalFormatting>
  <conditionalFormatting sqref="BB211">
    <cfRule type="expression" dxfId="2758" priority="3131">
      <formula>BB211&gt;BD211*#REF!</formula>
    </cfRule>
    <cfRule type="expression" dxfId="2757" priority="3130">
      <formula>BB211&lt;BD211*#REF!</formula>
    </cfRule>
  </conditionalFormatting>
  <conditionalFormatting sqref="BB213:BB214">
    <cfRule type="expression" dxfId="2756" priority="3084">
      <formula>BB213&lt;BD213*#REF!</formula>
    </cfRule>
    <cfRule type="expression" dxfId="2755" priority="3085">
      <formula>BB213&gt;BD213*#REF!</formula>
    </cfRule>
  </conditionalFormatting>
  <conditionalFormatting sqref="BB215:BB227">
    <cfRule type="expression" dxfId="2754" priority="675">
      <formula>BB215&gt;BD215</formula>
    </cfRule>
    <cfRule type="expression" dxfId="2753" priority="676">
      <formula>BB215&lt;BD215</formula>
    </cfRule>
  </conditionalFormatting>
  <conditionalFormatting sqref="BB228">
    <cfRule type="expression" dxfId="2752" priority="3082">
      <formula>BB228&lt;BD228*#REF!</formula>
    </cfRule>
    <cfRule type="expression" dxfId="2751" priority="3083">
      <formula>BB228&gt;BD228*#REF!</formula>
    </cfRule>
  </conditionalFormatting>
  <conditionalFormatting sqref="BB230:BB231">
    <cfRule type="expression" dxfId="2750" priority="3036">
      <formula>BB230&lt;BD230*#REF!</formula>
    </cfRule>
    <cfRule type="expression" dxfId="2749" priority="3037">
      <formula>BB230&gt;BD230*#REF!</formula>
    </cfRule>
  </conditionalFormatting>
  <conditionalFormatting sqref="BB232:BB244">
    <cfRule type="expression" dxfId="2748" priority="665">
      <formula>BB232&gt;BD232</formula>
    </cfRule>
    <cfRule type="expression" dxfId="2747" priority="666">
      <formula>BB232&lt;BD232</formula>
    </cfRule>
  </conditionalFormatting>
  <conditionalFormatting sqref="BB245">
    <cfRule type="expression" dxfId="2746" priority="3035">
      <formula>BB245&gt;BD245*#REF!</formula>
    </cfRule>
    <cfRule type="expression" dxfId="2745" priority="3034">
      <formula>BB245&lt;BD245*#REF!</formula>
    </cfRule>
  </conditionalFormatting>
  <conditionalFormatting sqref="BB315:BB316">
    <cfRule type="expression" dxfId="2744" priority="2796">
      <formula>BB315&lt;BD315*#REF!</formula>
    </cfRule>
    <cfRule type="expression" dxfId="2743" priority="2797">
      <formula>BB315&gt;BD315*#REF!</formula>
    </cfRule>
  </conditionalFormatting>
  <conditionalFormatting sqref="BB317:BB329">
    <cfRule type="expression" dxfId="2742" priority="639">
      <formula>BB317&gt;BD317</formula>
    </cfRule>
    <cfRule type="expression" dxfId="2741" priority="640">
      <formula>BB317&lt;BD317</formula>
    </cfRule>
  </conditionalFormatting>
  <conditionalFormatting sqref="BB330">
    <cfRule type="expression" dxfId="2740" priority="2794">
      <formula>BB330&lt;BD330*#REF!</formula>
    </cfRule>
    <cfRule type="expression" dxfId="2739" priority="2795">
      <formula>BB330&gt;BD330*#REF!</formula>
    </cfRule>
  </conditionalFormatting>
  <conditionalFormatting sqref="BB247:BD248">
    <cfRule type="expression" dxfId="2738" priority="126">
      <formula>BB247&gt;BD247*#REF!</formula>
    </cfRule>
    <cfRule type="expression" dxfId="2737" priority="125">
      <formula>BB247&lt;BD247*#REF!</formula>
    </cfRule>
  </conditionalFormatting>
  <conditionalFormatting sqref="BB249:BD251">
    <cfRule type="expression" dxfId="2736" priority="129">
      <formula>BB249&lt;BD249-#REF!</formula>
    </cfRule>
  </conditionalFormatting>
  <conditionalFormatting sqref="BB249:BD261">
    <cfRule type="expression" dxfId="2735" priority="105">
      <formula>BB249&gt;BD249+#REF!</formula>
    </cfRule>
  </conditionalFormatting>
  <conditionalFormatting sqref="BB262:BD262">
    <cfRule type="expression" dxfId="2734" priority="124">
      <formula>BB262&gt;BD262*#REF!</formula>
    </cfRule>
  </conditionalFormatting>
  <conditionalFormatting sqref="BB264:BD265">
    <cfRule type="expression" dxfId="2733" priority="76">
      <formula>BB264&gt;BD264*#REF!</formula>
    </cfRule>
    <cfRule type="expression" dxfId="2732" priority="75">
      <formula>BB264&lt;BD264*#REF!</formula>
    </cfRule>
  </conditionalFormatting>
  <conditionalFormatting sqref="BB266:BD268">
    <cfRule type="expression" dxfId="2731" priority="79">
      <formula>BB266&lt;BD266-#REF!</formula>
    </cfRule>
  </conditionalFormatting>
  <conditionalFormatting sqref="BB266:BD278">
    <cfRule type="expression" dxfId="2730" priority="55">
      <formula>BB266&gt;BD266+#REF!</formula>
    </cfRule>
  </conditionalFormatting>
  <conditionalFormatting sqref="BB279:BD279">
    <cfRule type="expression" dxfId="2729" priority="74">
      <formula>BB279&gt;BD279*#REF!</formula>
    </cfRule>
  </conditionalFormatting>
  <conditionalFormatting sqref="BB281:BD282">
    <cfRule type="expression" dxfId="2728" priority="50">
      <formula>BB281&lt;BD281*#REF!</formula>
    </cfRule>
    <cfRule type="expression" dxfId="2727" priority="51">
      <formula>BB281&gt;BD281*#REF!</formula>
    </cfRule>
  </conditionalFormatting>
  <conditionalFormatting sqref="BB283:BD285">
    <cfRule type="expression" dxfId="2726" priority="54">
      <formula>BB283&lt;BD283-#REF!</formula>
    </cfRule>
  </conditionalFormatting>
  <conditionalFormatting sqref="BB283:BD295">
    <cfRule type="expression" dxfId="2725" priority="30">
      <formula>BB283&gt;BD283+#REF!</formula>
    </cfRule>
  </conditionalFormatting>
  <conditionalFormatting sqref="BB296:BD296">
    <cfRule type="expression" dxfId="2724" priority="49">
      <formula>BB296&gt;BD296*#REF!</formula>
    </cfRule>
  </conditionalFormatting>
  <conditionalFormatting sqref="BB298:BD299">
    <cfRule type="expression" dxfId="2723" priority="26">
      <formula>BB298&gt;BD298*#REF!</formula>
    </cfRule>
    <cfRule type="expression" dxfId="2722" priority="25">
      <formula>BB298&lt;BD298*#REF!</formula>
    </cfRule>
  </conditionalFormatting>
  <conditionalFormatting sqref="BB300:BD302">
    <cfRule type="expression" dxfId="2721" priority="29">
      <formula>BB300&lt;BD300-#REF!</formula>
    </cfRule>
  </conditionalFormatting>
  <conditionalFormatting sqref="BB300:BD312">
    <cfRule type="expression" dxfId="2720" priority="5">
      <formula>BB300&gt;BD300+#REF!</formula>
    </cfRule>
  </conditionalFormatting>
  <conditionalFormatting sqref="BB313:BD313">
    <cfRule type="expression" dxfId="2719" priority="24">
      <formula>BB313&gt;BD313*#REF!</formula>
    </cfRule>
  </conditionalFormatting>
  <conditionalFormatting sqref="BC253:BD254">
    <cfRule type="expression" dxfId="2718" priority="109">
      <formula>BC253&lt;BE253-#REF!</formula>
    </cfRule>
  </conditionalFormatting>
  <conditionalFormatting sqref="BC257:BD261">
    <cfRule type="expression" dxfId="2717" priority="107">
      <formula>BC257&lt;BE257-#REF!</formula>
    </cfRule>
  </conditionalFormatting>
  <conditionalFormatting sqref="BC270:BD271">
    <cfRule type="expression" dxfId="2716" priority="59">
      <formula>BC270&lt;BE270-#REF!</formula>
    </cfRule>
  </conditionalFormatting>
  <conditionalFormatting sqref="BC274:BD278">
    <cfRule type="expression" dxfId="2715" priority="57">
      <formula>BC274&lt;BE274-#REF!</formula>
    </cfRule>
  </conditionalFormatting>
  <conditionalFormatting sqref="BC287:BD288">
    <cfRule type="expression" dxfId="2714" priority="34">
      <formula>BC287&lt;BE287-#REF!</formula>
    </cfRule>
  </conditionalFormatting>
  <conditionalFormatting sqref="BC291:BD295">
    <cfRule type="expression" dxfId="2713" priority="32">
      <formula>BC291&lt;BE291-#REF!</formula>
    </cfRule>
  </conditionalFormatting>
  <conditionalFormatting sqref="BC304:BD305">
    <cfRule type="expression" dxfId="2712" priority="9">
      <formula>BC304&lt;BE304-#REF!</formula>
    </cfRule>
  </conditionalFormatting>
  <conditionalFormatting sqref="BC308:BD312">
    <cfRule type="expression" dxfId="2711" priority="7">
      <formula>BC308&lt;BE308-#REF!</formula>
    </cfRule>
  </conditionalFormatting>
  <conditionalFormatting sqref="BJ9:BJ10">
    <cfRule type="expression" dxfId="2710" priority="2219">
      <formula>BJ9&lt;BL9*#REF!</formula>
    </cfRule>
    <cfRule type="expression" dxfId="2709" priority="2220">
      <formula>BJ9&gt;BL9*#REF!</formula>
    </cfRule>
  </conditionalFormatting>
  <conditionalFormatting sqref="BJ11:BJ23">
    <cfRule type="expression" dxfId="2708" priority="768">
      <formula>BJ11&lt;BL11</formula>
    </cfRule>
    <cfRule type="expression" dxfId="2707" priority="767">
      <formula>BJ11&gt;BL11</formula>
    </cfRule>
  </conditionalFormatting>
  <conditionalFormatting sqref="BJ24">
    <cfRule type="expression" dxfId="2706" priority="2217">
      <formula>BJ24&lt;BL24*#REF!</formula>
    </cfRule>
    <cfRule type="expression" dxfId="2705" priority="2218">
      <formula>BJ24&gt;BL24*#REF!</formula>
    </cfRule>
  </conditionalFormatting>
  <conditionalFormatting sqref="BJ26:BJ27">
    <cfRule type="expression" dxfId="2704" priority="2180">
      <formula>BJ26&gt;BL26*#REF!</formula>
    </cfRule>
    <cfRule type="expression" dxfId="2703" priority="2179">
      <formula>BJ26&lt;BL26*#REF!</formula>
    </cfRule>
  </conditionalFormatting>
  <conditionalFormatting sqref="BJ28:BJ40">
    <cfRule type="expression" dxfId="2702" priority="760">
      <formula>BJ28&lt;BL28</formula>
    </cfRule>
    <cfRule type="expression" dxfId="2701" priority="759">
      <formula>BJ28&gt;BL28</formula>
    </cfRule>
  </conditionalFormatting>
  <conditionalFormatting sqref="BJ41">
    <cfRule type="expression" dxfId="2700" priority="2177">
      <formula>BJ41&lt;BL41*#REF!</formula>
    </cfRule>
    <cfRule type="expression" dxfId="2699" priority="2178">
      <formula>BJ41&gt;BL41*#REF!</formula>
    </cfRule>
  </conditionalFormatting>
  <conditionalFormatting sqref="BJ43:BJ44">
    <cfRule type="expression" dxfId="2698" priority="2140">
      <formula>BJ43&gt;BL43*#REF!</formula>
    </cfRule>
    <cfRule type="expression" dxfId="2697" priority="2139">
      <formula>BJ43&lt;BL43*#REF!</formula>
    </cfRule>
  </conditionalFormatting>
  <conditionalFormatting sqref="BJ45:BJ57">
    <cfRule type="expression" dxfId="2696" priority="751">
      <formula>BJ45&gt;BL45</formula>
    </cfRule>
    <cfRule type="expression" dxfId="2695" priority="752">
      <formula>BJ45&lt;BL45</formula>
    </cfRule>
  </conditionalFormatting>
  <conditionalFormatting sqref="BJ58">
    <cfRule type="expression" dxfId="2694" priority="2138">
      <formula>BJ58&gt;BL58*#REF!</formula>
    </cfRule>
    <cfRule type="expression" dxfId="2693" priority="2137">
      <formula>BJ58&lt;BL58*#REF!</formula>
    </cfRule>
  </conditionalFormatting>
  <conditionalFormatting sqref="BJ60:BJ61">
    <cfRule type="expression" dxfId="2692" priority="2099">
      <formula>BJ60&gt;BL60*#REF!</formula>
    </cfRule>
    <cfRule type="expression" dxfId="2691" priority="2098">
      <formula>BJ60&lt;BL60*#REF!</formula>
    </cfRule>
  </conditionalFormatting>
  <conditionalFormatting sqref="BJ62:BJ74">
    <cfRule type="expression" dxfId="2690" priority="749">
      <formula>BJ62&gt;BL62</formula>
    </cfRule>
    <cfRule type="expression" dxfId="2689" priority="750">
      <formula>BJ62&lt;BL62</formula>
    </cfRule>
  </conditionalFormatting>
  <conditionalFormatting sqref="BJ75">
    <cfRule type="expression" dxfId="2688" priority="2097">
      <formula>BJ75&gt;BL75*#REF!</formula>
    </cfRule>
    <cfRule type="expression" dxfId="2687" priority="2096">
      <formula>BJ75&lt;BL75*#REF!</formula>
    </cfRule>
  </conditionalFormatting>
  <conditionalFormatting sqref="BJ77:BJ78">
    <cfRule type="expression" dxfId="2686" priority="1511">
      <formula>BJ77&gt;BL77*#REF!</formula>
    </cfRule>
    <cfRule type="expression" dxfId="2685" priority="1510">
      <formula>BJ77&lt;BL77*#REF!</formula>
    </cfRule>
  </conditionalFormatting>
  <conditionalFormatting sqref="BJ79:BJ91">
    <cfRule type="expression" dxfId="2684" priority="736">
      <formula>BJ79&lt;BL79</formula>
    </cfRule>
    <cfRule type="expression" dxfId="2683" priority="735">
      <formula>BJ79&gt;BL79</formula>
    </cfRule>
  </conditionalFormatting>
  <conditionalFormatting sqref="BJ92">
    <cfRule type="expression" dxfId="2682" priority="1508">
      <formula>BJ92&lt;BL92*#REF!</formula>
    </cfRule>
    <cfRule type="expression" dxfId="2681" priority="1509">
      <formula>BJ92&gt;BL92*#REF!</formula>
    </cfRule>
  </conditionalFormatting>
  <conditionalFormatting sqref="BJ94:BJ95">
    <cfRule type="expression" dxfId="2680" priority="1468">
      <formula>BJ94&lt;BL94*#REF!</formula>
    </cfRule>
    <cfRule type="expression" dxfId="2679" priority="1469">
      <formula>BJ94&gt;BL94*#REF!</formula>
    </cfRule>
  </conditionalFormatting>
  <conditionalFormatting sqref="BJ96:BJ108">
    <cfRule type="expression" dxfId="2678" priority="728">
      <formula>BJ96&lt;BL96</formula>
    </cfRule>
    <cfRule type="expression" dxfId="2677" priority="727">
      <formula>BJ96&gt;BL96</formula>
    </cfRule>
  </conditionalFormatting>
  <conditionalFormatting sqref="BJ109">
    <cfRule type="expression" dxfId="2676" priority="1467">
      <formula>BJ109&gt;BL109*#REF!</formula>
    </cfRule>
    <cfRule type="expression" dxfId="2675" priority="1466">
      <formula>BJ109&lt;BL109*#REF!</formula>
    </cfRule>
  </conditionalFormatting>
  <conditionalFormatting sqref="BJ111:BJ112">
    <cfRule type="expression" dxfId="2674" priority="2057">
      <formula>BJ111&gt;BL111*#REF!</formula>
    </cfRule>
    <cfRule type="expression" dxfId="2673" priority="2056">
      <formula>BJ111&lt;BL111*#REF!</formula>
    </cfRule>
  </conditionalFormatting>
  <conditionalFormatting sqref="BJ113:BJ125">
    <cfRule type="expression" dxfId="2672" priority="725">
      <formula>BJ113&gt;BL113</formula>
    </cfRule>
    <cfRule type="expression" dxfId="2671" priority="726">
      <formula>BJ113&lt;BL113</formula>
    </cfRule>
  </conditionalFormatting>
  <conditionalFormatting sqref="BJ126">
    <cfRule type="expression" dxfId="2670" priority="2054">
      <formula>BJ126&lt;BL126*#REF!</formula>
    </cfRule>
    <cfRule type="expression" dxfId="2669" priority="2055">
      <formula>BJ126&gt;BL126*#REF!</formula>
    </cfRule>
  </conditionalFormatting>
  <conditionalFormatting sqref="BJ128:BJ129">
    <cfRule type="expression" dxfId="2668" priority="2015">
      <formula>BJ128&gt;BL128*#REF!</formula>
    </cfRule>
    <cfRule type="expression" dxfId="2667" priority="2014">
      <formula>BJ128&lt;BL128*#REF!</formula>
    </cfRule>
  </conditionalFormatting>
  <conditionalFormatting sqref="BJ130:BJ142">
    <cfRule type="expression" dxfId="2666" priority="711">
      <formula>BJ130&gt;BL130</formula>
    </cfRule>
    <cfRule type="expression" dxfId="2665" priority="712">
      <formula>BJ130&lt;BL130</formula>
    </cfRule>
  </conditionalFormatting>
  <conditionalFormatting sqref="BJ143">
    <cfRule type="expression" dxfId="2664" priority="2012">
      <formula>BJ143&lt;BL143*#REF!</formula>
    </cfRule>
    <cfRule type="expression" dxfId="2663" priority="2013">
      <formula>BJ143&gt;BL143*#REF!</formula>
    </cfRule>
  </conditionalFormatting>
  <conditionalFormatting sqref="BJ145:BJ146">
    <cfRule type="expression" dxfId="2662" priority="1972">
      <formula>BJ145&lt;BL145*#REF!</formula>
    </cfRule>
    <cfRule type="expression" dxfId="2661" priority="1973">
      <formula>BJ145&gt;BL145*#REF!</formula>
    </cfRule>
  </conditionalFormatting>
  <conditionalFormatting sqref="BJ147:BJ159">
    <cfRule type="expression" dxfId="2660" priority="710">
      <formula>BJ147&lt;BL147</formula>
    </cfRule>
    <cfRule type="expression" dxfId="2659" priority="709">
      <formula>BJ147&gt;BL147</formula>
    </cfRule>
  </conditionalFormatting>
  <conditionalFormatting sqref="BJ160">
    <cfRule type="expression" dxfId="2658" priority="1971">
      <formula>BJ160&gt;BL160*#REF!</formula>
    </cfRule>
    <cfRule type="expression" dxfId="2657" priority="1970">
      <formula>BJ160&lt;BL160*#REF!</formula>
    </cfRule>
  </conditionalFormatting>
  <conditionalFormatting sqref="BJ162:BJ163">
    <cfRule type="expression" dxfId="2656" priority="1931">
      <formula>BJ162&gt;BL162*#REF!</formula>
    </cfRule>
    <cfRule type="expression" dxfId="2655" priority="1930">
      <formula>BJ162&lt;BL162*#REF!</formula>
    </cfRule>
  </conditionalFormatting>
  <conditionalFormatting sqref="BJ164:BJ176">
    <cfRule type="expression" dxfId="2654" priority="695">
      <formula>BJ164&gt;BL164</formula>
    </cfRule>
    <cfRule type="expression" dxfId="2653" priority="696">
      <formula>BJ164&lt;BL164</formula>
    </cfRule>
  </conditionalFormatting>
  <conditionalFormatting sqref="BJ177">
    <cfRule type="expression" dxfId="2652" priority="1929">
      <formula>BJ177&gt;BL177*#REF!</formula>
    </cfRule>
    <cfRule type="expression" dxfId="2651" priority="1928">
      <formula>BJ177&lt;BL177*#REF!</formula>
    </cfRule>
  </conditionalFormatting>
  <conditionalFormatting sqref="BJ179:BJ180">
    <cfRule type="expression" dxfId="2650" priority="1888">
      <formula>BJ179&lt;BL179*#REF!</formula>
    </cfRule>
    <cfRule type="expression" dxfId="2649" priority="1889">
      <formula>BJ179&gt;BL179*#REF!</formula>
    </cfRule>
  </conditionalFormatting>
  <conditionalFormatting sqref="BJ181:BJ193">
    <cfRule type="expression" dxfId="2648" priority="687">
      <formula>BJ181&gt;BL181</formula>
    </cfRule>
    <cfRule type="expression" dxfId="2647" priority="688">
      <formula>BJ181&lt;BL181</formula>
    </cfRule>
  </conditionalFormatting>
  <conditionalFormatting sqref="BJ194">
    <cfRule type="expression" dxfId="2646" priority="1886">
      <formula>BJ194&lt;BL194*#REF!</formula>
    </cfRule>
    <cfRule type="expression" dxfId="2645" priority="1887">
      <formula>BJ194&gt;BL194*#REF!</formula>
    </cfRule>
  </conditionalFormatting>
  <conditionalFormatting sqref="BJ196:BJ197">
    <cfRule type="expression" dxfId="2644" priority="1846">
      <formula>BJ196&lt;BL196*#REF!</formula>
    </cfRule>
    <cfRule type="expression" dxfId="2643" priority="1847">
      <formula>BJ196&gt;BL196*#REF!</formula>
    </cfRule>
  </conditionalFormatting>
  <conditionalFormatting sqref="BJ198:BJ210">
    <cfRule type="expression" dxfId="2642" priority="680">
      <formula>BJ198&lt;BL198</formula>
    </cfRule>
    <cfRule type="expression" dxfId="2641" priority="679">
      <formula>BJ198&gt;BL198</formula>
    </cfRule>
  </conditionalFormatting>
  <conditionalFormatting sqref="BJ211">
    <cfRule type="expression" dxfId="2640" priority="1845">
      <formula>BJ211&gt;BL211*#REF!</formula>
    </cfRule>
    <cfRule type="expression" dxfId="2639" priority="1844">
      <formula>BJ211&lt;BL211*#REF!</formula>
    </cfRule>
  </conditionalFormatting>
  <conditionalFormatting sqref="BJ213:BJ214">
    <cfRule type="expression" dxfId="2638" priority="1804">
      <formula>BJ213&lt;BL213*#REF!</formula>
    </cfRule>
    <cfRule type="expression" dxfId="2637" priority="1805">
      <formula>BJ213&gt;BL213*#REF!</formula>
    </cfRule>
  </conditionalFormatting>
  <conditionalFormatting sqref="BJ215:BJ227">
    <cfRule type="expression" dxfId="2636" priority="678">
      <formula>BJ215&lt;BL215</formula>
    </cfRule>
    <cfRule type="expression" dxfId="2635" priority="677">
      <formula>BJ215&gt;BL215</formula>
    </cfRule>
  </conditionalFormatting>
  <conditionalFormatting sqref="BJ228">
    <cfRule type="expression" dxfId="2634" priority="1802">
      <formula>BJ228&lt;BL228*#REF!</formula>
    </cfRule>
    <cfRule type="expression" dxfId="2633" priority="1803">
      <formula>BJ228&gt;BL228*#REF!</formula>
    </cfRule>
  </conditionalFormatting>
  <conditionalFormatting sqref="BJ230:BJ231">
    <cfRule type="expression" dxfId="2632" priority="1763">
      <formula>BJ230&gt;BL230*#REF!</formula>
    </cfRule>
    <cfRule type="expression" dxfId="2631" priority="1762">
      <formula>BJ230&lt;BL230*#REF!</formula>
    </cfRule>
  </conditionalFormatting>
  <conditionalFormatting sqref="BJ232:BJ244">
    <cfRule type="expression" dxfId="2630" priority="663">
      <formula>BJ232&gt;BL232</formula>
    </cfRule>
    <cfRule type="expression" dxfId="2629" priority="664">
      <formula>BJ232&lt;BL232</formula>
    </cfRule>
  </conditionalFormatting>
  <conditionalFormatting sqref="BJ245">
    <cfRule type="expression" dxfId="2628" priority="1761">
      <formula>BJ245&gt;BL245*#REF!</formula>
    </cfRule>
    <cfRule type="expression" dxfId="2627" priority="1760">
      <formula>BJ245&lt;BL245*#REF!</formula>
    </cfRule>
  </conditionalFormatting>
  <conditionalFormatting sqref="BJ264:BJ265">
    <cfRule type="expression" dxfId="2626" priority="1679">
      <formula>BJ264&gt;BL264*#REF!</formula>
    </cfRule>
    <cfRule type="expression" dxfId="2625" priority="1678">
      <formula>BJ264&lt;BL264*#REF!</formula>
    </cfRule>
  </conditionalFormatting>
  <conditionalFormatting sqref="BJ266:BJ278">
    <cfRule type="expression" dxfId="2624" priority="661">
      <formula>BJ266&gt;BL266</formula>
    </cfRule>
    <cfRule type="expression" dxfId="2623" priority="662">
      <formula>BJ266&lt;BL266</formula>
    </cfRule>
  </conditionalFormatting>
  <conditionalFormatting sqref="BJ279">
    <cfRule type="expression" dxfId="2622" priority="1676">
      <formula>BJ279&lt;BL279*#REF!</formula>
    </cfRule>
    <cfRule type="expression" dxfId="2621" priority="1677">
      <formula>BJ279&gt;BL279*#REF!</formula>
    </cfRule>
  </conditionalFormatting>
  <conditionalFormatting sqref="BJ281:BJ282">
    <cfRule type="expression" dxfId="2620" priority="1637">
      <formula>BJ281&gt;BL281*#REF!</formula>
    </cfRule>
    <cfRule type="expression" dxfId="2619" priority="1636">
      <formula>BJ281&lt;BL281*#REF!</formula>
    </cfRule>
  </conditionalFormatting>
  <conditionalFormatting sqref="BJ283:BJ295">
    <cfRule type="expression" dxfId="2618" priority="651">
      <formula>BJ283&gt;BL283</formula>
    </cfRule>
    <cfRule type="expression" dxfId="2617" priority="652">
      <formula>BJ283&lt;BL283</formula>
    </cfRule>
  </conditionalFormatting>
  <conditionalFormatting sqref="BJ296">
    <cfRule type="expression" dxfId="2616" priority="1634">
      <formula>BJ296&lt;BL296*#REF!</formula>
    </cfRule>
    <cfRule type="expression" dxfId="2615" priority="1635">
      <formula>BJ296&gt;BL296*#REF!</formula>
    </cfRule>
  </conditionalFormatting>
  <conditionalFormatting sqref="BJ298:BJ299">
    <cfRule type="expression" dxfId="2614" priority="1595">
      <formula>BJ298&gt;BL298*#REF!</formula>
    </cfRule>
    <cfRule type="expression" dxfId="2613" priority="1594">
      <formula>BJ298&lt;BL298*#REF!</formula>
    </cfRule>
  </conditionalFormatting>
  <conditionalFormatting sqref="BJ300:BJ312">
    <cfRule type="expression" dxfId="2612" priority="649">
      <formula>BJ300&gt;BL300</formula>
    </cfRule>
    <cfRule type="expression" dxfId="2611" priority="650">
      <formula>BJ300&lt;BL300</formula>
    </cfRule>
  </conditionalFormatting>
  <conditionalFormatting sqref="BJ313">
    <cfRule type="expression" dxfId="2610" priority="1593">
      <formula>BJ313&gt;BL313*#REF!</formula>
    </cfRule>
    <cfRule type="expression" dxfId="2609" priority="1592">
      <formula>BJ313&lt;BL313*#REF!</formula>
    </cfRule>
  </conditionalFormatting>
  <conditionalFormatting sqref="BJ315:BJ316">
    <cfRule type="expression" dxfId="2608" priority="1553">
      <formula>BJ315&gt;BL315*#REF!</formula>
    </cfRule>
    <cfRule type="expression" dxfId="2607" priority="1552">
      <formula>BJ315&lt;BL315*#REF!</formula>
    </cfRule>
  </conditionalFormatting>
  <conditionalFormatting sqref="BJ317:BJ329">
    <cfRule type="expression" dxfId="2606" priority="638">
      <formula>BJ317&lt;BL317</formula>
    </cfRule>
    <cfRule type="expression" dxfId="2605" priority="637">
      <formula>BJ317&gt;BL317</formula>
    </cfRule>
  </conditionalFormatting>
  <conditionalFormatting sqref="BJ330">
    <cfRule type="expression" dxfId="2604" priority="1551">
      <formula>BJ330&gt;BL330*#REF!</formula>
    </cfRule>
    <cfRule type="expression" dxfId="2603" priority="1550">
      <formula>BJ330&lt;BL330*#REF!</formula>
    </cfRule>
  </conditionalFormatting>
  <conditionalFormatting sqref="BJ247:BL248">
    <cfRule type="expression" dxfId="2602" priority="100">
      <formula>BJ247&lt;BL247*#REF!</formula>
    </cfRule>
    <cfRule type="expression" dxfId="2601" priority="101">
      <formula>BJ247&gt;BL247*#REF!</formula>
    </cfRule>
  </conditionalFormatting>
  <conditionalFormatting sqref="BJ249:BL251">
    <cfRule type="expression" dxfId="2600" priority="104">
      <formula>BJ249&lt;BL249-#REF!</formula>
    </cfRule>
  </conditionalFormatting>
  <conditionalFormatting sqref="BJ249:BL261">
    <cfRule type="expression" dxfId="2599" priority="80">
      <formula>BJ249&gt;BL249+#REF!</formula>
    </cfRule>
  </conditionalFormatting>
  <conditionalFormatting sqref="BJ262:BL262">
    <cfRule type="expression" dxfId="2598" priority="99">
      <formula>BJ262&gt;BL262*#REF!</formula>
    </cfRule>
  </conditionalFormatting>
  <conditionalFormatting sqref="BK253:BL254">
    <cfRule type="expression" dxfId="2597" priority="84">
      <formula>BK253&lt;BM253-#REF!</formula>
    </cfRule>
  </conditionalFormatting>
  <conditionalFormatting sqref="BK257:BL261">
    <cfRule type="expression" dxfId="2596" priority="82">
      <formula>BK257&lt;BM257-#REF!</formula>
    </cfRule>
  </conditionalFormatting>
  <conditionalFormatting sqref="BN9:BN10">
    <cfRule type="expression" dxfId="2595" priority="2202">
      <formula>BN9&lt;BP9*#REF!</formula>
    </cfRule>
    <cfRule type="expression" dxfId="2594" priority="2203">
      <formula>BN9&gt;BP9*#REF!</formula>
    </cfRule>
  </conditionalFormatting>
  <conditionalFormatting sqref="BN11:BN23">
    <cfRule type="expression" dxfId="2593" priority="635">
      <formula>BN11&gt;BP11</formula>
    </cfRule>
    <cfRule type="expression" dxfId="2592" priority="636">
      <formula>BN11&lt;BP11</formula>
    </cfRule>
  </conditionalFormatting>
  <conditionalFormatting sqref="BN24">
    <cfRule type="expression" dxfId="2591" priority="2200">
      <formula>BN24&lt;BP24*#REF!</formula>
    </cfRule>
    <cfRule type="expression" dxfId="2590" priority="2201">
      <formula>BN24&gt;BP24*#REF!</formula>
    </cfRule>
  </conditionalFormatting>
  <conditionalFormatting sqref="BN26:BN27">
    <cfRule type="expression" dxfId="2589" priority="2163">
      <formula>BN26&gt;BP26*#REF!</formula>
    </cfRule>
    <cfRule type="expression" dxfId="2588" priority="2162">
      <formula>BN26&lt;BP26*#REF!</formula>
    </cfRule>
  </conditionalFormatting>
  <conditionalFormatting sqref="BN28:BN40">
    <cfRule type="expression" dxfId="2587" priority="629">
      <formula>BN28&gt;BP28</formula>
    </cfRule>
    <cfRule type="expression" dxfId="2586" priority="630">
      <formula>BN28&lt;BP28</formula>
    </cfRule>
  </conditionalFormatting>
  <conditionalFormatting sqref="BN41">
    <cfRule type="expression" dxfId="2585" priority="2161">
      <formula>BN41&gt;BP41*#REF!</formula>
    </cfRule>
    <cfRule type="expression" dxfId="2584" priority="2160">
      <formula>BN41&lt;BP41*#REF!</formula>
    </cfRule>
  </conditionalFormatting>
  <conditionalFormatting sqref="BN43:BN44">
    <cfRule type="expression" dxfId="2583" priority="2122">
      <formula>BN43&lt;BP43*#REF!</formula>
    </cfRule>
    <cfRule type="expression" dxfId="2582" priority="2123">
      <formula>BN43&gt;BP43*#REF!</formula>
    </cfRule>
  </conditionalFormatting>
  <conditionalFormatting sqref="BN45:BN57">
    <cfRule type="expression" dxfId="2581" priority="627">
      <formula>BN45&gt;BP45</formula>
    </cfRule>
    <cfRule type="expression" dxfId="2580" priority="628">
      <formula>BN45&lt;BP45</formula>
    </cfRule>
  </conditionalFormatting>
  <conditionalFormatting sqref="BN58">
    <cfRule type="expression" dxfId="2579" priority="2121">
      <formula>BN58&gt;BP58*#REF!</formula>
    </cfRule>
    <cfRule type="expression" dxfId="2578" priority="2120">
      <formula>BN58&lt;BP58*#REF!</formula>
    </cfRule>
  </conditionalFormatting>
  <conditionalFormatting sqref="BN60:BN61">
    <cfRule type="expression" dxfId="2577" priority="2081">
      <formula>BN60&gt;BP60*#REF!</formula>
    </cfRule>
    <cfRule type="expression" dxfId="2576" priority="2080">
      <formula>BN60&lt;BP60*#REF!</formula>
    </cfRule>
  </conditionalFormatting>
  <conditionalFormatting sqref="BN62:BN74">
    <cfRule type="expression" dxfId="2575" priority="621">
      <formula>BN62&gt;BP62</formula>
    </cfRule>
    <cfRule type="expression" dxfId="2574" priority="622">
      <formula>BN62&lt;BP62</formula>
    </cfRule>
  </conditionalFormatting>
  <conditionalFormatting sqref="BN75">
    <cfRule type="expression" dxfId="2573" priority="2078">
      <formula>BN75&lt;BP75*#REF!</formula>
    </cfRule>
    <cfRule type="expression" dxfId="2572" priority="2079">
      <formula>BN75&gt;BP75*#REF!</formula>
    </cfRule>
  </conditionalFormatting>
  <conditionalFormatting sqref="BN77:BN78">
    <cfRule type="expression" dxfId="2571" priority="1492">
      <formula>BN77&lt;BP77*#REF!</formula>
    </cfRule>
    <cfRule type="expression" dxfId="2570" priority="1493">
      <formula>BN77&gt;BP77*#REF!</formula>
    </cfRule>
  </conditionalFormatting>
  <conditionalFormatting sqref="BN79:BN91">
    <cfRule type="expression" dxfId="2569" priority="619">
      <formula>BN79&gt;BP79</formula>
    </cfRule>
    <cfRule type="expression" dxfId="2568" priority="620">
      <formula>BN79&lt;BP79</formula>
    </cfRule>
  </conditionalFormatting>
  <conditionalFormatting sqref="BN92">
    <cfRule type="expression" dxfId="2567" priority="1491">
      <formula>BN92&gt;BP92*#REF!</formula>
    </cfRule>
    <cfRule type="expression" dxfId="2566" priority="1490">
      <formula>BN92&lt;BP92*#REF!</formula>
    </cfRule>
  </conditionalFormatting>
  <conditionalFormatting sqref="BN94:BN95">
    <cfRule type="expression" dxfId="2565" priority="1451">
      <formula>BN94&gt;BP94*#REF!</formula>
    </cfRule>
    <cfRule type="expression" dxfId="2564" priority="1450">
      <formula>BN94&lt;BP94*#REF!</formula>
    </cfRule>
  </conditionalFormatting>
  <conditionalFormatting sqref="BN96:BN108">
    <cfRule type="expression" dxfId="2563" priority="616">
      <formula>BN96&lt;BP96</formula>
    </cfRule>
    <cfRule type="expression" dxfId="2562" priority="615">
      <formula>BN96&gt;BP96</formula>
    </cfRule>
  </conditionalFormatting>
  <conditionalFormatting sqref="BN109">
    <cfRule type="expression" dxfId="2561" priority="1449">
      <formula>BN109&gt;BP109*#REF!</formula>
    </cfRule>
    <cfRule type="expression" dxfId="2560" priority="1448">
      <formula>BN109&lt;BP109*#REF!</formula>
    </cfRule>
  </conditionalFormatting>
  <conditionalFormatting sqref="BN111:BN112">
    <cfRule type="expression" dxfId="2559" priority="2038">
      <formula>BN111&lt;BP111*#REF!</formula>
    </cfRule>
    <cfRule type="expression" dxfId="2558" priority="2039">
      <formula>BN111&gt;BP111*#REF!</formula>
    </cfRule>
  </conditionalFormatting>
  <conditionalFormatting sqref="BN113:BN125">
    <cfRule type="expression" dxfId="2557" priority="610">
      <formula>BN113&lt;BP113</formula>
    </cfRule>
    <cfRule type="expression" dxfId="2556" priority="609">
      <formula>BN113&gt;BP113</formula>
    </cfRule>
  </conditionalFormatting>
  <conditionalFormatting sqref="BN126">
    <cfRule type="expression" dxfId="2555" priority="2036">
      <formula>BN126&lt;BP126*#REF!</formula>
    </cfRule>
    <cfRule type="expression" dxfId="2554" priority="2037">
      <formula>BN126&gt;BP126*#REF!</formula>
    </cfRule>
  </conditionalFormatting>
  <conditionalFormatting sqref="BN128:BN129">
    <cfRule type="expression" dxfId="2553" priority="1997">
      <formula>BN128&gt;BP128*#REF!</formula>
    </cfRule>
    <cfRule type="expression" dxfId="2552" priority="1996">
      <formula>BN128&lt;BP128*#REF!</formula>
    </cfRule>
  </conditionalFormatting>
  <conditionalFormatting sqref="BN130:BN142">
    <cfRule type="expression" dxfId="2551" priority="607">
      <formula>BN130&gt;BP130</formula>
    </cfRule>
    <cfRule type="expression" dxfId="2550" priority="608">
      <formula>BN130&lt;BP130</formula>
    </cfRule>
  </conditionalFormatting>
  <conditionalFormatting sqref="BN143">
    <cfRule type="expression" dxfId="2549" priority="1995">
      <formula>BN143&gt;BP143*#REF!</formula>
    </cfRule>
    <cfRule type="expression" dxfId="2548" priority="1994">
      <formula>BN143&lt;BP143*#REF!</formula>
    </cfRule>
  </conditionalFormatting>
  <conditionalFormatting sqref="BN145:BN146">
    <cfRule type="expression" dxfId="2547" priority="1955">
      <formula>BN145&gt;BP145*#REF!</formula>
    </cfRule>
    <cfRule type="expression" dxfId="2546" priority="1954">
      <formula>BN145&lt;BP145*#REF!</formula>
    </cfRule>
  </conditionalFormatting>
  <conditionalFormatting sqref="BN147:BN159">
    <cfRule type="expression" dxfId="2545" priority="602">
      <formula>BN147&lt;BP147</formula>
    </cfRule>
    <cfRule type="expression" dxfId="2544" priority="601">
      <formula>BN147&gt;BP147</formula>
    </cfRule>
  </conditionalFormatting>
  <conditionalFormatting sqref="BN160">
    <cfRule type="expression" dxfId="2543" priority="1952">
      <formula>BN160&lt;BP160*#REF!</formula>
    </cfRule>
    <cfRule type="expression" dxfId="2542" priority="1953">
      <formula>BN160&gt;BP160*#REF!</formula>
    </cfRule>
  </conditionalFormatting>
  <conditionalFormatting sqref="BN162:BN163">
    <cfRule type="expression" dxfId="2541" priority="1912">
      <formula>BN162&lt;BP162*#REF!</formula>
    </cfRule>
    <cfRule type="expression" dxfId="2540" priority="1913">
      <formula>BN162&gt;BP162*#REF!</formula>
    </cfRule>
  </conditionalFormatting>
  <conditionalFormatting sqref="BN164:BN176">
    <cfRule type="expression" dxfId="2539" priority="600">
      <formula>BN164&lt;BP164</formula>
    </cfRule>
    <cfRule type="expression" dxfId="2538" priority="599">
      <formula>BN164&gt;BP164</formula>
    </cfRule>
  </conditionalFormatting>
  <conditionalFormatting sqref="BN177">
    <cfRule type="expression" dxfId="2537" priority="1911">
      <formula>BN177&gt;BP177*#REF!</formula>
    </cfRule>
    <cfRule type="expression" dxfId="2536" priority="1910">
      <formula>BN177&lt;BP177*#REF!</formula>
    </cfRule>
  </conditionalFormatting>
  <conditionalFormatting sqref="BN179:BN180">
    <cfRule type="expression" dxfId="2535" priority="1870">
      <formula>BN179&lt;BP179*#REF!</formula>
    </cfRule>
    <cfRule type="expression" dxfId="2534" priority="1871">
      <formula>BN179&gt;BP179*#REF!</formula>
    </cfRule>
  </conditionalFormatting>
  <conditionalFormatting sqref="BN181:BN193">
    <cfRule type="expression" dxfId="2533" priority="593">
      <formula>BN181&gt;BP181</formula>
    </cfRule>
    <cfRule type="expression" dxfId="2532" priority="594">
      <formula>BN181&lt;BP181</formula>
    </cfRule>
  </conditionalFormatting>
  <conditionalFormatting sqref="BN194">
    <cfRule type="expression" dxfId="2531" priority="1868">
      <formula>BN194&lt;BP194*#REF!</formula>
    </cfRule>
    <cfRule type="expression" dxfId="2530" priority="1869">
      <formula>BN194&gt;BP194*#REF!</formula>
    </cfRule>
  </conditionalFormatting>
  <conditionalFormatting sqref="BN196:BN197">
    <cfRule type="expression" dxfId="2529" priority="1829">
      <formula>BN196&gt;BP196*#REF!</formula>
    </cfRule>
    <cfRule type="expression" dxfId="2528" priority="1828">
      <formula>BN196&lt;BP196*#REF!</formula>
    </cfRule>
  </conditionalFormatting>
  <conditionalFormatting sqref="BN198:BN210">
    <cfRule type="expression" dxfId="2527" priority="591">
      <formula>BN198&gt;BP198</formula>
    </cfRule>
    <cfRule type="expression" dxfId="2526" priority="592">
      <formula>BN198&lt;BP198</formula>
    </cfRule>
  </conditionalFormatting>
  <conditionalFormatting sqref="BN211">
    <cfRule type="expression" dxfId="2525" priority="1827">
      <formula>BN211&gt;BP211*#REF!</formula>
    </cfRule>
    <cfRule type="expression" dxfId="2524" priority="1826">
      <formula>BN211&lt;BP211*#REF!</formula>
    </cfRule>
  </conditionalFormatting>
  <conditionalFormatting sqref="BN213:BN214">
    <cfRule type="expression" dxfId="2523" priority="1787">
      <formula>BN213&gt;BP213*#REF!</formula>
    </cfRule>
    <cfRule type="expression" dxfId="2522" priority="1786">
      <formula>BN213&lt;BP213*#REF!</formula>
    </cfRule>
  </conditionalFormatting>
  <conditionalFormatting sqref="BN215:BN227">
    <cfRule type="expression" dxfId="2521" priority="586">
      <formula>BN215&lt;BP215</formula>
    </cfRule>
    <cfRule type="expression" dxfId="2520" priority="585">
      <formula>BN215&gt;BP215</formula>
    </cfRule>
  </conditionalFormatting>
  <conditionalFormatting sqref="BN228">
    <cfRule type="expression" dxfId="2519" priority="1785">
      <formula>BN228&gt;BP228*#REF!</formula>
    </cfRule>
    <cfRule type="expression" dxfId="2518" priority="1784">
      <formula>BN228&lt;BP228*#REF!</formula>
    </cfRule>
  </conditionalFormatting>
  <conditionalFormatting sqref="BN230:BN231">
    <cfRule type="expression" dxfId="2517" priority="1745">
      <formula>BN230&gt;BP230*#REF!</formula>
    </cfRule>
    <cfRule type="expression" dxfId="2516" priority="1744">
      <formula>BN230&lt;BP230*#REF!</formula>
    </cfRule>
  </conditionalFormatting>
  <conditionalFormatting sqref="BN232:BN244">
    <cfRule type="expression" dxfId="2515" priority="584">
      <formula>BN232&lt;BP232</formula>
    </cfRule>
    <cfRule type="expression" dxfId="2514" priority="583">
      <formula>BN232&gt;BP232</formula>
    </cfRule>
  </conditionalFormatting>
  <conditionalFormatting sqref="BN245">
    <cfRule type="expression" dxfId="2513" priority="1743">
      <formula>BN245&gt;BP245*#REF!</formula>
    </cfRule>
    <cfRule type="expression" dxfId="2512" priority="1742">
      <formula>BN245&lt;BP245*#REF!</formula>
    </cfRule>
  </conditionalFormatting>
  <conditionalFormatting sqref="BN247:BN248">
    <cfRule type="expression" dxfId="2511" priority="1702">
      <formula>BN247&lt;BP247*#REF!</formula>
    </cfRule>
    <cfRule type="expression" dxfId="2510" priority="1703">
      <formula>BN247&gt;BP247*#REF!</formula>
    </cfRule>
  </conditionalFormatting>
  <conditionalFormatting sqref="BN249:BN261">
    <cfRule type="expression" dxfId="2509" priority="1682">
      <formula>BN249&gt;BP249+#REF!</formula>
    </cfRule>
    <cfRule type="expression" dxfId="2508" priority="1683">
      <formula>BN249&lt;BP249-#REF!</formula>
    </cfRule>
  </conditionalFormatting>
  <conditionalFormatting sqref="BN262">
    <cfRule type="expression" dxfId="2507" priority="1700">
      <formula>BN262&lt;BP262*#REF!</formula>
    </cfRule>
    <cfRule type="expression" dxfId="2506" priority="1701">
      <formula>BN262&gt;BP262*#REF!</formula>
    </cfRule>
  </conditionalFormatting>
  <conditionalFormatting sqref="BN264:BN265">
    <cfRule type="expression" dxfId="2505" priority="1661">
      <formula>BN264&gt;BP264*#REF!</formula>
    </cfRule>
    <cfRule type="expression" dxfId="2504" priority="1660">
      <formula>BN264&lt;BP264*#REF!</formula>
    </cfRule>
  </conditionalFormatting>
  <conditionalFormatting sqref="BN266:BN278">
    <cfRule type="expression" dxfId="2503" priority="575">
      <formula>BN266&gt;BP266</formula>
    </cfRule>
    <cfRule type="expression" dxfId="2502" priority="576">
      <formula>BN266&lt;BP266</formula>
    </cfRule>
  </conditionalFormatting>
  <conditionalFormatting sqref="BN279">
    <cfRule type="expression" dxfId="2501" priority="1659">
      <formula>BN279&gt;BP279*#REF!</formula>
    </cfRule>
    <cfRule type="expression" dxfId="2500" priority="1658">
      <formula>BN279&lt;BP279*#REF!</formula>
    </cfRule>
  </conditionalFormatting>
  <conditionalFormatting sqref="BN281:BN282">
    <cfRule type="expression" dxfId="2499" priority="1618">
      <formula>BN281&lt;BP281*#REF!</formula>
    </cfRule>
    <cfRule type="expression" dxfId="2498" priority="1619">
      <formula>BN281&gt;BP281*#REF!</formula>
    </cfRule>
  </conditionalFormatting>
  <conditionalFormatting sqref="BN283:BN295">
    <cfRule type="expression" dxfId="2497" priority="573">
      <formula>BN283&gt;BP283</formula>
    </cfRule>
    <cfRule type="expression" dxfId="2496" priority="574">
      <formula>BN283&lt;BP283</formula>
    </cfRule>
  </conditionalFormatting>
  <conditionalFormatting sqref="BN296">
    <cfRule type="expression" dxfId="2495" priority="1617">
      <formula>BN296&gt;BP296*#REF!</formula>
    </cfRule>
    <cfRule type="expression" dxfId="2494" priority="1616">
      <formula>BN296&lt;BP296*#REF!</formula>
    </cfRule>
  </conditionalFormatting>
  <conditionalFormatting sqref="BN298:BN299">
    <cfRule type="expression" dxfId="2493" priority="1576">
      <formula>BN298&lt;BP298*#REF!</formula>
    </cfRule>
    <cfRule type="expression" dxfId="2492" priority="1577">
      <formula>BN298&gt;BP298*#REF!</formula>
    </cfRule>
  </conditionalFormatting>
  <conditionalFormatting sqref="BN300:BN312">
    <cfRule type="expression" dxfId="2491" priority="570">
      <formula>BN300&lt;BP300</formula>
    </cfRule>
    <cfRule type="expression" dxfId="2490" priority="569">
      <formula>BN300&gt;BP300</formula>
    </cfRule>
  </conditionalFormatting>
  <conditionalFormatting sqref="BN313">
    <cfRule type="expression" dxfId="2489" priority="1575">
      <formula>BN313&gt;BP313*#REF!</formula>
    </cfRule>
    <cfRule type="expression" dxfId="2488" priority="1574">
      <formula>BN313&lt;BP313*#REF!</formula>
    </cfRule>
  </conditionalFormatting>
  <conditionalFormatting sqref="BN315:BN316">
    <cfRule type="expression" dxfId="2487" priority="1535">
      <formula>BN315&gt;BP315*#REF!</formula>
    </cfRule>
    <cfRule type="expression" dxfId="2486" priority="1534">
      <formula>BN315&lt;BP315*#REF!</formula>
    </cfRule>
  </conditionalFormatting>
  <conditionalFormatting sqref="BN317:BN329">
    <cfRule type="expression" dxfId="2485" priority="566">
      <formula>BN317&lt;BP317</formula>
    </cfRule>
    <cfRule type="expression" dxfId="2484" priority="565">
      <formula>BN317&gt;BP317</formula>
    </cfRule>
  </conditionalFormatting>
  <conditionalFormatting sqref="BN330">
    <cfRule type="expression" dxfId="2483" priority="1532">
      <formula>BN330&lt;BP330*#REF!</formula>
    </cfRule>
    <cfRule type="expression" dxfId="2482" priority="1533">
      <formula>BN330&gt;BP330*#REF!</formula>
    </cfRule>
  </conditionalFormatting>
  <conditionalFormatting sqref="BR9:BR10">
    <cfRule type="expression" dxfId="2481" priority="1427">
      <formula>BR9&lt;BT9*#REF!</formula>
    </cfRule>
    <cfRule type="expression" dxfId="2480" priority="1428">
      <formula>BR9&gt;BT9*#REF!</formula>
    </cfRule>
  </conditionalFormatting>
  <conditionalFormatting sqref="BR11:BR23">
    <cfRule type="expression" dxfId="2479" priority="633">
      <formula>BR11&gt;BT11</formula>
    </cfRule>
    <cfRule type="expression" dxfId="2478" priority="634">
      <formula>BR11&lt;BT11</formula>
    </cfRule>
  </conditionalFormatting>
  <conditionalFormatting sqref="BR24">
    <cfRule type="expression" dxfId="2477" priority="1425">
      <formula>BR24&lt;BT24*#REF!</formula>
    </cfRule>
    <cfRule type="expression" dxfId="2476" priority="1426">
      <formula>BR24&gt;BT24*#REF!</formula>
    </cfRule>
  </conditionalFormatting>
  <conditionalFormatting sqref="BR26:BR27">
    <cfRule type="expression" dxfId="2475" priority="1405">
      <formula>BR26&gt;BT26*#REF!</formula>
    </cfRule>
    <cfRule type="expression" dxfId="2474" priority="1404">
      <formula>BR26&lt;BT26*#REF!</formula>
    </cfRule>
  </conditionalFormatting>
  <conditionalFormatting sqref="BR28:BR40">
    <cfRule type="expression" dxfId="2473" priority="632">
      <formula>BR28&lt;BT28</formula>
    </cfRule>
    <cfRule type="expression" dxfId="2472" priority="631">
      <formula>BR28&gt;BT28</formula>
    </cfRule>
  </conditionalFormatting>
  <conditionalFormatting sqref="BR41">
    <cfRule type="expression" dxfId="2471" priority="1402">
      <formula>BR41&lt;BT41*#REF!</formula>
    </cfRule>
    <cfRule type="expression" dxfId="2470" priority="1403">
      <formula>BR41&gt;BT41*#REF!</formula>
    </cfRule>
  </conditionalFormatting>
  <conditionalFormatting sqref="BR43:BR44">
    <cfRule type="expression" dxfId="2469" priority="1381">
      <formula>BR43&lt;BT43*#REF!</formula>
    </cfRule>
    <cfRule type="expression" dxfId="2468" priority="1382">
      <formula>BR43&gt;BT43*#REF!</formula>
    </cfRule>
  </conditionalFormatting>
  <conditionalFormatting sqref="BR45:BR57">
    <cfRule type="expression" dxfId="2467" priority="625">
      <formula>BR45&gt;BT45</formula>
    </cfRule>
    <cfRule type="expression" dxfId="2466" priority="626">
      <formula>BR45&lt;BT45</formula>
    </cfRule>
  </conditionalFormatting>
  <conditionalFormatting sqref="BR58">
    <cfRule type="expression" dxfId="2465" priority="1379">
      <formula>BR58&lt;BT58*#REF!</formula>
    </cfRule>
    <cfRule type="expression" dxfId="2464" priority="1380">
      <formula>BR58&gt;BT58*#REF!</formula>
    </cfRule>
  </conditionalFormatting>
  <conditionalFormatting sqref="BR60:BR61">
    <cfRule type="expression" dxfId="2463" priority="1358">
      <formula>BR60&lt;BT60*#REF!</formula>
    </cfRule>
    <cfRule type="expression" dxfId="2462" priority="1359">
      <formula>BR60&gt;BT60*#REF!</formula>
    </cfRule>
  </conditionalFormatting>
  <conditionalFormatting sqref="BR62:BR74">
    <cfRule type="expression" dxfId="2461" priority="624">
      <formula>BR62&lt;BT62</formula>
    </cfRule>
    <cfRule type="expression" dxfId="2460" priority="623">
      <formula>BR62&gt;BT62</formula>
    </cfRule>
  </conditionalFormatting>
  <conditionalFormatting sqref="BR75">
    <cfRule type="expression" dxfId="2459" priority="1357">
      <formula>BR75&gt;BT75*#REF!</formula>
    </cfRule>
    <cfRule type="expression" dxfId="2458" priority="1356">
      <formula>BR75&lt;BT75*#REF!</formula>
    </cfRule>
  </conditionalFormatting>
  <conditionalFormatting sqref="BR77:BR78">
    <cfRule type="expression" dxfId="2457" priority="1036">
      <formula>BR77&lt;BT77*#REF!</formula>
    </cfRule>
    <cfRule type="expression" dxfId="2456" priority="1037">
      <formula>BR77&gt;BT77*#REF!</formula>
    </cfRule>
  </conditionalFormatting>
  <conditionalFormatting sqref="BR79:BR91">
    <cfRule type="expression" dxfId="2455" priority="618">
      <formula>BR79&lt;BT79</formula>
    </cfRule>
    <cfRule type="expression" dxfId="2454" priority="617">
      <formula>BR79&gt;BT79</formula>
    </cfRule>
  </conditionalFormatting>
  <conditionalFormatting sqref="BR92">
    <cfRule type="expression" dxfId="2453" priority="1035">
      <formula>BR92&gt;BT92*#REF!</formula>
    </cfRule>
    <cfRule type="expression" dxfId="2452" priority="1034">
      <formula>BR92&lt;BT92*#REF!</formula>
    </cfRule>
  </conditionalFormatting>
  <conditionalFormatting sqref="BR94:BR95">
    <cfRule type="expression" dxfId="2451" priority="1013">
      <formula>BR94&lt;BT94*#REF!</formula>
    </cfRule>
    <cfRule type="expression" dxfId="2450" priority="1014">
      <formula>BR94&gt;BT94*#REF!</formula>
    </cfRule>
  </conditionalFormatting>
  <conditionalFormatting sqref="BR96:BR108">
    <cfRule type="expression" dxfId="2449" priority="614">
      <formula>BR96&lt;BT96</formula>
    </cfRule>
    <cfRule type="expression" dxfId="2448" priority="613">
      <formula>BR96&gt;BT96</formula>
    </cfRule>
  </conditionalFormatting>
  <conditionalFormatting sqref="BR109">
    <cfRule type="expression" dxfId="2447" priority="1011">
      <formula>BR109&lt;BT109*#REF!</formula>
    </cfRule>
    <cfRule type="expression" dxfId="2446" priority="1012">
      <formula>BR109&gt;BT109*#REF!</formula>
    </cfRule>
  </conditionalFormatting>
  <conditionalFormatting sqref="BR111:BR112">
    <cfRule type="expression" dxfId="2445" priority="1335">
      <formula>BR111&lt;BT111*#REF!</formula>
    </cfRule>
    <cfRule type="expression" dxfId="2444" priority="1336">
      <formula>BR111&gt;BT111*#REF!</formula>
    </cfRule>
  </conditionalFormatting>
  <conditionalFormatting sqref="BR113:BR125">
    <cfRule type="expression" dxfId="2443" priority="612">
      <formula>BR113&lt;BT113</formula>
    </cfRule>
    <cfRule type="expression" dxfId="2442" priority="611">
      <formula>BR113&gt;BT113</formula>
    </cfRule>
  </conditionalFormatting>
  <conditionalFormatting sqref="BR126">
    <cfRule type="expression" dxfId="2441" priority="1333">
      <formula>BR126&lt;BT126*#REF!</formula>
    </cfRule>
    <cfRule type="expression" dxfId="2440" priority="1334">
      <formula>BR126&gt;BT126*#REF!</formula>
    </cfRule>
  </conditionalFormatting>
  <conditionalFormatting sqref="BR128:BR129">
    <cfRule type="expression" dxfId="2439" priority="1312">
      <formula>BR128&lt;BT128*#REF!</formula>
    </cfRule>
    <cfRule type="expression" dxfId="2438" priority="1313">
      <formula>BR128&gt;BT128*#REF!</formula>
    </cfRule>
  </conditionalFormatting>
  <conditionalFormatting sqref="BR130:BR142">
    <cfRule type="expression" dxfId="2437" priority="606">
      <formula>BR130&lt;BT130</formula>
    </cfRule>
    <cfRule type="expression" dxfId="2436" priority="605">
      <formula>BR130&gt;BT130</formula>
    </cfRule>
  </conditionalFormatting>
  <conditionalFormatting sqref="BR143">
    <cfRule type="expression" dxfId="2435" priority="1311">
      <formula>BR143&gt;BT143*#REF!</formula>
    </cfRule>
    <cfRule type="expression" dxfId="2434" priority="1310">
      <formula>BR143&lt;BT143*#REF!</formula>
    </cfRule>
  </conditionalFormatting>
  <conditionalFormatting sqref="BR145:BR146">
    <cfRule type="expression" dxfId="2433" priority="1290">
      <formula>BR145&gt;BT145*#REF!</formula>
    </cfRule>
    <cfRule type="expression" dxfId="2432" priority="1289">
      <formula>BR145&lt;BT145*#REF!</formula>
    </cfRule>
  </conditionalFormatting>
  <conditionalFormatting sqref="BR147:BR159">
    <cfRule type="expression" dxfId="2431" priority="603">
      <formula>BR147&gt;BT147</formula>
    </cfRule>
    <cfRule type="expression" dxfId="2430" priority="604">
      <formula>BR147&lt;BT147</formula>
    </cfRule>
  </conditionalFormatting>
  <conditionalFormatting sqref="BR160">
    <cfRule type="expression" dxfId="2429" priority="1287">
      <formula>BR160&lt;BT160*#REF!</formula>
    </cfRule>
    <cfRule type="expression" dxfId="2428" priority="1288">
      <formula>BR160&gt;BT160*#REF!</formula>
    </cfRule>
  </conditionalFormatting>
  <conditionalFormatting sqref="BR162:BR163">
    <cfRule type="expression" dxfId="2427" priority="1266">
      <formula>BR162&lt;BT162*#REF!</formula>
    </cfRule>
    <cfRule type="expression" dxfId="2426" priority="1267">
      <formula>BR162&gt;BT162*#REF!</formula>
    </cfRule>
  </conditionalFormatting>
  <conditionalFormatting sqref="BR164:BR176">
    <cfRule type="expression" dxfId="2425" priority="598">
      <formula>BR164&lt;BT164</formula>
    </cfRule>
    <cfRule type="expression" dxfId="2424" priority="597">
      <formula>BR164&gt;BT164</formula>
    </cfRule>
  </conditionalFormatting>
  <conditionalFormatting sqref="BR177">
    <cfRule type="expression" dxfId="2423" priority="1265">
      <formula>BR177&gt;BT177*#REF!</formula>
    </cfRule>
    <cfRule type="expression" dxfId="2422" priority="1264">
      <formula>BR177&lt;BT177*#REF!</formula>
    </cfRule>
  </conditionalFormatting>
  <conditionalFormatting sqref="BR179:BR180">
    <cfRule type="expression" dxfId="2421" priority="1243">
      <formula>BR179&lt;BT179*#REF!</formula>
    </cfRule>
    <cfRule type="expression" dxfId="2420" priority="1244">
      <formula>BR179&gt;BT179*#REF!</formula>
    </cfRule>
  </conditionalFormatting>
  <conditionalFormatting sqref="BR181:BR193">
    <cfRule type="expression" dxfId="2419" priority="595">
      <formula>BR181&gt;BT181</formula>
    </cfRule>
    <cfRule type="expression" dxfId="2418" priority="596">
      <formula>BR181&lt;BT181</formula>
    </cfRule>
  </conditionalFormatting>
  <conditionalFormatting sqref="BR194">
    <cfRule type="expression" dxfId="2417" priority="1241">
      <formula>BR194&lt;BT194*#REF!</formula>
    </cfRule>
    <cfRule type="expression" dxfId="2416" priority="1242">
      <formula>BR194&gt;BT194*#REF!</formula>
    </cfRule>
  </conditionalFormatting>
  <conditionalFormatting sqref="BR196:BR197">
    <cfRule type="expression" dxfId="2415" priority="1220">
      <formula>BR196&lt;BT196*#REF!</formula>
    </cfRule>
    <cfRule type="expression" dxfId="2414" priority="1221">
      <formula>BR196&gt;BT196*#REF!</formula>
    </cfRule>
  </conditionalFormatting>
  <conditionalFormatting sqref="BR198:BR210">
    <cfRule type="expression" dxfId="2413" priority="590">
      <formula>BR198&lt;BT198</formula>
    </cfRule>
    <cfRule type="expression" dxfId="2412" priority="589">
      <formula>BR198&gt;BT198</formula>
    </cfRule>
  </conditionalFormatting>
  <conditionalFormatting sqref="BR211">
    <cfRule type="expression" dxfId="2411" priority="1218">
      <formula>BR211&lt;BT211*#REF!</formula>
    </cfRule>
    <cfRule type="expression" dxfId="2410" priority="1219">
      <formula>BR211&gt;BT211*#REF!</formula>
    </cfRule>
  </conditionalFormatting>
  <conditionalFormatting sqref="BR213:BR214">
    <cfRule type="expression" dxfId="2409" priority="1198">
      <formula>BR213&gt;BT213*#REF!</formula>
    </cfRule>
    <cfRule type="expression" dxfId="2408" priority="1197">
      <formula>BR213&lt;BT213*#REF!</formula>
    </cfRule>
  </conditionalFormatting>
  <conditionalFormatting sqref="BR215:BR227">
    <cfRule type="expression" dxfId="2407" priority="588">
      <formula>BR215&lt;BT215</formula>
    </cfRule>
    <cfRule type="expression" dxfId="2406" priority="587">
      <formula>BR215&gt;BT215</formula>
    </cfRule>
  </conditionalFormatting>
  <conditionalFormatting sqref="BR228">
    <cfRule type="expression" dxfId="2405" priority="1196">
      <formula>BR228&gt;BT228*#REF!</formula>
    </cfRule>
    <cfRule type="expression" dxfId="2404" priority="1195">
      <formula>BR228&lt;BT228*#REF!</formula>
    </cfRule>
  </conditionalFormatting>
  <conditionalFormatting sqref="BR230:BR231">
    <cfRule type="expression" dxfId="2403" priority="1175">
      <formula>BR230&gt;BT230*#REF!</formula>
    </cfRule>
    <cfRule type="expression" dxfId="2402" priority="1174">
      <formula>BR230&lt;BT230*#REF!</formula>
    </cfRule>
  </conditionalFormatting>
  <conditionalFormatting sqref="BR232:BR244">
    <cfRule type="expression" dxfId="2401" priority="581">
      <formula>BR232&gt;BT232</formula>
    </cfRule>
    <cfRule type="expression" dxfId="2400" priority="582">
      <formula>BR232&lt;BT232</formula>
    </cfRule>
  </conditionalFormatting>
  <conditionalFormatting sqref="BR245">
    <cfRule type="expression" dxfId="2399" priority="1173">
      <formula>BR245&gt;BT245*#REF!</formula>
    </cfRule>
    <cfRule type="expression" dxfId="2398" priority="1172">
      <formula>BR245&lt;BT245*#REF!</formula>
    </cfRule>
  </conditionalFormatting>
  <conditionalFormatting sqref="BR247:BR248">
    <cfRule type="expression" dxfId="2397" priority="1152">
      <formula>BR247&gt;BT247*#REF!</formula>
    </cfRule>
    <cfRule type="expression" dxfId="2396" priority="1151">
      <formula>BR247&lt;BT247*#REF!</formula>
    </cfRule>
  </conditionalFormatting>
  <conditionalFormatting sqref="BR249:BR261">
    <cfRule type="expression" dxfId="2395" priority="580">
      <formula>BR249&lt;BT249</formula>
    </cfRule>
    <cfRule type="expression" dxfId="2394" priority="579">
      <formula>BR249&gt;BT249</formula>
    </cfRule>
  </conditionalFormatting>
  <conditionalFormatting sqref="BR262">
    <cfRule type="expression" dxfId="2393" priority="1150">
      <formula>BR262&gt;BT262*#REF!</formula>
    </cfRule>
    <cfRule type="expression" dxfId="2392" priority="1149">
      <formula>BR262&lt;BT262*#REF!</formula>
    </cfRule>
  </conditionalFormatting>
  <conditionalFormatting sqref="BR264:BR265">
    <cfRule type="expression" dxfId="2391" priority="1128">
      <formula>BR264&lt;BT264*#REF!</formula>
    </cfRule>
    <cfRule type="expression" dxfId="2390" priority="1129">
      <formula>BR264&gt;BT264*#REF!</formula>
    </cfRule>
  </conditionalFormatting>
  <conditionalFormatting sqref="BR266:BR278">
    <cfRule type="expression" dxfId="2389" priority="578">
      <formula>BR266&lt;BT266</formula>
    </cfRule>
    <cfRule type="expression" dxfId="2388" priority="577">
      <formula>BR266&gt;BT266</formula>
    </cfRule>
  </conditionalFormatting>
  <conditionalFormatting sqref="BR279">
    <cfRule type="expression" dxfId="2387" priority="1126">
      <formula>BR279&lt;BT279*#REF!</formula>
    </cfRule>
    <cfRule type="expression" dxfId="2386" priority="1127">
      <formula>BR279&gt;BT279*#REF!</formula>
    </cfRule>
  </conditionalFormatting>
  <conditionalFormatting sqref="BR281:BR282">
    <cfRule type="expression" dxfId="2385" priority="1106">
      <formula>BR281&gt;BT281*#REF!</formula>
    </cfRule>
    <cfRule type="expression" dxfId="2384" priority="1105">
      <formula>BR281&lt;BT281*#REF!</formula>
    </cfRule>
  </conditionalFormatting>
  <conditionalFormatting sqref="BR283:BR295">
    <cfRule type="expression" dxfId="2383" priority="571">
      <formula>BR283&gt;BT283</formula>
    </cfRule>
    <cfRule type="expression" dxfId="2382" priority="572">
      <formula>BR283&lt;BT283</formula>
    </cfRule>
  </conditionalFormatting>
  <conditionalFormatting sqref="BR296">
    <cfRule type="expression" dxfId="2381" priority="1104">
      <formula>BR296&gt;BT296*#REF!</formula>
    </cfRule>
    <cfRule type="expression" dxfId="2380" priority="1103">
      <formula>BR296&lt;BT296*#REF!</formula>
    </cfRule>
  </conditionalFormatting>
  <conditionalFormatting sqref="BR298:BR299">
    <cfRule type="expression" dxfId="2379" priority="1082">
      <formula>BR298&lt;BT298*#REF!</formula>
    </cfRule>
    <cfRule type="expression" dxfId="2378" priority="1083">
      <formula>BR298&gt;BT298*#REF!</formula>
    </cfRule>
  </conditionalFormatting>
  <conditionalFormatting sqref="BR300:BR312">
    <cfRule type="expression" dxfId="2377" priority="568">
      <formula>BR300&lt;BT300</formula>
    </cfRule>
    <cfRule type="expression" dxfId="2376" priority="567">
      <formula>BR300&gt;BT300</formula>
    </cfRule>
  </conditionalFormatting>
  <conditionalFormatting sqref="BR313">
    <cfRule type="expression" dxfId="2375" priority="1080">
      <formula>BR313&lt;BT313*#REF!</formula>
    </cfRule>
    <cfRule type="expression" dxfId="2374" priority="1081">
      <formula>BR313&gt;BT313*#REF!</formula>
    </cfRule>
  </conditionalFormatting>
  <conditionalFormatting sqref="BR315:BR316">
    <cfRule type="expression" dxfId="2373" priority="1060">
      <formula>BR315&gt;BT315*#REF!</formula>
    </cfRule>
    <cfRule type="expression" dxfId="2372" priority="1059">
      <formula>BR315&lt;BT315*#REF!</formula>
    </cfRule>
  </conditionalFormatting>
  <conditionalFormatting sqref="BR317:BR329">
    <cfRule type="expression" dxfId="2371" priority="564">
      <formula>BR317&lt;BT317</formula>
    </cfRule>
    <cfRule type="expression" dxfId="2370" priority="563">
      <formula>BR317&gt;BT317</formula>
    </cfRule>
  </conditionalFormatting>
  <conditionalFormatting sqref="BR330">
    <cfRule type="expression" dxfId="2369" priority="1058">
      <formula>BR330&gt;BT330*#REF!</formula>
    </cfRule>
    <cfRule type="expression" dxfId="2368" priority="1057">
      <formula>BR330&lt;BT330*#REF!</formula>
    </cfRule>
  </conditionalFormatting>
  <printOptions horizontalCentered="1" verticalCentered="1"/>
  <pageMargins left="0" right="0" top="0" bottom="0" header="0" footer="0"/>
  <pageSetup paperSize="9" scale="48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olBreaks count="1" manualBreakCount="1">
    <brk id="36" max="271" man="1"/>
  </colBreaks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E341-114D-4889-9648-863D1C473490}">
  <sheetPr codeName="Sheet14"/>
  <dimension ref="A1:BO363"/>
  <sheetViews>
    <sheetView topLeftCell="A4" zoomScale="40" zoomScaleNormal="40" workbookViewId="0">
      <selection activeCell="AG263" sqref="AG263:AG278"/>
    </sheetView>
  </sheetViews>
  <sheetFormatPr defaultColWidth="9.26953125" defaultRowHeight="14" outlineLevelRow="1" x14ac:dyDescent="0.3"/>
  <cols>
    <col min="1" max="1" width="18.453125" style="111" bestFit="1" customWidth="1"/>
    <col min="2" max="2" width="0.7265625" style="111" customWidth="1"/>
    <col min="3" max="3" width="30.26953125" style="111" bestFit="1" customWidth="1"/>
    <col min="4" max="4" width="0.7265625" style="111" customWidth="1"/>
    <col min="5" max="6" width="11.54296875" style="111" customWidth="1"/>
    <col min="7" max="7" width="11.54296875" style="111" hidden="1" customWidth="1"/>
    <col min="8" max="8" width="0.7265625" style="111" customWidth="1"/>
    <col min="9" max="11" width="11.54296875" style="111" customWidth="1"/>
    <col min="12" max="12" width="0.7265625" style="111" customWidth="1"/>
    <col min="13" max="13" width="11.54296875" style="111" customWidth="1"/>
    <col min="14" max="14" width="10.08984375" style="111" bestFit="1" customWidth="1"/>
    <col min="15" max="15" width="14.90625" style="111" bestFit="1" customWidth="1"/>
    <col min="16" max="16" width="0.7265625" style="111" customWidth="1"/>
    <col min="17" max="19" width="11.54296875" style="111" customWidth="1"/>
    <col min="20" max="20" width="0.7265625" style="111" customWidth="1"/>
    <col min="21" max="23" width="11.54296875" style="111" hidden="1" customWidth="1"/>
    <col min="24" max="24" width="0.7265625" style="111" hidden="1" customWidth="1"/>
    <col min="25" max="27" width="11.54296875" style="111" hidden="1" customWidth="1"/>
    <col min="28" max="28" width="0.7265625" style="111" customWidth="1"/>
    <col min="29" max="31" width="11.54296875" style="111" customWidth="1"/>
    <col min="32" max="32" width="3.453125" style="111" customWidth="1"/>
    <col min="33" max="33" width="19.54296875" style="111" customWidth="1"/>
    <col min="34" max="34" width="0.7265625" style="111" customWidth="1"/>
    <col min="35" max="35" width="29.453125" style="111" customWidth="1"/>
    <col min="36" max="36" width="0.7265625" style="111" customWidth="1"/>
    <col min="37" max="39" width="11.54296875" style="111" customWidth="1"/>
    <col min="40" max="40" width="0.7265625" style="111" customWidth="1"/>
    <col min="41" max="43" width="11.54296875" style="111" customWidth="1"/>
    <col min="44" max="44" width="0.7265625" style="111" customWidth="1"/>
    <col min="45" max="47" width="11.54296875" style="111" customWidth="1"/>
    <col min="48" max="48" width="0.7265625" style="111" customWidth="1"/>
    <col min="49" max="51" width="11.54296875" style="111" hidden="1" customWidth="1"/>
    <col min="52" max="52" width="0.7265625" style="111" hidden="1" customWidth="1"/>
    <col min="53" max="55" width="11.54296875" style="111" hidden="1" customWidth="1"/>
    <col min="56" max="56" width="0.7265625" style="111" hidden="1" customWidth="1"/>
    <col min="57" max="59" width="11.54296875" style="111" hidden="1" customWidth="1"/>
    <col min="60" max="60" width="0.7265625" style="111" customWidth="1"/>
    <col min="61" max="63" width="11.54296875" style="111" customWidth="1"/>
    <col min="64" max="64" width="0.7265625" style="111" customWidth="1"/>
    <col min="65" max="67" width="11.54296875" style="111" customWidth="1"/>
    <col min="68" max="16384" width="9.26953125" style="111"/>
  </cols>
  <sheetData>
    <row r="1" spans="1:67" ht="14.5" hidden="1" thickBot="1" x14ac:dyDescent="0.35"/>
    <row r="2" spans="1:67" ht="14.5" hidden="1" thickBot="1" x14ac:dyDescent="0.35"/>
    <row r="3" spans="1:67" ht="14.5" hidden="1" thickBot="1" x14ac:dyDescent="0.35"/>
    <row r="4" spans="1:67" x14ac:dyDescent="0.3">
      <c r="A4" s="218" t="e">
        <f>#REF!</f>
        <v>#REF!</v>
      </c>
      <c r="B4" s="218"/>
      <c r="C4" s="218"/>
      <c r="D4" s="112"/>
      <c r="E4" s="217" t="s">
        <v>6</v>
      </c>
      <c r="F4" s="217"/>
      <c r="G4" s="217"/>
      <c r="H4" s="112"/>
      <c r="I4" s="217" t="s">
        <v>7</v>
      </c>
      <c r="J4" s="217"/>
      <c r="K4" s="217"/>
      <c r="L4" s="112"/>
      <c r="M4" s="217" t="s">
        <v>8</v>
      </c>
      <c r="N4" s="217"/>
      <c r="O4" s="217"/>
      <c r="P4" s="112"/>
      <c r="Q4" s="217" t="s">
        <v>9</v>
      </c>
      <c r="R4" s="217"/>
      <c r="S4" s="217"/>
      <c r="T4" s="112"/>
      <c r="U4" s="217" t="s">
        <v>10</v>
      </c>
      <c r="V4" s="217"/>
      <c r="W4" s="217"/>
      <c r="X4" s="112"/>
      <c r="Y4" s="217" t="s">
        <v>53</v>
      </c>
      <c r="Z4" s="217"/>
      <c r="AA4" s="217"/>
      <c r="AB4" s="112"/>
      <c r="AC4" s="217" t="s">
        <v>12</v>
      </c>
      <c r="AD4" s="217"/>
      <c r="AE4" s="217"/>
      <c r="AG4" s="218" t="e">
        <f>#REF!</f>
        <v>#REF!</v>
      </c>
      <c r="AH4" s="218"/>
      <c r="AI4" s="218"/>
      <c r="AJ4" s="112"/>
      <c r="AK4" s="217" t="s">
        <v>6</v>
      </c>
      <c r="AL4" s="217"/>
      <c r="AM4" s="217"/>
      <c r="AN4" s="112"/>
      <c r="AO4" s="217" t="s">
        <v>7</v>
      </c>
      <c r="AP4" s="217"/>
      <c r="AQ4" s="217"/>
      <c r="AR4" s="112"/>
      <c r="AS4" s="217" t="s">
        <v>8</v>
      </c>
      <c r="AT4" s="217"/>
      <c r="AU4" s="217"/>
      <c r="AV4" s="112"/>
      <c r="AW4" s="217" t="s">
        <v>9</v>
      </c>
      <c r="AX4" s="217"/>
      <c r="AY4" s="217"/>
      <c r="AZ4" s="112"/>
      <c r="BA4" s="217" t="s">
        <v>10</v>
      </c>
      <c r="BB4" s="217"/>
      <c r="BC4" s="217"/>
      <c r="BD4" s="112"/>
      <c r="BE4" s="217" t="s">
        <v>54</v>
      </c>
      <c r="BF4" s="217"/>
      <c r="BG4" s="217"/>
      <c r="BH4" s="112"/>
      <c r="BI4" s="217" t="s">
        <v>12</v>
      </c>
      <c r="BJ4" s="217"/>
      <c r="BK4" s="217"/>
      <c r="BM4" s="217" t="s">
        <v>12</v>
      </c>
      <c r="BN4" s="217"/>
      <c r="BO4" s="217"/>
    </row>
    <row r="5" spans="1:67" x14ac:dyDescent="0.3">
      <c r="A5" s="218"/>
      <c r="B5" s="218"/>
      <c r="C5" s="218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G5" s="218"/>
      <c r="AH5" s="218"/>
      <c r="AI5" s="218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M5" s="113"/>
      <c r="BN5" s="113"/>
      <c r="BO5" s="113"/>
    </row>
    <row r="6" spans="1:67" x14ac:dyDescent="0.3">
      <c r="A6" s="218"/>
      <c r="B6" s="218"/>
      <c r="C6" s="218"/>
      <c r="D6" s="113"/>
      <c r="E6" s="114" t="s">
        <v>15</v>
      </c>
      <c r="F6" s="114" t="s">
        <v>16</v>
      </c>
      <c r="G6" s="114" t="s">
        <v>17</v>
      </c>
      <c r="H6" s="113"/>
      <c r="I6" s="114" t="s">
        <v>15</v>
      </c>
      <c r="J6" s="114" t="s">
        <v>16</v>
      </c>
      <c r="K6" s="114" t="s">
        <v>17</v>
      </c>
      <c r="L6" s="113"/>
      <c r="M6" s="114" t="s">
        <v>15</v>
      </c>
      <c r="N6" s="114" t="s">
        <v>16</v>
      </c>
      <c r="O6" s="114" t="s">
        <v>17</v>
      </c>
      <c r="P6" s="113"/>
      <c r="Q6" s="114" t="s">
        <v>15</v>
      </c>
      <c r="R6" s="114" t="s">
        <v>16</v>
      </c>
      <c r="S6" s="114" t="s">
        <v>17</v>
      </c>
      <c r="T6" s="113"/>
      <c r="U6" s="114" t="s">
        <v>15</v>
      </c>
      <c r="V6" s="114" t="s">
        <v>16</v>
      </c>
      <c r="W6" s="114" t="s">
        <v>17</v>
      </c>
      <c r="X6" s="113"/>
      <c r="Y6" s="114" t="s">
        <v>15</v>
      </c>
      <c r="Z6" s="114" t="s">
        <v>16</v>
      </c>
      <c r="AA6" s="114" t="s">
        <v>17</v>
      </c>
      <c r="AB6" s="113"/>
      <c r="AC6" s="114" t="s">
        <v>15</v>
      </c>
      <c r="AD6" s="114" t="s">
        <v>16</v>
      </c>
      <c r="AE6" s="114" t="s">
        <v>17</v>
      </c>
      <c r="AG6" s="218"/>
      <c r="AH6" s="218"/>
      <c r="AI6" s="218"/>
      <c r="AJ6" s="113"/>
      <c r="AK6" s="114" t="s">
        <v>15</v>
      </c>
      <c r="AL6" s="114" t="s">
        <v>16</v>
      </c>
      <c r="AM6" s="114" t="s">
        <v>17</v>
      </c>
      <c r="AN6" s="113"/>
      <c r="AO6" s="114" t="s">
        <v>15</v>
      </c>
      <c r="AP6" s="114" t="s">
        <v>16</v>
      </c>
      <c r="AQ6" s="114" t="s">
        <v>17</v>
      </c>
      <c r="AR6" s="113"/>
      <c r="AS6" s="114" t="s">
        <v>15</v>
      </c>
      <c r="AT6" s="114" t="s">
        <v>16</v>
      </c>
      <c r="AU6" s="114" t="s">
        <v>17</v>
      </c>
      <c r="AV6" s="113"/>
      <c r="AW6" s="114" t="s">
        <v>15</v>
      </c>
      <c r="AX6" s="114" t="s">
        <v>16</v>
      </c>
      <c r="AY6" s="114" t="s">
        <v>17</v>
      </c>
      <c r="AZ6" s="113"/>
      <c r="BA6" s="114" t="s">
        <v>15</v>
      </c>
      <c r="BB6" s="114" t="s">
        <v>16</v>
      </c>
      <c r="BC6" s="114" t="s">
        <v>17</v>
      </c>
      <c r="BD6" s="113"/>
      <c r="BE6" s="114" t="s">
        <v>15</v>
      </c>
      <c r="BF6" s="114" t="s">
        <v>16</v>
      </c>
      <c r="BG6" s="114" t="s">
        <v>17</v>
      </c>
      <c r="BH6" s="113"/>
      <c r="BI6" s="114" t="s">
        <v>15</v>
      </c>
      <c r="BJ6" s="114" t="s">
        <v>16</v>
      </c>
      <c r="BK6" s="114" t="s">
        <v>17</v>
      </c>
      <c r="BM6" s="114" t="s">
        <v>15</v>
      </c>
      <c r="BN6" s="114" t="s">
        <v>16</v>
      </c>
      <c r="BO6" s="114" t="s">
        <v>17</v>
      </c>
    </row>
    <row r="7" spans="1:67" x14ac:dyDescent="0.3">
      <c r="A7" s="218"/>
      <c r="B7" s="218"/>
      <c r="C7" s="218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G7" s="218"/>
      <c r="AH7" s="218"/>
      <c r="AI7" s="218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M7" s="113"/>
      <c r="BN7" s="113"/>
      <c r="BO7" s="113"/>
    </row>
    <row r="8" spans="1:67" hidden="1" x14ac:dyDescent="0.3">
      <c r="A8" s="212" t="s">
        <v>18</v>
      </c>
      <c r="B8" s="115"/>
      <c r="C8" s="116" t="s">
        <v>19</v>
      </c>
      <c r="D8" s="117"/>
      <c r="E8" s="118">
        <f>+[1]Retail!$C$29/1000</f>
        <v>1.5563907699999999</v>
      </c>
      <c r="F8" s="119">
        <f>+[1]Retail!$C$30/1000</f>
        <v>1.9777291000000026</v>
      </c>
      <c r="G8" s="119">
        <f>+[1]Retail!$C$31/1000</f>
        <v>0</v>
      </c>
      <c r="H8" s="117"/>
      <c r="I8" s="121">
        <f>+[1]SME!$C$29/1000</f>
        <v>24.717281209999999</v>
      </c>
      <c r="J8" s="119">
        <f>+[1]SME!$C$30/1000</f>
        <v>26.269872209999999</v>
      </c>
      <c r="K8" s="119">
        <f>+[1]SME!$C$31/1000</f>
        <v>26.098680000000002</v>
      </c>
      <c r="L8" s="117"/>
      <c r="M8" s="118">
        <f>+[1]MidCorp!$C$29/1000</f>
        <v>88.71968025000001</v>
      </c>
      <c r="N8" s="119">
        <f>+[1]MidCorp!$C$30/1000</f>
        <v>83.060786179999994</v>
      </c>
      <c r="O8" s="119">
        <f>+[1]MidCorp!$C$31/1000</f>
        <v>86.51</v>
      </c>
      <c r="P8" s="117"/>
      <c r="Q8" s="118">
        <f>+[1]MGA!$C$29/1000</f>
        <v>34.64386021</v>
      </c>
      <c r="R8" s="119">
        <f>+[1]MGA!$C$30/1000</f>
        <v>30.20316798</v>
      </c>
      <c r="S8" s="119">
        <f>+[1]MGA!$C$31/1000</f>
        <v>33.014020000000002</v>
      </c>
      <c r="T8" s="117"/>
      <c r="U8" s="121"/>
      <c r="V8" s="119"/>
      <c r="W8" s="119"/>
      <c r="X8" s="117"/>
      <c r="Y8" s="118">
        <f>+[1]Specials!$C$29/1000</f>
        <v>0.22730861000000002</v>
      </c>
      <c r="Z8" s="119">
        <f>+[1]Specials!$C$30/1000</f>
        <v>0.1526518</v>
      </c>
      <c r="AA8" s="119">
        <f>+[1]Specials!$C$31/1000</f>
        <v>0</v>
      </c>
      <c r="AB8" s="117"/>
      <c r="AC8" s="122">
        <f>+'[1]Total P&amp;C'!$C$29/1000</f>
        <v>149.91227383999998</v>
      </c>
      <c r="AD8" s="123">
        <f>+'[1]Total P&amp;C'!$C$30/1000</f>
        <v>141.66420727000002</v>
      </c>
      <c r="AE8" s="123">
        <f>+'[1]Total P&amp;C'!$C$31/1000</f>
        <v>145.62270000000001</v>
      </c>
      <c r="AG8" s="212" t="s">
        <v>18</v>
      </c>
      <c r="AH8" s="115"/>
      <c r="AI8" s="116" t="s">
        <v>19</v>
      </c>
      <c r="AJ8" s="117"/>
      <c r="AK8" s="121">
        <f>+[2]Retail!$C$29/1000</f>
        <v>13.38593794</v>
      </c>
      <c r="AL8" s="119">
        <f>+[2]Retail!$C$30/1000</f>
        <v>13.55688477</v>
      </c>
      <c r="AM8" s="119">
        <f>+[2]Retail!$C$31/1000</f>
        <v>15.051035149590804</v>
      </c>
      <c r="AN8" s="117"/>
      <c r="AO8" s="121">
        <f>+[2]SME!$C$29/1000</f>
        <v>4.8422734699999985</v>
      </c>
      <c r="AP8" s="119">
        <f>+[2]SME!$C$30/1000</f>
        <v>5.0260385200000002</v>
      </c>
      <c r="AQ8" s="119">
        <f>+[2]SME!$C$31/1000</f>
        <v>5.1908403131146752</v>
      </c>
      <c r="AR8" s="117"/>
      <c r="AS8" s="121">
        <f>+[2]MidCorp!$C$29/1000</f>
        <v>12.202892899999998</v>
      </c>
      <c r="AT8" s="119">
        <f>+[2]MidCorp!$C$30/1000</f>
        <v>14.601781960000006</v>
      </c>
      <c r="AU8" s="119">
        <f>+[2]MidCorp!$C$31/1000</f>
        <v>12.68340122889137</v>
      </c>
      <c r="AV8" s="117"/>
      <c r="AW8" s="121"/>
      <c r="AX8" s="119"/>
      <c r="AY8" s="119"/>
      <c r="AZ8" s="117"/>
      <c r="BA8" s="121"/>
      <c r="BB8" s="119"/>
      <c r="BC8" s="119"/>
      <c r="BD8" s="117"/>
      <c r="BE8" s="121"/>
      <c r="BF8" s="119"/>
      <c r="BG8" s="119"/>
      <c r="BH8" s="117"/>
      <c r="BI8" s="124">
        <f>+'[2]Total P&amp;C'!$C$29/1000</f>
        <v>30.431104309999998</v>
      </c>
      <c r="BJ8" s="123">
        <f>+'[2]Total P&amp;C'!$C$30/1000</f>
        <v>33.184705250000015</v>
      </c>
      <c r="BK8" s="123">
        <f>+'[2]Total P&amp;C'!$C$31/1000</f>
        <v>32.925276691596856</v>
      </c>
      <c r="BM8" s="122">
        <f>+'[3]Total P&amp;C'!$C$29/1000</f>
        <v>180.34337815000001</v>
      </c>
      <c r="BN8" s="123">
        <f>+'[3]Total P&amp;C'!$C$30/1000</f>
        <v>174.84891252</v>
      </c>
      <c r="BO8" s="123">
        <f>+'[3]Total P&amp;C'!$C$31/1000</f>
        <v>178.54797669159686</v>
      </c>
    </row>
    <row r="9" spans="1:67" hidden="1" x14ac:dyDescent="0.3">
      <c r="A9" s="212"/>
      <c r="B9" s="115"/>
      <c r="C9" s="116" t="s">
        <v>55</v>
      </c>
      <c r="D9" s="117"/>
      <c r="E9" s="118">
        <f>+[1]Retail!$N$29/1000</f>
        <v>1.5321743000000023</v>
      </c>
      <c r="F9" s="119">
        <f>+[1]Retail!$N$30/1000</f>
        <v>1.9449420899999996</v>
      </c>
      <c r="G9" s="119">
        <f>+[1]Retail!$N$31/1000</f>
        <v>0</v>
      </c>
      <c r="H9" s="117"/>
      <c r="I9" s="121">
        <f>+[1]SME!$N$29/1000</f>
        <v>15.290361089999999</v>
      </c>
      <c r="J9" s="119">
        <f>+[1]SME!$N$30/1000</f>
        <v>16.305077649999994</v>
      </c>
      <c r="K9" s="119">
        <f>+[1]SME!$N$31/1000</f>
        <v>16.131750683738819</v>
      </c>
      <c r="L9" s="117"/>
      <c r="M9" s="118">
        <f>+[1]MidCorp!$N$29/1000</f>
        <v>72.11585144</v>
      </c>
      <c r="N9" s="119">
        <f>+[1]MidCorp!$N$30/1000</f>
        <v>65.510597939999997</v>
      </c>
      <c r="O9" s="119">
        <f>+[1]MidCorp!$N$31/1000</f>
        <v>67.806250000000077</v>
      </c>
      <c r="P9" s="117"/>
      <c r="Q9" s="121">
        <f>+[1]MGA!$N$29/1000</f>
        <v>28.361353040000012</v>
      </c>
      <c r="R9" s="119">
        <f>+[1]MGA!$N$30/1000</f>
        <v>24.950295249999996</v>
      </c>
      <c r="S9" s="119">
        <f>+[1]MGA!$N$31/1000</f>
        <v>30.189168233821306</v>
      </c>
      <c r="T9" s="117"/>
      <c r="U9" s="121"/>
      <c r="V9" s="119"/>
      <c r="W9" s="119"/>
      <c r="X9" s="117"/>
      <c r="Y9" s="118">
        <f>+[1]Specials!$N$29/1000</f>
        <v>7.6972399999999996E-2</v>
      </c>
      <c r="Z9" s="119">
        <f>+[1]Specials!$N$30/1000</f>
        <v>1.8785159999999999E-2</v>
      </c>
      <c r="AA9" s="119">
        <f>+[1]Specials!$N$31/1000</f>
        <v>0</v>
      </c>
      <c r="AB9" s="117"/>
      <c r="AC9" s="122">
        <f>+'[1]Total P&amp;C'!$N$29/1000</f>
        <v>117.42066268000001</v>
      </c>
      <c r="AD9" s="123">
        <f>+'[1]Total P&amp;C'!$N$30/1000</f>
        <v>108.72969808999999</v>
      </c>
      <c r="AE9" s="123">
        <f>+'[1]Total P&amp;C'!$N$31/1000</f>
        <v>114.1271689175602</v>
      </c>
      <c r="AG9" s="212"/>
      <c r="AH9" s="115"/>
      <c r="AI9" s="116" t="s">
        <v>55</v>
      </c>
      <c r="AJ9" s="117"/>
      <c r="AK9" s="121">
        <f>+[2]Retail!$N$29/1000</f>
        <v>12.935799200000003</v>
      </c>
      <c r="AL9" s="119">
        <f>+[2]Retail!$N$30/1000</f>
        <v>12.847085620000001</v>
      </c>
      <c r="AM9" s="119">
        <f>+[2]Retail!$N$31/1000</f>
        <v>13.88639682652431</v>
      </c>
      <c r="AN9" s="117"/>
      <c r="AO9" s="121">
        <f>+[2]SME!$N$29/1000</f>
        <v>4.0515993899999998</v>
      </c>
      <c r="AP9" s="119">
        <f>+[2]SME!$N$30/1000</f>
        <v>4.1866976500000002</v>
      </c>
      <c r="AQ9" s="119">
        <f>+[2]SME!$N$31/1000</f>
        <v>4.3052088255350682</v>
      </c>
      <c r="AR9" s="117"/>
      <c r="AS9" s="118">
        <f>+[2]MidCorp!$N$29/1000</f>
        <v>8.0085513600000002</v>
      </c>
      <c r="AT9" s="119">
        <f>+[2]MidCorp!$N$30/1000</f>
        <v>9.1735504300000024</v>
      </c>
      <c r="AU9" s="119">
        <f>+[2]MidCorp!$N$31/1000</f>
        <v>7.9935288238676305</v>
      </c>
      <c r="AV9" s="117"/>
      <c r="AW9" s="121"/>
      <c r="AX9" s="119"/>
      <c r="AY9" s="119"/>
      <c r="AZ9" s="117"/>
      <c r="BA9" s="121"/>
      <c r="BB9" s="119"/>
      <c r="BC9" s="119"/>
      <c r="BD9" s="117"/>
      <c r="BE9" s="121"/>
      <c r="BF9" s="119"/>
      <c r="BG9" s="119"/>
      <c r="BH9" s="117"/>
      <c r="BI9" s="124">
        <f>+'[2]Total P&amp;C'!$N$29/1000</f>
        <v>24.995949950000004</v>
      </c>
      <c r="BJ9" s="123">
        <f>+'[2]Total P&amp;C'!$N$30/1000</f>
        <v>26.207333700000003</v>
      </c>
      <c r="BK9" s="123">
        <f>+'[2]Total P&amp;C'!$N$31/1000</f>
        <v>26.185134475927011</v>
      </c>
      <c r="BM9" s="122">
        <f>+'[3]Total P&amp;C'!$N$29/1000</f>
        <v>142.41661263000003</v>
      </c>
      <c r="BN9" s="123">
        <f>+'[3]Total P&amp;C'!$N$30/1000</f>
        <v>134.93703178999999</v>
      </c>
      <c r="BO9" s="123">
        <f>+'[3]Total P&amp;C'!$N$31/1000</f>
        <v>140.31230339348721</v>
      </c>
    </row>
    <row r="10" spans="1:67" hidden="1" x14ac:dyDescent="0.3">
      <c r="A10" s="212"/>
      <c r="B10" s="115"/>
      <c r="C10" s="116" t="s">
        <v>21</v>
      </c>
      <c r="D10" s="117"/>
      <c r="E10" s="128">
        <f>+E11+E16+E17+E18+E19</f>
        <v>0.99473411739121065</v>
      </c>
      <c r="F10" s="127">
        <f>+F11+F16+F17+F18+F19</f>
        <v>0.70973229850766473</v>
      </c>
      <c r="G10" s="127" t="e">
        <f>+G11+G16+G17+G18+G19</f>
        <v>#DIV/0!</v>
      </c>
      <c r="H10" s="117"/>
      <c r="I10" s="126">
        <f>+I11+I16+I17+I18+I19</f>
        <v>0.90659368463612888</v>
      </c>
      <c r="J10" s="127">
        <f>+J11+J16+J17+J18+J19</f>
        <v>1.0028136799458913</v>
      </c>
      <c r="K10" s="127">
        <f>+K11+K16+K17+K18+K19</f>
        <v>0.91904972555876985</v>
      </c>
      <c r="L10" s="117"/>
      <c r="M10" s="128">
        <f>+M11+M16+M17+M18+M19</f>
        <v>0.98964589427857996</v>
      </c>
      <c r="N10" s="127">
        <f>+N11+N16+N17+N18+N19</f>
        <v>0.92857686577238407</v>
      </c>
      <c r="O10" s="127">
        <f>+O11+O16+O17+O18+O19</f>
        <v>0.96500340665313478</v>
      </c>
      <c r="P10" s="117"/>
      <c r="Q10" s="128">
        <f>+Q11+Q16+Q17+Q18+Q19</f>
        <v>0.98281530083164115</v>
      </c>
      <c r="R10" s="127">
        <f>+R11+R16+R17+R18+R19</f>
        <v>0.92239116689410749</v>
      </c>
      <c r="S10" s="127">
        <f>+S11+S16+S17+S18+S19</f>
        <v>0.96018477914324729</v>
      </c>
      <c r="T10" s="117"/>
      <c r="U10" s="131"/>
      <c r="V10" s="127"/>
      <c r="W10" s="127"/>
      <c r="X10" s="117"/>
      <c r="Y10" s="131"/>
      <c r="Z10" s="127"/>
      <c r="AA10" s="127"/>
      <c r="AB10" s="117"/>
      <c r="AC10" s="129">
        <f>+AC11+AC16+AC17+AC18+AC19</f>
        <v>0.97155842563160033</v>
      </c>
      <c r="AD10" s="130">
        <f>+AD11+AD16+AD17+AD18+AD19</f>
        <v>0.929244399137097</v>
      </c>
      <c r="AE10" s="130">
        <f>+AE11+AE16+AE17+AE18+AE19</f>
        <v>0.95579616904882003</v>
      </c>
      <c r="AG10" s="212"/>
      <c r="AH10" s="115"/>
      <c r="AI10" s="116" t="s">
        <v>21</v>
      </c>
      <c r="AJ10" s="117"/>
      <c r="AK10" s="126">
        <f>+AK11+AK16+AK17+AK18+AK19</f>
        <v>0.89813124727539151</v>
      </c>
      <c r="AL10" s="127">
        <f>+AL11+AL16+AL17+AL18+AL19</f>
        <v>0.74489036214580628</v>
      </c>
      <c r="AM10" s="127">
        <f>+AM11+AM16+AM17+AM18+AM19</f>
        <v>0.97887741485310309</v>
      </c>
      <c r="AN10" s="117"/>
      <c r="AO10" s="126">
        <f>+AO11+AO16+AO17+AO18+AO19</f>
        <v>1.1016911472089057</v>
      </c>
      <c r="AP10" s="127">
        <f>+AP11+AP16+AP17+AP18+AP19</f>
        <v>0.91191067260374148</v>
      </c>
      <c r="AQ10" s="127">
        <f>+AQ11+AQ16+AQ17+AQ18+AQ19</f>
        <v>1.1263427343106751</v>
      </c>
      <c r="AR10" s="117"/>
      <c r="AS10" s="126">
        <f>+AS11+AS16+AS17+AS18+AS19</f>
        <v>1.1423508620665195</v>
      </c>
      <c r="AT10" s="127">
        <f>+AT11+AT16+AT17+AT18+AT19</f>
        <v>1.5009575610955679</v>
      </c>
      <c r="AU10" s="127">
        <f>+AU11+AU16+AU17+AU18+AU19</f>
        <v>1.1733335703478411</v>
      </c>
      <c r="AV10" s="117"/>
      <c r="AW10" s="131"/>
      <c r="AX10" s="127"/>
      <c r="AY10" s="127"/>
      <c r="AZ10" s="117"/>
      <c r="BA10" s="131"/>
      <c r="BB10" s="127"/>
      <c r="BC10" s="127"/>
      <c r="BD10" s="117"/>
      <c r="BE10" s="131"/>
      <c r="BF10" s="127"/>
      <c r="BG10" s="127"/>
      <c r="BH10" s="117"/>
      <c r="BI10" s="132">
        <f>+BI11+BI16+BI17+BI18+BI19</f>
        <v>1.009372808413709</v>
      </c>
      <c r="BJ10" s="130">
        <f>+BJ11+BJ16+BJ17+BJ18+BJ19</f>
        <v>1.0362242386374465</v>
      </c>
      <c r="BK10" s="130">
        <f>+BK11+BK16+BK17+BK18+BK19</f>
        <v>1.0624843896703386</v>
      </c>
      <c r="BM10" s="133">
        <f>+BM11+BM16+BM17+BM18+BM19</f>
        <v>0.97819533688764415</v>
      </c>
      <c r="BN10" s="130">
        <f>+BN11+BN16+BN17+BN18+BN19</f>
        <v>0.95002191525529178</v>
      </c>
      <c r="BO10" s="130">
        <f>+BO11+BO16+BO17+BO18+BO19</f>
        <v>0.97570636463685356</v>
      </c>
    </row>
    <row r="11" spans="1:67" hidden="1" x14ac:dyDescent="0.3">
      <c r="A11" s="212"/>
      <c r="B11" s="115"/>
      <c r="C11" s="116" t="s">
        <v>56</v>
      </c>
      <c r="D11" s="117"/>
      <c r="E11" s="128">
        <f>+E12+E13+E14+E15</f>
        <v>0.14029227614638862</v>
      </c>
      <c r="F11" s="127">
        <f>+F12+F13+F14+F15</f>
        <v>1.6124657264217057</v>
      </c>
      <c r="G11" s="127" t="e">
        <f>+G12+G13+G14+G15</f>
        <v>#DIV/0!</v>
      </c>
      <c r="H11" s="117"/>
      <c r="I11" s="128">
        <f>+I12+I13+I14+I15</f>
        <v>0.71160839210763194</v>
      </c>
      <c r="J11" s="127">
        <f>+J12+J13+J14+J15</f>
        <v>0.57099348128526106</v>
      </c>
      <c r="K11" s="127">
        <f>+K12+K13+K14+K15</f>
        <v>0.66376763129606819</v>
      </c>
      <c r="L11" s="117"/>
      <c r="M11" s="126">
        <f>+M12+M13+M14+M15</f>
        <v>0.76560472916188615</v>
      </c>
      <c r="N11" s="127">
        <f>+N12+N13+N14+N15</f>
        <v>0.74944335243232862</v>
      </c>
      <c r="O11" s="127">
        <f>+O12+O13+O14+O15</f>
        <v>0.77241343511214811</v>
      </c>
      <c r="P11" s="117"/>
      <c r="Q11" s="128">
        <f>+Q12+Q13+Q14+Q15</f>
        <v>0.72387673081199333</v>
      </c>
      <c r="R11" s="127">
        <f>+R12+R13+R14+R15</f>
        <v>0.71402640135090201</v>
      </c>
      <c r="S11" s="127">
        <f>+S12+S13+S14+S15</f>
        <v>0.69021299947474168</v>
      </c>
      <c r="T11" s="117"/>
      <c r="U11" s="131"/>
      <c r="V11" s="127"/>
      <c r="W11" s="127"/>
      <c r="X11" s="117"/>
      <c r="Y11" s="131"/>
      <c r="Z11" s="127"/>
      <c r="AA11" s="127"/>
      <c r="AB11" s="117"/>
      <c r="AC11" s="132">
        <f>+AC12+AC13+AC14+AC15</f>
        <v>0.73591870415085292</v>
      </c>
      <c r="AD11" s="130">
        <f>+AD12+AD13+AD14+AD15</f>
        <v>0.72597630239589317</v>
      </c>
      <c r="AE11" s="130">
        <f>+AE12+AE13+AE14+AE15</f>
        <v>0.73622729059748004</v>
      </c>
      <c r="AG11" s="212"/>
      <c r="AH11" s="115"/>
      <c r="AI11" s="116" t="s">
        <v>56</v>
      </c>
      <c r="AJ11" s="117"/>
      <c r="AK11" s="128">
        <f>+AK12+AK13+AK14+AK15</f>
        <v>0.72769340297119012</v>
      </c>
      <c r="AL11" s="127">
        <f>+AL12+AL13+AL14+AL15</f>
        <v>0.81545181606721462</v>
      </c>
      <c r="AM11" s="127">
        <f>+AM12+AM13+AM14+AM15</f>
        <v>0.65439231784781682</v>
      </c>
      <c r="AN11" s="117"/>
      <c r="AO11" s="128">
        <f>+AO12+AO13+AO14+AO15</f>
        <v>0.86225948661720975</v>
      </c>
      <c r="AP11" s="127">
        <f>+AP12+AP13+AP14+AP15</f>
        <v>0.61403741681704671</v>
      </c>
      <c r="AQ11" s="127">
        <f>+AQ12+AQ13+AQ14+AQ15</f>
        <v>0.72124149774317559</v>
      </c>
      <c r="AR11" s="117"/>
      <c r="AS11" s="128">
        <f>+AS12+AS13+AS14+AS15</f>
        <v>1.0676186660554798</v>
      </c>
      <c r="AT11" s="127">
        <f>+AT12+AT13+AT14+AT15</f>
        <v>0.94336597983906223</v>
      </c>
      <c r="AU11" s="127">
        <f>+AU12+AU13+AU14+AU15</f>
        <v>0.87513256640723014</v>
      </c>
      <c r="AV11" s="117"/>
      <c r="AW11" s="131"/>
      <c r="AX11" s="127"/>
      <c r="AY11" s="127"/>
      <c r="AZ11" s="117"/>
      <c r="BA11" s="131"/>
      <c r="BB11" s="127"/>
      <c r="BC11" s="127"/>
      <c r="BD11" s="117"/>
      <c r="BE11" s="131"/>
      <c r="BF11" s="127"/>
      <c r="BG11" s="127"/>
      <c r="BH11" s="117"/>
      <c r="BI11" s="129">
        <f>+BI12+BI13+BI14+BI15</f>
        <v>0.8584152517876199</v>
      </c>
      <c r="BJ11" s="130">
        <f>+BJ12+BJ13+BJ14+BJ15</f>
        <v>0.82805003929110121</v>
      </c>
      <c r="BK11" s="130">
        <f>+BK12+BK13+BK14+BK15</f>
        <v>0.73276858972067671</v>
      </c>
      <c r="BM11" s="129">
        <f>+BM12+BM13+BM14+BM15</f>
        <v>0.75741842610907184</v>
      </c>
      <c r="BN11" s="130">
        <f>+BN12+BN13+BN14+BN15</f>
        <v>0.74580096023320142</v>
      </c>
      <c r="BO11" s="130">
        <f>+BO12+BO13+BO14+BO15</f>
        <v>0.73558182654778004</v>
      </c>
    </row>
    <row r="12" spans="1:67" ht="14.5" hidden="1" x14ac:dyDescent="0.3">
      <c r="A12" s="212"/>
      <c r="B12" s="115"/>
      <c r="C12" s="38" t="s">
        <v>23</v>
      </c>
      <c r="D12" s="117"/>
      <c r="E12" s="74">
        <f>-SUM([1]Retail!$O$29,[1]Retail!$R$29:$V$29,[1]Retail!$Y$29,[1]Retail!$AB$29,[1]Retail!$AU$29,[1]Retail!$AX$29,[1]Retail!$BA$29,[1]Retail!$BD$29)/1000/E9</f>
        <v>6.1285318517612423E-2</v>
      </c>
      <c r="F12" s="42">
        <f>-SUM([1]Retail!$O$30,[1]Retail!$R$30:$V$30,[1]Retail!$Y$30,[1]Retail!$AB$30,[1]Retail!$AU$30,[1]Retail!$AX$30,[1]Retail!$BA$30,[1]Retail!$BD$30)/1000/F9</f>
        <v>0.86744514534133788</v>
      </c>
      <c r="G12" s="42" t="e">
        <f>-SUM([1]Retail!$O$31,[1]Retail!$R$31:$V$31,[1]Retail!$Y$31,[1]Retail!$AB$31,[1]Retail!$AU$31,[1]Retail!$AX$31,[1]Retail!$BA$31,[1]Retail!$BD$31)/1000/G9</f>
        <v>#DIV/0!</v>
      </c>
      <c r="H12" s="117"/>
      <c r="I12" s="73">
        <f>-SUM([1]SME!$O$29,[1]SME!$R$29:$V$29,[1]SME!$Y$29,[1]SME!$AB$29,[1]SME!$AU$29,[1]SME!$AX$29,[1]SME!$BA$29,[1]SME!$BD$29)/1000/I9</f>
        <v>0.60795808264468731</v>
      </c>
      <c r="J12" s="42">
        <f>-SUM([1]SME!$O$30,[1]SME!$R$30:$V$30,[1]SME!$Y$30,[1]SME!$AB$30,[1]SME!$AU$30,[1]SME!$AX$30,[1]SME!$BA$30,[1]SME!$BD$30)/1000/J9</f>
        <v>0.52107185063854888</v>
      </c>
      <c r="K12" s="42">
        <f>-SUM([1]SME!$O$31,[1]SME!$R$31:$V$31,[1]SME!$Y$31,[1]SME!$AB$31,[1]SME!$AU$31,[1]SME!$AX$31,[1]SME!$BA$31,[1]SME!$BD$31)/1000/K9</f>
        <v>0.55247915274024351</v>
      </c>
      <c r="L12" s="117"/>
      <c r="M12" s="73">
        <f>-SUM([1]MidCorp!$O$29,[1]MidCorp!$R$29:$V$29,[1]MidCorp!$Y$29,[1]MidCorp!$AB$29,[1]MidCorp!$AU$29,[1]MidCorp!$AX$29,[1]MidCorp!$BA$29,[1]MidCorp!$BD$29)/1000/M9</f>
        <v>0.64185157000257242</v>
      </c>
      <c r="N12" s="42">
        <f>-SUM([1]MidCorp!$O$30,[1]MidCorp!$R$30:$V$30,[1]MidCorp!$Y$30,[1]MidCorp!$AB$30,[1]MidCorp!$AU$30,[1]MidCorp!$AX$30,[1]MidCorp!$BA$30,[1]MidCorp!$BD$30)/1000/N9</f>
        <v>0.58438227545387544</v>
      </c>
      <c r="O12" s="42">
        <f>-SUM([1]MidCorp!$O$31,[1]MidCorp!$R$31:$V$31,[1]MidCorp!$Y$31,[1]MidCorp!$AB$31,[1]MidCorp!$AU$31,[1]MidCorp!$AX$31,[1]MidCorp!$BA$31,[1]MidCorp!$BD$31)/1000/O9</f>
        <v>0.58771727654174932</v>
      </c>
      <c r="P12" s="117"/>
      <c r="Q12" s="73">
        <f>-SUM([1]MGA!$O$29,[1]MGA!$R$29:$V$29,[1]MGA!$Y$29,[1]MGA!$AB$29,[1]MGA!$AU$29,[1]MGA!$AX$29,[1]MGA!$BA$29,[1]MGA!$BD$29)/1000/Q9</f>
        <v>0.64391621520121911</v>
      </c>
      <c r="R12" s="42">
        <f>-SUM([1]MGA!$O$30,[1]MGA!$R$30:$V$30,[1]MGA!$Y$30,[1]MGA!$AB$30,[1]MGA!$AU$30,[1]MGA!$AX$30,[1]MGA!$BA$30,[1]MGA!$BD$30)/1000/R9</f>
        <v>0.61171307195112057</v>
      </c>
      <c r="S12" s="42">
        <f>-SUM([1]MGA!$O$31,[1]MGA!$R$31:$V$31,[1]MGA!$Y$31,[1]MGA!$AB$31,[1]MGA!$AU$31,[1]MGA!$AX$31,[1]MGA!$BA$31,[1]MGA!$BD$31)/1000/S9</f>
        <v>0.58252739915923113</v>
      </c>
      <c r="T12" s="117"/>
      <c r="U12" s="97"/>
      <c r="V12" s="42"/>
      <c r="W12" s="42"/>
      <c r="X12" s="117"/>
      <c r="Y12" s="97"/>
      <c r="Z12" s="42"/>
      <c r="AA12" s="42"/>
      <c r="AB12" s="117"/>
      <c r="AC12" s="84">
        <f>-SUM('[1]Total P&amp;C'!$O$29,'[1]Total P&amp;C'!$R$29:$V$29,'[1]Total P&amp;C'!$Y$29,'[1]Total P&amp;C'!$AB$29,'[1]Total P&amp;C'!$AU$29,'[1]Total P&amp;C'!$AX$29,'[1]Total P&amp;C'!$BA$29,'[1]Total P&amp;C'!$BD$29)/1000/AC9</f>
        <v>0.62970012508841</v>
      </c>
      <c r="AD12" s="60">
        <f>-SUM('[1]Total P&amp;C'!$O$30,'[1]Total P&amp;C'!$R$30:$V$30,'[1]Total P&amp;C'!$Y$30,'[1]Total P&amp;C'!$AB$30,'[1]Total P&amp;C'!$AU$30,'[1]Total P&amp;C'!$AX$30,'[1]Total P&amp;C'!$BA$30,'[1]Total P&amp;C'!$BD$30)/1000/AD9</f>
        <v>0.58612494767589762</v>
      </c>
      <c r="AE12" s="60">
        <f>-SUM('[1]Total P&amp;C'!$O$31,'[1]Total P&amp;C'!$R$31:$V$31,'[1]Total P&amp;C'!$Y$31,'[1]Total P&amp;C'!$AB$31,'[1]Total P&amp;C'!$AU$31,'[1]Total P&amp;C'!$AX$31,'[1]Total P&amp;C'!$BA$31,'[1]Total P&amp;C'!$BD$31)/1000/AE9</f>
        <v>0.58227822866047696</v>
      </c>
      <c r="AG12" s="212"/>
      <c r="AH12" s="115"/>
      <c r="AI12" s="38" t="s">
        <v>23</v>
      </c>
      <c r="AJ12" s="117"/>
      <c r="AK12" s="73">
        <f>-SUM([2]Retail!$O$29,[2]Retail!$R$29:$V$29,[2]Retail!$Y$29,[2]Retail!$AB$29,[2]Retail!$AU$29,[2]Retail!$AX$29,[2]Retail!$BA$29,[2]Retail!$BD$29)/1000/AK9</f>
        <v>0.65711188384151675</v>
      </c>
      <c r="AL12" s="42">
        <f>-SUM([2]Retail!$O$30,[2]Retail!$R$30:$V$30,[2]Retail!$Y$30,[2]Retail!$AB$30,[2]Retail!$AU$30,[2]Retail!$AX$30,[2]Retail!$BA$30,[2]Retail!$BD$30)/1000/AL9</f>
        <v>0.69138911288737859</v>
      </c>
      <c r="AM12" s="42">
        <f>-SUM([2]Retail!$O$31,[2]Retail!$R$31:$V$31,[2]Retail!$Y$31,[2]Retail!$AB$31,[2]Retail!$AU$31,[2]Retail!$AX$31,[2]Retail!$BA$31,[2]Retail!$BD$31)/1000/AM9</f>
        <v>0.56942388838642255</v>
      </c>
      <c r="AN12" s="117"/>
      <c r="AO12" s="73">
        <f>-SUM([2]SME!$O$29,[2]SME!$R$29:$V$29,[2]SME!$Y$29,[2]SME!$AB$29,[2]SME!$AU$29,[2]SME!$AX$29,[2]SME!$BA$29,[2]SME!$BD$29)/1000/AO9</f>
        <v>0.77891660054501144</v>
      </c>
      <c r="AP12" s="42">
        <f>-SUM([2]SME!$O$30,[2]SME!$R$30:$V$30,[2]SME!$Y$30,[2]SME!$AB$30,[2]SME!$AU$30,[2]SME!$AX$30,[2]SME!$BA$30,[2]SME!$BD$30)/1000/AP9</f>
        <v>0.55232457734319551</v>
      </c>
      <c r="AQ12" s="42">
        <f>-SUM([2]SME!$O$31,[2]SME!$R$31:$V$31,[2]SME!$Y$31,[2]SME!$AB$31,[2]SME!$AU$31,[2]SME!$AX$31,[2]SME!$BA$31,[2]SME!$BD$31)/1000/AQ9</f>
        <v>0.6332555784414452</v>
      </c>
      <c r="AR12" s="117"/>
      <c r="AS12" s="73">
        <f>-SUM([2]MidCorp!$O$29,[2]MidCorp!$R$29:$V$29,[2]MidCorp!$Y$29,[2]MidCorp!$AB$29,[2]MidCorp!$AU$29,[2]MidCorp!$AX$29,[2]MidCorp!$BA$29,[2]MidCorp!$BD$29)/1000/AS9</f>
        <v>0.91936446876212852</v>
      </c>
      <c r="AT12" s="42">
        <f>-SUM([2]MidCorp!$O$30,[2]MidCorp!$R$30:$V$30,[2]MidCorp!$Y$30,[2]MidCorp!$AB$30,[2]MidCorp!$AU$30,[2]MidCorp!$AX$30,[2]MidCorp!$BA$30,[2]MidCorp!$BD$30)/1000/AT9</f>
        <v>0.84277604172935261</v>
      </c>
      <c r="AU12" s="42">
        <f>-SUM([2]MidCorp!$O$31,[2]MidCorp!$R$31:$V$31,[2]MidCorp!$Y$31,[2]MidCorp!$AB$31,[2]MidCorp!$AU$31,[2]MidCorp!$AX$31,[2]MidCorp!$BA$31,[2]MidCorp!$BD$31)/1000/AU9</f>
        <v>0.6690906924540776</v>
      </c>
      <c r="AV12" s="117"/>
      <c r="AW12" s="97"/>
      <c r="AX12" s="42"/>
      <c r="AY12" s="42"/>
      <c r="AZ12" s="117"/>
      <c r="BA12" s="97"/>
      <c r="BB12" s="42"/>
      <c r="BC12" s="42"/>
      <c r="BD12" s="117"/>
      <c r="BE12" s="97"/>
      <c r="BF12" s="42"/>
      <c r="BG12" s="42"/>
      <c r="BH12" s="117"/>
      <c r="BI12" s="84">
        <f>-SUM('[2]Total P&amp;C'!$O$29,'[2]Total P&amp;C'!$R$29:$V$29,'[2]Total P&amp;C'!$Y$29,'[2]Total P&amp;C'!$AB$29,'[2]Total P&amp;C'!$AU$29,'[2]Total P&amp;C'!$AX$29,'[2]Total P&amp;C'!$BA$29,'[2]Total P&amp;C'!$BD$29)/1000/BI9</f>
        <v>0.76087938284486956</v>
      </c>
      <c r="BJ12" s="60">
        <f>-SUM('[2]Total P&amp;C'!$O$30,'[2]Total P&amp;C'!$R$30:$V$30,'[2]Total P&amp;C'!$Y$30,'[2]Total P&amp;C'!$AB$30,'[2]Total P&amp;C'!$AU$30,'[2]Total P&amp;C'!$AX$30,'[2]Total P&amp;C'!$BA$30,'[2]Total P&amp;C'!$BD$30)/1000/BJ9</f>
        <v>0.72216425664088069</v>
      </c>
      <c r="BK12" s="60">
        <f>-SUM('[2]Total P&amp;C'!$O$31,'[2]Total P&amp;C'!$R$31:$V$31,'[2]Total P&amp;C'!$Y$31,'[2]Total P&amp;C'!$AB$31,'[2]Total P&amp;C'!$AU$31,'[2]Total P&amp;C'!$AX$31,'[2]Total P&amp;C'!$BA$31,'[2]Total P&amp;C'!$BD$31)/1000/BK9</f>
        <v>0.61034398476615803</v>
      </c>
      <c r="BM12" s="84">
        <f>-SUM('[3]Total P&amp;C'!$O$29,'[3]Total P&amp;C'!$R$29:$V$29,'[3]Total P&amp;C'!$Y$29,'[3]Total P&amp;C'!$AB$29,'[3]Total P&amp;C'!$AU$29,'[3]Total P&amp;C'!$AX$29,'[3]Total P&amp;C'!$BA$29,'[3]Total P&amp;C'!$BD$29)/1000/BM9</f>
        <v>0.65272377451249319</v>
      </c>
      <c r="BN12" s="60">
        <f>-SUM('[3]Total P&amp;C'!$O$30,'[3]Total P&amp;C'!$R$30:$V$30,'[3]Total P&amp;C'!$Y$30,'[3]Total P&amp;C'!$AB$30,'[3]Total P&amp;C'!$AU$30,'[3]Total P&amp;C'!$AX$30,'[3]Total P&amp;C'!$BA$30,'[3]Total P&amp;C'!$BD$30)/1000/BN9</f>
        <v>0.61254636453284483</v>
      </c>
      <c r="BO12" s="60">
        <f>-SUM('[3]Total P&amp;C'!$O$31,'[3]Total P&amp;C'!$R$31:$V$31,'[3]Total P&amp;C'!$Y$31,'[3]Total P&amp;C'!$AB$31,'[3]Total P&amp;C'!$AU$31,'[3]Total P&amp;C'!$AX$31,'[3]Total P&amp;C'!$BA$31,'[3]Total P&amp;C'!$BD$31)/1000/BO9</f>
        <v>0.58751587054947729</v>
      </c>
    </row>
    <row r="13" spans="1:67" ht="14.5" hidden="1" x14ac:dyDescent="0.3">
      <c r="A13" s="212"/>
      <c r="B13" s="115"/>
      <c r="C13" s="38" t="s">
        <v>24</v>
      </c>
      <c r="D13" s="134"/>
      <c r="E13" s="74">
        <f>-([1]Retail!$P$29+[1]Retail!$W$29+[1]Retail!$AV$29+[1]Retail!$AY$29)/1000/E9</f>
        <v>0</v>
      </c>
      <c r="F13" s="42">
        <f>-([1]Retail!$P$30+[1]Retail!$W$30+[1]Retail!$AV$30+[1]Retail!$AY$30)/1000/F9</f>
        <v>0</v>
      </c>
      <c r="G13" s="42" t="e">
        <f>-([1]Retail!$P$31+[1]Retail!$W$31+[1]Retail!$AV$31+[1]Retail!$AY$31)/1000/G9</f>
        <v>#DIV/0!</v>
      </c>
      <c r="H13" s="134"/>
      <c r="I13" s="74">
        <f>-([1]SME!$P$29+[1]SME!$W$29+[1]SME!$AV$29+[1]SME!$AY$29)/1000/I9</f>
        <v>0</v>
      </c>
      <c r="J13" s="42">
        <f>-([1]SME!$P$30+[1]SME!$W$30+[1]SME!$AV$30+[1]SME!$AY$30)/1000/J9</f>
        <v>0</v>
      </c>
      <c r="K13" s="42">
        <f>-([1]SME!$P$31+[1]SME!$W$31+[1]SME!$AV$31+[1]SME!$AY$31)/1000/K9</f>
        <v>1.1985146523785569E-2</v>
      </c>
      <c r="L13" s="134"/>
      <c r="M13" s="74">
        <f>-([1]MidCorp!$P$29+[1]MidCorp!$W$29+[1]MidCorp!$AV$29+[1]MidCorp!$AY$29)/1000/M9</f>
        <v>0</v>
      </c>
      <c r="N13" s="42">
        <f>-([1]MidCorp!$P$30+[1]MidCorp!$W$30+[1]MidCorp!$AV$30+[1]MidCorp!$AY$30)/1000/N9</f>
        <v>0</v>
      </c>
      <c r="O13" s="42">
        <f>-([1]MidCorp!$P$31+[1]MidCorp!$W$31+[1]MidCorp!$AV$31+[1]MidCorp!$AY$31)/1000/O9</f>
        <v>9.5937087699476762E-3</v>
      </c>
      <c r="P13" s="134"/>
      <c r="Q13" s="74">
        <f>-([1]MGA!$P$29+[1]MGA!$W$29+[1]MGA!$AV$29+[1]MGA!$AY$29)/1000/Q9</f>
        <v>8.9911084157499654E-5</v>
      </c>
      <c r="R13" s="42">
        <f>-([1]MGA!$P$30+[1]MGA!$W$30+[1]MGA!$AV$30+[1]MGA!$AY$30)/1000/R9</f>
        <v>0</v>
      </c>
      <c r="S13" s="42">
        <f>-([1]MGA!$P$31+[1]MGA!$W$31+[1]MGA!$AV$31+[1]MGA!$AY$31)/1000/S9</f>
        <v>1.3029691670704144E-2</v>
      </c>
      <c r="T13" s="134"/>
      <c r="U13" s="97"/>
      <c r="V13" s="42"/>
      <c r="W13" s="42"/>
      <c r="X13" s="134"/>
      <c r="Y13" s="97"/>
      <c r="Z13" s="42"/>
      <c r="AA13" s="42"/>
      <c r="AB13" s="134"/>
      <c r="AC13" s="85">
        <f>-('[1]Total P&amp;C'!$P$29+'[1]Total P&amp;C'!$W$29+'[1]Total P&amp;C'!$AV$29+'[1]Total P&amp;C'!$AY$29)/1000/AC9</f>
        <v>2.1716791080879629E-5</v>
      </c>
      <c r="AD13" s="60">
        <f>-('[1]Total P&amp;C'!$P$30+'[1]Total P&amp;C'!$W$30+'[1]Total P&amp;C'!$AV$30+'[1]Total P&amp;C'!$AY$30)/1000/AD9</f>
        <v>0</v>
      </c>
      <c r="AE13" s="60">
        <f>-('[1]Total P&amp;C'!$P$31+'[1]Total P&amp;C'!$W$31+'[1]Total P&amp;C'!$AV$31+'[1]Total P&amp;C'!$AY$31)/1000/AE9</f>
        <v>1.0840629593532283E-2</v>
      </c>
      <c r="AG13" s="212"/>
      <c r="AH13" s="115"/>
      <c r="AI13" s="38" t="s">
        <v>24</v>
      </c>
      <c r="AJ13" s="134"/>
      <c r="AK13" s="74">
        <f>-([2]Retail!$P$29+[2]Retail!$W$29+[2]Retail!$AV$29+[2]Retail!$AY$29)/1000/AK9</f>
        <v>6.4228578934651353E-4</v>
      </c>
      <c r="AL13" s="42">
        <f>-([2]Retail!$P$30+[2]Retail!$W$30+[2]Retail!$AV$30+[2]Retail!$AY$30)/1000/AL9</f>
        <v>0</v>
      </c>
      <c r="AM13" s="42">
        <f>-([2]Retail!$P$31+[2]Retail!$W$31+[2]Retail!$AV$31+[2]Retail!$AY$31)/1000/AM9</f>
        <v>8.913856654558518E-3</v>
      </c>
      <c r="AN13" s="134"/>
      <c r="AO13" s="74">
        <f>-([2]SME!$P$29+[2]SME!$W$29+[2]SME!$AV$29+[2]SME!$AY$29)/1000/AO9</f>
        <v>2.9749041896267045E-3</v>
      </c>
      <c r="AP13" s="42">
        <f>-([2]SME!$P$30+[2]SME!$W$30+[2]SME!$AV$30+[2]SME!$AY$30)/1000/AP9</f>
        <v>0</v>
      </c>
      <c r="AQ13" s="42">
        <f>-([2]SME!$P$31+[2]SME!$W$31+[2]SME!$AV$31+[2]SME!$AY$31)/1000/AQ9</f>
        <v>1.2201748253035879E-2</v>
      </c>
      <c r="AR13" s="134"/>
      <c r="AS13" s="74">
        <f>-([2]MidCorp!$P$29+[2]MidCorp!$W$29+[2]MidCorp!$AV$29+[2]MidCorp!$AY$29)/1000/AS9</f>
        <v>4.4565363191976837E-4</v>
      </c>
      <c r="AT13" s="42">
        <f>-([2]MidCorp!$P$30+[2]MidCorp!$W$30+[2]MidCorp!$AV$30+[2]MidCorp!$AY$30)/1000/AT9</f>
        <v>0</v>
      </c>
      <c r="AU13" s="42">
        <f>-([2]MidCorp!$P$31+[2]MidCorp!$W$31+[2]MidCorp!$AV$31+[2]MidCorp!$AY$31)/1000/AU9</f>
        <v>1.0818402245845245E-2</v>
      </c>
      <c r="AV13" s="134"/>
      <c r="AW13" s="97"/>
      <c r="AX13" s="42"/>
      <c r="AY13" s="42"/>
      <c r="AZ13" s="134"/>
      <c r="BA13" s="97"/>
      <c r="BB13" s="42"/>
      <c r="BC13" s="42"/>
      <c r="BD13" s="134"/>
      <c r="BE13" s="97"/>
      <c r="BF13" s="42"/>
      <c r="BG13" s="42"/>
      <c r="BH13" s="134"/>
      <c r="BI13" s="85">
        <f>-('[2]Total P&amp;C'!$P$29+'[2]Total P&amp;C'!$W$29+'[2]Total P&amp;C'!$AV$29+'[2]Total P&amp;C'!$AY$29)/1000/BI9</f>
        <v>9.5738069758777051E-4</v>
      </c>
      <c r="BJ13" s="60">
        <f>-('[2]Total P&amp;C'!$P$30+'[2]Total P&amp;C'!$W$30+'[2]Total P&amp;C'!$AV$30+'[2]Total P&amp;C'!$AY$30)/1000/BJ9</f>
        <v>0</v>
      </c>
      <c r="BK13" s="60">
        <f>-('[2]Total P&amp;C'!$P$31+'[2]Total P&amp;C'!$W$31+'[2]Total P&amp;C'!$AV$31+'[2]Total P&amp;C'!$AY$31)/1000/BK9</f>
        <v>1.0035832943605154E-2</v>
      </c>
      <c r="BM13" s="85">
        <f>-('[3]Total P&amp;C'!$P$29+'[3]Total P&amp;C'!$W$29+'[3]Total P&amp;C'!$AV$29+'[3]Total P&amp;C'!$AY$29)/1000/BM9</f>
        <v>1.859378587299854E-4</v>
      </c>
      <c r="BN13" s="60">
        <f>-('[3]Total P&amp;C'!$P$30+'[3]Total P&amp;C'!$W$30+'[3]Total P&amp;C'!$AV$30+'[3]Total P&amp;C'!$AY$30)/1000/BN9</f>
        <v>0</v>
      </c>
      <c r="BO13" s="60">
        <f>-('[3]Total P&amp;C'!$P$31+'[3]Total P&amp;C'!$W$31+'[3]Total P&amp;C'!$AV$31+'[3]Total P&amp;C'!$AY$31)/1000/BO9</f>
        <v>1.0690438142074038E-2</v>
      </c>
    </row>
    <row r="14" spans="1:67" ht="14.5" hidden="1" x14ac:dyDescent="0.3">
      <c r="A14" s="212"/>
      <c r="B14" s="115"/>
      <c r="C14" s="38" t="s">
        <v>25</v>
      </c>
      <c r="D14" s="134"/>
      <c r="E14" s="73">
        <f>-([1]Retail!$Q$29+[1]Retail!$X$29+[1]Retail!$AW$29+[1]Retail!$AZ$29)/1000/E9</f>
        <v>0</v>
      </c>
      <c r="F14" s="42">
        <f>-([1]Retail!$Q$30+[1]Retail!$X$30+[1]Retail!$AW$30+[1]Retail!$AZ$30)/1000/F9</f>
        <v>0.65445300022247199</v>
      </c>
      <c r="G14" s="42" t="e">
        <f>-([1]Retail!$Q$31+[1]Retail!$X$31+[1]Retail!$AW$31+[1]Retail!$AZ$31)/1000/G9</f>
        <v>#DIV/0!</v>
      </c>
      <c r="H14" s="134"/>
      <c r="I14" s="97">
        <f>-([1]SME!$Q$29+[1]SME!$X$29-[1]SME!$AW$29+[1]SME!$AZ$29)/1000/I9</f>
        <v>7.9414013941947234E-2</v>
      </c>
      <c r="J14" s="42">
        <f>-([1]SME!$Q$30+[1]SME!$X$30+[1]SME!$AW$30+[1]SME!$AZ$30)/1000/J9</f>
        <v>2.5017484299393218E-2</v>
      </c>
      <c r="K14" s="42">
        <f>-([1]SME!$Q$31+[1]SME!$X$31+[1]SME!$AW$31+[1]SME!$AZ$31)/1000/K9</f>
        <v>7.7011229777201193E-2</v>
      </c>
      <c r="L14" s="134"/>
      <c r="M14" s="73">
        <f>-([1]MidCorp!$Q$29+[1]MidCorp!$X$29+[1]MidCorp!$AW$29+[1]MidCorp!$AZ$29)/1000/M9</f>
        <v>9.8017172230778896E-2</v>
      </c>
      <c r="N14" s="42">
        <f>-([1]MidCorp!$Q$30+[1]MidCorp!$X$30+[1]MidCorp!$AW$30+[1]MidCorp!$AZ$30)/1000/N9</f>
        <v>8.9559399913467438E-2</v>
      </c>
      <c r="O14" s="42">
        <f>-([1]MidCorp!$Q$31+[1]MidCorp!$X$31+[1]MidCorp!$AW$31+[1]MidCorp!$AZ$31)/1000/O9</f>
        <v>8.3244052191466883E-2</v>
      </c>
      <c r="P14" s="134"/>
      <c r="Q14" s="74">
        <f>-([1]MGA!$Q$29+[1]MGA!$X$29+[1]MGA!$AW$29+[1]MGA!$AZ$29)/1000/Q9</f>
        <v>6.3195475898832593E-2</v>
      </c>
      <c r="R14" s="42">
        <f>-([1]MGA!$Q$30+[1]MGA!$X$30+[1]MGA!$AW$30+[1]MGA!$AZ$30)/1000/R9</f>
        <v>8.1869221829551322E-2</v>
      </c>
      <c r="S14" s="42">
        <f>-([1]MGA!$Q$31+[1]MGA!$X$31+[1]MGA!$AW$31+[1]MGA!$AZ$31)/1000/S9</f>
        <v>6.88960575696939E-2</v>
      </c>
      <c r="T14" s="134"/>
      <c r="U14" s="97"/>
      <c r="V14" s="42"/>
      <c r="W14" s="42"/>
      <c r="X14" s="134"/>
      <c r="Y14" s="97"/>
      <c r="Z14" s="42"/>
      <c r="AA14" s="42"/>
      <c r="AB14" s="134"/>
      <c r="AC14" s="84">
        <f>-('[1]Total P&amp;C'!$Q$29+'[1]Total P&amp;C'!$X$29+'[1]Total P&amp;C'!$AW$29+'[1]Total P&amp;C'!$AZ$29)/1000/AC9</f>
        <v>8.5804063377646886E-2</v>
      </c>
      <c r="AD14" s="60">
        <f>-('[1]Total P&amp;C'!$Q$30+'[1]Total P&amp;C'!$X$30+'[1]Total P&amp;C'!$AW$30+'[1]Total P&amp;C'!$AZ$30)/1000/AD9</f>
        <v>8.8205306136729431E-2</v>
      </c>
      <c r="AE14" s="60">
        <f>-('[1]Total P&amp;C'!$Q$31+'[1]Total P&amp;C'!$X$31+'[1]Total P&amp;C'!$AW$31+'[1]Total P&amp;C'!$AZ$31)/1000/AE9</f>
        <v>7.8567686644511622E-2</v>
      </c>
      <c r="AG14" s="212"/>
      <c r="AH14" s="115"/>
      <c r="AI14" s="38" t="s">
        <v>25</v>
      </c>
      <c r="AJ14" s="134"/>
      <c r="AK14" s="97">
        <f>-([2]Retail!$Q$29+[2]Retail!$X$29+[2]Retail!$AW$29+[2]Retail!$AZ$29)/1000/AK9</f>
        <v>5.0869013852071356E-2</v>
      </c>
      <c r="AL14" s="42">
        <f>-([2]Retail!$Q$30+[2]Retail!$X$30+[2]Retail!$AW$30+[2]Retail!$AZ$30)/1000/AL9</f>
        <v>6.6791023690554327E-2</v>
      </c>
      <c r="AM14" s="42">
        <f>-([2]Retail!$Q$31+[2]Retail!$X$31+[2]Retail!$AW$31+[2]Retail!$AZ$31)/1000/AM9</f>
        <v>4.5930479503129944E-2</v>
      </c>
      <c r="AN14" s="134"/>
      <c r="AO14" s="73">
        <f>-([2]SME!$Q$29+[2]SME!$X$29-[2]SME!$AW$29+[2]SME!$AZ$29)/1000/AO9</f>
        <v>6.5168147429047349E-2</v>
      </c>
      <c r="AP14" s="42">
        <f>-([2]SME!$Q$30+[2]SME!$X$30+[2]SME!$AW$30+[2]SME!$AZ$30)/1000/AP9</f>
        <v>4.1247306215198037E-2</v>
      </c>
      <c r="AQ14" s="42">
        <f>-([2]SME!$Q$31+[2]SME!$X$31+[2]SME!$AW$31+[2]SME!$AZ$31)/1000/AQ9</f>
        <v>5.9445082588271671E-2</v>
      </c>
      <c r="AR14" s="134"/>
      <c r="AS14" s="74">
        <f>-([2]MidCorp!$Q$29+[2]MidCorp!$X$29+[2]MidCorp!$AW$29+[2]MidCorp!$AZ$29)/1000/AS9</f>
        <v>6.8561242686389884E-2</v>
      </c>
      <c r="AT14" s="42">
        <f>-([2]MidCorp!$Q$30+[2]MidCorp!$X$30+[2]MidCorp!$AW$30+[2]MidCorp!$AZ$30)/1000/AT9</f>
        <v>3.5598212763081734E-2</v>
      </c>
      <c r="AU14" s="42">
        <f>-([2]MidCorp!$Q$31+[2]MidCorp!$X$31+[2]MidCorp!$AW$31+[2]MidCorp!$AZ$31)/1000/AU9</f>
        <v>7.6820009266159672E-2</v>
      </c>
      <c r="AV14" s="134"/>
      <c r="AW14" s="97"/>
      <c r="AX14" s="42"/>
      <c r="AY14" s="42"/>
      <c r="AZ14" s="134"/>
      <c r="BA14" s="97"/>
      <c r="BB14" s="42"/>
      <c r="BC14" s="42"/>
      <c r="BD14" s="134"/>
      <c r="BE14" s="97"/>
      <c r="BF14" s="42"/>
      <c r="BG14" s="42"/>
      <c r="BH14" s="134"/>
      <c r="BI14" s="99">
        <f>-('[2]Total P&amp;C'!$Q$29+'[2]Total P&amp;C'!$X$29+'[2]Total P&amp;C'!$AW$29+'[2]Total P&amp;C'!$AZ$29)/1000/BI9</f>
        <v>5.8855247004635229E-2</v>
      </c>
      <c r="BJ14" s="60">
        <f>-('[2]Total P&amp;C'!$Q$30+'[2]Total P&amp;C'!$X$30+'[2]Total P&amp;C'!$AW$30+'[2]Total P&amp;C'!$AZ$30)/1000/BJ9</f>
        <v>5.1791686080602695E-2</v>
      </c>
      <c r="BK14" s="60">
        <f>-('[2]Total P&amp;C'!$Q$31+'[2]Total P&amp;C'!$X$31+'[2]Total P&amp;C'!$AW$31+'[2]Total P&amp;C'!$AZ$31)/1000/BK9</f>
        <v>5.7582110900048694E-2</v>
      </c>
      <c r="BM14" s="84">
        <f>-('[3]Total P&amp;C'!$Q$29+'[3]Total P&amp;C'!$X$29+'[3]Total P&amp;C'!$AW$29+'[3]Total P&amp;C'!$AZ$29)/1000/BM9</f>
        <v>8.1074198983093468E-2</v>
      </c>
      <c r="BN14" s="60">
        <f>-('[3]Total P&amp;C'!$Q$30+'[3]Total P&amp;C'!$X$30+'[3]Total P&amp;C'!$AW$30+'[3]Total P&amp;C'!$AZ$30)/1000/BN9</f>
        <v>8.1133089715657608E-2</v>
      </c>
      <c r="BO14" s="60">
        <f>-('[3]Total P&amp;C'!$Q$31+'[3]Total P&amp;C'!$X$31+'[3]Total P&amp;C'!$AW$31+'[3]Total P&amp;C'!$AZ$31)/1000/BO9</f>
        <v>7.4651350659473398E-2</v>
      </c>
    </row>
    <row r="15" spans="1:67" ht="14.5" hidden="1" x14ac:dyDescent="0.3">
      <c r="A15" s="212"/>
      <c r="B15" s="115"/>
      <c r="C15" s="38" t="s">
        <v>53</v>
      </c>
      <c r="D15" s="134"/>
      <c r="E15" s="73">
        <f>-[1]Retail!$AT$29/1000/E9</f>
        <v>7.9006957628776187E-2</v>
      </c>
      <c r="F15" s="42">
        <f>-[1]Retail!$AT$30/1000/F9</f>
        <v>9.056758085789593E-2</v>
      </c>
      <c r="G15" s="42" t="e">
        <f>-[1]Retail!$AT$31/1000/G9</f>
        <v>#DIV/0!</v>
      </c>
      <c r="H15" s="134"/>
      <c r="I15" s="73">
        <f>-[1]SME!$AT$29/1000/I9</f>
        <v>2.423629552099741E-2</v>
      </c>
      <c r="J15" s="42">
        <f>-[1]SME!$AT$30/1000/J9</f>
        <v>2.4904146347319002E-2</v>
      </c>
      <c r="K15" s="42">
        <f>-[1]SME!$AT$31/1000/K9</f>
        <v>2.2292102254837954E-2</v>
      </c>
      <c r="L15" s="134"/>
      <c r="M15" s="74">
        <f>-[1]MidCorp!$AT$29/1000/M9</f>
        <v>2.5735986928534824E-2</v>
      </c>
      <c r="N15" s="42">
        <f>-[1]MidCorp!$AT$30/1000/N9</f>
        <v>7.5501677064985798E-2</v>
      </c>
      <c r="O15" s="42">
        <f>-[1]MidCorp!$AT$31/1000/O9</f>
        <v>9.1858397608984191E-2</v>
      </c>
      <c r="P15" s="134"/>
      <c r="Q15" s="74">
        <f>-[1]MGA!$AT$29/1000/Q9</f>
        <v>1.6675128627784235E-2</v>
      </c>
      <c r="R15" s="42">
        <f>-[1]MGA!$AT$30/1000/R9</f>
        <v>2.0444107570230064E-2</v>
      </c>
      <c r="S15" s="42">
        <f>-[1]MGA!$AT$31/1000/S9</f>
        <v>2.5759851075112639E-2</v>
      </c>
      <c r="T15" s="134"/>
      <c r="U15" s="97"/>
      <c r="V15" s="42"/>
      <c r="W15" s="42"/>
      <c r="X15" s="134"/>
      <c r="Y15" s="97"/>
      <c r="Z15" s="42"/>
      <c r="AA15" s="42"/>
      <c r="AB15" s="134"/>
      <c r="AC15" s="85">
        <f>-'[1]Total P&amp;C'!$AT$29/1000/AC9</f>
        <v>2.0392798893715113E-2</v>
      </c>
      <c r="AD15" s="60">
        <f>-'[1]Total P&amp;C'!$AT$30/1000/AD9</f>
        <v>5.1646048583266178E-2</v>
      </c>
      <c r="AE15" s="60">
        <f>-'[1]Total P&amp;C'!$AT$31/1000/AE9</f>
        <v>6.4540745698959137E-2</v>
      </c>
      <c r="AG15" s="212"/>
      <c r="AH15" s="115"/>
      <c r="AI15" s="38" t="s">
        <v>53</v>
      </c>
      <c r="AJ15" s="134"/>
      <c r="AK15" s="74">
        <f>-[2]Retail!$AT$29/1000/AK9</f>
        <v>1.9070219488255512E-2</v>
      </c>
      <c r="AL15" s="42">
        <f>-[2]Retail!$AT$30/1000/AL9</f>
        <v>5.727167948928167E-2</v>
      </c>
      <c r="AM15" s="42">
        <f>-[2]Retail!$AT$31/1000/AM9</f>
        <v>3.0124093303705839E-2</v>
      </c>
      <c r="AN15" s="134"/>
      <c r="AO15" s="74">
        <f>-[2]SME!$AT$29/1000/AO9</f>
        <v>1.5199834453524292E-2</v>
      </c>
      <c r="AP15" s="42">
        <f>-[2]SME!$AT$30/1000/AP9</f>
        <v>2.0465533258653152E-2</v>
      </c>
      <c r="AQ15" s="42">
        <f>-[2]SME!$AT$31/1000/AQ9</f>
        <v>1.6339088460422823E-2</v>
      </c>
      <c r="AR15" s="134"/>
      <c r="AS15" s="74">
        <f>-[2]MidCorp!$AT$29/1000/AS9</f>
        <v>7.9247300975041735E-2</v>
      </c>
      <c r="AT15" s="42">
        <f>-[2]MidCorp!$AT$30/1000/AT9</f>
        <v>6.4991725346627865E-2</v>
      </c>
      <c r="AU15" s="42">
        <f>-[2]MidCorp!$AT$31/1000/AU9</f>
        <v>0.11840346244114748</v>
      </c>
      <c r="AV15" s="134"/>
      <c r="AW15" s="97"/>
      <c r="AX15" s="42"/>
      <c r="AY15" s="42"/>
      <c r="AZ15" s="134"/>
      <c r="BA15" s="97"/>
      <c r="BB15" s="42"/>
      <c r="BC15" s="42"/>
      <c r="BD15" s="134"/>
      <c r="BE15" s="97"/>
      <c r="BF15" s="42"/>
      <c r="BG15" s="42"/>
      <c r="BH15" s="134"/>
      <c r="BI15" s="85">
        <f>-'[2]Total P&amp;C'!$AT$29/1000/BI9</f>
        <v>3.7723241240527436E-2</v>
      </c>
      <c r="BJ15" s="60">
        <f>-'[2]Total P&amp;C'!$AT$30/1000/BJ9</f>
        <v>5.4094096569617826E-2</v>
      </c>
      <c r="BK15" s="60">
        <f>-'[2]Total P&amp;C'!$AT$31/1000/BK9</f>
        <v>5.4806661110864803E-2</v>
      </c>
      <c r="BM15" s="85">
        <f>-'[3]Total P&amp;C'!$AT$29/1000/BM9</f>
        <v>2.3434514754755255E-2</v>
      </c>
      <c r="BN15" s="60">
        <f>-'[3]Total P&amp;C'!$AT$30/1000/BN9</f>
        <v>5.2121505984698988E-2</v>
      </c>
      <c r="BO15" s="60">
        <f>-'[3]Total P&amp;C'!$AT$31/1000/BO9</f>
        <v>6.2724167196755387E-2</v>
      </c>
    </row>
    <row r="16" spans="1:67" hidden="1" x14ac:dyDescent="0.3">
      <c r="A16" s="212"/>
      <c r="B16" s="115"/>
      <c r="C16" s="116" t="s">
        <v>27</v>
      </c>
      <c r="D16" s="134"/>
      <c r="E16" s="126">
        <f>-([1]Retail!$Z$29+[1]Retail!$AA$29+[1]Retail!$BB$29+[1]Retail!$BC$29)/1000/E9</f>
        <v>-9.963983862671482E-3</v>
      </c>
      <c r="F16" s="127">
        <f>-([1]Retail!$Z$30+[1]Retail!$AA$30+[1]Retail!$BB$30+[1]Retail!$BC$30)/1000/F9</f>
        <v>-8.2072746957725637E-2</v>
      </c>
      <c r="G16" s="127" t="e">
        <f>-([1]Retail!$Z$31+[1]Retail!$AA$31+[1]Retail!$BB$31+[1]Retail!$BC$31)/1000/G9</f>
        <v>#DIV/0!</v>
      </c>
      <c r="H16" s="134"/>
      <c r="I16" s="128">
        <f>-([1]SME!$Z$29+[1]SME!$AA$29+[1]SME!$BB$29+[1]SME!$BC$29)/1000/I9</f>
        <v>-3.7544492678818736E-2</v>
      </c>
      <c r="J16" s="127">
        <f>-([1]SME!$Z$30+[1]SME!$AA$30+[1]SME!$BB$30+[1]SME!$BC$30)/1000/J9</f>
        <v>-2.1322549788654339E-2</v>
      </c>
      <c r="K16" s="127">
        <f>-([1]SME!$Z$31+[1]SME!$AA$31+[1]SME!$BB$31+[1]SME!$BC$31)/1000/K9</f>
        <v>-2.2956172183581616E-2</v>
      </c>
      <c r="L16" s="134"/>
      <c r="M16" s="126">
        <f>-([1]MidCorp!$Z$29+[1]MidCorp!$AA$29+[1]MidCorp!$BB$29+[1]MidCorp!$BC$29)/1000/M9</f>
        <v>-4.8980362700686161E-2</v>
      </c>
      <c r="N16" s="127">
        <f>-([1]MidCorp!$Z$30+[1]MidCorp!$AA$30+[1]MidCorp!$BB$30+[1]MidCorp!$BC$30)/1000/N9</f>
        <v>-3.6829430136018068E-2</v>
      </c>
      <c r="O16" s="127">
        <f>-([1]MidCorp!$Z$31+[1]MidCorp!$AA$31+[1]MidCorp!$BB$31+[1]MidCorp!$BC$31)/1000/O9</f>
        <v>-2.4368918147401244E-2</v>
      </c>
      <c r="P16" s="134"/>
      <c r="Q16" s="126">
        <f>-([1]MGA!$Z$29+[1]MGA!$AA$29+[1]MGA!$BB$29+[1]MGA!$BC$29)/1000/Q9</f>
        <v>-3.0589031093701292E-2</v>
      </c>
      <c r="R16" s="127">
        <f>-([1]MGA!$Z$30+[1]MGA!$AA$30+[1]MGA!$BB$30+[1]MGA!$BC$30)/1000/R9</f>
        <v>-3.3686976109030216E-2</v>
      </c>
      <c r="S16" s="127">
        <f>-([1]MGA!$Z$31+[1]MGA!$AA$31+[1]MGA!$BB$31+[1]MGA!$BC$31)/1000/S9</f>
        <v>-2.796870135936461E-2</v>
      </c>
      <c r="T16" s="134"/>
      <c r="U16" s="128"/>
      <c r="V16" s="127"/>
      <c r="W16" s="127"/>
      <c r="X16" s="134"/>
      <c r="Y16" s="126"/>
      <c r="Z16" s="127"/>
      <c r="AA16" s="127"/>
      <c r="AB16" s="134"/>
      <c r="AC16" s="132">
        <f>-('[1]Total P&amp;C'!$Z$29+'[1]Total P&amp;C'!$AA$29+'[1]Total P&amp;C'!$BB$29+'[1]Total P&amp;C'!$BC$29)/1000/AC9</f>
        <v>-4.248947473236999E-2</v>
      </c>
      <c r="AD16" s="130">
        <f>-('[1]Total P&amp;C'!$Z$30+'[1]Total P&amp;C'!$AA$30+'[1]Total P&amp;C'!$BB$30+'[1]Total P&amp;C'!$BC$30)/1000/AD9</f>
        <v>-3.4585864083677233E-2</v>
      </c>
      <c r="AE16" s="130">
        <f>-('[1]Total P&amp;C'!$Z$31+'[1]Total P&amp;C'!$AA$31+'[1]Total P&amp;C'!$BB$31+'[1]Total P&amp;C'!$BC$31)/1000/AE9</f>
        <v>-2.5121450573623874E-2</v>
      </c>
      <c r="AG16" s="212"/>
      <c r="AH16" s="115"/>
      <c r="AI16" s="116" t="s">
        <v>27</v>
      </c>
      <c r="AJ16" s="134"/>
      <c r="AK16" s="126">
        <f>-([2]Retail!$Z$29+[2]Retail!$AA$29+[2]Retail!$BB$29+[2]Retail!$BC$29)/1000/AK9</f>
        <v>-4.3734095686952218E-2</v>
      </c>
      <c r="AL16" s="127">
        <f>-([2]Retail!$Z$30+[2]Retail!$AA$30+[2]Retail!$BB$30+[2]Retail!$BC$30)/1000/AL9</f>
        <v>-3.1585955134313171E-2</v>
      </c>
      <c r="AM16" s="127">
        <f>-([2]Retail!$Z$31+[2]Retail!$AA$31+[2]Retail!$BB$31+[2]Retail!$BC$31)/1000/AM9</f>
        <v>-1.755104868267603E-2</v>
      </c>
      <c r="AN16" s="134"/>
      <c r="AO16" s="128">
        <f>-([2]SME!$Z$29+[2]SME!$AA$29+[2]SME!$BB$29+[2]SME!$BC$29)/1000/AO9</f>
        <v>-3.4793711428611901E-2</v>
      </c>
      <c r="AP16" s="127">
        <f>-([2]SME!$Z$30+[2]SME!$AA$30+[2]SME!$BB$30+[2]SME!$BC$30)/1000/AP9</f>
        <v>-2.3938377780874622E-2</v>
      </c>
      <c r="AQ16" s="127">
        <f>-([2]SME!$Z$31+[2]SME!$AA$31+[2]SME!$BB$31+[2]SME!$BC$31)/1000/AQ9</f>
        <v>-1.9477821052744621E-2</v>
      </c>
      <c r="AR16" s="134"/>
      <c r="AS16" s="126">
        <f>-([2]MidCorp!$Z$29+[2]MidCorp!$AA$29+[2]MidCorp!$BB$29+[2]MidCorp!$BC$29)/1000/AS9</f>
        <v>-5.4958186595184678E-2</v>
      </c>
      <c r="AT16" s="127">
        <f>-([2]MidCorp!$Z$30+[2]MidCorp!$AA$30+[2]MidCorp!$BB$30+[2]MidCorp!$BC$30)/1000/AT9</f>
        <v>-3.6296282725073528E-2</v>
      </c>
      <c r="AU16" s="127">
        <f>-([2]MidCorp!$Z$31+[2]MidCorp!$AA$31+[2]MidCorp!$BB$31+[2]MidCorp!$BC$31)/1000/AU9</f>
        <v>-2.4573048330475678E-2</v>
      </c>
      <c r="AV16" s="134"/>
      <c r="AW16" s="131"/>
      <c r="AX16" s="127"/>
      <c r="AY16" s="127"/>
      <c r="AZ16" s="134"/>
      <c r="BA16" s="131"/>
      <c r="BB16" s="127"/>
      <c r="BC16" s="127"/>
      <c r="BD16" s="134"/>
      <c r="BE16" s="131"/>
      <c r="BF16" s="127"/>
      <c r="BG16" s="127"/>
      <c r="BH16" s="134"/>
      <c r="BI16" s="132">
        <f>-('[2]Total P&amp;C'!$Z$29+'[2]Total P&amp;C'!$AA$29+'[2]Total P&amp;C'!$BB$29+'[2]Total P&amp;C'!$BC$29)/1000/BI9</f>
        <v>-4.5881077626337634E-2</v>
      </c>
      <c r="BJ16" s="130">
        <f>-('[2]Total P&amp;C'!$Z$30+'[2]Total P&amp;C'!$AA$30+'[2]Total P&amp;C'!$BB$30+'[2]Total P&amp;C'!$BC$30)/1000/BJ9</f>
        <v>-3.2013023896437051E-2</v>
      </c>
      <c r="BK16" s="130">
        <f>-('[2]Total P&amp;C'!$Z$31+'[2]Total P&amp;C'!$AA$31+'[2]Total P&amp;C'!$BB$31+'[2]Total P&amp;C'!$BC$31)/1000/BK9</f>
        <v>-2.001144139356778E-2</v>
      </c>
      <c r="BM16" s="132">
        <f>-('[3]Total P&amp;C'!$Z$29+'[3]Total P&amp;C'!$AA$29+'[3]Total P&amp;C'!$BB$29+'[3]Total P&amp;C'!$BC$29)/1000/BM9</f>
        <v>-4.3084744726665798E-2</v>
      </c>
      <c r="BN16" s="130">
        <f>-('[3]Total P&amp;C'!$Z$30+'[3]Total P&amp;C'!$AA$30+'[3]Total P&amp;C'!$BB$30+'[3]Total P&amp;C'!$BC$30)/1000/BN9</f>
        <v>-3.4086169667331169E-2</v>
      </c>
      <c r="BO16" s="130">
        <f>-('[3]Total P&amp;C'!$Z$31+'[3]Total P&amp;C'!$AA$31+'[3]Total P&amp;C'!$BB$31+'[3]Total P&amp;C'!$BC$31)/1000/BO9</f>
        <v>-2.416781875148958E-2</v>
      </c>
    </row>
    <row r="17" spans="1:67" hidden="1" x14ac:dyDescent="0.3">
      <c r="A17" s="212"/>
      <c r="B17" s="115"/>
      <c r="C17" s="116" t="s">
        <v>57</v>
      </c>
      <c r="D17" s="134"/>
      <c r="E17" s="126">
        <f>-SUM([1]Retail!$AC$29:$AI$29,[1]Retail!$BE$29:$BG$29)/1000/E9</f>
        <v>0.18391495014633633</v>
      </c>
      <c r="F17" s="127">
        <f>-SUM([1]Retail!$AC$30:$AI$30,[1]Retail!$BE$30:$BG$30)/1000/F9</f>
        <v>-1.4278632840939753</v>
      </c>
      <c r="G17" s="127" t="e">
        <f>-SUM([1]Retail!$AC$31:$AI$31,[1]Retail!$BE$31:$BG$31)/1000/G9</f>
        <v>#DIV/0!</v>
      </c>
      <c r="H17" s="134"/>
      <c r="I17" s="126">
        <f>-SUM([1]SME!$AC$29:$AI$29,[1]SME!$BE$29:$BG$29)/1000/I9</f>
        <v>-3.3712429481938554E-2</v>
      </c>
      <c r="J17" s="127">
        <f>-SUM([1]SME!$AC$30:$AI$30,[1]SME!$BE$30:$BG$30)/1000/J9</f>
        <v>0.18815305917908343</v>
      </c>
      <c r="K17" s="127">
        <f>-SUM([1]SME!$AC$31:$AI$31,[1]SME!$BE$31:$BG$31)/1000/K9</f>
        <v>-7.229208286196484E-3</v>
      </c>
      <c r="L17" s="134"/>
      <c r="M17" s="128">
        <f>-SUM([1]MidCorp!$AC$29:$AI$29,[1]MidCorp!$BE$29:$BG$29)/1000/M9</f>
        <v>8.5719764608800111E-2</v>
      </c>
      <c r="N17" s="127">
        <f>-SUM([1]MidCorp!$AC$30:$AI$30,[1]MidCorp!$BE$30:$BG$30)/1000/N9</f>
        <v>2.3897792864503884E-3</v>
      </c>
      <c r="O17" s="127">
        <f>-SUM([1]MidCorp!$AC$31:$AI$31,[1]MidCorp!$BE$31:$BG$31)/1000/O9</f>
        <v>-5.1062172920388945E-3</v>
      </c>
      <c r="P17" s="134"/>
      <c r="Q17" s="126">
        <f>-SUM([1]MGA!$AC$29:$AI$29,[1]MGA!$BE$29:$BG$29)/1000/Q9</f>
        <v>-0.15943283712955067</v>
      </c>
      <c r="R17" s="127">
        <f>-SUM([1]MGA!$AC$30:$AI$30,[1]MGA!$BE$30:$BG$30)/1000/R9</f>
        <v>7.3111523600106173E-3</v>
      </c>
      <c r="S17" s="127">
        <f>-SUM([1]MGA!$AC$31:$AI$31,[1]MGA!$BE$31:$BG$31)/1000/S9</f>
        <v>-2.3379001730024745E-2</v>
      </c>
      <c r="T17" s="134"/>
      <c r="U17" s="131"/>
      <c r="V17" s="127"/>
      <c r="W17" s="127"/>
      <c r="X17" s="134"/>
      <c r="Y17" s="131"/>
      <c r="Z17" s="127"/>
      <c r="AA17" s="127"/>
      <c r="AB17" s="134"/>
      <c r="AC17" s="129">
        <f>-SUM('[1]Total P&amp;C'!$AC$29:$AI$29,'[1]Total P&amp;C'!$BE$29:$BG$29)/1000/AC9</f>
        <v>1.0742823291993232E-2</v>
      </c>
      <c r="AD17" s="130">
        <f>-SUM('[1]Total P&amp;C'!$AC$30:$AI$30,'[1]Total P&amp;C'!$BE$30:$BG$30)/1000/AD9</f>
        <v>4.8085320679106544E-3</v>
      </c>
      <c r="AE17" s="130">
        <f>-SUM('[1]Total P&amp;C'!$AC$31:$AI$31,'[1]Total P&amp;C'!$BE$31:$BG$31)/1000/AE9</f>
        <v>-1.4620934385430308E-2</v>
      </c>
      <c r="AG17" s="212"/>
      <c r="AH17" s="115"/>
      <c r="AI17" s="116" t="s">
        <v>57</v>
      </c>
      <c r="AJ17" s="134"/>
      <c r="AK17" s="128">
        <f>-SUM([2]Retail!$AC$29:$AI$29,[2]Retail!$BE$29:$BG$29)/1000/AK9</f>
        <v>0.47776291549114414</v>
      </c>
      <c r="AL17" s="127">
        <f>-SUM([2]Retail!$AC$30:$AI$30,[2]Retail!$BE$30:$BG$30)/1000/AL9</f>
        <v>-0.33584829023658486</v>
      </c>
      <c r="AM17" s="127">
        <f>-SUM([2]Retail!$AC$31:$AI$31,[2]Retail!$BE$31:$BG$31)/1000/AM9</f>
        <v>5.3656085920582098E-3</v>
      </c>
      <c r="AN17" s="134"/>
      <c r="AO17" s="128">
        <f>-SUM([2]SME!$AC$29:$AI$29,[2]SME!$BE$29:$BG$29)/1000/AO9</f>
        <v>0.46355565277148542</v>
      </c>
      <c r="AP17" s="127">
        <f>-SUM([2]SME!$AC$30:$AI$30,[2]SME!$BE$30:$BG$30)/1000/AP9</f>
        <v>1.1924534364214982E-2</v>
      </c>
      <c r="AQ17" s="127">
        <f>-SUM([2]SME!$AC$31:$AI$31,[2]SME!$BE$31:$BG$31)/1000/AQ9</f>
        <v>3.4684462216184861E-2</v>
      </c>
      <c r="AR17" s="134"/>
      <c r="AS17" s="128">
        <f>-SUM([2]MidCorp!$AC$29:$AI$29,[2]MidCorp!$BE$29:$BG$29)/1000/AS9</f>
        <v>0.13410523098649341</v>
      </c>
      <c r="AT17" s="127">
        <f>-SUM([2]MidCorp!$AC$30:$AI$30,[2]MidCorp!$BE$30:$BG$30)/1000/AT9</f>
        <v>0.33922915710182655</v>
      </c>
      <c r="AU17" s="127">
        <f>-SUM([2]MidCorp!$AC$31:$AI$31,[2]MidCorp!$BE$31:$BG$31)/1000/AU9</f>
        <v>1.580110340712421E-2</v>
      </c>
      <c r="AV17" s="134"/>
      <c r="AW17" s="131"/>
      <c r="AX17" s="127"/>
      <c r="AY17" s="127"/>
      <c r="AZ17" s="134"/>
      <c r="BA17" s="131"/>
      <c r="BB17" s="127"/>
      <c r="BC17" s="127"/>
      <c r="BD17" s="134"/>
      <c r="BE17" s="131"/>
      <c r="BF17" s="127"/>
      <c r="BG17" s="127"/>
      <c r="BH17" s="134"/>
      <c r="BI17" s="129">
        <f>-SUM('[2]Total P&amp;C'!$AC$29:$AI$29,'[2]Total P&amp;C'!$BE$29:$BG$29)/1000/BI9</f>
        <v>0.36535421091287679</v>
      </c>
      <c r="BJ17" s="130">
        <f>-SUM('[2]Total P&amp;C'!$AC$30:$AI$30,'[2]Total P&amp;C'!$BE$30:$BG$30)/1000/BJ9</f>
        <v>-4.3988127643828465E-2</v>
      </c>
      <c r="BK17" s="130">
        <f>-SUM('[2]Total P&amp;C'!$AC$31:$AI$31,'[2]Total P&amp;C'!$BE$31:$BG$31)/1000/BK9</f>
        <v>1.3371686092459934E-2</v>
      </c>
      <c r="BM17" s="129">
        <f>-SUM('[3]Total P&amp;C'!$AC$29:$AI$29,'[3]Total P&amp;C'!$BE$29:$BG$29)/1000/BM9</f>
        <v>7.2981689481712464E-2</v>
      </c>
      <c r="BN17" s="130">
        <f>-SUM('[3]Total P&amp;C'!$AC$30:$AI$30,'[3]Total P&amp;C'!$BE$30:$BG$30)/1000/BN9</f>
        <v>-4.6687057781178015E-3</v>
      </c>
      <c r="BO17" s="130">
        <f>-SUM('[3]Total P&amp;C'!$AC$31:$AI$31,'[3]Total P&amp;C'!$BE$31:$BG$31)/1000/BO9</f>
        <v>-9.3969410946098397E-3</v>
      </c>
    </row>
    <row r="18" spans="1:67" hidden="1" x14ac:dyDescent="0.3">
      <c r="A18" s="212"/>
      <c r="B18" s="115"/>
      <c r="C18" s="116" t="s">
        <v>29</v>
      </c>
      <c r="D18" s="134"/>
      <c r="E18" s="126">
        <f>-SUM([1]Retail!$AJ$29:$AK$29,[1]Retail!$BH$29:$BI$29)/1000/E9</f>
        <v>0.33452728583164398</v>
      </c>
      <c r="F18" s="127">
        <f>-SUM([1]Retail!$AJ$30:$AK$30,[1]Retail!$BH$30:$BI$30)/1000/F9</f>
        <v>6.1155615178239087E-2</v>
      </c>
      <c r="G18" s="127" t="e">
        <f>-SUM([1]Retail!$AJ$31:$AK$31,[1]Retail!$BH$31:$BI$31)/1000/G9</f>
        <v>#DIV/0!</v>
      </c>
      <c r="H18" s="134"/>
      <c r="I18" s="126">
        <f>-SUM([1]SME!$AJ$29:$AK$29,[1]SME!$BH$29:$BI$29)/1000/I9</f>
        <v>-1.3082522304252523E-2</v>
      </c>
      <c r="J18" s="127">
        <f>-SUM([1]SME!$AJ$30:$AK$30,[1]SME!$BH$30:$BI$30)/1000/J9</f>
        <v>-1.8102190393432444E-2</v>
      </c>
      <c r="K18" s="127">
        <f>-SUM([1]SME!$AJ$31:$AK$31,[1]SME!$BH$31:$BI$31)/1000/K9</f>
        <v>0</v>
      </c>
      <c r="L18" s="134"/>
      <c r="M18" s="126">
        <f>-SUM([1]MidCorp!$AJ$29:$AK$29,[1]MidCorp!$BH$29:$BI$29)/1000/M9</f>
        <v>-7.4097296132540763E-3</v>
      </c>
      <c r="N18" s="127">
        <f>-SUM([1]MidCorp!$AJ$30:$AK$30,[1]MidCorp!$BH$30:$BI$30)/1000/N9</f>
        <v>1.8929945367554067E-2</v>
      </c>
      <c r="O18" s="127">
        <f>-SUM([1]MidCorp!$AJ$31:$AK$31,[1]MidCorp!$BH$31:$BI$31)/1000/O9</f>
        <v>0</v>
      </c>
      <c r="P18" s="134"/>
      <c r="Q18" s="128">
        <f>-SUM([1]MGA!$AJ$29:$AK$29,[1]MGA!$BH$29:$BI$29)/1000/Q9</f>
        <v>0.12006639088048242</v>
      </c>
      <c r="R18" s="127">
        <f>-SUM([1]MGA!$AJ$30:$AK$30,[1]MGA!$BH$30:$BI$30)/1000/R9</f>
        <v>-8.4584213888210399E-2</v>
      </c>
      <c r="S18" s="127">
        <f>-SUM([1]MGA!$AJ$31:$AK$31,[1]MGA!$BH$31:$BI$31)/1000/S9</f>
        <v>0</v>
      </c>
      <c r="T18" s="134"/>
      <c r="U18" s="131"/>
      <c r="V18" s="127"/>
      <c r="W18" s="127"/>
      <c r="X18" s="134"/>
      <c r="Y18" s="131"/>
      <c r="Z18" s="127"/>
      <c r="AA18" s="127"/>
      <c r="AB18" s="134"/>
      <c r="AC18" s="129">
        <f>-SUM('[1]Total P&amp;C'!$AJ$29:$AK$29,'[1]Total P&amp;C'!$BH$29:$BI$29)/1000/AC9</f>
        <v>2.7417426000852809E-2</v>
      </c>
      <c r="AD18" s="130">
        <f>-SUM('[1]Total P&amp;C'!$AJ$30:$AK$30,'[1]Total P&amp;C'!$BH$30:$BI$30)/1000/AD9</f>
        <v>-9.9536024564712364E-3</v>
      </c>
      <c r="AE18" s="130">
        <f>-SUM('[1]Total P&amp;C'!$AJ$31:$AK$31,'[1]Total P&amp;C'!$BH$31:$BI$31)/1000/AE9</f>
        <v>0</v>
      </c>
      <c r="AG18" s="212"/>
      <c r="AH18" s="115"/>
      <c r="AI18" s="116" t="s">
        <v>29</v>
      </c>
      <c r="AJ18" s="134"/>
      <c r="AK18" s="126">
        <f>-SUM([2]Retail!$AJ$29:$AK$29,[2]Retail!$BH$29:$BI$29)/1000/AK9</f>
        <v>-0.60839863763500579</v>
      </c>
      <c r="AL18" s="127">
        <f>-SUM([2]Retail!$AJ$30:$AK$30,[2]Retail!$BH$30:$BI$30)/1000/AL9</f>
        <v>-3.5545513084235196E-2</v>
      </c>
      <c r="AM18" s="127">
        <f>-SUM([2]Retail!$AJ$31:$AK$31,[2]Retail!$BH$31:$BI$31)/1000/AM9</f>
        <v>0</v>
      </c>
      <c r="AN18" s="134"/>
      <c r="AO18" s="126">
        <f>-SUM([2]SME!$AJ$29:$AK$29,[2]SME!$BH$29:$BI$29)/1000/AO9</f>
        <v>-0.57658295777362145</v>
      </c>
      <c r="AP18" s="127">
        <f>-SUM([2]SME!$AJ$30:$AK$30,[2]SME!$BH$30:$BI$30)/1000/AP9</f>
        <v>-5.1957114696352634E-2</v>
      </c>
      <c r="AQ18" s="127">
        <f>-SUM([2]SME!$AJ$31:$AK$31,[2]SME!$BH$31:$BI$31)/1000/AQ9</f>
        <v>0</v>
      </c>
      <c r="AR18" s="134"/>
      <c r="AS18" s="126">
        <f>-SUM([2]MidCorp!$AJ$29:$AK$29,[2]MidCorp!$BH$29:$BI$29)/1000/AS9</f>
        <v>-0.29942834255607498</v>
      </c>
      <c r="AT18" s="127">
        <f>-SUM([2]MidCorp!$AJ$30:$AK$30,[2]MidCorp!$BH$30:$BI$30)/1000/AT9</f>
        <v>-7.8827691145095923E-3</v>
      </c>
      <c r="AU18" s="127">
        <f>-SUM([2]MidCorp!$AJ$31:$AK$31,[2]MidCorp!$BH$31:$BI$31)/1000/AU9</f>
        <v>0</v>
      </c>
      <c r="AV18" s="134"/>
      <c r="AW18" s="131"/>
      <c r="AX18" s="127"/>
      <c r="AY18" s="127"/>
      <c r="AZ18" s="134"/>
      <c r="BA18" s="131"/>
      <c r="BB18" s="127"/>
      <c r="BC18" s="127"/>
      <c r="BD18" s="134"/>
      <c r="BE18" s="131"/>
      <c r="BF18" s="127"/>
      <c r="BG18" s="127"/>
      <c r="BH18" s="134"/>
      <c r="BI18" s="132">
        <f>-SUM('[2]Total P&amp;C'!$AJ$29:$AK$29,'[2]Total P&amp;C'!$BH$29:$BI$29)/1000/BI9</f>
        <v>-0.50424941061301809</v>
      </c>
      <c r="BJ18" s="130">
        <f>-SUM('[2]Total P&amp;C'!$AJ$30:$AK$30,'[2]Total P&amp;C'!$BH$30:$BI$30)/1000/BJ9</f>
        <v>-2.848431544182612E-2</v>
      </c>
      <c r="BK18" s="130">
        <f>-SUM('[2]Total P&amp;C'!$AJ$31:$AK$31,'[2]Total P&amp;C'!$BH$31:$BI$31)/1000/BK9</f>
        <v>0</v>
      </c>
      <c r="BM18" s="132">
        <f>-SUM('[3]Total P&amp;C'!$AJ$29:$AK$29,'[3]Total P&amp;C'!$BH$29:$BI$29)/1000/BM9</f>
        <v>-6.5896952094920788E-2</v>
      </c>
      <c r="BN18" s="130">
        <f>-SUM('[3]Total P&amp;C'!$AJ$30:$AK$30,'[3]Total P&amp;C'!$BH$30:$BI$30)/1000/BN9</f>
        <v>-1.3552618771443337E-2</v>
      </c>
      <c r="BO18" s="130">
        <f>-SUM('[3]Total P&amp;C'!$AJ$31:$AK$31,'[3]Total P&amp;C'!$BH$31:$BI$31)/1000/BO9</f>
        <v>0</v>
      </c>
    </row>
    <row r="19" spans="1:67" hidden="1" x14ac:dyDescent="0.3">
      <c r="A19" s="212"/>
      <c r="B19" s="115"/>
      <c r="C19" s="116" t="s">
        <v>58</v>
      </c>
      <c r="D19" s="134"/>
      <c r="E19" s="128">
        <f>+E20+E21+E22</f>
        <v>0.34596358912951319</v>
      </c>
      <c r="F19" s="127">
        <f>+F20+F21+F22</f>
        <v>0.54604698795942086</v>
      </c>
      <c r="G19" s="127" t="e">
        <f>+G20+G21+G22</f>
        <v>#DIV/0!</v>
      </c>
      <c r="H19" s="134"/>
      <c r="I19" s="126">
        <f>+I20+I21+I22</f>
        <v>0.27932473699350674</v>
      </c>
      <c r="J19" s="127">
        <f>+J20+J21+J22</f>
        <v>0.28309187966363353</v>
      </c>
      <c r="K19" s="127">
        <f>+K20+K21+K22</f>
        <v>0.28546747473247969</v>
      </c>
      <c r="L19" s="134"/>
      <c r="M19" s="126">
        <f>+M20+M21+M22</f>
        <v>0.19471149282183392</v>
      </c>
      <c r="N19" s="127">
        <f>+N20+N21+N22</f>
        <v>0.19464321882206898</v>
      </c>
      <c r="O19" s="127">
        <f>+O20+O21+O22</f>
        <v>0.22206510698042675</v>
      </c>
      <c r="P19" s="134"/>
      <c r="Q19" s="128">
        <f>+Q20+Q21+Q22</f>
        <v>0.3288940473624174</v>
      </c>
      <c r="R19" s="127">
        <f>+R20+R21+R22</f>
        <v>0.31932480318043555</v>
      </c>
      <c r="S19" s="127">
        <f>+S20+S21+S22</f>
        <v>0.3213194827578949</v>
      </c>
      <c r="T19" s="134"/>
      <c r="U19" s="131"/>
      <c r="V19" s="127"/>
      <c r="W19" s="127"/>
      <c r="X19" s="134"/>
      <c r="Y19" s="131"/>
      <c r="Z19" s="127"/>
      <c r="AA19" s="127"/>
      <c r="AB19" s="134"/>
      <c r="AC19" s="132">
        <f>+AC20+AC21+AC22</f>
        <v>0.23996894692027132</v>
      </c>
      <c r="AD19" s="130">
        <f>+AD20+AD21+AD22</f>
        <v>0.24299903121344171</v>
      </c>
      <c r="AE19" s="130">
        <f>+AE20+AE21+AE22</f>
        <v>0.25931126341039423</v>
      </c>
      <c r="AG19" s="212"/>
      <c r="AH19" s="115"/>
      <c r="AI19" s="116" t="s">
        <v>58</v>
      </c>
      <c r="AJ19" s="134"/>
      <c r="AK19" s="128">
        <f>+AK20+AK21+AK22</f>
        <v>0.34480766213501524</v>
      </c>
      <c r="AL19" s="127">
        <f>+AL20+AL21+AL22</f>
        <v>0.3324183045337249</v>
      </c>
      <c r="AM19" s="127">
        <f>+AM20+AM21+AM22</f>
        <v>0.336670537095904</v>
      </c>
      <c r="AN19" s="134"/>
      <c r="AO19" s="126">
        <f>+AO20+AO21+AO22</f>
        <v>0.38725267702244381</v>
      </c>
      <c r="AP19" s="127">
        <f>+AP20+AP21+AP22</f>
        <v>0.361844213899707</v>
      </c>
      <c r="AQ19" s="127">
        <f>+AQ20+AQ21+AQ22</f>
        <v>0.3898945954040593</v>
      </c>
      <c r="AR19" s="134"/>
      <c r="AS19" s="126">
        <f>+AS20+AS21+AS22</f>
        <v>0.29501349417580586</v>
      </c>
      <c r="AT19" s="127">
        <f>+AT20+AT21+AT22</f>
        <v>0.2625414759942622</v>
      </c>
      <c r="AU19" s="127">
        <f>+AU20+AU21+AU22</f>
        <v>0.30697294886396237</v>
      </c>
      <c r="AV19" s="134"/>
      <c r="AW19" s="131"/>
      <c r="AX19" s="127"/>
      <c r="AY19" s="127"/>
      <c r="AZ19" s="134"/>
      <c r="BA19" s="131"/>
      <c r="BB19" s="127"/>
      <c r="BC19" s="127"/>
      <c r="BD19" s="134"/>
      <c r="BE19" s="131"/>
      <c r="BF19" s="127"/>
      <c r="BG19" s="127"/>
      <c r="BH19" s="134"/>
      <c r="BI19" s="132">
        <f>+BI20+BI21+BI22</f>
        <v>0.33573383395256806</v>
      </c>
      <c r="BJ19" s="130">
        <f>+BJ20+BJ21+BJ22</f>
        <v>0.31265966632843678</v>
      </c>
      <c r="BK19" s="130">
        <f>+BK20+BK21+BK22</f>
        <v>0.33635555525076977</v>
      </c>
      <c r="BM19" s="132">
        <f>+BM20+BM21+BM22</f>
        <v>0.25677691811844633</v>
      </c>
      <c r="BN19" s="130">
        <f>+BN20+BN21+BN22</f>
        <v>0.25652844923898266</v>
      </c>
      <c r="BO19" s="130">
        <f>+BO20+BO21+BO22</f>
        <v>0.27368929793517299</v>
      </c>
    </row>
    <row r="20" spans="1:67" ht="14.5" hidden="1" x14ac:dyDescent="0.3">
      <c r="A20" s="212"/>
      <c r="B20" s="115"/>
      <c r="C20" s="39" t="s">
        <v>59</v>
      </c>
      <c r="D20" s="135"/>
      <c r="E20" s="74">
        <f>-SUM([1]Retail!$AL$29:$AN$29,[1]Retail!$BJ$29)/1000/E9</f>
        <v>0.18252444907867196</v>
      </c>
      <c r="F20" s="42">
        <f>-SUM([1]Retail!$AL$30:$AN$30,[1]Retail!$BJ$30)/1000/F9</f>
        <v>0.18659631660292808</v>
      </c>
      <c r="G20" s="42" t="e">
        <f>-SUM([1]Retail!$AL$31:$AN$31,[1]Retail!$BJ$31)/1000/G9</f>
        <v>#DIV/0!</v>
      </c>
      <c r="H20" s="135"/>
      <c r="I20" s="97">
        <f>-SUM([1]SME!$AL$29:$AN$29,[1]SME!$BJ$29)/1000/I9</f>
        <v>0.16297492814801792</v>
      </c>
      <c r="J20" s="42">
        <f>-SUM([1]SME!$AL$30:$AN$30,[1]SME!$BJ$30)/1000/J9</f>
        <v>0.16191155949508773</v>
      </c>
      <c r="K20" s="42">
        <f>-SUM([1]SME!$AL$31:$AN$31,[1]SME!$BJ$31)/1000/K9</f>
        <v>0.16158192160171428</v>
      </c>
      <c r="L20" s="135"/>
      <c r="M20" s="74">
        <f>-SUM([1]MidCorp!$AL$29:$AN$29,[1]MidCorp!$BJ$29)/1000/M9</f>
        <v>0.10118581690838319</v>
      </c>
      <c r="N20" s="42">
        <f>-SUM([1]MidCorp!$AL$30:$AN$30,[1]MidCorp!$BJ$30)/1000/N9</f>
        <v>0.1037176197998232</v>
      </c>
      <c r="O20" s="42">
        <f>-SUM([1]MidCorp!$AL$31:$AN$31,[1]MidCorp!$BJ$31)/1000/O9</f>
        <v>0.1047713748085633</v>
      </c>
      <c r="P20" s="135"/>
      <c r="Q20" s="73">
        <f>-SUM([1]MGA!$AL$29:$AN$29,[1]MGA!$BJ$29)/1000/Q9</f>
        <v>0.26900051133808672</v>
      </c>
      <c r="R20" s="42">
        <f>-SUM([1]MGA!$AL$30:$AN$30,[1]MGA!$BJ$30)/1000/R9</f>
        <v>0.26088452921213451</v>
      </c>
      <c r="S20" s="42">
        <f>-SUM([1]MGA!$AL$31:$AN$31,[1]MGA!$BJ$31)/1000/S9</f>
        <v>0.2487788184379445</v>
      </c>
      <c r="T20" s="135"/>
      <c r="U20" s="97"/>
      <c r="V20" s="42"/>
      <c r="W20" s="42"/>
      <c r="X20" s="135"/>
      <c r="Y20" s="97"/>
      <c r="Z20" s="42"/>
      <c r="AA20" s="42"/>
      <c r="AB20" s="135"/>
      <c r="AC20" s="85">
        <f>-SUM('[1]Total P&amp;C'!$AL$29:$AN$29,'[1]Total P&amp;C'!$BJ$29)/1000/AC9</f>
        <v>0.15077856874517176</v>
      </c>
      <c r="AD20" s="60">
        <f>-SUM('[1]Total P&amp;C'!$AL$30:$AN$30,'[1]Total P&amp;C'!$BJ$30)/1000/AD9</f>
        <v>0.14997419459863051</v>
      </c>
      <c r="AE20" s="60">
        <f>-SUM('[1]Total P&amp;C'!$AL$31:$AN$31,'[1]Total P&amp;C'!$BJ$31)/1000/AE9</f>
        <v>0.15089464737941199</v>
      </c>
      <c r="AG20" s="212"/>
      <c r="AH20" s="115"/>
      <c r="AI20" s="39" t="s">
        <v>59</v>
      </c>
      <c r="AJ20" s="135"/>
      <c r="AK20" s="74">
        <f>-SUM([2]Retail!$AL$29:$AN$29,[2]Retail!$BJ$29)/1000/AK9</f>
        <v>0.16486587701515965</v>
      </c>
      <c r="AL20" s="42">
        <f>-SUM([2]Retail!$AL$30:$AN$30,[2]Retail!$BJ$30)/1000/AL9</f>
        <v>0.1643169581366889</v>
      </c>
      <c r="AM20" s="42">
        <f>-SUM([2]Retail!$AL$31:$AN$31,[2]Retail!$BJ$31)/1000/AM9</f>
        <v>0.16622672422687915</v>
      </c>
      <c r="AN20" s="135"/>
      <c r="AO20" s="74">
        <f>-SUM([2]SME!$AL$29:$AN$29,[2]SME!$BJ$29)/1000/AO9</f>
        <v>0.19736586790235461</v>
      </c>
      <c r="AP20" s="42">
        <f>-SUM([2]SME!$AL$30:$AN$30,[2]SME!$BJ$30)/1000/AP9</f>
        <v>0.19240737386421983</v>
      </c>
      <c r="AQ20" s="42">
        <f>-SUM([2]SME!$AL$31:$AN$31,[2]SME!$BJ$31)/1000/AQ9</f>
        <v>0.20630263403819268</v>
      </c>
      <c r="AR20" s="135"/>
      <c r="AS20" s="74">
        <f>-SUM([2]MidCorp!$AL$29:$AN$29,[2]MidCorp!$BJ$29)/1000/AS9</f>
        <v>0.11308665066736888</v>
      </c>
      <c r="AT20" s="42">
        <f>-SUM([2]MidCorp!$AL$30:$AN$30,[2]MidCorp!$BJ$30)/1000/AT9</f>
        <v>0.12289580120616386</v>
      </c>
      <c r="AU20" s="42">
        <f>-SUM([2]MidCorp!$AL$31:$AN$31,[2]MidCorp!$BJ$31)/1000/AU9</f>
        <v>0.12047252309918569</v>
      </c>
      <c r="AV20" s="135"/>
      <c r="AW20" s="97"/>
      <c r="AX20" s="42"/>
      <c r="AY20" s="42"/>
      <c r="AZ20" s="135"/>
      <c r="BA20" s="97"/>
      <c r="BB20" s="42"/>
      <c r="BC20" s="42"/>
      <c r="BD20" s="135"/>
      <c r="BE20" s="97"/>
      <c r="BF20" s="42"/>
      <c r="BG20" s="42"/>
      <c r="BH20" s="135"/>
      <c r="BI20" s="85">
        <f>-SUM('[2]Total P&amp;C'!$AL$29:$AN$29,'[2]Total P&amp;C'!$BJ$29)/1000/BI9</f>
        <v>0.15354405684429701</v>
      </c>
      <c r="BJ20" s="60">
        <f>-SUM('[2]Total P&amp;C'!$AL$30:$AN$30,'[2]Total P&amp;C'!$BJ$30)/1000/BJ9</f>
        <v>0.15430552402971073</v>
      </c>
      <c r="BK20" s="60">
        <f>-SUM('[2]Total P&amp;C'!$AL$31:$AN$31,'[2]Total P&amp;C'!$BJ$31)/1000/BK9</f>
        <v>0.15884840180146415</v>
      </c>
      <c r="BM20" s="85">
        <f>-SUM('[3]Total P&amp;C'!$AL$29:$AN$29,'[3]Total P&amp;C'!$BJ$29)/1000/BM9</f>
        <v>0.15126394752814173</v>
      </c>
      <c r="BN20" s="60">
        <f>-SUM('[3]Total P&amp;C'!$AL$30:$AN$30,'[3]Total P&amp;C'!$BJ$30)/1000/BN9</f>
        <v>0.15081542101556852</v>
      </c>
      <c r="BO20" s="60">
        <f>-SUM('[3]Total P&amp;C'!$AL$31:$AN$31,'[3]Total P&amp;C'!$BJ$31)/1000/BO9</f>
        <v>0.15237898000094885</v>
      </c>
    </row>
    <row r="21" spans="1:67" ht="14.5" hidden="1" x14ac:dyDescent="0.3">
      <c r="A21" s="212"/>
      <c r="B21" s="115"/>
      <c r="C21" s="39" t="s">
        <v>60</v>
      </c>
      <c r="D21" s="135"/>
      <c r="E21" s="73">
        <f>-SUM([1]Retail!$AO$29:$AP$29)/1000/E9</f>
        <v>5.3873570389478456E-3</v>
      </c>
      <c r="F21" s="42">
        <f>-SUM([1]Retail!$AO$30:$AP$30)/1000/F9</f>
        <v>5.6090317835632834E-2</v>
      </c>
      <c r="G21" s="42" t="e">
        <f>-SUM([1]Retail!$AO$31:$AP$31)/1000/G9</f>
        <v>#DIV/0!</v>
      </c>
      <c r="H21" s="135"/>
      <c r="I21" s="97">
        <f>-SUM([1]SME!$AO$29:$AP$29)/1000/I9</f>
        <v>5.1243220836192822E-2</v>
      </c>
      <c r="J21" s="42">
        <f>-SUM([1]SME!$AO$30:$AP$30)/1000/J9</f>
        <v>5.9864907788402977E-2</v>
      </c>
      <c r="K21" s="42">
        <f>-SUM([1]SME!$AO$31:$AP$31)/1000/K9</f>
        <v>4.9226247798408576E-2</v>
      </c>
      <c r="L21" s="135"/>
      <c r="M21" s="74">
        <f>-SUM([1]MidCorp!$AO$29:$AP$29)/1000/M9</f>
        <v>1.7664928785592934E-2</v>
      </c>
      <c r="N21" s="42">
        <f>-SUM([1]MidCorp!$AO$30:$AP$30)/1000/N9</f>
        <v>1.5764921897765231E-2</v>
      </c>
      <c r="O21" s="42">
        <f>-SUM([1]MidCorp!$AO$31:$AP$31)/1000/O9</f>
        <v>1.9997912565059103E-2</v>
      </c>
      <c r="P21" s="135"/>
      <c r="Q21" s="74">
        <f>-SUM([1]MGA!$AO$29:$AP$29)/1000/Q9</f>
        <v>1.9072919731194876E-2</v>
      </c>
      <c r="R21" s="42">
        <f>-SUM([1]MGA!$AO$30:$AP$30)/1000/R9</f>
        <v>1.4468001936770669E-2</v>
      </c>
      <c r="S21" s="42">
        <f>-SUM([1]MGA!$AO$31:$AP$31)/1000/S9</f>
        <v>2.2731927091289825E-2</v>
      </c>
      <c r="T21" s="135"/>
      <c r="U21" s="97"/>
      <c r="V21" s="42"/>
      <c r="W21" s="42"/>
      <c r="X21" s="135"/>
      <c r="Y21" s="97"/>
      <c r="Z21" s="42"/>
      <c r="AA21" s="42"/>
      <c r="AB21" s="135"/>
      <c r="AC21" s="85">
        <f>-SUM('[1]Total P&amp;C'!$AO$29:$AP$29)/1000/AC9</f>
        <v>2.2199133018893976E-2</v>
      </c>
      <c r="AD21" s="60">
        <f>-SUM('[1]Total P&amp;C'!$AO$30:$AP$30)/1000/AD9</f>
        <v>2.3004983863098301E-2</v>
      </c>
      <c r="AE21" s="60">
        <f>-SUM('[1]Total P&amp;C'!$AO$31:$AP$31)/1000/AE9</f>
        <v>2.492070204231284E-2</v>
      </c>
      <c r="AG21" s="212"/>
      <c r="AH21" s="115"/>
      <c r="AI21" s="39" t="s">
        <v>60</v>
      </c>
      <c r="AJ21" s="135"/>
      <c r="AK21" s="73">
        <f>-SUM([2]Retail!$AO$29:$AP$29)/1000/AK9</f>
        <v>9.9420011869077202E-2</v>
      </c>
      <c r="AL21" s="42">
        <f>-SUM([2]Retail!$AO$30:$AP$30)/1000/AL9</f>
        <v>9.372547327975228E-2</v>
      </c>
      <c r="AM21" s="42">
        <f>-SUM([2]Retail!$AO$31:$AP$31)/1000/AM9</f>
        <v>9.224822418342643E-2</v>
      </c>
      <c r="AN21" s="135"/>
      <c r="AO21" s="73">
        <f>-SUM([2]SME!$AO$29:$AP$29)/1000/AO9</f>
        <v>9.2953494101498529E-2</v>
      </c>
      <c r="AP21" s="42">
        <f>-SUM([2]SME!$AO$30:$AP$30)/1000/AP9</f>
        <v>8.374691685701259E-2</v>
      </c>
      <c r="AQ21" s="42">
        <f>-SUM([2]SME!$AO$31:$AP$31)/1000/AQ9</f>
        <v>7.8496456208018192E-2</v>
      </c>
      <c r="AR21" s="135"/>
      <c r="AS21" s="73">
        <f>-SUM([2]MidCorp!$AO$29:$AP$29)/1000/AS9</f>
        <v>7.712228744450482E-2</v>
      </c>
      <c r="AT21" s="42">
        <f>-SUM([2]MidCorp!$AO$30:$AP$30)/1000/AT9</f>
        <v>5.4461113372873224E-2</v>
      </c>
      <c r="AU21" s="42">
        <f>-SUM([2]MidCorp!$AO$31:$AP$31)/1000/AU9</f>
        <v>7.1038799083664617E-2</v>
      </c>
      <c r="AV21" s="135"/>
      <c r="AW21" s="97"/>
      <c r="AX21" s="42"/>
      <c r="AY21" s="42"/>
      <c r="AZ21" s="135"/>
      <c r="BA21" s="97"/>
      <c r="BB21" s="42"/>
      <c r="BC21" s="42"/>
      <c r="BD21" s="135"/>
      <c r="BE21" s="97"/>
      <c r="BF21" s="42"/>
      <c r="BG21" s="42"/>
      <c r="BH21" s="135"/>
      <c r="BI21" s="84">
        <f>-SUM('[2]Total P&amp;C'!$AO$29:$AP$29)/1000/BI9</f>
        <v>9.1227796285453799E-2</v>
      </c>
      <c r="BJ21" s="60">
        <f>-SUM('[2]Total P&amp;C'!$AO$30:$AP$30)/1000/BJ9</f>
        <v>7.8387370249725183E-2</v>
      </c>
      <c r="BK21" s="60">
        <f>-SUM('[2]Total P&amp;C'!$AO$31:$AP$31)/1000/BK9</f>
        <v>8.3512642399901971E-2</v>
      </c>
      <c r="BM21" s="85">
        <f>-SUM('[3]Total P&amp;C'!$AO$29:$AP$29)/1000/BM9</f>
        <v>3.4314552563445545E-2</v>
      </c>
      <c r="BN21" s="60">
        <f>-SUM('[3]Total P&amp;C'!$AO$30:$AP$30)/1000/BN9</f>
        <v>3.376129487633811E-2</v>
      </c>
      <c r="BO21" s="60">
        <f>-SUM('[3]Total P&amp;C'!$AO$31:$AP$31)/1000/BO9</f>
        <v>3.5855151840107125E-2</v>
      </c>
    </row>
    <row r="22" spans="1:67" ht="14.5" hidden="1" x14ac:dyDescent="0.3">
      <c r="A22" s="212"/>
      <c r="B22" s="115"/>
      <c r="C22" s="39" t="s">
        <v>61</v>
      </c>
      <c r="D22" s="135"/>
      <c r="E22" s="73">
        <f>-SUM([1]Retail!$AQ$29:$AR$29)/1000/E9</f>
        <v>0.1580517830118934</v>
      </c>
      <c r="F22" s="42">
        <f>-SUM([1]Retail!$AQ$30:$AR$30)/1000/F9</f>
        <v>0.30336035352085994</v>
      </c>
      <c r="G22" s="42" t="e">
        <f>-SUM([1]Retail!$AQ$31:$AR$31)/1000/G9</f>
        <v>#DIV/0!</v>
      </c>
      <c r="H22" s="135"/>
      <c r="I22" s="74">
        <f>-SUM([1]SME!$AQ$29:$AR$29)/1000/I9</f>
        <v>6.5106588009296001E-2</v>
      </c>
      <c r="J22" s="42">
        <f>-SUM([1]SME!$AQ$30:$AR$30)/1000/J9</f>
        <v>6.1315412380142841E-2</v>
      </c>
      <c r="K22" s="42">
        <f>-SUM([1]SME!$AQ$31:$AR$31)/1000/K9</f>
        <v>7.4659305332356832E-2</v>
      </c>
      <c r="L22" s="135"/>
      <c r="M22" s="74">
        <f>-SUM([1]MidCorp!$AQ$29:$AR$29)/1000/M9</f>
        <v>7.5860747127857786E-2</v>
      </c>
      <c r="N22" s="42">
        <f>-SUM([1]MidCorp!$AQ$30:$AR$30)/1000/N9</f>
        <v>7.5160677124480546E-2</v>
      </c>
      <c r="O22" s="42">
        <f>-SUM([1]MidCorp!$AQ$31:$AR$31)/1000/O9</f>
        <v>9.7295819606804362E-2</v>
      </c>
      <c r="P22" s="135"/>
      <c r="Q22" s="74">
        <f>-SUM([1]MGA!$AQ$29:$AR$29)/1000/Q9</f>
        <v>4.0820616293135763E-2</v>
      </c>
      <c r="R22" s="42">
        <f>-SUM([1]MGA!$AQ$30:$AR$30)/1000/R9</f>
        <v>4.3972272031530368E-2</v>
      </c>
      <c r="S22" s="42">
        <f>-SUM([1]MGA!$AQ$31:$AR$31)/1000/S9</f>
        <v>4.9808737228660575E-2</v>
      </c>
      <c r="T22" s="135"/>
      <c r="U22" s="97"/>
      <c r="V22" s="42"/>
      <c r="W22" s="42"/>
      <c r="X22" s="135"/>
      <c r="Y22" s="97"/>
      <c r="Z22" s="42"/>
      <c r="AA22" s="42"/>
      <c r="AB22" s="135"/>
      <c r="AC22" s="85">
        <f>-SUM('[1]Total P&amp;C'!$AQ$29:$AR$29)/1000/AC9</f>
        <v>6.6991245156205581E-2</v>
      </c>
      <c r="AD22" s="60">
        <f>-SUM('[1]Total P&amp;C'!$AQ$30:$AR$30)/1000/AD9</f>
        <v>7.0019852751712908E-2</v>
      </c>
      <c r="AE22" s="60">
        <f>-SUM('[1]Total P&amp;C'!$AQ$31:$AR$31)/1000/AE9</f>
        <v>8.3495913988669374E-2</v>
      </c>
      <c r="AG22" s="212"/>
      <c r="AH22" s="115"/>
      <c r="AI22" s="39" t="s">
        <v>61</v>
      </c>
      <c r="AJ22" s="135"/>
      <c r="AK22" s="97">
        <f>-SUM([2]Retail!$AQ$29:$AR$29)/1000/AK9</f>
        <v>8.0521773250778333E-2</v>
      </c>
      <c r="AL22" s="42">
        <f>-SUM([2]Retail!$AQ$30:$AR$30)/1000/AL9</f>
        <v>7.4375873117283706E-2</v>
      </c>
      <c r="AM22" s="42">
        <f>-SUM([2]Retail!$AQ$31:$AR$31)/1000/AM9</f>
        <v>7.8195588685598394E-2</v>
      </c>
      <c r="AN22" s="135"/>
      <c r="AO22" s="74">
        <f>-SUM([2]SME!$AQ$29:$AR$29)/1000/AO9</f>
        <v>9.6933315018590732E-2</v>
      </c>
      <c r="AP22" s="42">
        <f>-SUM([2]SME!$AQ$30:$AR$30)/1000/AP9</f>
        <v>8.5689923178474556E-2</v>
      </c>
      <c r="AQ22" s="42">
        <f>-SUM([2]SME!$AQ$31:$AR$31)/1000/AQ9</f>
        <v>0.10509550515784842</v>
      </c>
      <c r="AR22" s="135"/>
      <c r="AS22" s="74">
        <f>-SUM([2]MidCorp!$AQ$29:$AR$29)/1000/AS9</f>
        <v>0.10480455606393214</v>
      </c>
      <c r="AT22" s="42">
        <f>-SUM([2]MidCorp!$AQ$30:$AR$30)/1000/AT9</f>
        <v>8.5184561415225124E-2</v>
      </c>
      <c r="AU22" s="42">
        <f>-SUM([2]MidCorp!$AQ$31:$AR$31)/1000/AU9</f>
        <v>0.11546162668111208</v>
      </c>
      <c r="AV22" s="135"/>
      <c r="AW22" s="97"/>
      <c r="AX22" s="42"/>
      <c r="AY22" s="42"/>
      <c r="AZ22" s="135"/>
      <c r="BA22" s="97"/>
      <c r="BB22" s="42"/>
      <c r="BC22" s="42"/>
      <c r="BD22" s="135"/>
      <c r="BE22" s="97"/>
      <c r="BF22" s="42"/>
      <c r="BG22" s="42"/>
      <c r="BH22" s="135"/>
      <c r="BI22" s="85">
        <f>-SUM('[2]Total P&amp;C'!$AQ$29:$AR$29)/1000/BI9</f>
        <v>9.0961980822817243E-2</v>
      </c>
      <c r="BJ22" s="60">
        <f>-SUM('[2]Total P&amp;C'!$AQ$30:$AR$30)/1000/BJ9</f>
        <v>7.9966772049000906E-2</v>
      </c>
      <c r="BK22" s="60">
        <f>-SUM('[2]Total P&amp;C'!$AQ$31:$AR$31)/1000/BK9</f>
        <v>9.3994511049403651E-2</v>
      </c>
      <c r="BM22" s="85">
        <f>-SUM('[3]Total P&amp;C'!$AQ$29:$AR$29)/1000/BM9</f>
        <v>7.119841802685907E-2</v>
      </c>
      <c r="BN22" s="60">
        <f>-SUM('[3]Total P&amp;C'!$AQ$30:$AR$30)/1000/BN9</f>
        <v>7.1951733347076011E-2</v>
      </c>
      <c r="BO22" s="60">
        <f>-SUM('[3]Total P&amp;C'!$AQ$31:$AR$31)/1000/BO9</f>
        <v>8.5455166094117033E-2</v>
      </c>
    </row>
    <row r="23" spans="1:67" hidden="1" x14ac:dyDescent="0.3">
      <c r="A23" s="212"/>
      <c r="B23" s="115"/>
      <c r="C23" s="116" t="s">
        <v>34</v>
      </c>
      <c r="D23" s="117"/>
      <c r="E23" s="121">
        <f>+[1]Retail!$BK$29/1000</f>
        <v>8.068250000003864E-3</v>
      </c>
      <c r="F23" s="119">
        <f>+[1]Retail!$BK$30/1000</f>
        <v>0.56455386999999757</v>
      </c>
      <c r="G23" s="119">
        <f>+[1]Retail!$BK$31/1000</f>
        <v>0.16401227836527676</v>
      </c>
      <c r="H23" s="117"/>
      <c r="I23" s="118">
        <f>+[1]SME!$BK$29/1000</f>
        <v>1.4282162900000008</v>
      </c>
      <c r="J23" s="119">
        <f>+[1]SME!$BK$30/1000</f>
        <v>-4.5877270000004501E-2</v>
      </c>
      <c r="K23" s="119">
        <f>+[1]SME!$BK$31/1000</f>
        <v>1.3058696450661587</v>
      </c>
      <c r="L23" s="117"/>
      <c r="M23" s="121">
        <f>+[1]MidCorp!$BK$29/1000</f>
        <v>0.74669515000000408</v>
      </c>
      <c r="N23" s="119">
        <f>+[1]MidCorp!$BK$30/1000</f>
        <v>4.6789722299999967</v>
      </c>
      <c r="O23" s="119">
        <f>+[1]MidCorp!$BK$31/1000</f>
        <v>2.3729877576258804</v>
      </c>
      <c r="P23" s="117"/>
      <c r="Q23" s="121">
        <f>+[1]MGA!$BK$29/1000</f>
        <v>0.48738132000001677</v>
      </c>
      <c r="R23" s="119">
        <f>+[1]MGA!$BK$30/1000</f>
        <v>1.9363632999999978</v>
      </c>
      <c r="S23" s="119">
        <f>+[1]MGA!$BK$31/1000</f>
        <v>1.2019884007112591</v>
      </c>
      <c r="T23" s="117"/>
      <c r="U23" s="121"/>
      <c r="V23" s="119"/>
      <c r="W23" s="119"/>
      <c r="X23" s="117"/>
      <c r="Y23" s="118">
        <f>+[1]Specials!$BK$29/1000</f>
        <v>0.63191196999999999</v>
      </c>
      <c r="Z23" s="119">
        <f>+[1]Specials!$BK$30/1000</f>
        <v>0.58412766999999999</v>
      </c>
      <c r="AA23" s="119">
        <f>+[1]Specials!$BK$31/1000</f>
        <v>0</v>
      </c>
      <c r="AB23" s="117"/>
      <c r="AC23" s="124">
        <f>+'[1]Total P&amp;C'!$BK$29/1000</f>
        <v>3.3396285100000123</v>
      </c>
      <c r="AD23" s="123">
        <f>+'[1]Total P&amp;C'!$BK$30/1000</f>
        <v>7.69323511999999</v>
      </c>
      <c r="AE23" s="123">
        <f>+'[1]Total P&amp;C'!$BK$31/1000</f>
        <v>5.0448580817685702</v>
      </c>
      <c r="AG23" s="212"/>
      <c r="AH23" s="115"/>
      <c r="AI23" s="116" t="s">
        <v>34</v>
      </c>
      <c r="AJ23" s="117"/>
      <c r="AK23" s="118">
        <f>+[2]Retail!$BK$29/1000</f>
        <v>1.3177537299999864</v>
      </c>
      <c r="AL23" s="119">
        <f>+[2]Retail!$BK$30/1000</f>
        <v>3.2774153600000169</v>
      </c>
      <c r="AM23" s="119">
        <f>+[2]Retail!$BK$31/1000</f>
        <v>0.29331659935186077</v>
      </c>
      <c r="AN23" s="117"/>
      <c r="AO23" s="118">
        <f>+[2]SME!$BK$29/1000</f>
        <v>-0.41201179000000315</v>
      </c>
      <c r="AP23" s="119">
        <f>+[2]SME!$BK$30/1000</f>
        <v>0.36880337999999652</v>
      </c>
      <c r="AQ23" s="119">
        <f>+[2]SME!$BK$31/1000</f>
        <v>-0.54393185479655004</v>
      </c>
      <c r="AR23" s="117"/>
      <c r="AS23" s="118">
        <f>+[2]MidCorp!$BK$29/1000</f>
        <v>-1.1400241899999983</v>
      </c>
      <c r="AT23" s="119">
        <f>+[2]MidCorp!$BK$30/1000</f>
        <v>-4.5955594499999997</v>
      </c>
      <c r="AU23" s="119">
        <f>+[2]MidCorp!$BK$31/1000</f>
        <v>-1.3855468907193538</v>
      </c>
      <c r="AV23" s="117"/>
      <c r="AW23" s="121"/>
      <c r="AX23" s="119"/>
      <c r="AY23" s="119"/>
      <c r="AZ23" s="117"/>
      <c r="BA23" s="121"/>
      <c r="BB23" s="119"/>
      <c r="BC23" s="119"/>
      <c r="BD23" s="117"/>
      <c r="BE23" s="121"/>
      <c r="BF23" s="119"/>
      <c r="BG23" s="119"/>
      <c r="BH23" s="117"/>
      <c r="BI23" s="122">
        <f>+'[2]Total P&amp;C'!$BK$29/1000</f>
        <v>-0.23428225000001277</v>
      </c>
      <c r="BJ23" s="123">
        <f>+'[2]Total P&amp;C'!$BK$30/1000</f>
        <v>-0.94934070999998499</v>
      </c>
      <c r="BK23" s="123">
        <f>+'[2]Total P&amp;C'!$BK$31/1000</f>
        <v>-1.6361621461640412</v>
      </c>
      <c r="BM23" s="124">
        <f>+'[3]Total P&amp;C'!$BK$29/1000</f>
        <v>3.1053462599999984</v>
      </c>
      <c r="BN23" s="123">
        <f>+'[3]Total P&amp;C'!$BK$30/1000</f>
        <v>6.7438944100000429</v>
      </c>
      <c r="BO23" s="123">
        <f>+'[3]Total P&amp;C'!$BK$31/1000</f>
        <v>3.4086959356045234</v>
      </c>
    </row>
    <row r="24" spans="1:67" ht="17.5" hidden="1" x14ac:dyDescent="0.35">
      <c r="AG24" s="153"/>
    </row>
    <row r="25" spans="1:67" hidden="1" outlineLevel="1" x14ac:dyDescent="0.3">
      <c r="A25" s="214" t="s">
        <v>35</v>
      </c>
      <c r="B25" s="115"/>
      <c r="C25" s="116" t="s">
        <v>19</v>
      </c>
      <c r="D25" s="117"/>
      <c r="E25" s="118">
        <f>+[1]Retail!$C$21/1000</f>
        <v>0.94467743999999876</v>
      </c>
      <c r="F25" s="119">
        <f>+[1]Retail!$C$22/1000</f>
        <v>1.2017279799999991</v>
      </c>
      <c r="G25" s="119">
        <f>+[1]Retail!$C$23/1000</f>
        <v>0</v>
      </c>
      <c r="H25" s="117"/>
      <c r="I25" s="121">
        <f>+[1]SME!$C$21/1000</f>
        <v>11.340722</v>
      </c>
      <c r="J25" s="119">
        <f>+[1]SME!$C$22/1000</f>
        <v>12.046396919999999</v>
      </c>
      <c r="K25" s="119">
        <f>+[1]SME!$C$23/1000</f>
        <v>12.277620000000001</v>
      </c>
      <c r="L25" s="117"/>
      <c r="M25" s="118">
        <f>+[1]MidCorp!$C$21/1000</f>
        <v>54.983342980000003</v>
      </c>
      <c r="N25" s="119">
        <f>+[1]MidCorp!$C$22/1000</f>
        <v>49.403989899999992</v>
      </c>
      <c r="O25" s="119">
        <f>+[1]MidCorp!$C$23/1000</f>
        <v>49.386870000000002</v>
      </c>
      <c r="P25" s="117"/>
      <c r="Q25" s="118">
        <f>+[1]MGA!$C$21/1000</f>
        <v>18.095316599999997</v>
      </c>
      <c r="R25" s="119">
        <f>+[1]MGA!$C$22/1000</f>
        <v>16.027854949999998</v>
      </c>
      <c r="S25" s="119">
        <f>+[1]MGA!$C$23/1000</f>
        <v>16.485080000000004</v>
      </c>
      <c r="T25" s="117"/>
      <c r="U25" s="121">
        <f>+[1]Bancassurance!$C$21/1000</f>
        <v>0</v>
      </c>
      <c r="V25" s="119">
        <f>+[1]Bancassurance!$C$22/1000</f>
        <v>0</v>
      </c>
      <c r="W25" s="119">
        <f>+[1]Bancassurance!$C$23/1000</f>
        <v>0</v>
      </c>
      <c r="X25" s="117"/>
      <c r="Y25" s="118">
        <f>+[1]Specials!$C$21/1000</f>
        <v>0.19433375</v>
      </c>
      <c r="Z25" s="119">
        <f>+[1]Specials!$C$22/1000</f>
        <v>0.12200983999999999</v>
      </c>
      <c r="AA25" s="119">
        <f>+[1]Specials!$C$23/1000</f>
        <v>0</v>
      </c>
      <c r="AB25" s="117"/>
      <c r="AC25" s="122">
        <f>+'[1]Total P&amp;C'!$C$21/1000</f>
        <v>85.558392769999998</v>
      </c>
      <c r="AD25" s="123">
        <f>+'[1]Total P&amp;C'!$C$22/1000</f>
        <v>78.801979589999988</v>
      </c>
      <c r="AE25" s="123">
        <f>+'[1]Total P&amp;C'!$C$23/1000</f>
        <v>78.149570000000011</v>
      </c>
      <c r="AG25" s="212" t="s">
        <v>35</v>
      </c>
      <c r="AH25" s="115"/>
      <c r="AI25" s="116" t="s">
        <v>19</v>
      </c>
      <c r="AJ25" s="117"/>
      <c r="AK25" s="121">
        <f>+[2]Retail!$C$21/1000</f>
        <v>7.7727622200000024</v>
      </c>
      <c r="AL25" s="119">
        <f>+[2]Retail!$C$22/1000</f>
        <v>7.9758582299999992</v>
      </c>
      <c r="AM25" s="119">
        <f>+[2]Retail!$C$23/1000</f>
        <v>9.0071362122563272</v>
      </c>
      <c r="AN25" s="117"/>
      <c r="AO25" s="121">
        <f>+[2]SME!$C$21/1000</f>
        <v>2.2108949499999997</v>
      </c>
      <c r="AP25" s="119">
        <f>+[2]SME!$C$22/1000</f>
        <v>2.3550842099999989</v>
      </c>
      <c r="AQ25" s="119">
        <f>+[2]SME!$C$23/1000</f>
        <v>2.4117941315877123</v>
      </c>
      <c r="AR25" s="117"/>
      <c r="AS25" s="121">
        <f>+[2]MidCorp!$C$21/1000</f>
        <v>6.3104131100000025</v>
      </c>
      <c r="AT25" s="119">
        <f>+[2]MidCorp!$C$22/1000</f>
        <v>7.2624679900000029</v>
      </c>
      <c r="AU25" s="119">
        <f>+[2]MidCorp!$C$23/1000</f>
        <v>6.4797079119333265</v>
      </c>
      <c r="AV25" s="117"/>
      <c r="AW25" s="121"/>
      <c r="AX25" s="119"/>
      <c r="AY25" s="119"/>
      <c r="AZ25" s="117"/>
      <c r="BA25" s="121"/>
      <c r="BB25" s="119"/>
      <c r="BC25" s="119"/>
      <c r="BD25" s="117"/>
      <c r="BE25" s="121"/>
      <c r="BF25" s="119"/>
      <c r="BG25" s="119"/>
      <c r="BH25" s="117"/>
      <c r="BI25" s="124">
        <f>+'[2]Total P&amp;C'!$C$21/1000</f>
        <v>16.294070280000003</v>
      </c>
      <c r="BJ25" s="123">
        <f>+'[2]Total P&amp;C'!$C$22/1000</f>
        <v>17.593410430000002</v>
      </c>
      <c r="BK25" s="123">
        <f>+'[2]Total P&amp;C'!$C$23/1000</f>
        <v>17.898638255777367</v>
      </c>
      <c r="BM25" s="122">
        <f>+'[3]Total P&amp;C'!$C$21/1000</f>
        <v>101.85246305000001</v>
      </c>
      <c r="BN25" s="123">
        <f>+'[3]Total P&amp;C'!$C$22/1000</f>
        <v>96.395390019999994</v>
      </c>
      <c r="BO25" s="123">
        <f>+'[3]Total P&amp;C'!$C$23/1000</f>
        <v>96.048208255777382</v>
      </c>
    </row>
    <row r="26" spans="1:67" hidden="1" outlineLevel="1" x14ac:dyDescent="0.3">
      <c r="A26" s="214"/>
      <c r="B26" s="115"/>
      <c r="C26" s="116" t="s">
        <v>55</v>
      </c>
      <c r="D26" s="117"/>
      <c r="E26" s="118">
        <f>+[1]Retail!$N$21/1000</f>
        <v>0.95931627000000186</v>
      </c>
      <c r="F26" s="119">
        <f>+[1]Retail!$N$22/1000</f>
        <v>1.1711001199999989</v>
      </c>
      <c r="G26" s="119">
        <f>+[1]Retail!$N$23/1000</f>
        <v>0</v>
      </c>
      <c r="H26" s="117"/>
      <c r="I26" s="121">
        <f>+[1]SME!$N$21/1000</f>
        <v>7.2882262400000011</v>
      </c>
      <c r="J26" s="119">
        <f>+[1]SME!$N$22/1000</f>
        <v>7.7367101399999978</v>
      </c>
      <c r="K26" s="119">
        <f>+[1]SME!$N$23/1000</f>
        <v>7.596552962986638</v>
      </c>
      <c r="L26" s="117"/>
      <c r="M26" s="118">
        <f>+[1]MidCorp!$N$21/1000</f>
        <v>43.516099930000003</v>
      </c>
      <c r="N26" s="119">
        <f>+[1]MidCorp!$N$22/1000</f>
        <v>37.623424519999993</v>
      </c>
      <c r="O26" s="119">
        <f>+[1]MidCorp!$N$23/1000</f>
        <v>38.709298161241605</v>
      </c>
      <c r="P26" s="117"/>
      <c r="Q26" s="118">
        <f>+[1]MGA!$N$21/1000</f>
        <v>15.471581460000005</v>
      </c>
      <c r="R26" s="119">
        <f>+[1]MGA!$N$22/1000</f>
        <v>13.69660854</v>
      </c>
      <c r="S26" s="119">
        <f>+[1]MGA!$N$23/1000</f>
        <v>15.074523391691372</v>
      </c>
      <c r="T26" s="117"/>
      <c r="U26" s="121">
        <f>+[1]Bancassurance!$N$21/1000</f>
        <v>0</v>
      </c>
      <c r="V26" s="119">
        <f>+[1]Bancassurance!$N$22/1000</f>
        <v>0</v>
      </c>
      <c r="W26" s="119">
        <f>+[1]Bancassurance!$N$23/1000</f>
        <v>0</v>
      </c>
      <c r="X26" s="117"/>
      <c r="Y26" s="118">
        <f>+[1]Specials!$N$21/1000</f>
        <v>6.909593E-2</v>
      </c>
      <c r="Z26" s="119">
        <f>+[1]Specials!$N$22/1000</f>
        <v>1.4821349999999995E-2</v>
      </c>
      <c r="AA26" s="119">
        <f>+[1]Specials!$N$23/1000</f>
        <v>0</v>
      </c>
      <c r="AB26" s="117"/>
      <c r="AC26" s="122">
        <f>+'[1]Total P&amp;C'!$N$21/1000</f>
        <v>67.304319830000011</v>
      </c>
      <c r="AD26" s="123">
        <f>+'[1]Total P&amp;C'!$N$22/1000</f>
        <v>60.242664669999989</v>
      </c>
      <c r="AE26" s="123">
        <f>+'[1]Total P&amp;C'!$N$23/1000</f>
        <v>61.380374515919613</v>
      </c>
      <c r="AG26" s="212"/>
      <c r="AH26" s="115"/>
      <c r="AI26" s="116" t="s">
        <v>55</v>
      </c>
      <c r="AJ26" s="117"/>
      <c r="AK26" s="121">
        <f>+[2]Retail!$N$21/1000</f>
        <v>7.5916696600000071</v>
      </c>
      <c r="AL26" s="119">
        <f>+[2]Retail!$N$22/1000</f>
        <v>7.668938289999998</v>
      </c>
      <c r="AM26" s="119">
        <f>+[2]Retail!$N$23/1000</f>
        <v>8.4032178728811964</v>
      </c>
      <c r="AN26" s="117"/>
      <c r="AO26" s="121">
        <f>+[2]SME!$N$21/1000</f>
        <v>1.860846340000001</v>
      </c>
      <c r="AP26" s="119">
        <f>+[2]SME!$N$22/1000</f>
        <v>1.9818038599999976</v>
      </c>
      <c r="AQ26" s="119">
        <f>+[2]SME!$N$23/1000</f>
        <v>1.9861192378714618</v>
      </c>
      <c r="AR26" s="117"/>
      <c r="AS26" s="118">
        <f>+[2]MidCorp!$N$21/1000</f>
        <v>4.2822112100000025</v>
      </c>
      <c r="AT26" s="119">
        <f>+[2]MidCorp!$N$22/1000</f>
        <v>4.694180720000003</v>
      </c>
      <c r="AU26" s="119">
        <f>+[2]MidCorp!$N$23/1000</f>
        <v>4.1316620442196896</v>
      </c>
      <c r="AV26" s="117"/>
      <c r="AW26" s="121"/>
      <c r="AX26" s="119"/>
      <c r="AY26" s="119"/>
      <c r="AZ26" s="117"/>
      <c r="BA26" s="121"/>
      <c r="BB26" s="119"/>
      <c r="BC26" s="119"/>
      <c r="BD26" s="117"/>
      <c r="BE26" s="121"/>
      <c r="BF26" s="119"/>
      <c r="BG26" s="119"/>
      <c r="BH26" s="117"/>
      <c r="BI26" s="124">
        <f>+'[2]Total P&amp;C'!$N$21/1000</f>
        <v>13.734727210000008</v>
      </c>
      <c r="BJ26" s="123">
        <f>+'[2]Total P&amp;C'!$N$22/1000</f>
        <v>14.344922869999998</v>
      </c>
      <c r="BK26" s="123">
        <f>+'[2]Total P&amp;C'!$N$23/1000</f>
        <v>14.520999154972349</v>
      </c>
      <c r="BM26" s="122">
        <f>+'[3]Total P&amp;C'!$N$21/1000</f>
        <v>81.039047040000014</v>
      </c>
      <c r="BN26" s="123">
        <f>+'[3]Total P&amp;C'!$N$22/1000</f>
        <v>74.587587539999987</v>
      </c>
      <c r="BO26" s="123">
        <f>+'[3]Total P&amp;C'!$N$23/1000</f>
        <v>75.901373670891957</v>
      </c>
    </row>
    <row r="27" spans="1:67" hidden="1" outlineLevel="1" x14ac:dyDescent="0.3">
      <c r="A27" s="214"/>
      <c r="B27" s="115"/>
      <c r="C27" s="116" t="s">
        <v>21</v>
      </c>
      <c r="D27" s="117"/>
      <c r="E27" s="128">
        <f>+E28+E33+E34+E35+E36</f>
        <v>1.0172878335525333</v>
      </c>
      <c r="F27" s="127">
        <f>+F28+F33+F34+F35+F36</f>
        <v>0.29341385431674416</v>
      </c>
      <c r="G27" s="127" t="e">
        <f>+G28+G33+G34+G35+G36</f>
        <v>#DIV/0!</v>
      </c>
      <c r="H27" s="117"/>
      <c r="I27" s="126">
        <f>+I28+I33+I34+I35+I36</f>
        <v>1.0101708341040734</v>
      </c>
      <c r="J27" s="127">
        <f>+J28+J33+J34+J35+J36</f>
        <v>1.26465816386395</v>
      </c>
      <c r="K27" s="127">
        <f>+K28+K33+K34+K35+K36</f>
        <v>1.0941282287875302</v>
      </c>
      <c r="L27" s="117"/>
      <c r="M27" s="131">
        <f>+M28+M33+M34+M35+M36</f>
        <v>1.0047449663534218</v>
      </c>
      <c r="N27" s="127">
        <f>+N28+N33+N34+N35+N36</f>
        <v>0.97488671958881012</v>
      </c>
      <c r="O27" s="127">
        <f>+O28+O33+O34+O35+O36</f>
        <v>0.99605638284643827</v>
      </c>
      <c r="P27" s="117"/>
      <c r="Q27" s="128">
        <f>+Q28+Q33+Q34+Q35+Q36</f>
        <v>1.2195131673371926</v>
      </c>
      <c r="R27" s="127">
        <f>+R28+R33+R34+R35+R36</f>
        <v>0.91902832100653731</v>
      </c>
      <c r="S27" s="127">
        <f>+S28+S33+S34+S35+S36</f>
        <v>1.0358867674822603</v>
      </c>
      <c r="T27" s="117"/>
      <c r="U27" s="128" t="e">
        <f>+U28+U33+U34+U35+U36</f>
        <v>#DIV/0!</v>
      </c>
      <c r="V27" s="127" t="e">
        <f>+V28+V33+V34+V35+V36</f>
        <v>#DIV/0!</v>
      </c>
      <c r="W27" s="127" t="e">
        <f>+W28+W33+W34+W35+W36</f>
        <v>#DIV/0!</v>
      </c>
      <c r="X27" s="117"/>
      <c r="Y27" s="128">
        <f>+Y28+Y33+Y34+Y35+Y36</f>
        <v>-6.1644668506524196</v>
      </c>
      <c r="Z27" s="127">
        <f>+Z28+Z33+Z34+Z35+Z36</f>
        <v>-30.384715967168994</v>
      </c>
      <c r="AA27" s="127" t="e">
        <f>+AA28+AA33+AA34+AA35+AA36</f>
        <v>#DIV/0!</v>
      </c>
      <c r="AB27" s="117"/>
      <c r="AC27" s="129">
        <f>+AC28+AC33+AC34+AC35+AC36</f>
        <v>1.0475210897023928</v>
      </c>
      <c r="AD27" s="130">
        <f>+AD28+AD33+AD34+AD35+AD36</f>
        <v>0.97864476700944036</v>
      </c>
      <c r="AE27" s="130">
        <f>+AE28+AE33+AE34+AE35+AE36</f>
        <v>1.0128569342820963</v>
      </c>
      <c r="AG27" s="212"/>
      <c r="AH27" s="115"/>
      <c r="AI27" s="116" t="s">
        <v>21</v>
      </c>
      <c r="AJ27" s="117"/>
      <c r="AK27" s="126">
        <f>+AK28+AK33+AK34+AK35+AK36</f>
        <v>0.791814388562319</v>
      </c>
      <c r="AL27" s="127">
        <f>+AL28+AL33+AL34+AL35+AL36</f>
        <v>0.51016482752268799</v>
      </c>
      <c r="AM27" s="127">
        <f>+AM28+AM33+AM34+AM35+AM36</f>
        <v>0.8919147329203212</v>
      </c>
      <c r="AN27" s="117"/>
      <c r="AO27" s="126">
        <f>+AO28+AO33+AO34+AO35+AO36</f>
        <v>0.97580865274453621</v>
      </c>
      <c r="AP27" s="127">
        <f>+AP28+AP33+AP34+AP35+AP36</f>
        <v>0.90635547051563659</v>
      </c>
      <c r="AQ27" s="127">
        <f>+AQ28+AQ33+AQ34+AQ35+AQ36</f>
        <v>1.2388799280332894</v>
      </c>
      <c r="AR27" s="117"/>
      <c r="AS27" s="128">
        <f>+AS28+AS33+AS34+AS35+AS36</f>
        <v>1.4196736363221076</v>
      </c>
      <c r="AT27" s="127">
        <f>+AT28+AT33+AT34+AT35+AT36</f>
        <v>1.944203711867317</v>
      </c>
      <c r="AU27" s="127">
        <f>+AU28+AU33+AU34+AU35+AU36</f>
        <v>1.3347551089429828</v>
      </c>
      <c r="AV27" s="117"/>
      <c r="AW27" s="131"/>
      <c r="AX27" s="127"/>
      <c r="AY27" s="127"/>
      <c r="AZ27" s="117"/>
      <c r="BA27" s="131"/>
      <c r="BB27" s="127"/>
      <c r="BC27" s="127"/>
      <c r="BD27" s="117"/>
      <c r="BE27" s="131"/>
      <c r="BF27" s="127"/>
      <c r="BG27" s="127"/>
      <c r="BH27" s="117"/>
      <c r="BI27" s="132">
        <f>+BI28+BI33+BI34+BI35+BI36</f>
        <v>1.0124966719306256</v>
      </c>
      <c r="BJ27" s="130">
        <f>+BJ28+BJ33+BJ34+BJ35+BJ36</f>
        <v>1.0341697243297894</v>
      </c>
      <c r="BK27" s="130">
        <f>+BK28+BK33+BK34+BK35+BK36</f>
        <v>1.06537256424896</v>
      </c>
      <c r="BM27" s="129">
        <f>+BM28+BM33+BM34+BM35+BM36</f>
        <v>1.0415850521827656</v>
      </c>
      <c r="BN27" s="130">
        <f>+BN28+BN33+BN34+BN35+BN36</f>
        <v>0.98932350400027425</v>
      </c>
      <c r="BO27" s="130">
        <f>+BO28+BO33+BO34+BO35+BO36</f>
        <v>1.0229039121099053</v>
      </c>
    </row>
    <row r="28" spans="1:67" hidden="1" outlineLevel="1" x14ac:dyDescent="0.3">
      <c r="A28" s="214"/>
      <c r="B28" s="115"/>
      <c r="C28" s="116" t="s">
        <v>56</v>
      </c>
      <c r="D28" s="117"/>
      <c r="E28" s="128">
        <f>+E29+E30+E31+E32</f>
        <v>0.16340121073939429</v>
      </c>
      <c r="F28" s="127">
        <f>+F29+F30+F31+F32</f>
        <v>2.172888676674376</v>
      </c>
      <c r="G28" s="127" t="e">
        <f>+G29+G30+G31+G32</f>
        <v>#DIV/0!</v>
      </c>
      <c r="H28" s="117"/>
      <c r="I28" s="128">
        <f>+I29+I30+I31+I32</f>
        <v>1.0509414592486632</v>
      </c>
      <c r="J28" s="127">
        <f>+J29+J30+J31+J32</f>
        <v>0.68421973089455845</v>
      </c>
      <c r="K28" s="127">
        <f>+K29+K30+K31+K32</f>
        <v>0.85941692644899115</v>
      </c>
      <c r="L28" s="117"/>
      <c r="M28" s="128">
        <f>+M29+M30+M31+M32</f>
        <v>0.87293392011474769</v>
      </c>
      <c r="N28" s="127">
        <f>+N29+N30+N31+N32</f>
        <v>0.83180249908840598</v>
      </c>
      <c r="O28" s="127">
        <f>+O29+O30+O31+O32</f>
        <v>0.86144792754037647</v>
      </c>
      <c r="P28" s="117"/>
      <c r="Q28" s="128">
        <f>+Q29+Q30+Q31+Q32</f>
        <v>0.80742451134016091</v>
      </c>
      <c r="R28" s="127">
        <f>+R29+R30+R31+R32</f>
        <v>0.77517821429975697</v>
      </c>
      <c r="S28" s="127">
        <f>+S29+S30+S31+S32</f>
        <v>0.7849023976105739</v>
      </c>
      <c r="T28" s="117"/>
      <c r="U28" s="126" t="e">
        <f>+U29+U30+U31+U32</f>
        <v>#DIV/0!</v>
      </c>
      <c r="V28" s="127" t="e">
        <f>+V29+V30+V31+V32</f>
        <v>#DIV/0!</v>
      </c>
      <c r="W28" s="127" t="e">
        <f>+W29+W30+W31+W32</f>
        <v>#DIV/0!</v>
      </c>
      <c r="X28" s="117"/>
      <c r="Y28" s="126">
        <f>+Y29+Y30+Y31+Y32</f>
        <v>-4.2983718433198597</v>
      </c>
      <c r="Z28" s="127">
        <f>+Z29+Z30+Z31+Z32</f>
        <v>-20.761469096944616</v>
      </c>
      <c r="AA28" s="127" t="e">
        <f>+AA29+AA30+AA31+AA32</f>
        <v>#DIV/0!</v>
      </c>
      <c r="AB28" s="117"/>
      <c r="AC28" s="129">
        <f>+AC29+AC30+AC31+AC32</f>
        <v>0.86172873459673727</v>
      </c>
      <c r="AD28" s="130">
        <f>+AD29+AD30+AD31+AD32</f>
        <v>0.82073291878508137</v>
      </c>
      <c r="AE28" s="130">
        <f>+AE29+AE30+AE31+AE32</f>
        <v>0.84334852441236585</v>
      </c>
      <c r="AG28" s="212"/>
      <c r="AH28" s="115"/>
      <c r="AI28" s="116" t="s">
        <v>56</v>
      </c>
      <c r="AJ28" s="117"/>
      <c r="AK28" s="128">
        <f>+AK29+AK30+AK31+AK32</f>
        <v>0.70518649516686094</v>
      </c>
      <c r="AL28" s="127">
        <f>+AL29+AL30+AL31+AL32</f>
        <v>0.76676323340189523</v>
      </c>
      <c r="AM28" s="127">
        <f>+AM29+AM30+AM31+AM32</f>
        <v>0.58793956874811626</v>
      </c>
      <c r="AN28" s="117"/>
      <c r="AO28" s="128">
        <f>+AO29+AO30+AO31+AO32</f>
        <v>0.84503975755461858</v>
      </c>
      <c r="AP28" s="127">
        <f>+AP29+AP30+AP31+AP32</f>
        <v>0.48836124983629858</v>
      </c>
      <c r="AQ28" s="127">
        <f>+AQ29+AQ30+AQ31+AQ32</f>
        <v>0.79396337963978125</v>
      </c>
      <c r="AR28" s="117"/>
      <c r="AS28" s="128">
        <f>+AS29+AS30+AS31+AS32</f>
        <v>1.5365526096971747</v>
      </c>
      <c r="AT28" s="127">
        <f>+AT29+AT30+AT31+AT32</f>
        <v>1.2142868287354727</v>
      </c>
      <c r="AU28" s="127">
        <f>+AU29+AU30+AU31+AU32</f>
        <v>1.0760238133788342</v>
      </c>
      <c r="AV28" s="117"/>
      <c r="AW28" s="131"/>
      <c r="AX28" s="127"/>
      <c r="AY28" s="127"/>
      <c r="AZ28" s="117"/>
      <c r="BA28" s="131"/>
      <c r="BB28" s="127"/>
      <c r="BC28" s="127"/>
      <c r="BD28" s="117"/>
      <c r="BE28" s="131"/>
      <c r="BF28" s="127"/>
      <c r="BG28" s="127"/>
      <c r="BH28" s="117"/>
      <c r="BI28" s="129">
        <f>+BI29+BI30+BI31+BI32</f>
        <v>0.98333768581633085</v>
      </c>
      <c r="BJ28" s="130">
        <f>+BJ29+BJ30+BJ31+BJ32</f>
        <v>0.87474697938198132</v>
      </c>
      <c r="BK28" s="130">
        <f>+BK29+BK30+BK31+BK32</f>
        <v>0.75499329392950332</v>
      </c>
      <c r="BM28" s="129">
        <f>+BM29+BM30+BM31+BM32</f>
        <v>0.8823393640686128</v>
      </c>
      <c r="BN28" s="130">
        <f>+BN29+BN30+BN31+BN32</f>
        <v>0.83112107529627732</v>
      </c>
      <c r="BO28" s="130">
        <f>+BO29+BO30+BO31+BO32</f>
        <v>0.82644492747956022</v>
      </c>
    </row>
    <row r="29" spans="1:67" ht="14.5" hidden="1" outlineLevel="1" x14ac:dyDescent="0.3">
      <c r="A29" s="214"/>
      <c r="B29" s="115"/>
      <c r="C29" s="38" t="s">
        <v>23</v>
      </c>
      <c r="D29" s="117"/>
      <c r="E29" s="73">
        <f>-SUM([1]Retail!$O$21,[1]Retail!$R$21:$V$21,[1]Retail!$Y$21,[1]Retail!$AB$21,[1]Retail!$AU$21,[1]Retail!$AX$21,[1]Retail!$BA$21,[1]Retail!$BD$21)/1000/E26</f>
        <v>9.1659469092502513E-2</v>
      </c>
      <c r="F29" s="42">
        <f>-SUM([1]Retail!$O$22,[1]Retail!$R$22:$V$22,[1]Retail!$Y$22,[1]Retail!$AB$22,[1]Retail!$AU$22,[1]Retail!$AX$22,[1]Retail!$BA$22,[1]Retail!$BD$22)/1000/F26</f>
        <v>0.99670085760091665</v>
      </c>
      <c r="G29" s="42" t="e">
        <f>-SUM([1]Retail!$O$23,[1]Retail!$R$23:$V$23,[1]Retail!$Y$23,[1]Retail!$AB$23,[1]Retail!$AU$23,[1]Retail!$AX$23,[1]Retail!$BA$23,[1]Retail!$BD$23)/1000/G26</f>
        <v>#DIV/0!</v>
      </c>
      <c r="H29" s="117"/>
      <c r="I29" s="73">
        <f>-SUM([1]SME!$O$21,[1]SME!$R$21:$V$21,[1]SME!$Y$21,[1]SME!$AB$21,[1]SME!$AU$21,[1]SME!$AX$21,[1]SME!$BA$21,[1]SME!$BD$21)/1000/I26</f>
        <v>0.8547750146709675</v>
      </c>
      <c r="J29" s="42">
        <f>-SUM([1]SME!$O$22,[1]SME!$R$22:$V$22,[1]SME!$Y$22,[1]SME!$AB$22,[1]SME!$AU$22,[1]SME!$AX$22,[1]SME!$BA$22,[1]SME!$BD$22)/1000/J26</f>
        <v>0.60171297252332356</v>
      </c>
      <c r="K29" s="42">
        <f>-SUM([1]SME!$O$23,[1]SME!$R$23:$V$23,[1]SME!$Y$23,[1]SME!$AB$23,[1]SME!$AU$23,[1]SME!$AX$23,[1]SME!$BA$23,[1]SME!$BD$23)/1000/K26</f>
        <v>0.66657348920036108</v>
      </c>
      <c r="L29" s="117"/>
      <c r="M29" s="73">
        <f>-SUM([1]MidCorp!$O$21,[1]MidCorp!$R$21:$V$21,[1]MidCorp!$Y$21,[1]MidCorp!$AB$21,[1]MidCorp!$AU$21,[1]MidCorp!$AX$21,[1]MidCorp!$BA$21,[1]MidCorp!$BD$21)/1000/M26</f>
        <v>0.69528507052576416</v>
      </c>
      <c r="N29" s="42">
        <f>-SUM([1]MidCorp!$O$22,[1]MidCorp!$R$22:$V$22,[1]MidCorp!$Y$22,[1]MidCorp!$AB$22,[1]MidCorp!$AU$22,[1]MidCorp!$AX$22,[1]MidCorp!$BA$22,[1]MidCorp!$BD$22)/1000/N26</f>
        <v>0.58735374763065751</v>
      </c>
      <c r="O29" s="42">
        <f>-SUM([1]MidCorp!$O$23,[1]MidCorp!$R$23:$V$23,[1]MidCorp!$Y$23,[1]MidCorp!$AB$23,[1]MidCorp!$AU$23,[1]MidCorp!$AX$23,[1]MidCorp!$BA$23,[1]MidCorp!$BD$23)/1000/O26</f>
        <v>0.62102784224945551</v>
      </c>
      <c r="P29" s="117"/>
      <c r="Q29" s="73">
        <f>-SUM([1]MGA!$O$21,[1]MGA!$R$21:$V$21,[1]MGA!$Y$21,[1]MGA!$AB$21,[1]MGA!$AU$21,[1]MGA!$AX$21,[1]MGA!$BA$21,[1]MGA!$BD$21)/1000/Q26</f>
        <v>0.67312267038940388</v>
      </c>
      <c r="R29" s="42">
        <f>-SUM([1]MGA!$O$22,[1]MGA!$R$22:$V$22,[1]MGA!$Y$22,[1]MGA!$AB$22,[1]MGA!$AU$22,[1]MGA!$AX$22,[1]MGA!$BA$22,[1]MGA!$BD$22)/1000/R26</f>
        <v>0.60327149960766502</v>
      </c>
      <c r="S29" s="42">
        <f>-SUM([1]MGA!$O$23,[1]MGA!$R$23:$V$23,[1]MGA!$Y$23,[1]MGA!$AB$23,[1]MGA!$AU$23,[1]MGA!$AX$23,[1]MGA!$BA$23,[1]MGA!$BD$23)/1000/S26</f>
        <v>0.61443724761697449</v>
      </c>
      <c r="T29" s="117"/>
      <c r="U29" s="73" t="e">
        <f>-SUM([1]Bancassurance!$O$21,[1]Bancassurance!$R$21:$V$21,[1]Bancassurance!$Y$21,[1]Bancassurance!$AB$21,[1]Bancassurance!$AU$21,[1]Bancassurance!$AX$21,[1]Bancassurance!$BA$21,[1]Bancassurance!$BD$21)/1000/U26</f>
        <v>#DIV/0!</v>
      </c>
      <c r="V29" s="42" t="e">
        <f>-SUM([1]Bancassurance!$O$22,[1]Bancassurance!$R$22:$V$22,[1]Bancassurance!$Y$22,[1]Bancassurance!$AB$22,[1]Bancassurance!$AU$22,[1]Bancassurance!$AX$22,[1]Bancassurance!$BA$22,[1]Bancassurance!$BD$22)/1000/V26</f>
        <v>#DIV/0!</v>
      </c>
      <c r="W29" s="42" t="e">
        <f>-SUM([1]Bancassurance!$O$23,[1]Bancassurance!$R$23:$V$23,[1]Bancassurance!$Y$23,[1]Bancassurance!$AB$23,[1]Bancassurance!$AU$23,[1]Bancassurance!$AX$23,[1]Bancassurance!$BA$23,[1]Bancassurance!$BD$23)/1000/W26</f>
        <v>#DIV/0!</v>
      </c>
      <c r="X29" s="117"/>
      <c r="Y29" s="73">
        <f>-SUM([1]Specials!$O$21,[1]Specials!$R$21:$V$21,[1]Specials!$Y$21,[1]Specials!$AB$21,[1]Specials!$AU$21,[1]Specials!$AX$21,[1]Specials!$BA$21,[1]Specials!$BD$21)/1000/Y26</f>
        <v>0</v>
      </c>
      <c r="Z29" s="42">
        <f>-SUM([1]Specials!$O$22,[1]Specials!$R$22:$V$22,[1]Specials!$Y$22,[1]Specials!$AB$22,[1]Specials!$AU$22,[1]Specials!$AX$22,[1]Specials!$BA$22,[1]Specials!$BD$22)/1000/Z26</f>
        <v>1.9363958073994613E-2</v>
      </c>
      <c r="AA29" s="42" t="e">
        <f>-SUM([1]Specials!$O$23,[1]Specials!$R$23:$V$23,[1]Specials!$Y$23,[1]Specials!$AB$23,[1]Specials!$AU$23,[1]Specials!$AX$23,[1]Specials!$BA$23,[1]Specials!$BD$23)/1000/AA26</f>
        <v>#DIV/0!</v>
      </c>
      <c r="AB29" s="117"/>
      <c r="AC29" s="84">
        <f>-SUM('[1]Total P&amp;C'!$O$21,'[1]Total P&amp;C'!$R$21:$V$21,'[1]Total P&amp;C'!$Y$21,'[1]Total P&amp;C'!$AB$21,'[1]Total P&amp;C'!$AU$21,'[1]Total P&amp;C'!$AX$21,'[1]Total P&amp;C'!$BA$21,'[1]Total P&amp;C'!$BD$21)/1000/AC26</f>
        <v>0.69814376055273142</v>
      </c>
      <c r="AD29" s="60">
        <f>-SUM('[1]Total P&amp;C'!$O$22,'[1]Total P&amp;C'!$R$22:$V$22,'[1]Total P&amp;C'!$Y$22,'[1]Total P&amp;C'!$AB$22,'[1]Total P&amp;C'!$AU$22,'[1]Total P&amp;C'!$AX$22,'[1]Total P&amp;C'!$BA$22,'[1]Total P&amp;C'!$BD$22)/1000/AD26</f>
        <v>0.6006347081761213</v>
      </c>
      <c r="AE29" s="60">
        <f>-SUM('[1]Total P&amp;C'!$O$23,'[1]Total P&amp;C'!$R$23:$V$23,'[1]Total P&amp;C'!$Y$23,'[1]Total P&amp;C'!$AB$23,'[1]Total P&amp;C'!$AU$23,'[1]Total P&amp;C'!$AX$23,'[1]Total P&amp;C'!$BA$23,'[1]Total P&amp;C'!$BD$23)/1000/AE26</f>
        <v>0.62599698254962366</v>
      </c>
      <c r="AG29" s="212"/>
      <c r="AH29" s="115"/>
      <c r="AI29" s="38" t="s">
        <v>23</v>
      </c>
      <c r="AJ29" s="117"/>
      <c r="AK29" s="73">
        <f>-SUM([2]Retail!$O$21,[2]Retail!$R$21:$V$21,[2]Retail!$Y$21,[2]Retail!$AB$21,[2]Retail!$AU$21,[2]Retail!$AX$21,[2]Retail!$BA$21,[2]Retail!$BD$21)/1000/AK26</f>
        <v>0.59282572383524679</v>
      </c>
      <c r="AL29" s="42">
        <f>-SUM([2]Retail!$O$22,[2]Retail!$R$22:$V$22,[2]Retail!$Y$22,[2]Retail!$AB$22,[2]Retail!$AU$22,[2]Retail!$AX$22,[2]Retail!$BA$22,[2]Retail!$BD$22)/1000/AL26</f>
        <v>0.56904470801263951</v>
      </c>
      <c r="AM29" s="42">
        <f>-SUM([2]Retail!$O$23,[2]Retail!$R$23:$V$23,[2]Retail!$Y$23,[2]Retail!$AB$23,[2]Retail!$AU$23,[2]Retail!$AX$23,[2]Retail!$BA$23,[2]Retail!$BD$23)/1000/AM26</f>
        <v>0.46919716162460062</v>
      </c>
      <c r="AN29" s="117"/>
      <c r="AO29" s="73">
        <f>-SUM([2]SME!$O$21,[2]SME!$R$21:$V$21,[2]SME!$Y$21,[2]SME!$AB$21,[2]SME!$AU$21,[2]SME!$AX$21,[2]SME!$BA$21,[2]SME!$BD$21)/1000/AO26</f>
        <v>0.68126147032056461</v>
      </c>
      <c r="AP29" s="42">
        <f>-SUM([2]SME!$O$22,[2]SME!$R$22:$V$22,[2]SME!$Y$22,[2]SME!$AB$22,[2]SME!$AU$22,[2]SME!$AX$22,[2]SME!$BA$22,[2]SME!$BD$22)/1000/AP26</f>
        <v>0.37376766942012146</v>
      </c>
      <c r="AQ29" s="42">
        <f>-SUM([2]SME!$O$23,[2]SME!$R$23:$V$23,[2]SME!$Y$23,[2]SME!$AB$23,[2]SME!$AU$23,[2]SME!$AX$23,[2]SME!$BA$23,[2]SME!$BD$23)/1000/AQ26</f>
        <v>0.64054310436421902</v>
      </c>
      <c r="AR29" s="117"/>
      <c r="AS29" s="73">
        <f>-SUM([2]MidCorp!$O$21,[2]MidCorp!$R$21:$V$21,[2]MidCorp!$Y$21,[2]MidCorp!$AB$21,[2]MidCorp!$AU$21,[2]MidCorp!$AX$21,[2]MidCorp!$BA$21,[2]MidCorp!$BD$21)/1000/AS26</f>
        <v>1.262654528579551</v>
      </c>
      <c r="AT29" s="42">
        <f>-SUM([2]MidCorp!$O$22,[2]MidCorp!$R$22:$V$22,[2]MidCorp!$Y$22,[2]MidCorp!$AB$22,[2]MidCorp!$AU$22,[2]MidCorp!$AX$22,[2]MidCorp!$BA$22,[2]MidCorp!$BD$22)/1000/AT26</f>
        <v>1.0211741379228361</v>
      </c>
      <c r="AU29" s="42">
        <f>-SUM([2]MidCorp!$O$23,[2]MidCorp!$R$23:$V$23,[2]MidCorp!$Y$23,[2]MidCorp!$AB$23,[2]MidCorp!$AU$23,[2]MidCorp!$AX$23,[2]MidCorp!$BA$23,[2]MidCorp!$BD$23)/1000/AU26</f>
        <v>0.74635820657865637</v>
      </c>
      <c r="AV29" s="117"/>
      <c r="AW29" s="97"/>
      <c r="AX29" s="42"/>
      <c r="AY29" s="42"/>
      <c r="AZ29" s="117"/>
      <c r="BA29" s="97"/>
      <c r="BB29" s="42"/>
      <c r="BC29" s="42"/>
      <c r="BD29" s="117"/>
      <c r="BE29" s="97"/>
      <c r="BF29" s="42"/>
      <c r="BG29" s="42"/>
      <c r="BH29" s="117"/>
      <c r="BI29" s="84">
        <f>-SUM('[2]Total P&amp;C'!$O$21,'[2]Total P&amp;C'!$R$21:$V$21,'[2]Total P&amp;C'!$Y$21,'[2]Total P&amp;C'!$AB$21,'[2]Total P&amp;C'!$AU$21,'[2]Total P&amp;C'!$AX$21,'[2]Total P&amp;C'!$BA$21,'[2]Total P&amp;C'!$BD$21)/1000/BI26</f>
        <v>0.81364654577491546</v>
      </c>
      <c r="BJ29" s="60">
        <f>-SUM('[2]Total P&amp;C'!$O$22,'[2]Total P&amp;C'!$R$22:$V$22,'[2]Total P&amp;C'!$Y$22,'[2]Total P&amp;C'!$AB$22,'[2]Total P&amp;C'!$AU$22,'[2]Total P&amp;C'!$AX$22,'[2]Total P&amp;C'!$BA$22,'[2]Total P&amp;C'!$BD$22)/1000/BJ26</f>
        <v>0.69001966756479338</v>
      </c>
      <c r="BK29" s="60">
        <f>-SUM('[2]Total P&amp;C'!$O$23,'[2]Total P&amp;C'!$R$23:$V$23,'[2]Total P&amp;C'!$Y$23,'[2]Total P&amp;C'!$AB$23,'[2]Total P&amp;C'!$AU$23,'[2]Total P&amp;C'!$AX$23,'[2]Total P&amp;C'!$BA$23,'[2]Total P&amp;C'!$BD$23)/1000/BK26</f>
        <v>0.57149378921380223</v>
      </c>
      <c r="BM29" s="84">
        <f>-SUM('[3]Total P&amp;C'!$O$21,'[3]Total P&amp;C'!$R$21:$V$21,'[3]Total P&amp;C'!$Y$21,'[3]Total P&amp;C'!$AB$21,'[3]Total P&amp;C'!$AU$21,'[3]Total P&amp;C'!$AX$21,'[3]Total P&amp;C'!$BA$21,'[3]Total P&amp;C'!$BD$21)/1000/BM26</f>
        <v>0.71771949971756765</v>
      </c>
      <c r="BN29" s="60">
        <f>-SUM('[3]Total P&amp;C'!$O$22,'[3]Total P&amp;C'!$R$22:$V$22,'[3]Total P&amp;C'!$Y$22,'[3]Total P&amp;C'!$AB$22,'[3]Total P&amp;C'!$AU$22,'[3]Total P&amp;C'!$AX$22,'[3]Total P&amp;C'!$BA$22,'[3]Total P&amp;C'!$BD$22)/1000/BN26</f>
        <v>0.61782550882349396</v>
      </c>
      <c r="BO29" s="60">
        <f>-SUM('[3]Total P&amp;C'!$O$23,'[3]Total P&amp;C'!$R$23:$V$23,'[3]Total P&amp;C'!$Y$23,'[3]Total P&amp;C'!$AB$23,'[3]Total P&amp;C'!$AU$23,'[3]Total P&amp;C'!$AX$23,'[3]Total P&amp;C'!$BA$23,'[3]Total P&amp;C'!$BD$23)/1000/BO26</f>
        <v>0.61556975592518293</v>
      </c>
    </row>
    <row r="30" spans="1:67" ht="14.5" hidden="1" outlineLevel="1" x14ac:dyDescent="0.3">
      <c r="A30" s="214"/>
      <c r="B30" s="115"/>
      <c r="C30" s="38" t="s">
        <v>24</v>
      </c>
      <c r="D30" s="134"/>
      <c r="E30" s="97">
        <f>-([1]Retail!$P$21+[1]Retail!$W$21+[1]Retail!$AV$21+[1]Retail!$AY$21)/1000/E26</f>
        <v>0</v>
      </c>
      <c r="F30" s="42">
        <f>-([1]Retail!$P$22+[1]Retail!$W$22+[1]Retail!$AV$22+[1]Retail!$AY$22)/1000/F26</f>
        <v>0</v>
      </c>
      <c r="G30" s="42" t="e">
        <f>-([1]Retail!$P$23+[1]Retail!$W$23+[1]Retail!$AV$23+[1]Retail!$AY$23)/1000/G26</f>
        <v>#DIV/0!</v>
      </c>
      <c r="H30" s="134"/>
      <c r="I30" s="97">
        <f>-([1]SME!$P$21+[1]SME!$W$21+[1]SME!$AV$21+[1]SME!$AY$21)/1000/I26</f>
        <v>0</v>
      </c>
      <c r="J30" s="42">
        <f>-([1]SME!$P$22+[1]SME!$W$22+[1]SME!$AV$22+[1]SME!$AY$22)/1000/J26</f>
        <v>0</v>
      </c>
      <c r="K30" s="42">
        <f>-([1]SME!$P$23+[1]SME!$W$23+[1]SME!$AV$23+[1]SME!$AY$23)/1000/K26</f>
        <v>0</v>
      </c>
      <c r="L30" s="134"/>
      <c r="M30" s="97">
        <f>-([1]MidCorp!$P$21+[1]MidCorp!$W$21+[1]MidCorp!$AV$21+[1]MidCorp!$AY$21)/1000/M26</f>
        <v>0</v>
      </c>
      <c r="N30" s="42">
        <f>-([1]MidCorp!$P$22+[1]MidCorp!$W$22+[1]MidCorp!$AV$22+[1]MidCorp!$AY$22)/1000/N26</f>
        <v>0</v>
      </c>
      <c r="O30" s="42">
        <f>-([1]MidCorp!$P$23+[1]MidCorp!$W$23+[1]MidCorp!$AV$23+[1]MidCorp!$AY$23)/1000/O26</f>
        <v>0</v>
      </c>
      <c r="P30" s="134"/>
      <c r="Q30" s="97">
        <f>-([1]MGA!$P$21+[1]MGA!$W$21+[1]MGA!$AV$21+[1]MGA!$AY$21)/1000/Q26</f>
        <v>0</v>
      </c>
      <c r="R30" s="42">
        <f>-([1]MGA!$P$22+[1]MGA!$W$22+[1]MGA!$AV$22+[1]MGA!$AY$22)/1000/R26</f>
        <v>0</v>
      </c>
      <c r="S30" s="42">
        <f>-([1]MGA!$P$23+[1]MGA!$W$23+[1]MGA!$AV$23+[1]MGA!$AY$23)/1000/S26</f>
        <v>0</v>
      </c>
      <c r="T30" s="134"/>
      <c r="U30" s="97" t="e">
        <f>-([1]Bancassurance!$P$21+[1]Bancassurance!$W$21+[1]Bancassurance!$AV$21+[1]Bancassurance!$AY$21)/1000/U26</f>
        <v>#DIV/0!</v>
      </c>
      <c r="V30" s="42" t="e">
        <f>-([1]Bancassurance!$P$22+[1]Bancassurance!$W$22+[1]Bancassurance!$AV$22+[1]Bancassurance!$AY$22)/1000/V26</f>
        <v>#DIV/0!</v>
      </c>
      <c r="W30" s="42" t="e">
        <f>-([1]Bancassurance!$P$23+[1]Bancassurance!$W$23+[1]Bancassurance!$AV$23+[1]Bancassurance!$AY$23)/1000/W26</f>
        <v>#DIV/0!</v>
      </c>
      <c r="X30" s="134"/>
      <c r="Y30" s="97">
        <f>-([1]Specials!$P$21+[1]Specials!$W$21+[1]Specials!$AV$21+[1]Specials!$AY$21)/1000/Y26</f>
        <v>0</v>
      </c>
      <c r="Z30" s="42">
        <f>-([1]Specials!$P$22+[1]Specials!$W$22+[1]Specials!$AV$22+[1]Specials!$AY$22)/1000/Z26</f>
        <v>0</v>
      </c>
      <c r="AA30" s="42" t="e">
        <f>-([1]Specials!$P$23+[1]Specials!$W$23+[1]Specials!$AV$23+[1]Specials!$AY$23)/1000/AA26</f>
        <v>#DIV/0!</v>
      </c>
      <c r="AB30" s="134"/>
      <c r="AC30" s="99">
        <f>-('[1]Total P&amp;C'!$P$21+'[1]Total P&amp;C'!$W$21+'[1]Total P&amp;C'!$AV$21+'[1]Total P&amp;C'!$AY$21)/1000/AC26</f>
        <v>0</v>
      </c>
      <c r="AD30" s="60">
        <f>-('[1]Total P&amp;C'!$P$22+'[1]Total P&amp;C'!$W$22+'[1]Total P&amp;C'!$AV$22+'[1]Total P&amp;C'!$AY$22)/1000/AD26</f>
        <v>0</v>
      </c>
      <c r="AE30" s="60">
        <f>-('[1]Total P&amp;C'!$P$23+'[1]Total P&amp;C'!$W$23+'[1]Total P&amp;C'!$AV$23+'[1]Total P&amp;C'!$AY$23)/1000/AE26</f>
        <v>0</v>
      </c>
      <c r="AG30" s="212"/>
      <c r="AH30" s="115"/>
      <c r="AI30" s="38" t="s">
        <v>24</v>
      </c>
      <c r="AJ30" s="134"/>
      <c r="AK30" s="97">
        <f>-([2]Retail!$P$21+[2]Retail!$W$21+[2]Retail!$AV$21+[2]Retail!$AY$21)/1000/AK26</f>
        <v>0</v>
      </c>
      <c r="AL30" s="42">
        <f>-([2]Retail!$P$22+[2]Retail!$W$22+[2]Retail!$AV$22+[2]Retail!$AY$22)/1000/AL26</f>
        <v>0</v>
      </c>
      <c r="AM30" s="42">
        <f>-([2]Retail!$P$23+[2]Retail!$W$23+[2]Retail!$AV$23+[2]Retail!$AY$23)/1000/AM26</f>
        <v>0</v>
      </c>
      <c r="AN30" s="134"/>
      <c r="AO30" s="97">
        <f>-([2]SME!$P$21+[2]SME!$W$21+[2]SME!$AV$21+[2]SME!$AY$21)/1000/AO26</f>
        <v>0</v>
      </c>
      <c r="AP30" s="42">
        <f>-([2]SME!$P$22+[2]SME!$W$22+[2]SME!$AV$22+[2]SME!$AY$22)/1000/AP26</f>
        <v>0</v>
      </c>
      <c r="AQ30" s="42">
        <f>-([2]SME!$P$23+[2]SME!$W$23+[2]SME!$AV$23+[2]SME!$AY$23)/1000/AQ26</f>
        <v>0</v>
      </c>
      <c r="AR30" s="134"/>
      <c r="AS30" s="97">
        <f>-([2]MidCorp!$P$21+[2]MidCorp!$W$21+[2]MidCorp!$AV$21+[2]MidCorp!$AY$21)/1000/AS26</f>
        <v>0</v>
      </c>
      <c r="AT30" s="42">
        <f>-([2]MidCorp!$P$22+[2]MidCorp!$W$22+[2]MidCorp!$AV$22+[2]MidCorp!$AY$22)/1000/AT26</f>
        <v>0</v>
      </c>
      <c r="AU30" s="42">
        <f>-([2]MidCorp!$P$23+[2]MidCorp!$W$23+[2]MidCorp!$AV$23+[2]MidCorp!$AY$23)/1000/AU26</f>
        <v>0</v>
      </c>
      <c r="AV30" s="134"/>
      <c r="AW30" s="97"/>
      <c r="AX30" s="42"/>
      <c r="AY30" s="42"/>
      <c r="AZ30" s="134"/>
      <c r="BA30" s="97"/>
      <c r="BB30" s="42"/>
      <c r="BC30" s="42"/>
      <c r="BD30" s="134"/>
      <c r="BE30" s="97"/>
      <c r="BF30" s="42"/>
      <c r="BG30" s="42"/>
      <c r="BH30" s="134"/>
      <c r="BI30" s="99">
        <f>-('[2]Total P&amp;C'!$P$21+'[2]Total P&amp;C'!$W$21+'[2]Total P&amp;C'!$AV$21+'[2]Total P&amp;C'!$AY$21)/1000/BI26</f>
        <v>0</v>
      </c>
      <c r="BJ30" s="60">
        <f>-('[2]Total P&amp;C'!$P$22+'[2]Total P&amp;C'!$W$22+'[2]Total P&amp;C'!$AV$22+'[2]Total P&amp;C'!$AY$22)/1000/BJ26</f>
        <v>0</v>
      </c>
      <c r="BK30" s="60">
        <f>-('[2]Total P&amp;C'!$P$23+'[2]Total P&amp;C'!$W$23+'[2]Total P&amp;C'!$AV$23+'[2]Total P&amp;C'!$AY$23)/1000/BK26</f>
        <v>0</v>
      </c>
      <c r="BM30" s="99">
        <f>-('[3]Total P&amp;C'!$P$21+'[3]Total P&amp;C'!$W$21+'[3]Total P&amp;C'!$AV$21+'[3]Total P&amp;C'!$AY$21)/1000/BM26</f>
        <v>0</v>
      </c>
      <c r="BN30" s="60">
        <f>-('[3]Total P&amp;C'!$P$22+'[3]Total P&amp;C'!$W$22+'[3]Total P&amp;C'!$AV$22+'[3]Total P&amp;C'!$AY$22)/1000/BN26</f>
        <v>0</v>
      </c>
      <c r="BO30" s="60">
        <f>-('[3]Total P&amp;C'!$P$23+'[3]Total P&amp;C'!$W$23+'[3]Total P&amp;C'!$AV$23+'[3]Total P&amp;C'!$AY$23)/1000/BO26</f>
        <v>0</v>
      </c>
    </row>
    <row r="31" spans="1:67" ht="14.5" hidden="1" outlineLevel="1" x14ac:dyDescent="0.3">
      <c r="A31" s="214"/>
      <c r="B31" s="115"/>
      <c r="C31" s="38" t="s">
        <v>25</v>
      </c>
      <c r="D31" s="134"/>
      <c r="E31" s="73">
        <f>-([1]Retail!$Q$21+[1]Retail!$X$21+[1]Retail!$AW$21+[1]Retail!$AZ$21)/1000/E26</f>
        <v>0</v>
      </c>
      <c r="F31" s="42">
        <f>-([1]Retail!$Q$22+[1]Retail!$X$22+[1]Retail!$AW$22+[1]Retail!$AZ$22)/1000/F26</f>
        <v>1.086903813193586</v>
      </c>
      <c r="G31" s="42" t="e">
        <f>-([1]Retail!$Q$23+[1]Retail!$X$23+[1]Retail!$AW$23+[1]Retail!$AZ$23)/1000/G26</f>
        <v>#DIV/0!</v>
      </c>
      <c r="H31" s="134"/>
      <c r="I31" s="97">
        <f>-([1]SME!$Q$21+[1]SME!$X$21+[1]SME!$AW$21+[1]SME!$AZ$21)/1000/I26</f>
        <v>0.16660692311037087</v>
      </c>
      <c r="J31" s="42">
        <f>-([1]SME!$Q$22+[1]SME!$X$22+[1]SME!$AW$22+[1]SME!$AZ$22)/1000/J26</f>
        <v>5.2724222147123412E-2</v>
      </c>
      <c r="K31" s="42">
        <f>-([1]SME!$Q$23+[1]SME!$X$23+[1]SME!$AW$23+[1]SME!$AZ$23)/1000/K26</f>
        <v>0.16353811586215855</v>
      </c>
      <c r="L31" s="134"/>
      <c r="M31" s="73">
        <f>-([1]MidCorp!$Q$21+[1]MidCorp!$X$21+[1]MidCorp!$AW$21+[1]MidCorp!$AZ$21)/1000/M26</f>
        <v>0.16243624411503516</v>
      </c>
      <c r="N31" s="42">
        <f>-([1]MidCorp!$Q$22+[1]MidCorp!$X$22+[1]MidCorp!$AW$22+[1]MidCorp!$AZ$22)/1000/N26</f>
        <v>0.15594247239136849</v>
      </c>
      <c r="O31" s="42">
        <f>-([1]MidCorp!$Q$23+[1]MidCorp!$X$23+[1]MidCorp!$AW$23+[1]MidCorp!$AZ$23)/1000/O26</f>
        <v>0.14581682649982231</v>
      </c>
      <c r="P31" s="134"/>
      <c r="Q31" s="74">
        <f>-([1]MGA!$Q$21+[1]MGA!$X$21+[1]MGA!$AW$21+[1]MGA!$AZ$21)/1000/Q26</f>
        <v>0.11584524873112761</v>
      </c>
      <c r="R31" s="42">
        <f>-([1]MGA!$Q$22+[1]MGA!$X$22+[1]MGA!$AW$22+[1]MGA!$AZ$22)/1000/R26</f>
        <v>0.14913628074932558</v>
      </c>
      <c r="S31" s="42">
        <f>-([1]MGA!$Q$23+[1]MGA!$X$23+[1]MGA!$AW$23+[1]MGA!$AZ$23)/1000/S26</f>
        <v>0.13797548476822252</v>
      </c>
      <c r="T31" s="134"/>
      <c r="U31" s="74" t="e">
        <f>-([1]Bancassurance!$Q$21+[1]Bancassurance!$X$21+[1]Bancassurance!$AW$21+[1]Bancassurance!$AZ$21)/1000/U26</f>
        <v>#DIV/0!</v>
      </c>
      <c r="V31" s="42" t="e">
        <f>-([1]Bancassurance!$Q$22+[1]Bancassurance!$X$22+[1]Bancassurance!$AW$22+[1]Bancassurance!$AZ$22)/1000/V26</f>
        <v>#DIV/0!</v>
      </c>
      <c r="W31" s="42" t="e">
        <f>-([1]Bancassurance!$Q$23+[1]Bancassurance!$X$23+[1]Bancassurance!$AW$23+[1]Bancassurance!$AZ$23)/1000/W26</f>
        <v>#DIV/0!</v>
      </c>
      <c r="X31" s="134"/>
      <c r="Y31" s="74">
        <f>-([1]Specials!$Q$21+[1]Specials!$X$21+[1]Specials!$AW$21+[1]Specials!$AZ$21)/1000/Y26</f>
        <v>0</v>
      </c>
      <c r="Z31" s="42">
        <f>-([1]Specials!$Q$22+[1]Specials!$X$22+[1]Specials!$AW$22+[1]Specials!$AZ$22)/1000/Z26</f>
        <v>0</v>
      </c>
      <c r="AA31" s="42" t="e">
        <f>-([1]Specials!$Q$23+[1]Specials!$X$23+[1]Specials!$AW$23+[1]Specials!$AZ$23)/1000/AA26</f>
        <v>#DIV/0!</v>
      </c>
      <c r="AB31" s="134"/>
      <c r="AC31" s="99">
        <f>-('[1]Total P&amp;C'!$Q$21+'[1]Total P&amp;C'!$X$21+'[1]Total P&amp;C'!$AW$21+'[1]Total P&amp;C'!$AZ$21)/1000/AC26</f>
        <v>0.14969574030148869</v>
      </c>
      <c r="AD31" s="60">
        <f>-('[1]Total P&amp;C'!$Q$22+'[1]Total P&amp;C'!$X$22+'[1]Total P&amp;C'!$AW$22+'[1]Total P&amp;C'!$AZ$22)/1000/AD26</f>
        <v>0.15919840795087817</v>
      </c>
      <c r="AE31" s="60">
        <f>-('[1]Total P&amp;C'!$Q$23+'[1]Total P&amp;C'!$X$23+'[1]Total P&amp;C'!$AW$23+'[1]Total P&amp;C'!$AZ$23)/1000/AE26</f>
        <v>0.14608427719538453</v>
      </c>
      <c r="AG31" s="212"/>
      <c r="AH31" s="115"/>
      <c r="AI31" s="38" t="s">
        <v>25</v>
      </c>
      <c r="AJ31" s="134"/>
      <c r="AK31" s="73">
        <f>-([2]Retail!$Q$21+[2]Retail!$X$21+[2]Retail!$AW$21+[2]Retail!$AZ$21)/1000/AK26</f>
        <v>8.6678079811551387E-2</v>
      </c>
      <c r="AL31" s="42">
        <f>-([2]Retail!$Q$22+[2]Retail!$X$22+[2]Retail!$AW$22+[2]Retail!$AZ$22)/1000/AL26</f>
        <v>0.11188902134196209</v>
      </c>
      <c r="AM31" s="42">
        <f>-([2]Retail!$Q$23+[2]Retail!$X$23+[2]Retail!$AW$23+[2]Retail!$AZ$23)/1000/AM26</f>
        <v>7.5900550772500575E-2</v>
      </c>
      <c r="AN31" s="134"/>
      <c r="AO31" s="73">
        <f>-([2]SME!$Q$21+[2]SME!$X$21+[2]SME!$AW$21+[2]SME!$AZ$21)/1000/AO26</f>
        <v>0.14188985984246186</v>
      </c>
      <c r="AP31" s="42">
        <f>-([2]SME!$Q$22+[2]SME!$X$22+[2]SME!$AW$22+[2]SME!$AZ$22)/1000/AP26</f>
        <v>8.7137785673704463E-2</v>
      </c>
      <c r="AQ31" s="42">
        <f>-([2]SME!$Q$23+[2]SME!$X$23+[2]SME!$AW$23+[2]SME!$AZ$23)/1000/AQ26</f>
        <v>0.1288560572365047</v>
      </c>
      <c r="AR31" s="134"/>
      <c r="AS31" s="74">
        <f>-([2]MidCorp!$Q$21+[2]MidCorp!$X$21+[2]MidCorp!$AW$21+[2]MidCorp!$AZ$21)/1000/AS26</f>
        <v>0.12822259492412505</v>
      </c>
      <c r="AT31" s="42">
        <f>-([2]MidCorp!$Q$22+[2]MidCorp!$X$22+[2]MidCorp!$AW$22+[2]MidCorp!$AZ$22)/1000/AT26</f>
        <v>6.9567411115778216E-2</v>
      </c>
      <c r="AU31" s="42">
        <f>-([2]MidCorp!$Q$23+[2]MidCorp!$X$23+[2]MidCorp!$AW$23+[2]MidCorp!$AZ$23)/1000/AU26</f>
        <v>0.1486237140760138</v>
      </c>
      <c r="AV31" s="134"/>
      <c r="AW31" s="97"/>
      <c r="AX31" s="42"/>
      <c r="AY31" s="42"/>
      <c r="AZ31" s="134"/>
      <c r="BA31" s="97"/>
      <c r="BB31" s="42"/>
      <c r="BC31" s="42"/>
      <c r="BD31" s="134"/>
      <c r="BE31" s="97"/>
      <c r="BF31" s="42"/>
      <c r="BG31" s="42"/>
      <c r="BH31" s="134"/>
      <c r="BI31" s="99">
        <f>-('[2]Total P&amp;C'!$Q$21+'[2]Total P&amp;C'!$X$21+'[2]Total P&amp;C'!$AW$21+'[2]Total P&amp;C'!$AZ$21)/1000/BI26</f>
        <v>0.10711117781441172</v>
      </c>
      <c r="BJ31" s="60">
        <f>-('[2]Total P&amp;C'!$Q$22+'[2]Total P&amp;C'!$X$22+'[2]Total P&amp;C'!$AW$22+'[2]Total P&amp;C'!$AZ$22)/1000/BJ26</f>
        <v>9.4620376303215376E-2</v>
      </c>
      <c r="BK31" s="60">
        <f>-('[2]Total P&amp;C'!$Q$23+'[2]Total P&amp;C'!$X$23+'[2]Total P&amp;C'!$AW$23+'[2]Total P&amp;C'!$AZ$23)/1000/BK26</f>
        <v>0.10383550754558175</v>
      </c>
      <c r="BM31" s="99">
        <f>-('[3]Total P&amp;C'!$Q$21+'[3]Total P&amp;C'!$X$21+'[3]Total P&amp;C'!$AW$21+'[3]Total P&amp;C'!$AZ$21)/1000/BM26</f>
        <v>0.14247838804377386</v>
      </c>
      <c r="BN31" s="60">
        <f>-('[3]Total P&amp;C'!$Q$22+'[3]Total P&amp;C'!$X$22+'[3]Total P&amp;C'!$AW$22+'[3]Total P&amp;C'!$AZ$22)/1000/BN26</f>
        <v>0.14677855481398258</v>
      </c>
      <c r="BO31" s="60">
        <f>-('[3]Total P&amp;C'!$Q$23+'[3]Total P&amp;C'!$X$23+'[3]Total P&amp;C'!$AW$23+'[3]Total P&amp;C'!$AZ$23)/1000/BO26</f>
        <v>0.13800149398985895</v>
      </c>
    </row>
    <row r="32" spans="1:67" ht="14.5" hidden="1" outlineLevel="1" x14ac:dyDescent="0.3">
      <c r="A32" s="214"/>
      <c r="B32" s="115"/>
      <c r="C32" s="38" t="s">
        <v>53</v>
      </c>
      <c r="D32" s="134"/>
      <c r="E32" s="73">
        <f>-[1]Retail!$AT$21/1000/E26</f>
        <v>7.174174164689176E-2</v>
      </c>
      <c r="F32" s="42">
        <f>-[1]Retail!$AT$22/1000/F26</f>
        <v>8.9284005879873146E-2</v>
      </c>
      <c r="G32" s="42" t="e">
        <f>-[1]Retail!$AT$23/1000/G26</f>
        <v>#DIV/0!</v>
      </c>
      <c r="H32" s="134"/>
      <c r="I32" s="73">
        <f>-[1]SME!$AT$21/1000/I26</f>
        <v>2.9559521467324816E-2</v>
      </c>
      <c r="J32" s="42">
        <f>-[1]SME!$AT$22/1000/J26</f>
        <v>2.9782536224111412E-2</v>
      </c>
      <c r="K32" s="42">
        <f>-[1]SME!$AT$23/1000/K26</f>
        <v>2.9305321386471461E-2</v>
      </c>
      <c r="L32" s="134"/>
      <c r="M32" s="74">
        <f>-[1]MidCorp!$AT$21/1000/M26</f>
        <v>1.5212605473948312E-2</v>
      </c>
      <c r="N32" s="42">
        <f>-[1]MidCorp!$AT$22/1000/N26</f>
        <v>8.8506279066379978E-2</v>
      </c>
      <c r="O32" s="42">
        <f>-[1]MidCorp!$AT$23/1000/O26</f>
        <v>9.4603258791098613E-2</v>
      </c>
      <c r="P32" s="134"/>
      <c r="Q32" s="74">
        <f>-[1]MGA!$AT$21/1000/Q26</f>
        <v>1.8456592219629486E-2</v>
      </c>
      <c r="R32" s="42">
        <f>-[1]MGA!$AT$22/1000/R26</f>
        <v>2.2770433942766396E-2</v>
      </c>
      <c r="S32" s="42">
        <f>-[1]MGA!$AT$23/1000/S26</f>
        <v>3.2489665225376836E-2</v>
      </c>
      <c r="T32" s="134"/>
      <c r="U32" s="74" t="e">
        <f>-[1]Bancassurance!$AT$21/1000/U26</f>
        <v>#DIV/0!</v>
      </c>
      <c r="V32" s="42" t="e">
        <f>-[1]Bancassurance!$AT$22/1000/V26</f>
        <v>#DIV/0!</v>
      </c>
      <c r="W32" s="42" t="e">
        <f>-[1]Bancassurance!$AT$23/1000/W26</f>
        <v>#DIV/0!</v>
      </c>
      <c r="X32" s="134"/>
      <c r="Y32" s="74">
        <f>-[1]Specials!$AT$21/1000/Y26</f>
        <v>-4.2983718433198597</v>
      </c>
      <c r="Z32" s="42">
        <f>-[1]Specials!$AT$22/1000/Z26</f>
        <v>-20.780833055018611</v>
      </c>
      <c r="AA32" s="42" t="e">
        <f>-[1]Specials!$AT$23/1000/AA26</f>
        <v>#DIV/0!</v>
      </c>
      <c r="AB32" s="134"/>
      <c r="AC32" s="85">
        <f>-'[1]Total P&amp;C'!$AT$21/1000/AC26</f>
        <v>1.3889233742517115E-2</v>
      </c>
      <c r="AD32" s="60">
        <f>-'[1]Total P&amp;C'!$AT$22/1000/AD26</f>
        <v>6.0899802658081918E-2</v>
      </c>
      <c r="AE32" s="60">
        <f>-'[1]Total P&amp;C'!$AT$23/1000/AE26</f>
        <v>7.1267264667357638E-2</v>
      </c>
      <c r="AG32" s="212"/>
      <c r="AH32" s="115"/>
      <c r="AI32" s="38" t="s">
        <v>53</v>
      </c>
      <c r="AJ32" s="134"/>
      <c r="AK32" s="74">
        <f>-[2]Retail!$AT$21/1000/AK26</f>
        <v>2.5682691520062789E-2</v>
      </c>
      <c r="AL32" s="42">
        <f>-[2]Retail!$AT$22/1000/AL26</f>
        <v>8.5829504047293587E-2</v>
      </c>
      <c r="AM32" s="42">
        <f>-[2]Retail!$AT$23/1000/AM26</f>
        <v>4.2841856351015048E-2</v>
      </c>
      <c r="AN32" s="134"/>
      <c r="AO32" s="74">
        <f>-[2]SME!$AT$21/1000/AO26</f>
        <v>2.1888427391592139E-2</v>
      </c>
      <c r="AP32" s="42">
        <f>-[2]SME!$AT$22/1000/AP26</f>
        <v>2.7455794742472683E-2</v>
      </c>
      <c r="AQ32" s="42">
        <f>-[2]SME!$AT$23/1000/AQ26</f>
        <v>2.4564218039057516E-2</v>
      </c>
      <c r="AR32" s="134"/>
      <c r="AS32" s="74">
        <f>-[2]MidCorp!$AT$21/1000/AS26</f>
        <v>0.14567548619349849</v>
      </c>
      <c r="AT32" s="42">
        <f>-[2]MidCorp!$AT$22/1000/AT26</f>
        <v>0.12354527969685832</v>
      </c>
      <c r="AU32" s="42">
        <f>-[2]MidCorp!$AT$23/1000/AU26</f>
        <v>0.18104189272416413</v>
      </c>
      <c r="AV32" s="134"/>
      <c r="AW32" s="97"/>
      <c r="AX32" s="42"/>
      <c r="AY32" s="42"/>
      <c r="AZ32" s="134"/>
      <c r="BA32" s="97"/>
      <c r="BB32" s="42"/>
      <c r="BC32" s="42"/>
      <c r="BD32" s="134"/>
      <c r="BE32" s="97"/>
      <c r="BF32" s="42"/>
      <c r="BG32" s="42"/>
      <c r="BH32" s="134"/>
      <c r="BI32" s="85">
        <f>-'[2]Total P&amp;C'!$AT$21/1000/BI26</f>
        <v>6.2579962227003669E-2</v>
      </c>
      <c r="BJ32" s="60">
        <f>-'[2]Total P&amp;C'!$AT$22/1000/BJ26</f>
        <v>9.010693551397253E-2</v>
      </c>
      <c r="BK32" s="60">
        <f>-'[2]Total P&amp;C'!$AT$23/1000/BK26</f>
        <v>7.9663997170119266E-2</v>
      </c>
      <c r="BM32" s="85">
        <f>-'[3]Total P&amp;C'!$AT$21/1000/BM26</f>
        <v>2.2141476307271236E-2</v>
      </c>
      <c r="BN32" s="60">
        <f>-'[3]Total P&amp;C'!$AT$22/1000/BN26</f>
        <v>6.6517011658800779E-2</v>
      </c>
      <c r="BO32" s="60">
        <f>-'[3]Total P&amp;C'!$AT$23/1000/BO26</f>
        <v>7.2873677564518291E-2</v>
      </c>
    </row>
    <row r="33" spans="1:67" hidden="1" outlineLevel="1" x14ac:dyDescent="0.3">
      <c r="A33" s="214"/>
      <c r="B33" s="115"/>
      <c r="C33" s="116" t="s">
        <v>27</v>
      </c>
      <c r="D33" s="134"/>
      <c r="E33" s="126">
        <f>-([1]Retail!$Z$21+[1]Retail!$AA$21+[1]Retail!$BB$21+[1]Retail!$BC$21)/1000/E26</f>
        <v>-1.5472373881452017E-2</v>
      </c>
      <c r="F33" s="127">
        <f>-([1]Retail!$Z$22+[1]Retail!$AA$22+[1]Retail!$BB$22+[1]Retail!$BC$22)/1000/F26</f>
        <v>-0.13184524308647508</v>
      </c>
      <c r="G33" s="127" t="e">
        <f>-([1]Retail!$Z$23+[1]Retail!$AA$23+[1]Retail!$BB$23+[1]Retail!$BC$23)/1000/G26</f>
        <v>#DIV/0!</v>
      </c>
      <c r="H33" s="134"/>
      <c r="I33" s="128">
        <f>-([1]SME!$Z$21+[1]SME!$AA$21+[1]SME!$BB$21+[1]SME!$BC$21)/1000/I26</f>
        <v>-7.57968265266145E-2</v>
      </c>
      <c r="J33" s="127">
        <f>-([1]SME!$Z$22+[1]SME!$AA$22+[1]SME!$BB$22+[1]SME!$BC$22)/1000/J26</f>
        <v>-3.9575467409200378E-2</v>
      </c>
      <c r="K33" s="127">
        <f>-([1]SME!$Z$23+[1]SME!$AA$23+[1]SME!$BB$23+[1]SME!$BC$23)/1000/K26</f>
        <v>-4.7156561163960511E-2</v>
      </c>
      <c r="L33" s="134"/>
      <c r="M33" s="126">
        <f>-([1]MidCorp!$Z$21+[1]MidCorp!$AA$21+[1]MidCorp!$BB$21+[1]MidCorp!$BC$21)/1000/M26</f>
        <v>-7.8560315044299056E-2</v>
      </c>
      <c r="N33" s="127">
        <f>-([1]MidCorp!$Z$22+[1]MidCorp!$AA$22+[1]MidCorp!$BB$22+[1]MidCorp!$BC$22)/1000/N26</f>
        <v>-6.0266970881256716E-2</v>
      </c>
      <c r="O33" s="127">
        <f>-([1]MidCorp!$Z$23+[1]MidCorp!$AA$23+[1]MidCorp!$BB$23+[1]MidCorp!$BC$23)/1000/O26</f>
        <v>-4.1528754842101875E-2</v>
      </c>
      <c r="P33" s="134"/>
      <c r="Q33" s="126">
        <f>-([1]MGA!$Z$21+[1]MGA!$AA$21+[1]MGA!$BB$21+[1]MGA!$BC$21)/1000/Q26</f>
        <v>-5.0478887502170049E-2</v>
      </c>
      <c r="R33" s="127">
        <f>-([1]MGA!$Z$22+[1]MGA!$AA$22+[1]MGA!$BB$22+[1]MGA!$BC$22)/1000/R26</f>
        <v>-5.465690486909397E-2</v>
      </c>
      <c r="S33" s="127">
        <f>-([1]MGA!$Z$23+[1]MGA!$AA$23+[1]MGA!$BB$23+[1]MGA!$BC$23)/1000/S26</f>
        <v>-5.33809219582181E-2</v>
      </c>
      <c r="T33" s="134"/>
      <c r="U33" s="128" t="e">
        <f>-([1]Bancassurance!$Z$21+[1]Bancassurance!$AA$21+[1]Bancassurance!$BB$21+[1]Bancassurance!$BC$21)/1000/U26</f>
        <v>#DIV/0!</v>
      </c>
      <c r="V33" s="127" t="e">
        <f>-([1]Bancassurance!$Z$22+[1]Bancassurance!$AA$22+[1]Bancassurance!$BB$22+[1]Bancassurance!$BC$22)/1000/V26</f>
        <v>#DIV/0!</v>
      </c>
      <c r="W33" s="127" t="e">
        <f>-([1]Bancassurance!$Z$23+[1]Bancassurance!$AA$23+[1]Bancassurance!$BB$23+[1]Bancassurance!$BC$23)/1000/W26</f>
        <v>#DIV/0!</v>
      </c>
      <c r="X33" s="134"/>
      <c r="Y33" s="128">
        <f>-([1]Specials!$Z$21+[1]Specials!$AA$21+[1]Specials!$BB$21+[1]Specials!$BC$21)/1000/Y26</f>
        <v>0</v>
      </c>
      <c r="Z33" s="127">
        <f>-([1]Specials!$Z$22+[1]Specials!$AA$22+[1]Specials!$BB$22+[1]Specials!$BC$22)/1000/Z26</f>
        <v>0</v>
      </c>
      <c r="AA33" s="127" t="e">
        <f>-([1]Specials!$Z$23+[1]Specials!$AA$23+[1]Specials!$BB$23+[1]Specials!$BC$23)/1000/AA26</f>
        <v>#DIV/0!</v>
      </c>
      <c r="AB33" s="134"/>
      <c r="AC33" s="132">
        <f>-('[1]Total P&amp;C'!$Z$21+'[1]Total P&amp;C'!$AA$21+'[1]Total P&amp;C'!$BB$21+'[1]Total P&amp;C'!$BC$21)/1000/AC26</f>
        <v>-7.0825974796869126E-2</v>
      </c>
      <c r="AD33" s="130">
        <f>-('[1]Total P&amp;C'!$Z$22+'[1]Total P&amp;C'!$AA$22+'[1]Total P&amp;C'!$BB$22+'[1]Total P&amp;C'!$BC$22)/1000/AD26</f>
        <v>-5.7710793157051764E-2</v>
      </c>
      <c r="AE33" s="130">
        <f>-('[1]Total P&amp;C'!$Z$23+'[1]Total P&amp;C'!$AA$23+'[1]Total P&amp;C'!$BB$23+'[1]Total P&amp;C'!$BC$23)/1000/AE26</f>
        <v>-4.5136059309853753E-2</v>
      </c>
      <c r="AG33" s="212"/>
      <c r="AH33" s="115"/>
      <c r="AI33" s="116" t="s">
        <v>27</v>
      </c>
      <c r="AJ33" s="134"/>
      <c r="AK33" s="126">
        <f>-([2]Retail!$Z$21+[2]Retail!$AA$21+[2]Retail!$BB$21+[2]Retail!$BC$21)/1000/AK26</f>
        <v>-7.0867505317664142E-2</v>
      </c>
      <c r="AL33" s="127">
        <f>-([2]Retail!$Z$22+[2]Retail!$AA$22+[2]Retail!$BB$22+[2]Retail!$BC$22)/1000/AL26</f>
        <v>-4.7850724066786053E-2</v>
      </c>
      <c r="AM33" s="127">
        <f>-([2]Retail!$Z$23+[2]Retail!$AA$23+[2]Retail!$BB$23+[2]Retail!$BC$23)/1000/AM26</f>
        <v>-2.8314205145802632E-2</v>
      </c>
      <c r="AN33" s="134"/>
      <c r="AO33" s="128">
        <f>-([2]SME!$Z$21+[2]SME!$AA$21+[2]SME!$BB$21+[2]SME!$BC$21)/1000/AO26</f>
        <v>-6.7103396618981404E-2</v>
      </c>
      <c r="AP33" s="127">
        <f>-([2]SME!$Z$22+[2]SME!$AA$22+[2]SME!$BB$22+[2]SME!$BC$22)/1000/AP26</f>
        <v>-4.3646912666725816E-2</v>
      </c>
      <c r="AQ33" s="127">
        <f>-([2]SME!$Z$23+[2]SME!$AA$23+[2]SME!$BB$23+[2]SME!$BC$23)/1000/AQ26</f>
        <v>-4.1114826073644355E-2</v>
      </c>
      <c r="AR33" s="134"/>
      <c r="AS33" s="126">
        <f>-([2]MidCorp!$Z$21+[2]MidCorp!$AA$21+[2]MidCorp!$BB$21+[2]MidCorp!$BC$21)/1000/AS26</f>
        <v>-9.9006564414649639E-2</v>
      </c>
      <c r="AT33" s="127">
        <f>-([2]MidCorp!$Z$22+[2]MidCorp!$AA$22+[2]MidCorp!$BB$22+[2]MidCorp!$BC$22)/1000/AT26</f>
        <v>-6.4520519780925642E-2</v>
      </c>
      <c r="AU33" s="127">
        <f>-([2]MidCorp!$Z$23+[2]MidCorp!$AA$23+[2]MidCorp!$BB$23+[2]MidCorp!$BC$23)/1000/AU26</f>
        <v>-4.6732469271071712E-2</v>
      </c>
      <c r="AV33" s="134"/>
      <c r="AW33" s="131"/>
      <c r="AX33" s="127"/>
      <c r="AY33" s="127"/>
      <c r="AZ33" s="134"/>
      <c r="BA33" s="131"/>
      <c r="BB33" s="127"/>
      <c r="BC33" s="127"/>
      <c r="BD33" s="134"/>
      <c r="BE33" s="131"/>
      <c r="BF33" s="127"/>
      <c r="BG33" s="127"/>
      <c r="BH33" s="134"/>
      <c r="BI33" s="132">
        <f>-('[2]Total P&amp;C'!$Z$21+'[2]Total P&amp;C'!$AA$21+'[2]Total P&amp;C'!$BB$21+'[2]Total P&amp;C'!$BC$21)/1000/BI26</f>
        <v>-7.9130717587801255E-2</v>
      </c>
      <c r="BJ33" s="130">
        <f>-('[2]Total P&amp;C'!$Z$22+'[2]Total P&amp;C'!$AA$22+'[2]Total P&amp;C'!$BB$22+'[2]Total P&amp;C'!$BC$22)/1000/BJ26</f>
        <v>-5.2724915766661086E-2</v>
      </c>
      <c r="BK33" s="130">
        <f>-('[2]Total P&amp;C'!$Z$23+'[2]Total P&amp;C'!$AA$23+'[2]Total P&amp;C'!$BB$23+'[2]Total P&amp;C'!$BC$23)/1000/BK26</f>
        <v>-3.5305569941351859E-2</v>
      </c>
      <c r="BM33" s="132">
        <f>-('[3]Total P&amp;C'!$Z$21+'[3]Total P&amp;C'!$AA$21+'[3]Total P&amp;C'!$BB$21+'[3]Total P&amp;C'!$BC$21)/1000/BM26</f>
        <v>-7.2233486125653237E-2</v>
      </c>
      <c r="BN33" s="130">
        <f>-('[3]Total P&amp;C'!$Z$22+'[3]Total P&amp;C'!$AA$22+'[3]Total P&amp;C'!$BB$22+'[3]Total P&amp;C'!$BC$22)/1000/BN26</f>
        <v>-5.6751893305704841E-2</v>
      </c>
      <c r="BO33" s="130">
        <f>-('[3]Total P&amp;C'!$Z$23+'[3]Total P&amp;C'!$AA$23+'[3]Total P&amp;C'!$BB$23+'[3]Total P&amp;C'!$BC$23)/1000/BO26</f>
        <v>-4.3255348580797146E-2</v>
      </c>
    </row>
    <row r="34" spans="1:67" hidden="1" outlineLevel="1" x14ac:dyDescent="0.3">
      <c r="A34" s="214"/>
      <c r="B34" s="115"/>
      <c r="C34" s="116" t="s">
        <v>57</v>
      </c>
      <c r="D34" s="134"/>
      <c r="E34" s="126">
        <f>-SUM([1]Retail!$AC$21:$AI$21,[1]Retail!$BE$21:$BG$21)/1000/E26</f>
        <v>-1.203188183183982E-2</v>
      </c>
      <c r="F34" s="127">
        <f>-SUM([1]Retail!$AC$22:$AI$22,[1]Retail!$BE$22:$BG$22)/1000/F26</f>
        <v>-2.3470068468612251</v>
      </c>
      <c r="G34" s="127" t="e">
        <f>-SUM([1]Retail!$AC$23:$AI$23,[1]Retail!$BE$23:$BG$23)/1000/G26</f>
        <v>#DIV/0!</v>
      </c>
      <c r="H34" s="134"/>
      <c r="I34" s="126">
        <f>-SUM([1]SME!$AC$21:$AI$21,[1]SME!$BE$21:$BG$21)/1000/I26</f>
        <v>-0.22962265918902139</v>
      </c>
      <c r="J34" s="127">
        <f>-SUM([1]SME!$AC$22:$AI$22,[1]SME!$BE$22:$BG$22)/1000/J26</f>
        <v>0.36564668428950614</v>
      </c>
      <c r="K34" s="127">
        <f>-SUM([1]SME!$AC$23:$AI$23,[1]SME!$BE$23:$BG$23)/1000/K26</f>
        <v>-1.2013090844781475E-2</v>
      </c>
      <c r="L34" s="134"/>
      <c r="M34" s="128">
        <f>-SUM([1]MidCorp!$AC$21:$AI$21,[1]MidCorp!$BE$21:$BG$21)/1000/M26</f>
        <v>6.7722703200438147E-2</v>
      </c>
      <c r="N34" s="127">
        <f>-SUM([1]MidCorp!$AC$22:$AI$22,[1]MidCorp!$BE$22:$BG$22)/1000/N26</f>
        <v>1.8604198552630589E-2</v>
      </c>
      <c r="O34" s="127">
        <f>-SUM([1]MidCorp!$AC$23:$AI$23,[1]MidCorp!$BE$23:$BG$23)/1000/O26</f>
        <v>-6.5116679174781825E-3</v>
      </c>
      <c r="P34" s="134"/>
      <c r="Q34" s="126">
        <f>-SUM([1]MGA!$AC$21:$AI$21,[1]MGA!$BE$21:$BG$21)/1000/Q26</f>
        <v>-8.6719562797687486E-2</v>
      </c>
      <c r="R34" s="127">
        <f>-SUM([1]MGA!$AC$22:$AI$22,[1]MGA!$BE$22:$BG$22)/1000/R26</f>
        <v>2.7704833564586633E-2</v>
      </c>
      <c r="S34" s="127">
        <f>-SUM([1]MGA!$AC$23:$AI$23,[1]MGA!$BE$23:$BG$23)/1000/S26</f>
        <v>-1.9818284978256058E-2</v>
      </c>
      <c r="T34" s="134"/>
      <c r="U34" s="128" t="e">
        <f>-SUM([1]Bancassurance!$AC$21:$AI$21,[1]Bancassurance!$BE$21:$BG$21)/1000/U26</f>
        <v>#DIV/0!</v>
      </c>
      <c r="V34" s="127" t="e">
        <f>-SUM([1]Bancassurance!$AC$22:$AI$22,[1]Bancassurance!$BE$22:$BG$22)/1000/V26</f>
        <v>#DIV/0!</v>
      </c>
      <c r="W34" s="127" t="e">
        <f>-SUM([1]Bancassurance!$AC$23:$AI$23,[1]Bancassurance!$BE$23:$BG$23)/1000/W26</f>
        <v>#DIV/0!</v>
      </c>
      <c r="X34" s="134"/>
      <c r="Y34" s="128">
        <f>-SUM([1]Specials!$AC$21:$AI$21,[1]Specials!$BE$21:$BG$21)/1000/Y26</f>
        <v>-2.3866520068548178</v>
      </c>
      <c r="Z34" s="127">
        <f>-SUM([1]Specials!$AC$22:$AI$22,[1]Specials!$BE$22:$BG$22)/1000/Z26</f>
        <v>-7.2112108546117621</v>
      </c>
      <c r="AA34" s="127" t="e">
        <f>-SUM([1]Specials!$AC$23:$AI$23,[1]Specials!$BE$23:$BG$23)/1000/AA26</f>
        <v>#DIV/0!</v>
      </c>
      <c r="AB34" s="134"/>
      <c r="AC34" s="129">
        <f>-SUM('[1]Total P&amp;C'!$AC$21:$AI$21,'[1]Total P&amp;C'!$BE$21:$BG$21)/1000/AC26</f>
        <v>-3.6350277458857294E-3</v>
      </c>
      <c r="AD34" s="130">
        <f>-SUM('[1]Total P&amp;C'!$AC$22:$AI$22,'[1]Total P&amp;C'!$BE$22:$BG$22)/1000/AD26</f>
        <v>1.747695683395457E-2</v>
      </c>
      <c r="AE34" s="130">
        <f>-SUM('[1]Total P&amp;C'!$AC$23:$AI$23,'[1]Total P&amp;C'!$BE$23:$BG$23)/1000/AE26</f>
        <v>-1.860645825789032E-2</v>
      </c>
      <c r="AG34" s="212"/>
      <c r="AH34" s="115"/>
      <c r="AI34" s="116" t="s">
        <v>57</v>
      </c>
      <c r="AJ34" s="134"/>
      <c r="AK34" s="128">
        <f>-SUM([2]Retail!$AC$21:$AI$21,[2]Retail!$BE$21:$BG$21)/1000/AK26</f>
        <v>0.86217190330170501</v>
      </c>
      <c r="AL34" s="127">
        <f>-SUM([2]Retail!$AC$22:$AI$22,[2]Retail!$BE$22:$BG$22)/1000/AL26</f>
        <v>-0.46627131485237366</v>
      </c>
      <c r="AM34" s="127">
        <f>-SUM([2]Retail!$AC$23:$AI$23,[2]Retail!$BE$23:$BG$23)/1000/AM26</f>
        <v>1.1529881436990875E-2</v>
      </c>
      <c r="AN34" s="134"/>
      <c r="AO34" s="128">
        <f>-SUM([2]SME!$AC$21:$AI$21,[2]SME!$BE$21:$BG$21)/1000/AO26</f>
        <v>1.0539224856147988</v>
      </c>
      <c r="AP34" s="127">
        <f>-SUM([2]SME!$AC$22:$AI$22,[2]SME!$BE$22:$BG$22)/1000/AP26</f>
        <v>0.20546279993621724</v>
      </c>
      <c r="AQ34" s="127">
        <f>-SUM([2]SME!$AC$23:$AI$23,[2]SME!$BE$23:$BG$23)/1000/AQ26</f>
        <v>8.060455811041585E-2</v>
      </c>
      <c r="AR34" s="134"/>
      <c r="AS34" s="128">
        <f>-SUM([2]MidCorp!$AC$21:$AI$21,[2]MidCorp!$BE$21:$BG$21)/1000/AS26</f>
        <v>0.28833245943513275</v>
      </c>
      <c r="AT34" s="127">
        <f>-SUM([2]MidCorp!$AC$22:$AI$22,[2]MidCorp!$BE$22:$BG$22)/1000/AT26</f>
        <v>0.58191422378812807</v>
      </c>
      <c r="AU34" s="127">
        <f>-SUM([2]MidCorp!$AC$23:$AI$23,[2]MidCorp!$BE$23:$BG$23)/1000/AU26</f>
        <v>3.2509583576956699E-2</v>
      </c>
      <c r="AV34" s="134"/>
      <c r="AW34" s="131"/>
      <c r="AX34" s="127"/>
      <c r="AY34" s="127"/>
      <c r="AZ34" s="134"/>
      <c r="BA34" s="131"/>
      <c r="BB34" s="127"/>
      <c r="BC34" s="127"/>
      <c r="BD34" s="134"/>
      <c r="BE34" s="131"/>
      <c r="BF34" s="127"/>
      <c r="BG34" s="127"/>
      <c r="BH34" s="134"/>
      <c r="BI34" s="129">
        <f>-SUM('[2]Total P&amp;C'!$AC$21:$AI$21,'[2]Total P&amp;C'!$BE$21:$BG$21)/1000/BI26</f>
        <v>0.70923961000897151</v>
      </c>
      <c r="BJ34" s="130">
        <f>-SUM('[2]Total P&amp;C'!$AC$22:$AI$22,'[2]Total P&amp;C'!$BE$22:$BG$22)/1000/BJ26</f>
        <v>-3.0464328317438408E-2</v>
      </c>
      <c r="BK34" s="130">
        <f>-SUM('[2]Total P&amp;C'!$AC$23:$AI$23,'[2]Total P&amp;C'!$BE$23:$BG$23)/1000/BK26</f>
        <v>2.6946973665449122E-2</v>
      </c>
      <c r="BM34" s="129">
        <f>-SUM('[3]Total P&amp;C'!$AC$21:$AI$21,'[3]Total P&amp;C'!$BE$21:$BG$21)/1000/BM26</f>
        <v>0.11718498485443193</v>
      </c>
      <c r="BN34" s="130">
        <f>-SUM('[3]Total P&amp;C'!$AC$22:$AI$22,'[3]Total P&amp;C'!$BE$22:$BG$22)/1000/BN26</f>
        <v>8.2567358767261234E-3</v>
      </c>
      <c r="BO34" s="130">
        <f>-SUM('[3]Total P&amp;C'!$AC$23:$AI$23,'[3]Total P&amp;C'!$BE$23:$BG$23)/1000/BO26</f>
        <v>-9.8914467307855761E-3</v>
      </c>
    </row>
    <row r="35" spans="1:67" hidden="1" outlineLevel="1" x14ac:dyDescent="0.3">
      <c r="A35" s="214"/>
      <c r="B35" s="115"/>
      <c r="C35" s="116" t="s">
        <v>29</v>
      </c>
      <c r="D35" s="134"/>
      <c r="E35" s="126">
        <f>-SUM([1]Retail!$AJ$21:$AK$21,[1]Retail!$BH$21:$BI$21)/1000/E26</f>
        <v>0.54165482880843774</v>
      </c>
      <c r="F35" s="127">
        <f>-SUM([1]Retail!$AJ$22:$AK$22,[1]Retail!$BH$22:$BI$22)/1000/F26</f>
        <v>0.10130467751980092</v>
      </c>
      <c r="G35" s="127" t="e">
        <f>-SUM([1]Retail!$AJ$23:$AK$23,[1]Retail!$BH$23:$BI$23)/1000/G26</f>
        <v>#DIV/0!</v>
      </c>
      <c r="H35" s="134"/>
      <c r="I35" s="126">
        <f>-SUM([1]SME!$AJ$21:$AK$21,[1]SME!$BH$21:$BI$21)/1000/I26</f>
        <v>-2.0324316935584032E-2</v>
      </c>
      <c r="J35" s="127">
        <f>-SUM([1]SME!$AJ$22:$AK$22,[1]SME!$BH$22:$BI$22)/1000/J26</f>
        <v>-3.71173502436528E-2</v>
      </c>
      <c r="K35" s="127">
        <f>-SUM([1]SME!$AJ$23:$AK$23,[1]SME!$BH$23:$BI$23)/1000/K26</f>
        <v>0</v>
      </c>
      <c r="L35" s="134"/>
      <c r="M35" s="126">
        <f>-SUM([1]MidCorp!$AJ$21:$AK$21,[1]MidCorp!$BH$21:$BI$21)/1000/M26</f>
        <v>-9.2451885772659448E-3</v>
      </c>
      <c r="N35" s="127">
        <f>-SUM([1]MidCorp!$AJ$22:$AK$22,[1]MidCorp!$BH$22:$BI$22)/1000/N26</f>
        <v>3.2215100179296498E-2</v>
      </c>
      <c r="O35" s="127">
        <f>-SUM([1]MidCorp!$AJ$23:$AK$23,[1]MidCorp!$BH$23:$BI$23)/1000/O26</f>
        <v>0</v>
      </c>
      <c r="P35" s="134"/>
      <c r="Q35" s="128">
        <f>-SUM([1]MGA!$AJ$21:$AK$21,[1]MGA!$BH$21:$BI$21)/1000/Q26</f>
        <v>0.2171159069087174</v>
      </c>
      <c r="R35" s="127">
        <f>-SUM([1]MGA!$AJ$22:$AK$22,[1]MGA!$BH$22:$BI$22)/1000/R26</f>
        <v>-0.14936543261971627</v>
      </c>
      <c r="S35" s="127">
        <f>-SUM([1]MGA!$AJ$23:$AK$23,[1]MGA!$BH$23:$BI$23)/1000/S26</f>
        <v>0</v>
      </c>
      <c r="T35" s="134"/>
      <c r="U35" s="126" t="e">
        <f>-SUM([1]Bancassurance!$AJ$21:$AK$21,[1]Bancassurance!$BH$21:$BI$21)/1000/U26</f>
        <v>#DIV/0!</v>
      </c>
      <c r="V35" s="127" t="e">
        <f>-SUM([1]Bancassurance!$AJ$22:$AK$22,[1]Bancassurance!$BH$22:$BI$22)/1000/V26</f>
        <v>#DIV/0!</v>
      </c>
      <c r="W35" s="127" t="e">
        <f>-SUM([1]Bancassurance!$AJ$23:$AK$23,[1]Bancassurance!$BH$23:$BI$23)/1000/W26</f>
        <v>#DIV/0!</v>
      </c>
      <c r="X35" s="134"/>
      <c r="Y35" s="126">
        <f>-SUM([1]Specials!$AJ$21:$AK$21,[1]Specials!$BH$21:$BI$21)/1000/Y26</f>
        <v>0.5205569995222582</v>
      </c>
      <c r="Z35" s="127">
        <f>-SUM([1]Specials!$AJ$22:$AK$22,[1]Specials!$BH$22:$BI$22)/1000/Z26</f>
        <v>-2.4120360156126139</v>
      </c>
      <c r="AA35" s="127" t="e">
        <f>-SUM([1]Specials!$AJ$23:$AK$23,[1]Specials!$BH$23:$BI$23)/1000/AA26</f>
        <v>#DIV/0!</v>
      </c>
      <c r="AB35" s="134"/>
      <c r="AC35" s="129">
        <f>-SUM('[1]Total P&amp;C'!$AJ$21:$AK$21,'[1]Total P&amp;C'!$BH$21:$BI$21)/1000/AC26</f>
        <v>4.9985949467992695E-2</v>
      </c>
      <c r="AD35" s="130">
        <f>-SUM('[1]Total P&amp;C'!$AJ$22:$AK$22,'[1]Total P&amp;C'!$BH$22:$BI$22)/1000/AD26</f>
        <v>-1.723090048699202E-2</v>
      </c>
      <c r="AE35" s="130">
        <f>-SUM('[1]Total P&amp;C'!$AJ$23:$AK$23,'[1]Total P&amp;C'!$BH$23:$BI$23)/1000/AE26</f>
        <v>0</v>
      </c>
      <c r="AG35" s="212"/>
      <c r="AH35" s="115"/>
      <c r="AI35" s="116" t="s">
        <v>29</v>
      </c>
      <c r="AJ35" s="134"/>
      <c r="AK35" s="126">
        <f>-SUM([2]Retail!$AJ$21:$AK$21,[2]Retail!$BH$21:$BI$21)/1000/AK26</f>
        <v>-1.0356631784739687</v>
      </c>
      <c r="AL35" s="127">
        <f>-SUM([2]Retail!$AJ$22:$AK$22,[2]Retail!$BH$22:$BI$22)/1000/AL26</f>
        <v>-6.3613769149262506E-2</v>
      </c>
      <c r="AM35" s="127">
        <f>-SUM([2]Retail!$AJ$23:$AK$23,[2]Retail!$BH$23:$BI$23)/1000/AM26</f>
        <v>0</v>
      </c>
      <c r="AN35" s="134"/>
      <c r="AO35" s="126">
        <f>-SUM([2]SME!$AJ$21:$AK$21,[2]SME!$BH$21:$BI$21)/1000/AO26</f>
        <v>-1.2515667306522467</v>
      </c>
      <c r="AP35" s="127">
        <f>-SUM([2]SME!$AJ$22:$AK$22,[2]SME!$BH$22:$BI$22)/1000/AP26</f>
        <v>-0.11453122813071941</v>
      </c>
      <c r="AQ35" s="127">
        <f>-SUM([2]SME!$AJ$23:$AK$23,[2]SME!$BH$23:$BI$23)/1000/AQ26</f>
        <v>0</v>
      </c>
      <c r="AR35" s="134"/>
      <c r="AS35" s="126">
        <f>-SUM([2]MidCorp!$AJ$21:$AK$21,[2]MidCorp!$BH$21:$BI$21)/1000/AS26</f>
        <v>-0.55750515864909866</v>
      </c>
      <c r="AT35" s="127">
        <f>-SUM([2]MidCorp!$AJ$22:$AK$22,[2]MidCorp!$BH$22:$BI$22)/1000/AT26</f>
        <v>-2.1663032606891227E-2</v>
      </c>
      <c r="AU35" s="127">
        <f>-SUM([2]MidCorp!$AJ$23:$AK$23,[2]MidCorp!$BH$23:$BI$23)/1000/AU26</f>
        <v>0</v>
      </c>
      <c r="AV35" s="134"/>
      <c r="AW35" s="131"/>
      <c r="AX35" s="127"/>
      <c r="AY35" s="127"/>
      <c r="AZ35" s="134"/>
      <c r="BA35" s="131"/>
      <c r="BB35" s="127"/>
      <c r="BC35" s="127"/>
      <c r="BD35" s="134"/>
      <c r="BE35" s="131"/>
      <c r="BF35" s="127"/>
      <c r="BG35" s="127"/>
      <c r="BH35" s="134"/>
      <c r="BI35" s="132">
        <f>-SUM('[2]Total P&amp;C'!$AJ$21:$AK$21,'[2]Total P&amp;C'!$BH$21:$BI$21)/1000/BI26</f>
        <v>-0.91583478489777681</v>
      </c>
      <c r="BJ35" s="130">
        <f>-SUM('[2]Total P&amp;C'!$AJ$22:$AK$22,'[2]Total P&amp;C'!$BH$22:$BI$22)/1000/BJ26</f>
        <v>-5.6920395975611139E-2</v>
      </c>
      <c r="BK35" s="130">
        <f>-SUM('[2]Total P&amp;C'!$AJ$23:$AK$23,'[2]Total P&amp;C'!$BH$23:$BI$23)/1000/BK26</f>
        <v>0</v>
      </c>
      <c r="BM35" s="132">
        <f>-SUM('[3]Total P&amp;C'!$AJ$21:$AK$21,'[3]Total P&amp;C'!$BH$21:$BI$21)/1000/BM26</f>
        <v>-0.11370408397635572</v>
      </c>
      <c r="BN35" s="130">
        <f>-SUM('[3]Total P&amp;C'!$AJ$22:$AK$22,'[3]Total P&amp;C'!$BH$22:$BI$22)/1000/BN26</f>
        <v>-2.4864110922014151E-2</v>
      </c>
      <c r="BO35" s="130">
        <f>-SUM('[3]Total P&amp;C'!$AJ$23:$AK$23,'[3]Total P&amp;C'!$BH$23:$BI$23)/1000/BO26</f>
        <v>0</v>
      </c>
    </row>
    <row r="36" spans="1:67" hidden="1" outlineLevel="1" x14ac:dyDescent="0.3">
      <c r="A36" s="214"/>
      <c r="B36" s="115"/>
      <c r="C36" s="116" t="s">
        <v>58</v>
      </c>
      <c r="D36" s="134"/>
      <c r="E36" s="128">
        <f>+E37+E38+E39</f>
        <v>0.33973604971799298</v>
      </c>
      <c r="F36" s="127">
        <f>+F37+F38+F39</f>
        <v>0.49807259007026744</v>
      </c>
      <c r="G36" s="127" t="e">
        <f>+G37+G38+G39</f>
        <v>#DIV/0!</v>
      </c>
      <c r="H36" s="134"/>
      <c r="I36" s="126">
        <f>+I37+I38+I39</f>
        <v>0.28497317750663009</v>
      </c>
      <c r="J36" s="127">
        <f>+J37+J38+J39</f>
        <v>0.29148456633273856</v>
      </c>
      <c r="K36" s="127">
        <f>+K37+K38+K39</f>
        <v>0.29388095434728101</v>
      </c>
      <c r="L36" s="134"/>
      <c r="M36" s="126">
        <f>+M37+M38+M39</f>
        <v>0.15189384665980105</v>
      </c>
      <c r="N36" s="127">
        <f>+N37+N38+N39</f>
        <v>0.15253189264973374</v>
      </c>
      <c r="O36" s="127">
        <f>+O37+O38+O39</f>
        <v>0.18264887806564176</v>
      </c>
      <c r="P36" s="134"/>
      <c r="Q36" s="128">
        <f>+Q37+Q38+Q39</f>
        <v>0.33217119938817175</v>
      </c>
      <c r="R36" s="127">
        <f>+R37+R38+R39</f>
        <v>0.32016761063100391</v>
      </c>
      <c r="S36" s="127">
        <f>+S37+S38+S39</f>
        <v>0.32418357680816062</v>
      </c>
      <c r="T36" s="134"/>
      <c r="U36" s="126" t="e">
        <f>+U37+U38+U39</f>
        <v>#DIV/0!</v>
      </c>
      <c r="V36" s="127" t="e">
        <f>+V37+V38+V39</f>
        <v>#DIV/0!</v>
      </c>
      <c r="W36" s="127" t="e">
        <f>+W37+W38+W39</f>
        <v>#DIV/0!</v>
      </c>
      <c r="X36" s="134"/>
      <c r="Y36" s="126">
        <f>+Y37+Y38+Y39</f>
        <v>0</v>
      </c>
      <c r="Z36" s="127">
        <f>+Z37+Z38+Z39</f>
        <v>0</v>
      </c>
      <c r="AA36" s="127" t="e">
        <f>+AA37+AA38+AA39</f>
        <v>#DIV/0!</v>
      </c>
      <c r="AB36" s="134"/>
      <c r="AC36" s="132">
        <f>+AC37+AC38+AC39</f>
        <v>0.21026740818041778</v>
      </c>
      <c r="AD36" s="130">
        <f>+AD37+AD38+AD39</f>
        <v>0.21537658503444826</v>
      </c>
      <c r="AE36" s="130">
        <f>+AE37+AE38+AE39</f>
        <v>0.23325092743747458</v>
      </c>
      <c r="AG36" s="212"/>
      <c r="AH36" s="115"/>
      <c r="AI36" s="116" t="s">
        <v>58</v>
      </c>
      <c r="AJ36" s="134"/>
      <c r="AK36" s="128">
        <f>+AK37+AK38+AK39</f>
        <v>0.33098667388538594</v>
      </c>
      <c r="AL36" s="127">
        <f>+AL37+AL38+AL39</f>
        <v>0.32113740218921494</v>
      </c>
      <c r="AM36" s="127">
        <f>+AM37+AM38+AM39</f>
        <v>0.32075948788101671</v>
      </c>
      <c r="AN36" s="134"/>
      <c r="AO36" s="126">
        <f>+AO37+AO38+AO39</f>
        <v>0.39551653684634697</v>
      </c>
      <c r="AP36" s="127">
        <f>+AP37+AP38+AP39</f>
        <v>0.37070956154056589</v>
      </c>
      <c r="AQ36" s="127">
        <f>+AQ37+AQ38+AQ39</f>
        <v>0.40542681635673666</v>
      </c>
      <c r="AR36" s="134"/>
      <c r="AS36" s="126">
        <f>+AS37+AS38+AS39</f>
        <v>0.25130029025354861</v>
      </c>
      <c r="AT36" s="127">
        <f>+AT37+AT38+AT39</f>
        <v>0.23418621173153292</v>
      </c>
      <c r="AU36" s="127">
        <f>+AU37+AU38+AU39</f>
        <v>0.27295418125826365</v>
      </c>
      <c r="AV36" s="134"/>
      <c r="AW36" s="131"/>
      <c r="AX36" s="127"/>
      <c r="AY36" s="127"/>
      <c r="AZ36" s="134"/>
      <c r="BA36" s="131"/>
      <c r="BB36" s="127"/>
      <c r="BC36" s="127"/>
      <c r="BD36" s="134"/>
      <c r="BE36" s="131"/>
      <c r="BF36" s="127"/>
      <c r="BG36" s="127"/>
      <c r="BH36" s="134"/>
      <c r="BI36" s="132">
        <f>+BI37+BI38+BI39</f>
        <v>0.31488487859090125</v>
      </c>
      <c r="BJ36" s="130">
        <f>+BJ37+BJ38+BJ39</f>
        <v>0.29953238500751878</v>
      </c>
      <c r="BK36" s="130">
        <f>+BK37+BK38+BK39</f>
        <v>0.31873786659535941</v>
      </c>
      <c r="BM36" s="132">
        <f>+BM37+BM38+BM39</f>
        <v>0.22799827336172981</v>
      </c>
      <c r="BN36" s="130">
        <f>+BN37+BN38+BN39</f>
        <v>0.23156169705498972</v>
      </c>
      <c r="BO36" s="130">
        <f>+BO37+BO38+BO39</f>
        <v>0.2496057799419277</v>
      </c>
    </row>
    <row r="37" spans="1:67" ht="14.5" hidden="1" outlineLevel="1" x14ac:dyDescent="0.3">
      <c r="A37" s="214"/>
      <c r="B37" s="115"/>
      <c r="C37" s="39" t="s">
        <v>59</v>
      </c>
      <c r="D37" s="135"/>
      <c r="E37" s="74">
        <f>-SUM([1]Retail!$AL$21:$AN$21,[1]Retail!$BJ$21)/1000/E26</f>
        <v>0.18274192305734571</v>
      </c>
      <c r="F37" s="42">
        <f>-SUM([1]Retail!$AL$22:$AN$22,[1]Retail!$BJ$22)/1000/F26</f>
        <v>0.18583854299323321</v>
      </c>
      <c r="G37" s="42" t="e">
        <f>-SUM([1]Retail!$AL$23:$AN$23,[1]Retail!$BJ$23)/1000/G26</f>
        <v>#DIV/0!</v>
      </c>
      <c r="H37" s="135"/>
      <c r="I37" s="97">
        <f>-SUM([1]SME!$AL$21:$AN$21,[1]SME!$BJ$21)/1000/I26</f>
        <v>0.1606475679327978</v>
      </c>
      <c r="J37" s="42">
        <f>-SUM([1]SME!$AL$22:$AN$22,[1]SME!$BJ$22)/1000/J26</f>
        <v>0.16040258036602631</v>
      </c>
      <c r="K37" s="42">
        <f>-SUM([1]SME!$AL$23:$AN$23,[1]SME!$BJ$23)/1000/K26</f>
        <v>0.16010288002853909</v>
      </c>
      <c r="L37" s="135"/>
      <c r="M37" s="74">
        <f>-SUM([1]MidCorp!$AL$21:$AN$21,[1]MidCorp!$BJ$21)/1000/M26</f>
        <v>7.3115549534955748E-2</v>
      </c>
      <c r="N37" s="42">
        <f>-SUM([1]MidCorp!$AL$22:$AN$22,[1]MidCorp!$BJ$22)/1000/N26</f>
        <v>7.7310610533440086E-2</v>
      </c>
      <c r="O37" s="42">
        <f>-SUM([1]MidCorp!$AL$23:$AN$23,[1]MidCorp!$BJ$23)/1000/O26</f>
        <v>7.8420768629821058E-2</v>
      </c>
      <c r="P37" s="135"/>
      <c r="Q37" s="73">
        <f>-SUM([1]MGA!$AL$21:$AN$21,[1]MGA!$BJ$21)/1000/Q26</f>
        <v>0.27561797163559004</v>
      </c>
      <c r="R37" s="42">
        <f>-SUM([1]MGA!$AL$22:$AN$22,[1]MGA!$BJ$22)/1000/R26</f>
        <v>0.26145881730806941</v>
      </c>
      <c r="S37" s="42">
        <f>-SUM([1]MGA!$AL$23:$AN$23,[1]MGA!$BJ$23)/1000/S26</f>
        <v>0.25022460125958645</v>
      </c>
      <c r="T37" s="135"/>
      <c r="U37" s="73" t="e">
        <f>-SUM([1]Bancassurance!$AL$21:$AN$21,[1]Bancassurance!$BJ$21)/1000/U26</f>
        <v>#DIV/0!</v>
      </c>
      <c r="V37" s="42" t="e">
        <f>-SUM([1]Bancassurance!$AL$22:$AN$22,[1]Bancassurance!$BJ$22)/1000/V26</f>
        <v>#DIV/0!</v>
      </c>
      <c r="W37" s="42" t="e">
        <f>-SUM([1]Bancassurance!$AL$23:$AN$23,[1]Bancassurance!$BJ$23)/1000/W26</f>
        <v>#DIV/0!</v>
      </c>
      <c r="X37" s="135"/>
      <c r="Y37" s="73">
        <f>-SUM([1]Specials!$AL$21:$AN$21,[1]Specials!$BJ$21)/1000/Y26</f>
        <v>0</v>
      </c>
      <c r="Z37" s="42">
        <f>-SUM([1]Specials!$AL$22:$AN$22,[1]Specials!$BJ$22)/1000/Z26</f>
        <v>0</v>
      </c>
      <c r="AA37" s="42" t="e">
        <f>-SUM([1]Specials!$AL$23:$AN$23,[1]Specials!$BJ$23)/1000/AA26</f>
        <v>#DIV/0!</v>
      </c>
      <c r="AB37" s="135"/>
      <c r="AC37" s="85">
        <f>-SUM('[1]Total P&amp;C'!$AL$21:$AN$21,'[1]Total P&amp;C'!$BJ$21)/1000/AC26</f>
        <v>0.13063192083669259</v>
      </c>
      <c r="AD37" s="60">
        <f>-SUM('[1]Total P&amp;C'!$AL$22:$AN$22,'[1]Total P&amp;C'!$BJ$22)/1000/AD26</f>
        <v>0.13193992735115856</v>
      </c>
      <c r="AE37" s="60">
        <f>-SUM('[1]Total P&amp;C'!$AL$23:$AN$23,'[1]Total P&amp;C'!$BJ$23)/1000/AE26</f>
        <v>0.1307235348551383</v>
      </c>
      <c r="AG37" s="212"/>
      <c r="AH37" s="115"/>
      <c r="AI37" s="39" t="s">
        <v>59</v>
      </c>
      <c r="AJ37" s="135"/>
      <c r="AK37" s="74">
        <f>-SUM([2]Retail!$AL$21:$AN$21,[2]Retail!$BJ$21)/1000/AK26</f>
        <v>0.15825846800610124</v>
      </c>
      <c r="AL37" s="42">
        <f>-SUM([2]Retail!$AL$22:$AN$22,[2]Retail!$BJ$22)/1000/AL26</f>
        <v>0.15784161304028432</v>
      </c>
      <c r="AM37" s="42">
        <f>-SUM([2]Retail!$AL$23:$AN$23,[2]Retail!$BJ$23)/1000/AM26</f>
        <v>0.16129474659345919</v>
      </c>
      <c r="AN37" s="135"/>
      <c r="AO37" s="74">
        <f>-SUM([2]SME!$AL$21:$AN$21,[2]SME!$BJ$21)/1000/AO26</f>
        <v>0.189742002018286</v>
      </c>
      <c r="AP37" s="42">
        <f>-SUM([2]SME!$AL$22:$AN$22,[2]SME!$BJ$22)/1000/AP26</f>
        <v>0.1824205146113706</v>
      </c>
      <c r="AQ37" s="42">
        <f>-SUM([2]SME!$AL$23:$AN$23,[2]SME!$BJ$23)/1000/AQ26</f>
        <v>0.2067585335810885</v>
      </c>
      <c r="AR37" s="135"/>
      <c r="AS37" s="74">
        <f>-SUM([2]MidCorp!$AL$21:$AN$21,[2]MidCorp!$BJ$21)/1000/AS26</f>
        <v>7.7933843903042796E-2</v>
      </c>
      <c r="AT37" s="42">
        <f>-SUM([2]MidCorp!$AL$22:$AN$22,[2]MidCorp!$BJ$22)/1000/AT26</f>
        <v>9.339654268785802E-2</v>
      </c>
      <c r="AU37" s="42">
        <f>-SUM([2]MidCorp!$AL$23:$AN$23,[2]MidCorp!$BJ$23)/1000/AU26</f>
        <v>8.9350006308136831E-2</v>
      </c>
      <c r="AV37" s="135"/>
      <c r="AW37" s="97"/>
      <c r="AX37" s="42"/>
      <c r="AY37" s="42"/>
      <c r="AZ37" s="135"/>
      <c r="BA37" s="97"/>
      <c r="BB37" s="42"/>
      <c r="BC37" s="42"/>
      <c r="BD37" s="135"/>
      <c r="BE37" s="97"/>
      <c r="BF37" s="42"/>
      <c r="BG37" s="42"/>
      <c r="BH37" s="135"/>
      <c r="BI37" s="85">
        <f>-SUM('[2]Total P&amp;C'!$AL$21:$AN$21,'[2]Total P&amp;C'!$BJ$21)/1000/BI26</f>
        <v>0.13748040795635136</v>
      </c>
      <c r="BJ37" s="60">
        <f>-SUM('[2]Total P&amp;C'!$AL$22:$AN$22,'[2]Total P&amp;C'!$BJ$22)/1000/BJ26</f>
        <v>0.14014850677269625</v>
      </c>
      <c r="BK37" s="60">
        <f>-SUM('[2]Total P&amp;C'!$AL$23:$AN$23,'[2]Total P&amp;C'!$BJ$23)/1000/BK26</f>
        <v>0.14704263841916579</v>
      </c>
      <c r="BM37" s="85">
        <f>-SUM('[3]Total P&amp;C'!$AL$21:$AN$21,'[3]Total P&amp;C'!$BJ$21)/1000/BM26</f>
        <v>0.1317926218299223</v>
      </c>
      <c r="BN37" s="60">
        <f>-SUM('[3]Total P&amp;C'!$AL$22:$AN$22,'[3]Total P&amp;C'!$BJ$22)/1000/BN26</f>
        <v>0.13351862754187163</v>
      </c>
      <c r="BO37" s="60">
        <f>-SUM('[3]Total P&amp;C'!$AL$23:$AN$23,'[3]Total P&amp;C'!$BJ$23)/1000/BO26</f>
        <v>0.13384560864118927</v>
      </c>
    </row>
    <row r="38" spans="1:67" ht="14.5" hidden="1" outlineLevel="1" x14ac:dyDescent="0.3">
      <c r="A38" s="214"/>
      <c r="B38" s="115"/>
      <c r="C38" s="39" t="s">
        <v>60</v>
      </c>
      <c r="D38" s="135"/>
      <c r="E38" s="73">
        <f>-SUM([1]Retail!$AO$21:$AP$21)/1000/E26</f>
        <v>4.5037597454695424E-3</v>
      </c>
      <c r="F38" s="42">
        <f>-SUM([1]Retail!$AO$22:$AP$22)/1000/F26</f>
        <v>4.1405699796188258E-2</v>
      </c>
      <c r="G38" s="42" t="e">
        <f>-SUM([1]Retail!$AO$23:$AP$23)/1000/G26</f>
        <v>#DIV/0!</v>
      </c>
      <c r="H38" s="135"/>
      <c r="I38" s="97">
        <f>-SUM([1]SME!$AO$21:$AP$21)/1000/I26</f>
        <v>5.8258091340479566E-2</v>
      </c>
      <c r="J38" s="42">
        <f>-SUM([1]SME!$AO$22:$AP$22)/1000/J26</f>
        <v>6.48103471535771E-2</v>
      </c>
      <c r="K38" s="42">
        <f>-SUM([1]SME!$AO$23:$AP$23)/1000/K26</f>
        <v>5.6569733806062984E-2</v>
      </c>
      <c r="L38" s="135"/>
      <c r="M38" s="74">
        <f>-SUM([1]MidCorp!$AO$21:$AP$21)/1000/M26</f>
        <v>1.2610229337709857E-2</v>
      </c>
      <c r="N38" s="42">
        <f>-SUM([1]MidCorp!$AO$22:$AP$22)/1000/N26</f>
        <v>3.6881020739150949E-3</v>
      </c>
      <c r="O38" s="42">
        <f>-SUM([1]MidCorp!$AO$23:$AP$23)/1000/O26</f>
        <v>1.5156602624567677E-2</v>
      </c>
      <c r="P38" s="135"/>
      <c r="Q38" s="74">
        <f>-SUM([1]MGA!$AO$21:$AP$21)/1000/Q26</f>
        <v>1.8563896699413423E-2</v>
      </c>
      <c r="R38" s="42">
        <f>-SUM([1]MGA!$AO$22:$AP$22)/1000/R26</f>
        <v>1.4226736453110308E-2</v>
      </c>
      <c r="S38" s="42">
        <f>-SUM([1]MGA!$AO$23:$AP$23)/1000/S26</f>
        <v>2.3885842770182152E-2</v>
      </c>
      <c r="T38" s="135"/>
      <c r="U38" s="74" t="e">
        <f>-SUM([1]Bancassurance!$AO$21:$AP$21)/1000/U26</f>
        <v>#DIV/0!</v>
      </c>
      <c r="V38" s="42" t="e">
        <f>-SUM([1]Bancassurance!$AO$22:$AP$22)/1000/V26</f>
        <v>#DIV/0!</v>
      </c>
      <c r="W38" s="42" t="e">
        <f>-SUM([1]Bancassurance!$AO$23:$AP$23)/1000/W26</f>
        <v>#DIV/0!</v>
      </c>
      <c r="X38" s="135"/>
      <c r="Y38" s="74">
        <f>-SUM([1]Specials!$AO$21:$AP$21)/1000/Y26</f>
        <v>0</v>
      </c>
      <c r="Z38" s="42">
        <f>-SUM([1]Specials!$AO$22:$AP$22)/1000/Z26</f>
        <v>0</v>
      </c>
      <c r="AA38" s="42" t="e">
        <f>-SUM([1]Specials!$AO$23:$AP$23)/1000/AA26</f>
        <v>#DIV/0!</v>
      </c>
      <c r="AB38" s="135"/>
      <c r="AC38" s="85">
        <f>-SUM('[1]Total P&amp;C'!$AO$21:$AP$21)/1000/AC26</f>
        <v>1.879343737808931E-2</v>
      </c>
      <c r="AD38" s="60">
        <f>-SUM('[1]Total P&amp;C'!$AO$22:$AP$22)/1000/AD26</f>
        <v>1.4851870429389492E-2</v>
      </c>
      <c r="AE38" s="60">
        <f>-SUM('[1]Total P&amp;C'!$AO$23:$AP$23)/1000/AE26</f>
        <v>2.2491013032404143E-2</v>
      </c>
      <c r="AG38" s="212"/>
      <c r="AH38" s="115"/>
      <c r="AI38" s="39" t="s">
        <v>60</v>
      </c>
      <c r="AJ38" s="135"/>
      <c r="AK38" s="73">
        <f>-SUM([2]Retail!$AO$21:$AP$21)/1000/AK26</f>
        <v>9.3342371538331595E-2</v>
      </c>
      <c r="AL38" s="42">
        <f>-SUM([2]Retail!$AO$22:$AP$22)/1000/AL26</f>
        <v>8.8115756633634384E-2</v>
      </c>
      <c r="AM38" s="42">
        <f>-SUM([2]Retail!$AO$23:$AP$23)/1000/AM26</f>
        <v>8.4406088302084153E-2</v>
      </c>
      <c r="AN38" s="135"/>
      <c r="AO38" s="73">
        <f>-SUM([2]SME!$AO$21:$AP$21)/1000/AO26</f>
        <v>0.10431079978371556</v>
      </c>
      <c r="AP38" s="42">
        <f>-SUM([2]SME!$AO$22:$AP$22)/1000/AP26</f>
        <v>9.3510636314937959E-2</v>
      </c>
      <c r="AQ38" s="42">
        <f>-SUM([2]SME!$AO$23:$AP$23)/1000/AQ26</f>
        <v>8.8771698135047927E-2</v>
      </c>
      <c r="AR38" s="135"/>
      <c r="AS38" s="97">
        <f>-SUM([2]MidCorp!$AO$21:$AP$21)/1000/AS26</f>
        <v>7.2825562473832248E-2</v>
      </c>
      <c r="AT38" s="42">
        <f>-SUM([2]MidCorp!$AO$22:$AP$22)/1000/AT26</f>
        <v>5.4055407138223661E-2</v>
      </c>
      <c r="AU38" s="42">
        <f>-SUM([2]MidCorp!$AO$23:$AP$23)/1000/AU26</f>
        <v>6.9449491211421091E-2</v>
      </c>
      <c r="AV38" s="135"/>
      <c r="AW38" s="97"/>
      <c r="AX38" s="42"/>
      <c r="AY38" s="42"/>
      <c r="AZ38" s="135"/>
      <c r="BA38" s="97"/>
      <c r="BB38" s="42"/>
      <c r="BC38" s="42"/>
      <c r="BD38" s="135"/>
      <c r="BE38" s="97"/>
      <c r="BF38" s="42"/>
      <c r="BG38" s="42"/>
      <c r="BH38" s="135"/>
      <c r="BI38" s="84">
        <f>-SUM('[2]Total P&amp;C'!$AO$21:$AP$21)/1000/BI26</f>
        <v>8.8431698819302532E-2</v>
      </c>
      <c r="BJ38" s="60">
        <f>-SUM('[2]Total P&amp;C'!$AO$22:$AP$22)/1000/BJ26</f>
        <v>7.7715293424927306E-2</v>
      </c>
      <c r="BK38" s="60">
        <f>-SUM('[2]Total P&amp;C'!$AO$23:$AP$23)/1000/BK26</f>
        <v>8.07475946771673E-2</v>
      </c>
      <c r="BM38" s="85">
        <f>-SUM('[3]Total P&amp;C'!$AO$21:$AP$21)/1000/BM26</f>
        <v>3.0595927155660688E-2</v>
      </c>
      <c r="BN38" s="60">
        <f>-SUM('[3]Total P&amp;C'!$AO$22:$AP$22)/1000/BN26</f>
        <v>2.6941964558410227E-2</v>
      </c>
      <c r="BO38" s="60">
        <f>-SUM('[3]Total P&amp;C'!$AO$23:$AP$23)/1000/BO26</f>
        <v>3.363631557334619E-2</v>
      </c>
    </row>
    <row r="39" spans="1:67" ht="14.5" hidden="1" outlineLevel="1" x14ac:dyDescent="0.3">
      <c r="A39" s="214"/>
      <c r="B39" s="115"/>
      <c r="C39" s="39" t="s">
        <v>61</v>
      </c>
      <c r="D39" s="135"/>
      <c r="E39" s="73">
        <f>-SUM([1]Retail!$AQ$21:$AR$21)/1000/E26</f>
        <v>0.15249036691517776</v>
      </c>
      <c r="F39" s="42">
        <f>-SUM([1]Retail!$AQ$22:$AR$22)/1000/F26</f>
        <v>0.27082834728084598</v>
      </c>
      <c r="G39" s="42" t="e">
        <f>-SUM([1]Retail!$AQ$23:$AR$23)/1000/G26</f>
        <v>#DIV/0!</v>
      </c>
      <c r="H39" s="135"/>
      <c r="I39" s="74">
        <f>-SUM([1]SME!$AQ$21:$AR$21)/1000/I26</f>
        <v>6.6067518233352746E-2</v>
      </c>
      <c r="J39" s="42">
        <f>-SUM([1]SME!$AQ$22:$AR$22)/1000/J26</f>
        <v>6.6271638813135136E-2</v>
      </c>
      <c r="K39" s="42">
        <f>-SUM([1]SME!$AQ$23:$AR$23)/1000/K26</f>
        <v>7.7208340512678955E-2</v>
      </c>
      <c r="L39" s="135"/>
      <c r="M39" s="74">
        <f>-SUM([1]MidCorp!$AQ$21:$AR$21)/1000/M26</f>
        <v>6.6168067787135437E-2</v>
      </c>
      <c r="N39" s="42">
        <f>-SUM([1]MidCorp!$AQ$22:$AR$22)/1000/N26</f>
        <v>7.1533180042378561E-2</v>
      </c>
      <c r="O39" s="42">
        <f>-SUM([1]MidCorp!$AQ$23:$AR$23)/1000/O26</f>
        <v>8.9071506811253018E-2</v>
      </c>
      <c r="P39" s="135"/>
      <c r="Q39" s="74">
        <f>-SUM([1]MGA!$AQ$21:$AR$21)/1000/Q26</f>
        <v>3.7989331053168235E-2</v>
      </c>
      <c r="R39" s="42">
        <f>-SUM([1]MGA!$AQ$22:$AR$22)/1000/R26</f>
        <v>4.4482056869824212E-2</v>
      </c>
      <c r="S39" s="42">
        <f>-SUM([1]MGA!$AQ$23:$AR$23)/1000/S26</f>
        <v>5.0073132778392017E-2</v>
      </c>
      <c r="T39" s="135"/>
      <c r="U39" s="74" t="e">
        <f>-SUM([1]Bancassurance!$AQ$21:$AR$21)/1000/U26</f>
        <v>#DIV/0!</v>
      </c>
      <c r="V39" s="42" t="e">
        <f>-SUM([1]Bancassurance!$AQ$22:$AR$22)/1000/V26</f>
        <v>#DIV/0!</v>
      </c>
      <c r="W39" s="42" t="e">
        <f>-SUM([1]Bancassurance!$AQ$23:$AR$23)/1000/W26</f>
        <v>#DIV/0!</v>
      </c>
      <c r="X39" s="135"/>
      <c r="Y39" s="74">
        <f>-SUM([1]Specials!$AQ$21:$AR$21)/1000/Y26</f>
        <v>0</v>
      </c>
      <c r="Z39" s="42">
        <f>-SUM([1]Specials!$AQ$22:$AR$22)/1000/Z26</f>
        <v>0</v>
      </c>
      <c r="AA39" s="42" t="e">
        <f>-SUM([1]Specials!$AQ$23:$AR$23)/1000/AA26</f>
        <v>#DIV/0!</v>
      </c>
      <c r="AB39" s="135"/>
      <c r="AC39" s="85">
        <f>-SUM('[1]Total P&amp;C'!$AQ$21:$AR$21)/1000/AC26</f>
        <v>6.08420499656359E-2</v>
      </c>
      <c r="AD39" s="60">
        <f>-SUM('[1]Total P&amp;C'!$AQ$22:$AR$22)/1000/AD26</f>
        <v>6.8584787253900215E-2</v>
      </c>
      <c r="AE39" s="60">
        <f>-SUM('[1]Total P&amp;C'!$AQ$23:$AR$23)/1000/AE26</f>
        <v>8.0036379549932146E-2</v>
      </c>
      <c r="AG39" s="212"/>
      <c r="AH39" s="115"/>
      <c r="AI39" s="39" t="s">
        <v>61</v>
      </c>
      <c r="AJ39" s="135"/>
      <c r="AK39" s="97">
        <f>-SUM([2]Retail!$AQ$21:$AR$21)/1000/AK26</f>
        <v>7.938583434095306E-2</v>
      </c>
      <c r="AL39" s="42">
        <f>-SUM([2]Retail!$AQ$22:$AR$22)/1000/AL26</f>
        <v>7.5180032515296216E-2</v>
      </c>
      <c r="AM39" s="42">
        <f>-SUM([2]Retail!$AQ$23:$AR$23)/1000/AM26</f>
        <v>7.5058652985473373E-2</v>
      </c>
      <c r="AN39" s="135"/>
      <c r="AO39" s="74">
        <f>-SUM([2]SME!$AQ$21:$AR$21)/1000/AO26</f>
        <v>0.1014637350443454</v>
      </c>
      <c r="AP39" s="42">
        <f>-SUM([2]SME!$AQ$22:$AR$22)/1000/AP26</f>
        <v>9.4778410614257361E-2</v>
      </c>
      <c r="AQ39" s="42">
        <f>-SUM([2]SME!$AQ$23:$AR$23)/1000/AQ26</f>
        <v>0.10989658464060022</v>
      </c>
      <c r="AR39" s="135"/>
      <c r="AS39" s="74">
        <f>-SUM([2]MidCorp!$AQ$21:$AR$21)/1000/AS26</f>
        <v>0.10054088387667355</v>
      </c>
      <c r="AT39" s="42">
        <f>-SUM([2]MidCorp!$AQ$22:$AR$22)/1000/AT26</f>
        <v>8.6734261905451263E-2</v>
      </c>
      <c r="AU39" s="42">
        <f>-SUM([2]MidCorp!$AQ$23:$AR$23)/1000/AU26</f>
        <v>0.11415468373870571</v>
      </c>
      <c r="AV39" s="135"/>
      <c r="AW39" s="97"/>
      <c r="AX39" s="42"/>
      <c r="AY39" s="42"/>
      <c r="AZ39" s="135"/>
      <c r="BA39" s="97"/>
      <c r="BB39" s="42"/>
      <c r="BC39" s="42"/>
      <c r="BD39" s="135"/>
      <c r="BE39" s="97"/>
      <c r="BF39" s="42"/>
      <c r="BG39" s="42"/>
      <c r="BH39" s="135"/>
      <c r="BI39" s="85">
        <f>-SUM('[2]Total P&amp;C'!$AQ$21:$AR$21)/1000/BI26</f>
        <v>8.897277181524739E-2</v>
      </c>
      <c r="BJ39" s="60">
        <f>-SUM('[2]Total P&amp;C'!$AQ$22:$AR$22)/1000/BJ26</f>
        <v>8.1668584809895195E-2</v>
      </c>
      <c r="BK39" s="60">
        <f>-SUM('[2]Total P&amp;C'!$AQ$23:$AR$23)/1000/BK26</f>
        <v>9.0947633499026306E-2</v>
      </c>
      <c r="BM39" s="85">
        <f>-SUM('[3]Total P&amp;C'!$AQ$21:$AR$21)/1000/BM26</f>
        <v>6.5609724376146844E-2</v>
      </c>
      <c r="BN39" s="60">
        <f>-SUM('[3]Total P&amp;C'!$AQ$22:$AR$22)/1000/BN26</f>
        <v>7.1101104954707867E-2</v>
      </c>
      <c r="BO39" s="60">
        <f>-SUM('[3]Total P&amp;C'!$AQ$23:$AR$23)/1000/BO26</f>
        <v>8.2123855727392253E-2</v>
      </c>
    </row>
    <row r="40" spans="1:67" hidden="1" outlineLevel="1" x14ac:dyDescent="0.3">
      <c r="A40" s="214"/>
      <c r="B40" s="115"/>
      <c r="C40" s="116" t="s">
        <v>34</v>
      </c>
      <c r="D40" s="117"/>
      <c r="E40" s="121">
        <f>+[1]Retail!$BK$21/1000</f>
        <v>-1.6584499999996814E-2</v>
      </c>
      <c r="F40" s="119">
        <f>+[1]Retail!$BK$22/1000</f>
        <v>0.82748311999999724</v>
      </c>
      <c r="G40" s="119">
        <f>+[1]Retail!$BK$23/1000</f>
        <v>0.31420789756745071</v>
      </c>
      <c r="H40" s="117"/>
      <c r="I40" s="118">
        <f>+[1]SME!$BK$21/1000</f>
        <v>-7.412733999999653E-2</v>
      </c>
      <c r="J40" s="119">
        <f>+[1]SME!$BK$22/1000</f>
        <v>-2.0475835000000031</v>
      </c>
      <c r="K40" s="119">
        <f>+[1]SME!$BK$23/1000</f>
        <v>-0.71505007529659592</v>
      </c>
      <c r="L40" s="117"/>
      <c r="M40" s="121">
        <f>+[1]MidCorp!$BK$21/1000</f>
        <v>-0.20648242999998911</v>
      </c>
      <c r="N40" s="119">
        <f>+[1]MidCorp!$BK$22/1000</f>
        <v>0.94484760999999784</v>
      </c>
      <c r="O40" s="119">
        <f>+[1]MidCorp!$BK$23/1000</f>
        <v>0.15265465223101524</v>
      </c>
      <c r="P40" s="117"/>
      <c r="Q40" s="120">
        <f>+[1]MGA!$BK$21/1000</f>
        <v>-3.396215849999991</v>
      </c>
      <c r="R40" s="119">
        <f>+[1]MGA!$BK$22/1000</f>
        <v>1.1090373900000003</v>
      </c>
      <c r="S40" s="119">
        <f>+[1]MGA!$BK$23/1000</f>
        <v>-0.54097591586352434</v>
      </c>
      <c r="T40" s="117"/>
      <c r="U40" s="121">
        <f>+[1]Bancassurance!$BK$21/1000</f>
        <v>0</v>
      </c>
      <c r="V40" s="119">
        <f>+[1]Bancassurance!$BK$22/1000</f>
        <v>-1.2452340000000001E-2</v>
      </c>
      <c r="W40" s="119">
        <f>+[1]Bancassurance!$BK$23/1000</f>
        <v>0</v>
      </c>
      <c r="X40" s="117"/>
      <c r="Y40" s="118">
        <f>+[1]Specials!$BK$21/1000</f>
        <v>0.49503550000000002</v>
      </c>
      <c r="Z40" s="119">
        <f>+[1]Specials!$BK$22/1000</f>
        <v>0.46516385999999998</v>
      </c>
      <c r="AA40" s="119">
        <f>+[1]Specials!$BK$23/1000</f>
        <v>0</v>
      </c>
      <c r="AB40" s="117"/>
      <c r="AC40" s="125">
        <f>+'[1]Total P&amp;C'!$BK$21/1000</f>
        <v>-3.1983746199999885</v>
      </c>
      <c r="AD40" s="123">
        <f>+'[1]Total P&amp;C'!$BK$22/1000</f>
        <v>1.2864961399999968</v>
      </c>
      <c r="AE40" s="123">
        <f>+'[1]Total P&amp;C'!$BK$23/1000</f>
        <v>-0.78916344136165617</v>
      </c>
      <c r="AG40" s="212"/>
      <c r="AH40" s="115"/>
      <c r="AI40" s="116" t="s">
        <v>34</v>
      </c>
      <c r="AJ40" s="117"/>
      <c r="AK40" s="118">
        <f>+[2]Retail!$BK$21/1000</f>
        <v>1.5804763899999903</v>
      </c>
      <c r="AL40" s="119">
        <f>+[2]Retail!$BK$22/1000</f>
        <v>3.7565157100000119</v>
      </c>
      <c r="AM40" s="119">
        <f>+[2]Retail!$BK$23/1000</f>
        <v>0.90826404811909411</v>
      </c>
      <c r="AN40" s="117"/>
      <c r="AO40" s="118">
        <f>+[2]SME!$BK$21/1000</f>
        <v>4.5016379999998551E-2</v>
      </c>
      <c r="AP40" s="119">
        <f>+[2]SME!$BK$22/1000</f>
        <v>0.18558508999999448</v>
      </c>
      <c r="AQ40" s="119">
        <f>+[2]SME!$BK$23/1000</f>
        <v>-0.47444402060826657</v>
      </c>
      <c r="AR40" s="117"/>
      <c r="AS40" s="120">
        <f>+[2]MidCorp!$BK$21/1000</f>
        <v>-1.7971311499999945</v>
      </c>
      <c r="AT40" s="119">
        <f>+[2]MidCorp!$BK$22/1000</f>
        <v>-4.432262859999998</v>
      </c>
      <c r="AU40" s="119">
        <f>+[2]MidCorp!$BK$23/1000</f>
        <v>-1.3830949777283488</v>
      </c>
      <c r="AV40" s="117"/>
      <c r="AW40" s="121"/>
      <c r="AX40" s="119"/>
      <c r="AY40" s="119"/>
      <c r="AZ40" s="117"/>
      <c r="BA40" s="121"/>
      <c r="BB40" s="119"/>
      <c r="BC40" s="119"/>
      <c r="BD40" s="117"/>
      <c r="BE40" s="121"/>
      <c r="BF40" s="119"/>
      <c r="BG40" s="119"/>
      <c r="BH40" s="117"/>
      <c r="BI40" s="122">
        <f>+'[2]Total P&amp;C'!$BK$21/1000</f>
        <v>-0.17163838000000403</v>
      </c>
      <c r="BJ40" s="123">
        <f>+'[2]Total P&amp;C'!$BK$22/1000</f>
        <v>-0.4901620599999903</v>
      </c>
      <c r="BK40" s="123">
        <f>+'[2]Total P&amp;C'!$BK$23/1000</f>
        <v>-0.94927495021751973</v>
      </c>
      <c r="BM40" s="125">
        <f>+'[3]Total P&amp;C'!$BK$21/1000</f>
        <v>-3.3700129999999846</v>
      </c>
      <c r="BN40" s="123">
        <f>+'[3]Total P&amp;C'!$BK$22/1000</f>
        <v>0.79633408000002848</v>
      </c>
      <c r="BO40" s="123">
        <f>+'[3]Total P&amp;C'!$BK$23/1000</f>
        <v>-1.7384383915791795</v>
      </c>
    </row>
    <row r="41" spans="1:67" ht="17.5" hidden="1" outlineLevel="1" x14ac:dyDescent="0.35">
      <c r="AG41" s="153"/>
    </row>
    <row r="42" spans="1:67" hidden="1" outlineLevel="1" x14ac:dyDescent="0.3">
      <c r="A42" s="214" t="s">
        <v>36</v>
      </c>
      <c r="B42" s="115"/>
      <c r="C42" s="116" t="s">
        <v>19</v>
      </c>
      <c r="D42" s="117"/>
      <c r="E42" s="118">
        <f>+[1]Retail!$C$25/1000</f>
        <v>0.61171333000000117</v>
      </c>
      <c r="F42" s="119">
        <f>+[1]Retail!$C$26/1000</f>
        <v>0.77600112000000332</v>
      </c>
      <c r="G42" s="119">
        <f>+[1]Retail!$C$27/1000</f>
        <v>0</v>
      </c>
      <c r="H42" s="117"/>
      <c r="I42" s="121">
        <f>+[1]SME!$C$25/1000</f>
        <v>13.37655921</v>
      </c>
      <c r="J42" s="119">
        <f>+[1]SME!$C$26/1000</f>
        <v>14.223475289999998</v>
      </c>
      <c r="K42" s="119">
        <f>+[1]SME!$C$27/1000</f>
        <v>13.821059999999999</v>
      </c>
      <c r="L42" s="117"/>
      <c r="M42" s="121">
        <f>+[1]MidCorp!$C$25/1000</f>
        <v>33.736337269999993</v>
      </c>
      <c r="N42" s="119">
        <f>+[1]MidCorp!$C$26/1000</f>
        <v>33.656796280000009</v>
      </c>
      <c r="O42" s="119">
        <f>+[1]MidCorp!$C$27/1000</f>
        <v>37.123129999999996</v>
      </c>
      <c r="P42" s="117"/>
      <c r="Q42" s="118">
        <f>+[1]MGA!$C$25/1000</f>
        <v>16.548543609999999</v>
      </c>
      <c r="R42" s="119">
        <f>+[1]MGA!$C$26/1000</f>
        <v>14.175313029999998</v>
      </c>
      <c r="S42" s="119">
        <f>+[1]MGA!$C$27/1000</f>
        <v>16.528940000000002</v>
      </c>
      <c r="T42" s="117"/>
      <c r="U42" s="118">
        <f>+[1]Bancassurance!$C$25/1000</f>
        <v>4.7752789999999989E-2</v>
      </c>
      <c r="V42" s="119">
        <f>+[1]Bancassurance!$C$26/1000</f>
        <v>0</v>
      </c>
      <c r="W42" s="119">
        <f>+[1]Bancassurance!$C$27/1000</f>
        <v>0</v>
      </c>
      <c r="X42" s="117"/>
      <c r="Y42" s="118">
        <f>+[1]Specials!$C$25/1000</f>
        <v>3.2974860000000002E-2</v>
      </c>
      <c r="Z42" s="119">
        <f>+[1]Specials!$C$26/1000</f>
        <v>3.0641959999999999E-2</v>
      </c>
      <c r="AA42" s="119">
        <f>+[1]Specials!$C$27/1000</f>
        <v>0</v>
      </c>
      <c r="AB42" s="117"/>
      <c r="AC42" s="124">
        <f>+'[1]Total P&amp;C'!$C$25/1000</f>
        <v>64.35388107</v>
      </c>
      <c r="AD42" s="123">
        <f>+'[1]Total P&amp;C'!$C$26/1000</f>
        <v>62.862227680000011</v>
      </c>
      <c r="AE42" s="123">
        <f>+'[1]Total P&amp;C'!$C$27/1000</f>
        <v>67.473129999999998</v>
      </c>
      <c r="AG42" s="212" t="s">
        <v>36</v>
      </c>
      <c r="AH42" s="115"/>
      <c r="AI42" s="116" t="s">
        <v>19</v>
      </c>
      <c r="AJ42" s="117"/>
      <c r="AK42" s="121">
        <f>+[2]Retail!$C$25/1000</f>
        <v>5.6131757199999983</v>
      </c>
      <c r="AL42" s="119">
        <f>+[2]Retail!$C$26/1000</f>
        <v>5.5810265400000025</v>
      </c>
      <c r="AM42" s="119">
        <f>+[2]Retail!$C$27/1000</f>
        <v>6.0438989373344745</v>
      </c>
      <c r="AN42" s="117"/>
      <c r="AO42" s="121">
        <f>+[2]SME!$C$25/1000</f>
        <v>2.6313785199999984</v>
      </c>
      <c r="AP42" s="119">
        <f>+[2]SME!$C$26/1000</f>
        <v>2.6709543100000008</v>
      </c>
      <c r="AQ42" s="119">
        <f>+[2]SME!$C$27/1000</f>
        <v>2.7790461815269634</v>
      </c>
      <c r="AR42" s="117"/>
      <c r="AS42" s="121">
        <f>+[2]MidCorp!$C$25/1000</f>
        <v>5.8924797899999968</v>
      </c>
      <c r="AT42" s="119">
        <f>+[2]MidCorp!$C$26/1000</f>
        <v>7.3393139700000027</v>
      </c>
      <c r="AU42" s="119">
        <f>+[2]MidCorp!$C$27/1000</f>
        <v>6.2036933169580433</v>
      </c>
      <c r="AV42" s="117"/>
      <c r="AW42" s="121"/>
      <c r="AX42" s="119"/>
      <c r="AY42" s="119"/>
      <c r="AZ42" s="117"/>
      <c r="BA42" s="121"/>
      <c r="BB42" s="119"/>
      <c r="BC42" s="119"/>
      <c r="BD42" s="117"/>
      <c r="BE42" s="121"/>
      <c r="BF42" s="119"/>
      <c r="BG42" s="119"/>
      <c r="BH42" s="117"/>
      <c r="BI42" s="124">
        <f>+'[2]Total P&amp;C'!$C$25/1000</f>
        <v>14.137034029999995</v>
      </c>
      <c r="BJ42" s="123">
        <f>+'[2]Total P&amp;C'!$C$26/1000</f>
        <v>15.591294820000007</v>
      </c>
      <c r="BK42" s="123">
        <f>+'[2]Total P&amp;C'!$C$27/1000</f>
        <v>15.02663843581948</v>
      </c>
      <c r="BM42" s="124">
        <f>+'[3]Total P&amp;C'!$C$25/1000</f>
        <v>78.490915099999995</v>
      </c>
      <c r="BN42" s="123">
        <f>+'[3]Total P&amp;C'!$C$26/1000</f>
        <v>78.453522500000005</v>
      </c>
      <c r="BO42" s="123">
        <f>+'[3]Total P&amp;C'!$C$27/1000</f>
        <v>82.499768435819476</v>
      </c>
    </row>
    <row r="43" spans="1:67" hidden="1" outlineLevel="1" x14ac:dyDescent="0.3">
      <c r="A43" s="214"/>
      <c r="B43" s="115"/>
      <c r="C43" s="116" t="s">
        <v>55</v>
      </c>
      <c r="D43" s="117"/>
      <c r="E43" s="118">
        <f>+[1]Retail!$N$25/1000</f>
        <v>0.57285803000000068</v>
      </c>
      <c r="F43" s="119">
        <f>+[1]Retail!$N$26/1000</f>
        <v>0.77384197000000055</v>
      </c>
      <c r="G43" s="119">
        <f>+[1]Retail!$N$27/1000</f>
        <v>0</v>
      </c>
      <c r="H43" s="117"/>
      <c r="I43" s="121">
        <f>+[1]SME!$N$25/1000</f>
        <v>8.0021348499999974</v>
      </c>
      <c r="J43" s="119">
        <f>+[1]SME!$N$26/1000</f>
        <v>8.5683675099999981</v>
      </c>
      <c r="K43" s="119">
        <f>+[1]SME!$N$27/1000</f>
        <v>8.5351977207521816</v>
      </c>
      <c r="L43" s="117"/>
      <c r="M43" s="120">
        <f>+[1]MidCorp!$N$25/1000</f>
        <v>28.599751509999994</v>
      </c>
      <c r="N43" s="119">
        <f>+[1]MidCorp!$N$26/1000</f>
        <v>27.88717342</v>
      </c>
      <c r="O43" s="119">
        <f>+[1]MidCorp!$N$27/1000</f>
        <v>29.096951838758468</v>
      </c>
      <c r="P43" s="117"/>
      <c r="Q43" s="121">
        <f>+[1]MGA!$N$25/1000</f>
        <v>12.889771580000009</v>
      </c>
      <c r="R43" s="119">
        <f>+[1]MGA!$N$26/1000</f>
        <v>11.253686709999998</v>
      </c>
      <c r="S43" s="119">
        <f>+[1]MGA!$N$27/1000</f>
        <v>15.114644842129936</v>
      </c>
      <c r="T43" s="117"/>
      <c r="U43" s="118">
        <f>+[1]Bancassurance!$N$25/1000</f>
        <v>4.3950409999999995E-2</v>
      </c>
      <c r="V43" s="119">
        <f>+[1]Bancassurance!$N$26/1000</f>
        <v>0</v>
      </c>
      <c r="W43" s="119">
        <f>+[1]Bancassurance!$N$27/1000</f>
        <v>0</v>
      </c>
      <c r="X43" s="117"/>
      <c r="Y43" s="118">
        <f>+[1]Specials!$N$25/1000</f>
        <v>7.87647E-3</v>
      </c>
      <c r="Z43" s="119">
        <f>+[1]Specials!$N$26/1000</f>
        <v>3.9638100000000008E-3</v>
      </c>
      <c r="AA43" s="119">
        <f>+[1]Specials!$N$27/1000</f>
        <v>0</v>
      </c>
      <c r="AB43" s="117"/>
      <c r="AC43" s="124">
        <f>+'[1]Total P&amp;C'!$N$25/1000</f>
        <v>50.116342850000002</v>
      </c>
      <c r="AD43" s="123">
        <f>+'[1]Total P&amp;C'!$N$26/1000</f>
        <v>48.487033419999996</v>
      </c>
      <c r="AE43" s="123">
        <f>+'[1]Total P&amp;C'!$N$27/1000</f>
        <v>52.746794401640592</v>
      </c>
      <c r="AG43" s="212"/>
      <c r="AH43" s="115"/>
      <c r="AI43" s="116" t="s">
        <v>55</v>
      </c>
      <c r="AJ43" s="117"/>
      <c r="AK43" s="121">
        <f>+[2]Retail!$N$25/1000</f>
        <v>5.3441295399999964</v>
      </c>
      <c r="AL43" s="119">
        <f>+[2]Retail!$N$26/1000</f>
        <v>5.1781473300000034</v>
      </c>
      <c r="AM43" s="119">
        <f>+[2]Retail!$N$27/1000</f>
        <v>5.4831789536431144</v>
      </c>
      <c r="AN43" s="117"/>
      <c r="AO43" s="121">
        <f>+[2]SME!$N$25/1000</f>
        <v>2.1907530499999983</v>
      </c>
      <c r="AP43" s="119">
        <f>+[2]SME!$N$26/1000</f>
        <v>2.204893790000003</v>
      </c>
      <c r="AQ43" s="119">
        <f>+[2]SME!$N$27/1000</f>
        <v>2.3190895876636066</v>
      </c>
      <c r="AR43" s="117"/>
      <c r="AS43" s="121">
        <f>+[2]MidCorp!$N$25/1000</f>
        <v>3.7263401499999973</v>
      </c>
      <c r="AT43" s="119">
        <f>+[2]MidCorp!$N$26/1000</f>
        <v>4.4793697099999994</v>
      </c>
      <c r="AU43" s="119">
        <f>+[2]MidCorp!$N$27/1000</f>
        <v>3.8618667796479405</v>
      </c>
      <c r="AV43" s="117"/>
      <c r="AW43" s="121"/>
      <c r="AX43" s="119"/>
      <c r="AY43" s="119"/>
      <c r="AZ43" s="117"/>
      <c r="BA43" s="121"/>
      <c r="BB43" s="119"/>
      <c r="BC43" s="119"/>
      <c r="BD43" s="117"/>
      <c r="BE43" s="121"/>
      <c r="BF43" s="119"/>
      <c r="BG43" s="119"/>
      <c r="BH43" s="117"/>
      <c r="BI43" s="124">
        <f>+'[2]Total P&amp;C'!$N$25/1000</f>
        <v>11.261222739999992</v>
      </c>
      <c r="BJ43" s="123">
        <f>+'[2]Total P&amp;C'!$N$26/1000</f>
        <v>11.862410830000004</v>
      </c>
      <c r="BK43" s="123">
        <f>+'[2]Total P&amp;C'!$N$27/1000</f>
        <v>11.664135320954662</v>
      </c>
      <c r="BM43" s="124">
        <f>+'[3]Total P&amp;C'!$N$25/1000</f>
        <v>61.377565589999989</v>
      </c>
      <c r="BN43" s="123">
        <f>+'[3]Total P&amp;C'!$N$26/1000</f>
        <v>60.349444249999998</v>
      </c>
      <c r="BO43" s="123">
        <f>+'[3]Total P&amp;C'!$N$27/1000</f>
        <v>64.410929722595242</v>
      </c>
    </row>
    <row r="44" spans="1:67" hidden="1" outlineLevel="1" x14ac:dyDescent="0.3">
      <c r="A44" s="214"/>
      <c r="B44" s="115"/>
      <c r="C44" s="116" t="s">
        <v>21</v>
      </c>
      <c r="D44" s="117"/>
      <c r="E44" s="126">
        <f>+E45+E50+E51+E52+E53</f>
        <v>0.95696534095890962</v>
      </c>
      <c r="F44" s="127">
        <f>+F45+F50+F51+F52+F53</f>
        <v>1.3397712455425483</v>
      </c>
      <c r="G44" s="127" t="e">
        <f>+G45+G50+G51+G52+G53</f>
        <v>#DIV/0!</v>
      </c>
      <c r="H44" s="117"/>
      <c r="I44" s="128">
        <f>+I45+I50+I51+I52+I53</f>
        <v>0.81225714660382198</v>
      </c>
      <c r="J44" s="127">
        <f>+J45+J50+J51+J52+J53</f>
        <v>0.76638417672166359</v>
      </c>
      <c r="K44" s="127">
        <f>+K45+K50+K51+K52+K53</f>
        <v>0.76322520151476259</v>
      </c>
      <c r="L44" s="117"/>
      <c r="M44" s="128">
        <f>+M45+M50+M51+M52+M53</f>
        <v>0.96667182301682908</v>
      </c>
      <c r="N44" s="127">
        <f>+N45+N50+N51+N52+N53</f>
        <v>0.86609884896681644</v>
      </c>
      <c r="O44" s="127">
        <f>+O45+O50+O51+O52+O53</f>
        <v>0.92369190017913572</v>
      </c>
      <c r="P44" s="117"/>
      <c r="Q44" s="126">
        <f>+Q45+Q50+Q51+Q52+Q53</f>
        <v>0.69870706040859054</v>
      </c>
      <c r="R44" s="127">
        <f>+R45+R50+R51+R52+R53</f>
        <v>0.92648401085620835</v>
      </c>
      <c r="S44" s="127">
        <f>+S45+S50+S51+S52+S53</f>
        <v>0.88468373985761717</v>
      </c>
      <c r="T44" s="117"/>
      <c r="U44" s="128">
        <f>+U45+U50+U51+U52+U53</f>
        <v>0.15005275263643733</v>
      </c>
      <c r="V44" s="127" t="e">
        <f>+V45+V50+V51+V52+V53</f>
        <v>#DIV/0!</v>
      </c>
      <c r="W44" s="127" t="e">
        <f>+W45+W50+W51+W52+W53</f>
        <v>#DIV/0!</v>
      </c>
      <c r="X44" s="117"/>
      <c r="Y44" s="128">
        <f>+Y45+Y50+Y51+Y52+Y53</f>
        <v>-16.377895173853261</v>
      </c>
      <c r="Z44" s="127">
        <f>+Z45+Z50+Z51+Z52+Z53</f>
        <v>-29.012490507869948</v>
      </c>
      <c r="AA44" s="127" t="e">
        <f>+AA45+AA50+AA51+AA52+AA53</f>
        <v>#DIV/0!</v>
      </c>
      <c r="AB44" s="117"/>
      <c r="AC44" s="132">
        <f>+AC45+AC50+AC51+AC52+AC53</f>
        <v>0.86954349104106643</v>
      </c>
      <c r="AD44" s="130">
        <f>+AD45+AD50+AD51+AD52+AD53</f>
        <v>0.86786696301866684</v>
      </c>
      <c r="AE44" s="130">
        <f>+AE45+AE50+AE51+AE52+AE53</f>
        <v>0.88939571419815455</v>
      </c>
      <c r="AG44" s="212"/>
      <c r="AH44" s="115"/>
      <c r="AI44" s="116" t="s">
        <v>21</v>
      </c>
      <c r="AJ44" s="117"/>
      <c r="AK44" s="126">
        <f>+AK45+AK50+AK51+AK52+AK53</f>
        <v>1.0491609827257302</v>
      </c>
      <c r="AL44" s="127">
        <f>+AL45+AL50+AL51+AL52+AL53</f>
        <v>1.0925235068581942</v>
      </c>
      <c r="AM44" s="127">
        <f>+AM45+AM50+AM51+AM52+AM53</f>
        <v>1.1121516284560897</v>
      </c>
      <c r="AN44" s="117"/>
      <c r="AO44" s="128">
        <f>+AO45+AO50+AO51+AO52+AO53</f>
        <v>1.2086169274076792</v>
      </c>
      <c r="AP44" s="127">
        <f>+AP45+AP50+AP51+AP52+AP53</f>
        <v>0.91690380242759795</v>
      </c>
      <c r="AQ44" s="127">
        <f>+AQ45+AQ50+AQ51+AQ52+AQ53</f>
        <v>1.0299634108824103</v>
      </c>
      <c r="AR44" s="117"/>
      <c r="AS44" s="126">
        <f>+AS45+AS50+AS51+AS52+AS53</f>
        <v>0.82365888954072086</v>
      </c>
      <c r="AT44" s="127">
        <f>+AT45+AT50+AT51+AT52+AT53</f>
        <v>1.0364552605772746</v>
      </c>
      <c r="AU44" s="127">
        <f>+AU45+AU50+AU51+AU52+AU53</f>
        <v>1.0006349035663078</v>
      </c>
      <c r="AV44" s="117"/>
      <c r="AW44" s="131"/>
      <c r="AX44" s="127"/>
      <c r="AY44" s="127"/>
      <c r="AZ44" s="117"/>
      <c r="BA44" s="131"/>
      <c r="BB44" s="127"/>
      <c r="BC44" s="127"/>
      <c r="BD44" s="117"/>
      <c r="BE44" s="131"/>
      <c r="BF44" s="127"/>
      <c r="BG44" s="127"/>
      <c r="BH44" s="117"/>
      <c r="BI44" s="132">
        <f>+BI45+BI50+BI51+BI52+BI53</f>
        <v>1.0055627946845858</v>
      </c>
      <c r="BJ44" s="130">
        <f>+BJ45+BJ50+BJ51+BJ52+BJ53</f>
        <v>1.0387087124683572</v>
      </c>
      <c r="BK44" s="130">
        <f>+BK45+BK50+BK51+BK52+BK53</f>
        <v>1.0588888226212985</v>
      </c>
      <c r="BM44" s="132">
        <f>+BM45+BM50+BM51+BM52+BM53</f>
        <v>0.89449957492196486</v>
      </c>
      <c r="BN44" s="130">
        <f>+BN45+BN50+BN51+BN52+BN53</f>
        <v>0.90144796851215414</v>
      </c>
      <c r="BO44" s="130">
        <f>+BO45+BO50+BO51+BO52+BO53</f>
        <v>0.92008911609642408</v>
      </c>
    </row>
    <row r="45" spans="1:67" hidden="1" outlineLevel="1" x14ac:dyDescent="0.3">
      <c r="A45" s="214"/>
      <c r="B45" s="115"/>
      <c r="C45" s="116" t="s">
        <v>56</v>
      </c>
      <c r="D45" s="117"/>
      <c r="E45" s="126">
        <f>+E46+E47+E48+E49</f>
        <v>0.10159372296832418</v>
      </c>
      <c r="F45" s="127">
        <f>+F46+F47+F48+F49</f>
        <v>0.76434503804439513</v>
      </c>
      <c r="G45" s="127" t="e">
        <f>+G46+G47+G48+G49</f>
        <v>#DIV/0!</v>
      </c>
      <c r="H45" s="117"/>
      <c r="I45" s="126">
        <f>+I46+I47+I48+I49</f>
        <v>0.40254884607449487</v>
      </c>
      <c r="J45" s="127">
        <f>+J46+J47+J48+J49</f>
        <v>0.46875712500805194</v>
      </c>
      <c r="K45" s="127">
        <f>+K46+K47+K48+K49</f>
        <v>0.48963455536432493</v>
      </c>
      <c r="L45" s="117"/>
      <c r="M45" s="126">
        <f>+M46+M47+M48+M49</f>
        <v>0.60229744317803002</v>
      </c>
      <c r="N45" s="127">
        <f>+N46+N47+N48+N49</f>
        <v>0.63833015027738149</v>
      </c>
      <c r="O45" s="127">
        <f>+O46+O47+O48+O49</f>
        <v>0.65396588317826321</v>
      </c>
      <c r="P45" s="117"/>
      <c r="Q45" s="128">
        <f>+Q46+Q47+Q48+Q49</f>
        <v>0.62359440352472051</v>
      </c>
      <c r="R45" s="127">
        <f>+R46+R47+R48+R49</f>
        <v>0.63959990761107677</v>
      </c>
      <c r="S45" s="127">
        <f>+S46+S47+S48+S49</f>
        <v>0.59577495200139918</v>
      </c>
      <c r="T45" s="117"/>
      <c r="U45" s="128">
        <f>+U46+U47+U48+U49</f>
        <v>0</v>
      </c>
      <c r="V45" s="127" t="e">
        <f>+V46+V47+V48+V49</f>
        <v>#DIV/0!</v>
      </c>
      <c r="W45" s="127" t="e">
        <f>+W46+W47+W48+W49</f>
        <v>#DIV/0!</v>
      </c>
      <c r="X45" s="117"/>
      <c r="Y45" s="128">
        <f>+Y46+Y47+Y48+Y49</f>
        <v>-16.377895173853261</v>
      </c>
      <c r="Z45" s="127">
        <f>+Z46+Z47+Z48+Z49</f>
        <v>-29.012490507869948</v>
      </c>
      <c r="AA45" s="127" t="e">
        <f>+AA46+AA47+AA48+AA49</f>
        <v>#DIV/0!</v>
      </c>
      <c r="AB45" s="117"/>
      <c r="AC45" s="132">
        <f>+AC46+AC47+AC48+AC49</f>
        <v>0.56696067478515122</v>
      </c>
      <c r="AD45" s="130">
        <f>+AD46+AD47+AD48+AD49</f>
        <v>0.60824604208173882</v>
      </c>
      <c r="AE45" s="130">
        <f>+AE46+AE47+AE48+AE49</f>
        <v>0.61157248408736953</v>
      </c>
      <c r="AG45" s="212"/>
      <c r="AH45" s="115"/>
      <c r="AI45" s="116" t="s">
        <v>56</v>
      </c>
      <c r="AJ45" s="117"/>
      <c r="AK45" s="131">
        <f>+AK46+AK47+AK48+AK49</f>
        <v>0.75966587067423574</v>
      </c>
      <c r="AL45" s="127">
        <f>+AL46+AL47+AL48+AL49</f>
        <v>0.88756056695667573</v>
      </c>
      <c r="AM45" s="127">
        <f>+AM46+AM47+AM48+AM49</f>
        <v>0.75623413874364431</v>
      </c>
      <c r="AN45" s="117"/>
      <c r="AO45" s="128">
        <f>+AO46+AO47+AO48+AO49</f>
        <v>0.87688608718358341</v>
      </c>
      <c r="AP45" s="127">
        <f>+AP46+AP47+AP48+AP49</f>
        <v>0.72699773897045539</v>
      </c>
      <c r="AQ45" s="127">
        <f>+AQ46+AQ47+AQ48+AQ49</f>
        <v>0.65896088149730769</v>
      </c>
      <c r="AR45" s="117"/>
      <c r="AS45" s="126">
        <f>+AS46+AS47+AS48+AS49</f>
        <v>0.52873222268772258</v>
      </c>
      <c r="AT45" s="127">
        <f>+AT46+AT47+AT48+AT49</f>
        <v>0.65945295013391525</v>
      </c>
      <c r="AU45" s="127">
        <f>+AU46+AU47+AU48+AU49</f>
        <v>0.66020678375135899</v>
      </c>
      <c r="AV45" s="117"/>
      <c r="AW45" s="131"/>
      <c r="AX45" s="127"/>
      <c r="AY45" s="127"/>
      <c r="AZ45" s="117"/>
      <c r="BA45" s="131"/>
      <c r="BB45" s="127"/>
      <c r="BC45" s="127"/>
      <c r="BD45" s="117"/>
      <c r="BE45" s="131"/>
      <c r="BF45" s="127"/>
      <c r="BG45" s="127"/>
      <c r="BH45" s="117"/>
      <c r="BI45" s="133">
        <f>+BI46+BI47+BI48+BI49</f>
        <v>0.70605386142997162</v>
      </c>
      <c r="BJ45" s="130">
        <f>+BJ46+BJ47+BJ48+BJ49</f>
        <v>0.77158057339007169</v>
      </c>
      <c r="BK45" s="130">
        <f>+BK46+BK47+BK48+BK49</f>
        <v>0.70510045126414644</v>
      </c>
      <c r="BM45" s="132">
        <f>+BM46+BM47+BM48+BM49</f>
        <v>0.59248073804225321</v>
      </c>
      <c r="BN45" s="130">
        <f>+BN46+BN47+BN48+BN49</f>
        <v>0.64035141334379386</v>
      </c>
      <c r="BO45" s="130">
        <f>+BO46+BO47+BO48+BO49</f>
        <v>0.62850940566484292</v>
      </c>
    </row>
    <row r="46" spans="1:67" ht="14.5" hidden="1" outlineLevel="1" x14ac:dyDescent="0.3">
      <c r="A46" s="214"/>
      <c r="B46" s="115"/>
      <c r="C46" s="38" t="s">
        <v>23</v>
      </c>
      <c r="D46" s="117"/>
      <c r="E46" s="74">
        <f>-SUM([1]Retail!$O$25,[1]Retail!$R$25:$V$25,[1]Retail!$Y$25,[1]Retail!$AB$25,[1]Retail!$AU$25,[1]Retail!$AX$25,[1]Retail!$BA$25,[1]Retail!$BD$25)/1000/E43</f>
        <v>1.0420330496196423E-2</v>
      </c>
      <c r="F46" s="42">
        <f>-SUM([1]Retail!$O$26,[1]Retail!$R$26:$V$26,[1]Retail!$Y$26,[1]Retail!$AB$26,[1]Retail!$AU$26,[1]Retail!$AX$26,[1]Retail!$BA$26,[1]Retail!$BD$26)/1000/F43</f>
        <v>0.67183494841976543</v>
      </c>
      <c r="G46" s="42" t="e">
        <f>-SUM([1]Retail!$O$27,[1]Retail!$R$27:$V$27,[1]Retail!$Y$27,[1]Retail!$AB$27,[1]Retail!$AU$27,[1]Retail!$AX$27,[1]Retail!$BA$27,[1]Retail!$BD$27)/1000/G43</f>
        <v>#DIV/0!</v>
      </c>
      <c r="H46" s="117"/>
      <c r="I46" s="74">
        <f>-SUM([1]SME!$O$25,[1]SME!$R$25:$V$25,[1]SME!$Y$25,[1]SME!$AB$25,[1]SME!$AU$25,[1]SME!$AX$25,[1]SME!$BA$25,[1]SME!$BD$25)/1000/I43</f>
        <v>0.38316086612811845</v>
      </c>
      <c r="J46" s="42">
        <f>-SUM([1]SME!$O$26,[1]SME!$R$26:$V$26,[1]SME!$Y$26,[1]SME!$AB$26,[1]SME!$AU$26,[1]SME!$AX$26,[1]SME!$BA$26,[1]SME!$BD$26)/1000/J43</f>
        <v>0.44825786540054707</v>
      </c>
      <c r="K46" s="42">
        <f>-SUM([1]SME!$O$27,[1]SME!$R$27:$V$27,[1]SME!$Y$27,[1]SME!$AB$27,[1]SME!$AU$27,[1]SME!$AX$27,[1]SME!$BA$27,[1]SME!$BD$27)/1000/K43</f>
        <v>0.45093215897948069</v>
      </c>
      <c r="L46" s="117"/>
      <c r="M46" s="73">
        <f>-SUM([1]MidCorp!$O$25,[1]MidCorp!$R$25:$V$25,[1]MidCorp!$Y$25,[1]MidCorp!$AB$25,[1]MidCorp!$AU$25,[1]MidCorp!$AX$25,[1]MidCorp!$BA$25,[1]MidCorp!$BD$25)/1000/M43</f>
        <v>0.56054955073279245</v>
      </c>
      <c r="N46" s="42">
        <f>-SUM([1]MidCorp!$O$26,[1]MidCorp!$R$26:$V$26,[1]MidCorp!$Y$26,[1]MidCorp!$AB$26,[1]MidCorp!$AU$26,[1]MidCorp!$AX$26,[1]MidCorp!$BA$26,[1]MidCorp!$BD$26)/1000/N43</f>
        <v>0.58037337295692115</v>
      </c>
      <c r="O46" s="42">
        <f>-SUM([1]MidCorp!$O$27,[1]MidCorp!$R$27:$V$27,[1]MidCorp!$Y$27,[1]MidCorp!$AB$27,[1]MidCorp!$AU$27,[1]MidCorp!$AX$27,[1]MidCorp!$BA$27,[1]MidCorp!$BD$27)/1000/O43</f>
        <v>0.54340237280046999</v>
      </c>
      <c r="P46" s="117"/>
      <c r="Q46" s="73">
        <f>-SUM([1]MGA!$O$25,[1]MGA!$R$25:$V$25,[1]MGA!$Y$25,[1]MGA!$AB$25,[1]MGA!$AU$25,[1]MGA!$AX$25,[1]MGA!$BA$25,[1]MGA!$BD$25)/1000/Q43</f>
        <v>0.60885973279597827</v>
      </c>
      <c r="R46" s="42">
        <f>-SUM([1]MGA!$O$26,[1]MGA!$R$26:$V$26,[1]MGA!$Y$26,[1]MGA!$AB$26,[1]MGA!$AU$26,[1]MGA!$AX$26,[1]MGA!$BA$26,[1]MGA!$BD$26)/1000/R43</f>
        <v>0.62198711945482998</v>
      </c>
      <c r="S46" s="42">
        <f>-SUM([1]MGA!$O$27,[1]MGA!$R$27:$V$27,[1]MGA!$Y$27,[1]MGA!$AB$27,[1]MGA!$AU$27,[1]MGA!$AX$27,[1]MGA!$BA$27,[1]MGA!$BD$27)/1000/S43</f>
        <v>0.55070225460401201</v>
      </c>
      <c r="T46" s="117"/>
      <c r="U46" s="73">
        <f>-SUM([1]Bancassurance!$O$25,[1]Bancassurance!$R$25:$V$25,[1]Bancassurance!$Y$25,[1]Bancassurance!$AB$25,[1]Bancassurance!$AU$25,[1]Bancassurance!$AX$25,[1]Bancassurance!$BA$25,[1]Bancassurance!$BD$25)/1000/U43</f>
        <v>0</v>
      </c>
      <c r="V46" s="42" t="e">
        <f>-SUM([1]Bancassurance!$O$26,[1]Bancassurance!$R$26:$V$26,[1]Bancassurance!$Y$26,[1]Bancassurance!$AB$26,[1]Bancassurance!$AU$26,[1]Bancassurance!$AX$26,[1]Bancassurance!$BA$26,[1]Bancassurance!$BD$26)/1000/V43</f>
        <v>#DIV/0!</v>
      </c>
      <c r="W46" s="42" t="e">
        <f>-SUM([1]Bancassurance!$O$27,[1]Bancassurance!$R$27:$V$27,[1]Bancassurance!$Y$27,[1]Bancassurance!$AB$27,[1]Bancassurance!$AU$27,[1]Bancassurance!$AX$27,[1]Bancassurance!$BA$27,[1]Bancassurance!$BD$27)/1000/W43</f>
        <v>#DIV/0!</v>
      </c>
      <c r="X46" s="117"/>
      <c r="Y46" s="73">
        <f>-SUM([1]Specials!$O$25,[1]Specials!$R$25:$V$25,[1]Specials!$Y$25,[1]Specials!$AB$25,[1]Specials!$AU$25,[1]Specials!$AX$25,[1]Specials!$BA$25,[1]Specials!$BD$25)/1000/Y43</f>
        <v>0</v>
      </c>
      <c r="Z46" s="42">
        <f>-SUM([1]Specials!$O$26,[1]Specials!$R$26:$V$26,[1]Specials!$Y$26,[1]Specials!$AB$26,[1]Specials!$AU$26,[1]Specials!$AX$26,[1]Specials!$BA$26,[1]Specials!$BD$26)/1000/Z43</f>
        <v>0</v>
      </c>
      <c r="AA46" s="42" t="e">
        <f>-SUM([1]Specials!$O$27,[1]Specials!$R$27:$V$27,[1]Specials!$Y$27,[1]Specials!$AB$27,[1]Specials!$AU$27,[1]Specials!$AX$27,[1]Specials!$BA$27,[1]Specials!$BD$27)/1000/AA43</f>
        <v>#DIV/0!</v>
      </c>
      <c r="AB46" s="117"/>
      <c r="AC46" s="84">
        <f>-SUM('[1]Total P&amp;C'!$O$25,'[1]Total P&amp;C'!$R$25:$V$25,'[1]Total P&amp;C'!$Y$25,'[1]Total P&amp;C'!$AB$25,'[1]Total P&amp;C'!$AU$25,'[1]Total P&amp;C'!$AX$25,'[1]Total P&amp;C'!$BA$25,'[1]Total P&amp;C'!$BD$25)/1000/AC43</f>
        <v>0.53778295656304043</v>
      </c>
      <c r="AD46" s="60">
        <f>-SUM('[1]Total P&amp;C'!$O$26,'[1]Total P&amp;C'!$R$26:$V$26,'[1]Total P&amp;C'!$Y$26,'[1]Total P&amp;C'!$AB$26,'[1]Total P&amp;C'!$AU$26,'[1]Total P&amp;C'!$AX$26,'[1]Total P&amp;C'!$BA$26,'[1]Total P&amp;C'!$BD$26)/1000/AD43</f>
        <v>0.56809731070571234</v>
      </c>
      <c r="AE46" s="60">
        <f>-SUM('[1]Total P&amp;C'!$O$27,'[1]Total P&amp;C'!$R$27:$V$27,'[1]Total P&amp;C'!$Y$27,'[1]Total P&amp;C'!$AB$27,'[1]Total P&amp;C'!$AU$27,'[1]Total P&amp;C'!$AX$27,'[1]Total P&amp;C'!$BA$27,'[1]Total P&amp;C'!$BD$27)/1000/AE43</f>
        <v>0.53140360172766599</v>
      </c>
      <c r="AG46" s="212"/>
      <c r="AH46" s="115"/>
      <c r="AI46" s="38" t="s">
        <v>23</v>
      </c>
      <c r="AJ46" s="117"/>
      <c r="AK46" s="73">
        <f>-SUM([2]Retail!$O$25,[2]Retail!$R$25:$V$25,[2]Retail!$Y$25,[2]Retail!$AB$25,[2]Retail!$AU$25,[2]Retail!$AX$25,[2]Retail!$BA$25,[2]Retail!$BD$25)/1000/AK43</f>
        <v>0.74843438768888881</v>
      </c>
      <c r="AL46" s="42">
        <f>-SUM([2]Retail!$O$26,[2]Retail!$R$26:$V$26,[2]Retail!$Y$26,[2]Retail!$AB$26,[2]Retail!$AU$26,[2]Retail!$AX$26,[2]Retail!$BA$26,[2]Retail!$BD$26)/1000/AL43</f>
        <v>0.87258358869445241</v>
      </c>
      <c r="AM46" s="42">
        <f>-SUM([2]Retail!$O$27,[2]Retail!$R$27:$V$27,[2]Retail!$Y$27,[2]Retail!$AB$27,[2]Retail!$AU$27,[2]Retail!$AX$27,[2]Retail!$BA$27,[2]Retail!$BD$27)/1000/AM43</f>
        <v>0.72302584608027665</v>
      </c>
      <c r="AN46" s="117"/>
      <c r="AO46" s="73">
        <f>-SUM([2]SME!$O$25,[2]SME!$R$25:$V$25,[2]SME!$Y$25,[2]SME!$AB$25,[2]SME!$AU$25,[2]SME!$AX$25,[2]SME!$BA$25,[2]SME!$BD$25)/1000/AO43</f>
        <v>0.8618657908521461</v>
      </c>
      <c r="AP46" s="42">
        <f>-SUM([2]SME!$O$26,[2]SME!$R$26:$V$26,[2]SME!$Y$26,[2]SME!$AB$26,[2]SME!$AU$26,[2]SME!$AX$26,[2]SME!$BA$26,[2]SME!$BD$26)/1000/AP43</f>
        <v>0.71281519641814495</v>
      </c>
      <c r="AQ46" s="42">
        <f>-SUM([2]SME!$O$27,[2]SME!$R$27:$V$27,[2]SME!$Y$27,[2]SME!$AB$27,[2]SME!$AU$27,[2]SME!$AX$27,[2]SME!$BA$27,[2]SME!$BD$27)/1000/AQ43</f>
        <v>0.62701438124548436</v>
      </c>
      <c r="AR46" s="117"/>
      <c r="AS46" s="74">
        <f>-SUM([2]MidCorp!$O$25,[2]MidCorp!$R$25:$V$25,[2]MidCorp!$Y$25,[2]MidCorp!$AB$25,[2]MidCorp!$AU$25,[2]MidCorp!$AX$25,[2]MidCorp!$BA$25,[2]MidCorp!$BD$25)/1000/AS43</f>
        <v>0.52486464232203855</v>
      </c>
      <c r="AT46" s="42">
        <f>-SUM([2]MidCorp!$O$26,[2]MidCorp!$R$26:$V$26,[2]MidCorp!$Y$26,[2]MidCorp!$AB$26,[2]MidCorp!$AU$26,[2]MidCorp!$AX$26,[2]MidCorp!$BA$26,[2]MidCorp!$BD$26)/1000/AT43</f>
        <v>0.65582275190229844</v>
      </c>
      <c r="AU46" s="42">
        <f>-SUM([2]MidCorp!$O$27,[2]MidCorp!$R$27:$V$27,[2]MidCorp!$Y$27,[2]MidCorp!$AB$27,[2]MidCorp!$AU$27,[2]MidCorp!$AX$27,[2]MidCorp!$BA$27,[2]MidCorp!$BD$27)/1000/AU43</f>
        <v>0.58642516472480821</v>
      </c>
      <c r="AV46" s="117"/>
      <c r="AW46" s="97"/>
      <c r="AX46" s="42"/>
      <c r="AY46" s="42"/>
      <c r="AZ46" s="117"/>
      <c r="BA46" s="97"/>
      <c r="BB46" s="42"/>
      <c r="BC46" s="42"/>
      <c r="BD46" s="117"/>
      <c r="BE46" s="97"/>
      <c r="BF46" s="42"/>
      <c r="BG46" s="42"/>
      <c r="BH46" s="117"/>
      <c r="BI46" s="84">
        <f>-SUM('[2]Total P&amp;C'!$O$25,'[2]Total P&amp;C'!$R$25:$V$25,'[2]Total P&amp;C'!$Y$25,'[2]Total P&amp;C'!$AB$25,'[2]Total P&amp;C'!$AU$25,'[2]Total P&amp;C'!$AX$25,'[2]Total P&amp;C'!$BA$25,'[2]Total P&amp;C'!$BD$25)/1000/BI43</f>
        <v>0.69652202084051884</v>
      </c>
      <c r="BJ46" s="60">
        <f>-SUM('[2]Total P&amp;C'!$O$26,'[2]Total P&amp;C'!$R$26:$V$26,'[2]Total P&amp;C'!$Y$26,'[2]Total P&amp;C'!$AB$26,'[2]Total P&amp;C'!$AU$26,'[2]Total P&amp;C'!$AX$26,'[2]Total P&amp;C'!$BA$26,'[2]Total P&amp;C'!$BD$26)/1000/BJ43</f>
        <v>0.76103592089130134</v>
      </c>
      <c r="BK46" s="60">
        <f>-SUM('[2]Total P&amp;C'!$O$27,'[2]Total P&amp;C'!$R$27:$V$27,'[2]Total P&amp;C'!$Y$27,'[2]Total P&amp;C'!$AB$27,'[2]Total P&amp;C'!$AU$27,'[2]Total P&amp;C'!$AX$27,'[2]Total P&amp;C'!$BA$27,'[2]Total P&amp;C'!$BD$27)/1000/BK43</f>
        <v>0.65870964936649801</v>
      </c>
      <c r="BM46" s="84">
        <f>-SUM('[3]Total P&amp;C'!$O$25,'[3]Total P&amp;C'!$R$25:$V$25,'[3]Total P&amp;C'!$Y$25,'[3]Total P&amp;C'!$AB$25,'[3]Total P&amp;C'!$AU$25,'[3]Total P&amp;C'!$AX$25,'[3]Total P&amp;C'!$BA$25,'[3]Total P&amp;C'!$BD$25)/1000/BM43</f>
        <v>0.56690753886252343</v>
      </c>
      <c r="BN46" s="60">
        <f>-SUM('[3]Total P&amp;C'!$O$26,'[3]Total P&amp;C'!$R$26:$V$26,'[3]Total P&amp;C'!$Y$26,'[3]Total P&amp;C'!$AB$26,'[3]Total P&amp;C'!$AU$26,'[3]Total P&amp;C'!$AX$26,'[3]Total P&amp;C'!$BA$26,'[3]Total P&amp;C'!$BD$26)/1000/BN43</f>
        <v>0.60602172057284509</v>
      </c>
      <c r="BO46" s="60">
        <f>-SUM('[3]Total P&amp;C'!$O$27,'[3]Total P&amp;C'!$R$27:$V$27,'[3]Total P&amp;C'!$Y$27,'[3]Total P&amp;C'!$AB$27,'[3]Total P&amp;C'!$AU$27,'[3]Total P&amp;C'!$AX$27,'[3]Total P&amp;C'!$BA$27,'[3]Total P&amp;C'!$BD$27)/1000/BO43</f>
        <v>0.55445737494954739</v>
      </c>
    </row>
    <row r="47" spans="1:67" ht="14.5" hidden="1" outlineLevel="1" x14ac:dyDescent="0.3">
      <c r="A47" s="214"/>
      <c r="B47" s="115"/>
      <c r="C47" s="38" t="s">
        <v>24</v>
      </c>
      <c r="D47" s="134"/>
      <c r="E47" s="74">
        <f>-([1]Retail!$P$25+[1]Retail!$W$25+[1]Retail!$AV$25+[1]Retail!$AY$25)/1000/E43</f>
        <v>0</v>
      </c>
      <c r="F47" s="42">
        <f>-([1]Retail!$P$26+[1]Retail!$W$26+[1]Retail!$AV$26+[1]Retail!$AY$26)/1000/F43</f>
        <v>0</v>
      </c>
      <c r="G47" s="42" t="e">
        <f>-([1]Retail!$P$27+[1]Retail!$W$27+[1]Retail!$AV$27+[1]Retail!$AY$27)/1000/G43</f>
        <v>#DIV/0!</v>
      </c>
      <c r="H47" s="134"/>
      <c r="I47" s="74">
        <f>-([1]SME!$P$25+[1]SME!$W$25+[1]SME!$AV$25+[1]SME!$AY$25)/1000/I43</f>
        <v>0</v>
      </c>
      <c r="J47" s="42">
        <f>-([1]SME!$P$26+[1]SME!$W$26+[1]SME!$AV$26+[1]SME!$AY$26)/1000/J43</f>
        <v>0</v>
      </c>
      <c r="K47" s="42">
        <f>-([1]SME!$P$27+[1]SME!$W$27+[1]SME!$AV$27+[1]SME!$AY$27)/1000/K43</f>
        <v>2.265224567202518E-2</v>
      </c>
      <c r="L47" s="134"/>
      <c r="M47" s="74">
        <f>-([1]MidCorp!$P$25+[1]MidCorp!$W$25+[1]MidCorp!$AV$25+[1]MidCorp!$AY$25)/1000/M43</f>
        <v>0</v>
      </c>
      <c r="N47" s="42">
        <f>-([1]MidCorp!$P$26+[1]MidCorp!$W$26+[1]MidCorp!$AV$26+[1]MidCorp!$AY$26)/1000/N43</f>
        <v>0</v>
      </c>
      <c r="O47" s="42">
        <f>-([1]MidCorp!$P$27+[1]MidCorp!$W$27+[1]MidCorp!$AV$27+[1]MidCorp!$AY$27)/1000/O43</f>
        <v>2.2356754717370492E-2</v>
      </c>
      <c r="P47" s="134"/>
      <c r="Q47" s="74">
        <f>-([1]MGA!$P$25+[1]MGA!$W$25+[1]MGA!$AV$25+[1]MGA!$AY$25)/1000/Q43</f>
        <v>1.9783127917926983E-4</v>
      </c>
      <c r="R47" s="42">
        <f>-([1]MGA!$P$26+[1]MGA!$W$26+[1]MGA!$AV$26+[1]MGA!$AY$26)/1000/R43</f>
        <v>0</v>
      </c>
      <c r="S47" s="42">
        <f>-([1]MGA!$P$27+[1]MGA!$W$27+[1]MGA!$AV$27+[1]MGA!$AY$27)/1000/S43</f>
        <v>2.6024796347532072E-2</v>
      </c>
      <c r="T47" s="134"/>
      <c r="U47" s="74">
        <f>-([1]Bancassurance!$P$25+[1]Bancassurance!$W$25+[1]Bancassurance!$AV$25+[1]Bancassurance!$AY$25)/1000/U43</f>
        <v>0</v>
      </c>
      <c r="V47" s="42" t="e">
        <f>-([1]Bancassurance!$P$26+[1]Bancassurance!$W$26+[1]Bancassurance!$AV$26+[1]Bancassurance!$AY$26)/1000/V43</f>
        <v>#DIV/0!</v>
      </c>
      <c r="W47" s="42" t="e">
        <f>-([1]Bancassurance!$P$27+[1]Bancassurance!$W$27+[1]Bancassurance!$AV$27+[1]Bancassurance!$AY$27)/1000/W43</f>
        <v>#DIV/0!</v>
      </c>
      <c r="X47" s="134"/>
      <c r="Y47" s="74">
        <f>-([1]Specials!$P$25+[1]Specials!$W$25+[1]Specials!$AV$25+[1]Specials!$AY$25)/1000/Y43</f>
        <v>0</v>
      </c>
      <c r="Z47" s="42">
        <f>-([1]Specials!$P$26+[1]Specials!$W$26+[1]Specials!$AV$26+[1]Specials!$AY$26)/1000/Z43</f>
        <v>0</v>
      </c>
      <c r="AA47" s="42" t="e">
        <f>-([1]Specials!$P$27+[1]Specials!$W$27+[1]Specials!$AV$27+[1]Specials!$AY$27)/1000/AA43</f>
        <v>#DIV/0!</v>
      </c>
      <c r="AB47" s="134"/>
      <c r="AC47" s="85">
        <f>-('[1]Total P&amp;C'!$P$25+'[1]Total P&amp;C'!$W$25+'[1]Total P&amp;C'!$AV$25+'[1]Total P&amp;C'!$AY$25)/1000/AC43</f>
        <v>5.0881605779420905E-5</v>
      </c>
      <c r="AD47" s="60">
        <f>-('[1]Total P&amp;C'!$P$26+'[1]Total P&amp;C'!$W$26+'[1]Total P&amp;C'!$AV$26+'[1]Total P&amp;C'!$AY$26)/1000/AD43</f>
        <v>0</v>
      </c>
      <c r="AE47" s="60">
        <f>-('[1]Total P&amp;C'!$P$27+'[1]Total P&amp;C'!$W$27+'[1]Total P&amp;C'!$AV$27+'[1]Total P&amp;C'!$AY$27)/1000/AE43</f>
        <v>2.3455650316358937E-2</v>
      </c>
      <c r="AG47" s="212"/>
      <c r="AH47" s="115"/>
      <c r="AI47" s="38" t="s">
        <v>24</v>
      </c>
      <c r="AJ47" s="134"/>
      <c r="AK47" s="74">
        <f>-([2]Retail!$P$25+[2]Retail!$W$25+[2]Retail!$AV$25+[2]Retail!$AY$25)/1000/AK43</f>
        <v>1.554692852748477E-3</v>
      </c>
      <c r="AL47" s="42">
        <f>-([2]Retail!$P$26+[2]Retail!$W$26+[2]Retail!$AV$26+[2]Retail!$AY$26)/1000/AL43</f>
        <v>0</v>
      </c>
      <c r="AM47" s="42">
        <f>-([2]Retail!$P$27+[2]Retail!$W$27+[2]Retail!$AV$27+[2]Retail!$AY$27)/1000/AM43</f>
        <v>2.2574742098780423E-2</v>
      </c>
      <c r="AN47" s="134"/>
      <c r="AO47" s="74">
        <f>-([2]SME!$P$25+[2]SME!$W$25+[2]SME!$AV$25+[2]SME!$AY$25)/1000/AO43</f>
        <v>5.5018159166776055E-3</v>
      </c>
      <c r="AP47" s="42">
        <f>-([2]SME!$P$26+[2]SME!$W$26+[2]SME!$AV$26+[2]SME!$AY$26)/1000/AP43</f>
        <v>0</v>
      </c>
      <c r="AQ47" s="42">
        <f>-([2]SME!$P$27+[2]SME!$W$27+[2]SME!$AV$27+[2]SME!$AY$27)/1000/AQ43</f>
        <v>2.2651593343080031E-2</v>
      </c>
      <c r="AR47" s="134"/>
      <c r="AS47" s="74">
        <f>-([2]MidCorp!$P$25+[2]MidCorp!$W$25+[2]MidCorp!$AV$25+[2]MidCorp!$AY$25)/1000/AS43</f>
        <v>9.5778695887438047E-4</v>
      </c>
      <c r="AT47" s="42">
        <f>-([2]MidCorp!$P$26+[2]MidCorp!$W$26+[2]MidCorp!$AV$26+[2]MidCorp!$AY$26)/1000/AT43</f>
        <v>0</v>
      </c>
      <c r="AU47" s="42">
        <f>-([2]MidCorp!$P$27+[2]MidCorp!$W$27+[2]MidCorp!$AV$27+[2]MidCorp!$AY$27)/1000/AU43</f>
        <v>2.2392592783390057E-2</v>
      </c>
      <c r="AV47" s="134"/>
      <c r="AW47" s="97"/>
      <c r="AX47" s="42"/>
      <c r="AY47" s="42"/>
      <c r="AZ47" s="134"/>
      <c r="BA47" s="97"/>
      <c r="BB47" s="42"/>
      <c r="BC47" s="42"/>
      <c r="BD47" s="134"/>
      <c r="BE47" s="97"/>
      <c r="BF47" s="42"/>
      <c r="BG47" s="42"/>
      <c r="BH47" s="134"/>
      <c r="BI47" s="85">
        <f>-('[2]Total P&amp;C'!$P$25+'[2]Total P&amp;C'!$W$25+'[2]Total P&amp;C'!$AV$25+'[2]Total P&amp;C'!$AY$25)/1000/BI43</f>
        <v>2.1250481011265403E-3</v>
      </c>
      <c r="BJ47" s="60">
        <f>-('[2]Total P&amp;C'!$P$26+'[2]Total P&amp;C'!$W$26+'[2]Total P&amp;C'!$AV$26+'[2]Total P&amp;C'!$AY$26)/1000/BJ43</f>
        <v>0</v>
      </c>
      <c r="BK47" s="60">
        <f>-('[2]Total P&amp;C'!$P$27+'[2]Total P&amp;C'!$W$27+'[2]Total P&amp;C'!$AV$27+'[2]Total P&amp;C'!$AY$27)/1000/BK43</f>
        <v>2.2529714203001129E-2</v>
      </c>
      <c r="BM47" s="85">
        <f>-('[3]Total P&amp;C'!$P$25+'[3]Total P&amp;C'!$W$25+'[3]Total P&amp;C'!$AV$25+'[3]Total P&amp;C'!$AY$25)/1000/BM43</f>
        <v>4.3143842127740546E-4</v>
      </c>
      <c r="BN47" s="60">
        <f>-('[3]Total P&amp;C'!$P$26+'[3]Total P&amp;C'!$W$26+'[3]Total P&amp;C'!$AV$26+'[3]Total P&amp;C'!$AY$26)/1000/BN43</f>
        <v>0</v>
      </c>
      <c r="BO47" s="60">
        <f>-('[3]Total P&amp;C'!$P$27+'[3]Total P&amp;C'!$W$27+'[3]Total P&amp;C'!$AV$27+'[3]Total P&amp;C'!$AY$27)/1000/BO43</f>
        <v>2.3287973119782538E-2</v>
      </c>
    </row>
    <row r="48" spans="1:67" ht="14.5" hidden="1" outlineLevel="1" x14ac:dyDescent="0.3">
      <c r="A48" s="214"/>
      <c r="B48" s="115"/>
      <c r="C48" s="38" t="s">
        <v>25</v>
      </c>
      <c r="D48" s="134"/>
      <c r="E48" s="97">
        <f>-([1]Retail!$Q$25+[1]Retail!$X$25+[1]Retail!$AW$25+[1]Retail!$AZ$25)/1000/E43</f>
        <v>0</v>
      </c>
      <c r="F48" s="42">
        <f>-([1]Retail!$Q$26+[1]Retail!$X$26+[1]Retail!$AW$26+[1]Retail!$AZ$26)/1000/F43</f>
        <v>0</v>
      </c>
      <c r="G48" s="42" t="e">
        <f>-([1]Retail!$Q$27+[1]Retail!$X$27+[1]Retail!$AW$27+[1]Retail!$AZ$27)/1000/G43</f>
        <v>#DIV/0!</v>
      </c>
      <c r="H48" s="134"/>
      <c r="I48" s="97">
        <f>-([1]SME!$Q$25+[1]SME!$X$25+[1]SME!$AW$25+[1]SME!$AZ$25)/1000/I43</f>
        <v>0</v>
      </c>
      <c r="J48" s="42">
        <f>-([1]SME!$Q$26+[1]SME!$X$26+[1]SME!$AW$26+[1]SME!$AZ$26)/1000/J43</f>
        <v>0</v>
      </c>
      <c r="K48" s="42">
        <f>-([1]SME!$Q$27+[1]SME!$X$27+[1]SME!$AW$27+[1]SME!$AZ$27)/1000/K43</f>
        <v>0</v>
      </c>
      <c r="L48" s="134"/>
      <c r="M48" s="97">
        <f>-([1]MidCorp!$Q$25+[1]MidCorp!$X$25+[1]MidCorp!$AW$25+[1]MidCorp!$AZ$25)/1000/M43</f>
        <v>0</v>
      </c>
      <c r="N48" s="42">
        <f>-([1]MidCorp!$Q$26+[1]MidCorp!$X$26+[1]MidCorp!$AW$26+[1]MidCorp!$AZ$26)/1000/N43</f>
        <v>0</v>
      </c>
      <c r="O48" s="42">
        <f>-([1]MidCorp!$Q$27+[1]MidCorp!$X$27+[1]MidCorp!$AW$27+[1]MidCorp!$AZ$27)/1000/O43</f>
        <v>0</v>
      </c>
      <c r="P48" s="134"/>
      <c r="Q48" s="97">
        <f>-([1]MGA!$Q$25+[1]MGA!$X$25+[1]MGA!$AW$25+[1]MGA!$AZ$25)/1000/Q43</f>
        <v>0</v>
      </c>
      <c r="R48" s="42">
        <f>-([1]MGA!$Q$26+[1]MGA!$X$26+[1]MGA!$AW$26+[1]MGA!$AZ$26)/1000/R43</f>
        <v>0</v>
      </c>
      <c r="S48" s="42">
        <f>-([1]MGA!$Q$27+[1]MGA!$X$27+[1]MGA!$AW$27+[1]MGA!$AZ$27)/1000/S43</f>
        <v>0</v>
      </c>
      <c r="T48" s="134"/>
      <c r="U48" s="97">
        <f>-([1]Bancassurance!$Q$25+[1]Bancassurance!$X$25+[1]Bancassurance!$AW$25+[1]Bancassurance!$AZ$25)/1000/U43</f>
        <v>0</v>
      </c>
      <c r="V48" s="42" t="e">
        <f>-([1]Bancassurance!$Q$26+[1]Bancassurance!$X$26+[1]Bancassurance!$AW$26+[1]Bancassurance!$AZ$26)/1000/V43</f>
        <v>#DIV/0!</v>
      </c>
      <c r="W48" s="42" t="e">
        <f>-([1]Bancassurance!$Q$27+[1]Bancassurance!$X$27+[1]Bancassurance!$AW$27+[1]Bancassurance!$AZ$27)/1000/W43</f>
        <v>#DIV/0!</v>
      </c>
      <c r="X48" s="134"/>
      <c r="Y48" s="97">
        <f>-([1]Specials!$Q$25+[1]Specials!$X$25+[1]Specials!$AW$25+[1]Specials!$AZ$25)/1000/Y43</f>
        <v>0</v>
      </c>
      <c r="Z48" s="42">
        <f>-([1]Specials!$Q$26+[1]Specials!$X$26+[1]Specials!$AW$26+[1]Specials!$AZ$26)/1000/Z43</f>
        <v>0</v>
      </c>
      <c r="AA48" s="42" t="e">
        <f>-([1]Specials!$Q$27+[1]Specials!$X$27+[1]Specials!$AW$27+[1]Specials!$AZ$27)/1000/AA43</f>
        <v>#DIV/0!</v>
      </c>
      <c r="AB48" s="134"/>
      <c r="AC48" s="99">
        <f>-('[1]Total P&amp;C'!$Q$25+'[1]Total P&amp;C'!$X$25+'[1]Total P&amp;C'!$AW$25+'[1]Total P&amp;C'!$AZ$25)/1000/AC43</f>
        <v>0</v>
      </c>
      <c r="AD48" s="60">
        <f>-('[1]Total P&amp;C'!$Q$26+'[1]Total P&amp;C'!$X$26+'[1]Total P&amp;C'!$AW$26+'[1]Total P&amp;C'!$AZ$26)/1000/AD43</f>
        <v>0</v>
      </c>
      <c r="AE48" s="60">
        <f>-('[1]Total P&amp;C'!$Q$27+'[1]Total P&amp;C'!$X$27+'[1]Total P&amp;C'!$AW$27+'[1]Total P&amp;C'!$AZ$27)/1000/AE43</f>
        <v>0</v>
      </c>
      <c r="AG48" s="212"/>
      <c r="AH48" s="115"/>
      <c r="AI48" s="38" t="s">
        <v>25</v>
      </c>
      <c r="AJ48" s="134"/>
      <c r="AK48" s="97">
        <f>-([2]Retail!$Q$25+[2]Retail!$X$25+[2]Retail!$AW$25+[2]Retail!$AZ$25)/1000/AK43</f>
        <v>0</v>
      </c>
      <c r="AL48" s="42">
        <f>-([2]Retail!$Q$26+[2]Retail!$X$26+[2]Retail!$AW$26+[2]Retail!$AZ$26)/1000/AL43</f>
        <v>0</v>
      </c>
      <c r="AM48" s="42">
        <f>-([2]Retail!$Q$27+[2]Retail!$X$27+[2]Retail!$AW$27+[2]Retail!$AZ$27)/1000/AM43</f>
        <v>0</v>
      </c>
      <c r="AN48" s="134"/>
      <c r="AO48" s="97">
        <f>-([2]SME!$Q$25+[2]SME!$X$25+[2]SME!$AW$25+[2]SME!$AZ$25)/1000/AO43</f>
        <v>0</v>
      </c>
      <c r="AP48" s="42">
        <f>-([2]SME!$Q$26+[2]SME!$X$26+[2]SME!$AW$26+[2]SME!$AZ$26)/1000/AP43</f>
        <v>0</v>
      </c>
      <c r="AQ48" s="42">
        <f>-([2]SME!$Q$27+[2]SME!$X$27+[2]SME!$AW$27+[2]SME!$AZ$27)/1000/AQ43</f>
        <v>0</v>
      </c>
      <c r="AR48" s="134"/>
      <c r="AS48" s="97">
        <f>-([2]MidCorp!$Q$25+[2]MidCorp!$X$25+[2]MidCorp!$AW$25+[2]MidCorp!$AZ$25)/1000/AS43</f>
        <v>0</v>
      </c>
      <c r="AT48" s="42">
        <f>-([2]MidCorp!$Q$26+[2]MidCorp!$X$26+[2]MidCorp!$AW$26+[2]MidCorp!$AZ$26)/1000/AT43</f>
        <v>0</v>
      </c>
      <c r="AU48" s="42">
        <f>-([2]MidCorp!$Q$27+[2]MidCorp!$X$27+[2]MidCorp!$AW$27+[2]MidCorp!$AZ$27)/1000/AU43</f>
        <v>0</v>
      </c>
      <c r="AV48" s="134"/>
      <c r="AW48" s="97"/>
      <c r="AX48" s="42"/>
      <c r="AY48" s="42"/>
      <c r="AZ48" s="134"/>
      <c r="BA48" s="97"/>
      <c r="BB48" s="42"/>
      <c r="BC48" s="42"/>
      <c r="BD48" s="134"/>
      <c r="BE48" s="97"/>
      <c r="BF48" s="42"/>
      <c r="BG48" s="42"/>
      <c r="BH48" s="134"/>
      <c r="BI48" s="99">
        <f>-('[2]Total P&amp;C'!$Q$25+'[2]Total P&amp;C'!$X$25+'[2]Total P&amp;C'!$AW$25+'[2]Total P&amp;C'!$AZ$25)/1000/BI43</f>
        <v>0</v>
      </c>
      <c r="BJ48" s="60">
        <f>-('[2]Total P&amp;C'!$Q$26+'[2]Total P&amp;C'!$X$26+'[2]Total P&amp;C'!$AW$26+'[2]Total P&amp;C'!$AZ$26)/1000/BJ43</f>
        <v>0</v>
      </c>
      <c r="BK48" s="60">
        <f>-('[2]Total P&amp;C'!$Q$27+'[2]Total P&amp;C'!$X$27+'[2]Total P&amp;C'!$AW$27+'[2]Total P&amp;C'!$AZ$27)/1000/BK43</f>
        <v>0</v>
      </c>
      <c r="BM48" s="99">
        <f>-('[3]Total P&amp;C'!$Q$25+'[3]Total P&amp;C'!$X$25+'[3]Total P&amp;C'!$AW$25+'[3]Total P&amp;C'!$AZ$25)/1000/BM43</f>
        <v>0</v>
      </c>
      <c r="BN48" s="60">
        <f>-('[3]Total P&amp;C'!$Q$26+'[3]Total P&amp;C'!$X$26+'[3]Total P&amp;C'!$AW$26+'[3]Total P&amp;C'!$AZ$26)/1000/BN43</f>
        <v>0</v>
      </c>
      <c r="BO48" s="60">
        <f>-('[3]Total P&amp;C'!$Q$27+'[3]Total P&amp;C'!$X$27+'[3]Total P&amp;C'!$AW$27+'[3]Total P&amp;C'!$AZ$27)/1000/BO43</f>
        <v>0</v>
      </c>
    </row>
    <row r="49" spans="1:67" ht="14.5" hidden="1" outlineLevel="1" x14ac:dyDescent="0.3">
      <c r="A49" s="214"/>
      <c r="B49" s="115"/>
      <c r="C49" s="38" t="s">
        <v>53</v>
      </c>
      <c r="D49" s="134"/>
      <c r="E49" s="73">
        <f>-[1]Retail!$AT$25/1000/E43</f>
        <v>9.1173392472127759E-2</v>
      </c>
      <c r="F49" s="42">
        <f>-[1]Retail!$AT$26/1000/F43</f>
        <v>9.2510089624629657E-2</v>
      </c>
      <c r="G49" s="42" t="e">
        <f>-[1]Retail!$AT$27/1000/G43</f>
        <v>#DIV/0!</v>
      </c>
      <c r="H49" s="134"/>
      <c r="I49" s="73">
        <f>-[1]SME!$AT$25/1000/I43</f>
        <v>1.9387979946376439E-2</v>
      </c>
      <c r="J49" s="42">
        <f>-[1]SME!$AT$26/1000/J43</f>
        <v>2.0499259607504872E-2</v>
      </c>
      <c r="K49" s="42">
        <f>-[1]SME!$AT$27/1000/K43</f>
        <v>1.605015071281907E-2</v>
      </c>
      <c r="L49" s="134"/>
      <c r="M49" s="74">
        <f>-[1]MidCorp!$AT$25/1000/M43</f>
        <v>4.1747892445237536E-2</v>
      </c>
      <c r="N49" s="42">
        <f>-[1]MidCorp!$AT$26/1000/N43</f>
        <v>5.7956777320460333E-2</v>
      </c>
      <c r="O49" s="42">
        <f>-[1]MidCorp!$AT$27/1000/O43</f>
        <v>8.8206755660422645E-2</v>
      </c>
      <c r="P49" s="134"/>
      <c r="Q49" s="74">
        <f>-[1]MGA!$AT$25/1000/Q43</f>
        <v>1.4536839449562968E-2</v>
      </c>
      <c r="R49" s="42">
        <f>-[1]MGA!$AT$26/1000/R43</f>
        <v>1.7612788156246801E-2</v>
      </c>
      <c r="S49" s="42">
        <f>-[1]MGA!$AT$27/1000/S43</f>
        <v>1.9047901049855074E-2</v>
      </c>
      <c r="T49" s="134"/>
      <c r="U49" s="74">
        <f>-[1]Bancassurance!$AT$25/1000/U43</f>
        <v>0</v>
      </c>
      <c r="V49" s="42" t="e">
        <f>-[1]Bancassurance!$AT$26/1000/V43</f>
        <v>#DIV/0!</v>
      </c>
      <c r="W49" s="42" t="e">
        <f>-[1]Bancassurance!$AT$27/1000/W43</f>
        <v>#DIV/0!</v>
      </c>
      <c r="X49" s="134"/>
      <c r="Y49" s="74">
        <f>-[1]Specials!$AT$25/1000/Y43</f>
        <v>-16.377895173853261</v>
      </c>
      <c r="Z49" s="42">
        <f>-[1]Specials!$AT$26/1000/Z43</f>
        <v>-29.012490507869948</v>
      </c>
      <c r="AA49" s="42" t="e">
        <f>-[1]Specials!$AT$27/1000/AA43</f>
        <v>#DIV/0!</v>
      </c>
      <c r="AB49" s="134"/>
      <c r="AC49" s="85">
        <f>-'[1]Total P&amp;C'!$AT$25/1000/AC43</f>
        <v>2.912683661633142E-2</v>
      </c>
      <c r="AD49" s="60">
        <f>-'[1]Total P&amp;C'!$AT$26/1000/AD43</f>
        <v>4.0148731376026515E-2</v>
      </c>
      <c r="AE49" s="60">
        <f>-'[1]Total P&amp;C'!$AT$27/1000/AE43</f>
        <v>5.6713232043344532E-2</v>
      </c>
      <c r="AG49" s="212"/>
      <c r="AH49" s="115"/>
      <c r="AI49" s="38" t="s">
        <v>53</v>
      </c>
      <c r="AJ49" s="134"/>
      <c r="AK49" s="74">
        <f>-[2]Retail!$AT$25/1000/AK43</f>
        <v>9.6767901325984784E-3</v>
      </c>
      <c r="AL49" s="42">
        <f>-[2]Retail!$AT$26/1000/AL43</f>
        <v>1.4976978262223363E-2</v>
      </c>
      <c r="AM49" s="42">
        <f>-[2]Retail!$AT$27/1000/AM43</f>
        <v>1.0633550564587237E-2</v>
      </c>
      <c r="AN49" s="134"/>
      <c r="AO49" s="73">
        <f>-[2]SME!$AT$25/1000/AO43</f>
        <v>9.5184804147596721E-3</v>
      </c>
      <c r="AP49" s="42">
        <f>-[2]SME!$AT$26/1000/AP43</f>
        <v>1.4182542552310403E-2</v>
      </c>
      <c r="AQ49" s="42">
        <f>-[2]SME!$AT$27/1000/AQ43</f>
        <v>9.2949069087433379E-3</v>
      </c>
      <c r="AR49" s="134"/>
      <c r="AS49" s="74">
        <f>-[2]MidCorp!$AT$25/1000/AS43</f>
        <v>2.9097934068096284E-3</v>
      </c>
      <c r="AT49" s="42">
        <f>-[2]MidCorp!$AT$26/1000/AT43</f>
        <v>3.6301982316168315E-3</v>
      </c>
      <c r="AU49" s="42">
        <f>-[2]MidCorp!$AT$27/1000/AU43</f>
        <v>5.1389026243160822E-2</v>
      </c>
      <c r="AV49" s="134"/>
      <c r="AW49" s="97"/>
      <c r="AX49" s="42"/>
      <c r="AY49" s="42"/>
      <c r="AZ49" s="134"/>
      <c r="BA49" s="97"/>
      <c r="BB49" s="42"/>
      <c r="BC49" s="42"/>
      <c r="BD49" s="134"/>
      <c r="BE49" s="97"/>
      <c r="BF49" s="42"/>
      <c r="BG49" s="42"/>
      <c r="BH49" s="134"/>
      <c r="BI49" s="85">
        <f>-'[2]Total P&amp;C'!$AT$25/1000/BI43</f>
        <v>7.4067924883261891E-3</v>
      </c>
      <c r="BJ49" s="60">
        <f>-'[2]Total P&amp;C'!$AT$26/1000/BJ43</f>
        <v>1.054465249877035E-2</v>
      </c>
      <c r="BK49" s="60">
        <f>-'[2]Total P&amp;C'!$AT$27/1000/BK43</f>
        <v>2.386108769464735E-2</v>
      </c>
      <c r="BM49" s="85">
        <f>-'[3]Total P&amp;C'!$AT$25/1000/BM43</f>
        <v>2.5141760758452387E-2</v>
      </c>
      <c r="BN49" s="60">
        <f>-'[3]Total P&amp;C'!$AT$26/1000/BN43</f>
        <v>3.4329692770948758E-2</v>
      </c>
      <c r="BO49" s="60">
        <f>-'[3]Total P&amp;C'!$AT$27/1000/BO43</f>
        <v>5.0764057595512946E-2</v>
      </c>
    </row>
    <row r="50" spans="1:67" hidden="1" outlineLevel="1" x14ac:dyDescent="0.3">
      <c r="A50" s="214"/>
      <c r="B50" s="115"/>
      <c r="C50" s="116" t="s">
        <v>27</v>
      </c>
      <c r="D50" s="134"/>
      <c r="E50" s="126">
        <f>-([1]Retail!$Z$25+[1]Retail!$AA$25+[1]Retail!$BB$25+[1]Retail!$BC$25)/1000/E43</f>
        <v>-7.3955496442984232E-4</v>
      </c>
      <c r="F50" s="127">
        <f>-([1]Retail!$Z$26+[1]Retail!$AA$26+[1]Retail!$BB$26+[1]Retail!$BC$26)/1000/F43</f>
        <v>-6.7491299289440141E-3</v>
      </c>
      <c r="G50" s="127" t="e">
        <f>-([1]Retail!$Z$27+[1]Retail!$AA$27+[1]Retail!$BB$27+[1]Retail!$BC$27)/1000/G43</f>
        <v>#DIV/0!</v>
      </c>
      <c r="H50" s="134"/>
      <c r="I50" s="126">
        <f>-([1]SME!$Z$25+[1]SME!$AA$25+[1]SME!$BB$25+[1]SME!$BC$25)/1000/I43</f>
        <v>-2.7048319486892933E-3</v>
      </c>
      <c r="J50" s="127">
        <f>-([1]SME!$Z$26+[1]SME!$AA$26+[1]SME!$BB$26+[1]SME!$BC$26)/1000/J43</f>
        <v>-4.8412851049616104E-3</v>
      </c>
      <c r="K50" s="127">
        <f>-([1]SME!$Z$27+[1]SME!$AA$27+[1]SME!$BB$27+[1]SME!$BC$27)/1000/K43</f>
        <v>-1.4171823875578514E-3</v>
      </c>
      <c r="L50" s="134"/>
      <c r="M50" s="126">
        <f>-([1]MidCorp!$Z$25+[1]MidCorp!$AA$25+[1]MidCorp!$BB$25+[1]MidCorp!$BC$25)/1000/M43</f>
        <v>-3.9728331192063577E-3</v>
      </c>
      <c r="N50" s="127">
        <f>-([1]MidCorp!$Z$26+[1]MidCorp!$AA$26+[1]MidCorp!$BB$26+[1]MidCorp!$BC$26)/1000/N43</f>
        <v>-5.2091389045480392E-3</v>
      </c>
      <c r="O50" s="127">
        <f>-([1]MidCorp!$Z$27+[1]MidCorp!$AA$27+[1]MidCorp!$BB$27+[1]MidCorp!$BC$27)/1000/O43</f>
        <v>-1.5402301564971103E-3</v>
      </c>
      <c r="P50" s="134"/>
      <c r="Q50" s="126">
        <f>-([1]MGA!$Z$25+[1]MGA!$AA$25+[1]MGA!$BB$25+[1]MGA!$BC$25)/1000/Q43</f>
        <v>-6.7152539874566139E-3</v>
      </c>
      <c r="R50" s="127">
        <f>-([1]MGA!$Z$26+[1]MGA!$AA$26+[1]MGA!$BB$26+[1]MGA!$BC$26)/1000/R43</f>
        <v>-8.1649482847563661E-3</v>
      </c>
      <c r="S50" s="127">
        <f>-([1]MGA!$Z$27+[1]MGA!$AA$27+[1]MGA!$BB$27+[1]MGA!$BC$27)/1000/S43</f>
        <v>-2.6239368707895888E-3</v>
      </c>
      <c r="T50" s="134"/>
      <c r="U50" s="126">
        <f>-([1]Bancassurance!$Z$25+[1]Bancassurance!$AA$25+[1]Bancassurance!$BB$25+[1]Bancassurance!$BC$25)/1000/U43</f>
        <v>0</v>
      </c>
      <c r="V50" s="127" t="e">
        <f>-([1]Bancassurance!$Z$26+[1]Bancassurance!$AA$26+[1]Bancassurance!$BB$26+[1]Bancassurance!$BC$26)/1000/V43</f>
        <v>#DIV/0!</v>
      </c>
      <c r="W50" s="127" t="e">
        <f>-([1]Bancassurance!$Z$27+[1]Bancassurance!$AA$27+[1]Bancassurance!$BB$27+[1]Bancassurance!$BC$27)/1000/W43</f>
        <v>#DIV/0!</v>
      </c>
      <c r="X50" s="134"/>
      <c r="Y50" s="126">
        <f>-([1]Specials!$Z$25+[1]Specials!$AA$25+[1]Specials!$BB$25+[1]Specials!$BC$25)/1000/Y43</f>
        <v>0</v>
      </c>
      <c r="Z50" s="127">
        <f>-([1]Specials!$Z$26+[1]Specials!$AA$26+[1]Specials!$BB$26+[1]Specials!$BC$26)/1000/Z43</f>
        <v>0</v>
      </c>
      <c r="AA50" s="127" t="e">
        <f>-([1]Specials!$Z$27+[1]Specials!$AA$27+[1]Specials!$BB$27+[1]Specials!$BC$27)/1000/AA43</f>
        <v>#DIV/0!</v>
      </c>
      <c r="AB50" s="134"/>
      <c r="AC50" s="132">
        <f>-('[1]Total P&amp;C'!$Z$25+'[1]Total P&amp;C'!$AA$25+'[1]Total P&amp;C'!$BB$25+'[1]Total P&amp;C'!$BC$25)/1000/AC43</f>
        <v>-4.4346456138109848E-3</v>
      </c>
      <c r="AD50" s="130">
        <f>-('[1]Total P&amp;C'!$Z$26+'[1]Total P&amp;C'!$AA$26+'[1]Total P&amp;C'!$BB$26+'[1]Total P&amp;C'!$BC$26)/1000/AD43</f>
        <v>-5.8543198042492238E-3</v>
      </c>
      <c r="AE50" s="130">
        <f>-('[1]Total P&amp;C'!$Z$27+'[1]Total P&amp;C'!$AA$27+'[1]Total P&amp;C'!$BB$27+'[1]Total P&amp;C'!$BC$27)/1000/AE43</f>
        <v>-1.830856444529726E-3</v>
      </c>
      <c r="AG50" s="212"/>
      <c r="AH50" s="115"/>
      <c r="AI50" s="116" t="s">
        <v>27</v>
      </c>
      <c r="AJ50" s="134"/>
      <c r="AK50" s="126">
        <f>-([2]Retail!$Z$25+[2]Retail!$AA$25+[2]Retail!$BB$25+[2]Retail!$BC$25)/1000/AK43</f>
        <v>-5.1893932945345517E-3</v>
      </c>
      <c r="AL50" s="127">
        <f>-([2]Retail!$Z$26+[2]Retail!$AA$26+[2]Retail!$BB$26+[2]Retail!$BC$26)/1000/AL43</f>
        <v>-7.4975116631144549E-3</v>
      </c>
      <c r="AM50" s="127">
        <f>-([2]Retail!$Z$27+[2]Retail!$AA$27+[2]Retail!$BB$27+[2]Retail!$BC$27)/1000/AM43</f>
        <v>-1.0560282713015299E-3</v>
      </c>
      <c r="AN50" s="134"/>
      <c r="AO50" s="126">
        <f>-([2]SME!$Z$25+[2]SME!$AA$25+[2]SME!$BB$25+[2]SME!$BC$25)/1000/AO43</f>
        <v>-7.3495595498543351E-3</v>
      </c>
      <c r="AP50" s="127">
        <f>-([2]SME!$Z$26+[2]SME!$AA$26+[2]SME!$BB$26+[2]SME!$BC$26)/1000/AP43</f>
        <v>-6.2239415169290232E-3</v>
      </c>
      <c r="AQ50" s="127">
        <f>-([2]SME!$Z$27+[2]SME!$AA$27+[2]SME!$BB$27+[2]SME!$BC$27)/1000/AQ43</f>
        <v>-9.4741491814389212E-4</v>
      </c>
      <c r="AR50" s="134"/>
      <c r="AS50" s="126">
        <f>-([2]MidCorp!$Z$25+[2]MidCorp!$AA$25+[2]MidCorp!$BB$25+[2]MidCorp!$BC$25)/1000/AS43</f>
        <v>-4.3389597699501513E-3</v>
      </c>
      <c r="AT50" s="127">
        <f>-([2]MidCorp!$Z$26+[2]MidCorp!$AA$26+[2]MidCorp!$BB$26+[2]MidCorp!$BC$26)/1000/AT43</f>
        <v>-6.7185345145355279E-3</v>
      </c>
      <c r="AU50" s="127">
        <f>-([2]MidCorp!$Z$27+[2]MidCorp!$AA$27+[2]MidCorp!$BB$27+[2]MidCorp!$BC$27)/1000/AU43</f>
        <v>-8.6554011070895929E-4</v>
      </c>
      <c r="AV50" s="134"/>
      <c r="AW50" s="131"/>
      <c r="AX50" s="127"/>
      <c r="AY50" s="127"/>
      <c r="AZ50" s="134"/>
      <c r="BA50" s="131"/>
      <c r="BB50" s="127"/>
      <c r="BC50" s="127"/>
      <c r="BD50" s="134"/>
      <c r="BE50" s="131"/>
      <c r="BF50" s="127"/>
      <c r="BG50" s="127"/>
      <c r="BH50" s="134"/>
      <c r="BI50" s="132">
        <f>-('[2]Total P&amp;C'!$Z$25+'[2]Total P&amp;C'!$AA$25+'[2]Total P&amp;C'!$BB$25+'[2]Total P&amp;C'!$BC$25)/1000/BI43</f>
        <v>-5.3282224661866558E-3</v>
      </c>
      <c r="BJ50" s="130">
        <f>-('[2]Total P&amp;C'!$Z$26+'[2]Total P&amp;C'!$AA$26+'[2]Total P&amp;C'!$BB$26+'[2]Total P&amp;C'!$BC$26)/1000/BJ43</f>
        <v>-6.966640355348404E-3</v>
      </c>
      <c r="BK50" s="130">
        <f>-('[2]Total P&amp;C'!$Z$27+'[2]Total P&amp;C'!$AA$27+'[2]Total P&amp;C'!$BB$27+'[2]Total P&amp;C'!$BC$27)/1000/BK43</f>
        <v>-9.7136498778117267E-4</v>
      </c>
      <c r="BM50" s="132">
        <f>-('[3]Total P&amp;C'!$Z$25+'[3]Total P&amp;C'!$AA$25+'[3]Total P&amp;C'!$BB$25+'[3]Total P&amp;C'!$BC$25)/1000/BM43</f>
        <v>-4.59859424672239E-3</v>
      </c>
      <c r="BN50" s="130">
        <f>-('[3]Total P&amp;C'!$Z$26+'[3]Total P&amp;C'!$AA$26+'[3]Total P&amp;C'!$BB$26+'[3]Total P&amp;C'!$BC$26)/1000/BN43</f>
        <v>-6.0729598185156461E-3</v>
      </c>
      <c r="BO50" s="130">
        <f>-('[3]Total P&amp;C'!$Z$27+'[3]Total P&amp;C'!$AA$27+'[3]Total P&amp;C'!$BB$27+'[3]Total P&amp;C'!$BC$27)/1000/BO43</f>
        <v>-1.6752116696150316E-3</v>
      </c>
    </row>
    <row r="51" spans="1:67" hidden="1" outlineLevel="1" x14ac:dyDescent="0.3">
      <c r="A51" s="214"/>
      <c r="B51" s="115"/>
      <c r="C51" s="116" t="s">
        <v>57</v>
      </c>
      <c r="D51" s="134"/>
      <c r="E51" s="126">
        <f>-SUM([1]Retail!$AC$25:$AI$25,[1]Retail!$BE$25:$BG$25)/1000/E43</f>
        <v>0.51205032423129249</v>
      </c>
      <c r="F51" s="127">
        <f>-SUM([1]Retail!$AC$26:$AI$26,[1]Retail!$BE$26:$BG$26)/1000/F43</f>
        <v>-3.6869801724504554E-2</v>
      </c>
      <c r="G51" s="127" t="e">
        <f>-SUM([1]Retail!$AC$27:$AI$27,[1]Retail!$BE$27:$BG$27)/1000/G43</f>
        <v>#DIV/0!</v>
      </c>
      <c r="H51" s="134"/>
      <c r="I51" s="128">
        <f>-SUM([1]SME!$AC$25:$AI$25,[1]SME!$BE$25:$BG$25)/1000/I43</f>
        <v>0.14471971438971704</v>
      </c>
      <c r="J51" s="127">
        <f>-SUM([1]SME!$AC$26:$AI$26,[1]SME!$BE$26:$BG$26)/1000/J43</f>
        <v>2.78872060192479E-2</v>
      </c>
      <c r="K51" s="127">
        <f>-SUM([1]SME!$AC$27:$AI$27,[1]SME!$BE$27:$BG$27)/1000/K43</f>
        <v>-2.97142558285727E-3</v>
      </c>
      <c r="L51" s="134"/>
      <c r="M51" s="128">
        <f>-SUM([1]MidCorp!$AC$25:$AI$25,[1]MidCorp!$BE$25:$BG$25)/1000/M43</f>
        <v>0.11310328653970894</v>
      </c>
      <c r="N51" s="127">
        <f>-SUM([1]MidCorp!$AC$26:$AI$26,[1]MidCorp!$BE$26:$BG$26)/1000/N43</f>
        <v>-1.9485581482786212E-2</v>
      </c>
      <c r="O51" s="127">
        <f>-SUM([1]MidCorp!$AC$27:$AI$27,[1]MidCorp!$BE$27:$BG$27)/1000/O43</f>
        <v>-3.2364679240461853E-3</v>
      </c>
      <c r="P51" s="134"/>
      <c r="Q51" s="126">
        <f>-SUM([1]MGA!$AC$25:$AI$25,[1]MGA!$BE$25:$BG$25)/1000/Q43</f>
        <v>-0.24671051618433712</v>
      </c>
      <c r="R51" s="127">
        <f>-SUM([1]MGA!$AC$26:$AI$26,[1]MGA!$BE$26:$BG$26)/1000/R43</f>
        <v>-1.7509537547806649E-2</v>
      </c>
      <c r="S51" s="127">
        <f>-SUM([1]MGA!$AC$27:$AI$27,[1]MGA!$BE$27:$BG$27)/1000/S43</f>
        <v>-2.6930266647352458E-2</v>
      </c>
      <c r="T51" s="134"/>
      <c r="U51" s="126">
        <f>-SUM([1]Bancassurance!$AC$25:$AI$25,[1]Bancassurance!$BE$25:$BG$25)/1000/U43</f>
        <v>0</v>
      </c>
      <c r="V51" s="127" t="e">
        <f>-SUM([1]Bancassurance!$AC$26:$AI$26,[1]Bancassurance!$BE$26:$BG$26)/1000/V43</f>
        <v>#DIV/0!</v>
      </c>
      <c r="W51" s="127" t="e">
        <f>-SUM([1]Bancassurance!$AC$27:$AI$27,[1]Bancassurance!$BE$27:$BG$27)/1000/W43</f>
        <v>#DIV/0!</v>
      </c>
      <c r="X51" s="134"/>
      <c r="Y51" s="126">
        <f>-SUM([1]Specials!$AC$25:$AI$25,[1]Specials!$BE$25:$BG$25)/1000/Y43</f>
        <v>0</v>
      </c>
      <c r="Z51" s="127">
        <f>-SUM([1]Specials!$AC$26:$AI$26,[1]Specials!$BE$26:$BG$26)/1000/Z43</f>
        <v>0</v>
      </c>
      <c r="AA51" s="127" t="e">
        <f>-SUM([1]Specials!$AC$27:$AI$27,[1]Specials!$BE$27:$BG$27)/1000/AA43</f>
        <v>#DIV/0!</v>
      </c>
      <c r="AB51" s="134"/>
      <c r="AC51" s="129">
        <f>-SUM('[1]Total P&amp;C'!$AC$25:$AI$25,'[1]Total P&amp;C'!$BE$25:$BG$25)/1000/AC43</f>
        <v>3.0051723935797924E-2</v>
      </c>
      <c r="AD51" s="130">
        <f>-SUM('[1]Total P&amp;C'!$AC$26:$AI$26,'[1]Total P&amp;C'!$BE$26:$BG$26)/1000/AD43</f>
        <v>-1.0931339218236689E-2</v>
      </c>
      <c r="AE51" s="130">
        <f>-SUM('[1]Total P&amp;C'!$AC$27:$AI$27,'[1]Total P&amp;C'!$BE$27:$BG$27)/1000/AE43</f>
        <v>-9.9830611135310471E-3</v>
      </c>
      <c r="AG51" s="212"/>
      <c r="AH51" s="115"/>
      <c r="AI51" s="116" t="s">
        <v>57</v>
      </c>
      <c r="AJ51" s="134"/>
      <c r="AK51" s="126">
        <f>-SUM([2]Retail!$AC$25:$AI$25,[2]Retail!$BE$25:$BG$25)/1000/AK43</f>
        <v>-6.831405138431583E-2</v>
      </c>
      <c r="AL51" s="127">
        <f>-SUM([2]Retail!$AC$26:$AI$26,[2]Retail!$BE$26:$BG$26)/1000/AL43</f>
        <v>-0.14268921931195797</v>
      </c>
      <c r="AM51" s="127">
        <f>-SUM([2]Retail!$AC$27:$AI$27,[2]Retail!$BE$27:$BG$27)/1000/AM43</f>
        <v>-4.0814162418545668E-3</v>
      </c>
      <c r="AN51" s="134"/>
      <c r="AO51" s="126">
        <f>-SUM([2]SME!$AC$25:$AI$25,[2]SME!$BE$25:$BG$25)/1000/AO43</f>
        <v>-3.7907513126593587E-2</v>
      </c>
      <c r="AP51" s="127">
        <f>-SUM([2]SME!$AC$26:$AI$26,[2]SME!$BE$26:$BG$26)/1000/AP43</f>
        <v>-0.16203163690709999</v>
      </c>
      <c r="AQ51" s="127">
        <f>-SUM([2]SME!$AC$27:$AI$27,[2]SME!$BE$27:$BG$27)/1000/AQ43</f>
        <v>-4.6425160711515111E-3</v>
      </c>
      <c r="AR51" s="134"/>
      <c r="AS51" s="126">
        <f>-SUM([2]MidCorp!$AC$25:$AI$25,[2]MidCorp!$BE$25:$BG$25)/1000/AS43</f>
        <v>-4.312860703282842E-2</v>
      </c>
      <c r="AT51" s="127">
        <f>-SUM([2]MidCorp!$AC$26:$AI$26,[2]MidCorp!$BE$26:$BG$26)/1000/AT43</f>
        <v>8.4905974416655317E-2</v>
      </c>
      <c r="AU51" s="127">
        <f>-SUM([2]MidCorp!$AC$27:$AI$27,[2]MidCorp!$BE$27:$BG$27)/1000/AU43</f>
        <v>-2.074653907473556E-3</v>
      </c>
      <c r="AV51" s="134"/>
      <c r="AW51" s="131"/>
      <c r="AX51" s="127"/>
      <c r="AY51" s="127"/>
      <c r="AZ51" s="134"/>
      <c r="BA51" s="131"/>
      <c r="BB51" s="127"/>
      <c r="BC51" s="127"/>
      <c r="BD51" s="134"/>
      <c r="BE51" s="131"/>
      <c r="BF51" s="127"/>
      <c r="BG51" s="127"/>
      <c r="BH51" s="134"/>
      <c r="BI51" s="132">
        <f>-SUM('[2]Total P&amp;C'!$AC$25:$AI$25,'[2]Total P&amp;C'!$BE$25:$BG$25)/1000/BI43</f>
        <v>-5.406491053919079E-2</v>
      </c>
      <c r="BJ51" s="130">
        <f>-SUM('[2]Total P&amp;C'!$AC$26:$AI$26,'[2]Total P&amp;C'!$BE$26:$BG$26)/1000/BJ43</f>
        <v>-6.0342126930027974E-2</v>
      </c>
      <c r="BK51" s="130">
        <f>-SUM('[2]Total P&amp;C'!$AC$27:$AI$27,'[2]Total P&amp;C'!$BE$27:$BG$27)/1000/BK43</f>
        <v>-3.5285584564645352E-3</v>
      </c>
      <c r="BM51" s="129">
        <f>-SUM('[3]Total P&amp;C'!$AC$25:$AI$25,'[3]Total P&amp;C'!$BE$25:$BG$25)/1000/BM43</f>
        <v>1.4618460204068212E-2</v>
      </c>
      <c r="BN51" s="130">
        <f>-SUM('[3]Total P&amp;C'!$AC$26:$AI$26,'[3]Total P&amp;C'!$BE$26:$BG$26)/1000/BN43</f>
        <v>-2.0643625231064094E-2</v>
      </c>
      <c r="BO51" s="130">
        <f>-SUM('[3]Total P&amp;C'!$AC$27:$AI$27,'[3]Total P&amp;C'!$BE$27:$BG$27)/1000/BO43</f>
        <v>-8.8142192299295041E-3</v>
      </c>
    </row>
    <row r="52" spans="1:67" hidden="1" outlineLevel="1" x14ac:dyDescent="0.3">
      <c r="A52" s="214"/>
      <c r="B52" s="115"/>
      <c r="C52" s="116" t="s">
        <v>29</v>
      </c>
      <c r="D52" s="134"/>
      <c r="E52" s="126">
        <f>-SUM([1]Retail!$AJ$25:$AK$25,[1]Retail!$BH$25:$BI$25)/1000/E43</f>
        <v>-1.2331467187428604E-2</v>
      </c>
      <c r="F52" s="127">
        <f>-SUM([1]Retail!$AJ$26:$AK$26,[1]Retail!$BH$26:$BI$26)/1000/F43</f>
        <v>3.9570094653821876E-4</v>
      </c>
      <c r="G52" s="127" t="e">
        <f>-SUM([1]Retail!$AJ$27:$AK$27,[1]Retail!$BH$27:$BI$27)/1000/G43</f>
        <v>#DIV/0!</v>
      </c>
      <c r="H52" s="134"/>
      <c r="I52" s="126">
        <f>-SUM([1]SME!$AJ$25:$AK$25,[1]SME!$BH$25:$BI$25)/1000/I43</f>
        <v>-6.4868027061553476E-3</v>
      </c>
      <c r="J52" s="127">
        <f>-SUM([1]SME!$AJ$26:$AK$26,[1]SME!$BH$26:$BI$26)/1000/J43</f>
        <v>-9.326677445468263E-4</v>
      </c>
      <c r="K52" s="127">
        <f>-SUM([1]SME!$AJ$27:$AK$27,[1]SME!$BH$27:$BI$27)/1000/K43</f>
        <v>0</v>
      </c>
      <c r="L52" s="134"/>
      <c r="M52" s="126">
        <f>-SUM([1]MidCorp!$AJ$25:$AK$25,[1]MidCorp!$BH$25:$BI$25)/1000/M43</f>
        <v>-4.6169775270190824E-3</v>
      </c>
      <c r="N52" s="127">
        <f>-SUM([1]MidCorp!$AJ$26:$AK$26,[1]MidCorp!$BH$26:$BI$26)/1000/N43</f>
        <v>1.0065433874294743E-3</v>
      </c>
      <c r="O52" s="127">
        <f>-SUM([1]MidCorp!$AJ$27:$AK$27,[1]MidCorp!$BH$27:$BI$27)/1000/O43</f>
        <v>0</v>
      </c>
      <c r="P52" s="134"/>
      <c r="Q52" s="128">
        <f>-SUM([1]MGA!$AJ$25:$AK$25,[1]MGA!$BH$25:$BI$25)/1000/Q43</f>
        <v>3.5779423796430065E-3</v>
      </c>
      <c r="R52" s="127">
        <f>-SUM([1]MGA!$AJ$26:$AK$26,[1]MGA!$BH$26:$BI$26)/1000/R43</f>
        <v>-5.7404521437935067E-3</v>
      </c>
      <c r="S52" s="127">
        <f>-SUM([1]MGA!$AJ$27:$AK$27,[1]MGA!$BH$27:$BI$27)/1000/S43</f>
        <v>0</v>
      </c>
      <c r="T52" s="134"/>
      <c r="U52" s="126">
        <f>-SUM([1]Bancassurance!$AJ$25:$AK$25,[1]Bancassurance!$BH$25:$BI$25)/1000/U43</f>
        <v>0</v>
      </c>
      <c r="V52" s="127" t="e">
        <f>-SUM([1]Bancassurance!$AJ$26:$AK$26,[1]Bancassurance!$BH$26:$BI$26)/1000/V43</f>
        <v>#DIV/0!</v>
      </c>
      <c r="W52" s="127" t="e">
        <f>-SUM([1]Bancassurance!$AJ$27:$AK$27,[1]Bancassurance!$BH$27:$BI$27)/1000/W43</f>
        <v>#DIV/0!</v>
      </c>
      <c r="X52" s="134"/>
      <c r="Y52" s="126">
        <f>-SUM([1]Specials!$AJ$25:$AK$25,[1]Specials!$BH$25:$BI$25)/1000/Y43</f>
        <v>0</v>
      </c>
      <c r="Z52" s="127">
        <f>-SUM([1]Specials!$AJ$26:$AK$26,[1]Specials!$BH$26:$BI$26)/1000/Z43</f>
        <v>0</v>
      </c>
      <c r="AA52" s="127" t="e">
        <f>-SUM([1]Specials!$AJ$27:$AK$27,[1]Specials!$BH$27:$BI$27)/1000/AA43</f>
        <v>#DIV/0!</v>
      </c>
      <c r="AB52" s="134"/>
      <c r="AC52" s="132">
        <f>-SUM('[1]Total P&amp;C'!$AJ$25:$AK$25,'[1]Total P&amp;C'!$BH$25:$BI$25)/1000/AC43</f>
        <v>-2.891232515382953E-3</v>
      </c>
      <c r="AD52" s="130">
        <f>-SUM('[1]Total P&amp;C'!$AJ$26:$AK$26,'[1]Total P&amp;C'!$BH$26:$BI$26)/1000/AD43</f>
        <v>-9.1193102322818884E-4</v>
      </c>
      <c r="AE52" s="130">
        <f>-SUM('[1]Total P&amp;C'!$AJ$27:$AK$27,'[1]Total P&amp;C'!$BH$27:$BI$27)/1000/AE43</f>
        <v>0</v>
      </c>
      <c r="AG52" s="212"/>
      <c r="AH52" s="115"/>
      <c r="AI52" s="116" t="s">
        <v>29</v>
      </c>
      <c r="AJ52" s="134"/>
      <c r="AK52" s="126">
        <f>-SUM([2]Retail!$AJ$25:$AK$25,[2]Retail!$BH$25:$BI$25)/1000/AK43</f>
        <v>-1.4426820948655397E-3</v>
      </c>
      <c r="AL52" s="127">
        <f>-SUM([2]Retail!$AJ$26:$AK$26,[2]Retail!$BH$26:$BI$26)/1000/AL43</f>
        <v>6.0241275521992488E-3</v>
      </c>
      <c r="AM52" s="127">
        <f>-SUM([2]Retail!$AJ$27:$AK$27,[2]Retail!$BH$27:$BI$27)/1000/AM43</f>
        <v>0</v>
      </c>
      <c r="AN52" s="134"/>
      <c r="AO52" s="126">
        <f>-SUM([2]SME!$AJ$25:$AK$25,[2]SME!$BH$25:$BI$25)/1000/AO43</f>
        <v>-3.2453635063979533E-3</v>
      </c>
      <c r="AP52" s="127">
        <f>-SUM([2]SME!$AJ$26:$AK$26,[2]SME!$BH$26:$BI$26)/1000/AP43</f>
        <v>4.2857846681131897E-3</v>
      </c>
      <c r="AQ52" s="127">
        <f>-SUM([2]SME!$AJ$27:$AK$27,[2]SME!$BH$27:$BI$27)/1000/AQ43</f>
        <v>0</v>
      </c>
      <c r="AR52" s="134"/>
      <c r="AS52" s="126">
        <f>-SUM([2]MidCorp!$AJ$25:$AK$25,[2]MidCorp!$BH$25:$BI$25)/1000/AS43</f>
        <v>-2.8533143975060932E-3</v>
      </c>
      <c r="AT52" s="127">
        <f>-SUM([2]MidCorp!$AJ$26:$AK$26,[2]MidCorp!$BH$26:$BI$26)/1000/AT43</f>
        <v>6.5583356369126331E-3</v>
      </c>
      <c r="AU52" s="127">
        <f>-SUM([2]MidCorp!$AJ$27:$AK$27,[2]MidCorp!$BH$27:$BI$27)/1000/AU43</f>
        <v>0</v>
      </c>
      <c r="AV52" s="134"/>
      <c r="AW52" s="131"/>
      <c r="AX52" s="127"/>
      <c r="AY52" s="127"/>
      <c r="AZ52" s="134"/>
      <c r="BA52" s="131"/>
      <c r="BB52" s="127"/>
      <c r="BC52" s="127"/>
      <c r="BD52" s="134"/>
      <c r="BE52" s="131"/>
      <c r="BF52" s="127"/>
      <c r="BG52" s="127"/>
      <c r="BH52" s="134"/>
      <c r="BI52" s="132">
        <f>-SUM('[2]Total P&amp;C'!$AJ$25:$AK$25,'[2]Total P&amp;C'!$BH$25:$BI$25)/1000/BI43</f>
        <v>-2.2601533232793547E-3</v>
      </c>
      <c r="BJ52" s="130">
        <f>-SUM('[2]Total P&amp;C'!$AJ$26:$AK$26,'[2]Total P&amp;C'!$BH$26:$BI$26)/1000/BJ43</f>
        <v>5.9027402611042416E-3</v>
      </c>
      <c r="BK52" s="130">
        <f>-SUM('[2]Total P&amp;C'!$AJ$27:$AK$27,'[2]Total P&amp;C'!$BH$27:$BI$27)/1000/BK43</f>
        <v>0</v>
      </c>
      <c r="BM52" s="132">
        <f>-SUM('[3]Total P&amp;C'!$AJ$25:$AK$25,'[3]Total P&amp;C'!$BH$25:$BI$25)/1000/BM43</f>
        <v>-2.7754455290379659E-3</v>
      </c>
      <c r="BN52" s="130">
        <f>-SUM('[3]Total P&amp;C'!$AJ$26:$AK$26,'[3]Total P&amp;C'!$BH$26:$BI$26)/1000/BN43</f>
        <v>4.2757477422834773E-4</v>
      </c>
      <c r="BO52" s="130">
        <f>-SUM('[3]Total P&amp;C'!$AJ$27:$AK$27,'[3]Total P&amp;C'!$BH$27:$BI$27)/1000/BO43</f>
        <v>0</v>
      </c>
    </row>
    <row r="53" spans="1:67" hidden="1" outlineLevel="1" x14ac:dyDescent="0.3">
      <c r="A53" s="214"/>
      <c r="B53" s="115"/>
      <c r="C53" s="116" t="s">
        <v>58</v>
      </c>
      <c r="D53" s="134"/>
      <c r="E53" s="128">
        <f>+E54+E55+E56</f>
        <v>0.35639231591115139</v>
      </c>
      <c r="F53" s="127">
        <f>+F54+F55+F56</f>
        <v>0.6186494382050638</v>
      </c>
      <c r="G53" s="127" t="e">
        <f>+G54+G55+G56</f>
        <v>#DIV/0!</v>
      </c>
      <c r="H53" s="134"/>
      <c r="I53" s="126">
        <f>+I54+I55+I56</f>
        <v>0.27418022079445464</v>
      </c>
      <c r="J53" s="127">
        <f>+J54+J55+J56</f>
        <v>0.2755137985438722</v>
      </c>
      <c r="K53" s="127">
        <f>+K54+K55+K56</f>
        <v>0.27797925412085278</v>
      </c>
      <c r="L53" s="134"/>
      <c r="M53" s="126">
        <f>+M54+M55+M56</f>
        <v>0.25986090394531558</v>
      </c>
      <c r="N53" s="127">
        <f>+N54+N55+N56</f>
        <v>0.25145687568933972</v>
      </c>
      <c r="O53" s="127">
        <f>+O54+O55+O56</f>
        <v>0.27450271508141577</v>
      </c>
      <c r="P53" s="134"/>
      <c r="Q53" s="128">
        <f>+Q54+Q55+Q56</f>
        <v>0.32496048467602084</v>
      </c>
      <c r="R53" s="127">
        <f>+R54+R55+R56</f>
        <v>0.318299041221488</v>
      </c>
      <c r="S53" s="127">
        <f>+S54+S55+S56</f>
        <v>0.31846299137435996</v>
      </c>
      <c r="T53" s="134"/>
      <c r="U53" s="126">
        <f>+U54+U55+U56</f>
        <v>0.15005275263643733</v>
      </c>
      <c r="V53" s="127" t="e">
        <f>+V54+V55+V56</f>
        <v>#DIV/0!</v>
      </c>
      <c r="W53" s="127" t="e">
        <f>+W54+W55+W56</f>
        <v>#DIV/0!</v>
      </c>
      <c r="X53" s="134"/>
      <c r="Y53" s="126">
        <f>+Y54+Y55+Y56</f>
        <v>0</v>
      </c>
      <c r="Z53" s="127">
        <f>+Z54+Z55+Z56</f>
        <v>0</v>
      </c>
      <c r="AA53" s="127" t="e">
        <f>+AA54+AA55+AA56</f>
        <v>#DIV/0!</v>
      </c>
      <c r="AB53" s="134"/>
      <c r="AC53" s="132">
        <f>+AC54+AC55+AC56</f>
        <v>0.27985697044931124</v>
      </c>
      <c r="AD53" s="130">
        <f>+AD54+AD55+AD56</f>
        <v>0.27731851098264204</v>
      </c>
      <c r="AE53" s="130">
        <f>+AE54+AE55+AE56</f>
        <v>0.2896371476688458</v>
      </c>
      <c r="AG53" s="212"/>
      <c r="AH53" s="115"/>
      <c r="AI53" s="116" t="s">
        <v>58</v>
      </c>
      <c r="AJ53" s="134"/>
      <c r="AK53" s="131">
        <f>+AK54+AK55+AK56</f>
        <v>0.3644412388252104</v>
      </c>
      <c r="AL53" s="127">
        <f>+AL54+AL55+AL56</f>
        <v>0.34912554332439161</v>
      </c>
      <c r="AM53" s="127">
        <f>+AM54+AM55+AM56</f>
        <v>0.36105493422560142</v>
      </c>
      <c r="AN53" s="134"/>
      <c r="AO53" s="131">
        <f>+AO54+AO55+AO56</f>
        <v>0.38023327640694182</v>
      </c>
      <c r="AP53" s="127">
        <f>+AP54+AP55+AP56</f>
        <v>0.35387585721305848</v>
      </c>
      <c r="AQ53" s="127">
        <f>+AQ54+AQ55+AQ56</f>
        <v>0.37659246037439803</v>
      </c>
      <c r="AR53" s="134"/>
      <c r="AS53" s="131">
        <f>+AS54+AS55+AS56</f>
        <v>0.34524754805328295</v>
      </c>
      <c r="AT53" s="127">
        <f>+AT54+AT55+AT56</f>
        <v>0.29225653490432679</v>
      </c>
      <c r="AU53" s="127">
        <f>+AU54+AU55+AU56</f>
        <v>0.34336831383313132</v>
      </c>
      <c r="AV53" s="134"/>
      <c r="AW53" s="131"/>
      <c r="AX53" s="127"/>
      <c r="AY53" s="127"/>
      <c r="AZ53" s="134"/>
      <c r="BA53" s="131"/>
      <c r="BB53" s="127"/>
      <c r="BC53" s="127"/>
      <c r="BD53" s="134"/>
      <c r="BE53" s="131"/>
      <c r="BF53" s="127"/>
      <c r="BG53" s="127"/>
      <c r="BH53" s="134"/>
      <c r="BI53" s="133">
        <f>+BI54+BI55+BI56</f>
        <v>0.36116221958327105</v>
      </c>
      <c r="BJ53" s="130">
        <f>+BJ54+BJ55+BJ56</f>
        <v>0.32853416610255759</v>
      </c>
      <c r="BK53" s="130">
        <f>+BK54+BK55+BK56</f>
        <v>0.35828829480139773</v>
      </c>
      <c r="BM53" s="132">
        <f>+BM54+BM55+BM56</f>
        <v>0.29477441645140373</v>
      </c>
      <c r="BN53" s="130">
        <f>+BN54+BN55+BN56</f>
        <v>0.28738556544371163</v>
      </c>
      <c r="BO53" s="130">
        <f>+BO54+BO55+BO56</f>
        <v>0.30206914133112572</v>
      </c>
    </row>
    <row r="54" spans="1:67" ht="14.5" hidden="1" outlineLevel="1" x14ac:dyDescent="0.3">
      <c r="A54" s="214"/>
      <c r="B54" s="115"/>
      <c r="C54" s="39" t="s">
        <v>59</v>
      </c>
      <c r="D54" s="135"/>
      <c r="E54" s="97">
        <f>-SUM([1]Retail!$AL$25:$AN$25,[1]Retail!$BJ$25)/1000/E43</f>
        <v>0.18216026403609978</v>
      </c>
      <c r="F54" s="42">
        <f>-SUM([1]Retail!$AL$26:$AN$26,[1]Retail!$BJ$26)/1000/F43</f>
        <v>0.18774309953749357</v>
      </c>
      <c r="G54" s="42" t="e">
        <f>-SUM([1]Retail!$AL$27:$AN$27,[1]Retail!$BJ$27)/1000/G43</f>
        <v>#DIV/0!</v>
      </c>
      <c r="H54" s="135"/>
      <c r="I54" s="97">
        <f>-SUM([1]SME!$AL$25:$AN$25,[1]SME!$BJ$25)/1000/I43</f>
        <v>0.16509465345988261</v>
      </c>
      <c r="J54" s="42">
        <f>-SUM([1]SME!$AL$26:$AN$26,[1]SME!$BJ$26)/1000/J43</f>
        <v>0.16327407506357064</v>
      </c>
      <c r="K54" s="42">
        <f>-SUM([1]SME!$AL$27:$AN$27,[1]SME!$BJ$27)/1000/K43</f>
        <v>0.16289830793659277</v>
      </c>
      <c r="L54" s="135"/>
      <c r="M54" s="97">
        <f>-SUM([1]MidCorp!$AL$25:$AN$25,[1]MidCorp!$BJ$25)/1000/M43</f>
        <v>0.14389627751000003</v>
      </c>
      <c r="N54" s="42">
        <f>-SUM([1]MidCorp!$AL$26:$AN$26,[1]MidCorp!$BJ$26)/1000/N43</f>
        <v>0.13934411033615612</v>
      </c>
      <c r="O54" s="42">
        <f>-SUM([1]MidCorp!$AL$27:$AN$27,[1]MidCorp!$BJ$27)/1000/O43</f>
        <v>0.13982705613748125</v>
      </c>
      <c r="P54" s="135"/>
      <c r="Q54" s="73">
        <f>-SUM([1]MGA!$AL$25:$AN$25,[1]MGA!$BJ$25)/1000/Q43</f>
        <v>0.26105757957892373</v>
      </c>
      <c r="R54" s="42">
        <f>-SUM([1]MGA!$AL$26:$AN$26,[1]MGA!$BJ$26)/1000/R43</f>
        <v>0.26018557610975129</v>
      </c>
      <c r="S54" s="42">
        <f>-SUM([1]MGA!$AL$27:$AN$27,[1]MGA!$BJ$27)/1000/S43</f>
        <v>0.24733687341099961</v>
      </c>
      <c r="T54" s="135"/>
      <c r="U54" s="73">
        <f>-SUM([1]Bancassurance!$AL$25:$AN$25,[1]Bancassurance!$BJ$25)/1000/U43</f>
        <v>0.15005275263643733</v>
      </c>
      <c r="V54" s="42" t="e">
        <f>-SUM([1]Bancassurance!$AL$26:$AN$26,[1]Bancassurance!$BJ$26)/1000/V43</f>
        <v>#DIV/0!</v>
      </c>
      <c r="W54" s="42" t="e">
        <f>-SUM([1]Bancassurance!$AL$27:$AN$27,[1]Bancassurance!$BJ$27)/1000/W43</f>
        <v>#DIV/0!</v>
      </c>
      <c r="X54" s="135"/>
      <c r="Y54" s="73">
        <f>-SUM([1]Specials!$AL$25:$AN$25,[1]Specials!$BJ$25)/1000/Y43</f>
        <v>0</v>
      </c>
      <c r="Z54" s="42">
        <f>-SUM([1]Specials!$AL$26:$AN$26,[1]Specials!$BJ$26)/1000/Z43</f>
        <v>0</v>
      </c>
      <c r="AA54" s="42" t="e">
        <f>-SUM([1]Specials!$AL$27:$AN$27,[1]Specials!$BJ$27)/1000/AA43</f>
        <v>#DIV/0!</v>
      </c>
      <c r="AB54" s="135"/>
      <c r="AC54" s="99">
        <f>-SUM('[1]Total P&amp;C'!$AL$25:$AN$25,'[1]Total P&amp;C'!$BJ$25)/1000/AC43</f>
        <v>0.17783474158669582</v>
      </c>
      <c r="AD54" s="60">
        <f>-SUM('[1]Total P&amp;C'!$AL$26:$AN$26,'[1]Total P&amp;C'!$BJ$26)/1000/AD43</f>
        <v>0.17238085134225564</v>
      </c>
      <c r="AE54" s="60">
        <f>-SUM('[1]Total P&amp;C'!$AL$27:$AN$27,'[1]Total P&amp;C'!$BJ$27)/1000/AE43</f>
        <v>0.17436736179149695</v>
      </c>
      <c r="AG54" s="212"/>
      <c r="AH54" s="115"/>
      <c r="AI54" s="39" t="s">
        <v>59</v>
      </c>
      <c r="AJ54" s="135"/>
      <c r="AK54" s="97">
        <f>-SUM([2]Retail!$AL$25:$AN$25,[2]Retail!$BJ$25)/1000/AK43</f>
        <v>0.17425211403090377</v>
      </c>
      <c r="AL54" s="42">
        <f>-SUM([2]Retail!$AL$26:$AN$26,[2]Retail!$BJ$26)/1000/AL43</f>
        <v>0.17390707189476556</v>
      </c>
      <c r="AM54" s="42">
        <f>-SUM([2]Retail!$AL$27:$AN$27,[2]Retail!$BJ$27)/1000/AM43</f>
        <v>0.17378520133444614</v>
      </c>
      <c r="AN54" s="135"/>
      <c r="AO54" s="74">
        <f>-SUM([2]SME!$AL$25:$AN$25,[2]SME!$BJ$25)/1000/AO43</f>
        <v>0.20384165161837869</v>
      </c>
      <c r="AP54" s="42">
        <f>-SUM([2]SME!$AL$26:$AN$26,[2]SME!$BJ$26)/1000/AP43</f>
        <v>0.20138376824037399</v>
      </c>
      <c r="AQ54" s="42">
        <f>-SUM([2]SME!$AL$27:$AN$27,[2]SME!$BJ$27)/1000/AQ43</f>
        <v>0.20591219166050323</v>
      </c>
      <c r="AR54" s="135"/>
      <c r="AS54" s="74">
        <f>-SUM([2]MidCorp!$AL$25:$AN$25,[2]MidCorp!$BJ$25)/1000/AS43</f>
        <v>0.15348332330852893</v>
      </c>
      <c r="AT54" s="42">
        <f>-SUM([2]MidCorp!$AL$26:$AN$26,[2]MidCorp!$BJ$26)/1000/AT43</f>
        <v>0.15380971534050919</v>
      </c>
      <c r="AU54" s="42">
        <f>-SUM([2]MidCorp!$AL$27:$AN$27,[2]MidCorp!$BJ$27)/1000/AU43</f>
        <v>0.15376930123348709</v>
      </c>
      <c r="AV54" s="135"/>
      <c r="AW54" s="97"/>
      <c r="AX54" s="42"/>
      <c r="AY54" s="42"/>
      <c r="AZ54" s="135"/>
      <c r="BA54" s="97"/>
      <c r="BB54" s="42"/>
      <c r="BC54" s="42"/>
      <c r="BD54" s="135"/>
      <c r="BE54" s="97"/>
      <c r="BF54" s="42"/>
      <c r="BG54" s="42"/>
      <c r="BH54" s="135"/>
      <c r="BI54" s="85">
        <f>-SUM('[2]Total P&amp;C'!$AL$25:$AN$25,'[2]Total P&amp;C'!$BJ$25)/1000/BI43</f>
        <v>0.1731360532524201</v>
      </c>
      <c r="BJ54" s="60">
        <f>-SUM('[2]Total P&amp;C'!$AL$26:$AN$26,'[2]Total P&amp;C'!$BJ$26)/1000/BJ43</f>
        <v>0.1714252582499706</v>
      </c>
      <c r="BK54" s="60">
        <f>-SUM('[2]Total P&amp;C'!$AL$27:$AN$27,'[2]Total P&amp;C'!$BJ$27)/1000/BK43</f>
        <v>0.17354571758021542</v>
      </c>
      <c r="BM54" s="99">
        <f>-SUM('[3]Total P&amp;C'!$AL$25:$AN$25,'[3]Total P&amp;C'!$BJ$25)/1000/BM43</f>
        <v>0.17697265174312704</v>
      </c>
      <c r="BN54" s="60">
        <f>-SUM('[3]Total P&amp;C'!$AL$26:$AN$26,'[3]Total P&amp;C'!$BJ$26)/1000/BN43</f>
        <v>0.17219301799949879</v>
      </c>
      <c r="BO54" s="60">
        <f>-SUM('[3]Total P&amp;C'!$AL$27:$AN$27,'[3]Total P&amp;C'!$BJ$27)/1000/BO43</f>
        <v>0.17421857075079411</v>
      </c>
    </row>
    <row r="55" spans="1:67" ht="14.5" hidden="1" outlineLevel="1" x14ac:dyDescent="0.3">
      <c r="A55" s="214"/>
      <c r="B55" s="115"/>
      <c r="C55" s="39" t="s">
        <v>60</v>
      </c>
      <c r="D55" s="135"/>
      <c r="E55" s="73">
        <f>-SUM([1]Retail!$AO$25:$AP$25)/1000/E43</f>
        <v>6.8670417345812456E-3</v>
      </c>
      <c r="F55" s="42">
        <f>-SUM([1]Retail!$AO$26:$AP$26)/1000/F43</f>
        <v>7.8313405513531331E-2</v>
      </c>
      <c r="G55" s="42" t="e">
        <f>-SUM([1]Retail!$AO$27:$AP$27)/1000/G43</f>
        <v>#DIV/0!</v>
      </c>
      <c r="H55" s="135"/>
      <c r="I55" s="97">
        <f>-SUM([1]SME!$AO$25:$AP$25)/1000/I43</f>
        <v>4.4854180381626557E-2</v>
      </c>
      <c r="J55" s="42">
        <f>-SUM([1]SME!$AO$26:$AP$26)/1000/J43</f>
        <v>5.5399479474474607E-2</v>
      </c>
      <c r="K55" s="42">
        <f>-SUM([1]SME!$AO$27:$AP$27)/1000/K43</f>
        <v>4.2690349953363453E-2</v>
      </c>
      <c r="L55" s="135"/>
      <c r="M55" s="74">
        <f>-SUM([1]MidCorp!$AO$25:$AP$25)/1000/M43</f>
        <v>2.5355932891460292E-2</v>
      </c>
      <c r="N55" s="42">
        <f>-SUM([1]MidCorp!$AO$26:$AP$26)/1000/N43</f>
        <v>3.2058122798448892E-2</v>
      </c>
      <c r="O55" s="42">
        <f>-SUM([1]MidCorp!$AO$27:$AP$27)/1000/O43</f>
        <v>2.6438577244162539E-2</v>
      </c>
      <c r="P55" s="135"/>
      <c r="Q55" s="74">
        <f>-SUM([1]MGA!$AO$25:$AP$25)/1000/Q43</f>
        <v>1.9683899627335352E-2</v>
      </c>
      <c r="R55" s="42">
        <f>-SUM([1]MGA!$AO$26:$AP$26)/1000/R43</f>
        <v>1.4761640721025546E-2</v>
      </c>
      <c r="S55" s="42">
        <f>-SUM([1]MGA!$AO$27:$AP$27)/1000/S43</f>
        <v>2.1581074452991875E-2</v>
      </c>
      <c r="T55" s="135"/>
      <c r="U55" s="74">
        <f>-SUM([1]Bancassurance!$AO$25:$AP$25)/1000/U43</f>
        <v>0</v>
      </c>
      <c r="V55" s="42" t="e">
        <f>-SUM([1]Bancassurance!$AO$26:$AP$26)/1000/V43</f>
        <v>#DIV/0!</v>
      </c>
      <c r="W55" s="42" t="e">
        <f>-SUM([1]Bancassurance!$AO$27:$AP$27)/1000/W43</f>
        <v>#DIV/0!</v>
      </c>
      <c r="X55" s="135"/>
      <c r="Y55" s="74">
        <f>-SUM([1]Specials!$AO$25:$AP$25)/1000/Y43</f>
        <v>0</v>
      </c>
      <c r="Z55" s="42">
        <f>-SUM([1]Specials!$AO$26:$AP$26)/1000/Z43</f>
        <v>0</v>
      </c>
      <c r="AA55" s="42" t="e">
        <f>-SUM([1]Specials!$AO$27:$AP$27)/1000/AA43</f>
        <v>#DIV/0!</v>
      </c>
      <c r="AB55" s="135"/>
      <c r="AC55" s="85">
        <f>-SUM('[1]Total P&amp;C'!$AO$25:$AP$25)/1000/AC43</f>
        <v>2.6772851203766556E-2</v>
      </c>
      <c r="AD55" s="60">
        <f>-SUM('[1]Total P&amp;C'!$AO$26:$AP$26)/1000/AD43</f>
        <v>3.313481124083998E-2</v>
      </c>
      <c r="AE55" s="60">
        <f>-SUM('[1]Total P&amp;C'!$AO$27:$AP$27)/1000/AE43</f>
        <v>2.7748081849506796E-2</v>
      </c>
      <c r="AG55" s="212"/>
      <c r="AH55" s="115"/>
      <c r="AI55" s="39" t="s">
        <v>60</v>
      </c>
      <c r="AJ55" s="135"/>
      <c r="AK55" s="97">
        <f>-SUM([2]Retail!$AO$25:$AP$25)/1000/AK43</f>
        <v>0.10805367940238968</v>
      </c>
      <c r="AL55" s="42">
        <f>-SUM([2]Retail!$AO$26:$AP$26)/1000/AL43</f>
        <v>0.10203357423590334</v>
      </c>
      <c r="AM55" s="42">
        <f>-SUM([2]Retail!$AO$27:$AP$27)/1000/AM43</f>
        <v>0.10426664943578372</v>
      </c>
      <c r="AN55" s="135"/>
      <c r="AO55" s="73">
        <f>-SUM([2]SME!$AO$25:$AP$25)/1000/AO43</f>
        <v>8.3306491345521635E-2</v>
      </c>
      <c r="AP55" s="42">
        <f>-SUM([2]SME!$AO$26:$AP$26)/1000/AP43</f>
        <v>7.4971085115170019E-2</v>
      </c>
      <c r="AQ55" s="42">
        <f>-SUM([2]SME!$AO$27:$AP$27)/1000/AQ43</f>
        <v>6.9696513431500726E-2</v>
      </c>
      <c r="AR55" s="135"/>
      <c r="AS55" s="73">
        <f>-SUM([2]MidCorp!$AO$25:$AP$25)/1000/AS43</f>
        <v>8.2059969753432244E-2</v>
      </c>
      <c r="AT55" s="42">
        <f>-SUM([2]MidCorp!$AO$26:$AP$26)/1000/AT43</f>
        <v>5.488627550682796E-2</v>
      </c>
      <c r="AU55" s="42">
        <f>-SUM([2]MidCorp!$AO$27:$AP$27)/1000/AU43</f>
        <v>7.2739138164995304E-2</v>
      </c>
      <c r="AV55" s="135"/>
      <c r="AW55" s="97"/>
      <c r="AX55" s="42"/>
      <c r="AY55" s="42"/>
      <c r="AZ55" s="135"/>
      <c r="BA55" s="97"/>
      <c r="BB55" s="42"/>
      <c r="BC55" s="42"/>
      <c r="BD55" s="135"/>
      <c r="BE55" s="97"/>
      <c r="BF55" s="42"/>
      <c r="BG55" s="42"/>
      <c r="BH55" s="135"/>
      <c r="BI55" s="84">
        <f>-SUM('[2]Total P&amp;C'!$AO$25:$AP$25)/1000/BI43</f>
        <v>9.4638050823244835E-2</v>
      </c>
      <c r="BJ55" s="60">
        <f>-SUM('[2]Total P&amp;C'!$AO$26:$AP$26)/1000/BJ43</f>
        <v>7.9200096292736458E-2</v>
      </c>
      <c r="BK55" s="60">
        <f>-SUM('[2]Total P&amp;C'!$AO$27:$AP$27)/1000/BK43</f>
        <v>8.6954925478799086E-2</v>
      </c>
      <c r="BM55" s="99">
        <f>-SUM('[3]Total P&amp;C'!$AO$25:$AP$25)/1000/BM43</f>
        <v>3.9224389837844015E-2</v>
      </c>
      <c r="BN55" s="60">
        <f>-SUM('[3]Total P&amp;C'!$AO$26:$AP$26)/1000/BN43</f>
        <v>4.2189498373052539E-2</v>
      </c>
      <c r="BO55" s="60">
        <f>-SUM('[3]Total P&amp;C'!$AO$27:$AP$27)/1000/BO43</f>
        <v>3.8469812446983449E-2</v>
      </c>
    </row>
    <row r="56" spans="1:67" ht="14.5" hidden="1" outlineLevel="1" x14ac:dyDescent="0.3">
      <c r="A56" s="214"/>
      <c r="B56" s="115"/>
      <c r="C56" s="39" t="s">
        <v>61</v>
      </c>
      <c r="D56" s="135"/>
      <c r="E56" s="73">
        <f>-SUM([1]Retail!$AQ$25:$AR$25)/1000/E43</f>
        <v>0.16736501014047039</v>
      </c>
      <c r="F56" s="42">
        <f>-SUM([1]Retail!$AQ$26:$AR$26)/1000/F43</f>
        <v>0.35259293315403895</v>
      </c>
      <c r="G56" s="42" t="e">
        <f>-SUM([1]Retail!$AQ$27:$AR$27)/1000/G43</f>
        <v>#DIV/0!</v>
      </c>
      <c r="H56" s="135"/>
      <c r="I56" s="74">
        <f>-SUM([1]SME!$AQ$25:$AR$25)/1000/I43</f>
        <v>6.423138695294546E-2</v>
      </c>
      <c r="J56" s="42">
        <f>-SUM([1]SME!$AQ$26:$AR$26)/1000/J43</f>
        <v>5.6840244005826976E-2</v>
      </c>
      <c r="K56" s="42">
        <f>-SUM([1]SME!$AQ$27:$AR$27)/1000/K43</f>
        <v>7.2390596230896581E-2</v>
      </c>
      <c r="L56" s="135"/>
      <c r="M56" s="74">
        <f>-SUM([1]MidCorp!$AQ$25:$AR$25)/1000/M43</f>
        <v>9.0608693543855229E-2</v>
      </c>
      <c r="N56" s="42">
        <f>-SUM([1]MidCorp!$AQ$26:$AR$26)/1000/N43</f>
        <v>8.005464255473474E-2</v>
      </c>
      <c r="O56" s="42">
        <f>-SUM([1]MidCorp!$AQ$27:$AR$27)/1000/O43</f>
        <v>0.10823708169977196</v>
      </c>
      <c r="P56" s="135"/>
      <c r="Q56" s="74">
        <f>-SUM([1]MGA!$AQ$25:$AR$25)/1000/Q43</f>
        <v>4.4219005469761756E-2</v>
      </c>
      <c r="R56" s="42">
        <f>-SUM([1]MGA!$AQ$26:$AR$26)/1000/R43</f>
        <v>4.3351824390711162E-2</v>
      </c>
      <c r="S56" s="42">
        <f>-SUM([1]MGA!$AQ$27:$AR$27)/1000/S43</f>
        <v>4.9545043510368474E-2</v>
      </c>
      <c r="T56" s="135"/>
      <c r="U56" s="74">
        <f>-SUM([1]Bancassurance!$AQ$25:$AR$25)/1000/U43</f>
        <v>0</v>
      </c>
      <c r="V56" s="42" t="e">
        <f>-SUM([1]Bancassurance!$AQ$26:$AR$26)/1000/V43</f>
        <v>#DIV/0!</v>
      </c>
      <c r="W56" s="42" t="e">
        <f>-SUM([1]Bancassurance!$AQ$27:$AR$27)/1000/W43</f>
        <v>#DIV/0!</v>
      </c>
      <c r="X56" s="135"/>
      <c r="Y56" s="74">
        <f>-SUM([1]Specials!$AQ$25:$AR$25)/1000/Y43</f>
        <v>0</v>
      </c>
      <c r="Z56" s="42">
        <f>-SUM([1]Specials!$AQ$26:$AR$26)/1000/Z43</f>
        <v>0</v>
      </c>
      <c r="AA56" s="42" t="e">
        <f>-SUM([1]Specials!$AQ$27:$AR$27)/1000/AA43</f>
        <v>#DIV/0!</v>
      </c>
      <c r="AB56" s="135"/>
      <c r="AC56" s="85">
        <f>-SUM('[1]Total P&amp;C'!$AQ$25:$AR$25)/1000/AC43</f>
        <v>7.5249377658848857E-2</v>
      </c>
      <c r="AD56" s="60">
        <f>-SUM('[1]Total P&amp;C'!$AQ$26:$AR$26)/1000/AD43</f>
        <v>7.1802848399546398E-2</v>
      </c>
      <c r="AE56" s="60">
        <f>-SUM('[1]Total P&amp;C'!$AQ$27:$AR$27)/1000/AE43</f>
        <v>8.7521704027842054E-2</v>
      </c>
      <c r="AG56" s="212"/>
      <c r="AH56" s="115"/>
      <c r="AI56" s="39" t="s">
        <v>61</v>
      </c>
      <c r="AJ56" s="135"/>
      <c r="AK56" s="74">
        <f>-SUM([2]Retail!$AQ$25:$AR$25)/1000/AK43</f>
        <v>8.2135445391916959E-2</v>
      </c>
      <c r="AL56" s="42">
        <f>-SUM([2]Retail!$AQ$26:$AR$26)/1000/AL43</f>
        <v>7.3184897193722703E-2</v>
      </c>
      <c r="AM56" s="42">
        <f>-SUM([2]Retail!$AQ$27:$AR$27)/1000/AM43</f>
        <v>8.3003083455371551E-2</v>
      </c>
      <c r="AN56" s="135"/>
      <c r="AO56" s="74">
        <f>-SUM([2]SME!$AQ$25:$AR$25)/1000/AO43</f>
        <v>9.3085133443041493E-2</v>
      </c>
      <c r="AP56" s="42">
        <f>-SUM([2]SME!$AQ$26:$AR$26)/1000/AP43</f>
        <v>7.7521003857514495E-2</v>
      </c>
      <c r="AQ56" s="42">
        <f>-SUM([2]SME!$AQ$27:$AR$27)/1000/AQ43</f>
        <v>0.10098375528239405</v>
      </c>
      <c r="AR56" s="135"/>
      <c r="AS56" s="74">
        <f>-SUM([2]MidCorp!$AQ$25:$AR$25)/1000/AS43</f>
        <v>0.10970425499132179</v>
      </c>
      <c r="AT56" s="42">
        <f>-SUM([2]MidCorp!$AQ$26:$AR$26)/1000/AT43</f>
        <v>8.3560544056989677E-2</v>
      </c>
      <c r="AU56" s="42">
        <f>-SUM([2]MidCorp!$AQ$27:$AR$27)/1000/AU43</f>
        <v>0.11685987443464892</v>
      </c>
      <c r="AV56" s="135"/>
      <c r="AW56" s="97"/>
      <c r="AX56" s="42"/>
      <c r="AY56" s="42"/>
      <c r="AZ56" s="135"/>
      <c r="BA56" s="97"/>
      <c r="BB56" s="42"/>
      <c r="BC56" s="42"/>
      <c r="BD56" s="135"/>
      <c r="BE56" s="97"/>
      <c r="BF56" s="42"/>
      <c r="BG56" s="42"/>
      <c r="BH56" s="135"/>
      <c r="BI56" s="85">
        <f>-SUM('[2]Total P&amp;C'!$AQ$25:$AR$25)/1000/BI43</f>
        <v>9.3388115507606118E-2</v>
      </c>
      <c r="BJ56" s="60">
        <f>-SUM('[2]Total P&amp;C'!$AQ$26:$AR$26)/1000/BJ43</f>
        <v>7.7908811559850494E-2</v>
      </c>
      <c r="BK56" s="60">
        <f>-SUM('[2]Total P&amp;C'!$AQ$27:$AR$27)/1000/BK43</f>
        <v>9.7787651742383255E-2</v>
      </c>
      <c r="BM56" s="85">
        <f>-SUM('[3]Total P&amp;C'!$AQ$25:$AR$25)/1000/BM43</f>
        <v>7.857737487043269E-2</v>
      </c>
      <c r="BN56" s="60">
        <f>-SUM('[3]Total P&amp;C'!$AQ$26:$AR$26)/1000/BN43</f>
        <v>7.3003049071160259E-2</v>
      </c>
      <c r="BO56" s="60">
        <f>-SUM('[3]Total P&amp;C'!$AQ$27:$AR$27)/1000/BO43</f>
        <v>8.9380758133348143E-2</v>
      </c>
    </row>
    <row r="57" spans="1:67" hidden="1" outlineLevel="1" x14ac:dyDescent="0.3">
      <c r="A57" s="214"/>
      <c r="B57" s="115"/>
      <c r="C57" s="116" t="s">
        <v>34</v>
      </c>
      <c r="D57" s="117"/>
      <c r="E57" s="118">
        <f>+[1]Retail!$BK$25/1000</f>
        <v>2.4652750000000681E-2</v>
      </c>
      <c r="F57" s="119">
        <f>+[1]Retail!$BK$26/1000</f>
        <v>-0.26292924999999967</v>
      </c>
      <c r="G57" s="119">
        <f>+[1]Retail!$BK$27/1000</f>
        <v>-0.15019561920217392</v>
      </c>
      <c r="H57" s="117"/>
      <c r="I57" s="121">
        <f>+[1]SME!$BK$25/1000</f>
        <v>1.5023436299999973</v>
      </c>
      <c r="J57" s="119">
        <f>+[1]SME!$BK$26/1000</f>
        <v>2.0017062299999986</v>
      </c>
      <c r="K57" s="119">
        <f>+[1]SME!$BK$27/1000</f>
        <v>2.0209197203627545</v>
      </c>
      <c r="L57" s="117"/>
      <c r="M57" s="121">
        <f>+[1]MidCorp!$BK$25/1000</f>
        <v>0.9531775799999932</v>
      </c>
      <c r="N57" s="119">
        <f>+[1]MidCorp!$BK$26/1000</f>
        <v>3.7341246199999989</v>
      </c>
      <c r="O57" s="119">
        <f>+[1]MidCorp!$BK$27/1000</f>
        <v>2.2203331053948649</v>
      </c>
      <c r="P57" s="117"/>
      <c r="Q57" s="118">
        <f>+[1]MGA!$BK$25/1000</f>
        <v>3.8835971700000078</v>
      </c>
      <c r="R57" s="119">
        <f>+[1]MGA!$BK$26/1000</f>
        <v>0.82732590999999733</v>
      </c>
      <c r="S57" s="119">
        <f>+[1]MGA!$BK$27/1000</f>
        <v>1.7429643165747835</v>
      </c>
      <c r="T57" s="117"/>
      <c r="U57" s="118">
        <f>+[1]Bancassurance!$BK$25/1000</f>
        <v>3.7355530000000005E-2</v>
      </c>
      <c r="V57" s="119">
        <f>+[1]Bancassurance!$BK$26/1000</f>
        <v>-1.2452340000000001E-2</v>
      </c>
      <c r="W57" s="119">
        <f>+[1]Bancassurance!$BK$27/1000</f>
        <v>0</v>
      </c>
      <c r="X57" s="117"/>
      <c r="Y57" s="118">
        <f>+[1]Specials!$BK$25/1000</f>
        <v>0.13687647</v>
      </c>
      <c r="Z57" s="119">
        <f>+[1]Specials!$BK$26/1000</f>
        <v>0.11896380999999999</v>
      </c>
      <c r="AA57" s="119">
        <f>+[1]Specials!$BK$27/1000</f>
        <v>0</v>
      </c>
      <c r="AB57" s="117"/>
      <c r="AC57" s="122">
        <f>+'[1]Total P&amp;C'!$BK$25/1000</f>
        <v>6.5380031300000008</v>
      </c>
      <c r="AD57" s="123">
        <f>+'[1]Total P&amp;C'!$BK$26/1000</f>
        <v>6.4067389799999939</v>
      </c>
      <c r="AE57" s="123">
        <f>+'[1]Total P&amp;C'!$BK$27/1000</f>
        <v>5.8340215231302262</v>
      </c>
      <c r="AG57" s="212"/>
      <c r="AH57" s="115"/>
      <c r="AI57" s="116" t="s">
        <v>34</v>
      </c>
      <c r="AJ57" s="117"/>
      <c r="AK57" s="118">
        <f>+[2]Retail!$BK$25/1000</f>
        <v>-0.26272266000000377</v>
      </c>
      <c r="AL57" s="119">
        <f>+[2]Retail!$BK$26/1000</f>
        <v>-0.47910034999999512</v>
      </c>
      <c r="AM57" s="119">
        <f>+[2]Retail!$BK$27/1000</f>
        <v>-0.6149474487672334</v>
      </c>
      <c r="AN57" s="117"/>
      <c r="AO57" s="120">
        <f>+[2]SME!$BK$25/1000</f>
        <v>-0.45702817000000168</v>
      </c>
      <c r="AP57" s="119">
        <f>+[2]SME!$BK$26/1000</f>
        <v>0.18321829000000203</v>
      </c>
      <c r="AQ57" s="119">
        <f>+[2]SME!$BK$27/1000</f>
        <v>-6.9487834188283498E-2</v>
      </c>
      <c r="AR57" s="117"/>
      <c r="AS57" s="118">
        <f>+[2]MidCorp!$BK$25/1000</f>
        <v>0.65710695999999624</v>
      </c>
      <c r="AT57" s="119">
        <f>+[2]MidCorp!$BK$26/1000</f>
        <v>-0.16329659000000135</v>
      </c>
      <c r="AU57" s="119">
        <f>+[2]MidCorp!$BK$27/1000</f>
        <v>-2.4519129910048889E-3</v>
      </c>
      <c r="AV57" s="117"/>
      <c r="AW57" s="121"/>
      <c r="AX57" s="119"/>
      <c r="AY57" s="119"/>
      <c r="AZ57" s="117"/>
      <c r="BA57" s="121"/>
      <c r="BB57" s="119"/>
      <c r="BC57" s="119"/>
      <c r="BD57" s="117"/>
      <c r="BE57" s="121"/>
      <c r="BF57" s="119"/>
      <c r="BG57" s="119"/>
      <c r="BH57" s="117"/>
      <c r="BI57" s="122">
        <f>+'[2]Total P&amp;C'!$BK$25/1000</f>
        <v>-6.2643870000008747E-2</v>
      </c>
      <c r="BJ57" s="123">
        <f>+'[2]Total P&amp;C'!$BK$26/1000</f>
        <v>-0.45917864999999464</v>
      </c>
      <c r="BK57" s="123">
        <f>+'[2]Total P&amp;C'!$BK$27/1000</f>
        <v>-0.68688719594652137</v>
      </c>
      <c r="BM57" s="122">
        <f>+'[3]Total P&amp;C'!$BK$25/1000</f>
        <v>6.4753592599999825</v>
      </c>
      <c r="BN57" s="123">
        <f>+'[3]Total P&amp;C'!$BK$26/1000</f>
        <v>5.9475603300000142</v>
      </c>
      <c r="BO57" s="123">
        <f>+'[3]Total P&amp;C'!$BK$27/1000</f>
        <v>5.1471343271837036</v>
      </c>
    </row>
    <row r="58" spans="1:67" ht="17.5" hidden="1" collapsed="1" x14ac:dyDescent="0.35">
      <c r="AG58" s="153"/>
    </row>
    <row r="59" spans="1:67" hidden="1" x14ac:dyDescent="0.3">
      <c r="A59" s="215" t="s">
        <v>62</v>
      </c>
      <c r="B59" s="115"/>
      <c r="C59" s="116" t="s">
        <v>19</v>
      </c>
      <c r="D59" s="117"/>
      <c r="E59" s="118">
        <f>+[1]Retail!$C$94/1000</f>
        <v>1.3005752200000005</v>
      </c>
      <c r="F59" s="119">
        <f>+[1]Retail!$C$95/1000</f>
        <v>1.5206208199999982</v>
      </c>
      <c r="G59" s="119">
        <f>+[1]Retail!$C$96/1000</f>
        <v>0</v>
      </c>
      <c r="H59" s="117"/>
      <c r="I59" s="118">
        <f>+[1]SME!$C$94/1000</f>
        <v>20.00917304</v>
      </c>
      <c r="J59" s="119">
        <f>+[1]SME!$C$95/1000</f>
        <v>20.04757893</v>
      </c>
      <c r="K59" s="119">
        <f>+[1]SME!$C$96/1000</f>
        <v>18.084009999999999</v>
      </c>
      <c r="L59" s="117"/>
      <c r="M59" s="121">
        <f>+[1]MidCorp!$C$94/1000</f>
        <v>104.34539023000001</v>
      </c>
      <c r="N59" s="119">
        <f>+[1]MidCorp!$C$95/1000</f>
        <v>106.73345993000001</v>
      </c>
      <c r="O59" s="119">
        <f>+[1]MidCorp!$C$96/1000</f>
        <v>108.02705999999999</v>
      </c>
      <c r="P59" s="117"/>
      <c r="Q59" s="121">
        <f>+[1]MGA!$C$94/1000</f>
        <v>3.5544187800000002</v>
      </c>
      <c r="R59" s="119">
        <f>+[1]MGA!$C$95/1000</f>
        <v>3.1188243999999998</v>
      </c>
      <c r="S59" s="119">
        <f>+[1]MGA!$C$96/1000</f>
        <v>6.5171899999999994</v>
      </c>
      <c r="T59" s="117"/>
      <c r="U59" s="121">
        <f>+[1]Bancassurance!$C$94/1000</f>
        <v>4.2017579999999992E-2</v>
      </c>
      <c r="V59" s="119">
        <f>+[1]Bancassurance!$C$95/1000</f>
        <v>0</v>
      </c>
      <c r="W59" s="119">
        <f>+[1]Bancassurance!$C$96/1000</f>
        <v>0.27317000000000002</v>
      </c>
      <c r="X59" s="117"/>
      <c r="Y59" s="118">
        <f>+[1]Specials!$C$94/1000</f>
        <v>1.0691300000000002E-3</v>
      </c>
      <c r="Z59" s="119">
        <f>+[1]Specials!$C$95/1000</f>
        <v>-2.5830000000000002E-3</v>
      </c>
      <c r="AA59" s="119">
        <f>+[1]Specials!$C$96/1000</f>
        <v>0</v>
      </c>
      <c r="AB59" s="117"/>
      <c r="AC59" s="124">
        <f>+'[1]Total P&amp;C'!$C$94/1000</f>
        <v>129.25264397999999</v>
      </c>
      <c r="AD59" s="123">
        <f>+'[1]Total P&amp;C'!$C$95/1000</f>
        <v>131.41790108000001</v>
      </c>
      <c r="AE59" s="123">
        <f>+'[1]Total P&amp;C'!$C$96/1000</f>
        <v>132.90143</v>
      </c>
      <c r="AG59" s="215" t="s">
        <v>62</v>
      </c>
      <c r="AH59" s="115"/>
      <c r="AI59" s="116" t="s">
        <v>19</v>
      </c>
      <c r="AJ59" s="117"/>
      <c r="AK59" s="121">
        <f>+[2]Retail!$C$94/1000</f>
        <v>12.45951670999999</v>
      </c>
      <c r="AL59" s="119">
        <f>+[2]Retail!$C$95/1000</f>
        <v>12.835577450000004</v>
      </c>
      <c r="AM59" s="119">
        <f>+[2]Retail!$C$96/1000</f>
        <v>13.131483596439136</v>
      </c>
      <c r="AN59" s="117"/>
      <c r="AO59" s="121">
        <f>+[2]SME!$C$94/1000</f>
        <v>5.9680029899999969</v>
      </c>
      <c r="AP59" s="119">
        <f>+[2]SME!$C$95/1000</f>
        <v>6.1407779400000004</v>
      </c>
      <c r="AQ59" s="119">
        <f>+[2]SME!$C$96/1000</f>
        <v>6.2543068537446347</v>
      </c>
      <c r="AR59" s="117"/>
      <c r="AS59" s="121">
        <f>+[2]MidCorp!$C$94/1000</f>
        <v>25.857972030000006</v>
      </c>
      <c r="AT59" s="119">
        <f>+[2]MidCorp!$C$95/1000</f>
        <v>25.263487940000015</v>
      </c>
      <c r="AU59" s="119">
        <f>+[2]MidCorp!$C$96/1000</f>
        <v>28.327356956824893</v>
      </c>
      <c r="AV59" s="117"/>
      <c r="AW59" s="121"/>
      <c r="AX59" s="119"/>
      <c r="AY59" s="119"/>
      <c r="AZ59" s="117"/>
      <c r="BA59" s="121"/>
      <c r="BB59" s="119"/>
      <c r="BC59" s="119"/>
      <c r="BD59" s="117"/>
      <c r="BE59" s="121"/>
      <c r="BF59" s="119"/>
      <c r="BG59" s="119"/>
      <c r="BH59" s="117"/>
      <c r="BI59" s="124">
        <f>+'[2]Total P&amp;C'!$C$94/1000</f>
        <v>44.285491729999997</v>
      </c>
      <c r="BJ59" s="123">
        <f>+'[2]Total P&amp;C'!$C$95/1000</f>
        <v>44.239843330000021</v>
      </c>
      <c r="BK59" s="123">
        <f>+'[2]Total P&amp;C'!$C$96/1000</f>
        <v>47.713147407008655</v>
      </c>
      <c r="BM59" s="124">
        <f>+'[3]Total P&amp;C'!$C$94/1000</f>
        <v>173.53813571000001</v>
      </c>
      <c r="BN59" s="123">
        <f>+'[3]Total P&amp;C'!$C$95/1000</f>
        <v>175.65774441000005</v>
      </c>
      <c r="BO59" s="123">
        <f>+'[3]Total P&amp;C'!$C$96/1000</f>
        <v>180.61457740700865</v>
      </c>
    </row>
    <row r="60" spans="1:67" hidden="1" x14ac:dyDescent="0.3">
      <c r="A60" s="212"/>
      <c r="B60" s="115"/>
      <c r="C60" s="116" t="s">
        <v>55</v>
      </c>
      <c r="D60" s="117"/>
      <c r="E60" s="118">
        <f>+[1]Retail!$N$94/1000</f>
        <v>1.3175103099999981</v>
      </c>
      <c r="F60" s="119">
        <f>+[1]Retail!$N$95/1000</f>
        <v>1.5505957199999973</v>
      </c>
      <c r="G60" s="119">
        <f>+[1]Retail!$N$96/1000</f>
        <v>0</v>
      </c>
      <c r="H60" s="117"/>
      <c r="I60" s="118">
        <f>+[1]SME!$N$94/1000</f>
        <v>9.6528133799999996</v>
      </c>
      <c r="J60" s="119">
        <f>+[1]SME!$N$95/1000</f>
        <v>9.7543116899999962</v>
      </c>
      <c r="K60" s="119">
        <f>+[1]SME!$N$96/1000</f>
        <v>9.4373127224502795</v>
      </c>
      <c r="L60" s="117"/>
      <c r="M60" s="121">
        <f>+[1]MidCorp!$N$94/1000</f>
        <v>42.170181359999994</v>
      </c>
      <c r="N60" s="119">
        <f>+[1]MidCorp!$N$95/1000</f>
        <v>41.458527979999992</v>
      </c>
      <c r="O60" s="119">
        <f>+[1]MidCorp!$N$96/1000</f>
        <v>55.411310939651834</v>
      </c>
      <c r="P60" s="117"/>
      <c r="Q60" s="121">
        <f>+[1]MGA!$N$94/1000</f>
        <v>3.2371441099999991</v>
      </c>
      <c r="R60" s="119">
        <f>+[1]MGA!$N$95/1000</f>
        <v>2.8898964099999995</v>
      </c>
      <c r="S60" s="119">
        <f>+[1]MGA!$N$96/1000</f>
        <v>6.2240000000000002</v>
      </c>
      <c r="T60" s="117"/>
      <c r="U60" s="121">
        <f>+[1]Bancassurance!$N$94/1000</f>
        <v>2.6223940000000005E-2</v>
      </c>
      <c r="V60" s="119">
        <f>+[1]Bancassurance!$N$95/1000</f>
        <v>0</v>
      </c>
      <c r="W60" s="119">
        <f>+[1]Bancassurance!$N$96/1000</f>
        <v>0.30894008499504944</v>
      </c>
      <c r="X60" s="117"/>
      <c r="Y60" s="118">
        <f>+[1]Specials!$N$94/1000</f>
        <v>1.8228230000000002E-2</v>
      </c>
      <c r="Z60" s="119">
        <f>+[1]Specials!$N$95/1000</f>
        <v>1.6274710000000001E-2</v>
      </c>
      <c r="AA60" s="119">
        <f>+[1]Specials!$N$96/1000</f>
        <v>0</v>
      </c>
      <c r="AB60" s="117"/>
      <c r="AC60" s="124">
        <f>+'[1]Total P&amp;C'!$N$94/1000</f>
        <v>56.422101329999997</v>
      </c>
      <c r="AD60" s="123">
        <f>+'[1]Total P&amp;C'!$N$95/1000</f>
        <v>55.66960650999998</v>
      </c>
      <c r="AE60" s="123">
        <f>+'[1]Total P&amp;C'!$N$96/1000</f>
        <v>71.381563747097161</v>
      </c>
      <c r="AG60" s="212"/>
      <c r="AH60" s="115"/>
      <c r="AI60" s="116" t="s">
        <v>55</v>
      </c>
      <c r="AJ60" s="117"/>
      <c r="AK60" s="121">
        <f>+[2]Retail!$N$94/1000</f>
        <v>12.519300509999995</v>
      </c>
      <c r="AL60" s="119">
        <f>+[2]Retail!$N$95/1000</f>
        <v>12.809171130000003</v>
      </c>
      <c r="AM60" s="119">
        <f>+[2]Retail!$N$96/1000</f>
        <v>13.142971363986241</v>
      </c>
      <c r="AN60" s="117"/>
      <c r="AO60" s="121">
        <f>+[2]SME!$N$94/1000</f>
        <v>4.0744000800000011</v>
      </c>
      <c r="AP60" s="119">
        <f>+[2]SME!$N$95/1000</f>
        <v>4.2556116399999953</v>
      </c>
      <c r="AQ60" s="119">
        <f>+[2]SME!$N$96/1000</f>
        <v>4.3161255611462801</v>
      </c>
      <c r="AR60" s="117"/>
      <c r="AS60" s="121">
        <f>+[2]MidCorp!$N$94/1000</f>
        <v>15.069941669999997</v>
      </c>
      <c r="AT60" s="119">
        <f>+[2]MidCorp!$N$95/1000</f>
        <v>14.54689539</v>
      </c>
      <c r="AU60" s="119">
        <f>+[2]MidCorp!$N$96/1000</f>
        <v>17.992431898521083</v>
      </c>
      <c r="AV60" s="117"/>
      <c r="AW60" s="121"/>
      <c r="AX60" s="119"/>
      <c r="AY60" s="119"/>
      <c r="AZ60" s="117"/>
      <c r="BA60" s="121"/>
      <c r="BB60" s="119"/>
      <c r="BC60" s="119"/>
      <c r="BD60" s="117"/>
      <c r="BE60" s="121"/>
      <c r="BF60" s="119"/>
      <c r="BG60" s="119"/>
      <c r="BH60" s="117"/>
      <c r="BI60" s="124">
        <f>+'[2]Total P&amp;C'!$N$94/1000</f>
        <v>31.663642259999992</v>
      </c>
      <c r="BJ60" s="123">
        <f>+'[2]Total P&amp;C'!$N$95/1000</f>
        <v>31.611678159999997</v>
      </c>
      <c r="BK60" s="123">
        <f>+'[2]Total P&amp;C'!$N$96/1000</f>
        <v>35.451528823653604</v>
      </c>
      <c r="BM60" s="124">
        <f>+'[3]Total P&amp;C'!$N$94/1000</f>
        <v>88.085743589999993</v>
      </c>
      <c r="BN60" s="123">
        <f>+'[3]Total P&amp;C'!$N$95/1000</f>
        <v>87.281284669999977</v>
      </c>
      <c r="BO60" s="123">
        <f>+'[3]Total P&amp;C'!$N$96/1000</f>
        <v>106.83309257075076</v>
      </c>
    </row>
    <row r="61" spans="1:67" hidden="1" x14ac:dyDescent="0.3">
      <c r="A61" s="212"/>
      <c r="B61" s="115"/>
      <c r="C61" s="116" t="s">
        <v>21</v>
      </c>
      <c r="D61" s="117"/>
      <c r="E61" s="126">
        <f>+E62+E67+E68+E69+E70</f>
        <v>0.42429403076170435</v>
      </c>
      <c r="F61" s="127">
        <f>+F62+F67+F68+F69+F70</f>
        <v>1.0924877440007414</v>
      </c>
      <c r="G61" s="127" t="e">
        <f>+G62+G67+G68+G69+G70</f>
        <v>#DIV/0!</v>
      </c>
      <c r="H61" s="117"/>
      <c r="I61" s="128">
        <f>+I62+I67+I68+I69+I70</f>
        <v>1.0366788381855159</v>
      </c>
      <c r="J61" s="127">
        <f>+J62+J67+J68+J69+J70</f>
        <v>0.76977275369391063</v>
      </c>
      <c r="K61" s="127">
        <f>+K62+K67+K68+K69+K70</f>
        <v>0.96263033279017263</v>
      </c>
      <c r="L61" s="117"/>
      <c r="M61" s="126">
        <f>+M62+M67+M68+M69+M70</f>
        <v>0.82238813947562339</v>
      </c>
      <c r="N61" s="127">
        <f>+N62+N67+N68+N69+N70</f>
        <v>0.89579869569696191</v>
      </c>
      <c r="O61" s="127">
        <f>+O62+O67+O68+O69+O70</f>
        <v>0.90116834094682163</v>
      </c>
      <c r="P61" s="117"/>
      <c r="Q61" s="128">
        <f>+Q62+Q67+Q68+Q69+Q70</f>
        <v>0.96460532923262465</v>
      </c>
      <c r="R61" s="127">
        <f>+R62+R67+R68+R69+R70</f>
        <v>1.1619464519145173</v>
      </c>
      <c r="S61" s="127">
        <f>+S62+S67+S68+S69+S70</f>
        <v>0.93077027240153165</v>
      </c>
      <c r="T61" s="117"/>
      <c r="U61" s="126"/>
      <c r="V61" s="127"/>
      <c r="W61" s="127">
        <f>+W62+W67+W68+W69+W70</f>
        <v>1.6711654655329888</v>
      </c>
      <c r="X61" s="117"/>
      <c r="Y61" s="131"/>
      <c r="Z61" s="127"/>
      <c r="AA61" s="127"/>
      <c r="AB61" s="117"/>
      <c r="AC61" s="132">
        <f>+AC62+AC67+AC68+AC69+AC70</f>
        <v>0.86850445082492667</v>
      </c>
      <c r="AD61" s="130">
        <f>+AD62+AD67+AD68+AD69+AD70</f>
        <v>0.90781003366571178</v>
      </c>
      <c r="AE61" s="130">
        <f>+AE62+AE67+AE68+AE69+AE70</f>
        <v>0.91798082513992896</v>
      </c>
      <c r="AG61" s="212"/>
      <c r="AH61" s="115"/>
      <c r="AI61" s="116" t="s">
        <v>21</v>
      </c>
      <c r="AJ61" s="117"/>
      <c r="AK61" s="126">
        <f>+AK62+AK67+AK68+AK69+AK70</f>
        <v>0.91666077835845561</v>
      </c>
      <c r="AL61" s="127">
        <f>+AL62+AL67+AL68+AL69+AL70</f>
        <v>0.87258372431472075</v>
      </c>
      <c r="AM61" s="127">
        <f>+AM62+AM67+AM68+AM69+AM70</f>
        <v>0.97414081115181106</v>
      </c>
      <c r="AN61" s="117"/>
      <c r="AO61" s="126">
        <f>+AO62+AO67+AO68+AO69+AO70</f>
        <v>1.0394291568932035</v>
      </c>
      <c r="AP61" s="127">
        <f>+AP62+AP67+AP68+AP69+AP70</f>
        <v>0.47538967160076634</v>
      </c>
      <c r="AQ61" s="127">
        <f>+AQ62+AQ67+AQ68+AQ69+AQ70</f>
        <v>1.1275743821260522</v>
      </c>
      <c r="AR61" s="117"/>
      <c r="AS61" s="128">
        <f>+AS62+AS67+AS68+AS69+AS70</f>
        <v>1.0273763594467851</v>
      </c>
      <c r="AT61" s="127">
        <f>+AT62+AT67+AT68+AT69+AT70</f>
        <v>1.0748851188377178</v>
      </c>
      <c r="AU61" s="127">
        <f>+AU62+AU67+AU68+AU69+AU70</f>
        <v>0.98790851153603099</v>
      </c>
      <c r="AV61" s="117"/>
      <c r="AW61" s="131"/>
      <c r="AX61" s="127"/>
      <c r="AY61" s="127"/>
      <c r="AZ61" s="117"/>
      <c r="BA61" s="131"/>
      <c r="BB61" s="127"/>
      <c r="BC61" s="127"/>
      <c r="BD61" s="117"/>
      <c r="BE61" s="131"/>
      <c r="BF61" s="127"/>
      <c r="BG61" s="127"/>
      <c r="BH61" s="117"/>
      <c r="BI61" s="132">
        <f>+BI62+BI67+BI68+BI69+BI70</f>
        <v>0.98515210422921218</v>
      </c>
      <c r="BJ61" s="130">
        <f>+BJ62+BJ67+BJ68+BJ69+BJ70</f>
        <v>0.91220685292463433</v>
      </c>
      <c r="BK61" s="130">
        <f>+BK62+BK67+BK68+BK69+BK70</f>
        <v>0.99980833521568324</v>
      </c>
      <c r="BM61" s="132">
        <f>+BM62+BM67+BM68+BM69+BM70</f>
        <v>0.91043506771400395</v>
      </c>
      <c r="BN61" s="130">
        <f>+BN62+BN67+BN68+BN69+BN70</f>
        <v>0.90940248084228892</v>
      </c>
      <c r="BO61" s="130">
        <f>+BO62+BO67+BO68+BO69+BO70</f>
        <v>0.94513449318615983</v>
      </c>
    </row>
    <row r="62" spans="1:67" hidden="1" x14ac:dyDescent="0.3">
      <c r="A62" s="212"/>
      <c r="B62" s="115"/>
      <c r="C62" s="116" t="s">
        <v>56</v>
      </c>
      <c r="D62" s="117"/>
      <c r="E62" s="126">
        <f>+E63+E64+E65+E66</f>
        <v>8.6337677311991545E-2</v>
      </c>
      <c r="F62" s="127">
        <f>+F63+F64+F65+F66</f>
        <v>0.67322425602980751</v>
      </c>
      <c r="G62" s="127" t="e">
        <f>+G63+G64+G65+G66</f>
        <v>#DIV/0!</v>
      </c>
      <c r="H62" s="117"/>
      <c r="I62" s="126">
        <f>+I63+I64+I65+I66</f>
        <v>0.44309614841015393</v>
      </c>
      <c r="J62" s="127">
        <f>+J63+J64+J65+J66</f>
        <v>0.56122321738111303</v>
      </c>
      <c r="K62" s="127">
        <f>+K63+K64+K65+K66</f>
        <v>0.58128024472715745</v>
      </c>
      <c r="L62" s="117"/>
      <c r="M62" s="126">
        <f>+M63+M64+M65+M66</f>
        <v>0.65289783520153222</v>
      </c>
      <c r="N62" s="127">
        <f>+N63+N64+N65+N66</f>
        <v>0.66687152069985289</v>
      </c>
      <c r="O62" s="127">
        <f>+O63+O64+O65+O66</f>
        <v>0.69101455305589154</v>
      </c>
      <c r="P62" s="117"/>
      <c r="Q62" s="128">
        <f>+Q63+Q64+Q65+Q66</f>
        <v>0.85188280666318583</v>
      </c>
      <c r="R62" s="127">
        <f>+R63+R64+R65+R66</f>
        <v>0.59103757632613552</v>
      </c>
      <c r="S62" s="127">
        <f>+S63+S64+S65+S66</f>
        <v>0.5728544935889186</v>
      </c>
      <c r="T62" s="117"/>
      <c r="U62" s="126"/>
      <c r="V62" s="127"/>
      <c r="W62" s="127">
        <f>+W63+W64+W65+W66</f>
        <v>0.43782377643486775</v>
      </c>
      <c r="X62" s="117"/>
      <c r="Y62" s="131"/>
      <c r="Z62" s="127"/>
      <c r="AA62" s="127"/>
      <c r="AB62" s="117"/>
      <c r="AC62" s="132">
        <f>+AC63+AC64+AC65+AC66</f>
        <v>0.61776620966555562</v>
      </c>
      <c r="AD62" s="130">
        <f>+AD63+AD64+AD65+AD66</f>
        <v>0.6488009201845536</v>
      </c>
      <c r="AE62" s="130">
        <f>+AE63+AE64+AE65+AE66</f>
        <v>0.66593555610240485</v>
      </c>
      <c r="AG62" s="212"/>
      <c r="AH62" s="115"/>
      <c r="AI62" s="116" t="s">
        <v>56</v>
      </c>
      <c r="AJ62" s="117"/>
      <c r="AK62" s="131">
        <f>+AK63+AK64+AK65+AK66</f>
        <v>0.58823691500316921</v>
      </c>
      <c r="AL62" s="127">
        <f>+AL63+AL64+AL65+AL66</f>
        <v>0.65914510348180533</v>
      </c>
      <c r="AM62" s="127">
        <f>+AM63+AM64+AM65+AM66</f>
        <v>0.57847407723427446</v>
      </c>
      <c r="AN62" s="117"/>
      <c r="AO62" s="126">
        <f>+AO63+AO64+AO65+AO66</f>
        <v>0.57236270229014896</v>
      </c>
      <c r="AP62" s="127">
        <f>+AP63+AP64+AP65+AP66</f>
        <v>0.43105015804496727</v>
      </c>
      <c r="AQ62" s="127">
        <f>+AQ63+AQ64+AQ65+AQ66</f>
        <v>0.60635480534081143</v>
      </c>
      <c r="AR62" s="117"/>
      <c r="AS62" s="126">
        <f>+AS63+AS64+AS65+AS66</f>
        <v>0.48003671868226966</v>
      </c>
      <c r="AT62" s="127">
        <f>+AT63+AT64+AT65+AT66</f>
        <v>0.54164497019868951</v>
      </c>
      <c r="AU62" s="127">
        <f>+AU63+AU64+AU65+AU66</f>
        <v>0.60445469297148358</v>
      </c>
      <c r="AV62" s="117"/>
      <c r="AW62" s="131"/>
      <c r="AX62" s="127"/>
      <c r="AY62" s="127"/>
      <c r="AZ62" s="117"/>
      <c r="BA62" s="131"/>
      <c r="BB62" s="127"/>
      <c r="BC62" s="127"/>
      <c r="BD62" s="117"/>
      <c r="BE62" s="131"/>
      <c r="BF62" s="127"/>
      <c r="BG62" s="127"/>
      <c r="BH62" s="117"/>
      <c r="BI62" s="132">
        <f>+BI63+BI64+BI65+BI66</f>
        <v>0.53469763715047747</v>
      </c>
      <c r="BJ62" s="130">
        <f>+BJ63+BJ64+BJ65+BJ66</f>
        <v>0.57436802716075763</v>
      </c>
      <c r="BK62" s="130">
        <f>+BK63+BK64+BK65+BK66</f>
        <v>0.59505421360868072</v>
      </c>
      <c r="BM62" s="132">
        <f>+BM63+BM64+BM65+BM66</f>
        <v>0.58790605913530691</v>
      </c>
      <c r="BN62" s="130">
        <f>+BN63+BN64+BN65+BN66</f>
        <v>0.62184269348472709</v>
      </c>
      <c r="BO62" s="130">
        <f>+BO63+BO64+BO65+BO66</f>
        <v>0.64241426793215584</v>
      </c>
    </row>
    <row r="63" spans="1:67" ht="14.5" hidden="1" x14ac:dyDescent="0.3">
      <c r="A63" s="212"/>
      <c r="B63" s="115"/>
      <c r="C63" s="38" t="s">
        <v>23</v>
      </c>
      <c r="D63" s="117"/>
      <c r="E63" s="74">
        <f>-SUM([1]Retail!$O$94,[1]Retail!$R$94:$V$94,[1]Retail!$Y$94,[1]Retail!$AB$94,[1]Retail!$AU$94,[1]Retail!$AX$94,[1]Retail!$BA$94,[1]Retail!$BD$94)/1000/E60</f>
        <v>8.4619853942547257E-2</v>
      </c>
      <c r="F63" s="42">
        <f>-SUM([1]Retail!$O$95,[1]Retail!$R$95:$V$95,[1]Retail!$Y$95,[1]Retail!$AB$95,[1]Retail!$AU$95,[1]Retail!$AX$95,[1]Retail!$BA$95,[1]Retail!$BD$95)/1000/F60</f>
        <v>0.38698735049172805</v>
      </c>
      <c r="G63" s="42" t="e">
        <f>-SUM([1]Retail!$O$96,[1]Retail!$R$96:$V$96,[1]Retail!$Y$96,[1]Retail!$AB$96,[1]Retail!$AU$96,[1]Retail!$AX$96,[1]Retail!$BA$96,[1]Retail!$BD$96)/1000/G60</f>
        <v>#DIV/0!</v>
      </c>
      <c r="H63" s="117"/>
      <c r="I63" s="73">
        <f>-SUM([1]SME!$O$94,[1]SME!$R$94:$V$94,[1]SME!$Y$94,[1]SME!$AB$94,[1]SME!$AU$94,[1]SME!$AX$94,[1]SME!$BA$94,[1]SME!$BD$94)/1000/I60</f>
        <v>0.30631328883102149</v>
      </c>
      <c r="J63" s="42">
        <f>-SUM([1]SME!$O$95,[1]SME!$R$95:$V$95,[1]SME!$Y$95,[1]SME!$AB$95,[1]SME!$AU$95,[1]SME!$AX$95,[1]SME!$BA$95,[1]SME!$BD$95)/1000/J60</f>
        <v>0.28728672264814531</v>
      </c>
      <c r="K63" s="42">
        <f>-SUM([1]SME!$O$96,[1]SME!$R$96:$V$96,[1]SME!$Y$96,[1]SME!$AB$96,[1]SME!$AU$96,[1]SME!$AX$96,[1]SME!$BA$96,[1]SME!$BD$96)/1000/K60</f>
        <v>0.27026150615818301</v>
      </c>
      <c r="L63" s="117"/>
      <c r="M63" s="74">
        <f>-SUM([1]MidCorp!$O$94,[1]MidCorp!$R$94:$V$94,[1]MidCorp!$Y$94,[1]MidCorp!$AB$94,[1]MidCorp!$AU$94,[1]MidCorp!$AX$94,[1]MidCorp!$BA$94,[1]MidCorp!$BD$94)/1000/M60</f>
        <v>0.28843353060786708</v>
      </c>
      <c r="N63" s="42">
        <f>-SUM([1]MidCorp!$O$95,[1]MidCorp!$R$95:$V$95,[1]MidCorp!$Y$95,[1]MidCorp!$AB$95,[1]MidCorp!$AU$95,[1]MidCorp!$AX$95,[1]MidCorp!$BA$95,[1]MidCorp!$BD$95)/1000/N60</f>
        <v>0.32178496009117552</v>
      </c>
      <c r="O63" s="42">
        <f>-SUM([1]MidCorp!$O$96,[1]MidCorp!$R$96:$V$96,[1]MidCorp!$Y$96,[1]MidCorp!$AB$96,[1]MidCorp!$AU$96,[1]MidCorp!$AX$96,[1]MidCorp!$BA$96,[1]MidCorp!$BD$96)/1000/O60</f>
        <v>0.30113888051280546</v>
      </c>
      <c r="P63" s="117"/>
      <c r="Q63" s="73">
        <f>-SUM([1]MGA!$O$94,[1]MGA!$R$94:$V$94,[1]MGA!$Y$94,[1]MGA!$AB$94,[1]MGA!$AU$94,[1]MGA!$AX$94,[1]MGA!$BA$94,[1]MGA!$BD$94)/1000/Q60</f>
        <v>0.54587950571731425</v>
      </c>
      <c r="R63" s="42">
        <f>-SUM([1]MGA!$O$95,[1]MGA!$R$95:$V$95,[1]MGA!$Y$95,[1]MGA!$AB$95,[1]MGA!$AU$95,[1]MGA!$AX$95,[1]MGA!$BA$95,[1]MGA!$BD$95)/1000/R60</f>
        <v>0.38516204835033668</v>
      </c>
      <c r="S63" s="42">
        <f>-SUM([1]MGA!$O$96,[1]MGA!$R$96:$V$96,[1]MGA!$Y$96,[1]MGA!$AB$96,[1]MGA!$AU$96,[1]MGA!$AX$96,[1]MGA!$BA$96,[1]MGA!$BD$96)/1000/S60</f>
        <v>0.33847754777066436</v>
      </c>
      <c r="T63" s="117"/>
      <c r="U63" s="74"/>
      <c r="V63" s="42"/>
      <c r="W63" s="42">
        <f>-SUM([1]Bancassurance!$O$96,[1]Bancassurance!$R$96:$V$96,[1]Bancassurance!$Y$96,[1]Bancassurance!$AB$96,[1]Bancassurance!$AU$96,[1]Bancassurance!$AX$96,[1]Bancassurance!$BA$96,[1]Bancassurance!$BD$96)/1000/W60</f>
        <v>0.13896769384533014</v>
      </c>
      <c r="X63" s="117"/>
      <c r="Y63" s="97"/>
      <c r="Z63" s="42"/>
      <c r="AA63" s="42"/>
      <c r="AB63" s="117"/>
      <c r="AC63" s="99">
        <f>-SUM('[1]Total P&amp;C'!$O$94,'[1]Total P&amp;C'!$R$94:$V$94,'[1]Total P&amp;C'!$Y$94,'[1]Total P&amp;C'!$AB$94,'[1]Total P&amp;C'!$AU$94,'[1]Total P&amp;C'!$AX$94,'[1]Total P&amp;C'!$BA$94,'[1]Total P&amp;C'!$BD$94)/1000/AC60</f>
        <v>0.30376348224606736</v>
      </c>
      <c r="AD63" s="60">
        <f>-SUM('[1]Total P&amp;C'!$O$95,'[1]Total P&amp;C'!$R$95:$V$95,'[1]Total P&amp;C'!$Y$95,'[1]Total P&amp;C'!$AB$95,'[1]Total P&amp;C'!$AU$95,'[1]Total P&amp;C'!$AX$95,'[1]Total P&amp;C'!$BA$95,'[1]Total P&amp;C'!$BD$95)/1000/AD60</f>
        <v>0.32475320775811023</v>
      </c>
      <c r="AE63" s="60">
        <f>-SUM('[1]Total P&amp;C'!$O$96,'[1]Total P&amp;C'!$R$96:$V$96,'[1]Total P&amp;C'!$Y$96,'[1]Total P&amp;C'!$AB$96,'[1]Total P&amp;C'!$AU$96,'[1]Total P&amp;C'!$AX$96,'[1]Total P&amp;C'!$BA$96,'[1]Total P&amp;C'!$BD$96)/1000/AE60</f>
        <v>0.30043790401575482</v>
      </c>
      <c r="AG63" s="212"/>
      <c r="AH63" s="115"/>
      <c r="AI63" s="38" t="s">
        <v>23</v>
      </c>
      <c r="AJ63" s="117"/>
      <c r="AK63" s="73">
        <f>-SUM([2]Retail!$O$94,[2]Retail!$R$94:$V$94,[2]Retail!$Y$94,[2]Retail!$AB$94,[2]Retail!$AU$94,[2]Retail!$AX$94,[2]Retail!$BA$94,[2]Retail!$BD$94)/1000/AK60</f>
        <v>0.45233935079988169</v>
      </c>
      <c r="AL63" s="42">
        <f>-SUM([2]Retail!$O$95,[2]Retail!$R$95:$V$95,[2]Retail!$Y$95,[2]Retail!$AB$95,[2]Retail!$AU$95,[2]Retail!$AX$95,[2]Retail!$BA$95,[2]Retail!$BD$95)/1000/AL60</f>
        <v>0.51725815923266527</v>
      </c>
      <c r="AM63" s="42">
        <f>-SUM([2]Retail!$O$96,[2]Retail!$R$96:$V$96,[2]Retail!$Y$96,[2]Retail!$AB$96,[2]Retail!$AU$96,[2]Retail!$AX$96,[2]Retail!$BA$96,[2]Retail!$BD$96)/1000/AM60</f>
        <v>0.36284434940746585</v>
      </c>
      <c r="AN63" s="117"/>
      <c r="AO63" s="74">
        <f>-SUM([2]SME!$O$94,[2]SME!$R$94:$V$94,[2]SME!$Y$94,[2]SME!$AB$94,[2]SME!$AU$94,[2]SME!$AX$94,[2]SME!$BA$94,[2]SME!$BD$94)/1000/AO60</f>
        <v>0.30858229256559389</v>
      </c>
      <c r="AP63" s="42">
        <f>-SUM([2]SME!$O$95,[2]SME!$R$95:$V$95,[2]SME!$Y$95,[2]SME!$AB$95,[2]SME!$AU$95,[2]SME!$AX$95,[2]SME!$BA$95,[2]SME!$BD$95)/1000/AP60</f>
        <v>0.30081171598637735</v>
      </c>
      <c r="AQ63" s="42">
        <f>-SUM([2]SME!$O$96,[2]SME!$R$96:$V$96,[2]SME!$Y$96,[2]SME!$AB$96,[2]SME!$AU$96,[2]SME!$AX$96,[2]SME!$BA$96,[2]SME!$BD$96)/1000/AQ60</f>
        <v>0.32227932661483821</v>
      </c>
      <c r="AR63" s="117"/>
      <c r="AS63" s="74">
        <f>-SUM([2]MidCorp!$O$94,[2]MidCorp!$R$94:$V$94,[2]MidCorp!$Y$94,[2]MidCorp!$AB$94,[2]MidCorp!$AU$94,[2]MidCorp!$AX$94,[2]MidCorp!$BA$94,[2]MidCorp!$BD$94)/1000/AS60</f>
        <v>0.23130088366630713</v>
      </c>
      <c r="AT63" s="42">
        <f>-SUM([2]MidCorp!$O$95,[2]MidCorp!$R$95:$V$95,[2]MidCorp!$Y$95,[2]MidCorp!$AB$95,[2]MidCorp!$AU$95,[2]MidCorp!$AX$95,[2]MidCorp!$BA$95,[2]MidCorp!$BD$95)/1000/AT60</f>
        <v>0.35055754876092499</v>
      </c>
      <c r="AU63" s="42">
        <f>-SUM([2]MidCorp!$O$96,[2]MidCorp!$R$96:$V$96,[2]MidCorp!$Y$96,[2]MidCorp!$AB$96,[2]MidCorp!$AU$96,[2]MidCorp!$AX$96,[2]MidCorp!$BA$96,[2]MidCorp!$BD$96)/1000/AU60</f>
        <v>0.32835875013854476</v>
      </c>
      <c r="AV63" s="117"/>
      <c r="AW63" s="97"/>
      <c r="AX63" s="42"/>
      <c r="AY63" s="42"/>
      <c r="AZ63" s="117"/>
      <c r="BA63" s="97"/>
      <c r="BB63" s="42"/>
      <c r="BC63" s="42"/>
      <c r="BD63" s="117"/>
      <c r="BE63" s="97"/>
      <c r="BF63" s="42"/>
      <c r="BG63" s="42"/>
      <c r="BH63" s="117"/>
      <c r="BI63" s="85">
        <f>-SUM('[2]Total P&amp;C'!$O$94,'[2]Total P&amp;C'!$R$94:$V$94,'[2]Total P&amp;C'!$Y$94,'[2]Total P&amp;C'!$AB$94,'[2]Total P&amp;C'!$AU$94,'[2]Total P&amp;C'!$AX$94,'[2]Total P&amp;C'!$BA$94,'[2]Total P&amp;C'!$BD$94)/1000/BI60</f>
        <v>0.32864036052144846</v>
      </c>
      <c r="BJ63" s="60">
        <f>-SUM('[2]Total P&amp;C'!$O$95,'[2]Total P&amp;C'!$R$95:$V$95,'[2]Total P&amp;C'!$Y$95,'[2]Total P&amp;C'!$AB$95,'[2]Total P&amp;C'!$AU$95,'[2]Total P&amp;C'!$AX$95,'[2]Total P&amp;C'!$BA$95,'[2]Total P&amp;C'!$BD$95)/1000/BJ60</f>
        <v>0.41140840559538333</v>
      </c>
      <c r="BK63" s="60">
        <f>-SUM('[2]Total P&amp;C'!$O$96,'[2]Total P&amp;C'!$R$96:$V$96,'[2]Total P&amp;C'!$Y$96,'[2]Total P&amp;C'!$AB$96,'[2]Total P&amp;C'!$AU$96,'[2]Total P&amp;C'!$AX$96,'[2]Total P&amp;C'!$BA$96,'[2]Total P&amp;C'!$BD$96)/1000/BK60</f>
        <v>0.34040346873213978</v>
      </c>
      <c r="BM63" s="85">
        <f>-SUM('[3]Total P&amp;C'!$O$94,'[3]Total P&amp;C'!$R$94:$V$94,'[3]Total P&amp;C'!$Y$94,'[3]Total P&amp;C'!$AB$94,'[3]Total P&amp;C'!$AU$94,'[3]Total P&amp;C'!$AX$94,'[3]Total P&amp;C'!$BA$94,'[3]Total P&amp;C'!$BD$94)/1000/BM60</f>
        <v>0.31270582117804707</v>
      </c>
      <c r="BN63" s="60">
        <f>-SUM('[3]Total P&amp;C'!$O$95,'[3]Total P&amp;C'!$R$95:$V$95,'[3]Total P&amp;C'!$Y$95,'[3]Total P&amp;C'!$AB$95,'[3]Total P&amp;C'!$AU$95,'[3]Total P&amp;C'!$AX$95,'[3]Total P&amp;C'!$BA$95,'[3]Total P&amp;C'!$BD$95)/1000/BN60</f>
        <v>0.35613812876700729</v>
      </c>
      <c r="BO63" s="60">
        <f>-SUM('[3]Total P&amp;C'!$O$96,'[3]Total P&amp;C'!$R$96:$V$96,'[3]Total P&amp;C'!$Y$96,'[3]Total P&amp;C'!$AB$96,'[3]Total P&amp;C'!$AU$96,'[3]Total P&amp;C'!$AX$96,'[3]Total P&amp;C'!$BA$96,'[3]Total P&amp;C'!$BD$96)/1000/BO60</f>
        <v>0.31370009024852924</v>
      </c>
    </row>
    <row r="64" spans="1:67" ht="14.5" hidden="1" x14ac:dyDescent="0.3">
      <c r="A64" s="212"/>
      <c r="B64" s="115"/>
      <c r="C64" s="38" t="s">
        <v>24</v>
      </c>
      <c r="D64" s="134"/>
      <c r="E64" s="74">
        <f>-([1]Retail!$P$94+[1]Retail!$W$94+[1]Retail!$AV$94+[1]Retail!$AY$94)/1000/E60</f>
        <v>0</v>
      </c>
      <c r="F64" s="42">
        <f>-([1]Retail!$P$95+[1]Retail!$W$95+[1]Retail!$AV$95+[1]Retail!$AY$95)/1000/F60</f>
        <v>0</v>
      </c>
      <c r="G64" s="42" t="e">
        <f>-([1]Retail!$P$96+[1]Retail!$W$96+[1]Retail!$AV$96+[1]Retail!$AY$96)/1000/G60</f>
        <v>#DIV/0!</v>
      </c>
      <c r="H64" s="134"/>
      <c r="I64" s="74">
        <f>-([1]SME!$P$94+[1]SME!$W$94+[1]SME!$AV$94+[1]SME!$AY$94)/1000/I60</f>
        <v>1.8637053563341552E-4</v>
      </c>
      <c r="J64" s="42">
        <f>-([1]SME!$P$95+[1]SME!$W$95+[1]SME!$AV$95+[1]SME!$AY$95)/1000/J60</f>
        <v>0</v>
      </c>
      <c r="K64" s="42">
        <f>-([1]SME!$P$96+[1]SME!$W$96+[1]SME!$AV$96+[1]SME!$AY$96)/1000/K60</f>
        <v>6.8293425752384465E-2</v>
      </c>
      <c r="L64" s="134"/>
      <c r="M64" s="74">
        <f>-([1]MidCorp!$P$94+[1]MidCorp!$W$94+[1]MidCorp!$AV$94+[1]MidCorp!$AY$94)/1000/M60</f>
        <v>1.4119558436729476E-2</v>
      </c>
      <c r="N64" s="42">
        <f>-([1]MidCorp!$P$95+[1]MidCorp!$W$95+[1]MidCorp!$AV$95+[1]MidCorp!$AY$95)/1000/N60</f>
        <v>0</v>
      </c>
      <c r="O64" s="42">
        <f>-([1]MidCorp!$P$96+[1]MidCorp!$W$96+[1]MidCorp!$AV$96+[1]MidCorp!$AY$96)/1000/O60</f>
        <v>6.114644018318835E-2</v>
      </c>
      <c r="P64" s="134"/>
      <c r="Q64" s="74">
        <f>-([1]MGA!$P$94+[1]MGA!$W$94+[1]MGA!$AV$94+[1]MGA!$AY$94)/1000/Q60</f>
        <v>1.6255810125178523E-3</v>
      </c>
      <c r="R64" s="42">
        <f>-([1]MGA!$P$95+[1]MGA!$W$95+[1]MGA!$AV$95+[1]MGA!$AY$95)/1000/R60</f>
        <v>0</v>
      </c>
      <c r="S64" s="42">
        <f>-([1]MGA!$P$96+[1]MGA!$W$96+[1]MGA!$AV$96+[1]MGA!$AY$96)/1000/S60</f>
        <v>8.3227126338662596E-2</v>
      </c>
      <c r="T64" s="134"/>
      <c r="U64" s="74"/>
      <c r="V64" s="42"/>
      <c r="W64" s="42">
        <f>-([1]Bancassurance!$P$96+[1]Bancassurance!$W$96+[1]Bancassurance!$AV$96+[1]Bancassurance!$AY$96)/1000/W60</f>
        <v>0.17637625668514795</v>
      </c>
      <c r="X64" s="134"/>
      <c r="Y64" s="97"/>
      <c r="Z64" s="42"/>
      <c r="AA64" s="42"/>
      <c r="AB64" s="134"/>
      <c r="AC64" s="85">
        <f>-('[1]Total P&amp;C'!$P$94+'[1]Total P&amp;C'!$W$94+'[1]Total P&amp;C'!$AV$94+'[1]Total P&amp;C'!$AY$94)/1000/AC60</f>
        <v>1.0678184005877403E-2</v>
      </c>
      <c r="AD64" s="60">
        <f>-('[1]Total P&amp;C'!$P$95+'[1]Total P&amp;C'!$W$95+'[1]Total P&amp;C'!$AV$95+'[1]Total P&amp;C'!$AY$95)/1000/AD60</f>
        <v>0</v>
      </c>
      <c r="AE64" s="60">
        <f>-('[1]Total P&amp;C'!$P$96+'[1]Total P&amp;C'!$W$96+'[1]Total P&amp;C'!$AV$96+'[1]Total P&amp;C'!$AY$96)/1000/AE60</f>
        <v>6.4515344213185499E-2</v>
      </c>
      <c r="AG64" s="212"/>
      <c r="AH64" s="115"/>
      <c r="AI64" s="38" t="s">
        <v>24</v>
      </c>
      <c r="AJ64" s="134"/>
      <c r="AK64" s="74">
        <f>-([2]Retail!$P$94+[2]Retail!$W$94+[2]Retail!$AV$94+[2]Retail!$AY$94)/1000/AK60</f>
        <v>1.130277765015484E-2</v>
      </c>
      <c r="AL64" s="42">
        <f>-([2]Retail!$P$95+[2]Retail!$W$95+[2]Retail!$AV$95+[2]Retail!$AY$95)/1000/AL60</f>
        <v>0</v>
      </c>
      <c r="AM64" s="42">
        <f>-([2]Retail!$P$96+[2]Retail!$W$96+[2]Retail!$AV$96+[2]Retail!$AY$96)/1000/AM60</f>
        <v>6.8877997550067557E-2</v>
      </c>
      <c r="AN64" s="134"/>
      <c r="AO64" s="74">
        <f>-([2]SME!$P$94+[2]SME!$W$94+[2]SME!$AV$94+[2]SME!$AY$94)/1000/AO60</f>
        <v>3.9802694093801407E-3</v>
      </c>
      <c r="AP64" s="42">
        <f>-([2]SME!$P$95+[2]SME!$W$95+[2]SME!$AV$95+[2]SME!$AY$95)/1000/AP60</f>
        <v>0</v>
      </c>
      <c r="AQ64" s="42">
        <f>-([2]SME!$P$96+[2]SME!$W$96+[2]SME!$AV$96+[2]SME!$AY$96)/1000/AQ60</f>
        <v>6.8688997109061178E-2</v>
      </c>
      <c r="AR64" s="134"/>
      <c r="AS64" s="74">
        <f>-([2]MidCorp!$P$94+[2]MidCorp!$W$94+[2]MidCorp!$AV$94+[2]MidCorp!$AY$94)/1000/AS60</f>
        <v>4.5492531757092064E-3</v>
      </c>
      <c r="AT64" s="42">
        <f>-([2]MidCorp!$P$95+[2]MidCorp!$W$95+[2]MidCorp!$AV$95+[2]MidCorp!$AY$95)/1000/AT60</f>
        <v>0</v>
      </c>
      <c r="AU64" s="42">
        <f>-([2]MidCorp!$P$96+[2]MidCorp!$W$96+[2]MidCorp!$AV$96+[2]MidCorp!$AY$96)/1000/AU60</f>
        <v>4.7084856829678542E-2</v>
      </c>
      <c r="AV64" s="134"/>
      <c r="AW64" s="97"/>
      <c r="AX64" s="42"/>
      <c r="AY64" s="42"/>
      <c r="AZ64" s="134"/>
      <c r="BA64" s="97"/>
      <c r="BB64" s="42"/>
      <c r="BC64" s="42"/>
      <c r="BD64" s="134"/>
      <c r="BE64" s="97"/>
      <c r="BF64" s="42"/>
      <c r="BG64" s="42"/>
      <c r="BH64" s="134"/>
      <c r="BI64" s="85">
        <f>-('[2]Total P&amp;C'!$P$94+'[2]Total P&amp;C'!$W$94+'[2]Total P&amp;C'!$AV$94+'[2]Total P&amp;C'!$AY$94)/1000/BI60</f>
        <v>7.146273891738949E-3</v>
      </c>
      <c r="BJ64" s="60">
        <f>-('[2]Total P&amp;C'!$P$95+'[2]Total P&amp;C'!$W$95+'[2]Total P&amp;C'!$AV$95+'[2]Total P&amp;C'!$AY$95)/1000/BJ60</f>
        <v>0</v>
      </c>
      <c r="BK64" s="60">
        <f>-('[2]Total P&amp;C'!$P$96+'[2]Total P&amp;C'!$W$96+'[2]Total P&amp;C'!$AV$96+'[2]Total P&amp;C'!$AY$96)/1000/BK60</f>
        <v>5.7794488236392577E-2</v>
      </c>
      <c r="BM64" s="85">
        <f>-('[3]Total P&amp;C'!$P$94+'[3]Total P&amp;C'!$W$94+'[3]Total P&amp;C'!$AV$94+'[3]Total P&amp;C'!$AY$94)/1000/BM60</f>
        <v>9.4085899286667999E-3</v>
      </c>
      <c r="BN64" s="60">
        <f>-('[3]Total P&amp;C'!$P$95+'[3]Total P&amp;C'!$W$95+'[3]Total P&amp;C'!$AV$95+'[3]Total P&amp;C'!$AY$95)/1000/BN60</f>
        <v>0</v>
      </c>
      <c r="BO64" s="60">
        <f>-('[3]Total P&amp;C'!$P$96+'[3]Total P&amp;C'!$W$96+'[3]Total P&amp;C'!$AV$96+'[3]Total P&amp;C'!$AY$96)/1000/BO60</f>
        <v>6.228509313978231E-2</v>
      </c>
    </row>
    <row r="65" spans="1:67" ht="14.5" hidden="1" x14ac:dyDescent="0.3">
      <c r="A65" s="212"/>
      <c r="B65" s="115"/>
      <c r="C65" s="38" t="s">
        <v>25</v>
      </c>
      <c r="D65" s="134"/>
      <c r="E65" s="74">
        <f>-([1]Retail!$Q$94+[1]Retail!$X$94+[1]Retail!$AW$94+[1]Retail!$AZ$94)/1000/E60</f>
        <v>0</v>
      </c>
      <c r="F65" s="42">
        <f>-([1]Retail!$Q$95+[1]Retail!$X$95+[1]Retail!$AW$95+[1]Retail!$AZ$95)/1000/F60</f>
        <v>3.5849106196028845E-2</v>
      </c>
      <c r="G65" s="42" t="e">
        <f>-([1]Retail!$Q$96+[1]Retail!$X$96+[1]Retail!$AW$96+[1]Retail!$AZ$96)/1000/G60</f>
        <v>#DIV/0!</v>
      </c>
      <c r="H65" s="134"/>
      <c r="I65" s="74">
        <f>-([1]SME!$Q$94+[1]SME!$X$94+[1]SME!$AW$94+[1]SME!$AZ$94)/1000/I60</f>
        <v>6.5746894932730074E-2</v>
      </c>
      <c r="J65" s="42">
        <f>-([1]SME!$Q$95+[1]SME!$X$95+[1]SME!$AW$95+[1]SME!$AZ$95)/1000/J60</f>
        <v>0.20919698977667284</v>
      </c>
      <c r="K65" s="42">
        <f>-([1]SME!$Q$96+[1]SME!$X$96+[1]SME!$AW$96+[1]SME!$AZ$96)/1000/K60</f>
        <v>0.16455742933692652</v>
      </c>
      <c r="L65" s="134"/>
      <c r="M65" s="73">
        <f>-([1]MidCorp!$Q$94+[1]MidCorp!$X$94+[1]MidCorp!$AW$94+[1]MidCorp!$AZ$94)/1000/M60</f>
        <v>0.26082203109503393</v>
      </c>
      <c r="N65" s="42">
        <f>-([1]MidCorp!$Q$95+[1]MidCorp!$X$95+[1]MidCorp!$AW$95+[1]MidCorp!$AZ$95)/1000/N60</f>
        <v>0.25212781513997246</v>
      </c>
      <c r="O65" s="42">
        <f>-([1]MidCorp!$Q$96+[1]MidCorp!$X$96+[1]MidCorp!$AW$96+[1]MidCorp!$AZ$96)/1000/O60</f>
        <v>0.23823763605447029</v>
      </c>
      <c r="P65" s="134"/>
      <c r="Q65" s="73">
        <f>-([1]MGA!$Q$94+[1]MGA!$X$94+[1]MGA!$AW$94+[1]MGA!$AZ$94)/1000/Q60</f>
        <v>0.18403683711735816</v>
      </c>
      <c r="R65" s="42">
        <f>-([1]MGA!$Q$95+[1]MGA!$X$95+[1]MGA!$AW$95+[1]MGA!$AZ$95)/1000/R60</f>
        <v>8.8933004074051095E-2</v>
      </c>
      <c r="S65" s="42">
        <f>-([1]MGA!$Q$96+[1]MGA!$X$96+[1]MGA!$AW$96+[1]MGA!$AZ$96)/1000/S60</f>
        <v>7.8669665299887892E-2</v>
      </c>
      <c r="T65" s="134"/>
      <c r="U65" s="74"/>
      <c r="V65" s="42"/>
      <c r="W65" s="42">
        <f>-([1]Bancassurance!$Q$96+[1]Bancassurance!$X$96+[1]Bancassurance!$AW$96+[1]Bancassurance!$AZ$96)/1000/W60</f>
        <v>5.9000000000000011E-2</v>
      </c>
      <c r="X65" s="134"/>
      <c r="Y65" s="97"/>
      <c r="Z65" s="42"/>
      <c r="AA65" s="42"/>
      <c r="AB65" s="134"/>
      <c r="AC65" s="99">
        <f>-('[1]Total P&amp;C'!$Q$94+'[1]Total P&amp;C'!$X$94+'[1]Total P&amp;C'!$AW$94+'[1]Total P&amp;C'!$AZ$94)/1000/AC60</f>
        <v>0.21674677716861876</v>
      </c>
      <c r="AD65" s="60">
        <f>-('[1]Total P&amp;C'!$Q$95+'[1]Total P&amp;C'!$X$95+'[1]Total P&amp;C'!$AW$95+'[1]Total P&amp;C'!$AZ$95)/1000/AD60</f>
        <v>0.2300360315811712</v>
      </c>
      <c r="AE65" s="60">
        <f>-('[1]Total P&amp;C'!$Q$96+'[1]Total P&amp;C'!$X$96+'[1]Total P&amp;C'!$AW$96+'[1]Total P&amp;C'!$AZ$96)/1000/AE60</f>
        <v>0.21380740783867752</v>
      </c>
      <c r="AG65" s="212"/>
      <c r="AH65" s="115"/>
      <c r="AI65" s="38" t="s">
        <v>25</v>
      </c>
      <c r="AJ65" s="134"/>
      <c r="AK65" s="74">
        <f>-([2]Retail!$Q$94+[2]Retail!$X$94+[2]Retail!$AW$94+[2]Retail!$AZ$94)/1000/AK60</f>
        <v>2.555307020407762E-2</v>
      </c>
      <c r="AL65" s="42">
        <f>-([2]Retail!$Q$95+[2]Retail!$X$95+[2]Retail!$AW$95+[2]Retail!$AZ$95)/1000/AL60</f>
        <v>3.9192699894860399E-2</v>
      </c>
      <c r="AM65" s="42">
        <f>-([2]Retail!$Q$96+[2]Retail!$X$96+[2]Retail!$AW$96+[2]Retail!$AZ$96)/1000/AM60</f>
        <v>4.3048680878170167E-2</v>
      </c>
      <c r="AN65" s="134"/>
      <c r="AO65" s="73">
        <f>-([2]SME!$Q$94+[2]SME!$X$94+[2]SME!$AW$94+[2]SME!$AZ$94)/1000/AO60</f>
        <v>0.1202925026656097</v>
      </c>
      <c r="AP65" s="42">
        <f>-([2]SME!$Q$95+[2]SME!$X$95+[2]SME!$AW$95+[2]SME!$AZ$95)/1000/AP60</f>
        <v>3.7042148893079017E-2</v>
      </c>
      <c r="AQ65" s="42">
        <f>-([2]SME!$Q$96+[2]SME!$X$96+[2]SME!$AW$96+[2]SME!$AZ$96)/1000/AQ60</f>
        <v>7.3780373310146294E-2</v>
      </c>
      <c r="AR65" s="134"/>
      <c r="AS65" s="97">
        <f>-([2]MidCorp!$Q$94+[2]MidCorp!$X$94+[2]MidCorp!$AW$94+[2]MidCorp!$AZ$94)/1000/AS60</f>
        <v>0.12185558943369795</v>
      </c>
      <c r="AT65" s="42">
        <f>-([2]MidCorp!$Q$95+[2]MidCorp!$X$95+[2]MidCorp!$AW$95+[2]MidCorp!$AZ$95)/1000/AT60</f>
        <v>5.1475450941563416E-2</v>
      </c>
      <c r="AU65" s="42">
        <f>-([2]MidCorp!$Q$96+[2]MidCorp!$X$96+[2]MidCorp!$AW$96+[2]MidCorp!$AZ$96)/1000/AU60</f>
        <v>0.11750706269892415</v>
      </c>
      <c r="AV65" s="134"/>
      <c r="AW65" s="97"/>
      <c r="AX65" s="42"/>
      <c r="AY65" s="42"/>
      <c r="AZ65" s="134"/>
      <c r="BA65" s="97"/>
      <c r="BB65" s="42"/>
      <c r="BC65" s="42"/>
      <c r="BD65" s="134"/>
      <c r="BE65" s="97"/>
      <c r="BF65" s="42"/>
      <c r="BG65" s="42"/>
      <c r="BH65" s="134"/>
      <c r="BI65" s="85">
        <f>-('[2]Total P&amp;C'!$Q$94+'[2]Total P&amp;C'!$X$94+'[2]Total P&amp;C'!$AW$94+'[2]Total P&amp;C'!$AZ$94)/1000/BI60</f>
        <v>8.3577970927070214E-2</v>
      </c>
      <c r="BJ65" s="60">
        <f>-('[2]Total P&amp;C'!$Q$95+'[2]Total P&amp;C'!$X$95+'[2]Total P&amp;C'!$AW$95+'[2]Total P&amp;C'!$AZ$95)/1000/BJ60</f>
        <v>4.4555401104336693E-2</v>
      </c>
      <c r="BK65" s="60">
        <f>-('[2]Total P&amp;C'!$Q$96+'[2]Total P&amp;C'!$X$96+'[2]Total P&amp;C'!$AW$96+'[2]Total P&amp;C'!$AZ$96)/1000/BK60</f>
        <v>8.457944855678666E-2</v>
      </c>
      <c r="BM65" s="85">
        <f>-('[3]Total P&amp;C'!$Q$94+'[3]Total P&amp;C'!$X$94+'[3]Total P&amp;C'!$AW$94+'[3]Total P&amp;C'!$AZ$94)/1000/BM60</f>
        <v>0.16887740274805313</v>
      </c>
      <c r="BN65" s="60">
        <f>-('[3]Total P&amp;C'!$Q$95+'[3]Total P&amp;C'!$X$95+'[3]Total P&amp;C'!$AW$95+'[3]Total P&amp;C'!$AZ$95)/1000/BN60</f>
        <v>0.16285835405595817</v>
      </c>
      <c r="BO65" s="60">
        <f>-('[3]Total P&amp;C'!$Q$96+'[3]Total P&amp;C'!$X$96+'[3]Total P&amp;C'!$AW$96+'[3]Total P&amp;C'!$AZ$96)/1000/BO60</f>
        <v>0.17092435902803033</v>
      </c>
    </row>
    <row r="66" spans="1:67" ht="14.5" hidden="1" x14ac:dyDescent="0.3">
      <c r="A66" s="212"/>
      <c r="B66" s="115"/>
      <c r="C66" s="38" t="s">
        <v>53</v>
      </c>
      <c r="D66" s="134"/>
      <c r="E66" s="73">
        <f>-[1]Retail!$AT$94/1000/E60</f>
        <v>1.7178233694442903E-3</v>
      </c>
      <c r="F66" s="42">
        <f>-[1]Retail!$AT$95/1000/F60</f>
        <v>0.25038779934205063</v>
      </c>
      <c r="G66" s="42" t="e">
        <f>-[1]Retail!$AT$96/1000/G60</f>
        <v>#DIV/0!</v>
      </c>
      <c r="H66" s="134"/>
      <c r="I66" s="74">
        <f>-[1]SME!$AT$94/1000/I60</f>
        <v>7.0849594110768979E-2</v>
      </c>
      <c r="J66" s="42">
        <f>-[1]SME!$AT$95/1000/J60</f>
        <v>6.4739504956294894E-2</v>
      </c>
      <c r="K66" s="42">
        <f>-[1]SME!$AT$96/1000/K60</f>
        <v>7.8167883479663539E-2</v>
      </c>
      <c r="L66" s="134"/>
      <c r="M66" s="74">
        <f>-[1]MidCorp!$AT$94/1000/M60</f>
        <v>8.9522715061901792E-2</v>
      </c>
      <c r="N66" s="42">
        <f>-[1]MidCorp!$AT$95/1000/N60</f>
        <v>9.2958745468704945E-2</v>
      </c>
      <c r="O66" s="42">
        <f>-[1]MidCorp!$AT$96/1000/O60</f>
        <v>9.0491596305427316E-2</v>
      </c>
      <c r="P66" s="134"/>
      <c r="Q66" s="73">
        <f>-[1]MGA!$AT$94/1000/Q60</f>
        <v>0.12034088281599552</v>
      </c>
      <c r="R66" s="42">
        <f>-[1]MGA!$AT$95/1000/R60</f>
        <v>0.11694252390174778</v>
      </c>
      <c r="S66" s="42">
        <f>-[1]MGA!$AT$96/1000/S60</f>
        <v>7.2480154179703798E-2</v>
      </c>
      <c r="T66" s="134"/>
      <c r="U66" s="74"/>
      <c r="V66" s="42"/>
      <c r="W66" s="42">
        <f>-[1]Bancassurance!$AT$96/1000/W60</f>
        <v>6.347982590438965E-2</v>
      </c>
      <c r="X66" s="134"/>
      <c r="Y66" s="97"/>
      <c r="Z66" s="42"/>
      <c r="AA66" s="42"/>
      <c r="AB66" s="134"/>
      <c r="AC66" s="85">
        <f>-'[1]Total P&amp;C'!$AT$94/1000/AC60</f>
        <v>8.6577766244992194E-2</v>
      </c>
      <c r="AD66" s="60">
        <f>-'[1]Total P&amp;C'!$AT$95/1000/AD60</f>
        <v>9.4011680845272158E-2</v>
      </c>
      <c r="AE66" s="60">
        <f>-'[1]Total P&amp;C'!$AT$96/1000/AE60</f>
        <v>8.717490003478702E-2</v>
      </c>
      <c r="AG66" s="212"/>
      <c r="AH66" s="115"/>
      <c r="AI66" s="38" t="s">
        <v>53</v>
      </c>
      <c r="AJ66" s="134"/>
      <c r="AK66" s="74">
        <f>-[2]Retail!$AT$94/1000/AK60</f>
        <v>9.9041716349055037E-2</v>
      </c>
      <c r="AL66" s="42">
        <f>-[2]Retail!$AT$95/1000/AL60</f>
        <v>0.10269424435427968</v>
      </c>
      <c r="AM66" s="42">
        <f>-[2]Retail!$AT$96/1000/AM60</f>
        <v>0.10370304939857085</v>
      </c>
      <c r="AN66" s="134"/>
      <c r="AO66" s="74">
        <f>-[2]SME!$AT$94/1000/AO60</f>
        <v>0.13950763764956528</v>
      </c>
      <c r="AP66" s="42">
        <f>-[2]SME!$AT$95/1000/AP60</f>
        <v>9.3196293165510924E-2</v>
      </c>
      <c r="AQ66" s="42">
        <f>-[2]SME!$AT$96/1000/AQ60</f>
        <v>0.14160610830676576</v>
      </c>
      <c r="AR66" s="134"/>
      <c r="AS66" s="73">
        <f>-[2]MidCorp!$AT$94/1000/AS60</f>
        <v>0.12233099240655539</v>
      </c>
      <c r="AT66" s="42">
        <f>-[2]MidCorp!$AT$95/1000/AT60</f>
        <v>0.13961197049620108</v>
      </c>
      <c r="AU66" s="42">
        <f>-[2]MidCorp!$AT$96/1000/AU60</f>
        <v>0.11150402330433615</v>
      </c>
      <c r="AV66" s="134"/>
      <c r="AW66" s="97"/>
      <c r="AX66" s="42"/>
      <c r="AY66" s="42"/>
      <c r="AZ66" s="134"/>
      <c r="BA66" s="97"/>
      <c r="BB66" s="42"/>
      <c r="BC66" s="42"/>
      <c r="BD66" s="134"/>
      <c r="BE66" s="97"/>
      <c r="BF66" s="42"/>
      <c r="BG66" s="42"/>
      <c r="BH66" s="134"/>
      <c r="BI66" s="84">
        <f>-'[2]Total P&amp;C'!$AT$94/1000/BI60</f>
        <v>0.11533303181021991</v>
      </c>
      <c r="BJ66" s="60">
        <f>-'[2]Total P&amp;C'!$AT$95/1000/BJ60</f>
        <v>0.11840422046103764</v>
      </c>
      <c r="BK66" s="60">
        <f>-'[2]Total P&amp;C'!$AT$96/1000/BK60</f>
        <v>0.11227680808336175</v>
      </c>
      <c r="BM66" s="84">
        <f>-'[3]Total P&amp;C'!$AT$94/1000/BM60</f>
        <v>9.6914245280539893E-2</v>
      </c>
      <c r="BN66" s="60">
        <f>-'[3]Total P&amp;C'!$AT$95/1000/BN60</f>
        <v>0.10284621066176174</v>
      </c>
      <c r="BO66" s="60">
        <f>-'[3]Total P&amp;C'!$AT$96/1000/BO60</f>
        <v>9.550472551581396E-2</v>
      </c>
    </row>
    <row r="67" spans="1:67" hidden="1" x14ac:dyDescent="0.3">
      <c r="A67" s="212"/>
      <c r="B67" s="115"/>
      <c r="C67" s="116" t="s">
        <v>27</v>
      </c>
      <c r="D67" s="134"/>
      <c r="E67" s="126">
        <f>-([1]Retail!$Z$94+[1]Retail!$AA$94+[1]Retail!$BB$94+[1]Retail!$BC$94)/1000/E60</f>
        <v>-1.0734640854537238E-3</v>
      </c>
      <c r="F67" s="127">
        <f>-([1]Retail!$Z$95+[1]Retail!$AA$95+[1]Retail!$BB$95+[1]Retail!$BC$95)/1000/F60</f>
        <v>-8.6478311703324078E-3</v>
      </c>
      <c r="G67" s="127" t="e">
        <f>-([1]Retail!$Z$96+[1]Retail!$AA$96+[1]Retail!$BB$96+[1]Retail!$BC$96)/1000/G60</f>
        <v>#DIV/0!</v>
      </c>
      <c r="H67" s="134"/>
      <c r="I67" s="126">
        <f>-([1]SME!$Z$94+[1]SME!$AA$94+[1]SME!$BB$94+[1]SME!$BC$94)/1000/I60</f>
        <v>-6.8244352611735691E-3</v>
      </c>
      <c r="J67" s="127">
        <f>-([1]SME!$Z$95+[1]SME!$AA$95+[1]SME!$BB$95+[1]SME!$BC$95)/1000/J60</f>
        <v>-9.9913948925698139E-3</v>
      </c>
      <c r="K67" s="127">
        <f>-([1]SME!$Z$96+[1]SME!$AA$96+[1]SME!$BB$96+[1]SME!$BC$96)/1000/K60</f>
        <v>-4.3002889742809174E-3</v>
      </c>
      <c r="L67" s="134"/>
      <c r="M67" s="126">
        <f>-([1]MidCorp!$Z$94+[1]MidCorp!$AA$94+[1]MidCorp!$BB$94+[1]MidCorp!$BC$94)/1000/M60</f>
        <v>-1.2240256583046385E-2</v>
      </c>
      <c r="N67" s="127">
        <f>-([1]MidCorp!$Z$95+[1]MidCorp!$AA$95+[1]MidCorp!$BB$95+[1]MidCorp!$BC$95)/1000/N60</f>
        <v>-1.3432554823669842E-2</v>
      </c>
      <c r="O67" s="127">
        <f>-([1]MidCorp!$Z$96+[1]MidCorp!$AA$96+[1]MidCorp!$BB$96+[1]MidCorp!$BC$96)/1000/O60</f>
        <v>-5.7100122535512967E-3</v>
      </c>
      <c r="P67" s="134"/>
      <c r="Q67" s="126">
        <f>-([1]MGA!$Z$94+[1]MGA!$AA$94+[1]MGA!$BB$94+[1]MGA!$BC$94)/1000/Q60</f>
        <v>-9.9615027642374603E-3</v>
      </c>
      <c r="R67" s="127">
        <f>-([1]MGA!$Z$95+[1]MGA!$AA$95+[1]MGA!$BB$95+[1]MGA!$BC$95)/1000/R60</f>
        <v>-8.4117132766014964E-3</v>
      </c>
      <c r="S67" s="127">
        <f>-([1]MGA!$Z$96+[1]MGA!$AA$96+[1]MGA!$BB$96+[1]MGA!$BC$96)/1000/S60</f>
        <v>-3.4017973348490693E-3</v>
      </c>
      <c r="T67" s="134"/>
      <c r="U67" s="128"/>
      <c r="V67" s="127"/>
      <c r="W67" s="127">
        <f>-([1]Bancassurance!$Z$96+[1]Bancassurance!$AA$96+[1]Bancassurance!$BB$96+[1]Bancassurance!$BC$96)/1000/W60</f>
        <v>-6.9539592941726932E-3</v>
      </c>
      <c r="X67" s="134"/>
      <c r="Y67" s="128"/>
      <c r="Z67" s="127"/>
      <c r="AA67" s="127"/>
      <c r="AB67" s="134"/>
      <c r="AC67" s="132">
        <f>-('[1]Total P&amp;C'!$Z$94+'[1]Total P&amp;C'!$AA$94+'[1]Total P&amp;C'!$BB$94+'[1]Total P&amp;C'!$BC$94)/1000/AC60</f>
        <v>-1.0924673407586467E-2</v>
      </c>
      <c r="AD67" s="130">
        <f>-('[1]Total P&amp;C'!$Z$95+'[1]Total P&amp;C'!$AA$95+'[1]Total P&amp;C'!$BB$95+'[1]Total P&amp;C'!$BC$95)/1000/AD60</f>
        <v>-1.2431763818479345E-2</v>
      </c>
      <c r="AE67" s="130">
        <f>-('[1]Total P&amp;C'!$Z$96+'[1]Total P&amp;C'!$AA$96+'[1]Total P&amp;C'!$BB$96+'[1]Total P&amp;C'!$BC$96)/1000/AE60</f>
        <v>-5.3277563522262719E-3</v>
      </c>
      <c r="AG67" s="212"/>
      <c r="AH67" s="115"/>
      <c r="AI67" s="116" t="s">
        <v>27</v>
      </c>
      <c r="AJ67" s="134"/>
      <c r="AK67" s="126">
        <f>-([2]Retail!$Z$94+[2]Retail!$AA$94+[2]Retail!$BB$94+[2]Retail!$BC$94)/1000/AK60</f>
        <v>-1.3046384649808207E-2</v>
      </c>
      <c r="AL67" s="127">
        <f>-([2]Retail!$Z$95+[2]Retail!$AA$95+[2]Retail!$BB$95+[2]Retail!$BC$95)/1000/AL60</f>
        <v>-1.497357932480054E-2</v>
      </c>
      <c r="AM67" s="127">
        <f>-([2]Retail!$Z$96+[2]Retail!$AA$96+[2]Retail!$BB$96+[2]Retail!$BC$96)/1000/AM60</f>
        <v>-6.3464252960261404E-3</v>
      </c>
      <c r="AN67" s="134"/>
      <c r="AO67" s="126">
        <f>-([2]SME!$Z$94+[2]SME!$AA$94+[2]SME!$BB$94+[2]SME!$BC$94)/1000/AO60</f>
        <v>-1.2174786232578314E-2</v>
      </c>
      <c r="AP67" s="127">
        <f>-([2]SME!$Z$95+[2]SME!$AA$95+[2]SME!$BB$95+[2]SME!$BC$95)/1000/AP60</f>
        <v>-9.3565210757812576E-3</v>
      </c>
      <c r="AQ67" s="127">
        <f>-([2]SME!$Z$96+[2]SME!$AA$96+[2]SME!$BB$96+[2]SME!$BC$96)/1000/AQ60</f>
        <v>-6.6127943624310027E-3</v>
      </c>
      <c r="AR67" s="134"/>
      <c r="AS67" s="126">
        <f>-([2]MidCorp!$Z$94+[2]MidCorp!$AA$94+[2]MidCorp!$BB$94+[2]MidCorp!$BC$94)/1000/AS60</f>
        <v>-1.5005038835030874E-2</v>
      </c>
      <c r="AT67" s="127">
        <f>-([2]MidCorp!$Z$95+[2]MidCorp!$AA$95+[2]MidCorp!$BB$95+[2]MidCorp!$BC$95)/1000/AT60</f>
        <v>-1.6247960383524832E-2</v>
      </c>
      <c r="AU67" s="127">
        <f>-([2]MidCorp!$Z$96+[2]MidCorp!$AA$96+[2]MidCorp!$BB$96+[2]MidCorp!$BC$96)/1000/AU60</f>
        <v>-1.0883175207760718E-2</v>
      </c>
      <c r="AV67" s="134"/>
      <c r="AW67" s="131"/>
      <c r="AX67" s="127"/>
      <c r="AY67" s="127"/>
      <c r="AZ67" s="134"/>
      <c r="BA67" s="131"/>
      <c r="BB67" s="127"/>
      <c r="BC67" s="127"/>
      <c r="BD67" s="134"/>
      <c r="BE67" s="131"/>
      <c r="BF67" s="127"/>
      <c r="BG67" s="127"/>
      <c r="BH67" s="134"/>
      <c r="BI67" s="132">
        <f>-('[2]Total P&amp;C'!$Z$94+'[2]Total P&amp;C'!$AA$94+'[2]Total P&amp;C'!$BB$94+'[2]Total P&amp;C'!$BC$94)/1000/BI60</f>
        <v>-1.3866428138453839E-2</v>
      </c>
      <c r="BJ67" s="130">
        <f>-('[2]Total P&amp;C'!$Z$95+'[2]Total P&amp;C'!$AA$95+'[2]Total P&amp;C'!$BB$95+'[2]Total P&amp;C'!$BC$95)/1000/BJ60</f>
        <v>-1.4803840455144001E-2</v>
      </c>
      <c r="BK67" s="130">
        <f>-('[2]Total P&amp;C'!$Z$96+'[2]Total P&amp;C'!$AA$96+'[2]Total P&amp;C'!$BB$96+'[2]Total P&amp;C'!$BC$96)/1000/BK60</f>
        <v>-8.6813555207696531E-3</v>
      </c>
      <c r="BM67" s="132">
        <f>-('[3]Total P&amp;C'!$Z$94+'[3]Total P&amp;C'!$AA$94+'[3]Total P&amp;C'!$BB$94+'[3]Total P&amp;C'!$BC$94)/1000/BM60</f>
        <v>-1.1982127946977129E-2</v>
      </c>
      <c r="BN67" s="130">
        <f>-('[3]Total P&amp;C'!$Z$95+'[3]Total P&amp;C'!$AA$95+'[3]Total P&amp;C'!$BB$95+'[3]Total P&amp;C'!$BC$95)/1000/BN60</f>
        <v>-1.3290886406931256E-2</v>
      </c>
      <c r="BO67" s="130">
        <f>-('[3]Total P&amp;C'!$Z$96+'[3]Total P&amp;C'!$AA$96+'[3]Total P&amp;C'!$BB$96+'[3]Total P&amp;C'!$BC$96)/1000/BO60</f>
        <v>-6.4406158110859963E-3</v>
      </c>
    </row>
    <row r="68" spans="1:67" hidden="1" x14ac:dyDescent="0.3">
      <c r="A68" s="212"/>
      <c r="B68" s="115"/>
      <c r="C68" s="116" t="s">
        <v>57</v>
      </c>
      <c r="D68" s="134"/>
      <c r="E68" s="128">
        <f>-SUM([1]Retail!$AC$94:$AI$94,[1]Retail!$BE$94:$BG$94)/1000/E60</f>
        <v>-5.690293231936836E-3</v>
      </c>
      <c r="F68" s="127">
        <f>-SUM([1]Retail!$AC$95:$AI$95,[1]Retail!$BE$95:$BG$95)/1000/F60</f>
        <v>-8.7631649080006646E-2</v>
      </c>
      <c r="G68" s="127" t="e">
        <f>-SUM([1]Retail!$AC$96:$AI$96,[1]Retail!$BE$96:$BG$96)/1000/G60</f>
        <v>#DIV/0!</v>
      </c>
      <c r="H68" s="134"/>
      <c r="I68" s="128">
        <f>-SUM([1]SME!$AC$94:$AI$94,[1]SME!$BE$94:$BG$94)/1000/I60</f>
        <v>0.26692142368963945</v>
      </c>
      <c r="J68" s="127">
        <f>-SUM([1]SME!$AC$95:$AI$95,[1]SME!$BE$95:$BG$95)/1000/J60</f>
        <v>-0.16812989907645648</v>
      </c>
      <c r="K68" s="127">
        <f>-SUM([1]SME!$AC$96:$AI$96,[1]SME!$BE$96:$BG$96)/1000/K60</f>
        <v>-2.2571270527082726E-2</v>
      </c>
      <c r="L68" s="134"/>
      <c r="M68" s="126">
        <f>-SUM([1]MidCorp!$AC$94:$AI$94,[1]MidCorp!$BE$94:$BG$94)/1000/M60</f>
        <v>-5.5824285646373033E-2</v>
      </c>
      <c r="N68" s="127">
        <f>-SUM([1]MidCorp!$AC$95:$AI$95,[1]MidCorp!$BE$95:$BG$95)/1000/N60</f>
        <v>1.4814153080791577E-2</v>
      </c>
      <c r="O68" s="127">
        <f>-SUM([1]MidCorp!$AC$96:$AI$96,[1]MidCorp!$BE$96:$BG$96)/1000/O60</f>
        <v>-1.8961564485510261E-2</v>
      </c>
      <c r="P68" s="134"/>
      <c r="Q68" s="126">
        <f>-SUM([1]MGA!$AC$94:$AI$94,[1]MGA!$BE$94:$BG$94)/1000/Q60</f>
        <v>-0.35311616695371661</v>
      </c>
      <c r="R68" s="127">
        <f>-SUM([1]MGA!$AC$95:$AI$95,[1]MGA!$BE$95:$BG$95)/1000/R60</f>
        <v>4.3431778234570007E-2</v>
      </c>
      <c r="S68" s="127">
        <f>-SUM([1]MGA!$AC$96:$AI$96,[1]MGA!$BE$96:$BG$96)/1000/S60</f>
        <v>-6.9393505587707696E-2</v>
      </c>
      <c r="T68" s="134"/>
      <c r="U68" s="128"/>
      <c r="V68" s="127"/>
      <c r="W68" s="127">
        <f>-SUM([1]Bancassurance!$AC$96:$AI$96,[1]Bancassurance!$BE$96:$BG$96)/1000/W60</f>
        <v>-1.0756838452095198E-2</v>
      </c>
      <c r="X68" s="134"/>
      <c r="Y68" s="131"/>
      <c r="Z68" s="127"/>
      <c r="AA68" s="127"/>
      <c r="AB68" s="134"/>
      <c r="AC68" s="129">
        <f>-SUM('[1]Total P&amp;C'!$AC$94:$AI$94,'[1]Total P&amp;C'!$BE$94:$BG$94)/1000/AC60</f>
        <v>-1.6835226579817796E-2</v>
      </c>
      <c r="AD68" s="130">
        <f>-SUM('[1]Total P&amp;C'!$AC$95:$AI$95,'[1]Total P&amp;C'!$BE$95:$BG$95)/1000/AD60</f>
        <v>-1.7951212567318634E-2</v>
      </c>
      <c r="AE68" s="130">
        <f>-SUM('[1]Total P&amp;C'!$AC$96:$AI$96,'[1]Total P&amp;C'!$BE$96:$BG$96)/1000/AE60</f>
        <v>-2.380062291012263E-2</v>
      </c>
      <c r="AG68" s="212"/>
      <c r="AH68" s="115"/>
      <c r="AI68" s="116" t="s">
        <v>57</v>
      </c>
      <c r="AJ68" s="134"/>
      <c r="AK68" s="126">
        <f>-SUM([2]Retail!$AC$94:$AI$94,[2]Retail!$BE$94:$BG$94)/1000/AK60</f>
        <v>-5.7492802367438388E-2</v>
      </c>
      <c r="AL68" s="127">
        <f>-SUM([2]Retail!$AC$95:$AI$95,[2]Retail!$BE$95:$BG$95)/1000/AL60</f>
        <v>-0.18464273573960746</v>
      </c>
      <c r="AM68" s="127">
        <f>-SUM([2]Retail!$AC$96:$AI$96,[2]Retail!$BE$96:$BG$96)/1000/AM60</f>
        <v>-8.5187506345599431E-3</v>
      </c>
      <c r="AN68" s="134"/>
      <c r="AO68" s="126">
        <f>-SUM([2]SME!$AC$94:$AI$94,[2]SME!$BE$94:$BG$94)/1000/AO60</f>
        <v>-3.4548210101154372E-2</v>
      </c>
      <c r="AP68" s="127">
        <f>-SUM([2]SME!$AC$95:$AI$95,[2]SME!$BE$95:$BG$95)/1000/AP60</f>
        <v>-0.42847915276404364</v>
      </c>
      <c r="AQ68" s="127">
        <f>-SUM([2]SME!$AC$96:$AI$96,[2]SME!$BE$96:$BG$96)/1000/AQ60</f>
        <v>-7.5840060120268256E-3</v>
      </c>
      <c r="AR68" s="134"/>
      <c r="AS68" s="128">
        <f>-SUM([2]MidCorp!$AC$94:$AI$94,[2]MidCorp!$BE$94:$BG$94)/1000/AS60</f>
        <v>0.15085301189490272</v>
      </c>
      <c r="AT68" s="127">
        <f>-SUM([2]MidCorp!$AC$95:$AI$95,[2]MidCorp!$BE$95:$BG$95)/1000/AT60</f>
        <v>0.17087092766946738</v>
      </c>
      <c r="AU68" s="127">
        <f>-SUM([2]MidCorp!$AC$96:$AI$96,[2]MidCorp!$BE$96:$BG$96)/1000/AU60</f>
        <v>-5.6343599840676375E-3</v>
      </c>
      <c r="AV68" s="134"/>
      <c r="AW68" s="131"/>
      <c r="AX68" s="127"/>
      <c r="AY68" s="127"/>
      <c r="AZ68" s="134"/>
      <c r="BA68" s="131"/>
      <c r="BB68" s="127"/>
      <c r="BC68" s="127"/>
      <c r="BD68" s="134"/>
      <c r="BE68" s="131"/>
      <c r="BF68" s="127"/>
      <c r="BG68" s="127"/>
      <c r="BH68" s="134"/>
      <c r="BI68" s="129">
        <f>-SUM('[2]Total P&amp;C'!$AC$94:$AI$94,'[2]Total P&amp;C'!$BE$94:$BG$94)/1000/BI60</f>
        <v>4.4619414860708383E-2</v>
      </c>
      <c r="BJ68" s="130">
        <f>-SUM('[2]Total P&amp;C'!$AC$95:$AI$95,'[2]Total P&amp;C'!$BE$95:$BG$95)/1000/BJ60</f>
        <v>-5.3869957532175612E-2</v>
      </c>
      <c r="BK68" s="130">
        <f>-SUM('[2]Total P&amp;C'!$AC$96:$AI$96,'[2]Total P&amp;C'!$BE$96:$BG$96)/1000/BK60</f>
        <v>-6.9410562624950649E-3</v>
      </c>
      <c r="BM68" s="129">
        <f>-SUM('[3]Total P&amp;C'!$AC$94:$AI$94,'[3]Total P&amp;C'!$BE$94:$BG$94)/1000/BM60</f>
        <v>5.2554966460267079E-3</v>
      </c>
      <c r="BN68" s="130">
        <f>-SUM('[3]Total P&amp;C'!$AC$95:$AI$95,'[3]Total P&amp;C'!$BE$95:$BG$95)/1000/BN60</f>
        <v>-3.0960322252552779E-2</v>
      </c>
      <c r="BO68" s="130">
        <f>-SUM('[3]Total P&amp;C'!$AC$96:$AI$96,'[3]Total P&amp;C'!$BE$96:$BG$96)/1000/BO60</f>
        <v>-1.8205938729592624E-2</v>
      </c>
    </row>
    <row r="69" spans="1:67" hidden="1" x14ac:dyDescent="0.3">
      <c r="A69" s="212"/>
      <c r="B69" s="115"/>
      <c r="C69" s="116" t="s">
        <v>29</v>
      </c>
      <c r="D69" s="134"/>
      <c r="E69" s="126">
        <f>-SUM([1]Retail!$AJ$94:$AK$94,[1]Retail!$BH$94:$BI$94)/1000/E60</f>
        <v>9.0225479905352741E-3</v>
      </c>
      <c r="F69" s="127">
        <f>-SUM([1]Retail!$AJ$95:$AK$95,[1]Retail!$BH$95:$BI$95)/1000/F60</f>
        <v>3.669544502547716E-3</v>
      </c>
      <c r="G69" s="127" t="e">
        <f>-SUM([1]Retail!$AJ$96:$AK$96,[1]Retail!$BH$96:$BI$96)/1000/G60</f>
        <v>#DIV/0!</v>
      </c>
      <c r="H69" s="134"/>
      <c r="I69" s="128">
        <f>-SUM([1]SME!$AJ$94:$AK$94,[1]SME!$BH$94:$BI$94)/1000/I60</f>
        <v>8.3031440518743305E-4</v>
      </c>
      <c r="J69" s="127">
        <f>-SUM([1]SME!$AJ$95:$AK$95,[1]SME!$BH$95:$BI$95)/1000/J60</f>
        <v>4.4156534432005642E-3</v>
      </c>
      <c r="K69" s="127">
        <f>-SUM([1]SME!$AJ$96:$AK$96,[1]SME!$BH$96:$BI$96)/1000/K60</f>
        <v>0</v>
      </c>
      <c r="L69" s="134"/>
      <c r="M69" s="126">
        <f>-SUM([1]MidCorp!$AJ$94:$AK$94,[1]MidCorp!$BH$94:$BI$94)/1000/M60</f>
        <v>-2.3588954752363444E-3</v>
      </c>
      <c r="N69" s="127">
        <f>-SUM([1]MidCorp!$AJ$95:$AK$95,[1]MidCorp!$BH$95:$BI$95)/1000/N60</f>
        <v>-7.8441943273259464E-3</v>
      </c>
      <c r="O69" s="127">
        <f>-SUM([1]MidCorp!$AJ$96:$AK$96,[1]MidCorp!$BH$96:$BI$96)/1000/O60</f>
        <v>0</v>
      </c>
      <c r="P69" s="134"/>
      <c r="Q69" s="128">
        <f>-SUM([1]MGA!$AJ$94:$AK$94,[1]MGA!$BH$94:$BI$94)/1000/Q60</f>
        <v>5.2609675137385214E-3</v>
      </c>
      <c r="R69" s="127">
        <f>-SUM([1]MGA!$AJ$95:$AK$95,[1]MGA!$BH$95:$BI$95)/1000/R60</f>
        <v>8.4469463734169851E-4</v>
      </c>
      <c r="S69" s="127">
        <f>-SUM([1]MGA!$AJ$96:$AK$96,[1]MGA!$BH$96:$BI$96)/1000/S60</f>
        <v>0</v>
      </c>
      <c r="T69" s="134"/>
      <c r="U69" s="131"/>
      <c r="V69" s="127"/>
      <c r="W69" s="127">
        <f>-SUM([1]Bancassurance!$AJ$96:$AK$96,[1]Bancassurance!$BH$96:$BI$96)/1000/W60</f>
        <v>0</v>
      </c>
      <c r="X69" s="134"/>
      <c r="Y69" s="131"/>
      <c r="Z69" s="127"/>
      <c r="AA69" s="127"/>
      <c r="AB69" s="134"/>
      <c r="AC69" s="132">
        <f>-SUM('[1]Total P&amp;C'!$AJ$94:$AK$94,'[1]Total P&amp;C'!$BH$94:$BI$94)/1000/AC60</f>
        <v>-1.10605557979845E-3</v>
      </c>
      <c r="AD69" s="130">
        <f>-SUM('[1]Total P&amp;C'!$AJ$95:$AK$95,'[1]Total P&amp;C'!$BH$95:$BI$95)/1000/AD60</f>
        <v>-4.9218133049095999E-3</v>
      </c>
      <c r="AE69" s="130">
        <f>-SUM('[1]Total P&amp;C'!$AJ$96:$AK$96,'[1]Total P&amp;C'!$BH$96:$BI$96)/1000/AE60</f>
        <v>0</v>
      </c>
      <c r="AG69" s="212"/>
      <c r="AH69" s="115"/>
      <c r="AI69" s="116" t="s">
        <v>29</v>
      </c>
      <c r="AJ69" s="134"/>
      <c r="AK69" s="126">
        <f>-SUM([2]Retail!$AJ$94:$AK$94,[2]Retail!$BH$94:$BI$94)/1000/AK60</f>
        <v>-6.5514754545978942E-3</v>
      </c>
      <c r="AL69" s="127">
        <f>-SUM([2]Retail!$AJ$95:$AK$95,[2]Retail!$BH$95:$BI$95)/1000/AL60</f>
        <v>6.7903285167523562E-3</v>
      </c>
      <c r="AM69" s="127">
        <f>-SUM([2]Retail!$AJ$96:$AK$96,[2]Retail!$BH$96:$BI$96)/1000/AM60</f>
        <v>0</v>
      </c>
      <c r="AN69" s="134"/>
      <c r="AO69" s="126">
        <f>-SUM([2]SME!$AJ$94:$AK$94,[2]SME!$BH$94:$BI$94)/1000/AO60</f>
        <v>-2.2839951446299795E-3</v>
      </c>
      <c r="AP69" s="127">
        <f>-SUM([2]SME!$AJ$95:$AK$95,[2]SME!$BH$95:$BI$95)/1000/AP60</f>
        <v>1.0652370055083328E-2</v>
      </c>
      <c r="AQ69" s="127">
        <f>-SUM([2]SME!$AJ$96:$AK$96,[2]SME!$BH$96:$BI$96)/1000/AQ60</f>
        <v>0</v>
      </c>
      <c r="AR69" s="134"/>
      <c r="AS69" s="126">
        <f>-SUM([2]MidCorp!$AJ$94:$AK$94,[2]MidCorp!$BH$94:$BI$94)/1000/AS60</f>
        <v>-2.2303222358789666E-2</v>
      </c>
      <c r="AT69" s="127">
        <f>-SUM([2]MidCorp!$AJ$95:$AK$95,[2]MidCorp!$BH$95:$BI$95)/1000/AT60</f>
        <v>-1.4149962894591214E-2</v>
      </c>
      <c r="AU69" s="127">
        <f>-SUM([2]MidCorp!$AJ$96:$AK$96,[2]MidCorp!$BH$96:$BI$96)/1000/AU60</f>
        <v>0</v>
      </c>
      <c r="AV69" s="134"/>
      <c r="AW69" s="131"/>
      <c r="AX69" s="127"/>
      <c r="AY69" s="127"/>
      <c r="AZ69" s="134"/>
      <c r="BA69" s="131"/>
      <c r="BB69" s="127"/>
      <c r="BC69" s="127"/>
      <c r="BD69" s="134"/>
      <c r="BE69" s="131"/>
      <c r="BF69" s="127"/>
      <c r="BG69" s="127"/>
      <c r="BH69" s="134"/>
      <c r="BI69" s="132">
        <f>-SUM('[2]Total P&amp;C'!$AJ$94:$AK$94,'[2]Total P&amp;C'!$BH$94:$BI$94)/1000/BI60</f>
        <v>-1.3499206960785059E-2</v>
      </c>
      <c r="BJ69" s="130">
        <f>-SUM('[2]Total P&amp;C'!$AJ$95:$AK$95,'[2]Total P&amp;C'!$BH$95:$BI$95)/1000/BJ60</f>
        <v>-2.3259505435886032E-3</v>
      </c>
      <c r="BK69" s="130">
        <f>-SUM('[2]Total P&amp;C'!$AJ$96:$AK$96,'[2]Total P&amp;C'!$BH$96:$BI$96)/1000/BK60</f>
        <v>0</v>
      </c>
      <c r="BM69" s="132">
        <f>-SUM('[3]Total P&amp;C'!$AJ$94:$AK$94,'[3]Total P&amp;C'!$BH$94:$BI$94)/1000/BM60</f>
        <v>-5.5609457335115148E-3</v>
      </c>
      <c r="BN69" s="130">
        <f>-SUM('[3]Total P&amp;C'!$AJ$95:$AK$95,'[3]Total P&amp;C'!$BH$95:$BI$95)/1000/BN60</f>
        <v>-3.9816394925205455E-3</v>
      </c>
      <c r="BO69" s="130">
        <f>-SUM('[3]Total P&amp;C'!$AJ$96:$AK$96,'[3]Total P&amp;C'!$BH$96:$BI$96)/1000/BO60</f>
        <v>0</v>
      </c>
    </row>
    <row r="70" spans="1:67" hidden="1" x14ac:dyDescent="0.3">
      <c r="A70" s="212"/>
      <c r="B70" s="115"/>
      <c r="C70" s="116" t="s">
        <v>58</v>
      </c>
      <c r="D70" s="134"/>
      <c r="E70" s="128">
        <f>+E71+E72+E73</f>
        <v>0.33569756277656809</v>
      </c>
      <c r="F70" s="127">
        <f>+F71+F72+F73</f>
        <v>0.51187342371872524</v>
      </c>
      <c r="G70" s="127" t="e">
        <f>+G71+G72+G73</f>
        <v>#DIV/0!</v>
      </c>
      <c r="H70" s="134"/>
      <c r="I70" s="126">
        <f>+I71+I72+I73</f>
        <v>0.3326553869417086</v>
      </c>
      <c r="J70" s="127">
        <f>+J71+J72+J73</f>
        <v>0.38225517683862337</v>
      </c>
      <c r="K70" s="127">
        <f>+K71+K72+K73</f>
        <v>0.40822164756437879</v>
      </c>
      <c r="L70" s="134"/>
      <c r="M70" s="128">
        <f>+M71+M72+M73</f>
        <v>0.23991374197874688</v>
      </c>
      <c r="N70" s="127">
        <f>+N71+N72+N73</f>
        <v>0.23538977106731335</v>
      </c>
      <c r="O70" s="127">
        <f>+O71+O72+O73</f>
        <v>0.23482536462999165</v>
      </c>
      <c r="P70" s="134"/>
      <c r="Q70" s="128">
        <f>+Q71+Q72+Q73</f>
        <v>0.47053922477365445</v>
      </c>
      <c r="R70" s="127">
        <f>+R71+R72+R73</f>
        <v>0.53504411599307145</v>
      </c>
      <c r="S70" s="127">
        <f>+S71+S72+S73</f>
        <v>0.43071108173516981</v>
      </c>
      <c r="T70" s="134"/>
      <c r="U70" s="126"/>
      <c r="V70" s="127"/>
      <c r="W70" s="127">
        <f>+W71+W72+W73</f>
        <v>1.2510524868443889</v>
      </c>
      <c r="X70" s="134"/>
      <c r="Y70" s="131"/>
      <c r="Z70" s="127"/>
      <c r="AA70" s="127"/>
      <c r="AB70" s="134"/>
      <c r="AC70" s="132">
        <f>+AC71+AC72+AC73</f>
        <v>0.27960419672657383</v>
      </c>
      <c r="AD70" s="130">
        <f>+AD71+AD72+AD73</f>
        <v>0.29431390317186584</v>
      </c>
      <c r="AE70" s="130">
        <f>+AE71+AE72+AE73</f>
        <v>0.28117364829987301</v>
      </c>
      <c r="AG70" s="212"/>
      <c r="AH70" s="115"/>
      <c r="AI70" s="116" t="s">
        <v>58</v>
      </c>
      <c r="AJ70" s="134"/>
      <c r="AK70" s="126">
        <f>+AK71+AK72+AK73</f>
        <v>0.40551452582713088</v>
      </c>
      <c r="AL70" s="127">
        <f>+AL71+AL72+AL73</f>
        <v>0.40626460738057107</v>
      </c>
      <c r="AM70" s="127">
        <f>+AM71+AM72+AM73</f>
        <v>0.41053190984812266</v>
      </c>
      <c r="AN70" s="134"/>
      <c r="AO70" s="126">
        <f>+AO71+AO72+AO73</f>
        <v>0.51607344608141714</v>
      </c>
      <c r="AP70" s="127">
        <f>+AP71+AP72+AP73</f>
        <v>0.47152281734054063</v>
      </c>
      <c r="AQ70" s="127">
        <f>+AQ71+AQ72+AQ73</f>
        <v>0.5354163771596987</v>
      </c>
      <c r="AR70" s="134"/>
      <c r="AS70" s="128">
        <f>+AS71+AS72+AS73</f>
        <v>0.43379489006343314</v>
      </c>
      <c r="AT70" s="127">
        <f>+AT71+AT72+AT73</f>
        <v>0.39276714424767695</v>
      </c>
      <c r="AU70" s="127">
        <f>+AU71+AU72+AU73</f>
        <v>0.39997135375637571</v>
      </c>
      <c r="AV70" s="134"/>
      <c r="AW70" s="131"/>
      <c r="AX70" s="127"/>
      <c r="AY70" s="127"/>
      <c r="AZ70" s="134"/>
      <c r="BA70" s="131"/>
      <c r="BB70" s="127"/>
      <c r="BC70" s="127"/>
      <c r="BD70" s="134"/>
      <c r="BE70" s="131"/>
      <c r="BF70" s="127"/>
      <c r="BG70" s="127"/>
      <c r="BH70" s="134"/>
      <c r="BI70" s="129">
        <f>+BI71+BI72+BI73</f>
        <v>0.4332006873172653</v>
      </c>
      <c r="BJ70" s="130">
        <f>+BJ71+BJ72+BJ73</f>
        <v>0.40883857429478493</v>
      </c>
      <c r="BK70" s="130">
        <f>+BK71+BK72+BK73</f>
        <v>0.42037653339026732</v>
      </c>
      <c r="BM70" s="129">
        <f>+BM71+BM72+BM73</f>
        <v>0.33481658561315897</v>
      </c>
      <c r="BN70" s="130">
        <f>+BN71+BN72+BN73</f>
        <v>0.33579263550956628</v>
      </c>
      <c r="BO70" s="130">
        <f>+BO71+BO72+BO73</f>
        <v>0.32736677979468259</v>
      </c>
    </row>
    <row r="71" spans="1:67" ht="14.5" hidden="1" x14ac:dyDescent="0.3">
      <c r="A71" s="212"/>
      <c r="B71" s="115"/>
      <c r="C71" s="39" t="s">
        <v>59</v>
      </c>
      <c r="D71" s="135"/>
      <c r="E71" s="97">
        <f>-SUM([1]Retail!$AL$94:$AN$94,[1]Retail!$BJ$94)/1000/E60</f>
        <v>0.23842416079461307</v>
      </c>
      <c r="F71" s="42">
        <f>-SUM([1]Retail!$AL$95:$AN$95,[1]Retail!$BJ$95)/1000/F60</f>
        <v>0.24239472942695928</v>
      </c>
      <c r="G71" s="42" t="e">
        <f>-SUM([1]Retail!$AL$96:$AN$96,[1]Retail!$BJ$96)/1000/G60</f>
        <v>#DIV/0!</v>
      </c>
      <c r="H71" s="135"/>
      <c r="I71" s="97">
        <f>-SUM([1]SME!$AL$94:$AN$94,[1]SME!$BJ$94)/1000/I60</f>
        <v>0.20077587784049769</v>
      </c>
      <c r="J71" s="42">
        <f>-SUM([1]SME!$AL$95:$AN$95,[1]SME!$BJ$95)/1000/J60</f>
        <v>0.20127211354264204</v>
      </c>
      <c r="K71" s="42">
        <f>-SUM([1]SME!$AL$96:$AN$96,[1]SME!$BJ$96)/1000/K60</f>
        <v>0.20059021280198766</v>
      </c>
      <c r="L71" s="135"/>
      <c r="M71" s="74">
        <f>-SUM([1]MidCorp!$AL$94:$AN$94,[1]MidCorp!$BJ$94)/1000/M60</f>
        <v>0.14107488154279071</v>
      </c>
      <c r="N71" s="42">
        <f>-SUM([1]MidCorp!$AL$95:$AN$95,[1]MidCorp!$BJ$95)/1000/N60</f>
        <v>0.14704173199156609</v>
      </c>
      <c r="O71" s="42">
        <f>-SUM([1]MidCorp!$AL$96:$AN$96,[1]MidCorp!$BJ$96)/1000/O60</f>
        <v>0.14259694707309267</v>
      </c>
      <c r="P71" s="135"/>
      <c r="Q71" s="97">
        <f>-SUM([1]MGA!$AL$94:$AN$94,[1]MGA!$BJ$94)/1000/Q60</f>
        <v>0.36130884207067365</v>
      </c>
      <c r="R71" s="42">
        <f>-SUM([1]MGA!$AL$95:$AN$95,[1]MGA!$BJ$95)/1000/R60</f>
        <v>0.3610312903914783</v>
      </c>
      <c r="S71" s="42">
        <f>-SUM([1]MGA!$AL$96:$AN$96,[1]MGA!$BJ$96)/1000/S60</f>
        <v>0.35977911235439863</v>
      </c>
      <c r="T71" s="135"/>
      <c r="U71" s="74"/>
      <c r="V71" s="42"/>
      <c r="W71" s="42">
        <f>-SUM([1]Bancassurance!$AL$96:$AN$96,[1]Bancassurance!$BJ$96)/1000/W60</f>
        <v>0.15</v>
      </c>
      <c r="X71" s="135"/>
      <c r="Y71" s="97"/>
      <c r="Z71" s="42"/>
      <c r="AA71" s="42"/>
      <c r="AB71" s="135"/>
      <c r="AC71" s="85">
        <f>-SUM('[1]Total P&amp;C'!$AL$94:$AN$94,'[1]Total P&amp;C'!$BJ$94)/1000/AC60</f>
        <v>0.16620225849358672</v>
      </c>
      <c r="AD71" s="60">
        <f>-SUM('[1]Total P&amp;C'!$AL$95:$AN$95,'[1]Total P&amp;C'!$BJ$95)/1000/AD60</f>
        <v>0.17030840407138367</v>
      </c>
      <c r="AE71" s="60">
        <f>-SUM('[1]Total P&amp;C'!$AL$96:$AN$96,'[1]Total P&amp;C'!$BJ$96)/1000/AE60</f>
        <v>0.16923308925298955</v>
      </c>
      <c r="AG71" s="212"/>
      <c r="AH71" s="115"/>
      <c r="AI71" s="39" t="s">
        <v>59</v>
      </c>
      <c r="AJ71" s="135"/>
      <c r="AK71" s="74">
        <f>-SUM([2]Retail!$AL$94:$AN$94,[2]Retail!$BJ$94)/1000/AK60</f>
        <v>0.24776607187616803</v>
      </c>
      <c r="AL71" s="42">
        <f>-SUM([2]Retail!$AL$95:$AN$95,[2]Retail!$BJ$95)/1000/AL60</f>
        <v>0.26592723412229063</v>
      </c>
      <c r="AM71" s="42">
        <f>-SUM([2]Retail!$AL$96:$AN$96,[2]Retail!$BJ$96)/1000/AM60</f>
        <v>0.25841980038705109</v>
      </c>
      <c r="AN71" s="135"/>
      <c r="AO71" s="74">
        <f>-SUM([2]SME!$AL$94:$AN$94,[2]SME!$BJ$94)/1000/AO60</f>
        <v>0.26617823696881582</v>
      </c>
      <c r="AP71" s="42">
        <f>-SUM([2]SME!$AL$95:$AN$95,[2]SME!$BJ$95)/1000/AP60</f>
        <v>0.26834574594781346</v>
      </c>
      <c r="AQ71" s="42">
        <f>-SUM([2]SME!$AL$96:$AN$96,[2]SME!$BJ$96)/1000/AQ60</f>
        <v>0.27475708759323625</v>
      </c>
      <c r="AR71" s="135"/>
      <c r="AS71" s="73">
        <f>-SUM([2]MidCorp!$AL$94:$AN$94,[2]MidCorp!$BJ$94)/1000/AS60</f>
        <v>0.21437276405861491</v>
      </c>
      <c r="AT71" s="42">
        <f>-SUM([2]MidCorp!$AL$95:$AN$95,[2]MidCorp!$BJ$95)/1000/AT60</f>
        <v>0.19299671543180028</v>
      </c>
      <c r="AU71" s="42">
        <f>-SUM([2]MidCorp!$AL$96:$AN$96,[2]MidCorp!$BJ$96)/1000/AU60</f>
        <v>0.20578636755554588</v>
      </c>
      <c r="AV71" s="135"/>
      <c r="AW71" s="97"/>
      <c r="AX71" s="42"/>
      <c r="AY71" s="42"/>
      <c r="AZ71" s="135"/>
      <c r="BA71" s="97"/>
      <c r="BB71" s="42"/>
      <c r="BC71" s="42"/>
      <c r="BD71" s="135"/>
      <c r="BE71" s="97"/>
      <c r="BF71" s="42"/>
      <c r="BG71" s="42"/>
      <c r="BH71" s="135"/>
      <c r="BI71" s="99">
        <f>-SUM('[2]Total P&amp;C'!$AL$94:$AN$94,'[2]Total P&amp;C'!$BJ$94)/1000/BI60</f>
        <v>0.23424214842679969</v>
      </c>
      <c r="BJ71" s="60">
        <f>-SUM('[2]Total P&amp;C'!$AL$95:$AN$95,'[2]Total P&amp;C'!$BJ$95)/1000/BJ60</f>
        <v>0.23269203623955884</v>
      </c>
      <c r="BK71" s="60">
        <f>-SUM('[2]Total P&amp;C'!$AL$96:$AN$96,'[2]Total P&amp;C'!$BJ$96)/1000/BK60</f>
        <v>0.23369619319776011</v>
      </c>
      <c r="BM71" s="99">
        <f>-SUM('[3]Total P&amp;C'!$AL$94:$AN$94,'[3]Total P&amp;C'!$BJ$94)/1000/BM60</f>
        <v>0.19066014062582776</v>
      </c>
      <c r="BN71" s="60">
        <f>-SUM('[3]Total P&amp;C'!$AL$95:$AN$95,'[3]Total P&amp;C'!$BJ$95)/1000/BN60</f>
        <v>0.19290260980527341</v>
      </c>
      <c r="BO71" s="60">
        <f>-SUM('[3]Total P&amp;C'!$AL$96:$AN$96,'[3]Total P&amp;C'!$BJ$96)/1000/BO60</f>
        <v>0.19062454701732182</v>
      </c>
    </row>
    <row r="72" spans="1:67" ht="14.5" hidden="1" x14ac:dyDescent="0.3">
      <c r="A72" s="212"/>
      <c r="B72" s="115"/>
      <c r="C72" s="39" t="s">
        <v>60</v>
      </c>
      <c r="D72" s="135"/>
      <c r="E72" s="74">
        <f>-SUM([1]Retail!$AO$94:$AP$94)/1000/E60</f>
        <v>3.5785602315324626E-3</v>
      </c>
      <c r="F72" s="42">
        <f>-SUM([1]Retail!$AO$95:$AP$95)/1000/F60</f>
        <v>4.2826920739856111E-2</v>
      </c>
      <c r="G72" s="42" t="e">
        <f>-SUM([1]Retail!$AO$96:$AP$96)/1000/G60</f>
        <v>#DIV/0!</v>
      </c>
      <c r="H72" s="135"/>
      <c r="I72" s="74">
        <f>-SUM([1]SME!$AO$94:$AP$94)/1000/I60</f>
        <v>5.5654509089867028E-2</v>
      </c>
      <c r="J72" s="42">
        <f>-SUM([1]SME!$AO$95:$AP$95)/1000/J60</f>
        <v>0.10399904290940289</v>
      </c>
      <c r="K72" s="42">
        <f>-SUM([1]SME!$AO$96:$AP$96)/1000/K60</f>
        <v>6.1045895093621468E-2</v>
      </c>
      <c r="L72" s="135"/>
      <c r="M72" s="73">
        <f>-SUM([1]MidCorp!$AO$94:$AP$94)/1000/M60</f>
        <v>4.8583255606847606E-2</v>
      </c>
      <c r="N72" s="42">
        <f>-SUM([1]MidCorp!$AO$95:$AP$95)/1000/N60</f>
        <v>3.8026999915687802E-2</v>
      </c>
      <c r="O72" s="42">
        <f>-SUM([1]MidCorp!$AO$96:$AP$96)/1000/O60</f>
        <v>4.0133004316030438E-2</v>
      </c>
      <c r="P72" s="135"/>
      <c r="Q72" s="73">
        <f>-SUM([1]MGA!$AO$94:$AP$94)/1000/Q60</f>
        <v>2.3522826730132819E-2</v>
      </c>
      <c r="R72" s="42">
        <f>-SUM([1]MGA!$AO$95:$AP$95)/1000/R60</f>
        <v>0.11183944133139362</v>
      </c>
      <c r="S72" s="42">
        <f>-SUM([1]MGA!$AO$96:$AP$96)/1000/S60</f>
        <v>1.6379195324723182E-2</v>
      </c>
      <c r="T72" s="135"/>
      <c r="U72" s="74"/>
      <c r="V72" s="42"/>
      <c r="W72" s="42">
        <f>-SUM([1]Bancassurance!$AO$96:$AP$96)/1000/W60</f>
        <v>0.2894617297537897</v>
      </c>
      <c r="X72" s="135"/>
      <c r="Y72" s="97"/>
      <c r="Z72" s="42"/>
      <c r="AA72" s="42"/>
      <c r="AB72" s="135"/>
      <c r="AC72" s="84">
        <f>-SUM('[1]Total P&amp;C'!$AO$94:$AP$94)/1000/AC60</f>
        <v>4.8845954068261921E-2</v>
      </c>
      <c r="AD72" s="60">
        <f>-SUM('[1]Total P&amp;C'!$AO$95:$AP$95)/1000/AD60</f>
        <v>5.5514447357282046E-2</v>
      </c>
      <c r="AE72" s="60">
        <f>-SUM('[1]Total P&amp;C'!$AO$96:$AP$96)/1000/AE60</f>
        <v>4.197653234969162E-2</v>
      </c>
      <c r="AG72" s="212"/>
      <c r="AH72" s="115"/>
      <c r="AI72" s="39" t="s">
        <v>60</v>
      </c>
      <c r="AJ72" s="135"/>
      <c r="AK72" s="73">
        <f>-SUM([2]Retail!$AO$94:$AP$94)/1000/AK60</f>
        <v>8.4974963189856381E-2</v>
      </c>
      <c r="AL72" s="42">
        <f>-SUM([2]Retail!$AO$95:$AP$95)/1000/AL60</f>
        <v>7.6898396469467709E-2</v>
      </c>
      <c r="AM72" s="42">
        <f>-SUM([2]Retail!$AO$96:$AP$96)/1000/AM60</f>
        <v>7.972355619234317E-2</v>
      </c>
      <c r="AN72" s="135"/>
      <c r="AO72" s="74">
        <f>-SUM([2]SME!$AO$94:$AP$94)/1000/AO60</f>
        <v>0.17389380917153321</v>
      </c>
      <c r="AP72" s="42">
        <f>-SUM([2]SME!$AO$95:$AP$95)/1000/AP60</f>
        <v>0.12745348398379711</v>
      </c>
      <c r="AQ72" s="42">
        <f>-SUM([2]SME!$AO$96:$AP$96)/1000/AQ60</f>
        <v>0.17721766338939013</v>
      </c>
      <c r="AR72" s="135"/>
      <c r="AS72" s="73">
        <f>-SUM([2]MidCorp!$AO$94:$AP$94)/1000/AS60</f>
        <v>7.8755760704945069E-2</v>
      </c>
      <c r="AT72" s="42">
        <f>-SUM([2]MidCorp!$AO$95:$AP$95)/1000/AT60</f>
        <v>7.0774671323184657E-2</v>
      </c>
      <c r="AU72" s="42">
        <f>-SUM([2]MidCorp!$AO$96:$AP$96)/1000/AU60</f>
        <v>6.3656886028201118E-2</v>
      </c>
      <c r="AV72" s="135"/>
      <c r="AW72" s="97"/>
      <c r="AX72" s="42"/>
      <c r="AY72" s="42"/>
      <c r="AZ72" s="135"/>
      <c r="BA72" s="97"/>
      <c r="BB72" s="42"/>
      <c r="BC72" s="42"/>
      <c r="BD72" s="135"/>
      <c r="BE72" s="97"/>
      <c r="BF72" s="42"/>
      <c r="BG72" s="42"/>
      <c r="BH72" s="135"/>
      <c r="BI72" s="84">
        <f>-SUM('[2]Total P&amp;C'!$AO$94:$AP$94)/1000/BI60</f>
        <v>9.3456865944265513E-2</v>
      </c>
      <c r="BJ72" s="60">
        <f>-SUM('[2]Total P&amp;C'!$AO$95:$AP$95)/1000/BJ60</f>
        <v>8.0886214805117471E-2</v>
      </c>
      <c r="BK72" s="60">
        <f>-SUM('[2]Total P&amp;C'!$AO$96:$AP$96)/1000/BK60</f>
        <v>8.3439004968196812E-2</v>
      </c>
      <c r="BM72" s="84">
        <f>-SUM('[3]Total P&amp;C'!$AO$94:$AP$94)/1000/BM60</f>
        <v>6.4881965083948265E-2</v>
      </c>
      <c r="BN72" s="60">
        <f>-SUM('[3]Total P&amp;C'!$AO$95:$AP$95)/1000/BN60</f>
        <v>6.4703635508485027E-2</v>
      </c>
      <c r="BO72" s="60">
        <f>-SUM('[3]Total P&amp;C'!$AO$96:$AP$96)/1000/BO60</f>
        <v>5.5735452996507409E-2</v>
      </c>
    </row>
    <row r="73" spans="1:67" ht="14.5" hidden="1" x14ac:dyDescent="0.3">
      <c r="A73" s="212"/>
      <c r="B73" s="115"/>
      <c r="C73" s="39" t="s">
        <v>61</v>
      </c>
      <c r="D73" s="135"/>
      <c r="E73" s="73">
        <f>-SUM([1]Retail!$AQ$94:$AR$94)/1000/E60</f>
        <v>9.3694841750422558E-2</v>
      </c>
      <c r="F73" s="42">
        <f>-SUM([1]Retail!$AQ$95:$AR$95)/1000/F60</f>
        <v>0.2266517735519098</v>
      </c>
      <c r="G73" s="42" t="e">
        <f>-SUM([1]Retail!$AQ$96:$AR$96)/1000/G60</f>
        <v>#DIV/0!</v>
      </c>
      <c r="H73" s="135"/>
      <c r="I73" s="74">
        <f>-SUM([1]SME!$AQ$94:$AR$94)/1000/I60</f>
        <v>7.6225000011343844E-2</v>
      </c>
      <c r="J73" s="42">
        <f>-SUM([1]SME!$AQ$95:$AR$95)/1000/J60</f>
        <v>7.6984020386578436E-2</v>
      </c>
      <c r="K73" s="42">
        <f>-SUM([1]SME!$AQ$96:$AR$96)/1000/K60</f>
        <v>0.14658553966876964</v>
      </c>
      <c r="L73" s="135"/>
      <c r="M73" s="74">
        <f>-SUM([1]MidCorp!$AQ$94:$AR$94)/1000/M60</f>
        <v>5.0255604829108569E-2</v>
      </c>
      <c r="N73" s="42">
        <f>-SUM([1]MidCorp!$AQ$95:$AR$95)/1000/N60</f>
        <v>5.032103916005945E-2</v>
      </c>
      <c r="O73" s="42">
        <f>-SUM([1]MidCorp!$AQ$96:$AR$96)/1000/O60</f>
        <v>5.209541324086852E-2</v>
      </c>
      <c r="P73" s="135"/>
      <c r="Q73" s="73">
        <f>-SUM([1]MGA!$AQ$94:$AR$94)/1000/Q60</f>
        <v>8.570755597284796E-2</v>
      </c>
      <c r="R73" s="42">
        <f>-SUM([1]MGA!$AQ$95:$AR$95)/1000/R60</f>
        <v>6.2173384270199514E-2</v>
      </c>
      <c r="S73" s="42">
        <f>-SUM([1]MGA!$AQ$96:$AR$96)/1000/S60</f>
        <v>5.4552774056047963E-2</v>
      </c>
      <c r="T73" s="135"/>
      <c r="U73" s="74"/>
      <c r="V73" s="42"/>
      <c r="W73" s="42">
        <f>-SUM([1]Bancassurance!$AQ$96:$AR$96)/1000/W60</f>
        <v>0.81159075709059925</v>
      </c>
      <c r="X73" s="135"/>
      <c r="Y73" s="97"/>
      <c r="Z73" s="42"/>
      <c r="AA73" s="42"/>
      <c r="AB73" s="135"/>
      <c r="AC73" s="85">
        <f>-SUM('[1]Total P&amp;C'!$AQ$94:$AR$94)/1000/AC60</f>
        <v>6.4555984164725189E-2</v>
      </c>
      <c r="AD73" s="60">
        <f>-SUM('[1]Total P&amp;C'!$AQ$95:$AR$95)/1000/AD60</f>
        <v>6.8491051743200138E-2</v>
      </c>
      <c r="AE73" s="60">
        <f>-SUM('[1]Total P&amp;C'!$AQ$96:$AR$96)/1000/AE60</f>
        <v>6.9964026697191831E-2</v>
      </c>
      <c r="AG73" s="212"/>
      <c r="AH73" s="115"/>
      <c r="AI73" s="39" t="s">
        <v>61</v>
      </c>
      <c r="AJ73" s="135"/>
      <c r="AK73" s="97">
        <f>-SUM([2]Retail!$AQ$94:$AR$94)/1000/AK60</f>
        <v>7.2773490761106452E-2</v>
      </c>
      <c r="AL73" s="42">
        <f>-SUM([2]Retail!$AQ$95:$AR$95)/1000/AL60</f>
        <v>6.3438976788812704E-2</v>
      </c>
      <c r="AM73" s="42">
        <f>-SUM([2]Retail!$AQ$96:$AR$96)/1000/AM60</f>
        <v>7.2388553268728395E-2</v>
      </c>
      <c r="AN73" s="135"/>
      <c r="AO73" s="74">
        <f>-SUM([2]SME!$AQ$94:$AR$94)/1000/AO60</f>
        <v>7.6001399941068123E-2</v>
      </c>
      <c r="AP73" s="42">
        <f>-SUM([2]SME!$AQ$95:$AR$95)/1000/AP60</f>
        <v>7.5723587408930093E-2</v>
      </c>
      <c r="AQ73" s="42">
        <f>-SUM([2]SME!$AQ$96:$AR$96)/1000/AQ60</f>
        <v>8.3441626177072292E-2</v>
      </c>
      <c r="AR73" s="135"/>
      <c r="AS73" s="73">
        <f>-SUM([2]MidCorp!$AQ$94:$AR$94)/1000/AS60</f>
        <v>0.14066636529987314</v>
      </c>
      <c r="AT73" s="42">
        <f>-SUM([2]MidCorp!$AQ$95:$AR$95)/1000/AT60</f>
        <v>0.12899575749269204</v>
      </c>
      <c r="AU73" s="42">
        <f>-SUM([2]MidCorp!$AQ$96:$AR$96)/1000/AU60</f>
        <v>0.1305281001726287</v>
      </c>
      <c r="AV73" s="135"/>
      <c r="AW73" s="97"/>
      <c r="AX73" s="42"/>
      <c r="AY73" s="42"/>
      <c r="AZ73" s="135"/>
      <c r="BA73" s="97"/>
      <c r="BB73" s="42"/>
      <c r="BC73" s="42"/>
      <c r="BD73" s="135"/>
      <c r="BE73" s="97"/>
      <c r="BF73" s="42"/>
      <c r="BG73" s="42"/>
      <c r="BH73" s="135"/>
      <c r="BI73" s="99">
        <f>-SUM('[2]Total P&amp;C'!$AQ$94:$AR$94)/1000/BI60</f>
        <v>0.10550167294620011</v>
      </c>
      <c r="BJ73" s="60">
        <f>-SUM('[2]Total P&amp;C'!$AQ$95:$AR$95)/1000/BJ60</f>
        <v>9.526032325010865E-2</v>
      </c>
      <c r="BK73" s="60">
        <f>-SUM('[2]Total P&amp;C'!$AQ$96:$AR$96)/1000/BK60</f>
        <v>0.10324133522431039</v>
      </c>
      <c r="BM73" s="85">
        <f>-SUM('[3]Total P&amp;C'!$AQ$94:$AR$94)/1000/BM60</f>
        <v>7.9274479903382961E-2</v>
      </c>
      <c r="BN73" s="60">
        <f>-SUM('[3]Total P&amp;C'!$AQ$95:$AR$95)/1000/BN60</f>
        <v>7.8186390195807851E-2</v>
      </c>
      <c r="BO73" s="60">
        <f>-SUM('[3]Total P&amp;C'!$AQ$96:$AR$96)/1000/BO60</f>
        <v>8.1006779780853369E-2</v>
      </c>
    </row>
    <row r="74" spans="1:67" hidden="1" x14ac:dyDescent="0.3">
      <c r="A74" s="212"/>
      <c r="B74" s="115"/>
      <c r="C74" s="116" t="s">
        <v>34</v>
      </c>
      <c r="D74" s="117"/>
      <c r="E74" s="118">
        <f>+[1]Retail!$BK$94/1000</f>
        <v>0.75849854999999577</v>
      </c>
      <c r="F74" s="119">
        <f>+[1]Retail!$BK$95/1000</f>
        <v>-0.14341110000000509</v>
      </c>
      <c r="G74" s="119">
        <f>+[1]Retail!$BK$96/1000</f>
        <v>-0.19793997611726669</v>
      </c>
      <c r="H74" s="117"/>
      <c r="I74" s="121">
        <f>+[1]SME!$BK$94/1000</f>
        <v>-0.35405398000000043</v>
      </c>
      <c r="J74" s="119">
        <f>+[1]SME!$BK$95/1000</f>
        <v>2.2457083199999976</v>
      </c>
      <c r="K74" s="119">
        <f>+[1]SME!$BK$96/1000</f>
        <v>0.35266923579303627</v>
      </c>
      <c r="L74" s="117"/>
      <c r="M74" s="118">
        <f>+[1]MidCorp!$BK$94/1000</f>
        <v>7.4899243699999865</v>
      </c>
      <c r="N74" s="119">
        <f>+[1]MidCorp!$BK$95/1000</f>
        <v>4.3200326899999899</v>
      </c>
      <c r="O74" s="119">
        <f>+[1]MidCorp!$BK$96/1000</f>
        <v>5.4763917904773391</v>
      </c>
      <c r="P74" s="117"/>
      <c r="Q74" s="121">
        <f>+[1]MGA!$BK$94/1000</f>
        <v>0.11457764999999813</v>
      </c>
      <c r="R74" s="119">
        <f>+[1]MGA!$BK$95/1000</f>
        <v>-0.46800847000000073</v>
      </c>
      <c r="S74" s="119">
        <f>+[1]MGA!$BK$96/1000</f>
        <v>0.43088582457286723</v>
      </c>
      <c r="T74" s="117"/>
      <c r="U74" s="120">
        <f>+[1]Bancassurance!$BK$94/1000</f>
        <v>-0.61097487000000006</v>
      </c>
      <c r="V74" s="119">
        <f>+[1]Bancassurance!$BK$95/1000</f>
        <v>-0.7869737</v>
      </c>
      <c r="W74" s="119">
        <f>+[1]Bancassurance!$BK$96/1000</f>
        <v>-0.20734991596750343</v>
      </c>
      <c r="X74" s="117"/>
      <c r="Y74" s="118">
        <f>+[1]Specials!$BK$94/1000</f>
        <v>2.1283480000000066E-2</v>
      </c>
      <c r="Z74" s="119">
        <f>+[1]Specials!$BK$95/1000</f>
        <v>-3.5168589999999965E-2</v>
      </c>
      <c r="AA74" s="119">
        <f>+[1]Specials!$BK$96/1000</f>
        <v>0</v>
      </c>
      <c r="AB74" s="117"/>
      <c r="AC74" s="122">
        <f>+'[1]Total P&amp;C'!$BK$94/1000</f>
        <v>7.4192551999999745</v>
      </c>
      <c r="AD74" s="123">
        <f>+'[1]Total P&amp;C'!$BK$95/1000</f>
        <v>5.132179149999982</v>
      </c>
      <c r="AE74" s="123">
        <f>+'[1]Total P&amp;C'!$BK$96/1000</f>
        <v>5.8546569587584578</v>
      </c>
      <c r="AG74" s="212"/>
      <c r="AH74" s="115"/>
      <c r="AI74" s="116" t="s">
        <v>34</v>
      </c>
      <c r="AJ74" s="117"/>
      <c r="AK74" s="118">
        <f>+[2]Retail!$BK$94/1000</f>
        <v>1.0433487599999882</v>
      </c>
      <c r="AL74" s="119">
        <f>+[2]Retail!$BK$95/1000</f>
        <v>1.6320968799999993</v>
      </c>
      <c r="AM74" s="119">
        <f>+[2]Retail!$BK$96/1000</f>
        <v>0.33986657852766361</v>
      </c>
      <c r="AN74" s="117"/>
      <c r="AO74" s="118">
        <f>+[2]SME!$BK$94/1000</f>
        <v>-0.16065016000000057</v>
      </c>
      <c r="AP74" s="119">
        <f>+[2]SME!$BK$95/1000</f>
        <v>2.2325378199999983</v>
      </c>
      <c r="AQ74" s="119">
        <f>+[2]SME!$BK$96/1000</f>
        <v>-0.55062705164169679</v>
      </c>
      <c r="AR74" s="117"/>
      <c r="AS74" s="121">
        <f>+[2]MidCorp!$BK$94/1000</f>
        <v>-0.41256014000000574</v>
      </c>
      <c r="AT74" s="119">
        <f>+[2]MidCorp!$BK$95/1000</f>
        <v>-1.0893459900000004</v>
      </c>
      <c r="AU74" s="119">
        <f>+[2]MidCorp!$BK$96/1000</f>
        <v>0.21755528273971828</v>
      </c>
      <c r="AV74" s="117"/>
      <c r="AW74" s="121"/>
      <c r="AX74" s="119"/>
      <c r="AY74" s="119"/>
      <c r="AZ74" s="117"/>
      <c r="BA74" s="121"/>
      <c r="BB74" s="119"/>
      <c r="BC74" s="119"/>
      <c r="BD74" s="117"/>
      <c r="BE74" s="121"/>
      <c r="BF74" s="119"/>
      <c r="BG74" s="119"/>
      <c r="BH74" s="117"/>
      <c r="BI74" s="122">
        <f>+'[2]Total P&amp;C'!$BK$94/1000</f>
        <v>0.4701384599999831</v>
      </c>
      <c r="BJ74" s="123">
        <f>+'[2]Total P&amp;C'!$BK$95/1000</f>
        <v>2.7752887100000003</v>
      </c>
      <c r="BK74" s="123">
        <f>+'[2]Total P&amp;C'!$BK$96/1000</f>
        <v>6.7948096256820346E-3</v>
      </c>
      <c r="BM74" s="122">
        <f>+'[3]Total P&amp;C'!$BK$94/1000</f>
        <v>7.889393659999957</v>
      </c>
      <c r="BN74" s="123">
        <f>+'[3]Total P&amp;C'!$BK$95/1000</f>
        <v>7.9074678599999828</v>
      </c>
      <c r="BO74" s="123">
        <f>+'[3]Total P&amp;C'!$BK$96/1000</f>
        <v>5.8614517683841401</v>
      </c>
    </row>
    <row r="75" spans="1:67" ht="17.5" hidden="1" x14ac:dyDescent="0.35">
      <c r="AG75" s="153"/>
    </row>
    <row r="76" spans="1:67" ht="16.5" hidden="1" customHeight="1" outlineLevel="1" x14ac:dyDescent="0.3">
      <c r="A76" s="214" t="s">
        <v>38</v>
      </c>
      <c r="B76" s="115"/>
      <c r="C76" s="116" t="s">
        <v>19</v>
      </c>
      <c r="D76" s="117"/>
      <c r="E76" s="118">
        <f>+[1]Retail!$C$33/1000</f>
        <v>1.3005752200000005</v>
      </c>
      <c r="F76" s="119">
        <f>+[1]Retail!$C$34/1000</f>
        <v>1.5206208199999982</v>
      </c>
      <c r="G76" s="119">
        <f>+[1]Retail!$C$35/1000</f>
        <v>0</v>
      </c>
      <c r="H76" s="117"/>
      <c r="I76" s="118">
        <f>+[1]SME!$C$33/1000</f>
        <v>20.00917304</v>
      </c>
      <c r="J76" s="119">
        <f>+[1]SME!$C$34/1000</f>
        <v>20.04757893</v>
      </c>
      <c r="K76" s="119">
        <f>+[1]SME!$C$35/1000</f>
        <v>18.084009999999999</v>
      </c>
      <c r="L76" s="117"/>
      <c r="M76" s="121">
        <f>+[1]MidCorp!$C$33/1000</f>
        <v>90.38259432000001</v>
      </c>
      <c r="N76" s="119">
        <f>+[1]MidCorp!$C$34/1000</f>
        <v>93.411981420000018</v>
      </c>
      <c r="O76" s="119">
        <f>+[1]MidCorp!$C$35/1000</f>
        <v>93.716800000000006</v>
      </c>
      <c r="P76" s="117"/>
      <c r="Q76" s="121">
        <f>+[1]MGA!$C$33/1000</f>
        <v>3.5519553500000005</v>
      </c>
      <c r="R76" s="119">
        <f>+[1]MGA!$C$34/1000</f>
        <v>3.1151406600000002</v>
      </c>
      <c r="S76" s="119">
        <f>+[1]MGA!$C$35/1000</f>
        <v>6.5171899999999994</v>
      </c>
      <c r="T76" s="117"/>
      <c r="U76" s="121">
        <f>+[1]Bancassurance!$C$33/1000</f>
        <v>4.2017579999999992E-2</v>
      </c>
      <c r="V76" s="119">
        <f>+[1]Bancassurance!$C$34/1000</f>
        <v>0</v>
      </c>
      <c r="W76" s="119">
        <f>+[1]Bancassurance!$C$35/1000</f>
        <v>0.27317000000000002</v>
      </c>
      <c r="X76" s="117"/>
      <c r="Y76" s="121">
        <f>+[1]Specials!$C$33/1000</f>
        <v>0</v>
      </c>
      <c r="Z76" s="119">
        <f>+[1]Specials!$C$34/1000</f>
        <v>-1.0200000000000001E-3</v>
      </c>
      <c r="AA76" s="119">
        <f>+[1]Specials!$C$35/1000</f>
        <v>0</v>
      </c>
      <c r="AB76" s="117"/>
      <c r="AC76" s="124">
        <f>+'[1]Total P&amp;C'!$C$33/1000</f>
        <v>115.28631550999999</v>
      </c>
      <c r="AD76" s="123">
        <f>+'[1]Total P&amp;C'!$C$34/1000</f>
        <v>118.09430183000001</v>
      </c>
      <c r="AE76" s="123">
        <f>+'[1]Total P&amp;C'!$C$35/1000</f>
        <v>118.59117000000001</v>
      </c>
      <c r="AG76" s="212" t="s">
        <v>38</v>
      </c>
      <c r="AH76" s="115"/>
      <c r="AI76" s="116" t="s">
        <v>19</v>
      </c>
      <c r="AJ76" s="117"/>
      <c r="AK76" s="121">
        <f>+[2]Retail!$C$33/1000</f>
        <v>12.45951670999999</v>
      </c>
      <c r="AL76" s="119">
        <f>+[2]Retail!$C$34/1000</f>
        <v>12.835577450000004</v>
      </c>
      <c r="AM76" s="119">
        <f>+[2]Retail!$C$35/1000</f>
        <v>13.131483596439136</v>
      </c>
      <c r="AN76" s="117"/>
      <c r="AO76" s="121">
        <f>+[2]SME!$C$33/1000</f>
        <v>5.9680029899999969</v>
      </c>
      <c r="AP76" s="119">
        <f>+[2]SME!$C$34/1000</f>
        <v>6.1407779400000004</v>
      </c>
      <c r="AQ76" s="119">
        <f>+[2]SME!$C$35/1000</f>
        <v>6.2543068537446347</v>
      </c>
      <c r="AR76" s="117"/>
      <c r="AS76" s="121">
        <f>+[2]MidCorp!$C$33/1000</f>
        <v>18.325501020000004</v>
      </c>
      <c r="AT76" s="119">
        <f>+[2]MidCorp!$C$34/1000</f>
        <v>17.214163820000007</v>
      </c>
      <c r="AU76" s="119">
        <f>+[2]MidCorp!$C$35/1000</f>
        <v>18.831653672501602</v>
      </c>
      <c r="AV76" s="117"/>
      <c r="AW76" s="121"/>
      <c r="AX76" s="119"/>
      <c r="AY76" s="119"/>
      <c r="AZ76" s="117"/>
      <c r="BA76" s="121"/>
      <c r="BB76" s="119"/>
      <c r="BC76" s="119"/>
      <c r="BD76" s="117"/>
      <c r="BE76" s="121"/>
      <c r="BF76" s="119"/>
      <c r="BG76" s="119"/>
      <c r="BH76" s="117"/>
      <c r="BI76" s="124">
        <f>+'[2]Total P&amp;C'!$C$33/1000</f>
        <v>36.753020719999995</v>
      </c>
      <c r="BJ76" s="123">
        <f>+'[2]Total P&amp;C'!$C$34/1000</f>
        <v>36.190519210000012</v>
      </c>
      <c r="BK76" s="123">
        <f>+'[2]Total P&amp;C'!$C$35/1000</f>
        <v>38.217444122685365</v>
      </c>
      <c r="BM76" s="124">
        <f>+'[3]Total P&amp;C'!$C$33/1000</f>
        <v>152.03933623</v>
      </c>
      <c r="BN76" s="123">
        <f>+'[3]Total P&amp;C'!$C$34/1000</f>
        <v>154.28482104000003</v>
      </c>
      <c r="BO76" s="123">
        <f>+'[3]Total P&amp;C'!$C$35/1000</f>
        <v>156.80861412268538</v>
      </c>
    </row>
    <row r="77" spans="1:67" ht="16.5" hidden="1" customHeight="1" outlineLevel="1" x14ac:dyDescent="0.3">
      <c r="A77" s="214"/>
      <c r="B77" s="115"/>
      <c r="C77" s="116" t="s">
        <v>55</v>
      </c>
      <c r="D77" s="117"/>
      <c r="E77" s="118">
        <f>+[1]Retail!$N$33/1000</f>
        <v>1.3175103099999981</v>
      </c>
      <c r="F77" s="119">
        <f>+[1]Retail!$N$34/1000</f>
        <v>1.5505957199999973</v>
      </c>
      <c r="G77" s="119">
        <f>+[1]Retail!$N$35/1000</f>
        <v>0</v>
      </c>
      <c r="H77" s="117"/>
      <c r="I77" s="118">
        <f>+[1]SME!$N$33/1000</f>
        <v>9.6528133799999996</v>
      </c>
      <c r="J77" s="119">
        <f>+[1]SME!$N$34/1000</f>
        <v>9.7543116899999962</v>
      </c>
      <c r="K77" s="119">
        <f>+[1]SME!$N$35/1000</f>
        <v>9.4373127224502795</v>
      </c>
      <c r="L77" s="117"/>
      <c r="M77" s="121">
        <f>+[1]MidCorp!$N$33/1000</f>
        <v>35.856156949999999</v>
      </c>
      <c r="N77" s="119">
        <f>+[1]MidCorp!$N$34/1000</f>
        <v>35.727936879999994</v>
      </c>
      <c r="O77" s="119">
        <f>+[1]MidCorp!$N$35/1000</f>
        <v>47.982197257748105</v>
      </c>
      <c r="P77" s="117"/>
      <c r="Q77" s="121">
        <f>+[1]MGA!$N$33/1000</f>
        <v>3.2356591799999994</v>
      </c>
      <c r="R77" s="119">
        <f>+[1]MGA!$N$34/1000</f>
        <v>2.8877826899999994</v>
      </c>
      <c r="S77" s="119">
        <f>+[1]MGA!$N$35/1000</f>
        <v>6.2240000000000002</v>
      </c>
      <c r="T77" s="117"/>
      <c r="U77" s="121">
        <f>+[1]Bancassurance!$N$33/1000</f>
        <v>2.6223940000000005E-2</v>
      </c>
      <c r="V77" s="119">
        <f>+[1]Bancassurance!$N$34/1000</f>
        <v>0</v>
      </c>
      <c r="W77" s="119">
        <f>+[1]Bancassurance!$N$35/1000</f>
        <v>0.30894008499504944</v>
      </c>
      <c r="X77" s="117"/>
      <c r="Y77" s="121">
        <f>+[1]Specials!$N$33/1000</f>
        <v>0</v>
      </c>
      <c r="Z77" s="119">
        <f>+[1]Specials!$N$34/1000</f>
        <v>-1.0088900000000001E-3</v>
      </c>
      <c r="AA77" s="119">
        <f>+[1]Specials!$N$35/1000</f>
        <v>0</v>
      </c>
      <c r="AB77" s="117"/>
      <c r="AC77" s="124">
        <f>+'[1]Total P&amp;C'!$N$33/1000</f>
        <v>50.08836376</v>
      </c>
      <c r="AD77" s="123">
        <f>+'[1]Total P&amp;C'!$N$34/1000</f>
        <v>49.919618089999986</v>
      </c>
      <c r="AE77" s="123">
        <f>+'[1]Total P&amp;C'!$N$35/1000</f>
        <v>63.952450065193439</v>
      </c>
      <c r="AG77" s="212"/>
      <c r="AH77" s="115"/>
      <c r="AI77" s="116" t="s">
        <v>55</v>
      </c>
      <c r="AJ77" s="117"/>
      <c r="AK77" s="121">
        <f>+[2]Retail!$N$33/1000</f>
        <v>12.519300509999995</v>
      </c>
      <c r="AL77" s="119">
        <f>+[2]Retail!$N$34/1000</f>
        <v>12.809171130000003</v>
      </c>
      <c r="AM77" s="119">
        <f>+[2]Retail!$N$35/1000</f>
        <v>13.142971363986241</v>
      </c>
      <c r="AN77" s="117"/>
      <c r="AO77" s="121">
        <f>+[2]SME!$N$33/1000</f>
        <v>4.0744000800000011</v>
      </c>
      <c r="AP77" s="119">
        <f>+[2]SME!$N$34/1000</f>
        <v>4.2556116399999953</v>
      </c>
      <c r="AQ77" s="119">
        <f>+[2]SME!$N$35/1000</f>
        <v>4.3161255611462801</v>
      </c>
      <c r="AR77" s="117"/>
      <c r="AS77" s="121">
        <f>+[2]MidCorp!$N$33/1000</f>
        <v>9.6943313500000006</v>
      </c>
      <c r="AT77" s="119">
        <f>+[2]MidCorp!$N$34/1000</f>
        <v>9.2067108199999943</v>
      </c>
      <c r="AU77" s="119">
        <f>+[2]MidCorp!$N$35/1000</f>
        <v>10.999890215633473</v>
      </c>
      <c r="AV77" s="117"/>
      <c r="AW77" s="121"/>
      <c r="AX77" s="119"/>
      <c r="AY77" s="119"/>
      <c r="AZ77" s="117"/>
      <c r="BA77" s="121"/>
      <c r="BB77" s="119"/>
      <c r="BC77" s="119"/>
      <c r="BD77" s="117"/>
      <c r="BE77" s="121"/>
      <c r="BF77" s="119"/>
      <c r="BG77" s="119"/>
      <c r="BH77" s="117"/>
      <c r="BI77" s="124">
        <f>+'[2]Total P&amp;C'!$N$33/1000</f>
        <v>26.288031939999996</v>
      </c>
      <c r="BJ77" s="123">
        <f>+'[2]Total P&amp;C'!$N$34/1000</f>
        <v>26.271493589999992</v>
      </c>
      <c r="BK77" s="123">
        <f>+'[2]Total P&amp;C'!$N$35/1000</f>
        <v>28.458987140765995</v>
      </c>
      <c r="BM77" s="124">
        <f>+'[3]Total P&amp;C'!$N$33/1000</f>
        <v>76.376395699999989</v>
      </c>
      <c r="BN77" s="123">
        <f>+'[3]Total P&amp;C'!$N$34/1000</f>
        <v>76.191111679999977</v>
      </c>
      <c r="BO77" s="123">
        <f>+'[3]Total P&amp;C'!$N$35/1000</f>
        <v>92.41143720595943</v>
      </c>
    </row>
    <row r="78" spans="1:67" ht="16.5" hidden="1" customHeight="1" outlineLevel="1" x14ac:dyDescent="0.3">
      <c r="A78" s="214"/>
      <c r="B78" s="115"/>
      <c r="C78" s="116" t="s">
        <v>21</v>
      </c>
      <c r="D78" s="117"/>
      <c r="E78" s="126">
        <f>+E79+E84+E85+E86+E87</f>
        <v>0.43947417762522301</v>
      </c>
      <c r="F78" s="127">
        <f>+F79+F84+F85+F86+F87</f>
        <v>1.0924877440007414</v>
      </c>
      <c r="G78" s="127" t="e">
        <f>+G79+G84+G85+G86+G87</f>
        <v>#DIV/0!</v>
      </c>
      <c r="H78" s="117"/>
      <c r="I78" s="128">
        <f>+I79+I84+I85+I86+I87</f>
        <v>1.0366788381855159</v>
      </c>
      <c r="J78" s="127">
        <f>+J79+J84+J85+J86+J87</f>
        <v>0.76973210500309563</v>
      </c>
      <c r="K78" s="127">
        <f>+K79+K84+K85+K86+K87</f>
        <v>0.96263033279017263</v>
      </c>
      <c r="L78" s="117"/>
      <c r="M78" s="126">
        <f>+M79+M84+M85+M86+M87</f>
        <v>0.8108168376923619</v>
      </c>
      <c r="N78" s="127">
        <f>+N79+N84+N85+N86+N87</f>
        <v>0.90120064077990547</v>
      </c>
      <c r="O78" s="127">
        <f>+O79+O84+O85+O86+O87</f>
        <v>0.90749123895617312</v>
      </c>
      <c r="P78" s="117"/>
      <c r="Q78" s="128">
        <f>+Q79+Q84+Q85+Q86+Q87</f>
        <v>0.96460137683598723</v>
      </c>
      <c r="R78" s="127">
        <f>+R79+R84+R85+R86+R87</f>
        <v>1.1624934942732832</v>
      </c>
      <c r="S78" s="127">
        <f>+S79+S84+S85+S86+S87</f>
        <v>0.93077027240153165</v>
      </c>
      <c r="T78" s="117"/>
      <c r="U78" s="128">
        <f>+U79+U84+U85+U86+U87</f>
        <v>24.298362869957753</v>
      </c>
      <c r="V78" s="127" t="e">
        <f>+V79+V84+V85+V86+V87</f>
        <v>#DIV/0!</v>
      </c>
      <c r="W78" s="127">
        <f>+W79+W84+W85+W86+W87</f>
        <v>1.6711654655329888</v>
      </c>
      <c r="X78" s="117"/>
      <c r="Y78" s="126" t="e">
        <f>+Y79+Y84+Y85+Y86+Y87</f>
        <v>#DIV/0!</v>
      </c>
      <c r="Z78" s="127">
        <f>+Z79+Z84+Z85+Z86+Z87</f>
        <v>0.98067182745393433</v>
      </c>
      <c r="AA78" s="127" t="e">
        <f>+AA79+AA84+AA85+AA86+AA87</f>
        <v>#DIV/0!</v>
      </c>
      <c r="AB78" s="117"/>
      <c r="AC78" s="132">
        <f>+AC79+AC84+AC85+AC86+AC87</f>
        <v>0.866807612802723</v>
      </c>
      <c r="AD78" s="130">
        <f>+AD79+AD84+AD85+AD86+AD87</f>
        <v>0.91233202381256473</v>
      </c>
      <c r="AE78" s="130">
        <f>+AE79+AE84+AE85+AE86+AE87</f>
        <v>0.92467780696681046</v>
      </c>
      <c r="AG78" s="212"/>
      <c r="AH78" s="115"/>
      <c r="AI78" s="116" t="s">
        <v>21</v>
      </c>
      <c r="AJ78" s="117"/>
      <c r="AK78" s="126">
        <f>+AK79+AK84+AK85+AK86+AK87</f>
        <v>0.91666077835845561</v>
      </c>
      <c r="AL78" s="127">
        <f>+AL79+AL84+AL85+AL86+AL87</f>
        <v>0.87258372431472075</v>
      </c>
      <c r="AM78" s="127">
        <f>+AM79+AM84+AM85+AM86+AM87</f>
        <v>0.97414081115181106</v>
      </c>
      <c r="AN78" s="117"/>
      <c r="AO78" s="126">
        <f>+AO79+AO84+AO85+AO86+AO87</f>
        <v>1.0390472135470801</v>
      </c>
      <c r="AP78" s="127">
        <f>+AP79+AP84+AP85+AP86+AP87</f>
        <v>0.50575340798720037</v>
      </c>
      <c r="AQ78" s="127">
        <f>+AQ79+AQ84+AQ85+AQ86+AQ87</f>
        <v>1.1275743821260522</v>
      </c>
      <c r="AR78" s="117"/>
      <c r="AS78" s="128">
        <f>+AS79+AS84+AS85+AS86+AS87</f>
        <v>1.0791933958395177</v>
      </c>
      <c r="AT78" s="127">
        <f>+AT79+AT84+AT85+AT86+AT87</f>
        <v>0.96761552677941065</v>
      </c>
      <c r="AU78" s="127">
        <f>+AU79+AU84+AU85+AU86+AU87</f>
        <v>1.0094230508252622</v>
      </c>
      <c r="AV78" s="117"/>
      <c r="AW78" s="131"/>
      <c r="AX78" s="127"/>
      <c r="AY78" s="127"/>
      <c r="AZ78" s="117"/>
      <c r="BA78" s="131"/>
      <c r="BB78" s="127"/>
      <c r="BC78" s="127"/>
      <c r="BD78" s="117"/>
      <c r="BE78" s="131"/>
      <c r="BF78" s="127"/>
      <c r="BG78" s="127"/>
      <c r="BH78" s="117"/>
      <c r="BI78" s="132">
        <f>+BI79+BI84+BI85+BI86+BI87</f>
        <v>0.99556726915632332</v>
      </c>
      <c r="BJ78" s="130">
        <f>+BJ79+BJ84+BJ85+BJ86+BJ87</f>
        <v>0.8464657939533613</v>
      </c>
      <c r="BK78" s="130">
        <f>+BK79+BK84+BK85+BK86+BK87</f>
        <v>1.0110479335098288</v>
      </c>
      <c r="BM78" s="132">
        <f>+BM79+BM84+BM85+BM86+BM87</f>
        <v>0.91112546686986462</v>
      </c>
      <c r="BN78" s="130">
        <f>+BN79+BN84+BN85+BN86+BN87</f>
        <v>0.88962065765201859</v>
      </c>
      <c r="BO78" s="130">
        <f>+BO79+BO84+BO85+BO86+BO87</f>
        <v>0.95127631462940498</v>
      </c>
    </row>
    <row r="79" spans="1:67" ht="16.5" hidden="1" customHeight="1" outlineLevel="1" x14ac:dyDescent="0.3">
      <c r="A79" s="214"/>
      <c r="B79" s="115"/>
      <c r="C79" s="116" t="s">
        <v>56</v>
      </c>
      <c r="D79" s="117"/>
      <c r="E79" s="126">
        <f>+E80+E81+E82+E83</f>
        <v>0.10151782417551022</v>
      </c>
      <c r="F79" s="127">
        <f>+F80+F81+F82+F83</f>
        <v>0.67322425602980751</v>
      </c>
      <c r="G79" s="127" t="e">
        <f>+G80+G81+G82+G83</f>
        <v>#DIV/0!</v>
      </c>
      <c r="H79" s="117"/>
      <c r="I79" s="126">
        <f>+I80+I81+I82+I83</f>
        <v>0.44309614841015393</v>
      </c>
      <c r="J79" s="127">
        <f>+J80+J81+J82+J83</f>
        <v>0.56122320815442406</v>
      </c>
      <c r="K79" s="127">
        <f>+K80+K81+K82+K83</f>
        <v>0.58128024472715745</v>
      </c>
      <c r="L79" s="117"/>
      <c r="M79" s="126">
        <f>+M80+M81+M82+M83</f>
        <v>0.66371397813730293</v>
      </c>
      <c r="N79" s="127">
        <f>+N80+N81+N82+N83</f>
        <v>0.66500002364536204</v>
      </c>
      <c r="O79" s="127">
        <f>+O80+O81+O82+O83</f>
        <v>0.69838707848874437</v>
      </c>
      <c r="P79" s="117"/>
      <c r="Q79" s="128">
        <f>+Q80+Q81+Q82+Q83</f>
        <v>0.85227372742020391</v>
      </c>
      <c r="R79" s="127">
        <f>+R80+R81+R82+R83</f>
        <v>0.59146856718640428</v>
      </c>
      <c r="S79" s="127">
        <f>+S80+S81+S82+S83</f>
        <v>0.5728544935889186</v>
      </c>
      <c r="T79" s="117"/>
      <c r="U79" s="128">
        <f>+U80+U81+U82+U83</f>
        <v>6.1024605760995483</v>
      </c>
      <c r="V79" s="127" t="e">
        <f>+V80+V81+V82+V83</f>
        <v>#DIV/0!</v>
      </c>
      <c r="W79" s="127">
        <f>+W80+W81+W82+W83</f>
        <v>0.43782377643486775</v>
      </c>
      <c r="X79" s="117"/>
      <c r="Y79" s="128" t="e">
        <f>+Y80+Y81+Y82+Y83</f>
        <v>#DIV/0!</v>
      </c>
      <c r="Z79" s="127">
        <f>+Z80+Z81+Z82+Z83</f>
        <v>0.77435597537888168</v>
      </c>
      <c r="AA79" s="127" t="e">
        <f>+AA80+AA81+AA82+AA83</f>
        <v>#DIV/0!</v>
      </c>
      <c r="AB79" s="117"/>
      <c r="AC79" s="132">
        <f>+AC80+AC81+AC82+AC83</f>
        <v>0.62143786127942002</v>
      </c>
      <c r="AD79" s="130">
        <f>+AD80+AD81+AD82+AD83</f>
        <v>0.6453732010112021</v>
      </c>
      <c r="AE79" s="130">
        <f>+AE80+AE81+AE82+AE83</f>
        <v>0.66855367706635016</v>
      </c>
      <c r="AG79" s="212"/>
      <c r="AH79" s="115"/>
      <c r="AI79" s="116" t="s">
        <v>56</v>
      </c>
      <c r="AJ79" s="117"/>
      <c r="AK79" s="131">
        <f>+AK80+AK81+AK82+AK83</f>
        <v>0.58823691500316921</v>
      </c>
      <c r="AL79" s="127">
        <f>+AL80+AL81+AL82+AL83</f>
        <v>0.65914510348180533</v>
      </c>
      <c r="AM79" s="127">
        <f>+AM80+AM81+AM82+AM83</f>
        <v>0.57847407723427446</v>
      </c>
      <c r="AN79" s="117"/>
      <c r="AO79" s="126">
        <f>+AO80+AO81+AO82+AO83</f>
        <v>0.57193634749781352</v>
      </c>
      <c r="AP79" s="127">
        <f>+AP80+AP81+AP82+AP83</f>
        <v>0.4614283435882327</v>
      </c>
      <c r="AQ79" s="127">
        <f>+AQ80+AQ81+AQ82+AQ83</f>
        <v>0.60635480534081143</v>
      </c>
      <c r="AR79" s="117"/>
      <c r="AS79" s="126">
        <f>+AS80+AS81+AS82+AS83</f>
        <v>0.42311924483579771</v>
      </c>
      <c r="AT79" s="127">
        <f>+AT80+AT81+AT82+AT83</f>
        <v>0.48294940255329988</v>
      </c>
      <c r="AU79" s="127">
        <f>+AU80+AU81+AU82+AU83</f>
        <v>0.64116490599961606</v>
      </c>
      <c r="AV79" s="117"/>
      <c r="AW79" s="131"/>
      <c r="AX79" s="127"/>
      <c r="AY79" s="127"/>
      <c r="AZ79" s="117"/>
      <c r="BA79" s="131"/>
      <c r="BB79" s="127"/>
      <c r="BC79" s="127"/>
      <c r="BD79" s="117"/>
      <c r="BE79" s="131"/>
      <c r="BF79" s="127"/>
      <c r="BG79" s="127"/>
      <c r="BH79" s="117"/>
      <c r="BI79" s="132">
        <f>+BI80+BI81+BI82+BI83</f>
        <v>0.52481944641155209</v>
      </c>
      <c r="BJ79" s="130">
        <f>+BJ80+BJ81+BJ82+BJ83</f>
        <v>0.56537089142330743</v>
      </c>
      <c r="BK79" s="130">
        <f>+BK80+BK81+BK82+BK83</f>
        <v>0.6069335917343408</v>
      </c>
      <c r="BM79" s="132">
        <f>+BM80+BM81+BM82+BM83</f>
        <v>0.5881827180802669</v>
      </c>
      <c r="BN79" s="130">
        <f>+BN80+BN81+BN82+BN83</f>
        <v>0.61778756645121591</v>
      </c>
      <c r="BO79" s="130">
        <f>+BO80+BO81+BO82+BO83</f>
        <v>0.64957718163355893</v>
      </c>
    </row>
    <row r="80" spans="1:67" ht="16.5" hidden="1" customHeight="1" outlineLevel="1" x14ac:dyDescent="0.3">
      <c r="A80" s="214"/>
      <c r="B80" s="115"/>
      <c r="C80" s="38" t="s">
        <v>23</v>
      </c>
      <c r="D80" s="117"/>
      <c r="E80" s="74">
        <f>-SUM([1]Retail!$O$33,[1]Retail!$R$33:$V$33,[1]Retail!$Y$33,[1]Retail!$AB$33,[1]Retail!$AU$33,[1]Retail!$AX$33,[1]Retail!$BA$33,[1]Retail!$BD$33)/1000/E77</f>
        <v>9.9800000806065936E-2</v>
      </c>
      <c r="F80" s="42">
        <f>-SUM([1]Retail!$O$34,[1]Retail!$R$34:$V$34,[1]Retail!$Y$34,[1]Retail!$AB$34,[1]Retail!$AU$34,[1]Retail!$AX$34,[1]Retail!$BA$34,[1]Retail!$BD$34)/1000/F77</f>
        <v>0.38698735049172805</v>
      </c>
      <c r="G80" s="42" t="e">
        <f>-SUM([1]Retail!$O$35,[1]Retail!$R$35:$V$35,[1]Retail!$Y$35,[1]Retail!$AB$35,[1]Retail!$AU$35,[1]Retail!$AX$35,[1]Retail!$BA$35,[1]Retail!$BD$35)/1000/G77</f>
        <v>#DIV/0!</v>
      </c>
      <c r="H80" s="117"/>
      <c r="I80" s="73">
        <f>-SUM([1]SME!$O$33,[1]SME!$R$33:$V$33,[1]SME!$Y$33,[1]SME!$AB$33,[1]SME!$AU$33,[1]SME!$AX$33,[1]SME!$BA$33,[1]SME!$BD$33)/1000/I77</f>
        <v>0.30631328883102149</v>
      </c>
      <c r="J80" s="42">
        <f>-SUM([1]SME!$O$34,[1]SME!$R$34:$V$34,[1]SME!$Y$34,[1]SME!$AB$34,[1]SME!$AU$34,[1]SME!$AX$34,[1]SME!$BA$34,[1]SME!$BD$34)/1000/J77</f>
        <v>0.28728671342145634</v>
      </c>
      <c r="K80" s="42">
        <f>-SUM([1]SME!$O$35,[1]SME!$R$35:$V$35,[1]SME!$Y$35,[1]SME!$AB$35,[1]SME!$AU$35,[1]SME!$AX$35,[1]SME!$BA$35,[1]SME!$BD$35)/1000/K77</f>
        <v>0.27026150615818301</v>
      </c>
      <c r="L80" s="117"/>
      <c r="M80" s="74">
        <f>-SUM([1]MidCorp!$O$33,[1]MidCorp!$R$33:$V$33,[1]MidCorp!$Y$33,[1]MidCorp!$AB$33,[1]MidCorp!$AU$33,[1]MidCorp!$AX$33,[1]MidCorp!$BA$33,[1]MidCorp!$BD$33)/1000/M77</f>
        <v>0.27613107422096067</v>
      </c>
      <c r="N80" s="42">
        <f>-SUM([1]MidCorp!$O$34,[1]MidCorp!$R$34:$V$34,[1]MidCorp!$Y$34,[1]MidCorp!$AB$34,[1]MidCorp!$AU$34,[1]MidCorp!$AX$34,[1]MidCorp!$BA$34,[1]MidCorp!$BD$34)/1000/N77</f>
        <v>0.27603132373993339</v>
      </c>
      <c r="O80" s="42">
        <f>-SUM([1]MidCorp!$O$35,[1]MidCorp!$R$35:$V$35,[1]MidCorp!$Y$35,[1]MidCorp!$AB$35,[1]MidCorp!$AU$35,[1]MidCorp!$AX$35,[1]MidCorp!$BA$35,[1]MidCorp!$BD$35)/1000/O77</f>
        <v>0.28612819307652587</v>
      </c>
      <c r="P80" s="117"/>
      <c r="Q80" s="73">
        <f>-SUM([1]MGA!$O$33,[1]MGA!$R$33:$V$33,[1]MGA!$Y$33,[1]MGA!$AB$33,[1]MGA!$AU$33,[1]MGA!$AX$33,[1]MGA!$BA$33,[1]MGA!$BD$33)/1000/Q77</f>
        <v>0.54612999342610458</v>
      </c>
      <c r="R80" s="42">
        <f>-SUM([1]MGA!$O$34,[1]MGA!$R$34:$V$34,[1]MGA!$Y$34,[1]MGA!$AB$34,[1]MGA!$AU$34,[1]MGA!$AX$34,[1]MGA!$BA$34,[1]MGA!$BD$34)/1000/R77</f>
        <v>0.38544234808606204</v>
      </c>
      <c r="S80" s="42">
        <f>-SUM([1]MGA!$O$35,[1]MGA!$R$35:$V$35,[1]MGA!$Y$35,[1]MGA!$AB$35,[1]MGA!$AU$35,[1]MGA!$AX$35,[1]MGA!$BA$35,[1]MGA!$BD$35)/1000/S77</f>
        <v>0.33847754777066436</v>
      </c>
      <c r="T80" s="117"/>
      <c r="U80" s="73">
        <f>-SUM([1]Bancassurance!$O$33,[1]Bancassurance!$R$33:$V$33,[1]Bancassurance!$Y$33,[1]Bancassurance!$AB$33,[1]Bancassurance!$AU$33,[1]Bancassurance!$AX$33,[1]Bancassurance!$BA$33,[1]Bancassurance!$BD$33)/1000/U77</f>
        <v>5.3121521785055945</v>
      </c>
      <c r="V80" s="42" t="e">
        <f>-SUM([1]Bancassurance!$O$34,[1]Bancassurance!$R$34:$V$34,[1]Bancassurance!$Y$34,[1]Bancassurance!$AB$34,[1]Bancassurance!$AU$34,[1]Bancassurance!$AX$34,[1]Bancassurance!$BA$34,[1]Bancassurance!$BD$34)/1000/V77</f>
        <v>#DIV/0!</v>
      </c>
      <c r="W80" s="42">
        <f>-SUM([1]Bancassurance!$O$35,[1]Bancassurance!$R$35:$V$35,[1]Bancassurance!$Y$35,[1]Bancassurance!$AB$35,[1]Bancassurance!$AU$35,[1]Bancassurance!$AX$35,[1]Bancassurance!$BA$35,[1]Bancassurance!$BD$35)/1000/W77</f>
        <v>0.13896769384533014</v>
      </c>
      <c r="X80" s="117"/>
      <c r="Y80" s="73" t="e">
        <f>-SUM([1]Specials!$O$33,[1]Specials!$R$33:$V$33,[1]Specials!$Y$33,[1]Specials!$AB$33,[1]Specials!$AU$33,[1]Specials!$AX$33,[1]Specials!$BA$33,[1]Specials!$BD$33)/1000/Y77</f>
        <v>#DIV/0!</v>
      </c>
      <c r="Z80" s="42">
        <f>-SUM([1]Specials!$O$34,[1]Specials!$R$34:$V$34,[1]Specials!$Y$34,[1]Specials!$AB$34,[1]Specials!$AU$34,[1]Specials!$AX$34,[1]Specials!$BA$34,[1]Specials!$BD$34)/1000/Z77</f>
        <v>1.9823766713913309E-5</v>
      </c>
      <c r="AA80" s="42" t="e">
        <f>-SUM([1]Specials!$O$35,[1]Specials!$R$35:$V$35,[1]Specials!$Y$35,[1]Specials!$AB$35,[1]Specials!$AU$35,[1]Specials!$AX$35,[1]Specials!$BA$35,[1]Specials!$BD$35)/1000/AA77</f>
        <v>#DIV/0!</v>
      </c>
      <c r="AB80" s="117"/>
      <c r="AC80" s="84">
        <f>-SUM('[1]Total P&amp;C'!$O$33,'[1]Total P&amp;C'!$R$33:$V$33,'[1]Total P&amp;C'!$Y$33,'[1]Total P&amp;C'!$AB$33,'[1]Total P&amp;C'!$AU$33,'[1]Total P&amp;C'!$AX$33,'[1]Total P&amp;C'!$BA$33,'[1]Total P&amp;C'!$BD$33)/1000/AC77</f>
        <v>0.29738778924810433</v>
      </c>
      <c r="AD80" s="60">
        <f>-SUM('[1]Total P&amp;C'!$O$34,'[1]Total P&amp;C'!$R$34:$V$34,'[1]Total P&amp;C'!$Y$34,'[1]Total P&amp;C'!$AB$34,'[1]Total P&amp;C'!$AU$34,'[1]Total P&amp;C'!$AX$34,'[1]Total P&amp;C'!$BA$34,'[1]Total P&amp;C'!$BD$34)/1000/AD77</f>
        <v>0.29247359489873603</v>
      </c>
      <c r="AE80" s="60">
        <f>-SUM('[1]Total P&amp;C'!$O$35,'[1]Total P&amp;C'!$R$35:$V$35,'[1]Total P&amp;C'!$Y$35,'[1]Total P&amp;C'!$AB$35,'[1]Total P&amp;C'!$AU$35,'[1]Total P&amp;C'!$AX$35,'[1]Total P&amp;C'!$BA$35,'[1]Total P&amp;C'!$BD$35)/1000/AE77</f>
        <v>0.28909426669009541</v>
      </c>
      <c r="AG80" s="212"/>
      <c r="AH80" s="115"/>
      <c r="AI80" s="38" t="s">
        <v>23</v>
      </c>
      <c r="AJ80" s="117"/>
      <c r="AK80" s="73">
        <f>-SUM([2]Retail!$O$33,[2]Retail!$R$33:$V$33,[2]Retail!$Y$33,[2]Retail!$AB$33,[2]Retail!$AU$33,[2]Retail!$AX$33,[2]Retail!$BA$33,[2]Retail!$BD$33)/1000/AK77</f>
        <v>0.45233935079988169</v>
      </c>
      <c r="AL80" s="42">
        <f>-SUM([2]Retail!$O$34,[2]Retail!$R$34:$V$34,[2]Retail!$Y$34,[2]Retail!$AB$34,[2]Retail!$AU$34,[2]Retail!$AX$34,[2]Retail!$BA$34,[2]Retail!$BD$34)/1000/AL77</f>
        <v>0.51725815923266527</v>
      </c>
      <c r="AM80" s="42">
        <f>-SUM([2]Retail!$O$35,[2]Retail!$R$35:$V$35,[2]Retail!$Y$35,[2]Retail!$AB$35,[2]Retail!$AU$35,[2]Retail!$AX$35,[2]Retail!$BA$35,[2]Retail!$BD$35)/1000/AM77</f>
        <v>0.36284434940746585</v>
      </c>
      <c r="AN80" s="117"/>
      <c r="AO80" s="74">
        <f>-SUM([2]SME!$O$33,[2]SME!$R$33:$V$33,[2]SME!$Y$33,[2]SME!$AB$33,[2]SME!$AU$33,[2]SME!$AX$33,[2]SME!$BA$33,[2]SME!$BD$33)/1000/AO77</f>
        <v>0.30858227538515048</v>
      </c>
      <c r="AP80" s="42">
        <f>-SUM([2]SME!$O$34,[2]SME!$R$34:$V$34,[2]SME!$Y$34,[2]SME!$AB$34,[2]SME!$AU$34,[2]SME!$AX$34,[2]SME!$BA$34,[2]SME!$BD$34)/1000/AP77</f>
        <v>0.30081171598637735</v>
      </c>
      <c r="AQ80" s="42">
        <f>-SUM([2]SME!$O$35,[2]SME!$R$35:$V$35,[2]SME!$Y$35,[2]SME!$AB$35,[2]SME!$AU$35,[2]SME!$AX$35,[2]SME!$BA$35,[2]SME!$BD$35)/1000/AQ77</f>
        <v>0.32227932661483821</v>
      </c>
      <c r="AR80" s="117"/>
      <c r="AS80" s="74">
        <f>-SUM([2]MidCorp!$O$33,[2]MidCorp!$R$33:$V$33,[2]MidCorp!$Y$33,[2]MidCorp!$AB$33,[2]MidCorp!$AU$33,[2]MidCorp!$AX$33,[2]MidCorp!$BA$33,[2]MidCorp!$BD$33)/1000/AS77</f>
        <v>0.14617882491407766</v>
      </c>
      <c r="AT80" s="42">
        <f>-SUM([2]MidCorp!$O$34,[2]MidCorp!$R$34:$V$34,[2]MidCorp!$Y$34,[2]MidCorp!$AB$34,[2]MidCorp!$AU$34,[2]MidCorp!$AX$34,[2]MidCorp!$BA$34,[2]MidCorp!$BD$34)/1000/AT77</f>
        <v>0.28616804758075387</v>
      </c>
      <c r="AU80" s="42">
        <f>-SUM([2]MidCorp!$O$35,[2]MidCorp!$R$35:$V$35,[2]MidCorp!$Y$35,[2]MidCorp!$AB$35,[2]MidCorp!$AU$35,[2]MidCorp!$AX$35,[2]MidCorp!$BA$35,[2]MidCorp!$BD$35)/1000/AU77</f>
        <v>0.29883041321111853</v>
      </c>
      <c r="AV80" s="117"/>
      <c r="AW80" s="97"/>
      <c r="AX80" s="42"/>
      <c r="AY80" s="42"/>
      <c r="AZ80" s="117"/>
      <c r="BA80" s="97"/>
      <c r="BB80" s="42"/>
      <c r="BC80" s="42"/>
      <c r="BD80" s="117"/>
      <c r="BE80" s="97"/>
      <c r="BF80" s="42"/>
      <c r="BG80" s="42"/>
      <c r="BH80" s="117"/>
      <c r="BI80" s="85">
        <f>-SUM('[2]Total P&amp;C'!$O$33,'[2]Total P&amp;C'!$R$33:$V$33,'[2]Total P&amp;C'!$Y$33,'[2]Total P&amp;C'!$AB$33,'[2]Total P&amp;C'!$AU$33,'[2]Total P&amp;C'!$AX$33,'[2]Total P&amp;C'!$BA$33,'[2]Total P&amp;C'!$BD$33)/1000/BI77</f>
        <v>0.31715443349954214</v>
      </c>
      <c r="BJ80" s="60">
        <f>-SUM('[2]Total P&amp;C'!$O$34,'[2]Total P&amp;C'!$R$34:$V$34,'[2]Total P&amp;C'!$Y$34,'[2]Total P&amp;C'!$AB$34,'[2]Total P&amp;C'!$AU$34,'[2]Total P&amp;C'!$AX$34,'[2]Total P&amp;C'!$BA$34,'[2]Total P&amp;C'!$BD$34)/1000/BJ77</f>
        <v>0.40121253646622235</v>
      </c>
      <c r="BK80" s="60">
        <f>-SUM('[2]Total P&amp;C'!$O$35,'[2]Total P&amp;C'!$R$35:$V$35,'[2]Total P&amp;C'!$Y$35,'[2]Total P&amp;C'!$AB$35,'[2]Total P&amp;C'!$AU$35,'[2]Total P&amp;C'!$AX$35,'[2]Total P&amp;C'!$BA$35,'[2]Total P&amp;C'!$BD$35)/1000/BK77</f>
        <v>0.33194971503958726</v>
      </c>
      <c r="BM80" s="99">
        <f>-SUM('[3]Total P&amp;C'!$O$33,'[3]Total P&amp;C'!$R$33:$V$33,'[3]Total P&amp;C'!$Y$33,'[3]Total P&amp;C'!$AB$33,'[3]Total P&amp;C'!$AU$33,'[3]Total P&amp;C'!$AX$33,'[3]Total P&amp;C'!$BA$33,'[3]Total P&amp;C'!$BD$33)/1000/BM77</f>
        <v>0.30419128096391479</v>
      </c>
      <c r="BN80" s="60">
        <f>-SUM('[3]Total P&amp;C'!$O$34,'[3]Total P&amp;C'!$R$34:$V$34,'[3]Total P&amp;C'!$Y$34,'[3]Total P&amp;C'!$AB$34,'[3]Total P&amp;C'!$AU$34,'[3]Total P&amp;C'!$AX$34,'[3]Total P&amp;C'!$BA$34,'[3]Total P&amp;C'!$BD$34)/1000/BN77</f>
        <v>0.3299679212497123</v>
      </c>
      <c r="BO80" s="60">
        <f>-SUM('[3]Total P&amp;C'!$O$35,'[3]Total P&amp;C'!$R$35:$V$35,'[3]Total P&amp;C'!$Y$35,'[3]Total P&amp;C'!$AB$35,'[3]Total P&amp;C'!$AU$35,'[3]Total P&amp;C'!$AX$35,'[3]Total P&amp;C'!$BA$35,'[3]Total P&amp;C'!$BD$35)/1000/BO77</f>
        <v>0.3022920124493324</v>
      </c>
    </row>
    <row r="81" spans="1:67" ht="16.5" hidden="1" customHeight="1" outlineLevel="1" x14ac:dyDescent="0.3">
      <c r="A81" s="214"/>
      <c r="B81" s="115"/>
      <c r="C81" s="38" t="s">
        <v>24</v>
      </c>
      <c r="D81" s="134"/>
      <c r="E81" s="74">
        <f>-([1]Retail!$P$33+[1]Retail!$W$33+[1]Retail!$AV$33+[1]Retail!$AY$33)/1000/E77</f>
        <v>0</v>
      </c>
      <c r="F81" s="42">
        <f>-([1]Retail!$P$34+[1]Retail!$W$34+[1]Retail!$AV$34+[1]Retail!$AY$34)/1000/F77</f>
        <v>0</v>
      </c>
      <c r="G81" s="42" t="e">
        <f>-([1]Retail!$P$35+[1]Retail!$W$35+[1]Retail!$AV$35+[1]Retail!$AY$35)/1000/G77</f>
        <v>#DIV/0!</v>
      </c>
      <c r="H81" s="134"/>
      <c r="I81" s="74">
        <f>-([1]SME!$P$33+[1]SME!$W$33+[1]SME!$AV$33+[1]SME!$AY$33)/1000/I77</f>
        <v>1.8637053563341552E-4</v>
      </c>
      <c r="J81" s="42">
        <f>-([1]SME!$P$34+[1]SME!$W$34+[1]SME!$AV$34+[1]SME!$AY$34)/1000/J77</f>
        <v>0</v>
      </c>
      <c r="K81" s="42">
        <f>-([1]SME!$P$35+[1]SME!$W$35+[1]SME!$AV$35+[1]SME!$AY$35)/1000/K77</f>
        <v>6.8293425752384465E-2</v>
      </c>
      <c r="L81" s="134"/>
      <c r="M81" s="74">
        <f>-([1]MidCorp!$P$33+[1]MidCorp!$W$33+[1]MidCorp!$AV$33+[1]MidCorp!$AY$33)/1000/M77</f>
        <v>1.6396747170083995E-2</v>
      </c>
      <c r="N81" s="42">
        <f>-([1]MidCorp!$P$34+[1]MidCorp!$W$34+[1]MidCorp!$AV$34+[1]MidCorp!$AY$34)/1000/N77</f>
        <v>0</v>
      </c>
      <c r="O81" s="42">
        <f>-([1]MidCorp!$P$35+[1]MidCorp!$W$35+[1]MidCorp!$AV$35+[1]MidCorp!$AY$35)/1000/O77</f>
        <v>6.8471339201682968E-2</v>
      </c>
      <c r="P81" s="134"/>
      <c r="Q81" s="74">
        <f>-([1]MGA!$P$33+[1]MGA!$W$33+[1]MGA!$AV$33+[1]MGA!$AY$33)/1000/Q77</f>
        <v>1.6263270348516748E-3</v>
      </c>
      <c r="R81" s="42">
        <f>-([1]MGA!$P$34+[1]MGA!$W$34+[1]MGA!$AV$34+[1]MGA!$AY$34)/1000/R77</f>
        <v>0</v>
      </c>
      <c r="S81" s="42">
        <f>-([1]MGA!$P$35+[1]MGA!$W$35+[1]MGA!$AV$35+[1]MGA!$AY$35)/1000/S77</f>
        <v>8.3227126338662596E-2</v>
      </c>
      <c r="T81" s="134"/>
      <c r="U81" s="74">
        <f>-([1]Bancassurance!$P$33+[1]Bancassurance!$W$33+[1]Bancassurance!$AV$33+[1]Bancassurance!$AY$33)/1000/U77</f>
        <v>0</v>
      </c>
      <c r="V81" s="42" t="e">
        <f>-([1]Bancassurance!$P$34+[1]Bancassurance!$W$34+[1]Bancassurance!$AV$34+[1]Bancassurance!$AY$34)/1000/V77</f>
        <v>#DIV/0!</v>
      </c>
      <c r="W81" s="42">
        <f>-([1]Bancassurance!$P$35+[1]Bancassurance!$W$35+[1]Bancassurance!$AV$35+[1]Bancassurance!$AY$35)/1000/W77</f>
        <v>0.17637625668514795</v>
      </c>
      <c r="X81" s="134"/>
      <c r="Y81" s="74" t="e">
        <f>-([1]Specials!$P$33+[1]Specials!$W$33+[1]Specials!$AV$33+[1]Specials!$AY$33)/1000/Y77</f>
        <v>#DIV/0!</v>
      </c>
      <c r="Z81" s="42">
        <f>-([1]Specials!$P$34+[1]Specials!$W$34+[1]Specials!$AV$34+[1]Specials!$AY$34)/1000/Z77</f>
        <v>0</v>
      </c>
      <c r="AA81" s="42" t="e">
        <f>-([1]Specials!$P$35+[1]Specials!$W$35+[1]Specials!$AV$35+[1]Specials!$AY$35)/1000/AA77</f>
        <v>#DIV/0!</v>
      </c>
      <c r="AB81" s="134"/>
      <c r="AC81" s="85">
        <f>-('[1]Total P&amp;C'!$P$33+'[1]Total P&amp;C'!$W$33+'[1]Total P&amp;C'!$AV$33+'[1]Total P&amp;C'!$AY$33)/1000/AC77</f>
        <v>1.1878718635148324E-2</v>
      </c>
      <c r="AD81" s="60">
        <f>-('[1]Total P&amp;C'!$P$34+'[1]Total P&amp;C'!$W$34+'[1]Total P&amp;C'!$AV$34+'[1]Total P&amp;C'!$AY$34)/1000/AD77</f>
        <v>0</v>
      </c>
      <c r="AE81" s="60">
        <f>-('[1]Total P&amp;C'!$P$35+'[1]Total P&amp;C'!$W$35+'[1]Total P&amp;C'!$AV$35+'[1]Total P&amp;C'!$AY$35)/1000/AE77</f>
        <v>7.0402416877906979E-2</v>
      </c>
      <c r="AG81" s="212"/>
      <c r="AH81" s="115"/>
      <c r="AI81" s="38" t="s">
        <v>24</v>
      </c>
      <c r="AJ81" s="134"/>
      <c r="AK81" s="74">
        <f>-([2]Retail!$P$33+[2]Retail!$W$33+[2]Retail!$AV$33+[2]Retail!$AY$33)/1000/AK77</f>
        <v>1.130277765015484E-2</v>
      </c>
      <c r="AL81" s="42">
        <f>-([2]Retail!$P$34+[2]Retail!$W$34+[2]Retail!$AV$34+[2]Retail!$AY$34)/1000/AL77</f>
        <v>0</v>
      </c>
      <c r="AM81" s="42">
        <f>-([2]Retail!$P$35+[2]Retail!$W$35+[2]Retail!$AV$35+[2]Retail!$AY$35)/1000/AM77</f>
        <v>6.8877997550067557E-2</v>
      </c>
      <c r="AN81" s="134"/>
      <c r="AO81" s="74">
        <f>-([2]SME!$P$33+[2]SME!$W$33+[2]SME!$AV$33+[2]SME!$AY$33)/1000/AO77</f>
        <v>3.9802694093801407E-3</v>
      </c>
      <c r="AP81" s="42">
        <f>-([2]SME!$P$34+[2]SME!$W$34+[2]SME!$AV$34+[2]SME!$AY$34)/1000/AP77</f>
        <v>0</v>
      </c>
      <c r="AQ81" s="42">
        <f>-([2]SME!$P$35+[2]SME!$W$35+[2]SME!$AV$35+[2]SME!$AY$35)/1000/AQ77</f>
        <v>6.8688997109061178E-2</v>
      </c>
      <c r="AR81" s="134"/>
      <c r="AS81" s="74">
        <f>-([2]MidCorp!$P$33+[2]MidCorp!$W$33+[2]MidCorp!$AV$33+[2]MidCorp!$AY$33)/1000/AS77</f>
        <v>6.8139800069862474E-3</v>
      </c>
      <c r="AT81" s="42">
        <f>-([2]MidCorp!$P$34+[2]MidCorp!$W$34+[2]MidCorp!$AV$34+[2]MidCorp!$AY$34)/1000/AT77</f>
        <v>0</v>
      </c>
      <c r="AU81" s="42">
        <f>-([2]MidCorp!$P$35+[2]MidCorp!$W$35+[2]MidCorp!$AV$35+[2]MidCorp!$AY$35)/1000/AU77</f>
        <v>6.8293425752384479E-2</v>
      </c>
      <c r="AV81" s="134"/>
      <c r="AW81" s="97"/>
      <c r="AX81" s="42"/>
      <c r="AY81" s="42"/>
      <c r="AZ81" s="134"/>
      <c r="BA81" s="97"/>
      <c r="BB81" s="42"/>
      <c r="BC81" s="42"/>
      <c r="BD81" s="134"/>
      <c r="BE81" s="97"/>
      <c r="BF81" s="42"/>
      <c r="BG81" s="42"/>
      <c r="BH81" s="134"/>
      <c r="BI81" s="85">
        <f>-('[2]Total P&amp;C'!$P$33+'[2]Total P&amp;C'!$W$33+'[2]Total P&amp;C'!$AV$33+'[2]Total P&amp;C'!$AY$33)/1000/BI77</f>
        <v>8.512507155756294E-3</v>
      </c>
      <c r="BJ81" s="60">
        <f>-('[2]Total P&amp;C'!$P$34+'[2]Total P&amp;C'!$W$34+'[2]Total P&amp;C'!$AV$34+'[2]Total P&amp;C'!$AY$34)/1000/BJ77</f>
        <v>0</v>
      </c>
      <c r="BK81" s="60">
        <f>-('[2]Total P&amp;C'!$P$35+'[2]Total P&amp;C'!$W$35+'[2]Total P&amp;C'!$AV$35+'[2]Total P&amp;C'!$AY$35)/1000/BK77</f>
        <v>6.8623386407502152E-2</v>
      </c>
      <c r="BM81" s="85">
        <f>-('[3]Total P&amp;C'!$P$33+'[3]Total P&amp;C'!$W$33+'[3]Total P&amp;C'!$AV$33+'[3]Total P&amp;C'!$AY$33)/1000/BM77</f>
        <v>1.072010052969808E-2</v>
      </c>
      <c r="BN81" s="60">
        <f>-('[3]Total P&amp;C'!$P$34+'[3]Total P&amp;C'!$W$34+'[3]Total P&amp;C'!$AV$34+'[3]Total P&amp;C'!$AY$34)/1000/BN77</f>
        <v>0</v>
      </c>
      <c r="BO81" s="60">
        <f>-('[3]Total P&amp;C'!$P$35+'[3]Total P&amp;C'!$W$35+'[3]Total P&amp;C'!$AV$35+'[3]Total P&amp;C'!$AY$35)/1000/BO77</f>
        <v>6.9854547406215481E-2</v>
      </c>
    </row>
    <row r="82" spans="1:67" ht="16.5" hidden="1" customHeight="1" outlineLevel="1" x14ac:dyDescent="0.3">
      <c r="A82" s="214"/>
      <c r="B82" s="115"/>
      <c r="C82" s="38" t="s">
        <v>25</v>
      </c>
      <c r="D82" s="134"/>
      <c r="E82" s="74">
        <f>-([1]Retail!$Q$33+[1]Retail!$X$33+[1]Retail!$AW$33+[1]Retail!$AZ$33)/1000/E77</f>
        <v>0</v>
      </c>
      <c r="F82" s="42">
        <f>-([1]Retail!$Q$34+[1]Retail!$X$34+[1]Retail!$AW$34+[1]Retail!$AZ$34)/1000/F77</f>
        <v>3.5849106196028845E-2</v>
      </c>
      <c r="G82" s="42" t="e">
        <f>-([1]Retail!$Q$35+[1]Retail!$X$35+[1]Retail!$AW$35+[1]Retail!$AZ$35)/1000/G77</f>
        <v>#DIV/0!</v>
      </c>
      <c r="H82" s="134"/>
      <c r="I82" s="74">
        <f>-([1]SME!$Q$33+[1]SME!$X$33+[1]SME!$AW$33+[1]SME!$AZ$33)/1000/I77</f>
        <v>6.5746894932730074E-2</v>
      </c>
      <c r="J82" s="42">
        <f>-([1]SME!$Q$34+[1]SME!$X$34+[1]SME!$AW$34+[1]SME!$AZ$34)/1000/J77</f>
        <v>0.20919698977667284</v>
      </c>
      <c r="K82" s="42">
        <f>-([1]SME!$Q$35+[1]SME!$X$35+[1]SME!$AW$35+[1]SME!$AZ$35)/1000/K77</f>
        <v>0.16455742933692652</v>
      </c>
      <c r="L82" s="134"/>
      <c r="M82" s="73">
        <f>-([1]MidCorp!$Q$33+[1]MidCorp!$X$33+[1]MidCorp!$AW$33+[1]MidCorp!$AZ$33)/1000/M77</f>
        <v>0.27746733616306141</v>
      </c>
      <c r="N82" s="42">
        <f>-([1]MidCorp!$Q$34+[1]MidCorp!$X$34+[1]MidCorp!$AW$34+[1]MidCorp!$AZ$34)/1000/N77</f>
        <v>0.29256791719110359</v>
      </c>
      <c r="O82" s="42">
        <f>-([1]MidCorp!$Q$35+[1]MidCorp!$X$35+[1]MidCorp!$AW$35+[1]MidCorp!$AZ$35)/1000/O77</f>
        <v>0.25073919399025746</v>
      </c>
      <c r="P82" s="134"/>
      <c r="Q82" s="73">
        <f>-([1]MGA!$Q$33+[1]MGA!$X$33+[1]MGA!$AW$33+[1]MGA!$AZ$33)/1000/Q77</f>
        <v>0.1841212965135238</v>
      </c>
      <c r="R82" s="42">
        <f>-([1]MGA!$Q$34+[1]MGA!$X$34+[1]MGA!$AW$34+[1]MGA!$AZ$34)/1000/R77</f>
        <v>8.8998098816125124E-2</v>
      </c>
      <c r="S82" s="42">
        <f>-([1]MGA!$Q$35+[1]MGA!$X$35+[1]MGA!$AW$35+[1]MGA!$AZ$35)/1000/S77</f>
        <v>7.8669665299887892E-2</v>
      </c>
      <c r="T82" s="134"/>
      <c r="U82" s="74">
        <f>-([1]Bancassurance!$Q$33+[1]Bancassurance!$X$33+[1]Bancassurance!$AW$33+[1]Bancassurance!$AZ$33)/1000/U77</f>
        <v>0</v>
      </c>
      <c r="V82" s="42" t="e">
        <f>-([1]Bancassurance!$Q$34+[1]Bancassurance!$X$34+[1]Bancassurance!$AW$34+[1]Bancassurance!$AZ$34)/1000/V77</f>
        <v>#DIV/0!</v>
      </c>
      <c r="W82" s="42">
        <f>-([1]Bancassurance!$Q$35+[1]Bancassurance!$X$35+[1]Bancassurance!$AW$35+[1]Bancassurance!$AZ$35)/1000/W77</f>
        <v>5.9000000000000011E-2</v>
      </c>
      <c r="X82" s="134"/>
      <c r="Y82" s="97" t="e">
        <f>-([1]Specials!$Q$33+[1]Specials!$X$33+[1]Specials!$AW$33+[1]Specials!$AZ$33)/1000/Y77</f>
        <v>#DIV/0!</v>
      </c>
      <c r="Z82" s="42">
        <f>-([1]Specials!$Q$34+[1]Specials!$X$34+[1]Specials!$AW$34+[1]Specials!$AZ$34)/1000/Z77</f>
        <v>0</v>
      </c>
      <c r="AA82" s="42" t="e">
        <f>-([1]Specials!$Q$35+[1]Specials!$X$35+[1]Specials!$AW$35+[1]Specials!$AZ$35)/1000/AA77</f>
        <v>#DIV/0!</v>
      </c>
      <c r="AB82" s="134"/>
      <c r="AC82" s="99">
        <f>-('[1]Total P&amp;C'!$Q$33+'[1]Total P&amp;C'!$X$33+'[1]Total P&amp;C'!$AW$33+'[1]Total P&amp;C'!$AZ$33)/1000/AC77</f>
        <v>0.2231917312756462</v>
      </c>
      <c r="AD82" s="60">
        <f>-('[1]Total P&amp;C'!$Q$34+'[1]Total P&amp;C'!$X$34+'[1]Total P&amp;C'!$AW$34+'[1]Total P&amp;C'!$AZ$34)/1000/AD77</f>
        <v>0.25653271902356678</v>
      </c>
      <c r="AE82" s="60">
        <f>-('[1]Total P&amp;C'!$Q$35+'[1]Total P&amp;C'!$X$35+'[1]Total P&amp;C'!$AW$35+'[1]Total P&amp;C'!$AZ$35)/1000/AE77</f>
        <v>0.22034910054611334</v>
      </c>
      <c r="AG82" s="212"/>
      <c r="AH82" s="115"/>
      <c r="AI82" s="38" t="s">
        <v>25</v>
      </c>
      <c r="AJ82" s="134"/>
      <c r="AK82" s="74">
        <f>-([2]Retail!$Q$33+[2]Retail!$X$33+[2]Retail!$AW$33+[2]Retail!$AZ$33)/1000/AK77</f>
        <v>2.555307020407762E-2</v>
      </c>
      <c r="AL82" s="42">
        <f>-([2]Retail!$Q$34+[2]Retail!$X$34+[2]Retail!$AW$34+[2]Retail!$AZ$34)/1000/AL77</f>
        <v>3.9192699894860399E-2</v>
      </c>
      <c r="AM82" s="42">
        <f>-([2]Retail!$Q$35+[2]Retail!$X$35+[2]Retail!$AW$35+[2]Retail!$AZ$35)/1000/AM77</f>
        <v>4.3048680878170167E-2</v>
      </c>
      <c r="AN82" s="134"/>
      <c r="AO82" s="73">
        <f>-([2]SME!$Q$33+[2]SME!$X$33+[2]SME!$AW$33+[2]SME!$AZ$33)/1000/AO77</f>
        <v>0.1202925026656097</v>
      </c>
      <c r="AP82" s="42">
        <f>-([2]SME!$Q$34+[2]SME!$X$34+[2]SME!$AW$34+[2]SME!$AZ$34)/1000/AP77</f>
        <v>3.7042148893079017E-2</v>
      </c>
      <c r="AQ82" s="42">
        <f>-([2]SME!$Q$35+[2]SME!$X$35+[2]SME!$AW$35+[2]SME!$AZ$35)/1000/AQ77</f>
        <v>7.3780373310146294E-2</v>
      </c>
      <c r="AR82" s="134"/>
      <c r="AS82" s="74">
        <f>-([2]MidCorp!$Q$33+[2]MidCorp!$X$33+[2]MidCorp!$AW$33+[2]MidCorp!$AZ$33)/1000/AS77</f>
        <v>0.15641683476491611</v>
      </c>
      <c r="AT82" s="42">
        <f>-([2]MidCorp!$Q$34+[2]MidCorp!$X$34+[2]MidCorp!$AW$34+[2]MidCorp!$AZ$34)/1000/AT77</f>
        <v>8.1332846728860389E-2</v>
      </c>
      <c r="AU82" s="42">
        <f>-([2]MidCorp!$Q$35+[2]MidCorp!$X$35+[2]MidCorp!$AW$35+[2]MidCorp!$AZ$35)/1000/AU77</f>
        <v>0.16053842513556113</v>
      </c>
      <c r="AV82" s="134"/>
      <c r="AW82" s="97"/>
      <c r="AX82" s="42"/>
      <c r="AY82" s="42"/>
      <c r="AZ82" s="134"/>
      <c r="BA82" s="97"/>
      <c r="BB82" s="42"/>
      <c r="BC82" s="42"/>
      <c r="BD82" s="134"/>
      <c r="BE82" s="97"/>
      <c r="BF82" s="42"/>
      <c r="BG82" s="42"/>
      <c r="BH82" s="134"/>
      <c r="BI82" s="85">
        <f>-('[2]Total P&amp;C'!$Q$33+'[2]Total P&amp;C'!$X$33+'[2]Total P&amp;C'!$AW$33+'[2]Total P&amp;C'!$AZ$33)/1000/BI77</f>
        <v>8.8495897203761234E-2</v>
      </c>
      <c r="BJ82" s="60">
        <f>-('[2]Total P&amp;C'!$Q$34+'[2]Total P&amp;C'!$X$34+'[2]Total P&amp;C'!$AW$34+'[2]Total P&amp;C'!$AZ$34)/1000/BJ77</f>
        <v>5.3612140290954825E-2</v>
      </c>
      <c r="BK82" s="60">
        <f>-('[2]Total P&amp;C'!$Q$35+'[2]Total P&amp;C'!$X$35+'[2]Total P&amp;C'!$AW$35+'[2]Total P&amp;C'!$AZ$35)/1000/BK77</f>
        <v>9.3121303789469492E-2</v>
      </c>
      <c r="BM82" s="85">
        <f>-('[3]Total P&amp;C'!$Q$33+'[3]Total P&amp;C'!$X$33+'[3]Total P&amp;C'!$AW$33+'[3]Total P&amp;C'!$AZ$33)/1000/BM77</f>
        <v>0.17683070106711216</v>
      </c>
      <c r="BN82" s="60">
        <f>-('[3]Total P&amp;C'!$Q$34+'[3]Total P&amp;C'!$X$34+'[3]Total P&amp;C'!$AW$34+'[3]Total P&amp;C'!$AZ$34)/1000/BN77</f>
        <v>0.1865635774018638</v>
      </c>
      <c r="BO82" s="60">
        <f>-('[3]Total P&amp;C'!$Q$35+'[3]Total P&amp;C'!$X$35+'[3]Total P&amp;C'!$AW$35+'[3]Total P&amp;C'!$AZ$35)/1000/BO77</f>
        <v>0.18116808203456677</v>
      </c>
    </row>
    <row r="83" spans="1:67" ht="16.5" hidden="1" customHeight="1" outlineLevel="1" x14ac:dyDescent="0.3">
      <c r="A83" s="214"/>
      <c r="B83" s="115"/>
      <c r="C83" s="38" t="s">
        <v>53</v>
      </c>
      <c r="D83" s="134"/>
      <c r="E83" s="73">
        <f>-[1]Retail!$AT$33/1000/E77</f>
        <v>1.7178233694442903E-3</v>
      </c>
      <c r="F83" s="42">
        <f>-[1]Retail!$AT$34/1000/F77</f>
        <v>0.25038779934205063</v>
      </c>
      <c r="G83" s="42" t="e">
        <f>-[1]Retail!$AT$35/1000/G77</f>
        <v>#DIV/0!</v>
      </c>
      <c r="H83" s="134"/>
      <c r="I83" s="74">
        <f>-[1]SME!$AT$33/1000/I77</f>
        <v>7.0849594110768979E-2</v>
      </c>
      <c r="J83" s="42">
        <f>-[1]SME!$AT$34/1000/J77</f>
        <v>6.4739504956294894E-2</v>
      </c>
      <c r="K83" s="42">
        <f>-[1]SME!$AT$35/1000/K77</f>
        <v>7.8167883479663539E-2</v>
      </c>
      <c r="L83" s="134"/>
      <c r="M83" s="73">
        <f>-[1]MidCorp!$AT$33/1000/M77</f>
        <v>9.3718820583196971E-2</v>
      </c>
      <c r="N83" s="42">
        <f>-[1]MidCorp!$AT$34/1000/N77</f>
        <v>9.6400782714325103E-2</v>
      </c>
      <c r="O83" s="42">
        <f>-[1]MidCorp!$AT$35/1000/O77</f>
        <v>9.3048352220278033E-2</v>
      </c>
      <c r="P83" s="134"/>
      <c r="Q83" s="73">
        <f>-[1]MGA!$AT$33/1000/Q77</f>
        <v>0.12039611044572379</v>
      </c>
      <c r="R83" s="42">
        <f>-[1]MGA!$AT$34/1000/R77</f>
        <v>0.11702812028421712</v>
      </c>
      <c r="S83" s="42">
        <f>-[1]MGA!$AT$35/1000/S77</f>
        <v>7.2480154179703798E-2</v>
      </c>
      <c r="T83" s="134"/>
      <c r="U83" s="73">
        <f>-[1]Bancassurance!$AT$33/1000/U77</f>
        <v>0.7903083975939541</v>
      </c>
      <c r="V83" s="42" t="e">
        <f>-[1]Bancassurance!$AT$34/1000/V77</f>
        <v>#DIV/0!</v>
      </c>
      <c r="W83" s="42">
        <f>-[1]Bancassurance!$AT$35/1000/W77</f>
        <v>6.347982590438965E-2</v>
      </c>
      <c r="X83" s="134"/>
      <c r="Y83" s="74" t="e">
        <f>-[1]Specials!$AT$33/1000/Y77</f>
        <v>#DIV/0!</v>
      </c>
      <c r="Z83" s="42">
        <f>-[1]Specials!$AT$34/1000/Z77</f>
        <v>0.77433615161216773</v>
      </c>
      <c r="AA83" s="42" t="e">
        <f>-[1]Specials!$AT$35/1000/AA77</f>
        <v>#DIV/0!</v>
      </c>
      <c r="AB83" s="134"/>
      <c r="AC83" s="84">
        <f>-'[1]Total P&amp;C'!$AT$33/1000/AC77</f>
        <v>8.8979622120521087E-2</v>
      </c>
      <c r="AD83" s="60">
        <f>-'[1]Total P&amp;C'!$AT$34/1000/AD77</f>
        <v>9.6366887088899303E-2</v>
      </c>
      <c r="AE83" s="60">
        <f>-'[1]Total P&amp;C'!$AT$35/1000/AE77</f>
        <v>8.8707892952234371E-2</v>
      </c>
      <c r="AG83" s="212"/>
      <c r="AH83" s="115"/>
      <c r="AI83" s="38" t="s">
        <v>53</v>
      </c>
      <c r="AJ83" s="134"/>
      <c r="AK83" s="74">
        <f>-[2]Retail!$AT$33/1000/AK77</f>
        <v>9.9041716349055037E-2</v>
      </c>
      <c r="AL83" s="42">
        <f>-[2]Retail!$AT$34/1000/AL77</f>
        <v>0.10269424435427968</v>
      </c>
      <c r="AM83" s="42">
        <f>-[2]Retail!$AT$35/1000/AM77</f>
        <v>0.10370304939857085</v>
      </c>
      <c r="AN83" s="134"/>
      <c r="AO83" s="74">
        <f>-[2]SME!$AT$33/1000/AO77</f>
        <v>0.13908130003767322</v>
      </c>
      <c r="AP83" s="42">
        <f>-[2]SME!$AT$34/1000/AP77</f>
        <v>0.12357447870877637</v>
      </c>
      <c r="AQ83" s="42">
        <f>-[2]SME!$AT$35/1000/AQ77</f>
        <v>0.14160610830676576</v>
      </c>
      <c r="AR83" s="134"/>
      <c r="AS83" s="73">
        <f>-[2]MidCorp!$AT$33/1000/AS77</f>
        <v>0.11370960514981769</v>
      </c>
      <c r="AT83" s="42">
        <f>-[2]MidCorp!$AT$34/1000/AT77</f>
        <v>0.11544850824368566</v>
      </c>
      <c r="AU83" s="42">
        <f>-[2]MidCorp!$AT$35/1000/AU77</f>
        <v>0.11350264190055195</v>
      </c>
      <c r="AV83" s="134"/>
      <c r="AW83" s="97"/>
      <c r="AX83" s="42"/>
      <c r="AY83" s="42"/>
      <c r="AZ83" s="134"/>
      <c r="BA83" s="97"/>
      <c r="BB83" s="42"/>
      <c r="BC83" s="42"/>
      <c r="BD83" s="134"/>
      <c r="BE83" s="97"/>
      <c r="BF83" s="42"/>
      <c r="BG83" s="42"/>
      <c r="BH83" s="134"/>
      <c r="BI83" s="85">
        <f>-'[2]Total P&amp;C'!$AT$33/1000/BI77</f>
        <v>0.11065660855249247</v>
      </c>
      <c r="BJ83" s="60">
        <f>-'[2]Total P&amp;C'!$AT$34/1000/BJ77</f>
        <v>0.11054621466613028</v>
      </c>
      <c r="BK83" s="60">
        <f>-'[2]Total P&amp;C'!$AT$35/1000/BK77</f>
        <v>0.11323918649778193</v>
      </c>
      <c r="BM83" s="84">
        <f>-'[3]Total P&amp;C'!$AT$33/1000/BM77</f>
        <v>9.6440635519541851E-2</v>
      </c>
      <c r="BN83" s="60">
        <f>-'[3]Total P&amp;C'!$AT$34/1000/BN77</f>
        <v>0.10125606779963985</v>
      </c>
      <c r="BO83" s="60">
        <f>-'[3]Total P&amp;C'!$AT$35/1000/BO77</f>
        <v>9.6262539743444245E-2</v>
      </c>
    </row>
    <row r="84" spans="1:67" ht="16.5" hidden="1" customHeight="1" outlineLevel="1" x14ac:dyDescent="0.3">
      <c r="A84" s="214"/>
      <c r="B84" s="115"/>
      <c r="C84" s="116" t="s">
        <v>27</v>
      </c>
      <c r="D84" s="134"/>
      <c r="E84" s="126">
        <f>-([1]Retail!$Z$33+[1]Retail!$AA$33+[1]Retail!$BB$33+[1]Retail!$BC$33)/1000/E77</f>
        <v>-1.0734640854537238E-3</v>
      </c>
      <c r="F84" s="127">
        <f>-([1]Retail!$Z$34+[1]Retail!$AA$34+[1]Retail!$BB$34+[1]Retail!$BC$34)/1000/F77</f>
        <v>-8.6478311703324078E-3</v>
      </c>
      <c r="G84" s="127" t="e">
        <f>-([1]Retail!$Z$35+[1]Retail!$AA$35+[1]Retail!$BB$35+[1]Retail!$BC$35)/1000/G77</f>
        <v>#DIV/0!</v>
      </c>
      <c r="H84" s="134"/>
      <c r="I84" s="126">
        <f>-([1]SME!$Z$33+[1]SME!$AA$33+[1]SME!$BB$33+[1]SME!$BC$33)/1000/I77</f>
        <v>-6.8244352611735691E-3</v>
      </c>
      <c r="J84" s="127">
        <f>-([1]SME!$Z$34+[1]SME!$AA$34+[1]SME!$BB$34+[1]SME!$BC$34)/1000/J77</f>
        <v>-9.9913948925698139E-3</v>
      </c>
      <c r="K84" s="127">
        <f>-([1]SME!$Z$35+[1]SME!$AA$35+[1]SME!$BB$35+[1]SME!$BC$35)/1000/K77</f>
        <v>-4.3002889742809174E-3</v>
      </c>
      <c r="L84" s="134"/>
      <c r="M84" s="126">
        <f>-([1]MidCorp!$Z$33+[1]MidCorp!$AA$33+[1]MidCorp!$BB$33+[1]MidCorp!$BC$33)/1000/M77</f>
        <v>-1.1656246110892818E-2</v>
      </c>
      <c r="N84" s="127">
        <f>-([1]MidCorp!$Z$34+[1]MidCorp!$AA$34+[1]MidCorp!$BB$34+[1]MidCorp!$BC$34)/1000/N77</f>
        <v>-1.2518298257808615E-2</v>
      </c>
      <c r="O84" s="127">
        <f>-([1]MidCorp!$Z$35+[1]MidCorp!$AA$35+[1]MidCorp!$BB$35+[1]MidCorp!$BC$35)/1000/O77</f>
        <v>-5.1822885431008691E-3</v>
      </c>
      <c r="P84" s="134"/>
      <c r="Q84" s="126">
        <f>-([1]MGA!$Z$33+[1]MGA!$AA$33+[1]MGA!$BB$33+[1]MGA!$BC$33)/1000/Q77</f>
        <v>-9.9660743626280215E-3</v>
      </c>
      <c r="R84" s="127">
        <f>-([1]MGA!$Z$34+[1]MGA!$AA$34+[1]MGA!$BB$34+[1]MGA!$BC$34)/1000/R77</f>
        <v>-8.4178252346266413E-3</v>
      </c>
      <c r="S84" s="127">
        <f>-([1]MGA!$Z$35+[1]MGA!$AA$35+[1]MGA!$BB$35+[1]MGA!$BC$35)/1000/S77</f>
        <v>-3.4017973348490693E-3</v>
      </c>
      <c r="T84" s="134"/>
      <c r="U84" s="128">
        <f>-([1]Bancassurance!$Z$33+[1]Bancassurance!$AA$33+[1]Bancassurance!$BB$33+[1]Bancassurance!$BC$33)/1000/U77</f>
        <v>-2.4863922049852147E-2</v>
      </c>
      <c r="V84" s="127" t="e">
        <f>-([1]Bancassurance!$Z$34+[1]Bancassurance!$AA$34+[1]Bancassurance!$BB$34+[1]Bancassurance!$BC$34)/1000/V77</f>
        <v>#DIV/0!</v>
      </c>
      <c r="W84" s="127">
        <f>-([1]Bancassurance!$Z$35+[1]Bancassurance!$AA$35+[1]Bancassurance!$BB$35+[1]Bancassurance!$BC$35)/1000/W77</f>
        <v>-6.9539592941726932E-3</v>
      </c>
      <c r="X84" s="134"/>
      <c r="Y84" s="128" t="e">
        <f>-([1]Specials!$Z$33+[1]Specials!$AA$33+[1]Specials!$BB$33+[1]Specials!$BC$33)/1000/Y77</f>
        <v>#DIV/0!</v>
      </c>
      <c r="Z84" s="127">
        <f>-([1]Specials!$Z$34+[1]Specials!$AA$34+[1]Specials!$BB$34+[1]Specials!$BC$34)/1000/Z77</f>
        <v>0</v>
      </c>
      <c r="AA84" s="127" t="e">
        <f>-([1]Specials!$Z$35+[1]Specials!$AA$35+[1]Specials!$BB$35+[1]Specials!$BC$35)/1000/AA77</f>
        <v>#DIV/0!</v>
      </c>
      <c r="AB84" s="134"/>
      <c r="AC84" s="132">
        <f>-('[1]Total P&amp;C'!$Z$33+'[1]Total P&amp;C'!$AA$33+'[1]Total P&amp;C'!$BB$33+'[1]Total P&amp;C'!$BC$33)/1000/AC77</f>
        <v>-1.0344445318331154E-2</v>
      </c>
      <c r="AD84" s="130">
        <f>-('[1]Total P&amp;C'!$Z$34+'[1]Total P&amp;C'!$AA$34+'[1]Total P&amp;C'!$BB$34+'[1]Total P&amp;C'!$BC$34)/1000/AD77</f>
        <v>-1.166736269796651E-2</v>
      </c>
      <c r="AE84" s="130">
        <f>-('[1]Total P&amp;C'!$Z$35+'[1]Total P&amp;C'!$AA$35+'[1]Total P&amp;C'!$BB$35+'[1]Total P&amp;C'!$BC$35)/1000/AE77</f>
        <v>-4.8874109754621642E-3</v>
      </c>
      <c r="AG84" s="212"/>
      <c r="AH84" s="115"/>
      <c r="AI84" s="116" t="s">
        <v>27</v>
      </c>
      <c r="AJ84" s="134"/>
      <c r="AK84" s="126">
        <f>-([2]Retail!$Z$33+[2]Retail!$AA$33+[2]Retail!$BB$33+[2]Retail!$BC$33)/1000/AK77</f>
        <v>-1.3046384649808207E-2</v>
      </c>
      <c r="AL84" s="127">
        <f>-([2]Retail!$Z$34+[2]Retail!$AA$34+[2]Retail!$BB$34+[2]Retail!$BC$34)/1000/AL77</f>
        <v>-1.497357932480054E-2</v>
      </c>
      <c r="AM84" s="127">
        <f>-([2]Retail!$Z$35+[2]Retail!$AA$35+[2]Retail!$BB$35+[2]Retail!$BC$35)/1000/AM77</f>
        <v>-6.3464252960261404E-3</v>
      </c>
      <c r="AN84" s="134"/>
      <c r="AO84" s="126">
        <f>-([2]SME!$Z$33+[2]SME!$AA$33+[2]SME!$BB$33+[2]SME!$BC$33)/1000/AO77</f>
        <v>-1.2174786232578314E-2</v>
      </c>
      <c r="AP84" s="127">
        <f>-([2]SME!$Z$34+[2]SME!$AA$34+[2]SME!$BB$34+[2]SME!$BC$34)/1000/AP77</f>
        <v>-9.3565210757812576E-3</v>
      </c>
      <c r="AQ84" s="127">
        <f>-([2]SME!$Z$35+[2]SME!$AA$35+[2]SME!$BB$35+[2]SME!$BC$35)/1000/AQ77</f>
        <v>-6.6127943624310027E-3</v>
      </c>
      <c r="AR84" s="134"/>
      <c r="AS84" s="126">
        <f>-([2]MidCorp!$Z$33+[2]MidCorp!$AA$33+[2]MidCorp!$BB$33+[2]MidCorp!$BC$33)/1000/AS77</f>
        <v>-8.8313950605783658E-3</v>
      </c>
      <c r="AT84" s="127">
        <f>-([2]MidCorp!$Z$34+[2]MidCorp!$AA$34+[2]MidCorp!$BB$34+[2]MidCorp!$BC$34)/1000/AT77</f>
        <v>-1.1421719662527651E-2</v>
      </c>
      <c r="AU84" s="127">
        <f>-([2]MidCorp!$Z$35+[2]MidCorp!$AA$35+[2]MidCorp!$BB$35+[2]MidCorp!$BC$35)/1000/AU77</f>
        <v>-7.5438610856460239E-3</v>
      </c>
      <c r="AV84" s="134"/>
      <c r="AW84" s="131"/>
      <c r="AX84" s="127"/>
      <c r="AY84" s="127"/>
      <c r="AZ84" s="134"/>
      <c r="BA84" s="131"/>
      <c r="BB84" s="127"/>
      <c r="BC84" s="127"/>
      <c r="BD84" s="134"/>
      <c r="BE84" s="131"/>
      <c r="BF84" s="127"/>
      <c r="BG84" s="127"/>
      <c r="BH84" s="134"/>
      <c r="BI84" s="132">
        <f>-('[2]Total P&amp;C'!$Z$33+'[2]Total P&amp;C'!$AA$33+'[2]Total P&amp;C'!$BB$33+'[2]Total P&amp;C'!$BC$33)/1000/BI77</f>
        <v>-1.1356918261565383E-2</v>
      </c>
      <c r="BJ84" s="130">
        <f>-('[2]Total P&amp;C'!$Z$34+'[2]Total P&amp;C'!$AA$34+'[2]Total P&amp;C'!$BB$34+'[2]Total P&amp;C'!$BC$34)/1000/BJ77</f>
        <v>-1.2818963978819604E-2</v>
      </c>
      <c r="BK84" s="130">
        <f>-('[2]Total P&amp;C'!$Z$35+'[2]Total P&amp;C'!$AA$35+'[2]Total P&amp;C'!$BB$35+'[2]Total P&amp;C'!$BC$35)/1000/BK77</f>
        <v>-6.8496527823544645E-3</v>
      </c>
      <c r="BM84" s="132">
        <f>-('[3]Total P&amp;C'!$Z$33+'[3]Total P&amp;C'!$AA$33+'[3]Total P&amp;C'!$BB$33+'[3]Total P&amp;C'!$BC$33)/1000/BM77</f>
        <v>-1.0692928914947476E-2</v>
      </c>
      <c r="BN84" s="130">
        <f>-('[3]Total P&amp;C'!$Z$34+'[3]Total P&amp;C'!$AA$34+'[3]Total P&amp;C'!$BB$34+'[3]Total P&amp;C'!$BC$34)/1000/BN77</f>
        <v>-1.2064446885361421E-2</v>
      </c>
      <c r="BO84" s="130">
        <f>-('[3]Total P&amp;C'!$Z$35+'[3]Total P&amp;C'!$AA$35+'[3]Total P&amp;C'!$BB$35+'[3]Total P&amp;C'!$BC$35)/1000/BO77</f>
        <v>-5.4917021328971692E-3</v>
      </c>
    </row>
    <row r="85" spans="1:67" ht="16.5" hidden="1" customHeight="1" outlineLevel="1" x14ac:dyDescent="0.3">
      <c r="A85" s="214"/>
      <c r="B85" s="115"/>
      <c r="C85" s="116" t="s">
        <v>57</v>
      </c>
      <c r="D85" s="134"/>
      <c r="E85" s="128">
        <f>-SUM([1]Retail!$AC$33:$AI$33,[1]Retail!$BE$33:$BG$33)/1000/E77</f>
        <v>-5.690293231936836E-3</v>
      </c>
      <c r="F85" s="127">
        <f>-SUM([1]Retail!$AC$34:$AI$34,[1]Retail!$BE$34:$BG$34)/1000/F77</f>
        <v>-8.7631649080006646E-2</v>
      </c>
      <c r="G85" s="127" t="e">
        <f>-SUM([1]Retail!$AC$35:$AI$35,[1]Retail!$BE$35:$BG$35)/1000/G77</f>
        <v>#DIV/0!</v>
      </c>
      <c r="H85" s="134"/>
      <c r="I85" s="128">
        <f>-SUM([1]SME!$AC$33:$AI$33,[1]SME!$BE$33:$BG$33)/1000/I77</f>
        <v>0.26692142368963945</v>
      </c>
      <c r="J85" s="127">
        <f>-SUM([1]SME!$AC$34:$AI$34,[1]SME!$BE$34:$BG$34)/1000/J77</f>
        <v>-0.16812989907645648</v>
      </c>
      <c r="K85" s="127">
        <f>-SUM([1]SME!$AC$35:$AI$35,[1]SME!$BE$35:$BG$35)/1000/K77</f>
        <v>-2.2571270527082726E-2</v>
      </c>
      <c r="L85" s="134"/>
      <c r="M85" s="126">
        <f>-SUM([1]MidCorp!$AC$33:$AI$33,[1]MidCorp!$BE$33:$BG$33)/1000/M77</f>
        <v>-7.8759282372005551E-2</v>
      </c>
      <c r="N85" s="127">
        <f>-SUM([1]MidCorp!$AC$34:$AI$34,[1]MidCorp!$BE$34:$BG$34)/1000/N77</f>
        <v>2.2412597533675596E-2</v>
      </c>
      <c r="O85" s="127">
        <f>-SUM([1]MidCorp!$AC$35:$AI$35,[1]MidCorp!$BE$35:$BG$35)/1000/O77</f>
        <v>-2.0565761028685119E-2</v>
      </c>
      <c r="P85" s="134"/>
      <c r="Q85" s="126">
        <f>-SUM([1]MGA!$AC$33:$AI$33,[1]MGA!$BE$33:$BG$33)/1000/Q77</f>
        <v>-0.35329113989069771</v>
      </c>
      <c r="R85" s="127">
        <f>-SUM([1]MGA!$AC$34:$AI$34,[1]MGA!$BE$34:$BG$34)/1000/R77</f>
        <v>4.3464974159811161E-2</v>
      </c>
      <c r="S85" s="127">
        <f>-SUM([1]MGA!$AC$35:$AI$35,[1]MGA!$BE$35:$BG$35)/1000/S77</f>
        <v>-6.9393505587707696E-2</v>
      </c>
      <c r="T85" s="134"/>
      <c r="U85" s="126">
        <f>-SUM([1]Bancassurance!$AC$33:$AI$33,[1]Bancassurance!$BE$33:$BG$33)/1000/U77</f>
        <v>-6.8803543632268843E-2</v>
      </c>
      <c r="V85" s="127" t="e">
        <f>-SUM([1]Bancassurance!$AC$34:$AI$34,[1]Bancassurance!$BE$34:$BG$34)/1000/V77</f>
        <v>#DIV/0!</v>
      </c>
      <c r="W85" s="127">
        <f>-SUM([1]Bancassurance!$AC$35:$AI$35,[1]Bancassurance!$BE$35:$BG$35)/1000/W77</f>
        <v>-1.0756838452095198E-2</v>
      </c>
      <c r="X85" s="134"/>
      <c r="Y85" s="126" t="e">
        <f>-SUM([1]Specials!$AC$33:$AI$33,[1]Specials!$BE$33:$BG$33)/1000/Y77</f>
        <v>#DIV/0!</v>
      </c>
      <c r="Z85" s="127">
        <f>-SUM([1]Specials!$AC$34:$AI$34,[1]Specials!$BE$34:$BG$34)/1000/Z77</f>
        <v>5.0550605120478897E-4</v>
      </c>
      <c r="AA85" s="127" t="e">
        <f>-SUM([1]Specials!$AC$35:$AI$35,[1]Specials!$BE$35:$BG$35)/1000/AA77</f>
        <v>#DIV/0!</v>
      </c>
      <c r="AB85" s="134"/>
      <c r="AC85" s="132">
        <f>-SUM('[1]Total P&amp;C'!$AC$33:$AI$33,'[1]Total P&amp;C'!$BE$33:$BG$33)/1000/AC77</f>
        <v>-2.7948478147691719E-2</v>
      </c>
      <c r="AD85" s="130">
        <f>-SUM('[1]Total P&amp;C'!$AC$34:$AI$34,'[1]Total P&amp;C'!$BE$34:$BG$34)/1000/AD77</f>
        <v>-1.7013267578866561E-2</v>
      </c>
      <c r="AE85" s="130">
        <f>-SUM('[1]Total P&amp;C'!$AC$35:$AI$35,'[1]Total P&amp;C'!$BE$35:$BG$35)/1000/AE77</f>
        <v>-2.5566353386586211E-2</v>
      </c>
      <c r="AG85" s="212"/>
      <c r="AH85" s="115"/>
      <c r="AI85" s="116" t="s">
        <v>57</v>
      </c>
      <c r="AJ85" s="134"/>
      <c r="AK85" s="126">
        <f>-SUM([2]Retail!$AC$33:$AI$33,[2]Retail!$BE$33:$BG$33)/1000/AK77</f>
        <v>-5.7492802367438388E-2</v>
      </c>
      <c r="AL85" s="127">
        <f>-SUM([2]Retail!$AC$34:$AI$34,[2]Retail!$BE$34:$BG$34)/1000/AL77</f>
        <v>-0.18464273573960746</v>
      </c>
      <c r="AM85" s="127">
        <f>-SUM([2]Retail!$AC$35:$AI$35,[2]Retail!$BE$35:$BG$35)/1000/AM77</f>
        <v>-8.5187506345599431E-3</v>
      </c>
      <c r="AN85" s="134"/>
      <c r="AO85" s="126">
        <f>-SUM([2]SME!$AC$33:$AI$33,[2]SME!$BE$33:$BG$33)/1000/AO77</f>
        <v>-3.4503158069837898E-2</v>
      </c>
      <c r="AP85" s="127">
        <f>-SUM([2]SME!$AC$34:$AI$34,[2]SME!$BE$34:$BG$34)/1000/AP77</f>
        <v>-0.42849334813831885</v>
      </c>
      <c r="AQ85" s="127">
        <f>-SUM([2]SME!$AC$35:$AI$35,[2]SME!$BE$35:$BG$35)/1000/AQ77</f>
        <v>-7.5840060120268256E-3</v>
      </c>
      <c r="AR85" s="134"/>
      <c r="AS85" s="128">
        <f>-SUM([2]MidCorp!$AC$33:$AI$33,[2]MidCorp!$BE$33:$BG$33)/1000/AS77</f>
        <v>0.27176012196034538</v>
      </c>
      <c r="AT85" s="127">
        <f>-SUM([2]MidCorp!$AC$34:$AI$34,[2]MidCorp!$BE$34:$BG$34)/1000/AT77</f>
        <v>0.12950110015511485</v>
      </c>
      <c r="AU85" s="127">
        <f>-SUM([2]MidCorp!$AC$35:$AI$35,[2]MidCorp!$BE$35:$BG$35)/1000/AU77</f>
        <v>-5.2211865332041502E-3</v>
      </c>
      <c r="AV85" s="134"/>
      <c r="AW85" s="131"/>
      <c r="AX85" s="127"/>
      <c r="AY85" s="127"/>
      <c r="AZ85" s="134"/>
      <c r="BA85" s="131"/>
      <c r="BB85" s="127"/>
      <c r="BC85" s="127"/>
      <c r="BD85" s="134"/>
      <c r="BE85" s="131"/>
      <c r="BF85" s="127"/>
      <c r="BG85" s="127"/>
      <c r="BH85" s="134"/>
      <c r="BI85" s="129">
        <f>-SUM('[2]Total P&amp;C'!$AC$33:$AI$33,'[2]Total P&amp;C'!$BE$33:$BG$33)/1000/BI77</f>
        <v>6.7490154228715502E-2</v>
      </c>
      <c r="BJ85" s="130">
        <f>-SUM('[2]Total P&amp;C'!$AC$34:$AI$34,'[2]Total P&amp;C'!$BE$34:$BG$34)/1000/BJ77</f>
        <v>-0.11405299396987971</v>
      </c>
      <c r="BK85" s="130">
        <f>-SUM('[2]Total P&amp;C'!$AC$35:$AI$35,'[2]Total P&amp;C'!$BE$35:$BG$35)/1000/BK77</f>
        <v>-7.102420599586599E-3</v>
      </c>
      <c r="BM85" s="129">
        <f>-SUM('[3]Total P&amp;C'!$AC$33:$AI$33,'[3]Total P&amp;C'!$BE$33:$BG$33)/1000/BM77</f>
        <v>4.9005950931513631E-3</v>
      </c>
      <c r="BN85" s="130">
        <f>-SUM('[3]Total P&amp;C'!$AC$34:$AI$34,'[3]Total P&amp;C'!$BE$34:$BG$34)/1000/BN77</f>
        <v>-5.0473581959947618E-2</v>
      </c>
      <c r="BO85" s="130">
        <f>-SUM('[3]Total P&amp;C'!$AC$35:$AI$35,'[3]Total P&amp;C'!$BE$35:$BG$35)/1000/BO77</f>
        <v>-1.9880208449979737E-2</v>
      </c>
    </row>
    <row r="86" spans="1:67" ht="16.5" hidden="1" customHeight="1" outlineLevel="1" x14ac:dyDescent="0.3">
      <c r="A86" s="214"/>
      <c r="B86" s="115"/>
      <c r="C86" s="116" t="s">
        <v>29</v>
      </c>
      <c r="D86" s="134"/>
      <c r="E86" s="126">
        <f>-SUM([1]Retail!$AJ$33:$AK$33,[1]Retail!$BH$33:$BI$33)/1000/E77</f>
        <v>9.0225479905352741E-3</v>
      </c>
      <c r="F86" s="127">
        <f>-SUM([1]Retail!$AJ$34:$AK$34,[1]Retail!$BH$34:$BI$34)/1000/F77</f>
        <v>3.669544502547716E-3</v>
      </c>
      <c r="G86" s="127" t="e">
        <f>-SUM([1]Retail!$AJ$35:$AK$35,[1]Retail!$BH$35:$BI$35)/1000/G77</f>
        <v>#DIV/0!</v>
      </c>
      <c r="H86" s="134"/>
      <c r="I86" s="128">
        <f>-SUM([1]SME!$AJ$33:$AK$33,[1]SME!$BH$33:$BI$33)/1000/I77</f>
        <v>8.3031440518743305E-4</v>
      </c>
      <c r="J86" s="127">
        <f>-SUM([1]SME!$AJ$34:$AK$34,[1]SME!$BH$34:$BI$34)/1000/J77</f>
        <v>4.4156534432005642E-3</v>
      </c>
      <c r="K86" s="127">
        <f>-SUM([1]SME!$AJ$35:$AK$35,[1]SME!$BH$35:$BI$35)/1000/K77</f>
        <v>0</v>
      </c>
      <c r="L86" s="134"/>
      <c r="M86" s="126">
        <f>-SUM([1]MidCorp!$AJ$33:$AK$33,[1]MidCorp!$BH$33:$BI$33)/1000/M77</f>
        <v>-2.3305077037822372E-3</v>
      </c>
      <c r="N86" s="127">
        <f>-SUM([1]MidCorp!$AJ$34:$AK$34,[1]MidCorp!$BH$34:$BI$34)/1000/N77</f>
        <v>-8.1694809577260996E-3</v>
      </c>
      <c r="O86" s="127">
        <f>-SUM([1]MidCorp!$AJ$35:$AK$35,[1]MidCorp!$BH$35:$BI$35)/1000/O77</f>
        <v>0</v>
      </c>
      <c r="P86" s="134"/>
      <c r="Q86" s="128">
        <f>-SUM([1]MGA!$AJ$33:$AK$33,[1]MGA!$BH$33:$BI$33)/1000/Q77</f>
        <v>5.2633819115646165E-3</v>
      </c>
      <c r="R86" s="127">
        <f>-SUM([1]MGA!$AJ$34:$AK$34,[1]MGA!$BH$34:$BI$34)/1000/R77</f>
        <v>8.4524711933917258E-4</v>
      </c>
      <c r="S86" s="127">
        <f>-SUM([1]MGA!$AJ$35:$AK$35,[1]MGA!$BH$35:$BI$35)/1000/S77</f>
        <v>0</v>
      </c>
      <c r="T86" s="134"/>
      <c r="U86" s="128">
        <f>-SUM([1]Bancassurance!$AJ$33:$AK$33,[1]Bancassurance!$BH$33:$BI$33)/1000/U77</f>
        <v>4.8985774067512337E-3</v>
      </c>
      <c r="V86" s="127" t="e">
        <f>-SUM([1]Bancassurance!$AJ$34:$AK$34,[1]Bancassurance!$BH$34:$BI$34)/1000/V77</f>
        <v>#DIV/0!</v>
      </c>
      <c r="W86" s="127">
        <f>-SUM([1]Bancassurance!$AJ$35:$AK$35,[1]Bancassurance!$BH$35:$BI$35)/1000/W77</f>
        <v>0</v>
      </c>
      <c r="X86" s="134"/>
      <c r="Y86" s="128" t="e">
        <f>-SUM([1]Specials!$AJ$33:$AK$33,[1]Specials!$BH$33:$BI$33)/1000/Y77</f>
        <v>#DIV/0!</v>
      </c>
      <c r="Z86" s="127">
        <f>-SUM([1]Specials!$AJ$34:$AK$34,[1]Specials!$BH$34:$BI$34)/1000/Z77</f>
        <v>-1.9823766713913251E-5</v>
      </c>
      <c r="AA86" s="127" t="e">
        <f>-SUM([1]Specials!$AJ$35:$AK$35,[1]Specials!$BH$35:$BI$35)/1000/AA77</f>
        <v>#DIV/0!</v>
      </c>
      <c r="AB86" s="134"/>
      <c r="AC86" s="132">
        <f>-SUM('[1]Total P&amp;C'!$AJ$33:$AK$33,'[1]Total P&amp;C'!$BH$33:$BI$33)/1000/AC77</f>
        <v>-9.2839746618227342E-4</v>
      </c>
      <c r="AD86" s="130">
        <f>-SUM('[1]Total P&amp;C'!$AJ$34:$AK$34,'[1]Total P&amp;C'!$BH$34:$BI$34)/1000/AD77</f>
        <v>-4.8212738640364874E-3</v>
      </c>
      <c r="AE86" s="130">
        <f>-SUM('[1]Total P&amp;C'!$AJ$35:$AK$35,'[1]Total P&amp;C'!$BH$35:$BI$35)/1000/AE77</f>
        <v>0</v>
      </c>
      <c r="AG86" s="212"/>
      <c r="AH86" s="115"/>
      <c r="AI86" s="116" t="s">
        <v>29</v>
      </c>
      <c r="AJ86" s="134"/>
      <c r="AK86" s="126">
        <f>-SUM([2]Retail!$AJ$33:$AK$33,[2]Retail!$BH$33:$BI$33)/1000/AK77</f>
        <v>-6.5514754545978942E-3</v>
      </c>
      <c r="AL86" s="127">
        <f>-SUM([2]Retail!$AJ$34:$AK$34,[2]Retail!$BH$34:$BI$34)/1000/AL77</f>
        <v>6.7903285167523562E-3</v>
      </c>
      <c r="AM86" s="127">
        <f>-SUM([2]Retail!$AJ$35:$AK$35,[2]Retail!$BH$35:$BI$35)/1000/AM77</f>
        <v>0</v>
      </c>
      <c r="AN86" s="134"/>
      <c r="AO86" s="126">
        <f>-SUM([2]SME!$AJ$33:$AK$33,[2]SME!$BH$33:$BI$33)/1000/AO77</f>
        <v>-2.2846038231964694E-3</v>
      </c>
      <c r="AP86" s="127">
        <f>-SUM([2]SME!$AJ$34:$AK$34,[2]SME!$BH$34:$BI$34)/1000/AP77</f>
        <v>1.0652116272527172E-2</v>
      </c>
      <c r="AQ86" s="127">
        <f>-SUM([2]SME!$AJ$35:$AK$35,[2]SME!$BH$35:$BI$35)/1000/AQ77</f>
        <v>0</v>
      </c>
      <c r="AR86" s="134"/>
      <c r="AS86" s="126">
        <f>-SUM([2]MidCorp!$AJ$33:$AK$33,[2]MidCorp!$BH$33:$BI$33)/1000/AS77</f>
        <v>-1.5425154618838144E-2</v>
      </c>
      <c r="AT86" s="127">
        <f>-SUM([2]MidCorp!$AJ$34:$AK$34,[2]MidCorp!$BH$34:$BI$34)/1000/AT77</f>
        <v>-6.3251275225781499E-3</v>
      </c>
      <c r="AU86" s="127">
        <f>-SUM([2]MidCorp!$AJ$35:$AK$35,[2]MidCorp!$BH$35:$BI$35)/1000/AU77</f>
        <v>0</v>
      </c>
      <c r="AV86" s="134"/>
      <c r="AW86" s="131"/>
      <c r="AX86" s="127"/>
      <c r="AY86" s="127"/>
      <c r="AZ86" s="134"/>
      <c r="BA86" s="131"/>
      <c r="BB86" s="127"/>
      <c r="BC86" s="127"/>
      <c r="BD86" s="134"/>
      <c r="BE86" s="131"/>
      <c r="BF86" s="127"/>
      <c r="BG86" s="127"/>
      <c r="BH86" s="134"/>
      <c r="BI86" s="132">
        <f>-SUM('[2]Total P&amp;C'!$AJ$33:$AK$33,'[2]Total P&amp;C'!$BH$33:$BI$33)/1000/BI77</f>
        <v>-9.1625284292773043E-3</v>
      </c>
      <c r="BJ86" s="130">
        <f>-SUM('[2]Total P&amp;C'!$AJ$34:$AK$34,'[2]Total P&amp;C'!$BH$34:$BI$34)/1000/BJ77</f>
        <v>2.8196390793782818E-3</v>
      </c>
      <c r="BK86" s="130">
        <f>-SUM('[2]Total P&amp;C'!$AJ$35:$AK$35,'[2]Total P&amp;C'!$BH$35:$BI$35)/1000/BK77</f>
        <v>0</v>
      </c>
      <c r="BM86" s="132">
        <f>-SUM('[3]Total P&amp;C'!$AJ$33:$AK$33,'[3]Total P&amp;C'!$BH$33:$BI$33)/1000/BM77</f>
        <v>-3.7625073475416682E-3</v>
      </c>
      <c r="BN86" s="130">
        <f>-SUM('[3]Total P&amp;C'!$AJ$34:$AK$34,'[3]Total P&amp;C'!$BH$34:$BI$34)/1000/BN77</f>
        <v>-2.1866070244481307E-3</v>
      </c>
      <c r="BO86" s="130">
        <f>-SUM('[3]Total P&amp;C'!$AJ$35:$AK$35,'[3]Total P&amp;C'!$BH$35:$BI$35)/1000/BO77</f>
        <v>0</v>
      </c>
    </row>
    <row r="87" spans="1:67" ht="16.5" hidden="1" customHeight="1" outlineLevel="1" x14ac:dyDescent="0.3">
      <c r="A87" s="214"/>
      <c r="B87" s="115"/>
      <c r="C87" s="116" t="s">
        <v>58</v>
      </c>
      <c r="D87" s="134"/>
      <c r="E87" s="128">
        <f>+E88+E89+E90</f>
        <v>0.33569756277656809</v>
      </c>
      <c r="F87" s="127">
        <f>+F88+F89+F90</f>
        <v>0.51187342371872524</v>
      </c>
      <c r="G87" s="127" t="e">
        <f>+G88+G89+G90</f>
        <v>#DIV/0!</v>
      </c>
      <c r="H87" s="134"/>
      <c r="I87" s="126">
        <f>+I88+I89+I90</f>
        <v>0.3326553869417086</v>
      </c>
      <c r="J87" s="127">
        <f>+J88+J89+J90</f>
        <v>0.38221453737449729</v>
      </c>
      <c r="K87" s="127">
        <f>+K88+K89+K90</f>
        <v>0.40822164756437879</v>
      </c>
      <c r="L87" s="134"/>
      <c r="M87" s="131">
        <f>+M88+M89+M90</f>
        <v>0.23984889574173959</v>
      </c>
      <c r="N87" s="127">
        <f>+N88+N89+N90</f>
        <v>0.23447579881640243</v>
      </c>
      <c r="O87" s="127">
        <f>+O88+O89+O90</f>
        <v>0.2348522100392148</v>
      </c>
      <c r="P87" s="134"/>
      <c r="Q87" s="128">
        <f>+Q88+Q89+Q90</f>
        <v>0.4703214817575444</v>
      </c>
      <c r="R87" s="127">
        <f>+R88+R89+R90</f>
        <v>0.53513253104235514</v>
      </c>
      <c r="S87" s="127">
        <f>+S88+S89+S90</f>
        <v>0.43071108173516981</v>
      </c>
      <c r="T87" s="134"/>
      <c r="U87" s="128">
        <f>+U88+U89+U90</f>
        <v>18.284671182133575</v>
      </c>
      <c r="V87" s="127" t="e">
        <f>+V88+V89+V90</f>
        <v>#DIV/0!</v>
      </c>
      <c r="W87" s="127">
        <f>+W88+W89+W90</f>
        <v>1.2510524868443889</v>
      </c>
      <c r="X87" s="134"/>
      <c r="Y87" s="126" t="e">
        <f>+Y88+Y89+Y90</f>
        <v>#DIV/0!</v>
      </c>
      <c r="Z87" s="127">
        <f>+Z88+Z89+Z90</f>
        <v>0.20583016979056185</v>
      </c>
      <c r="AA87" s="127" t="e">
        <f>+AA88+AA89+AA90</f>
        <v>#DIV/0!</v>
      </c>
      <c r="AB87" s="134"/>
      <c r="AC87" s="132">
        <f>+AC88+AC89+AC90</f>
        <v>0.28459107245550808</v>
      </c>
      <c r="AD87" s="130">
        <f>+AD88+AD89+AD90</f>
        <v>0.3004607269422323</v>
      </c>
      <c r="AE87" s="130">
        <f>+AE88+AE89+AE90</f>
        <v>0.28657789426250868</v>
      </c>
      <c r="AG87" s="212"/>
      <c r="AH87" s="115"/>
      <c r="AI87" s="116" t="s">
        <v>58</v>
      </c>
      <c r="AJ87" s="134"/>
      <c r="AK87" s="126">
        <f>+AK88+AK89+AK90</f>
        <v>0.40551452582713088</v>
      </c>
      <c r="AL87" s="127">
        <f>+AL88+AL89+AL90</f>
        <v>0.40626460738057107</v>
      </c>
      <c r="AM87" s="127">
        <f>+AM88+AM89+AM90</f>
        <v>0.41053190984812266</v>
      </c>
      <c r="AN87" s="134"/>
      <c r="AO87" s="126">
        <f>+AO88+AO89+AO90</f>
        <v>0.5160734141748794</v>
      </c>
      <c r="AP87" s="127">
        <f>+AP88+AP89+AP90</f>
        <v>0.47152281734054063</v>
      </c>
      <c r="AQ87" s="127">
        <f>+AQ88+AQ89+AQ90</f>
        <v>0.5354163771596987</v>
      </c>
      <c r="AR87" s="134"/>
      <c r="AS87" s="128">
        <f>+AS88+AS89+AS90</f>
        <v>0.40857057872279101</v>
      </c>
      <c r="AT87" s="127">
        <f>+AT88+AT89+AT90</f>
        <v>0.3729118712561017</v>
      </c>
      <c r="AU87" s="127">
        <f>+AU88+AU89+AU90</f>
        <v>0.38102319244449612</v>
      </c>
      <c r="AV87" s="134"/>
      <c r="AW87" s="131"/>
      <c r="AX87" s="127"/>
      <c r="AY87" s="127"/>
      <c r="AZ87" s="134"/>
      <c r="BA87" s="131"/>
      <c r="BB87" s="127"/>
      <c r="BC87" s="127"/>
      <c r="BD87" s="134"/>
      <c r="BE87" s="131"/>
      <c r="BF87" s="127"/>
      <c r="BG87" s="127"/>
      <c r="BH87" s="134"/>
      <c r="BI87" s="129">
        <f>+BI88+BI89+BI90</f>
        <v>0.42377711520689842</v>
      </c>
      <c r="BJ87" s="130">
        <f>+BJ88+BJ89+BJ90</f>
        <v>0.40514722139937498</v>
      </c>
      <c r="BK87" s="130">
        <f>+BK88+BK89+BK90</f>
        <v>0.41806641515742909</v>
      </c>
      <c r="BM87" s="129">
        <f>+BM88+BM89+BM90</f>
        <v>0.33249758995893552</v>
      </c>
      <c r="BN87" s="130">
        <f>+BN88+BN89+BN90</f>
        <v>0.33655772707055998</v>
      </c>
      <c r="BO87" s="130">
        <f>+BO88+BO89+BO90</f>
        <v>0.32707104357872296</v>
      </c>
    </row>
    <row r="88" spans="1:67" ht="16.5" hidden="1" customHeight="1" outlineLevel="1" x14ac:dyDescent="0.3">
      <c r="A88" s="214"/>
      <c r="B88" s="115"/>
      <c r="C88" s="39" t="s">
        <v>59</v>
      </c>
      <c r="D88" s="135"/>
      <c r="E88" s="97">
        <f>-SUM([1]Retail!$AL$33:$AN$33,[1]Retail!$BJ$33)/1000/E77</f>
        <v>0.23842416079461307</v>
      </c>
      <c r="F88" s="42">
        <f>-SUM([1]Retail!$AL$34:$AN$34,[1]Retail!$BJ$34)/1000/F77</f>
        <v>0.24239472942695928</v>
      </c>
      <c r="G88" s="42" t="e">
        <f>-SUM([1]Retail!$AL$35:$AN$35,[1]Retail!$BJ$35)/1000/G77</f>
        <v>#DIV/0!</v>
      </c>
      <c r="H88" s="135"/>
      <c r="I88" s="97">
        <f>-SUM([1]SME!$AL$33:$AN$33,[1]SME!$BJ$33)/1000/I77</f>
        <v>0.20077587784049769</v>
      </c>
      <c r="J88" s="42">
        <f>-SUM([1]SME!$AL$34:$AN$34,[1]SME!$BJ$34)/1000/J77</f>
        <v>0.20127211354264204</v>
      </c>
      <c r="K88" s="42">
        <f>-SUM([1]SME!$AL$35:$AN$35,[1]SME!$BJ$35)/1000/K77</f>
        <v>0.20059021280198766</v>
      </c>
      <c r="L88" s="135"/>
      <c r="M88" s="74">
        <f>-SUM([1]MidCorp!$AL$33:$AN$33,[1]MidCorp!$BJ$33)/1000/M77</f>
        <v>0.14247320975094074</v>
      </c>
      <c r="N88" s="42">
        <f>-SUM([1]MidCorp!$AL$34:$AN$34,[1]MidCorp!$BJ$34)/1000/N77</f>
        <v>0.1486262995771393</v>
      </c>
      <c r="O88" s="42">
        <f>-SUM([1]MidCorp!$AL$35:$AN$35,[1]MidCorp!$BJ$35)/1000/O77</f>
        <v>0.14361198901218744</v>
      </c>
      <c r="P88" s="135"/>
      <c r="Q88" s="97">
        <f>-SUM([1]MGA!$AL$33:$AN$33,[1]MGA!$BJ$33)/1000/Q77</f>
        <v>0.36104101977761488</v>
      </c>
      <c r="R88" s="42">
        <f>-SUM([1]MGA!$AL$34:$AN$34,[1]MGA!$BJ$34)/1000/R77</f>
        <v>0.36102570792818234</v>
      </c>
      <c r="S88" s="42">
        <f>-SUM([1]MGA!$AL$35:$AN$35,[1]MGA!$BJ$35)/1000/S77</f>
        <v>0.35977911235439863</v>
      </c>
      <c r="T88" s="135"/>
      <c r="U88" s="97">
        <f>-SUM([1]Bancassurance!$AL$33:$AN$33,[1]Bancassurance!$BJ$33)/1000/U77</f>
        <v>0.15003962028589138</v>
      </c>
      <c r="V88" s="42" t="e">
        <f>-SUM([1]Bancassurance!$AL$34:$AN$34,[1]Bancassurance!$BJ$34)/1000/V77</f>
        <v>#DIV/0!</v>
      </c>
      <c r="W88" s="42">
        <f>-SUM([1]Bancassurance!$AL$35:$AN$35,[1]Bancassurance!$BJ$35)/1000/W77</f>
        <v>0.15</v>
      </c>
      <c r="X88" s="135"/>
      <c r="Y88" s="73" t="e">
        <f>-SUM([1]Specials!$AL$33:$AN$33,[1]Specials!$BJ$33)/1000/Y77</f>
        <v>#DIV/0!</v>
      </c>
      <c r="Z88" s="42">
        <f>-SUM([1]Specials!$AL$34:$AN$34,[1]Specials!$BJ$34)/1000/Z77</f>
        <v>0.20583016979056185</v>
      </c>
      <c r="AA88" s="42" t="e">
        <f>-SUM([1]Specials!$AL$35:$AN$35,[1]Specials!$BJ$35)/1000/AA77</f>
        <v>#DIV/0!</v>
      </c>
      <c r="AB88" s="135"/>
      <c r="AC88" s="85">
        <f>-SUM('[1]Total P&amp;C'!$AL$33:$AN$33,'[1]Total P&amp;C'!$BJ$33)/1000/AC77</f>
        <v>0.17035614301328506</v>
      </c>
      <c r="AD88" s="60">
        <f>-SUM('[1]Total P&amp;C'!$AL$34:$AN$34,'[1]Total P&amp;C'!$BJ$34)/1000/AD77</f>
        <v>0.17411179557363493</v>
      </c>
      <c r="AE88" s="60">
        <f>-SUM('[1]Total P&amp;C'!$AL$35:$AN$35,'[1]Total P&amp;C'!$BJ$35)/1000/AE77</f>
        <v>0.1730888738335172</v>
      </c>
      <c r="AG88" s="212"/>
      <c r="AH88" s="115"/>
      <c r="AI88" s="39" t="s">
        <v>59</v>
      </c>
      <c r="AJ88" s="135"/>
      <c r="AK88" s="74">
        <f>-SUM([2]Retail!$AL$33:$AN$33,[2]Retail!$BJ$33)/1000/AK77</f>
        <v>0.24776607187616803</v>
      </c>
      <c r="AL88" s="42">
        <f>-SUM([2]Retail!$AL$34:$AN$34,[2]Retail!$BJ$34)/1000/AL77</f>
        <v>0.26592723412229063</v>
      </c>
      <c r="AM88" s="42">
        <f>-SUM([2]Retail!$AL$35:$AN$35,[2]Retail!$BJ$35)/1000/AM77</f>
        <v>0.25841980038705109</v>
      </c>
      <c r="AN88" s="135"/>
      <c r="AO88" s="74">
        <f>-SUM([2]SME!$AL$33:$AN$33,[2]SME!$BJ$33)/1000/AO77</f>
        <v>0.26617823696881582</v>
      </c>
      <c r="AP88" s="42">
        <f>-SUM([2]SME!$AL$34:$AN$34,[2]SME!$BJ$34)/1000/AP77</f>
        <v>0.26834574594781346</v>
      </c>
      <c r="AQ88" s="42">
        <f>-SUM([2]SME!$AL$35:$AN$35,[2]SME!$BJ$35)/1000/AQ77</f>
        <v>0.27475708759323625</v>
      </c>
      <c r="AR88" s="135"/>
      <c r="AS88" s="73">
        <f>-SUM([2]MidCorp!$AL$33:$AN$33,[2]MidCorp!$BJ$33)/1000/AS77</f>
        <v>0.23502840760647162</v>
      </c>
      <c r="AT88" s="42">
        <f>-SUM([2]MidCorp!$AL$34:$AN$34,[2]MidCorp!$BJ$34)/1000/AT77</f>
        <v>0.20730138453506869</v>
      </c>
      <c r="AU88" s="42">
        <f>-SUM([2]MidCorp!$AL$35:$AN$35,[2]MidCorp!$BJ$35)/1000/AU77</f>
        <v>0.2187203184038729</v>
      </c>
      <c r="AV88" s="135"/>
      <c r="AW88" s="97"/>
      <c r="AX88" s="42"/>
      <c r="AY88" s="42"/>
      <c r="AZ88" s="135"/>
      <c r="BA88" s="97"/>
      <c r="BB88" s="42"/>
      <c r="BC88" s="42"/>
      <c r="BD88" s="135"/>
      <c r="BE88" s="97"/>
      <c r="BF88" s="42"/>
      <c r="BG88" s="42"/>
      <c r="BH88" s="135"/>
      <c r="BI88" s="99">
        <f>-SUM('[2]Total P&amp;C'!$AL$33:$AN$33,'[2]Total P&amp;C'!$BJ$33)/1000/BI77</f>
        <v>0.24592247204946163</v>
      </c>
      <c r="BJ88" s="60">
        <f>-SUM('[2]Total P&amp;C'!$AL$34:$AN$34,'[2]Total P&amp;C'!$BJ$34)/1000/BJ77</f>
        <v>0.2457738692275086</v>
      </c>
      <c r="BK88" s="60">
        <f>-SUM('[2]Total P&amp;C'!$AL$35:$AN$35,'[2]Total P&amp;C'!$BJ$35)/1000/BK77</f>
        <v>0.24555299811081871</v>
      </c>
      <c r="BM88" s="99">
        <f>-SUM('[3]Total P&amp;C'!$AL$33:$AN$33,'[3]Total P&amp;C'!$BJ$33)/1000/BM77</f>
        <v>0.19636535768078944</v>
      </c>
      <c r="BN88" s="60">
        <f>-SUM('[3]Total P&amp;C'!$AL$34:$AN$34,'[3]Total P&amp;C'!$BJ$34)/1000/BN77</f>
        <v>0.19882162939980341</v>
      </c>
      <c r="BO88" s="60">
        <f>-SUM('[3]Total P&amp;C'!$AL$35:$AN$35,'[3]Total P&amp;C'!$BJ$35)/1000/BO77</f>
        <v>0.19540489491625823</v>
      </c>
    </row>
    <row r="89" spans="1:67" ht="16.5" hidden="1" customHeight="1" outlineLevel="1" x14ac:dyDescent="0.3">
      <c r="A89" s="214"/>
      <c r="B89" s="115"/>
      <c r="C89" s="39" t="s">
        <v>60</v>
      </c>
      <c r="D89" s="135"/>
      <c r="E89" s="74">
        <f>-SUM([1]Retail!$AO$33:$AP$33)/1000/E77</f>
        <v>3.5785602315324626E-3</v>
      </c>
      <c r="F89" s="42">
        <f>-SUM([1]Retail!$AO$34:$AP$34)/1000/F77</f>
        <v>4.2826920739856111E-2</v>
      </c>
      <c r="G89" s="42" t="e">
        <f>-SUM([1]Retail!$AO$35:$AP$35)/1000/G77</f>
        <v>#DIV/0!</v>
      </c>
      <c r="H89" s="135"/>
      <c r="I89" s="74">
        <f>-SUM([1]SME!$AO$33:$AP$33)/1000/I77</f>
        <v>5.5654509089867028E-2</v>
      </c>
      <c r="J89" s="42">
        <f>-SUM([1]SME!$AO$34:$AP$34)/1000/J77</f>
        <v>0.10399701508820663</v>
      </c>
      <c r="K89" s="42">
        <f>-SUM([1]SME!$AO$35:$AP$35)/1000/K77</f>
        <v>6.1045895093621468E-2</v>
      </c>
      <c r="L89" s="135"/>
      <c r="M89" s="73">
        <f>-SUM([1]MidCorp!$AO$33:$AP$33)/1000/M77</f>
        <v>4.6058077342279152E-2</v>
      </c>
      <c r="N89" s="42">
        <f>-SUM([1]MidCorp!$AO$34:$AP$34)/1000/N77</f>
        <v>3.4821352382550456E-2</v>
      </c>
      <c r="O89" s="42">
        <f>-SUM([1]MidCorp!$AO$35:$AP$35)/1000/O77</f>
        <v>3.874647177857491E-2</v>
      </c>
      <c r="P89" s="135"/>
      <c r="Q89" s="73">
        <f>-SUM([1]MGA!$AO$33:$AP$33)/1000/Q77</f>
        <v>2.3533578712699895E-2</v>
      </c>
      <c r="R89" s="42">
        <f>-SUM([1]MGA!$AO$34:$AP$34)/1000/R77</f>
        <v>0.11191964032445947</v>
      </c>
      <c r="S89" s="42">
        <f>-SUM([1]MGA!$AO$35:$AP$35)/1000/S77</f>
        <v>1.6379195324723182E-2</v>
      </c>
      <c r="T89" s="135"/>
      <c r="U89" s="73">
        <f>-SUM([1]Bancassurance!$AO$33:$AP$33)/1000/U77</f>
        <v>3.3992798183644406</v>
      </c>
      <c r="V89" s="42" t="e">
        <f>-SUM([1]Bancassurance!$AO$34:$AP$34)/1000/V77</f>
        <v>#DIV/0!</v>
      </c>
      <c r="W89" s="42">
        <f>-SUM([1]Bancassurance!$AO$35:$AP$35)/1000/W77</f>
        <v>0.2894617297537897</v>
      </c>
      <c r="X89" s="135"/>
      <c r="Y89" s="74" t="e">
        <f>-SUM([1]Specials!$AO$33:$AP$33)/1000/Y77</f>
        <v>#DIV/0!</v>
      </c>
      <c r="Z89" s="42">
        <f>-SUM([1]Specials!$AO$34:$AP$34)/1000/Z77</f>
        <v>0</v>
      </c>
      <c r="AA89" s="42" t="e">
        <f>-SUM([1]Specials!$AO$35:$AP$35)/1000/AA77</f>
        <v>#DIV/0!</v>
      </c>
      <c r="AB89" s="135"/>
      <c r="AC89" s="84">
        <f>-SUM('[1]Total P&amp;C'!$AO$33:$AP$33)/1000/AC77</f>
        <v>4.7090621512448458E-2</v>
      </c>
      <c r="AD89" s="60">
        <f>-SUM('[1]Total P&amp;C'!$AO$34:$AP$34)/1000/AD77</f>
        <v>5.5248709936594802E-2</v>
      </c>
      <c r="AE89" s="60">
        <f>-SUM('[1]Total P&amp;C'!$AO$35:$AP$35)/1000/AE77</f>
        <v>4.1150401398887176E-2</v>
      </c>
      <c r="AG89" s="212"/>
      <c r="AH89" s="115"/>
      <c r="AI89" s="39" t="s">
        <v>60</v>
      </c>
      <c r="AJ89" s="135"/>
      <c r="AK89" s="73">
        <f>-SUM([2]Retail!$AO$33:$AP$33)/1000/AK77</f>
        <v>8.4974963189856381E-2</v>
      </c>
      <c r="AL89" s="42">
        <f>-SUM([2]Retail!$AO$34:$AP$34)/1000/AL77</f>
        <v>7.6898396469467709E-2</v>
      </c>
      <c r="AM89" s="42">
        <f>-SUM([2]Retail!$AO$35:$AP$35)/1000/AM77</f>
        <v>7.972355619234317E-2</v>
      </c>
      <c r="AN89" s="135"/>
      <c r="AO89" s="74">
        <f>-SUM([2]SME!$AO$33:$AP$33)/1000/AO77</f>
        <v>0.17389378217369358</v>
      </c>
      <c r="AP89" s="42">
        <f>-SUM([2]SME!$AO$34:$AP$34)/1000/AP77</f>
        <v>0.12745348398379711</v>
      </c>
      <c r="AQ89" s="42">
        <f>-SUM([2]SME!$AO$35:$AP$35)/1000/AQ77</f>
        <v>0.17721766338939013</v>
      </c>
      <c r="AR89" s="135"/>
      <c r="AS89" s="73">
        <f>-SUM([2]MidCorp!$AO$33:$AP$33)/1000/AS77</f>
        <v>6.2090316316658602E-2</v>
      </c>
      <c r="AT89" s="42">
        <f>-SUM([2]MidCorp!$AO$34:$AP$34)/1000/AT77</f>
        <v>5.9007189497019559E-2</v>
      </c>
      <c r="AU89" s="42">
        <f>-SUM([2]MidCorp!$AO$35:$AP$35)/1000/AU77</f>
        <v>5.2856873853402792E-2</v>
      </c>
      <c r="AV89" s="135"/>
      <c r="AW89" s="97"/>
      <c r="AX89" s="42"/>
      <c r="AY89" s="42"/>
      <c r="AZ89" s="135"/>
      <c r="BA89" s="97"/>
      <c r="BB89" s="42"/>
      <c r="BC89" s="42"/>
      <c r="BD89" s="135"/>
      <c r="BE89" s="97"/>
      <c r="BF89" s="42"/>
      <c r="BG89" s="42"/>
      <c r="BH89" s="135"/>
      <c r="BI89" s="84">
        <f>-SUM('[2]Total P&amp;C'!$AO$33:$AP$33)/1000/BI77</f>
        <v>9.0317298967797902E-2</v>
      </c>
      <c r="BJ89" s="60">
        <f>-SUM('[2]Total P&amp;C'!$AO$34:$AP$34)/1000/BJ77</f>
        <v>7.8817725871062685E-2</v>
      </c>
      <c r="BK89" s="60">
        <f>-SUM('[2]Total P&amp;C'!$AO$35:$AP$35)/1000/BK77</f>
        <v>8.4125197449920808E-2</v>
      </c>
      <c r="BM89" s="84">
        <f>-SUM('[3]Total P&amp;C'!$AO$33:$AP$33)/1000/BM77</f>
        <v>6.1968834436632099E-2</v>
      </c>
      <c r="BN89" s="60">
        <f>-SUM('[3]Total P&amp;C'!$AO$34:$AP$34)/1000/BN77</f>
        <v>6.3375553572182788E-2</v>
      </c>
      <c r="BO89" s="60">
        <f>-SUM('[3]Total P&amp;C'!$AO$35:$AP$35)/1000/BO77</f>
        <v>5.4384901425844193E-2</v>
      </c>
    </row>
    <row r="90" spans="1:67" ht="16.5" hidden="1" customHeight="1" outlineLevel="1" x14ac:dyDescent="0.3">
      <c r="A90" s="214"/>
      <c r="B90" s="115"/>
      <c r="C90" s="39" t="s">
        <v>61</v>
      </c>
      <c r="D90" s="135"/>
      <c r="E90" s="73">
        <f>-SUM([1]Retail!$AQ$33:$AR$33)/1000/E77</f>
        <v>9.3694841750422558E-2</v>
      </c>
      <c r="F90" s="42">
        <f>-SUM([1]Retail!$AQ$34:$AR$34)/1000/F77</f>
        <v>0.2266517735519098</v>
      </c>
      <c r="G90" s="42" t="e">
        <f>-SUM([1]Retail!$AQ$35:$AR$35)/1000/G77</f>
        <v>#DIV/0!</v>
      </c>
      <c r="H90" s="135"/>
      <c r="I90" s="74">
        <f>-SUM([1]SME!$AQ$33:$AR$33)/1000/I77</f>
        <v>7.6225000011343844E-2</v>
      </c>
      <c r="J90" s="42">
        <f>-SUM([1]SME!$AQ$34:$AR$34)/1000/J77</f>
        <v>7.6945408743648663E-2</v>
      </c>
      <c r="K90" s="42">
        <f>-SUM([1]SME!$AQ$35:$AR$35)/1000/K77</f>
        <v>0.14658553966876964</v>
      </c>
      <c r="L90" s="135"/>
      <c r="M90" s="74">
        <f>-SUM([1]MidCorp!$AQ$33:$AR$33)/1000/M77</f>
        <v>5.1317608648519704E-2</v>
      </c>
      <c r="N90" s="42">
        <f>-SUM([1]MidCorp!$AQ$34:$AR$34)/1000/N77</f>
        <v>5.1028146856712663E-2</v>
      </c>
      <c r="O90" s="42">
        <f>-SUM([1]MidCorp!$AQ$35:$AR$35)/1000/O77</f>
        <v>5.2493749248452466E-2</v>
      </c>
      <c r="P90" s="135"/>
      <c r="Q90" s="73">
        <f>-SUM([1]MGA!$AQ$33:$AR$33)/1000/Q77</f>
        <v>8.5746883267229651E-2</v>
      </c>
      <c r="R90" s="42">
        <f>-SUM([1]MGA!$AQ$34:$AR$34)/1000/R77</f>
        <v>6.2187182789713323E-2</v>
      </c>
      <c r="S90" s="42">
        <f>-SUM([1]MGA!$AQ$35:$AR$35)/1000/S77</f>
        <v>5.4552774056047963E-2</v>
      </c>
      <c r="T90" s="135"/>
      <c r="U90" s="73">
        <f>-SUM([1]Bancassurance!$AQ$33:$AR$33)/1000/U77</f>
        <v>14.735351743483243</v>
      </c>
      <c r="V90" s="42" t="e">
        <f>-SUM([1]Bancassurance!$AQ$34:$AR$34)/1000/V77</f>
        <v>#DIV/0!</v>
      </c>
      <c r="W90" s="42">
        <f>-SUM([1]Bancassurance!$AQ$35:$AR$35)/1000/W77</f>
        <v>0.81159075709059925</v>
      </c>
      <c r="X90" s="135"/>
      <c r="Y90" s="74" t="e">
        <f>-SUM([1]Specials!$AQ$33:$AR$33)/1000/Y77</f>
        <v>#DIV/0!</v>
      </c>
      <c r="Z90" s="42">
        <f>-SUM([1]Specials!$AQ$34:$AR$34)/1000/Z77</f>
        <v>0</v>
      </c>
      <c r="AA90" s="42" t="e">
        <f>-SUM([1]Specials!$AQ$35:$AR$35)/1000/AA77</f>
        <v>#DIV/0!</v>
      </c>
      <c r="AB90" s="135"/>
      <c r="AC90" s="85">
        <f>-SUM('[1]Total P&amp;C'!$AQ$33:$AR$33)/1000/AC77</f>
        <v>6.7144307929774535E-2</v>
      </c>
      <c r="AD90" s="60">
        <f>-SUM('[1]Total P&amp;C'!$AQ$34:$AR$34)/1000/AD77</f>
        <v>7.1100221432002564E-2</v>
      </c>
      <c r="AE90" s="60">
        <f>-SUM('[1]Total P&amp;C'!$AQ$35:$AR$35)/1000/AE77</f>
        <v>7.2338619030104329E-2</v>
      </c>
      <c r="AG90" s="212"/>
      <c r="AH90" s="115"/>
      <c r="AI90" s="39" t="s">
        <v>61</v>
      </c>
      <c r="AJ90" s="135"/>
      <c r="AK90" s="97">
        <f>-SUM([2]Retail!$AQ$33:$AR$33)/1000/AK77</f>
        <v>7.2773490761106452E-2</v>
      </c>
      <c r="AL90" s="42">
        <f>-SUM([2]Retail!$AQ$34:$AR$34)/1000/AL77</f>
        <v>6.3438976788812704E-2</v>
      </c>
      <c r="AM90" s="42">
        <f>-SUM([2]Retail!$AQ$35:$AR$35)/1000/AM77</f>
        <v>7.2388553268728395E-2</v>
      </c>
      <c r="AN90" s="135"/>
      <c r="AO90" s="74">
        <f>-SUM([2]SME!$AQ$33:$AR$33)/1000/AO77</f>
        <v>7.6001395032369981E-2</v>
      </c>
      <c r="AP90" s="42">
        <f>-SUM([2]SME!$AQ$34:$AR$34)/1000/AP77</f>
        <v>7.5723587408930093E-2</v>
      </c>
      <c r="AQ90" s="42">
        <f>-SUM([2]SME!$AQ$35:$AR$35)/1000/AQ77</f>
        <v>8.3441626177072292E-2</v>
      </c>
      <c r="AR90" s="135"/>
      <c r="AS90" s="97">
        <f>-SUM([2]MidCorp!$AQ$33:$AR$33)/1000/AS77</f>
        <v>0.11145185479966081</v>
      </c>
      <c r="AT90" s="42">
        <f>-SUM([2]MidCorp!$AQ$34:$AR$34)/1000/AT77</f>
        <v>0.10660329722401345</v>
      </c>
      <c r="AU90" s="42">
        <f>-SUM([2]MidCorp!$AQ$35:$AR$35)/1000/AU77</f>
        <v>0.10944600018722041</v>
      </c>
      <c r="AV90" s="135"/>
      <c r="AW90" s="97"/>
      <c r="AX90" s="42"/>
      <c r="AY90" s="42"/>
      <c r="AZ90" s="135"/>
      <c r="BA90" s="97"/>
      <c r="BB90" s="42"/>
      <c r="BC90" s="42"/>
      <c r="BD90" s="135"/>
      <c r="BE90" s="97"/>
      <c r="BF90" s="42"/>
      <c r="BG90" s="42"/>
      <c r="BH90" s="135"/>
      <c r="BI90" s="85">
        <f>-SUM('[2]Total P&amp;C'!$AQ$33:$AR$33)/1000/BI77</f>
        <v>8.7537344189638877E-2</v>
      </c>
      <c r="BJ90" s="60">
        <f>-SUM('[2]Total P&amp;C'!$AQ$34:$AR$34)/1000/BJ77</f>
        <v>8.055562630080372E-2</v>
      </c>
      <c r="BK90" s="60">
        <f>-SUM('[2]Total P&amp;C'!$AQ$35:$AR$35)/1000/BK77</f>
        <v>8.8388219596689563E-2</v>
      </c>
      <c r="BM90" s="85">
        <f>-SUM('[3]Total P&amp;C'!$AQ$33:$AR$33)/1000/BM77</f>
        <v>7.4163397841514017E-2</v>
      </c>
      <c r="BN90" s="60">
        <f>-SUM('[3]Total P&amp;C'!$AQ$34:$AR$34)/1000/BN77</f>
        <v>7.4360544098573789E-2</v>
      </c>
      <c r="BO90" s="60">
        <f>-SUM('[3]Total P&amp;C'!$AQ$35:$AR$35)/1000/BO77</f>
        <v>7.7281247236620554E-2</v>
      </c>
    </row>
    <row r="91" spans="1:67" ht="16.5" hidden="1" customHeight="1" outlineLevel="1" x14ac:dyDescent="0.3">
      <c r="A91" s="214"/>
      <c r="B91" s="115"/>
      <c r="C91" s="116" t="s">
        <v>34</v>
      </c>
      <c r="D91" s="117"/>
      <c r="E91" s="118">
        <f>+[1]Retail!$BK$33/1000</f>
        <v>0.73849854999999587</v>
      </c>
      <c r="F91" s="119">
        <f>+[1]Retail!$BK$34/1000</f>
        <v>-0.14341110000000509</v>
      </c>
      <c r="G91" s="119">
        <f>+[1]Retail!$BK$35/1000</f>
        <v>-0.19793997611726669</v>
      </c>
      <c r="H91" s="117"/>
      <c r="I91" s="121">
        <f>+[1]SME!$BK$33/1000</f>
        <v>-0.35405398000000043</v>
      </c>
      <c r="J91" s="119">
        <f>+[1]SME!$BK$34/1000</f>
        <v>2.2461048199999971</v>
      </c>
      <c r="K91" s="119">
        <f>+[1]SME!$BK$35/1000</f>
        <v>0.35266923579303627</v>
      </c>
      <c r="L91" s="117"/>
      <c r="M91" s="118">
        <f>+[1]MidCorp!$BK$33/1000</f>
        <v>6.7833811599999851</v>
      </c>
      <c r="N91" s="119">
        <f>+[1]MidCorp!$BK$34/1000</f>
        <v>3.5298972699999922</v>
      </c>
      <c r="O91" s="119">
        <f>+[1]MidCorp!$BK$35/1000</f>
        <v>4.4387736204747865</v>
      </c>
      <c r="P91" s="117"/>
      <c r="Q91" s="121">
        <f>+[1]MGA!$BK$33/1000</f>
        <v>0.11453787999999812</v>
      </c>
      <c r="R91" s="119">
        <f>+[1]MGA!$BK$34/1000</f>
        <v>-0.46924590000000077</v>
      </c>
      <c r="S91" s="119">
        <f>+[1]MGA!$BK$35/1000</f>
        <v>0.43088582457286723</v>
      </c>
      <c r="T91" s="117"/>
      <c r="U91" s="120">
        <f>+[1]Bancassurance!$BK$33/1000</f>
        <v>-0.61097487000000006</v>
      </c>
      <c r="V91" s="119">
        <f>+[1]Bancassurance!$BK$34/1000</f>
        <v>-0.7869737</v>
      </c>
      <c r="W91" s="119">
        <f>+[1]Bancassurance!$BK$35/1000</f>
        <v>-0.20734991596750343</v>
      </c>
      <c r="X91" s="117"/>
      <c r="Y91" s="121">
        <f>+[1]Specials!$BK$33/1000</f>
        <v>0</v>
      </c>
      <c r="Z91" s="119">
        <f>+[1]Specials!$BK$34/1000</f>
        <v>-1.9499999999999962E-5</v>
      </c>
      <c r="AA91" s="119">
        <f>+[1]Specials!$BK$35/1000</f>
        <v>0</v>
      </c>
      <c r="AB91" s="117"/>
      <c r="AC91" s="122">
        <f>+'[1]Total P&amp;C'!$BK$33/1000</f>
        <v>6.6713887399999736</v>
      </c>
      <c r="AD91" s="123">
        <f>+'[1]Total P&amp;C'!$BK$34/1000</f>
        <v>4.3763518899999836</v>
      </c>
      <c r="AE91" s="123">
        <f>+'[1]Total P&amp;C'!$BK$35/1000</f>
        <v>4.8170387887559052</v>
      </c>
      <c r="AG91" s="212"/>
      <c r="AH91" s="115"/>
      <c r="AI91" s="116" t="s">
        <v>34</v>
      </c>
      <c r="AJ91" s="117"/>
      <c r="AK91" s="118">
        <f>+[2]Retail!$BK$33/1000</f>
        <v>1.0433487599999882</v>
      </c>
      <c r="AL91" s="119">
        <f>+[2]Retail!$BK$34/1000</f>
        <v>1.6320968799999993</v>
      </c>
      <c r="AM91" s="119">
        <f>+[2]Retail!$BK$35/1000</f>
        <v>0.33986657852766361</v>
      </c>
      <c r="AN91" s="117"/>
      <c r="AO91" s="118">
        <f>+[2]SME!$BK$33/1000</f>
        <v>-0.15909397000000058</v>
      </c>
      <c r="AP91" s="119">
        <f>+[2]SME!$BK$34/1000</f>
        <v>2.1033215499999982</v>
      </c>
      <c r="AQ91" s="119">
        <f>+[2]SME!$BK$35/1000</f>
        <v>-0.55062705164169679</v>
      </c>
      <c r="AR91" s="117"/>
      <c r="AS91" s="120">
        <f>+[2]MidCorp!$BK$33/1000</f>
        <v>-0.76772701999999782</v>
      </c>
      <c r="AT91" s="119">
        <f>+[2]MidCorp!$BK$34/1000</f>
        <v>0.29815447999999944</v>
      </c>
      <c r="AU91" s="119">
        <f>+[2]MidCorp!$BK$35/1000</f>
        <v>-0.10365252457421684</v>
      </c>
      <c r="AV91" s="117"/>
      <c r="AW91" s="121"/>
      <c r="AX91" s="119"/>
      <c r="AY91" s="119"/>
      <c r="AZ91" s="117"/>
      <c r="BA91" s="121"/>
      <c r="BB91" s="119"/>
      <c r="BC91" s="119"/>
      <c r="BD91" s="117"/>
      <c r="BE91" s="121"/>
      <c r="BF91" s="119"/>
      <c r="BG91" s="119"/>
      <c r="BH91" s="117"/>
      <c r="BI91" s="122">
        <f>+'[2]Total P&amp;C'!$BK$33/1000</f>
        <v>0.11652776999999184</v>
      </c>
      <c r="BJ91" s="123">
        <f>+'[2]Total P&amp;C'!$BK$34/1000</f>
        <v>4.0335729099999993</v>
      </c>
      <c r="BK91" s="123">
        <f>+'[2]Total P&amp;C'!$BK$35/1000</f>
        <v>-0.31441299768825309</v>
      </c>
      <c r="BM91" s="122">
        <f>+'[3]Total P&amp;C'!$BK$33/1000</f>
        <v>6.7879165099999916</v>
      </c>
      <c r="BN91" s="123">
        <f>+'[3]Total P&amp;C'!$BK$34/1000</f>
        <v>8.4099247999999829</v>
      </c>
      <c r="BO91" s="123">
        <f>+'[3]Total P&amp;C'!$BK$35/1000</f>
        <v>4.5026257910676737</v>
      </c>
    </row>
    <row r="92" spans="1:67" ht="12.75" hidden="1" customHeight="1" outlineLevel="1" x14ac:dyDescent="0.35">
      <c r="AG92" s="153"/>
    </row>
    <row r="93" spans="1:67" ht="16.5" hidden="1" customHeight="1" outlineLevel="1" x14ac:dyDescent="0.3">
      <c r="A93" s="216" t="s">
        <v>39</v>
      </c>
      <c r="B93" s="115"/>
      <c r="C93" s="116" t="s">
        <v>19</v>
      </c>
      <c r="D93" s="117"/>
      <c r="E93" s="121">
        <f>+[1]Retail!$C$37/1000</f>
        <v>0</v>
      </c>
      <c r="F93" s="119">
        <f>+[1]Retail!$C$38/1000</f>
        <v>0</v>
      </c>
      <c r="G93" s="119">
        <f>+[1]Retail!$C$39/1000</f>
        <v>0</v>
      </c>
      <c r="H93" s="117"/>
      <c r="I93" s="121">
        <f>+[1]SME!$C$37/1000</f>
        <v>0</v>
      </c>
      <c r="J93" s="119">
        <f>+[1]SME!$C$38/1000</f>
        <v>0</v>
      </c>
      <c r="K93" s="119">
        <f>+[1]SME!$C$39/1000</f>
        <v>0</v>
      </c>
      <c r="L93" s="117"/>
      <c r="M93" s="121">
        <f>+[1]MidCorp!$C$37/1000</f>
        <v>13.962795909999999</v>
      </c>
      <c r="N93" s="119">
        <f>+[1]MidCorp!$C$38/1000</f>
        <v>13.321478509999999</v>
      </c>
      <c r="O93" s="119">
        <f>+[1]MidCorp!$C$39/1000</f>
        <v>14.31026</v>
      </c>
      <c r="P93" s="117"/>
      <c r="Q93" s="118">
        <f>+[1]MGA!$C$37/1000</f>
        <v>2.46343E-3</v>
      </c>
      <c r="R93" s="119">
        <f>+[1]MGA!$C$38/1000</f>
        <v>3.6837400000000005E-3</v>
      </c>
      <c r="S93" s="119">
        <f>+[1]MGA!$C$39/1000</f>
        <v>0</v>
      </c>
      <c r="T93" s="117"/>
      <c r="U93" s="121">
        <f>+[1]Bancassurance!$C$37/1000</f>
        <v>0</v>
      </c>
      <c r="V93" s="119">
        <f>+[1]Bancassurance!$C$38/1000</f>
        <v>0</v>
      </c>
      <c r="W93" s="119">
        <f>+[1]Bancassurance!$C$39/1000</f>
        <v>0</v>
      </c>
      <c r="X93" s="117"/>
      <c r="Y93" s="118">
        <f>+[1]Specials!$C$37/1000</f>
        <v>1.0691300000000002E-3</v>
      </c>
      <c r="Z93" s="119">
        <f>+[1]Specials!$C$38/1000</f>
        <v>-1.5629999999999999E-3</v>
      </c>
      <c r="AA93" s="119">
        <f>+[1]Specials!$C$39/1000</f>
        <v>0</v>
      </c>
      <c r="AB93" s="117"/>
      <c r="AC93" s="124">
        <f>+'[1]Total P&amp;C'!$C$37/1000</f>
        <v>13.966328469999999</v>
      </c>
      <c r="AD93" s="123">
        <f>+'[1]Total P&amp;C'!$C$38/1000</f>
        <v>13.323599249999999</v>
      </c>
      <c r="AE93" s="123">
        <f>+'[1]Total P&amp;C'!$C$39/1000</f>
        <v>14.31026</v>
      </c>
      <c r="AG93" s="215" t="s">
        <v>39</v>
      </c>
      <c r="AH93" s="115"/>
      <c r="AI93" s="116" t="s">
        <v>19</v>
      </c>
      <c r="AJ93" s="117"/>
      <c r="AK93" s="121">
        <f>+[2]Retail!$C$37/1000</f>
        <v>0</v>
      </c>
      <c r="AL93" s="119">
        <f>+[2]Retail!$C$38/1000</f>
        <v>0</v>
      </c>
      <c r="AM93" s="119">
        <f>+[2]Retail!$C$39/1000</f>
        <v>0</v>
      </c>
      <c r="AN93" s="117"/>
      <c r="AO93" s="121">
        <f>+[2]SME!$C$37/1000</f>
        <v>0</v>
      </c>
      <c r="AP93" s="119">
        <f>+[2]SME!$C$38/1000</f>
        <v>0</v>
      </c>
      <c r="AQ93" s="119">
        <f>+[2]SME!$C$39/1000</f>
        <v>0</v>
      </c>
      <c r="AR93" s="117"/>
      <c r="AS93" s="121">
        <f>+[2]MidCorp!$C$37/1000</f>
        <v>7.5324710100000027</v>
      </c>
      <c r="AT93" s="119">
        <f>+[2]MidCorp!$C$38/1000</f>
        <v>8.0493241200000067</v>
      </c>
      <c r="AU93" s="119">
        <f>+[2]MidCorp!$C$39/1000</f>
        <v>9.4957032843232927</v>
      </c>
      <c r="AV93" s="117"/>
      <c r="AW93" s="121"/>
      <c r="AX93" s="119"/>
      <c r="AY93" s="119"/>
      <c r="AZ93" s="117"/>
      <c r="BA93" s="121"/>
      <c r="BB93" s="119"/>
      <c r="BC93" s="119"/>
      <c r="BD93" s="117"/>
      <c r="BE93" s="121"/>
      <c r="BF93" s="119"/>
      <c r="BG93" s="119"/>
      <c r="BH93" s="117"/>
      <c r="BI93" s="124">
        <f>+'[2]Total P&amp;C'!$C$37/1000</f>
        <v>7.5324710100000027</v>
      </c>
      <c r="BJ93" s="123">
        <f>+'[2]Total P&amp;C'!$C$38/1000</f>
        <v>8.0493241200000067</v>
      </c>
      <c r="BK93" s="123">
        <f>+'[2]Total P&amp;C'!$C$39/1000</f>
        <v>9.4957032843232927</v>
      </c>
      <c r="BM93" s="124">
        <f>+'[3]Total P&amp;C'!$C$37/1000</f>
        <v>21.498799480000002</v>
      </c>
      <c r="BN93" s="123">
        <f>+'[3]Total P&amp;C'!$C$38/1000</f>
        <v>21.372923370000009</v>
      </c>
      <c r="BO93" s="123">
        <f>+'[3]Total P&amp;C'!$C$39/1000</f>
        <v>23.80596328432329</v>
      </c>
    </row>
    <row r="94" spans="1:67" ht="16.5" hidden="1" customHeight="1" outlineLevel="1" x14ac:dyDescent="0.3">
      <c r="A94" s="214"/>
      <c r="B94" s="115"/>
      <c r="C94" s="116" t="s">
        <v>55</v>
      </c>
      <c r="D94" s="117"/>
      <c r="E94" s="121">
        <f>+[1]Retail!$N$37/1000</f>
        <v>0</v>
      </c>
      <c r="F94" s="119">
        <f>+[1]Retail!$N$38/1000</f>
        <v>0</v>
      </c>
      <c r="G94" s="119">
        <f>+[1]Retail!$N$39/1000</f>
        <v>0</v>
      </c>
      <c r="H94" s="117"/>
      <c r="I94" s="121">
        <f>+[1]SME!$N$37/1000</f>
        <v>0</v>
      </c>
      <c r="J94" s="119">
        <f>+[1]SME!$N$38/1000</f>
        <v>0</v>
      </c>
      <c r="K94" s="119">
        <f>+[1]SME!$N$39/1000</f>
        <v>0</v>
      </c>
      <c r="L94" s="117"/>
      <c r="M94" s="121">
        <f>+[1]MidCorp!$N$37/1000</f>
        <v>6.31402441</v>
      </c>
      <c r="N94" s="119">
        <f>+[1]MidCorp!$N$38/1000</f>
        <v>5.7305910999999981</v>
      </c>
      <c r="O94" s="119">
        <f>+[1]MidCorp!$N$39/1000</f>
        <v>7.4291136819037273</v>
      </c>
      <c r="P94" s="117"/>
      <c r="Q94" s="118">
        <f>+[1]MGA!$N$37/1000</f>
        <v>1.4849299999999998E-3</v>
      </c>
      <c r="R94" s="119">
        <f>+[1]MGA!$N$38/1000</f>
        <v>2.1137199999999991E-3</v>
      </c>
      <c r="S94" s="119">
        <f>+[1]MGA!$N$39/1000</f>
        <v>0</v>
      </c>
      <c r="T94" s="117"/>
      <c r="U94" s="121">
        <f>+[1]Bancassurance!$N$37/1000</f>
        <v>0</v>
      </c>
      <c r="V94" s="119">
        <f>+[1]Bancassurance!$N$38/1000</f>
        <v>0</v>
      </c>
      <c r="W94" s="119">
        <f>+[1]Bancassurance!$N$39/1000</f>
        <v>0</v>
      </c>
      <c r="X94" s="117"/>
      <c r="Y94" s="118">
        <f>+[1]Specials!$N$37/1000</f>
        <v>1.8228230000000002E-2</v>
      </c>
      <c r="Z94" s="119">
        <f>+[1]Specials!$N$38/1000</f>
        <v>1.7283600000000003E-2</v>
      </c>
      <c r="AA94" s="119">
        <f>+[1]Specials!$N$39/1000</f>
        <v>0</v>
      </c>
      <c r="AB94" s="117"/>
      <c r="AC94" s="124">
        <f>+'[1]Total P&amp;C'!$N$37/1000</f>
        <v>6.3337375699999994</v>
      </c>
      <c r="AD94" s="123">
        <f>+'[1]Total P&amp;C'!$N$38/1000</f>
        <v>5.7499884199999975</v>
      </c>
      <c r="AE94" s="123">
        <f>+'[1]Total P&amp;C'!$N$39/1000</f>
        <v>7.4291136819037273</v>
      </c>
      <c r="AG94" s="212"/>
      <c r="AH94" s="115"/>
      <c r="AI94" s="116" t="s">
        <v>55</v>
      </c>
      <c r="AJ94" s="117"/>
      <c r="AK94" s="121">
        <f>+[2]Retail!$N$37/1000</f>
        <v>0</v>
      </c>
      <c r="AL94" s="119">
        <f>+[2]Retail!$N$38/1000</f>
        <v>0</v>
      </c>
      <c r="AM94" s="119">
        <f>+[2]Retail!$N$39/1000</f>
        <v>0</v>
      </c>
      <c r="AN94" s="117"/>
      <c r="AO94" s="121">
        <f>+[2]SME!$N$37/1000</f>
        <v>0</v>
      </c>
      <c r="AP94" s="119">
        <f>+[2]SME!$N$38/1000</f>
        <v>0</v>
      </c>
      <c r="AQ94" s="119">
        <f>+[2]SME!$N$39/1000</f>
        <v>0</v>
      </c>
      <c r="AR94" s="117"/>
      <c r="AS94" s="121">
        <f>+[2]MidCorp!$N$37/1000</f>
        <v>5.3756103199999972</v>
      </c>
      <c r="AT94" s="119">
        <f>+[2]MidCorp!$N$38/1000</f>
        <v>5.3401845700000052</v>
      </c>
      <c r="AU94" s="119">
        <f>+[2]MidCorp!$N$39/1000</f>
        <v>6.9925416828876115</v>
      </c>
      <c r="AV94" s="117"/>
      <c r="AW94" s="121"/>
      <c r="AX94" s="119"/>
      <c r="AY94" s="119"/>
      <c r="AZ94" s="117"/>
      <c r="BA94" s="121"/>
      <c r="BB94" s="119"/>
      <c r="BC94" s="119"/>
      <c r="BD94" s="117"/>
      <c r="BE94" s="121"/>
      <c r="BF94" s="119"/>
      <c r="BG94" s="119"/>
      <c r="BH94" s="117"/>
      <c r="BI94" s="124">
        <f>+'[2]Total P&amp;C'!$N$37/1000</f>
        <v>5.3756103199999972</v>
      </c>
      <c r="BJ94" s="123">
        <f>+'[2]Total P&amp;C'!$N$38/1000</f>
        <v>5.3401845700000052</v>
      </c>
      <c r="BK94" s="123">
        <f>+'[2]Total P&amp;C'!$N$39/1000</f>
        <v>6.9925416828876115</v>
      </c>
      <c r="BM94" s="124">
        <f>+'[3]Total P&amp;C'!$N$37/1000</f>
        <v>11.709347889999998</v>
      </c>
      <c r="BN94" s="123">
        <f>+'[3]Total P&amp;C'!$N$38/1000</f>
        <v>11.090172990000003</v>
      </c>
      <c r="BO94" s="123">
        <f>+'[3]Total P&amp;C'!$N$39/1000</f>
        <v>14.421655364791338</v>
      </c>
    </row>
    <row r="95" spans="1:67" ht="16.5" hidden="1" customHeight="1" outlineLevel="1" x14ac:dyDescent="0.3">
      <c r="A95" s="214"/>
      <c r="B95" s="115"/>
      <c r="C95" s="116" t="s">
        <v>21</v>
      </c>
      <c r="D95" s="117"/>
      <c r="E95" s="126" t="e">
        <f>+E96+E101+E102+E103+E104</f>
        <v>#DIV/0!</v>
      </c>
      <c r="F95" s="127" t="e">
        <f>+F96+F101+F102+F103+F104</f>
        <v>#DIV/0!</v>
      </c>
      <c r="G95" s="127" t="e">
        <f>+G96+G101+G102+G103+G104</f>
        <v>#DIV/0!</v>
      </c>
      <c r="H95" s="117"/>
      <c r="I95" s="126" t="e">
        <f>+I96+I101+I102+I103+I104</f>
        <v>#DIV/0!</v>
      </c>
      <c r="J95" s="127" t="e">
        <f>+J96+J101+J102+J103+J104</f>
        <v>#DIV/0!</v>
      </c>
      <c r="K95" s="127" t="e">
        <f>+K96+K101+K102+K103+K104</f>
        <v>#DIV/0!</v>
      </c>
      <c r="L95" s="117"/>
      <c r="M95" s="128">
        <f>+M96+M101+M102+M103+M104</f>
        <v>0.88809938572917235</v>
      </c>
      <c r="N95" s="127">
        <f>+N96+N101+N102+N103+N104</f>
        <v>0.86211973490832405</v>
      </c>
      <c r="O95" s="127">
        <f>+O96+O101+O102+O103+O104</f>
        <v>0.86033082620204837</v>
      </c>
      <c r="P95" s="117"/>
      <c r="Q95" s="126">
        <f>+Q96+Q101+Q102+Q103+Q104</f>
        <v>0.97321759274848008</v>
      </c>
      <c r="R95" s="127">
        <f>+R96+R101+R102+R103+R104</f>
        <v>0.41457241261851158</v>
      </c>
      <c r="S95" s="127" t="e">
        <f>+S96+S101+S102+S103+S104</f>
        <v>#DIV/0!</v>
      </c>
      <c r="T95" s="117"/>
      <c r="U95" s="126" t="e">
        <f>+U96+U101+U102+U103+U104</f>
        <v>#DIV/0!</v>
      </c>
      <c r="V95" s="127" t="e">
        <f>+V96+V101+V102+V103+V104</f>
        <v>#DIV/0!</v>
      </c>
      <c r="W95" s="127" t="e">
        <f>+W96+W101+W102+W103+W104</f>
        <v>#DIV/0!</v>
      </c>
      <c r="X95" s="117"/>
      <c r="Y95" s="126">
        <f>+Y96+Y101+Y102+Y103+Y104</f>
        <v>-0.16761089804111623</v>
      </c>
      <c r="Z95" s="127">
        <f>+Z96+Z101+Z102+Z103+Z104</f>
        <v>3.0336671758198532</v>
      </c>
      <c r="AA95" s="127" t="e">
        <f>+AA96+AA101+AA102+AA103+AA104</f>
        <v>#DIV/0!</v>
      </c>
      <c r="AB95" s="117"/>
      <c r="AC95" s="129">
        <f>+AC96+AC101+AC102+AC103+AC104</f>
        <v>0.88192335856441229</v>
      </c>
      <c r="AD95" s="130">
        <f>+AD96+AD101+AD102+AD103+AD104</f>
        <v>0.86855151614374926</v>
      </c>
      <c r="AE95" s="130">
        <f>+AE96+AE101+AE102+AE103+AE104</f>
        <v>0.86033082620204837</v>
      </c>
      <c r="AG95" s="212"/>
      <c r="AH95" s="115"/>
      <c r="AI95" s="116" t="s">
        <v>21</v>
      </c>
      <c r="AJ95" s="117"/>
      <c r="AK95" s="126" t="e">
        <f>+AK96+AK101+AK102+AK103+AK104</f>
        <v>#DIV/0!</v>
      </c>
      <c r="AL95" s="127" t="e">
        <f>+AL96+AL101+AL102+AL103+AL104</f>
        <v>#DIV/0!</v>
      </c>
      <c r="AM95" s="127" t="e">
        <f>+AM96+AM101+AM102+AM103+AM104</f>
        <v>#DIV/0!</v>
      </c>
      <c r="AN95" s="117"/>
      <c r="AO95" s="126" t="e">
        <f>+AO96+AO101+AO102+AO103+AO104</f>
        <v>#DIV/0!</v>
      </c>
      <c r="AP95" s="127" t="e">
        <f>+AP96+AP101+AP102+AP103+AP104</f>
        <v>#DIV/0!</v>
      </c>
      <c r="AQ95" s="127" t="e">
        <f>+AQ96+AQ101+AQ102+AQ103+AQ104</f>
        <v>#DIV/0!</v>
      </c>
      <c r="AR95" s="117"/>
      <c r="AS95" s="126">
        <f>+AS96+AS101+AS102+AS103+AS104</f>
        <v>0.93392994304691501</v>
      </c>
      <c r="AT95" s="127">
        <f>+AT96+AT101+AT102+AT103+AT104</f>
        <v>1.2598225682675228</v>
      </c>
      <c r="AU95" s="127">
        <f>+AU96+AU101+AU102+AU103+AU104</f>
        <v>0.95406422701776572</v>
      </c>
      <c r="AV95" s="117"/>
      <c r="AW95" s="131"/>
      <c r="AX95" s="127"/>
      <c r="AY95" s="127"/>
      <c r="AZ95" s="117"/>
      <c r="BA95" s="131"/>
      <c r="BB95" s="127"/>
      <c r="BC95" s="127"/>
      <c r="BD95" s="117"/>
      <c r="BE95" s="131"/>
      <c r="BF95" s="127"/>
      <c r="BG95" s="127"/>
      <c r="BH95" s="117"/>
      <c r="BI95" s="132">
        <f>+BI96+BI101+BI102+BI103+BI104</f>
        <v>0.93421943389676509</v>
      </c>
      <c r="BJ95" s="130">
        <f>+BJ96+BJ101+BJ102+BJ103+BJ104</f>
        <v>1.23562560123273</v>
      </c>
      <c r="BK95" s="130">
        <f>+BK96+BK101+BK102+BK103+BK104</f>
        <v>0.95406422701776572</v>
      </c>
      <c r="BM95" s="133">
        <f>+BM96+BM101+BM102+BM103+BM104</f>
        <v>0.90593181103273257</v>
      </c>
      <c r="BN95" s="130">
        <f>+BN96+BN101+BN102+BN103+BN104</f>
        <v>1.0453065015715324</v>
      </c>
      <c r="BO95" s="130">
        <f>+BO96+BO101+BO102+BO103+BO104</f>
        <v>0.90577877899967796</v>
      </c>
    </row>
    <row r="96" spans="1:67" ht="16.5" hidden="1" customHeight="1" outlineLevel="1" x14ac:dyDescent="0.3">
      <c r="A96" s="214"/>
      <c r="B96" s="115"/>
      <c r="C96" s="116" t="s">
        <v>56</v>
      </c>
      <c r="D96" s="117"/>
      <c r="E96" s="128" t="e">
        <f>+E97+E98+E99+E100</f>
        <v>#DIV/0!</v>
      </c>
      <c r="F96" s="127" t="e">
        <f>+F97+F98+F99+F100</f>
        <v>#DIV/0!</v>
      </c>
      <c r="G96" s="127" t="e">
        <f>+G97+G98+G99+G100</f>
        <v>#DIV/0!</v>
      </c>
      <c r="H96" s="117"/>
      <c r="I96" s="128" t="e">
        <f>+I97+I98+I99+I100</f>
        <v>#DIV/0!</v>
      </c>
      <c r="J96" s="127" t="e">
        <f>+J97+J98+J99+J100</f>
        <v>#DIV/0!</v>
      </c>
      <c r="K96" s="127" t="e">
        <f>+K97+K98+K99+K100</f>
        <v>#DIV/0!</v>
      </c>
      <c r="L96" s="117"/>
      <c r="M96" s="126">
        <f>+M97+M98+M99+M100</f>
        <v>0.59147499399673698</v>
      </c>
      <c r="N96" s="127">
        <f>+N97+N98+N99+N100</f>
        <v>0.6785395541482625</v>
      </c>
      <c r="O96" s="127">
        <f>+O97+O98+O99+O100</f>
        <v>0.64339784065201477</v>
      </c>
      <c r="P96" s="117"/>
      <c r="Q96" s="128">
        <f>+Q97+Q98+Q99+Q100</f>
        <v>6.7343241768972296E-5</v>
      </c>
      <c r="R96" s="127">
        <f>+R97+R98+R99+R100</f>
        <v>2.2141059364532666E-3</v>
      </c>
      <c r="S96" s="127" t="e">
        <f>+S97+S98+S99+S100</f>
        <v>#DIV/0!</v>
      </c>
      <c r="T96" s="117"/>
      <c r="U96" s="128" t="e">
        <f>+U97+U98+U99+U100</f>
        <v>#DIV/0!</v>
      </c>
      <c r="V96" s="127" t="e">
        <f>+V97+V98+V99+V100</f>
        <v>#DIV/0!</v>
      </c>
      <c r="W96" s="127" t="e">
        <f>+W97+W98+W99+W100</f>
        <v>#DIV/0!</v>
      </c>
      <c r="X96" s="117"/>
      <c r="Y96" s="128">
        <f>+Y97+Y98+Y99+Y100</f>
        <v>0.78309194035844398</v>
      </c>
      <c r="Z96" s="127">
        <f>+Z97+Z98+Z99+Z100</f>
        <v>0.76782094008192714</v>
      </c>
      <c r="AA96" s="127" t="e">
        <f>+AA97+AA98+AA99+AA100</f>
        <v>#DIV/0!</v>
      </c>
      <c r="AB96" s="117"/>
      <c r="AC96" s="132">
        <f>+AC97+AC98+AC99+AC100</f>
        <v>0.58873011216345683</v>
      </c>
      <c r="AD96" s="130">
        <f>+AD97+AD98+AD99+AD100</f>
        <v>0.67855931612467502</v>
      </c>
      <c r="AE96" s="130">
        <f>+AE97+AE98+AE99+AE100</f>
        <v>0.64339784065201477</v>
      </c>
      <c r="AG96" s="212"/>
      <c r="AH96" s="115"/>
      <c r="AI96" s="116" t="s">
        <v>56</v>
      </c>
      <c r="AJ96" s="117"/>
      <c r="AK96" s="128" t="e">
        <f>+AK97+AK98+AK99+AK100</f>
        <v>#DIV/0!</v>
      </c>
      <c r="AL96" s="127" t="e">
        <f>+AL97+AL98+AL99+AL100</f>
        <v>#DIV/0!</v>
      </c>
      <c r="AM96" s="127" t="e">
        <f>+AM97+AM98+AM99+AM100</f>
        <v>#DIV/0!</v>
      </c>
      <c r="AN96" s="117"/>
      <c r="AO96" s="128" t="e">
        <f>+AO97+AO98+AO99+AO100</f>
        <v>#DIV/0!</v>
      </c>
      <c r="AP96" s="127" t="e">
        <f>+AP97+AP98+AP99+AP100</f>
        <v>#DIV/0!</v>
      </c>
      <c r="AQ96" s="127" t="e">
        <f>+AQ97+AQ98+AQ99+AQ100</f>
        <v>#DIV/0!</v>
      </c>
      <c r="AR96" s="117"/>
      <c r="AS96" s="128">
        <f>+AS97+AS98+AS99+AS100</f>
        <v>0.5826812219528601</v>
      </c>
      <c r="AT96" s="127">
        <f>+AT97+AT98+AT99+AT100</f>
        <v>0.64283868562992397</v>
      </c>
      <c r="AU96" s="127">
        <f>+AU97+AU98+AU99+AU100</f>
        <v>0.54670626165498659</v>
      </c>
      <c r="AV96" s="117"/>
      <c r="AW96" s="131"/>
      <c r="AX96" s="127"/>
      <c r="AY96" s="127"/>
      <c r="AZ96" s="117"/>
      <c r="BA96" s="131"/>
      <c r="BB96" s="127"/>
      <c r="BC96" s="127"/>
      <c r="BD96" s="117"/>
      <c r="BE96" s="131"/>
      <c r="BF96" s="127"/>
      <c r="BG96" s="127"/>
      <c r="BH96" s="117"/>
      <c r="BI96" s="129">
        <f>+BI97+BI98+BI99+BI100</f>
        <v>0.58300437409681982</v>
      </c>
      <c r="BJ96" s="130">
        <f>+BJ97+BJ98+BJ99+BJ100</f>
        <v>0.61863020401184388</v>
      </c>
      <c r="BK96" s="130">
        <f>+BK97+BK98+BK99+BK100</f>
        <v>0.54670626165498659</v>
      </c>
      <c r="BM96" s="132">
        <f>+BM97+BM98+BM99+BM100</f>
        <v>0.58610149979923465</v>
      </c>
      <c r="BN96" s="130">
        <f>+BN97+BN98+BN99+BN100</f>
        <v>0.649702009742952</v>
      </c>
      <c r="BO96" s="130">
        <f>+BO97+BO98+BO99+BO100</f>
        <v>0.59651557371256203</v>
      </c>
    </row>
    <row r="97" spans="1:67" ht="16.5" hidden="1" customHeight="1" outlineLevel="1" x14ac:dyDescent="0.3">
      <c r="A97" s="214"/>
      <c r="B97" s="115"/>
      <c r="C97" s="38" t="s">
        <v>23</v>
      </c>
      <c r="D97" s="117"/>
      <c r="E97" s="73" t="e">
        <f>-SUM([1]Retail!$O$37,[1]Retail!$R$37:$V$37,[1]Retail!$Y$37,[1]Retail!$AB$37,[1]Retail!$AU$37,[1]Retail!$AX$37,[1]Retail!$BA$37,[1]Retail!$BD$37)/1000/E94</f>
        <v>#DIV/0!</v>
      </c>
      <c r="F97" s="42" t="e">
        <f>-SUM([1]Retail!$O$38,[1]Retail!$R$38:$V$38,[1]Retail!$Y$38,[1]Retail!$AB$38,[1]Retail!$AU$38,[1]Retail!$AX$38,[1]Retail!$BA$38,[1]Retail!$BD$38)/1000/F94</f>
        <v>#DIV/0!</v>
      </c>
      <c r="G97" s="42" t="e">
        <f>-SUM([1]Retail!$O$39,[1]Retail!$R$39:$V$39,[1]Retail!$Y$39,[1]Retail!$AB$39,[1]Retail!$AU$39,[1]Retail!$AX$39,[1]Retail!$BA$39,[1]Retail!$BD$39)/1000/G94</f>
        <v>#DIV/0!</v>
      </c>
      <c r="H97" s="117"/>
      <c r="I97" s="73" t="e">
        <f>-SUM([1]SME!$O$37,[1]SME!$R$37:$V$37,[1]SME!$Y$37,[1]SME!$AB$37,[1]SME!$AU$37,[1]SME!$AX$37,[1]SME!$BA$37,[1]SME!$BD$37)/1000/I94</f>
        <v>#DIV/0!</v>
      </c>
      <c r="J97" s="42" t="e">
        <f>-SUM([1]SME!$O$38,[1]SME!$R$38:$V$38,[1]SME!$Y$38,[1]SME!$AB$38,[1]SME!$AU$38,[1]SME!$AX$38,[1]SME!$BA$38,[1]SME!$BD$38)/1000/J94</f>
        <v>#DIV/0!</v>
      </c>
      <c r="K97" s="42" t="e">
        <f>-SUM([1]SME!$O$39,[1]SME!$R$39:$V$39,[1]SME!$Y$39,[1]SME!$AB$39,[1]SME!$AU$39,[1]SME!$AX$39,[1]SME!$BA$39,[1]SME!$BD$39)/1000/K94</f>
        <v>#DIV/0!</v>
      </c>
      <c r="L97" s="117"/>
      <c r="M97" s="74">
        <f>-SUM([1]MidCorp!$O$37,[1]MidCorp!$R$37:$V$37,[1]MidCorp!$Y$37,[1]MidCorp!$AB$37,[1]MidCorp!$AU$37,[1]MidCorp!$AX$37,[1]MidCorp!$BA$37,[1]MidCorp!$BD$37)/1000/M94</f>
        <v>0.35829686632459506</v>
      </c>
      <c r="N97" s="42">
        <f>-SUM([1]MidCorp!$O$38,[1]MidCorp!$R$38:$V$38,[1]MidCorp!$Y$38,[1]MidCorp!$AB$38,[1]MidCorp!$AU$38,[1]MidCorp!$AX$38,[1]MidCorp!$BA$38,[1]MidCorp!$BD$38)/1000/N94</f>
        <v>0.6070405302517573</v>
      </c>
      <c r="O97" s="42">
        <f>-SUM([1]MidCorp!$O$39,[1]MidCorp!$R$39:$V$39,[1]MidCorp!$Y$39,[1]MidCorp!$AB$39,[1]MidCorp!$AU$39,[1]MidCorp!$AX$39,[1]MidCorp!$BA$39,[1]MidCorp!$BD$39)/1000/O94</f>
        <v>0.39808796439832789</v>
      </c>
      <c r="P97" s="117"/>
      <c r="Q97" s="73">
        <f>-SUM([1]MGA!$O$37,[1]MGA!$R$37:$V$37,[1]MGA!$Y$37,[1]MGA!$AB$37,[1]MGA!$AU$37,[1]MGA!$AX$37,[1]MGA!$BA$37,[1]MGA!$BD$37)/1000/Q94</f>
        <v>6.7343241768972296E-5</v>
      </c>
      <c r="R97" s="42">
        <f>-SUM([1]MGA!$O$38,[1]MGA!$R$38:$V$38,[1]MGA!$Y$38,[1]MGA!$AB$38,[1]MGA!$AU$38,[1]MGA!$AX$38,[1]MGA!$BA$38,[1]MGA!$BD$38)/1000/R94</f>
        <v>2.2141059364532666E-3</v>
      </c>
      <c r="S97" s="42" t="e">
        <f>-SUM([1]MGA!$O$39,[1]MGA!$R$39:$V$39,[1]MGA!$Y$39,[1]MGA!$AB$39,[1]MGA!$AU$39,[1]MGA!$AX$39,[1]MGA!$BA$39,[1]MGA!$BD$39)/1000/S94</f>
        <v>#DIV/0!</v>
      </c>
      <c r="T97" s="117"/>
      <c r="U97" s="73" t="e">
        <f>-SUM([1]Bancassurance!$O$37,[1]Bancassurance!$R$37:$V$37,[1]Bancassurance!$Y$37,[1]Bancassurance!$AB$37,[1]Bancassurance!$AU$37,[1]Bancassurance!$AX$37,[1]Bancassurance!$BA$37,[1]Bancassurance!$BD$37)/1000/U94</f>
        <v>#DIV/0!</v>
      </c>
      <c r="V97" s="42" t="e">
        <f>-SUM([1]Bancassurance!$O$38,[1]Bancassurance!$R$38:$V$38,[1]Bancassurance!$Y$38,[1]Bancassurance!$AB$38,[1]Bancassurance!$AU$38,[1]Bancassurance!$AX$38,[1]Bancassurance!$BA$38,[1]Bancassurance!$BD$38)/1000/V94</f>
        <v>#DIV/0!</v>
      </c>
      <c r="W97" s="42" t="e">
        <f>-SUM([1]Bancassurance!$O$39,[1]Bancassurance!$R$39:$V$39,[1]Bancassurance!$Y$39,[1]Bancassurance!$AB$39,[1]Bancassurance!$AU$39,[1]Bancassurance!$AX$39,[1]Bancassurance!$BA$39,[1]Bancassurance!$BD$39)/1000/W94</f>
        <v>#DIV/0!</v>
      </c>
      <c r="X97" s="117"/>
      <c r="Y97" s="73">
        <f>-SUM([1]Specials!$O$37,[1]Specials!$R$37:$V$37,[1]Specials!$Y$37,[1]Specials!$AB$37,[1]Specials!$AU$37,[1]Specials!$AX$37,[1]Specials!$BA$37,[1]Specials!$BD$37)/1000/Y94</f>
        <v>5.5460678299538657E-2</v>
      </c>
      <c r="Z97" s="42">
        <f>-SUM([1]Specials!$O$38,[1]Specials!$R$38:$V$38,[1]Specials!$Y$38,[1]Specials!$AB$38,[1]Specials!$AU$38,[1]Specials!$AX$38,[1]Specials!$BA$38,[1]Specials!$BD$38)/1000/Z94</f>
        <v>4.2236571084727716E-4</v>
      </c>
      <c r="AA97" s="42" t="e">
        <f>-SUM([1]Specials!$O$39,[1]Specials!$R$39:$V$39,[1]Specials!$Y$39,[1]Specials!$AB$39,[1]Specials!$AU$39,[1]Specials!$AX$39,[1]Specials!$BA$39,[1]Specials!$BD$39)/1000/AA94</f>
        <v>#DIV/0!</v>
      </c>
      <c r="AB97" s="117"/>
      <c r="AC97" s="85">
        <f>-SUM('[1]Total P&amp;C'!$O$37,'[1]Total P&amp;C'!$R$37:$V$37,'[1]Total P&amp;C'!$Y$37,'[1]Total P&amp;C'!$AB$37,'[1]Total P&amp;C'!$AU$37,'[1]Total P&amp;C'!$AX$37,'[1]Total P&amp;C'!$BA$37,'[1]Total P&amp;C'!$BD$37)/1000/AC94</f>
        <v>0.35418363726111884</v>
      </c>
      <c r="AD97" s="60">
        <f>-SUM('[1]Total P&amp;C'!$O$38,'[1]Total P&amp;C'!$R$38:$V$38,'[1]Total P&amp;C'!$Y$38,'[1]Total P&amp;C'!$AB$38,'[1]Total P&amp;C'!$AU$38,'[1]Total P&amp;C'!$AX$38,'[1]Total P&amp;C'!$BA$38,'[1]Total P&amp;C'!$BD$38)/1000/AD94</f>
        <v>0.6049948062330186</v>
      </c>
      <c r="AE97" s="60">
        <f>-SUM('[1]Total P&amp;C'!$O$39,'[1]Total P&amp;C'!$R$39:$V$39,'[1]Total P&amp;C'!$Y$39,'[1]Total P&amp;C'!$AB$39,'[1]Total P&amp;C'!$AU$39,'[1]Total P&amp;C'!$AX$39,'[1]Total P&amp;C'!$BA$39,'[1]Total P&amp;C'!$BD$39)/1000/AE94</f>
        <v>0.39808796439832789</v>
      </c>
      <c r="AG97" s="212"/>
      <c r="AH97" s="115"/>
      <c r="AI97" s="38" t="s">
        <v>23</v>
      </c>
      <c r="AJ97" s="117"/>
      <c r="AK97" s="73" t="e">
        <f>-SUM([2]Retail!$O$37,[2]Retail!$R$37:$V$37,[2]Retail!$Y$37,[2]Retail!$AB$37,[2]Retail!$AU$37,[2]Retail!$AX$37,[2]Retail!$BA$37,[2]Retail!$BD$37)/1000/AK94</f>
        <v>#DIV/0!</v>
      </c>
      <c r="AL97" s="42" t="e">
        <f>-SUM([2]Retail!$O$38,[2]Retail!$R$38:$V$38,[2]Retail!$Y$38,[2]Retail!$AB$38,[2]Retail!$AU$38,[2]Retail!$AX$38,[2]Retail!$BA$38,[2]Retail!$BD$38)/1000/AL94</f>
        <v>#DIV/0!</v>
      </c>
      <c r="AM97" s="42" t="e">
        <f>-SUM([2]Retail!$O$39,[2]Retail!$R$39:$V$39,[2]Retail!$Y$39,[2]Retail!$AB$39,[2]Retail!$AU$39,[2]Retail!$AX$39,[2]Retail!$BA$39,[2]Retail!$BD$39)/1000/AM94</f>
        <v>#DIV/0!</v>
      </c>
      <c r="AN97" s="117"/>
      <c r="AO97" s="73" t="e">
        <f>-SUM([2]SME!$O$37,[2]SME!$R$37:$V$37,[2]SME!$Y$37,[2]SME!$AB$37,[2]SME!$AU$37,[2]SME!$AX$37,[2]SME!$BA$37,[2]SME!$BD$37)/1000/AO94</f>
        <v>#DIV/0!</v>
      </c>
      <c r="AP97" s="42" t="e">
        <f>-SUM([2]SME!$O$38,[2]SME!$R$38:$V$38,[2]SME!$Y$38,[2]SME!$AB$38,[2]SME!$AU$38,[2]SME!$AX$38,[2]SME!$BA$38,[2]SME!$BD$38)/1000/AP94</f>
        <v>#DIV/0!</v>
      </c>
      <c r="AQ97" s="42" t="e">
        <f>-SUM([2]SME!$O$39,[2]SME!$R$39:$V$39,[2]SME!$Y$39,[2]SME!$AB$39,[2]SME!$AU$39,[2]SME!$AX$39,[2]SME!$BA$39,[2]SME!$BD$39)/1000/AQ94</f>
        <v>#DIV/0!</v>
      </c>
      <c r="AR97" s="117"/>
      <c r="AS97" s="73">
        <f>-SUM([2]MidCorp!$O$37,[2]MidCorp!$R$37:$V$37,[2]MidCorp!$Y$37,[2]MidCorp!$AB$37,[2]MidCorp!$AU$37,[2]MidCorp!$AX$37,[2]MidCorp!$BA$37,[2]MidCorp!$BD$37)/1000/AS94</f>
        <v>0.38480930291837101</v>
      </c>
      <c r="AT97" s="42">
        <f>-SUM([2]MidCorp!$O$38,[2]MidCorp!$R$38:$V$38,[2]MidCorp!$Y$38,[2]MidCorp!$AB$38,[2]MidCorp!$AU$38,[2]MidCorp!$AX$38,[2]MidCorp!$BA$38,[2]MidCorp!$BD$38)/1000/AT94</f>
        <v>0.46156785363693847</v>
      </c>
      <c r="AU97" s="42">
        <f>-SUM([2]MidCorp!$O$39,[2]MidCorp!$R$39:$V$39,[2]MidCorp!$Y$39,[2]MidCorp!$AB$39,[2]MidCorp!$AU$39,[2]MidCorp!$AX$39,[2]MidCorp!$BA$39,[2]MidCorp!$BD$39)/1000/AU94</f>
        <v>0.3748094513544995</v>
      </c>
      <c r="AV97" s="117"/>
      <c r="AW97" s="97"/>
      <c r="AX97" s="42"/>
      <c r="AY97" s="42"/>
      <c r="AZ97" s="117"/>
      <c r="BA97" s="97"/>
      <c r="BB97" s="42"/>
      <c r="BC97" s="42"/>
      <c r="BD97" s="117"/>
      <c r="BE97" s="97"/>
      <c r="BF97" s="42"/>
      <c r="BG97" s="42"/>
      <c r="BH97" s="117"/>
      <c r="BI97" s="84">
        <f>-SUM('[2]Total P&amp;C'!$O$37,'[2]Total P&amp;C'!$R$37:$V$37,'[2]Total P&amp;C'!$Y$37,'[2]Total P&amp;C'!$AB$37,'[2]Total P&amp;C'!$AU$37,'[2]Total P&amp;C'!$AX$37,'[2]Total P&amp;C'!$BA$37,'[2]Total P&amp;C'!$BD$37)/1000/BI94</f>
        <v>0.38480931594014822</v>
      </c>
      <c r="BJ97" s="60">
        <f>-SUM('[2]Total P&amp;C'!$O$38,'[2]Total P&amp;C'!$R$38:$V$38,'[2]Total P&amp;C'!$Y$38,'[2]Total P&amp;C'!$AB$38,'[2]Total P&amp;C'!$AU$38,'[2]Total P&amp;C'!$AX$38,'[2]Total P&amp;C'!$BA$38,'[2]Total P&amp;C'!$BD$38)/1000/BJ94</f>
        <v>0.46156785363693847</v>
      </c>
      <c r="BK97" s="60">
        <f>-SUM('[2]Total P&amp;C'!$O$39,'[2]Total P&amp;C'!$R$39:$V$39,'[2]Total P&amp;C'!$Y$39,'[2]Total P&amp;C'!$AB$39,'[2]Total P&amp;C'!$AU$39,'[2]Total P&amp;C'!$AX$39,'[2]Total P&amp;C'!$BA$39,'[2]Total P&amp;C'!$BD$39)/1000/BK94</f>
        <v>0.3748094513544995</v>
      </c>
      <c r="BM97" s="85">
        <f>-SUM('[3]Total P&amp;C'!$O$37,'[3]Total P&amp;C'!$R$37:$V$37,'[3]Total P&amp;C'!$Y$37,'[3]Total P&amp;C'!$AB$37,'[3]Total P&amp;C'!$AU$37,'[3]Total P&amp;C'!$AX$37,'[3]Total P&amp;C'!$BA$37,'[3]Total P&amp;C'!$BD$37)/1000/BM94</f>
        <v>0.36824349062875095</v>
      </c>
      <c r="BN97" s="60">
        <f>-SUM('[3]Total P&amp;C'!$O$38,'[3]Total P&amp;C'!$R$38:$V$38,'[3]Total P&amp;C'!$Y$38,'[3]Total P&amp;C'!$AB$38,'[3]Total P&amp;C'!$AU$38,'[3]Total P&amp;C'!$AX$38,'[3]Total P&amp;C'!$BA$38,'[3]Total P&amp;C'!$BD$38)/1000/BN94</f>
        <v>0.53593128487349229</v>
      </c>
      <c r="BO97" s="60">
        <f>-SUM('[3]Total P&amp;C'!$O$39,'[3]Total P&amp;C'!$R$39:$V$39,'[3]Total P&amp;C'!$Y$39,'[3]Total P&amp;C'!$AB$39,'[3]Total P&amp;C'!$AU$39,'[3]Total P&amp;C'!$AX$39,'[3]Total P&amp;C'!$BA$39,'[3]Total P&amp;C'!$BD$39)/1000/BO94</f>
        <v>0.38680105116560648</v>
      </c>
    </row>
    <row r="98" spans="1:67" ht="16.5" hidden="1" customHeight="1" outlineLevel="1" x14ac:dyDescent="0.3">
      <c r="A98" s="214"/>
      <c r="B98" s="115"/>
      <c r="C98" s="38" t="s">
        <v>24</v>
      </c>
      <c r="D98" s="134"/>
      <c r="E98" s="74" t="e">
        <f>-([1]Retail!$P$37+[1]Retail!$W$37+[1]Retail!$AV$37+[1]Retail!$AY$37)/1000/E94</f>
        <v>#DIV/0!</v>
      </c>
      <c r="F98" s="42" t="e">
        <f>-([1]Retail!$P$38+[1]Retail!$W$38+[1]Retail!$AV$38+[1]Retail!$AY$38)/1000/F94</f>
        <v>#DIV/0!</v>
      </c>
      <c r="G98" s="42" t="e">
        <f>-([1]Retail!$P$39+[1]Retail!$W$39+[1]Retail!$AV$39+[1]Retail!$AY$39)/1000/G94</f>
        <v>#DIV/0!</v>
      </c>
      <c r="H98" s="134"/>
      <c r="I98" s="74" t="e">
        <f>-([1]SME!$P$37+[1]SME!$W$37+[1]SME!$AV$37+[1]SME!$AY$37)/1000/I94</f>
        <v>#DIV/0!</v>
      </c>
      <c r="J98" s="42" t="e">
        <f>-([1]SME!$P$38+[1]SME!$W$38+[1]SME!$AV$38+[1]SME!$AY$38)/1000/J94</f>
        <v>#DIV/0!</v>
      </c>
      <c r="K98" s="42" t="e">
        <f>-([1]SME!$P$39+[1]SME!$W$39+[1]SME!$AV$39+[1]SME!$AY$39)/1000/K94</f>
        <v>#DIV/0!</v>
      </c>
      <c r="L98" s="134"/>
      <c r="M98" s="74">
        <f>-([1]MidCorp!$P$37+[1]MidCorp!$W$37+[1]MidCorp!$AV$37+[1]MidCorp!$AY$37)/1000/M94</f>
        <v>1.1878319615175514E-3</v>
      </c>
      <c r="N98" s="42">
        <f>-([1]MidCorp!$P$38+[1]MidCorp!$W$38+[1]MidCorp!$AV$38+[1]MidCorp!$AY$38)/1000/N94</f>
        <v>0</v>
      </c>
      <c r="O98" s="42">
        <f>-([1]MidCorp!$P$39+[1]MidCorp!$W$39+[1]MidCorp!$AV$39+[1]MidCorp!$AY$39)/1000/O94</f>
        <v>1.3837331095974818E-2</v>
      </c>
      <c r="P98" s="134"/>
      <c r="Q98" s="74">
        <f>-([1]MGA!$P$37+[1]MGA!$W$37+[1]MGA!$AV$37+[1]MGA!$AY$37)/1000/Q94</f>
        <v>0</v>
      </c>
      <c r="R98" s="42">
        <f>-([1]MGA!$P$38+[1]MGA!$W$38+[1]MGA!$AV$38+[1]MGA!$AY$38)/1000/R94</f>
        <v>0</v>
      </c>
      <c r="S98" s="42" t="e">
        <f>-([1]MGA!$P$39+[1]MGA!$W$39+[1]MGA!$AV$39+[1]MGA!$AY$39)/1000/S94</f>
        <v>#DIV/0!</v>
      </c>
      <c r="T98" s="134"/>
      <c r="U98" s="74" t="e">
        <f>-([1]Bancassurance!$P$37+[1]Bancassurance!$W$37+[1]Bancassurance!$AV$37+[1]Bancassurance!$AY$37)/1000/U94</f>
        <v>#DIV/0!</v>
      </c>
      <c r="V98" s="42" t="e">
        <f>-([1]Bancassurance!$P$38+[1]Bancassurance!$W$38+[1]Bancassurance!$AV$38+[1]Bancassurance!$AY$38)/1000/V94</f>
        <v>#DIV/0!</v>
      </c>
      <c r="W98" s="42" t="e">
        <f>-([1]Bancassurance!$P$39+[1]Bancassurance!$W$39+[1]Bancassurance!$AV$39+[1]Bancassurance!$AY$39)/1000/W94</f>
        <v>#DIV/0!</v>
      </c>
      <c r="X98" s="134"/>
      <c r="Y98" s="74">
        <f>-([1]Specials!$P$37+[1]Specials!$W$37+[1]Specials!$AV$37+[1]Specials!$AY$37)/1000/Y94</f>
        <v>0</v>
      </c>
      <c r="Z98" s="42">
        <f>-([1]Specials!$P$38+[1]Specials!$W$38+[1]Specials!$AV$38+[1]Specials!$AY$38)/1000/Z94</f>
        <v>0</v>
      </c>
      <c r="AA98" s="42" t="e">
        <f>-([1]Specials!$P$39+[1]Specials!$W$39+[1]Specials!$AV$39+[1]Specials!$AY$39)/1000/AA94</f>
        <v>#DIV/0!</v>
      </c>
      <c r="AB98" s="134"/>
      <c r="AC98" s="85">
        <f>-('[1]Total P&amp;C'!$P$37+'[1]Total P&amp;C'!$W$37+'[1]Total P&amp;C'!$AV$37+'[1]Total P&amp;C'!$AY$37)/1000/AC94</f>
        <v>1.1841349467215138E-3</v>
      </c>
      <c r="AD98" s="60">
        <f>-('[1]Total P&amp;C'!$P$38+'[1]Total P&amp;C'!$W$38+'[1]Total P&amp;C'!$AV$38+'[1]Total P&amp;C'!$AY$38)/1000/AD94</f>
        <v>0</v>
      </c>
      <c r="AE98" s="60">
        <f>-('[1]Total P&amp;C'!$P$39+'[1]Total P&amp;C'!$W$39+'[1]Total P&amp;C'!$AV$39+'[1]Total P&amp;C'!$AY$39)/1000/AE94</f>
        <v>1.3837331095974818E-2</v>
      </c>
      <c r="AG98" s="212"/>
      <c r="AH98" s="115"/>
      <c r="AI98" s="38" t="s">
        <v>24</v>
      </c>
      <c r="AJ98" s="134"/>
      <c r="AK98" s="74" t="e">
        <f>-([2]Retail!$P$37+[2]Retail!$W$37+[2]Retail!$AV$37+[2]Retail!$AY$37)/1000/AK94</f>
        <v>#DIV/0!</v>
      </c>
      <c r="AL98" s="42" t="e">
        <f>-([2]Retail!$P$38+[2]Retail!$W$38+[2]Retail!$AV$38+[2]Retail!$AY$38)/1000/AL94</f>
        <v>#DIV/0!</v>
      </c>
      <c r="AM98" s="42" t="e">
        <f>-([2]Retail!$P$39+[2]Retail!$W$39+[2]Retail!$AV$39+[2]Retail!$AY$39)/1000/AM94</f>
        <v>#DIV/0!</v>
      </c>
      <c r="AN98" s="134"/>
      <c r="AO98" s="74" t="e">
        <f>-([2]SME!$P$37+[2]SME!$W$37+[2]SME!$AV$37+[2]SME!$AY$37)/1000/AO94</f>
        <v>#DIV/0!</v>
      </c>
      <c r="AP98" s="42" t="e">
        <f>-([2]SME!$P$38+[2]SME!$W$38+[2]SME!$AV$38+[2]SME!$AY$38)/1000/AP94</f>
        <v>#DIV/0!</v>
      </c>
      <c r="AQ98" s="42" t="e">
        <f>-([2]SME!$P$39+[2]SME!$W$39+[2]SME!$AV$39+[2]SME!$AY$39)/1000/AQ94</f>
        <v>#DIV/0!</v>
      </c>
      <c r="AR98" s="134"/>
      <c r="AS98" s="74">
        <f>-([2]MidCorp!$P$37+[2]MidCorp!$W$37+[2]MidCorp!$AV$37+[2]MidCorp!$AY$37)/1000/AS94</f>
        <v>4.6506347208590101E-4</v>
      </c>
      <c r="AT98" s="42">
        <f>-([2]MidCorp!$P$38+[2]MidCorp!$W$38+[2]MidCorp!$AV$38+[2]MidCorp!$AY$38)/1000/AT94</f>
        <v>0</v>
      </c>
      <c r="AU98" s="42">
        <f>-([2]MidCorp!$P$39+[2]MidCorp!$W$39+[2]MidCorp!$AV$39+[2]MidCorp!$AY$39)/1000/AU94</f>
        <v>1.3721890921104684E-2</v>
      </c>
      <c r="AV98" s="134"/>
      <c r="AW98" s="97"/>
      <c r="AX98" s="42"/>
      <c r="AY98" s="42"/>
      <c r="AZ98" s="134"/>
      <c r="BA98" s="97"/>
      <c r="BB98" s="42"/>
      <c r="BC98" s="42"/>
      <c r="BD98" s="134"/>
      <c r="BE98" s="97"/>
      <c r="BF98" s="42"/>
      <c r="BG98" s="42"/>
      <c r="BH98" s="134"/>
      <c r="BI98" s="85">
        <f>-('[2]Total P&amp;C'!$P$37+'[2]Total P&amp;C'!$W$37+'[2]Total P&amp;C'!$AV$37+'[2]Total P&amp;C'!$AY$37)/1000/BI94</f>
        <v>4.6506347208590101E-4</v>
      </c>
      <c r="BJ98" s="60">
        <f>-('[2]Total P&amp;C'!$P$38+'[2]Total P&amp;C'!$W$38+'[2]Total P&amp;C'!$AV$38+'[2]Total P&amp;C'!$AY$38)/1000/BJ94</f>
        <v>0</v>
      </c>
      <c r="BK98" s="60">
        <f>-('[2]Total P&amp;C'!$P$39+'[2]Total P&amp;C'!$W$39+'[2]Total P&amp;C'!$AV$39+'[2]Total P&amp;C'!$AY$39)/1000/BK94</f>
        <v>1.3721890921104684E-2</v>
      </c>
      <c r="BM98" s="85">
        <f>-('[3]Total P&amp;C'!$P$37+'[3]Total P&amp;C'!$W$37+'[3]Total P&amp;C'!$AV$37+'[3]Total P&amp;C'!$AY$37)/1000/BM94</f>
        <v>8.5401852382746156E-4</v>
      </c>
      <c r="BN98" s="60">
        <f>-('[3]Total P&amp;C'!$P$38+'[3]Total P&amp;C'!$W$38+'[3]Total P&amp;C'!$AV$38+'[3]Total P&amp;C'!$AY$38)/1000/BN94</f>
        <v>0</v>
      </c>
      <c r="BO98" s="60">
        <f>-('[3]Total P&amp;C'!$P$39+'[3]Total P&amp;C'!$W$39+'[3]Total P&amp;C'!$AV$39+'[3]Total P&amp;C'!$AY$39)/1000/BO94</f>
        <v>1.3781358309617023E-2</v>
      </c>
    </row>
    <row r="99" spans="1:67" ht="16.5" hidden="1" customHeight="1" outlineLevel="1" x14ac:dyDescent="0.3">
      <c r="A99" s="214"/>
      <c r="B99" s="115"/>
      <c r="C99" s="38" t="s">
        <v>25</v>
      </c>
      <c r="D99" s="134"/>
      <c r="E99" s="97" t="e">
        <f>-([1]Retail!$Q$37+[1]Retail!$X$37+[1]Retail!$AW$37+[1]Retail!$AZ$37)/1000/E94</f>
        <v>#DIV/0!</v>
      </c>
      <c r="F99" s="42" t="e">
        <f>-([1]Retail!$Q$38+[1]Retail!$X$38+[1]Retail!$AW$38+[1]Retail!$AZ$38)/1000/F94</f>
        <v>#DIV/0!</v>
      </c>
      <c r="G99" s="42" t="e">
        <f>-([1]Retail!$Q$39+[1]Retail!$X$39+[1]Retail!$AW$39+[1]Retail!$AZ$39)/1000/G94</f>
        <v>#DIV/0!</v>
      </c>
      <c r="H99" s="134"/>
      <c r="I99" s="74" t="e">
        <f>-([1]SME!$Q$37+[1]SME!$X$37+[1]SME!$AW$37+[1]SME!$AZ$37)/1000/I94</f>
        <v>#DIV/0!</v>
      </c>
      <c r="J99" s="42" t="e">
        <f>-([1]SME!$Q$38+[1]SME!$X$38+[1]SME!$AW$38+[1]SME!$AZ$38)/1000/J94</f>
        <v>#DIV/0!</v>
      </c>
      <c r="K99" s="42" t="e">
        <f>-([1]SME!$Q$39+[1]SME!$X$39+[1]SME!$AW$39+[1]SME!$AZ$39)/1000/K94</f>
        <v>#DIV/0!</v>
      </c>
      <c r="L99" s="134"/>
      <c r="M99" s="73">
        <f>-([1]MidCorp!$Q$37+[1]MidCorp!$X$37+[1]MidCorp!$AW$37+[1]MidCorp!$AZ$37)/1000/M94</f>
        <v>0.1662964746124572</v>
      </c>
      <c r="N99" s="42">
        <f>-([1]MidCorp!$Q$38+[1]MidCorp!$X$38+[1]MidCorp!$AW$38+[1]MidCorp!$AZ$38)/1000/N94</f>
        <v>0</v>
      </c>
      <c r="O99" s="42">
        <f>-([1]MidCorp!$Q$39+[1]MidCorp!$X$39+[1]MidCorp!$AW$39+[1]MidCorp!$AZ$39)/1000/O94</f>
        <v>0.15749419281368876</v>
      </c>
      <c r="P99" s="134"/>
      <c r="Q99" s="97">
        <f>-([1]MGA!$Q$37+[1]MGA!$X$37+[1]MGA!$AW$37+[1]MGA!$AZ$37)/1000/Q94</f>
        <v>0</v>
      </c>
      <c r="R99" s="42">
        <f>-([1]MGA!$Q$38+[1]MGA!$X$38+[1]MGA!$AW$38+[1]MGA!$AZ$38)/1000/R94</f>
        <v>0</v>
      </c>
      <c r="S99" s="42" t="e">
        <f>-([1]MGA!$Q$39+[1]MGA!$X$39+[1]MGA!$AW$39+[1]MGA!$AZ$39)/1000/S94</f>
        <v>#DIV/0!</v>
      </c>
      <c r="T99" s="134"/>
      <c r="U99" s="97" t="e">
        <f>-([1]Bancassurance!$Q$37+[1]Bancassurance!$X$37+[1]Bancassurance!$AW$37+[1]Bancassurance!$AZ$37)/1000/U94</f>
        <v>#DIV/0!</v>
      </c>
      <c r="V99" s="42" t="e">
        <f>-([1]Bancassurance!$Q$38+[1]Bancassurance!$X$38+[1]Bancassurance!$AW$38+[1]Bancassurance!$AZ$38)/1000/V94</f>
        <v>#DIV/0!</v>
      </c>
      <c r="W99" s="42" t="e">
        <f>-([1]Bancassurance!$Q$39+[1]Bancassurance!$X$39+[1]Bancassurance!$AW$39+[1]Bancassurance!$AZ$39)/1000/W94</f>
        <v>#DIV/0!</v>
      </c>
      <c r="X99" s="134"/>
      <c r="Y99" s="97">
        <f>-([1]Specials!$Q$37+[1]Specials!$X$37+[1]Specials!$AW$37+[1]Specials!$AZ$37)/1000/Y94</f>
        <v>0</v>
      </c>
      <c r="Z99" s="42">
        <f>-([1]Specials!$Q$38+[1]Specials!$X$38+[1]Specials!$AW$38+[1]Specials!$AZ$38)/1000/Z94</f>
        <v>0</v>
      </c>
      <c r="AA99" s="42" t="e">
        <f>-([1]Specials!$Q$39+[1]Specials!$X$39+[1]Specials!$AW$39+[1]Specials!$AZ$39)/1000/AA94</f>
        <v>#DIV/0!</v>
      </c>
      <c r="AB99" s="134"/>
      <c r="AC99" s="84">
        <f>-('[1]Total P&amp;C'!$Q$37+'[1]Total P&amp;C'!$X$37+'[1]Total P&amp;C'!$AW$37+'[1]Total P&amp;C'!$AZ$37)/1000/AC94</f>
        <v>0.16577889254101194</v>
      </c>
      <c r="AD99" s="60">
        <f>-('[1]Total P&amp;C'!$Q$38+'[1]Total P&amp;C'!$X$38+'[1]Total P&amp;C'!$AW$38+'[1]Total P&amp;C'!$AZ$38)/1000/AD94</f>
        <v>0</v>
      </c>
      <c r="AE99" s="60">
        <f>-('[1]Total P&amp;C'!$Q$39+'[1]Total P&amp;C'!$X$39+'[1]Total P&amp;C'!$AW$39+'[1]Total P&amp;C'!$AZ$39)/1000/AE94</f>
        <v>0.15749419281368876</v>
      </c>
      <c r="AG99" s="212"/>
      <c r="AH99" s="115"/>
      <c r="AI99" s="38" t="s">
        <v>25</v>
      </c>
      <c r="AJ99" s="134"/>
      <c r="AK99" s="97" t="e">
        <f>-([2]Retail!$Q$37+[2]Retail!$X$37+[2]Retail!$AW$37+[2]Retail!$AZ$37)/1000/AK94</f>
        <v>#DIV/0!</v>
      </c>
      <c r="AL99" s="42" t="e">
        <f>-([2]Retail!$Q$38+[2]Retail!$X$38+[2]Retail!$AW$38+[2]Retail!$AZ$38)/1000/AL94</f>
        <v>#DIV/0!</v>
      </c>
      <c r="AM99" s="42" t="e">
        <f>-([2]Retail!$Q$39+[2]Retail!$X$39+[2]Retail!$AW$39+[2]Retail!$AZ$39)/1000/AM94</f>
        <v>#DIV/0!</v>
      </c>
      <c r="AN99" s="134"/>
      <c r="AO99" s="74" t="e">
        <f>-([2]SME!$Q$37+[2]SME!$X$37+[2]SME!$AW$37+[2]SME!$AZ$37)/1000/AO94</f>
        <v>#DIV/0!</v>
      </c>
      <c r="AP99" s="42" t="e">
        <f>-([2]SME!$Q$38+[2]SME!$X$38+[2]SME!$AW$38+[2]SME!$AZ$38)/1000/AP94</f>
        <v>#DIV/0!</v>
      </c>
      <c r="AQ99" s="42" t="e">
        <f>-([2]SME!$Q$39+[2]SME!$X$39+[2]SME!$AW$39+[2]SME!$AZ$39)/1000/AQ94</f>
        <v>#DIV/0!</v>
      </c>
      <c r="AR99" s="134"/>
      <c r="AS99" s="73">
        <f>-([2]MidCorp!$Q$37+[2]MidCorp!$X$37+[2]MidCorp!$AW$37+[2]MidCorp!$AZ$37)/1000/AS94</f>
        <v>5.952812442699533E-2</v>
      </c>
      <c r="AT99" s="42">
        <f>-([2]MidCorp!$Q$38+[2]MidCorp!$X$38+[2]MidCorp!$AW$38+[2]MidCorp!$AZ$38)/1000/AT94</f>
        <v>0</v>
      </c>
      <c r="AU99" s="42">
        <f>-([2]MidCorp!$Q$39+[2]MidCorp!$X$39+[2]MidCorp!$AW$39+[2]MidCorp!$AZ$39)/1000/AU94</f>
        <v>4.9814900950283306E-2</v>
      </c>
      <c r="AV99" s="134"/>
      <c r="AW99" s="97"/>
      <c r="AX99" s="42"/>
      <c r="AY99" s="42"/>
      <c r="AZ99" s="134"/>
      <c r="BA99" s="97"/>
      <c r="BB99" s="42"/>
      <c r="BC99" s="42"/>
      <c r="BD99" s="134"/>
      <c r="BE99" s="97"/>
      <c r="BF99" s="42"/>
      <c r="BG99" s="42"/>
      <c r="BH99" s="134"/>
      <c r="BI99" s="84">
        <f>-('[2]Total P&amp;C'!$Q$37+'[2]Total P&amp;C'!$X$37+'[2]Total P&amp;C'!$AW$37+'[2]Total P&amp;C'!$AZ$37)/1000/BI94</f>
        <v>5.952812442699533E-2</v>
      </c>
      <c r="BJ99" s="60">
        <f>-('[2]Total P&amp;C'!$Q$38+'[2]Total P&amp;C'!$X$38+'[2]Total P&amp;C'!$AW$38+'[2]Total P&amp;C'!$AZ$38)/1000/BJ94</f>
        <v>0</v>
      </c>
      <c r="BK99" s="60">
        <f>-('[2]Total P&amp;C'!$Q$39+'[2]Total P&amp;C'!$X$39+'[2]Total P&amp;C'!$AW$39+'[2]Total P&amp;C'!$AZ$39)/1000/BK94</f>
        <v>4.9814900950283306E-2</v>
      </c>
      <c r="BM99" s="84">
        <f>-('[3]Total P&amp;C'!$Q$37+'[3]Total P&amp;C'!$X$37+'[3]Total P&amp;C'!$AW$37+'[3]Total P&amp;C'!$AZ$37)/1000/BM94</f>
        <v>0.11700053776436224</v>
      </c>
      <c r="BN99" s="60">
        <f>-('[3]Total P&amp;C'!$Q$38+'[3]Total P&amp;C'!$X$38+'[3]Total P&amp;C'!$AW$38+'[3]Total P&amp;C'!$AZ$38)/1000/BN94</f>
        <v>0</v>
      </c>
      <c r="BO99" s="60">
        <f>-('[3]Total P&amp;C'!$Q$39+'[3]Total P&amp;C'!$X$39+'[3]Total P&amp;C'!$AW$39+'[3]Total P&amp;C'!$AZ$39)/1000/BO94</f>
        <v>0.10528437932882899</v>
      </c>
    </row>
    <row r="100" spans="1:67" ht="16.5" hidden="1" customHeight="1" outlineLevel="1" x14ac:dyDescent="0.3">
      <c r="A100" s="214"/>
      <c r="B100" s="115"/>
      <c r="C100" s="38" t="s">
        <v>53</v>
      </c>
      <c r="D100" s="134"/>
      <c r="E100" s="74" t="e">
        <f>-[1]Retail!$AT$37/1000/E94</f>
        <v>#DIV/0!</v>
      </c>
      <c r="F100" s="42" t="e">
        <f>-[1]Retail!$AT$38/1000/F94</f>
        <v>#DIV/0!</v>
      </c>
      <c r="G100" s="42" t="e">
        <f>-[1]Retail!$AT$39/1000/G94</f>
        <v>#DIV/0!</v>
      </c>
      <c r="H100" s="134"/>
      <c r="I100" s="74" t="e">
        <f>-[1]SME!$AT$37/1000/I94</f>
        <v>#DIV/0!</v>
      </c>
      <c r="J100" s="42" t="e">
        <f>-[1]SME!$AT$38/1000/J94</f>
        <v>#DIV/0!</v>
      </c>
      <c r="K100" s="42" t="e">
        <f>-[1]SME!$AT$39/1000/K94</f>
        <v>#DIV/0!</v>
      </c>
      <c r="L100" s="134"/>
      <c r="M100" s="74">
        <f>-[1]MidCorp!$AT$37/1000/M94</f>
        <v>6.5693821098167127E-2</v>
      </c>
      <c r="N100" s="42">
        <f>-[1]MidCorp!$AT$38/1000/N94</f>
        <v>7.1499023896505198E-2</v>
      </c>
      <c r="O100" s="42">
        <f>-[1]MidCorp!$AT$39/1000/O94</f>
        <v>7.3978352344023321E-2</v>
      </c>
      <c r="P100" s="134"/>
      <c r="Q100" s="74">
        <f>-[1]MGA!$AT$37/1000/Q94</f>
        <v>0</v>
      </c>
      <c r="R100" s="42">
        <f>-[1]MGA!$AT$38/1000/R94</f>
        <v>0</v>
      </c>
      <c r="S100" s="42" t="e">
        <f>-[1]MGA!$AT$39/1000/S94</f>
        <v>#DIV/0!</v>
      </c>
      <c r="T100" s="134"/>
      <c r="U100" s="74" t="e">
        <f>-[1]Bancassurance!$AT$37/1000/U94</f>
        <v>#DIV/0!</v>
      </c>
      <c r="V100" s="42" t="e">
        <f>-[1]Bancassurance!$AT$38/1000/V94</f>
        <v>#DIV/0!</v>
      </c>
      <c r="W100" s="42" t="e">
        <f>-[1]Bancassurance!$AT$39/1000/W94</f>
        <v>#DIV/0!</v>
      </c>
      <c r="X100" s="134"/>
      <c r="Y100" s="74">
        <f>-[1]Specials!$AT$37/1000/Y94</f>
        <v>0.72763126205890527</v>
      </c>
      <c r="Z100" s="42">
        <f>-[1]Specials!$AT$38/1000/Z94</f>
        <v>0.76739857437107983</v>
      </c>
      <c r="AA100" s="42" t="e">
        <f>-[1]Specials!$AT$39/1000/AA94</f>
        <v>#DIV/0!</v>
      </c>
      <c r="AB100" s="134"/>
      <c r="AC100" s="85">
        <f>-'[1]Total P&amp;C'!$AT$37/1000/AC94</f>
        <v>6.7583447414604564E-2</v>
      </c>
      <c r="AD100" s="60">
        <f>-'[1]Total P&amp;C'!$AT$38/1000/AD94</f>
        <v>7.3564509891656457E-2</v>
      </c>
      <c r="AE100" s="60">
        <f>-'[1]Total P&amp;C'!$AT$39/1000/AE94</f>
        <v>7.3978352344023321E-2</v>
      </c>
      <c r="AG100" s="212"/>
      <c r="AH100" s="115"/>
      <c r="AI100" s="38" t="s">
        <v>53</v>
      </c>
      <c r="AJ100" s="134"/>
      <c r="AK100" s="74" t="e">
        <f>-[2]Retail!$AT$37/1000/AK94</f>
        <v>#DIV/0!</v>
      </c>
      <c r="AL100" s="42" t="e">
        <f>-[2]Retail!$AT$38/1000/AL94</f>
        <v>#DIV/0!</v>
      </c>
      <c r="AM100" s="42" t="e">
        <f>-[2]Retail!$AT$39/1000/AM94</f>
        <v>#DIV/0!</v>
      </c>
      <c r="AN100" s="134"/>
      <c r="AO100" s="74" t="e">
        <f>-[2]SME!$AT$37/1000/AO94</f>
        <v>#DIV/0!</v>
      </c>
      <c r="AP100" s="42" t="e">
        <f>-[2]SME!$AT$38/1000/AP94</f>
        <v>#DIV/0!</v>
      </c>
      <c r="AQ100" s="42" t="e">
        <f>-[2]SME!$AT$39/1000/AQ94</f>
        <v>#DIV/0!</v>
      </c>
      <c r="AR100" s="134"/>
      <c r="AS100" s="73">
        <f>-[2]MidCorp!$AT$37/1000/AS94</f>
        <v>0.1378787311354078</v>
      </c>
      <c r="AT100" s="42">
        <f>-[2]MidCorp!$AT$38/1000/AT94</f>
        <v>0.18127083199298544</v>
      </c>
      <c r="AU100" s="42">
        <f>-[2]MidCorp!$AT$39/1000/AU94</f>
        <v>0.10836001842909905</v>
      </c>
      <c r="AV100" s="134"/>
      <c r="AW100" s="97"/>
      <c r="AX100" s="42"/>
      <c r="AY100" s="42"/>
      <c r="AZ100" s="134"/>
      <c r="BA100" s="97"/>
      <c r="BB100" s="42"/>
      <c r="BC100" s="42"/>
      <c r="BD100" s="134"/>
      <c r="BE100" s="97"/>
      <c r="BF100" s="42"/>
      <c r="BG100" s="42"/>
      <c r="BH100" s="134"/>
      <c r="BI100" s="84">
        <f>-'[2]Total P&amp;C'!$AT$37/1000/BI94</f>
        <v>0.13820187025759031</v>
      </c>
      <c r="BJ100" s="60">
        <f>-'[2]Total P&amp;C'!$AT$38/1000/BJ94</f>
        <v>0.15706235037490535</v>
      </c>
      <c r="BK100" s="60">
        <f>-'[2]Total P&amp;C'!$AT$39/1000/BK94</f>
        <v>0.10836001842909905</v>
      </c>
      <c r="BM100" s="84">
        <f>-'[3]Total P&amp;C'!$AT$37/1000/BM94</f>
        <v>0.10000345288229398</v>
      </c>
      <c r="BN100" s="60">
        <f>-'[3]Total P&amp;C'!$AT$38/1000/BN94</f>
        <v>0.11377072486945976</v>
      </c>
      <c r="BO100" s="60">
        <f>-'[3]Total P&amp;C'!$AT$39/1000/BO94</f>
        <v>9.0648784908509583E-2</v>
      </c>
    </row>
    <row r="101" spans="1:67" ht="16.5" hidden="1" customHeight="1" outlineLevel="1" x14ac:dyDescent="0.3">
      <c r="A101" s="214"/>
      <c r="B101" s="115"/>
      <c r="C101" s="116" t="s">
        <v>27</v>
      </c>
      <c r="D101" s="134"/>
      <c r="E101" s="128" t="e">
        <f>-([1]Retail!$Z$37+[1]Retail!$AA$37+[1]Retail!$BB$37+[1]Retail!$BC$37)/1000/E94</f>
        <v>#DIV/0!</v>
      </c>
      <c r="F101" s="127" t="e">
        <f>-([1]Retail!$Z$38+[1]Retail!$AA$38+[1]Retail!$BB$38+[1]Retail!$BC$38)/1000/F94</f>
        <v>#DIV/0!</v>
      </c>
      <c r="G101" s="127" t="e">
        <f>-([1]Retail!$Z$39+[1]Retail!$AA$39+[1]Retail!$BB$39+[1]Retail!$BC$39)/1000/G94</f>
        <v>#DIV/0!</v>
      </c>
      <c r="H101" s="134"/>
      <c r="I101" s="128" t="e">
        <f>-([1]SME!$Z$37+[1]SME!$AA$37+[1]SME!$BB$37+[1]SME!$BC$37)/1000/I94</f>
        <v>#DIV/0!</v>
      </c>
      <c r="J101" s="127" t="e">
        <f>-([1]SME!$Z$38+[1]SME!$AA$38+[1]SME!$BB$38+[1]SME!$BC$38)/1000/J94</f>
        <v>#DIV/0!</v>
      </c>
      <c r="K101" s="127" t="e">
        <f>-([1]SME!$Z$39+[1]SME!$AA$39+[1]SME!$BB$39+[1]SME!$BC$39)/1000/K94</f>
        <v>#DIV/0!</v>
      </c>
      <c r="L101" s="134"/>
      <c r="M101" s="126">
        <f>-([1]MidCorp!$Z$37+[1]MidCorp!$AA$37+[1]MidCorp!$BB$37+[1]MidCorp!$BC$37)/1000/M94</f>
        <v>-1.5556742201444863E-2</v>
      </c>
      <c r="N101" s="127">
        <f>-([1]MidCorp!$Z$38+[1]MidCorp!$AA$38+[1]MidCorp!$BB$38+[1]MidCorp!$BC$38)/1000/N94</f>
        <v>-1.9132577789401171E-2</v>
      </c>
      <c r="O101" s="127">
        <f>-([1]MidCorp!$Z$39+[1]MidCorp!$AA$39+[1]MidCorp!$BB$39+[1]MidCorp!$BC$39)/1000/O94</f>
        <v>-9.1184058058134433E-3</v>
      </c>
      <c r="P101" s="134"/>
      <c r="Q101" s="128">
        <f>-([1]MGA!$Z$37+[1]MGA!$AA$37+[1]MGA!$BB$37+[1]MGA!$BC$37)/1000/Q94</f>
        <v>0</v>
      </c>
      <c r="R101" s="127">
        <f>-([1]MGA!$Z$38+[1]MGA!$AA$38+[1]MGA!$BB$38+[1]MGA!$BC$38)/1000/R94</f>
        <v>-6.1502942679257511E-5</v>
      </c>
      <c r="S101" s="127" t="e">
        <f>-([1]MGA!$Z$39+[1]MGA!$AA$39+[1]MGA!$BB$39+[1]MGA!$BC$39)/1000/S94</f>
        <v>#DIV/0!</v>
      </c>
      <c r="T101" s="134"/>
      <c r="U101" s="128" t="e">
        <f>-([1]Bancassurance!$Z$37+[1]Bancassurance!$AA$37+[1]Bancassurance!$BB$37+[1]Bancassurance!$BC$37)/1000/U94</f>
        <v>#DIV/0!</v>
      </c>
      <c r="V101" s="127" t="e">
        <f>-([1]Bancassurance!$Z$38+[1]Bancassurance!$AA$38+[1]Bancassurance!$BB$38+[1]Bancassurance!$BC$38)/1000/V94</f>
        <v>#DIV/0!</v>
      </c>
      <c r="W101" s="127" t="e">
        <f>-([1]Bancassurance!$Z$39+[1]Bancassurance!$AA$39+[1]Bancassurance!$BB$39+[1]Bancassurance!$BC$39)/1000/W94</f>
        <v>#DIV/0!</v>
      </c>
      <c r="X101" s="134"/>
      <c r="Y101" s="128">
        <f>-([1]Specials!$Z$37+[1]Specials!$AA$37+[1]Specials!$BB$37+[1]Specials!$BC$37)/1000/Y94</f>
        <v>-1.7028532117490276E-3</v>
      </c>
      <c r="Z101" s="127">
        <f>-([1]Specials!$Z$38+[1]Specials!$AA$38+[1]Specials!$BB$38+[1]Specials!$BC$38)/1000/Z94</f>
        <v>0</v>
      </c>
      <c r="AA101" s="127" t="e">
        <f>-([1]Specials!$Z$39+[1]Specials!$AA$39+[1]Specials!$BB$39+[1]Specials!$BC$39)/1000/AA94</f>
        <v>#DIV/0!</v>
      </c>
      <c r="AB101" s="134"/>
      <c r="AC101" s="132">
        <f>-('[1]Total P&amp;C'!$Z$37+'[1]Total P&amp;C'!$AA$37+'[1]Total P&amp;C'!$BB$37+'[1]Total P&amp;C'!$BC$37)/1000/AC94</f>
        <v>-1.5513224050424306E-2</v>
      </c>
      <c r="AD101" s="130">
        <f>-('[1]Total P&amp;C'!$Z$38+'[1]Total P&amp;C'!$AA$38+'[1]Total P&amp;C'!$BB$38+'[1]Total P&amp;C'!$BC$38)/1000/AD94</f>
        <v>-1.9068057531844568E-2</v>
      </c>
      <c r="AE101" s="130">
        <f>-('[1]Total P&amp;C'!$Z$39+'[1]Total P&amp;C'!$AA$39+'[1]Total P&amp;C'!$BB$39+'[1]Total P&amp;C'!$BC$39)/1000/AE94</f>
        <v>-9.1184058058134433E-3</v>
      </c>
      <c r="AG101" s="212"/>
      <c r="AH101" s="115"/>
      <c r="AI101" s="116" t="s">
        <v>27</v>
      </c>
      <c r="AJ101" s="134"/>
      <c r="AK101" s="128" t="e">
        <f>-([2]Retail!$Z$37+[2]Retail!$AA$37+[2]Retail!$BB$37+[2]Retail!$BC$37)/1000/AK94</f>
        <v>#DIV/0!</v>
      </c>
      <c r="AL101" s="127" t="e">
        <f>-([2]Retail!$Z$38+[2]Retail!$AA$38+[2]Retail!$BB$38+[2]Retail!$BC$38)/1000/AL94</f>
        <v>#DIV/0!</v>
      </c>
      <c r="AM101" s="127" t="e">
        <f>-([2]Retail!$Z$39+[2]Retail!$AA$39+[2]Retail!$BB$39+[2]Retail!$BC$39)/1000/AM94</f>
        <v>#DIV/0!</v>
      </c>
      <c r="AN101" s="134"/>
      <c r="AO101" s="128" t="e">
        <f>-([2]SME!$Z$37+[2]SME!$AA$37+[2]SME!$BB$37+[2]SME!$BC$37)/1000/AO94</f>
        <v>#DIV/0!</v>
      </c>
      <c r="AP101" s="127" t="e">
        <f>-([2]SME!$Z$38+[2]SME!$AA$38+[2]SME!$BB$38+[2]SME!$BC$38)/1000/AP94</f>
        <v>#DIV/0!</v>
      </c>
      <c r="AQ101" s="127" t="e">
        <f>-([2]SME!$Z$39+[2]SME!$AA$39+[2]SME!$BB$39+[2]SME!$BC$39)/1000/AQ94</f>
        <v>#DIV/0!</v>
      </c>
      <c r="AR101" s="134"/>
      <c r="AS101" s="126">
        <f>-([2]MidCorp!$Z$37+[2]MidCorp!$AA$37+[2]MidCorp!$BB$37+[2]MidCorp!$BC$37)/1000/AS94</f>
        <v>-2.6138537140095397E-2</v>
      </c>
      <c r="AT101" s="127">
        <f>-([2]MidCorp!$Z$38+[2]MidCorp!$AA$38+[2]MidCorp!$BB$38+[2]MidCorp!$BC$38)/1000/AT94</f>
        <v>-2.4568609620172717E-2</v>
      </c>
      <c r="AU101" s="127">
        <f>-([2]MidCorp!$Z$39+[2]MidCorp!$AA$39+[2]MidCorp!$BB$39+[2]MidCorp!$BC$39)/1000/AU94</f>
        <v>-1.6136213431139228E-2</v>
      </c>
      <c r="AV101" s="134"/>
      <c r="AW101" s="131"/>
      <c r="AX101" s="127"/>
      <c r="AY101" s="127"/>
      <c r="AZ101" s="134"/>
      <c r="BA101" s="131"/>
      <c r="BB101" s="127"/>
      <c r="BC101" s="127"/>
      <c r="BD101" s="134"/>
      <c r="BE101" s="131"/>
      <c r="BF101" s="127"/>
      <c r="BG101" s="127"/>
      <c r="BH101" s="134"/>
      <c r="BI101" s="132">
        <f>-('[2]Total P&amp;C'!$Z$37+'[2]Total P&amp;C'!$AA$37+'[2]Total P&amp;C'!$BB$37+'[2]Total P&amp;C'!$BC$37)/1000/BI94</f>
        <v>-2.6138537140095397E-2</v>
      </c>
      <c r="BJ101" s="130">
        <f>-('[2]Total P&amp;C'!$Z$38+'[2]Total P&amp;C'!$AA$38+'[2]Total P&amp;C'!$BB$38+'[2]Total P&amp;C'!$BC$38)/1000/BJ94</f>
        <v>-2.4568609620172717E-2</v>
      </c>
      <c r="BK101" s="130">
        <f>-('[2]Total P&amp;C'!$Z$39+'[2]Total P&amp;C'!$AA$39+'[2]Total P&amp;C'!$BB$39+'[2]Total P&amp;C'!$BC$39)/1000/BK94</f>
        <v>-1.6136213431139228E-2</v>
      </c>
      <c r="BM101" s="132">
        <f>-('[3]Total P&amp;C'!$Z$37+'[3]Total P&amp;C'!$AA$37+'[3]Total P&amp;C'!$BB$37+'[3]Total P&amp;C'!$BC$37)/1000/BM94</f>
        <v>-2.0391168000389821E-2</v>
      </c>
      <c r="BN101" s="130">
        <f>-('[3]Total P&amp;C'!$Z$38+'[3]Total P&amp;C'!$AA$38+'[3]Total P&amp;C'!$BB$38+'[3]Total P&amp;C'!$BC$38)/1000/BN94</f>
        <v>-2.1716705430759917E-2</v>
      </c>
      <c r="BO101" s="130">
        <f>-('[3]Total P&amp;C'!$Z$39+'[3]Total P&amp;C'!$AA$39+'[3]Total P&amp;C'!$BB$39+'[3]Total P&amp;C'!$BC$39)/1000/BO94</f>
        <v>-1.2521088167949276E-2</v>
      </c>
    </row>
    <row r="102" spans="1:67" ht="16.5" hidden="1" customHeight="1" outlineLevel="1" x14ac:dyDescent="0.3">
      <c r="A102" s="214"/>
      <c r="B102" s="115"/>
      <c r="C102" s="116" t="s">
        <v>57</v>
      </c>
      <c r="D102" s="134"/>
      <c r="E102" s="126" t="e">
        <f>-SUM([1]Retail!$AC$37:$AI$37,[1]Retail!$BE$37:$BG$37)/1000/E94</f>
        <v>#DIV/0!</v>
      </c>
      <c r="F102" s="127" t="e">
        <f>-SUM([1]Retail!$AC$38:$AI$38,[1]Retail!$BE$38:$BG$38)/1000/F94</f>
        <v>#DIV/0!</v>
      </c>
      <c r="G102" s="127" t="e">
        <f>-SUM([1]Retail!$AC$39:$AI$39,[1]Retail!$BE$39:$BG$39)/1000/G94</f>
        <v>#DIV/0!</v>
      </c>
      <c r="H102" s="134"/>
      <c r="I102" s="126" t="e">
        <f>-SUM([1]SME!$AC$37:$AI$37,[1]SME!$BE$37:$BG$37)/1000/I94</f>
        <v>#DIV/0!</v>
      </c>
      <c r="J102" s="127" t="e">
        <f>-SUM([1]SME!$AC$38:$AI$38,[1]SME!$BE$38:$BG$38)/1000/J94</f>
        <v>#DIV/0!</v>
      </c>
      <c r="K102" s="127" t="e">
        <f>-SUM([1]SME!$AC$39:$AI$39,[1]SME!$BE$39:$BG$39)/1000/K94</f>
        <v>#DIV/0!</v>
      </c>
      <c r="L102" s="134"/>
      <c r="M102" s="128">
        <f>-SUM([1]MidCorp!$AC$37:$AI$37,[1]MidCorp!$BE$37:$BG$37)/1000/M94</f>
        <v>7.441924666236753E-2</v>
      </c>
      <c r="N102" s="127">
        <f>-SUM([1]MidCorp!$AC$38:$AI$38,[1]MidCorp!$BE$38:$BG$38)/1000/N94</f>
        <v>-3.2559100229642993E-2</v>
      </c>
      <c r="O102" s="127">
        <f>-SUM([1]MidCorp!$AC$39:$AI$39,[1]MidCorp!$BE$39:$BG$39)/1000/O94</f>
        <v>-8.6005876219703396E-3</v>
      </c>
      <c r="P102" s="134"/>
      <c r="Q102" s="126">
        <f>-SUM([1]MGA!$AC$37:$AI$37,[1]MGA!$BE$37:$BG$37)/1000/Q94</f>
        <v>2.8149475059430416E-2</v>
      </c>
      <c r="R102" s="127">
        <f>-SUM([1]MGA!$AC$38:$AI$38,[1]MGA!$BE$38:$BG$38)/1000/R94</f>
        <v>-1.9207842098291177E-3</v>
      </c>
      <c r="S102" s="127" t="e">
        <f>-SUM([1]MGA!$AC$39:$AI$39,[1]MGA!$BE$39:$BG$39)/1000/S94</f>
        <v>#DIV/0!</v>
      </c>
      <c r="T102" s="134"/>
      <c r="U102" s="126" t="e">
        <f>-SUM([1]Bancassurance!$AC$37:$AI$37,[1]Bancassurance!$BE$37:$BG$37)/1000/U94</f>
        <v>#DIV/0!</v>
      </c>
      <c r="V102" s="127" t="e">
        <f>-SUM([1]Bancassurance!$AC$38:$AI$38,[1]Bancassurance!$BE$38:$BG$38)/1000/V94</f>
        <v>#DIV/0!</v>
      </c>
      <c r="W102" s="127" t="e">
        <f>-SUM([1]Bancassurance!$AC$39:$AI$39,[1]Bancassurance!$BE$39:$BG$39)/1000/W94</f>
        <v>#DIV/0!</v>
      </c>
      <c r="X102" s="134"/>
      <c r="Y102" s="126">
        <f>-SUM([1]Specials!$AC$37:$AI$37,[1]Specials!$BE$37:$BG$37)/1000/Y94</f>
        <v>-1.092374849340831</v>
      </c>
      <c r="Z102" s="127">
        <f>-SUM([1]Specials!$AC$38:$AI$38,[1]Specials!$BE$38:$BG$38)/1000/Z94</f>
        <v>2.1144802008840764</v>
      </c>
      <c r="AA102" s="127" t="e">
        <f>-SUM([1]Specials!$AC$39:$AI$39,[1]Specials!$BE$39:$BG$39)/1000/AA94</f>
        <v>#DIV/0!</v>
      </c>
      <c r="AB102" s="134"/>
      <c r="AC102" s="129">
        <f>-SUM('[1]Total P&amp;C'!$AC$37:$AI$37,'[1]Total P&amp;C'!$BE$37:$BG$37)/1000/AC94</f>
        <v>7.1050414550093144E-2</v>
      </c>
      <c r="AD102" s="130">
        <f>-SUM('[1]Total P&amp;C'!$AC$38:$AI$38,'[1]Total P&amp;C'!$BE$38:$BG$38)/1000/AD94</f>
        <v>-2.6094160377456873E-2</v>
      </c>
      <c r="AE102" s="130">
        <f>-SUM('[1]Total P&amp;C'!$AC$39:$AI$39,'[1]Total P&amp;C'!$BE$39:$BG$39)/1000/AE94</f>
        <v>-8.6005876219703396E-3</v>
      </c>
      <c r="AG102" s="212"/>
      <c r="AH102" s="115"/>
      <c r="AI102" s="116" t="s">
        <v>57</v>
      </c>
      <c r="AJ102" s="134"/>
      <c r="AK102" s="126" t="e">
        <f>-SUM([2]Retail!$AC$37:$AI$37,[2]Retail!$BE$37:$BG$37)/1000/AK94</f>
        <v>#DIV/0!</v>
      </c>
      <c r="AL102" s="127" t="e">
        <f>-SUM([2]Retail!$AC$38:$AI$38,[2]Retail!$BE$38:$BG$38)/1000/AL94</f>
        <v>#DIV/0!</v>
      </c>
      <c r="AM102" s="127" t="e">
        <f>-SUM([2]Retail!$AC$39:$AI$39,[2]Retail!$BE$39:$BG$39)/1000/AM94</f>
        <v>#DIV/0!</v>
      </c>
      <c r="AN102" s="134"/>
      <c r="AO102" s="126" t="e">
        <f>-SUM([2]SME!$AC$37:$AI$37,[2]SME!$BE$37:$BG$37)/1000/AO94</f>
        <v>#DIV/0!</v>
      </c>
      <c r="AP102" s="127" t="e">
        <f>-SUM([2]SME!$AC$38:$AI$38,[2]SME!$BE$38:$BG$38)/1000/AP94</f>
        <v>#DIV/0!</v>
      </c>
      <c r="AQ102" s="127" t="e">
        <f>-SUM([2]SME!$AC$39:$AI$39,[2]SME!$BE$39:$BG$39)/1000/AQ94</f>
        <v>#DIV/0!</v>
      </c>
      <c r="AR102" s="134"/>
      <c r="AS102" s="126">
        <f>-SUM([2]MidCorp!$AC$37:$AI$37,[2]MidCorp!$BE$37:$BG$37)/1000/AS94</f>
        <v>-6.7189873986252882E-2</v>
      </c>
      <c r="AT102" s="127">
        <f>-SUM([2]MidCorp!$AC$38:$AI$38,[2]MidCorp!$BE$38:$BG$38)/1000/AT94</f>
        <v>0.2421943123962095</v>
      </c>
      <c r="AU102" s="127">
        <f>-SUM([2]MidCorp!$AC$39:$AI$39,[2]MidCorp!$BE$39:$BG$39)/1000/AU94</f>
        <v>-6.2843185836187554E-3</v>
      </c>
      <c r="AV102" s="134"/>
      <c r="AW102" s="131"/>
      <c r="AX102" s="127"/>
      <c r="AY102" s="127"/>
      <c r="AZ102" s="134"/>
      <c r="BA102" s="131"/>
      <c r="BB102" s="127"/>
      <c r="BC102" s="127"/>
      <c r="BD102" s="134"/>
      <c r="BE102" s="131"/>
      <c r="BF102" s="127"/>
      <c r="BG102" s="127"/>
      <c r="BH102" s="134"/>
      <c r="BI102" s="132">
        <f>-SUM('[2]Total P&amp;C'!$AC$37:$AI$37,'[2]Total P&amp;C'!$BE$37:$BG$37)/1000/BI94</f>
        <v>-6.7224020806627316E-2</v>
      </c>
      <c r="BJ102" s="130">
        <f>-SUM('[2]Total P&amp;C'!$AC$38:$AI$38,'[2]Total P&amp;C'!$BE$38:$BG$38)/1000/BJ94</f>
        <v>0.24220562473929583</v>
      </c>
      <c r="BK102" s="130">
        <f>-SUM('[2]Total P&amp;C'!$AC$39:$AI$39,'[2]Total P&amp;C'!$BE$39:$BG$39)/1000/BK94</f>
        <v>-6.2843185836187554E-3</v>
      </c>
      <c r="BM102" s="129">
        <f>-SUM('[3]Total P&amp;C'!$AC$37:$AI$37,'[3]Total P&amp;C'!$BE$37:$BG$37)/1000/BM94</f>
        <v>7.5704079196163817E-3</v>
      </c>
      <c r="BN102" s="130">
        <f>-SUM('[3]Total P&amp;C'!$AC$38:$AI$38,'[3]Total P&amp;C'!$BE$38:$BG$38)/1000/BN94</f>
        <v>0.1030986280404269</v>
      </c>
      <c r="BO102" s="130">
        <f>-SUM('[3]Total P&amp;C'!$AC$39:$AI$39,'[3]Total P&amp;C'!$BE$39:$BG$39)/1000/BO94</f>
        <v>-7.4775121226765742E-3</v>
      </c>
    </row>
    <row r="103" spans="1:67" ht="16.5" hidden="1" customHeight="1" outlineLevel="1" x14ac:dyDescent="0.3">
      <c r="A103" s="214"/>
      <c r="B103" s="115"/>
      <c r="C103" s="116" t="s">
        <v>29</v>
      </c>
      <c r="D103" s="134"/>
      <c r="E103" s="128" t="e">
        <f>-SUM([1]Retail!$AJ$37:$AK$37,[1]Retail!$BH$37:$BI$37)/1000/E94</f>
        <v>#DIV/0!</v>
      </c>
      <c r="F103" s="127" t="e">
        <f>-SUM([1]Retail!$AJ$38:$AK$38,[1]Retail!$BH$38:$BI$38)/1000/F94</f>
        <v>#DIV/0!</v>
      </c>
      <c r="G103" s="127" t="e">
        <f>-SUM([1]Retail!$AJ$39:$AK$39,[1]Retail!$BH$39:$BI$39)/1000/G94</f>
        <v>#DIV/0!</v>
      </c>
      <c r="H103" s="134"/>
      <c r="I103" s="128" t="e">
        <f>-SUM([1]SME!$AJ$37:$AK$37,[1]SME!$BH$37:$BI$37)/1000/I94</f>
        <v>#DIV/0!</v>
      </c>
      <c r="J103" s="127" t="e">
        <f>-SUM([1]SME!$AJ$38:$AK$38,[1]SME!$BH$38:$BI$38)/1000/J94</f>
        <v>#DIV/0!</v>
      </c>
      <c r="K103" s="127" t="e">
        <f>-SUM([1]SME!$AJ$39:$AK$39,[1]SME!$BH$39:$BI$39)/1000/K94</f>
        <v>#DIV/0!</v>
      </c>
      <c r="L103" s="134"/>
      <c r="M103" s="126">
        <f>-SUM([1]MidCorp!$AJ$37:$AK$37,[1]MidCorp!$BH$37:$BI$37)/1000/M94</f>
        <v>-2.5201042895556412E-3</v>
      </c>
      <c r="N103" s="127">
        <f>-SUM([1]MidCorp!$AJ$38:$AK$38,[1]MidCorp!$BH$38:$BI$38)/1000/N94</f>
        <v>-5.8161626642668695E-3</v>
      </c>
      <c r="O103" s="127">
        <f>-SUM([1]MidCorp!$AJ$39:$AK$39,[1]MidCorp!$BH$39:$BI$39)/1000/O94</f>
        <v>0</v>
      </c>
      <c r="P103" s="134"/>
      <c r="Q103" s="128">
        <f>-SUM([1]MGA!$AJ$37:$AK$37,[1]MGA!$BH$37:$BI$37)/1000/Q94</f>
        <v>0</v>
      </c>
      <c r="R103" s="127">
        <f>-SUM([1]MGA!$AJ$38:$AK$38,[1]MGA!$BH$38:$BI$38)/1000/R94</f>
        <v>8.98889162235301E-5</v>
      </c>
      <c r="S103" s="127" t="e">
        <f>-SUM([1]MGA!$AJ$39:$AK$39,[1]MGA!$BH$39:$BI$39)/1000/S94</f>
        <v>#DIV/0!</v>
      </c>
      <c r="T103" s="134"/>
      <c r="U103" s="128" t="e">
        <f>-SUM([1]Bancassurance!$AJ$37:$AK$37,[1]Bancassurance!$BH$37:$BI$37)/1000/U94</f>
        <v>#DIV/0!</v>
      </c>
      <c r="V103" s="127" t="e">
        <f>-SUM([1]Bancassurance!$AJ$38:$AK$38,[1]Bancassurance!$BH$38:$BI$38)/1000/V94</f>
        <v>#DIV/0!</v>
      </c>
      <c r="W103" s="127" t="e">
        <f>-SUM([1]Bancassurance!$AJ$39:$AK$39,[1]Bancassurance!$BH$39:$BI$39)/1000/W94</f>
        <v>#DIV/0!</v>
      </c>
      <c r="X103" s="134"/>
      <c r="Y103" s="128">
        <f>-SUM([1]Specials!$AJ$37:$AK$37,[1]Specials!$BH$37:$BI$37)/1000/Y94</f>
        <v>4.3503949642944255E-4</v>
      </c>
      <c r="Z103" s="127">
        <f>-SUM([1]Specials!$AJ$38:$AK$38,[1]Specials!$BH$38:$BI$38)/1000/Z94</f>
        <v>6.1329815547686822E-4</v>
      </c>
      <c r="AA103" s="127" t="e">
        <f>-SUM([1]Specials!$AJ$39:$AK$39,[1]Specials!$BH$39:$BI$39)/1000/AA94</f>
        <v>#DIV/0!</v>
      </c>
      <c r="AB103" s="134"/>
      <c r="AC103" s="132">
        <f>-SUM('[1]Total P&amp;C'!$AJ$37:$AK$37,'[1]Total P&amp;C'!$BH$37:$BI$37)/1000/AC94</f>
        <v>-2.5110086776140347E-3</v>
      </c>
      <c r="AD103" s="130">
        <f>-SUM('[1]Total P&amp;C'!$AJ$38:$AK$38,'[1]Total P&amp;C'!$BH$38:$BI$38)/1000/AD94</f>
        <v>-5.7946655829960812E-3</v>
      </c>
      <c r="AE103" s="130">
        <f>-SUM('[1]Total P&amp;C'!$AJ$39:$AK$39,'[1]Total P&amp;C'!$BH$39:$BI$39)/1000/AE94</f>
        <v>0</v>
      </c>
      <c r="AG103" s="212"/>
      <c r="AH103" s="115"/>
      <c r="AI103" s="116" t="s">
        <v>29</v>
      </c>
      <c r="AJ103" s="134"/>
      <c r="AK103" s="128" t="e">
        <f>-SUM([2]Retail!$AJ$37:$AK$37,[2]Retail!$BH$37:$BI$37)/1000/AK94</f>
        <v>#DIV/0!</v>
      </c>
      <c r="AL103" s="127" t="e">
        <f>-SUM([2]Retail!$AJ$38:$AK$38,[2]Retail!$BH$38:$BI$38)/1000/AL94</f>
        <v>#DIV/0!</v>
      </c>
      <c r="AM103" s="127" t="e">
        <f>-SUM([2]Retail!$AJ$39:$AK$39,[2]Retail!$BH$39:$BI$39)/1000/AM94</f>
        <v>#DIV/0!</v>
      </c>
      <c r="AN103" s="134"/>
      <c r="AO103" s="128" t="e">
        <f>-SUM([2]SME!$AJ$37:$AK$37,[2]SME!$BH$37:$BI$37)/1000/AO94</f>
        <v>#DIV/0!</v>
      </c>
      <c r="AP103" s="127" t="e">
        <f>-SUM([2]SME!$AJ$38:$AK$38,[2]SME!$BH$38:$BI$38)/1000/AP94</f>
        <v>#DIV/0!</v>
      </c>
      <c r="AQ103" s="127" t="e">
        <f>-SUM([2]SME!$AJ$39:$AK$39,[2]SME!$BH$39:$BI$39)/1000/AQ94</f>
        <v>#DIV/0!</v>
      </c>
      <c r="AR103" s="134"/>
      <c r="AS103" s="126">
        <f>-SUM([2]MidCorp!$AJ$37:$AK$37,[2]MidCorp!$BH$37:$BI$37)/1000/AS94</f>
        <v>-3.4707073037987632E-2</v>
      </c>
      <c r="AT103" s="127">
        <f>-SUM([2]MidCorp!$AJ$38:$AK$38,[2]MidCorp!$BH$38:$BI$38)/1000/AT94</f>
        <v>-2.7640319929990706E-2</v>
      </c>
      <c r="AU103" s="127">
        <f>-SUM([2]MidCorp!$AJ$39:$AK$39,[2]MidCorp!$BH$39:$BI$39)/1000/AU94</f>
        <v>0</v>
      </c>
      <c r="AV103" s="134"/>
      <c r="AW103" s="131"/>
      <c r="AX103" s="127"/>
      <c r="AY103" s="127"/>
      <c r="AZ103" s="134"/>
      <c r="BA103" s="131"/>
      <c r="BB103" s="127"/>
      <c r="BC103" s="127"/>
      <c r="BD103" s="134"/>
      <c r="BE103" s="131"/>
      <c r="BF103" s="127"/>
      <c r="BG103" s="127"/>
      <c r="BH103" s="134"/>
      <c r="BI103" s="132">
        <f>-SUM('[2]Total P&amp;C'!$AJ$37:$AK$37,'[2]Total P&amp;C'!$BH$37:$BI$37)/1000/BI94</f>
        <v>-3.4706611695023322E-2</v>
      </c>
      <c r="BJ103" s="130">
        <f>-SUM('[2]Total P&amp;C'!$AJ$38:$AK$38,'[2]Total P&amp;C'!$BH$38:$BI$38)/1000/BJ94</f>
        <v>-2.7640117689789859E-2</v>
      </c>
      <c r="BK103" s="130">
        <f>-SUM('[2]Total P&amp;C'!$AJ$39:$AK$39,'[2]Total P&amp;C'!$BH$39:$BI$39)/1000/BK94</f>
        <v>0</v>
      </c>
      <c r="BM103" s="132">
        <f>-SUM('[3]Total P&amp;C'!$AJ$37:$AK$37,'[3]Total P&amp;C'!$BH$37:$BI$37)/1000/BM94</f>
        <v>-1.7291594024028956E-2</v>
      </c>
      <c r="BN103" s="130">
        <f>-SUM('[3]Total P&amp;C'!$AJ$38:$AK$38,'[3]Total P&amp;C'!$BH$38:$BI$38)/1000/BN94</f>
        <v>-1.63137752822375E-2</v>
      </c>
      <c r="BO103" s="130">
        <f>-SUM('[3]Total P&amp;C'!$AJ$39:$AK$39,'[3]Total P&amp;C'!$BH$39:$BI$39)/1000/BO94</f>
        <v>0</v>
      </c>
    </row>
    <row r="104" spans="1:67" ht="16.5" hidden="1" customHeight="1" outlineLevel="1" x14ac:dyDescent="0.3">
      <c r="A104" s="214"/>
      <c r="B104" s="115"/>
      <c r="C104" s="116" t="s">
        <v>58</v>
      </c>
      <c r="D104" s="134"/>
      <c r="E104" s="126" t="e">
        <f>+E105+E106+E107</f>
        <v>#DIV/0!</v>
      </c>
      <c r="F104" s="127" t="e">
        <f>+F105+F106+F107</f>
        <v>#DIV/0!</v>
      </c>
      <c r="G104" s="127" t="e">
        <f>+G105+G106+G107</f>
        <v>#DIV/0!</v>
      </c>
      <c r="H104" s="134"/>
      <c r="I104" s="128" t="e">
        <f>+I105+I106+I107</f>
        <v>#DIV/0!</v>
      </c>
      <c r="J104" s="127" t="e">
        <f>+J105+J106+J107</f>
        <v>#DIV/0!</v>
      </c>
      <c r="K104" s="127" t="e">
        <f>+K105+K106+K107</f>
        <v>#DIV/0!</v>
      </c>
      <c r="L104" s="134"/>
      <c r="M104" s="128">
        <f>+M105+M106+M107</f>
        <v>0.2402819915610683</v>
      </c>
      <c r="N104" s="127">
        <f>+N105+N106+N107</f>
        <v>0.24108802144337266</v>
      </c>
      <c r="O104" s="127">
        <f>+O105+O106+O107</f>
        <v>0.23465197897781742</v>
      </c>
      <c r="P104" s="134"/>
      <c r="Q104" s="126">
        <f>+Q105+Q106+Q107</f>
        <v>0.9450007744472807</v>
      </c>
      <c r="R104" s="127">
        <f>+R105+R106+R107</f>
        <v>0.41425070491834315</v>
      </c>
      <c r="S104" s="127" t="e">
        <f>+S105+S106+S107</f>
        <v>#DIV/0!</v>
      </c>
      <c r="T104" s="134"/>
      <c r="U104" s="126" t="e">
        <f>+U105+U106+U107</f>
        <v>#DIV/0!</v>
      </c>
      <c r="V104" s="127" t="e">
        <f>+V105+V106+V107</f>
        <v>#DIV/0!</v>
      </c>
      <c r="W104" s="127" t="e">
        <f>+W105+W106+W107</f>
        <v>#DIV/0!</v>
      </c>
      <c r="X104" s="134"/>
      <c r="Y104" s="126">
        <f>+Y105+Y106+Y107</f>
        <v>0.14293982465659033</v>
      </c>
      <c r="Z104" s="127">
        <f>+Z105+Z106+Z107</f>
        <v>0.150752736698373</v>
      </c>
      <c r="AA104" s="127" t="e">
        <f>+AA105+AA106+AA107</f>
        <v>#DIV/0!</v>
      </c>
      <c r="AB104" s="134"/>
      <c r="AC104" s="129">
        <f>+AC105+AC106+AC107</f>
        <v>0.24016706457890072</v>
      </c>
      <c r="AD104" s="130">
        <f>+AD105+AD106+AD107</f>
        <v>0.24094908351137176</v>
      </c>
      <c r="AE104" s="130">
        <f>+AE105+AE106+AE107</f>
        <v>0.23465197897781742</v>
      </c>
      <c r="AG104" s="212"/>
      <c r="AH104" s="115"/>
      <c r="AI104" s="116" t="s">
        <v>58</v>
      </c>
      <c r="AJ104" s="134"/>
      <c r="AK104" s="126" t="e">
        <f>+AK105+AK106+AK107</f>
        <v>#DIV/0!</v>
      </c>
      <c r="AL104" s="127" t="e">
        <f>+AL105+AL106+AL107</f>
        <v>#DIV/0!</v>
      </c>
      <c r="AM104" s="127" t="e">
        <f>+AM105+AM106+AM107</f>
        <v>#DIV/0!</v>
      </c>
      <c r="AN104" s="134"/>
      <c r="AO104" s="128" t="e">
        <f>+AO105+AO106+AO107</f>
        <v>#DIV/0!</v>
      </c>
      <c r="AP104" s="127" t="e">
        <f>+AP105+AP106+AP107</f>
        <v>#DIV/0!</v>
      </c>
      <c r="AQ104" s="127" t="e">
        <f>+AQ105+AQ106+AQ107</f>
        <v>#DIV/0!</v>
      </c>
      <c r="AR104" s="134"/>
      <c r="AS104" s="128">
        <f>+AS105+AS106+AS107</f>
        <v>0.47928420525839077</v>
      </c>
      <c r="AT104" s="127">
        <f>+AT105+AT106+AT107</f>
        <v>0.42699849979155285</v>
      </c>
      <c r="AU104" s="127">
        <f>+AU105+AU106+AU107</f>
        <v>0.42977849737753715</v>
      </c>
      <c r="AV104" s="134"/>
      <c r="AW104" s="131"/>
      <c r="AX104" s="127"/>
      <c r="AY104" s="127"/>
      <c r="AZ104" s="134"/>
      <c r="BA104" s="131"/>
      <c r="BB104" s="127"/>
      <c r="BC104" s="127"/>
      <c r="BD104" s="134"/>
      <c r="BE104" s="131"/>
      <c r="BF104" s="127"/>
      <c r="BG104" s="127"/>
      <c r="BH104" s="134"/>
      <c r="BI104" s="129">
        <f>+BI105+BI106+BI107</f>
        <v>0.47928422944169136</v>
      </c>
      <c r="BJ104" s="130">
        <f>+BJ105+BJ106+BJ107</f>
        <v>0.42699849979155285</v>
      </c>
      <c r="BK104" s="130">
        <f>+BK105+BK106+BK107</f>
        <v>0.42977849737753715</v>
      </c>
      <c r="BM104" s="129">
        <f>+BM105+BM106+BM107</f>
        <v>0.34994266533830026</v>
      </c>
      <c r="BN104" s="130">
        <f>+BN105+BN106+BN107</f>
        <v>0.33053634450115099</v>
      </c>
      <c r="BO104" s="130">
        <f>+BO105+BO106+BO107</f>
        <v>0.32926180557774176</v>
      </c>
    </row>
    <row r="105" spans="1:67" ht="16.5" hidden="1" customHeight="1" outlineLevel="1" x14ac:dyDescent="0.3">
      <c r="A105" s="214"/>
      <c r="B105" s="115"/>
      <c r="C105" s="39" t="s">
        <v>59</v>
      </c>
      <c r="D105" s="135"/>
      <c r="E105" s="73" t="e">
        <f>-SUM([1]Retail!$AL$37:$AN$37,[1]Retail!$BJ$37)/1000/E94</f>
        <v>#DIV/0!</v>
      </c>
      <c r="F105" s="42" t="e">
        <f>-SUM([1]Retail!$AL$38:$AN$38,[1]Retail!$BJ$38)/1000/F94</f>
        <v>#DIV/0!</v>
      </c>
      <c r="G105" s="42" t="e">
        <f>-SUM([1]Retail!$AL$39:$AN$39,[1]Retail!$BJ$39)/1000/G94</f>
        <v>#DIV/0!</v>
      </c>
      <c r="H105" s="135"/>
      <c r="I105" s="73" t="e">
        <f>-SUM([1]SME!$AL$37:$AN$37,[1]SME!$BJ$37)/1000/I94</f>
        <v>#DIV/0!</v>
      </c>
      <c r="J105" s="42" t="e">
        <f>-SUM([1]SME!$AL$38:$AN$38,[1]SME!$BJ$38)/1000/J94</f>
        <v>#DIV/0!</v>
      </c>
      <c r="K105" s="42" t="e">
        <f>-SUM([1]SME!$AL$39:$AN$39,[1]SME!$BJ$39)/1000/K94</f>
        <v>#DIV/0!</v>
      </c>
      <c r="L105" s="135"/>
      <c r="M105" s="74">
        <f>-SUM([1]MidCorp!$AL$37:$AN$37,[1]MidCorp!$BJ$37)/1000/M94</f>
        <v>0.13313403867565968</v>
      </c>
      <c r="N105" s="42">
        <f>-SUM([1]MidCorp!$AL$38:$AN$38,[1]MidCorp!$BJ$38)/1000/N94</f>
        <v>0.13716258869002193</v>
      </c>
      <c r="O105" s="42">
        <f>-SUM([1]MidCorp!$AL$39:$AN$39,[1]MidCorp!$BJ$39)/1000/O94</f>
        <v>0.13604112566129092</v>
      </c>
      <c r="P105" s="135"/>
      <c r="Q105" s="73">
        <f>-SUM([1]MGA!$AL$37:$AN$37,[1]MGA!$BJ$37)/1000/Q94</f>
        <v>0.94489302526045027</v>
      </c>
      <c r="R105" s="42">
        <f>-SUM([1]MGA!$AL$38:$AN$38,[1]MGA!$BJ$38)/1000/R94</f>
        <v>0.36865810041065056</v>
      </c>
      <c r="S105" s="42" t="e">
        <f>-SUM([1]MGA!$AL$39:$AN$39,[1]MGA!$BJ$39)/1000/S94</f>
        <v>#DIV/0!</v>
      </c>
      <c r="T105" s="135"/>
      <c r="U105" s="73" t="e">
        <f>-SUM([1]Bancassurance!$AL$37:$AN$37,[1]Bancassurance!$BJ$37)/1000/U94</f>
        <v>#DIV/0!</v>
      </c>
      <c r="V105" s="42" t="e">
        <f>-SUM([1]Bancassurance!$AL$38:$AN$38,[1]Bancassurance!$BJ$38)/1000/V94</f>
        <v>#DIV/0!</v>
      </c>
      <c r="W105" s="42" t="e">
        <f>-SUM([1]Bancassurance!$AL$39:$AN$39,[1]Bancassurance!$BJ$39)/1000/W94</f>
        <v>#DIV/0!</v>
      </c>
      <c r="X105" s="135"/>
      <c r="Y105" s="73">
        <f>-SUM([1]Specials!$AL$37:$AN$37,[1]Specials!$BJ$37)/1000/Y94</f>
        <v>0.14293982465659033</v>
      </c>
      <c r="Z105" s="42">
        <f>-SUM([1]Specials!$AL$38:$AN$38,[1]Specials!$BJ$38)/1000/Z94</f>
        <v>0.150752736698373</v>
      </c>
      <c r="AA105" s="42" t="e">
        <f>-SUM([1]Specials!$AL$39:$AN$39,[1]Specials!$BJ$39)/1000/AA94</f>
        <v>#DIV/0!</v>
      </c>
      <c r="AB105" s="135"/>
      <c r="AC105" s="85">
        <f>-SUM('[1]Total P&amp;C'!$AL$37:$AN$37,'[1]Total P&amp;C'!$BJ$37)/1000/AC94</f>
        <v>0.13335257431576841</v>
      </c>
      <c r="AD105" s="60">
        <f>-SUM('[1]Total P&amp;C'!$AL$38:$AN$38,'[1]Total P&amp;C'!$BJ$38)/1000/AD94</f>
        <v>0.13728853735674137</v>
      </c>
      <c r="AE105" s="60">
        <f>-SUM('[1]Total P&amp;C'!$AL$39:$AN$39,'[1]Total P&amp;C'!$BJ$39)/1000/AE94</f>
        <v>0.13604112566129092</v>
      </c>
      <c r="AG105" s="212"/>
      <c r="AH105" s="115"/>
      <c r="AI105" s="39" t="s">
        <v>59</v>
      </c>
      <c r="AJ105" s="135"/>
      <c r="AK105" s="73" t="e">
        <f>-SUM([2]Retail!$AL$37:$AN$37,[2]Retail!$BJ$37)/1000/AK94</f>
        <v>#DIV/0!</v>
      </c>
      <c r="AL105" s="42" t="e">
        <f>-SUM([2]Retail!$AL$38:$AN$38,[2]Retail!$BJ$38)/1000/AL94</f>
        <v>#DIV/0!</v>
      </c>
      <c r="AM105" s="42" t="e">
        <f>-SUM([2]Retail!$AL$39:$AN$39,[2]Retail!$BJ$39)/1000/AM94</f>
        <v>#DIV/0!</v>
      </c>
      <c r="AN105" s="135"/>
      <c r="AO105" s="73" t="e">
        <f>-SUM([2]SME!$AL$37:$AN$37,[2]SME!$BJ$37)/1000/AO94</f>
        <v>#DIV/0!</v>
      </c>
      <c r="AP105" s="42" t="e">
        <f>-SUM([2]SME!$AL$38:$AN$38,[2]SME!$BJ$38)/1000/AP94</f>
        <v>#DIV/0!</v>
      </c>
      <c r="AQ105" s="42" t="e">
        <f>-SUM([2]SME!$AL$39:$AN$39,[2]SME!$BJ$39)/1000/AQ94</f>
        <v>#DIV/0!</v>
      </c>
      <c r="AR105" s="135"/>
      <c r="AS105" s="74">
        <f>-SUM([2]MidCorp!$AL$37:$AN$37,[2]MidCorp!$BJ$37)/1000/AS94</f>
        <v>0.17712254671019434</v>
      </c>
      <c r="AT105" s="42">
        <f>-SUM([2]MidCorp!$AL$38:$AN$38,[2]MidCorp!$BJ$38)/1000/AT94</f>
        <v>0.16833484277866456</v>
      </c>
      <c r="AU105" s="42">
        <f>-SUM([2]MidCorp!$AL$39:$AN$39,[2]MidCorp!$BJ$39)/1000/AU94</f>
        <v>0.18544011209679476</v>
      </c>
      <c r="AV105" s="135"/>
      <c r="AW105" s="97"/>
      <c r="AX105" s="42"/>
      <c r="AY105" s="42"/>
      <c r="AZ105" s="135"/>
      <c r="BA105" s="97"/>
      <c r="BB105" s="42"/>
      <c r="BC105" s="42"/>
      <c r="BD105" s="135"/>
      <c r="BE105" s="97"/>
      <c r="BF105" s="42"/>
      <c r="BG105" s="42"/>
      <c r="BH105" s="135"/>
      <c r="BI105" s="85">
        <f>-SUM('[2]Total P&amp;C'!$AL$37:$AN$37,'[2]Total P&amp;C'!$BJ$37)/1000/BI94</f>
        <v>0.17712254671019434</v>
      </c>
      <c r="BJ105" s="60">
        <f>-SUM('[2]Total P&amp;C'!$AL$38:$AN$38,'[2]Total P&amp;C'!$BJ$38)/1000/BJ94</f>
        <v>0.16833484277866456</v>
      </c>
      <c r="BK105" s="60">
        <f>-SUM('[2]Total P&amp;C'!$AL$39:$AN$39,'[2]Total P&amp;C'!$BJ$39)/1000/BK94</f>
        <v>0.18544011209679476</v>
      </c>
      <c r="BM105" s="85">
        <f>-SUM('[3]Total P&amp;C'!$AL$37:$AN$37,'[3]Total P&amp;C'!$BJ$37)/1000/BM94</f>
        <v>0.15344680309092787</v>
      </c>
      <c r="BN105" s="60">
        <f>-SUM('[3]Total P&amp;C'!$AL$38:$AN$38,'[3]Total P&amp;C'!$BJ$38)/1000/BN94</f>
        <v>0.15223807883992266</v>
      </c>
      <c r="BO105" s="60">
        <f>-SUM('[3]Total P&amp;C'!$AL$39:$AN$39,'[3]Total P&amp;C'!$BJ$39)/1000/BO94</f>
        <v>0.15999291642353386</v>
      </c>
    </row>
    <row r="106" spans="1:67" ht="16.5" hidden="1" customHeight="1" outlineLevel="1" x14ac:dyDescent="0.3">
      <c r="A106" s="214"/>
      <c r="B106" s="115"/>
      <c r="C106" s="39" t="s">
        <v>60</v>
      </c>
      <c r="D106" s="135"/>
      <c r="E106" s="74" t="e">
        <f>-SUM([1]Retail!$AO$37:$AP$37)/1000/E94</f>
        <v>#DIV/0!</v>
      </c>
      <c r="F106" s="42" t="e">
        <f>-SUM([1]Retail!$AO$38:$AP$38)/1000/F94</f>
        <v>#DIV/0!</v>
      </c>
      <c r="G106" s="42" t="e">
        <f>-SUM([1]Retail!$AO$39:$AP$39)/1000/G94</f>
        <v>#DIV/0!</v>
      </c>
      <c r="H106" s="135"/>
      <c r="I106" s="73" t="e">
        <f>-SUM([1]SME!$AO$37:$AP$37)/1000/I94</f>
        <v>#DIV/0!</v>
      </c>
      <c r="J106" s="42" t="e">
        <f>-SUM([1]SME!$AO$38:$AP$38)/1000/J94</f>
        <v>#DIV/0!</v>
      </c>
      <c r="K106" s="42" t="e">
        <f>-SUM([1]SME!$AO$39:$AP$39)/1000/K94</f>
        <v>#DIV/0!</v>
      </c>
      <c r="L106" s="135"/>
      <c r="M106" s="73">
        <f>-SUM([1]MidCorp!$AO$37:$AP$37)/1000/M94</f>
        <v>6.2923267982741296E-2</v>
      </c>
      <c r="N106" s="42">
        <f>-SUM([1]MidCorp!$AO$38:$AP$38)/1000/N94</f>
        <v>5.801292645011788E-2</v>
      </c>
      <c r="O106" s="42">
        <f>-SUM([1]MidCorp!$AO$39:$AP$39)/1000/O94</f>
        <v>4.9088161090455919E-2</v>
      </c>
      <c r="P106" s="135"/>
      <c r="Q106" s="74">
        <f>-SUM([1]MGA!$AO$37:$AP$37)/1000/Q94</f>
        <v>9.4280538476561204E-5</v>
      </c>
      <c r="R106" s="42">
        <f>-SUM([1]MGA!$AO$38:$AP$38)/1000/R94</f>
        <v>2.2708778835418141E-3</v>
      </c>
      <c r="S106" s="42" t="e">
        <f>-SUM([1]MGA!$AO$39:$AP$39)/1000/S94</f>
        <v>#DIV/0!</v>
      </c>
      <c r="T106" s="135"/>
      <c r="U106" s="74" t="e">
        <f>-SUM([1]Bancassurance!$AO$37:$AP$37)/1000/U94</f>
        <v>#DIV/0!</v>
      </c>
      <c r="V106" s="42" t="e">
        <f>-SUM([1]Bancassurance!$AO$38:$AP$38)/1000/V94</f>
        <v>#DIV/0!</v>
      </c>
      <c r="W106" s="42" t="e">
        <f>-SUM([1]Bancassurance!$AO$39:$AP$39)/1000/W94</f>
        <v>#DIV/0!</v>
      </c>
      <c r="X106" s="135"/>
      <c r="Y106" s="74">
        <f>-SUM([1]Specials!$AO$37:$AP$37)/1000/Y94</f>
        <v>0</v>
      </c>
      <c r="Z106" s="42">
        <f>-SUM([1]Specials!$AO$38:$AP$38)/1000/Z94</f>
        <v>0</v>
      </c>
      <c r="AA106" s="42" t="e">
        <f>-SUM([1]Specials!$AO$39:$AP$39)/1000/AA94</f>
        <v>#DIV/0!</v>
      </c>
      <c r="AB106" s="135"/>
      <c r="AC106" s="84">
        <f>-SUM('[1]Total P&amp;C'!$AO$37:$AP$37)/1000/AC94</f>
        <v>6.2727447357753416E-2</v>
      </c>
      <c r="AD106" s="60">
        <f>-SUM('[1]Total P&amp;C'!$AO$38:$AP$38)/1000/AD94</f>
        <v>5.7821497317032879E-2</v>
      </c>
      <c r="AE106" s="60">
        <f>-SUM('[1]Total P&amp;C'!$AO$39:$AP$39)/1000/AE94</f>
        <v>4.9088161090455919E-2</v>
      </c>
      <c r="AG106" s="212"/>
      <c r="AH106" s="115"/>
      <c r="AI106" s="39" t="s">
        <v>60</v>
      </c>
      <c r="AJ106" s="135"/>
      <c r="AK106" s="74" t="e">
        <f>-SUM([2]Retail!$AO$37:$AP$37)/1000/AK94</f>
        <v>#DIV/0!</v>
      </c>
      <c r="AL106" s="42" t="e">
        <f>-SUM([2]Retail!$AO$38:$AP$38)/1000/AL94</f>
        <v>#DIV/0!</v>
      </c>
      <c r="AM106" s="42" t="e">
        <f>-SUM([2]Retail!$AO$39:$AP$39)/1000/AM94</f>
        <v>#DIV/0!</v>
      </c>
      <c r="AN106" s="135"/>
      <c r="AO106" s="73" t="e">
        <f>-SUM([2]SME!$AO$37:$AP$37)/1000/AO94</f>
        <v>#DIV/0!</v>
      </c>
      <c r="AP106" s="42" t="e">
        <f>-SUM([2]SME!$AO$38:$AP$38)/1000/AP94</f>
        <v>#DIV/0!</v>
      </c>
      <c r="AQ106" s="42" t="e">
        <f>-SUM([2]SME!$AO$39:$AP$39)/1000/AQ94</f>
        <v>#DIV/0!</v>
      </c>
      <c r="AR106" s="135"/>
      <c r="AS106" s="73">
        <f>-SUM([2]MidCorp!$AO$37:$AP$37)/1000/AS94</f>
        <v>0.10881008577273517</v>
      </c>
      <c r="AT106" s="42">
        <f>-SUM([2]MidCorp!$AO$38:$AP$38)/1000/AT94</f>
        <v>9.1062322589348169E-2</v>
      </c>
      <c r="AU106" s="42">
        <f>-SUM([2]MidCorp!$AO$39:$AP$39)/1000/AU94</f>
        <v>8.0646266090248594E-2</v>
      </c>
      <c r="AV106" s="135"/>
      <c r="AW106" s="97"/>
      <c r="AX106" s="42"/>
      <c r="AY106" s="42"/>
      <c r="AZ106" s="135"/>
      <c r="BA106" s="97"/>
      <c r="BB106" s="42"/>
      <c r="BC106" s="42"/>
      <c r="BD106" s="135"/>
      <c r="BE106" s="97"/>
      <c r="BF106" s="42"/>
      <c r="BG106" s="42"/>
      <c r="BH106" s="135"/>
      <c r="BI106" s="84">
        <f>-SUM('[2]Total P&amp;C'!$AO$37:$AP$37)/1000/BI94</f>
        <v>0.10881010623552793</v>
      </c>
      <c r="BJ106" s="60">
        <f>-SUM('[2]Total P&amp;C'!$AO$38:$AP$38)/1000/BJ94</f>
        <v>9.1062322589348169E-2</v>
      </c>
      <c r="BK106" s="60">
        <f>-SUM('[2]Total P&amp;C'!$AO$39:$AP$39)/1000/BK94</f>
        <v>8.0646266090248594E-2</v>
      </c>
      <c r="BM106" s="84">
        <f>-SUM('[3]Total P&amp;C'!$AO$37:$AP$37)/1000/BM94</f>
        <v>8.388340061523275E-2</v>
      </c>
      <c r="BN106" s="60">
        <f>-SUM('[3]Total P&amp;C'!$AO$38:$AP$38)/1000/BN94</f>
        <v>7.3827752798651308E-2</v>
      </c>
      <c r="BO106" s="60">
        <f>-SUM('[3]Total P&amp;C'!$AO$39:$AP$39)/1000/BO94</f>
        <v>6.4389550498410816E-2</v>
      </c>
    </row>
    <row r="107" spans="1:67" ht="16.5" hidden="1" customHeight="1" outlineLevel="1" x14ac:dyDescent="0.3">
      <c r="A107" s="214"/>
      <c r="B107" s="115"/>
      <c r="C107" s="39" t="s">
        <v>61</v>
      </c>
      <c r="D107" s="135"/>
      <c r="E107" s="74" t="e">
        <f>-SUM([1]Retail!$AQ$37:$AR$37)/1000/E94</f>
        <v>#DIV/0!</v>
      </c>
      <c r="F107" s="42" t="e">
        <f>-SUM([1]Retail!$AQ$38:$AR$38)/1000/F94</f>
        <v>#DIV/0!</v>
      </c>
      <c r="G107" s="42" t="e">
        <f>-SUM([1]Retail!$AQ$39:$AR$39)/1000/G94</f>
        <v>#DIV/0!</v>
      </c>
      <c r="H107" s="135"/>
      <c r="I107" s="73" t="e">
        <f>-SUM([1]SME!$AQ$37:$AR$37)/1000/I94</f>
        <v>#DIV/0!</v>
      </c>
      <c r="J107" s="42" t="e">
        <f>-SUM([1]SME!$AQ$38:$AR$38)/1000/J94</f>
        <v>#DIV/0!</v>
      </c>
      <c r="K107" s="42" t="e">
        <f>-SUM([1]SME!$AQ$39:$AR$39)/1000/K94</f>
        <v>#DIV/0!</v>
      </c>
      <c r="L107" s="135"/>
      <c r="M107" s="74">
        <f>-SUM([1]MidCorp!$AQ$37:$AR$37)/1000/M94</f>
        <v>4.4224684902667323E-2</v>
      </c>
      <c r="N107" s="42">
        <f>-SUM([1]MidCorp!$AQ$38:$AR$38)/1000/N94</f>
        <v>4.5912506303232861E-2</v>
      </c>
      <c r="O107" s="42">
        <f>-SUM([1]MidCorp!$AQ$39:$AR$39)/1000/O94</f>
        <v>4.9522692226070586E-2</v>
      </c>
      <c r="P107" s="135"/>
      <c r="Q107" s="74">
        <f>-SUM([1]MGA!$AQ$37:$AR$37)/1000/Q94</f>
        <v>1.3468648353794457E-5</v>
      </c>
      <c r="R107" s="42">
        <f>-SUM([1]MGA!$AQ$38:$AR$38)/1000/R94</f>
        <v>4.3321726624150805E-2</v>
      </c>
      <c r="S107" s="42" t="e">
        <f>-SUM([1]MGA!$AQ$39:$AR$39)/1000/S94</f>
        <v>#DIV/0!</v>
      </c>
      <c r="T107" s="135"/>
      <c r="U107" s="74" t="e">
        <f>-SUM([1]Bancassurance!$AQ$37:$AR$37)/1000/U94</f>
        <v>#DIV/0!</v>
      </c>
      <c r="V107" s="42" t="e">
        <f>-SUM([1]Bancassurance!$AQ$38:$AR$38)/1000/V94</f>
        <v>#DIV/0!</v>
      </c>
      <c r="W107" s="42" t="e">
        <f>-SUM([1]Bancassurance!$AQ$39:$AR$39)/1000/W94</f>
        <v>#DIV/0!</v>
      </c>
      <c r="X107" s="135"/>
      <c r="Y107" s="74">
        <f>-SUM([1]Specials!$AQ$37:$AR$37)/1000/Y94</f>
        <v>0</v>
      </c>
      <c r="Z107" s="42">
        <f>-SUM([1]Specials!$AQ$38:$AR$38)/1000/Z94</f>
        <v>0</v>
      </c>
      <c r="AA107" s="42" t="e">
        <f>-SUM([1]Specials!$AQ$39:$AR$39)/1000/AA94</f>
        <v>#DIV/0!</v>
      </c>
      <c r="AB107" s="135"/>
      <c r="AC107" s="85">
        <f>-SUM('[1]Total P&amp;C'!$AQ$37:$AR$37)/1000/AC94</f>
        <v>4.4087042905378869E-2</v>
      </c>
      <c r="AD107" s="60">
        <f>-SUM('[1]Total P&amp;C'!$AQ$38:$AR$38)/1000/AD94</f>
        <v>4.5839048837597519E-2</v>
      </c>
      <c r="AE107" s="60">
        <f>-SUM('[1]Total P&amp;C'!$AQ$39:$AR$39)/1000/AE94</f>
        <v>4.9522692226070586E-2</v>
      </c>
      <c r="AG107" s="212"/>
      <c r="AH107" s="115"/>
      <c r="AI107" s="39" t="s">
        <v>61</v>
      </c>
      <c r="AJ107" s="135"/>
      <c r="AK107" s="74" t="e">
        <f>-SUM([2]Retail!$AQ$37:$AR$37)/1000/AK94</f>
        <v>#DIV/0!</v>
      </c>
      <c r="AL107" s="42" t="e">
        <f>-SUM([2]Retail!$AQ$38:$AR$38)/1000/AL94</f>
        <v>#DIV/0!</v>
      </c>
      <c r="AM107" s="42" t="e">
        <f>-SUM([2]Retail!$AQ$39:$AR$39)/1000/AM94</f>
        <v>#DIV/0!</v>
      </c>
      <c r="AN107" s="135"/>
      <c r="AO107" s="73" t="e">
        <f>-SUM([2]SME!$AQ$37:$AR$37)/1000/AO94</f>
        <v>#DIV/0!</v>
      </c>
      <c r="AP107" s="42" t="e">
        <f>-SUM([2]SME!$AQ$38:$AR$38)/1000/AP94</f>
        <v>#DIV/0!</v>
      </c>
      <c r="AQ107" s="42" t="e">
        <f>-SUM([2]SME!$AQ$39:$AR$39)/1000/AQ94</f>
        <v>#DIV/0!</v>
      </c>
      <c r="AR107" s="135"/>
      <c r="AS107" s="73">
        <f>-SUM([2]MidCorp!$AQ$37:$AR$37)/1000/AS94</f>
        <v>0.19335157277546128</v>
      </c>
      <c r="AT107" s="42">
        <f>-SUM([2]MidCorp!$AQ$38:$AR$38)/1000/AT94</f>
        <v>0.16760133442354014</v>
      </c>
      <c r="AU107" s="42">
        <f>-SUM([2]MidCorp!$AQ$39:$AR$39)/1000/AU94</f>
        <v>0.16369211919049381</v>
      </c>
      <c r="AV107" s="135"/>
      <c r="AW107" s="97"/>
      <c r="AX107" s="42"/>
      <c r="AY107" s="42"/>
      <c r="AZ107" s="135"/>
      <c r="BA107" s="97"/>
      <c r="BB107" s="42"/>
      <c r="BC107" s="42"/>
      <c r="BD107" s="135"/>
      <c r="BE107" s="97"/>
      <c r="BF107" s="42"/>
      <c r="BG107" s="42"/>
      <c r="BH107" s="135"/>
      <c r="BI107" s="84">
        <f>-SUM('[2]Total P&amp;C'!$AQ$37:$AR$37)/1000/BI94</f>
        <v>0.19335157649596904</v>
      </c>
      <c r="BJ107" s="60">
        <f>-SUM('[2]Total P&amp;C'!$AQ$38:$AR$38)/1000/BJ94</f>
        <v>0.16760133442354014</v>
      </c>
      <c r="BK107" s="60">
        <f>-SUM('[2]Total P&amp;C'!$AQ$39:$AR$39)/1000/BK94</f>
        <v>0.16369211919049381</v>
      </c>
      <c r="BM107" s="84">
        <f>-SUM('[3]Total P&amp;C'!$AQ$37:$AR$37)/1000/BM94</f>
        <v>0.11261246163213963</v>
      </c>
      <c r="BN107" s="60">
        <f>-SUM('[3]Total P&amp;C'!$AQ$38:$AR$38)/1000/BN94</f>
        <v>0.10447051286257704</v>
      </c>
      <c r="BO107" s="60">
        <f>-SUM('[3]Total P&amp;C'!$AQ$39:$AR$39)/1000/BO94</f>
        <v>0.10487933865579706</v>
      </c>
    </row>
    <row r="108" spans="1:67" ht="16.5" hidden="1" customHeight="1" outlineLevel="1" x14ac:dyDescent="0.3">
      <c r="A108" s="214"/>
      <c r="B108" s="115"/>
      <c r="C108" s="116" t="s">
        <v>34</v>
      </c>
      <c r="D108" s="117"/>
      <c r="E108" s="118">
        <f>+[1]Retail!$BK$37/1000</f>
        <v>0.02</v>
      </c>
      <c r="F108" s="119">
        <f>+[1]Retail!$BK$38/1000</f>
        <v>0</v>
      </c>
      <c r="G108" s="119">
        <f>+[1]Retail!$BK$39/1000</f>
        <v>0</v>
      </c>
      <c r="H108" s="117"/>
      <c r="I108" s="121">
        <f>+[1]SME!$BK$37/1000</f>
        <v>0</v>
      </c>
      <c r="J108" s="119">
        <f>+[1]SME!$BK$38/1000</f>
        <v>-3.9649999999999999E-4</v>
      </c>
      <c r="K108" s="119">
        <f>+[1]SME!$BK$39/1000</f>
        <v>0</v>
      </c>
      <c r="L108" s="117"/>
      <c r="M108" s="121">
        <f>+[1]MidCorp!$BK$37/1000</f>
        <v>0.70654321000000053</v>
      </c>
      <c r="N108" s="119">
        <f>+[1]MidCorp!$BK$38/1000</f>
        <v>0.79013541999999781</v>
      </c>
      <c r="O108" s="119">
        <f>+[1]MidCorp!$BK$39/1000</f>
        <v>1.0376181700025522</v>
      </c>
      <c r="P108" s="117"/>
      <c r="Q108" s="118">
        <f>+[1]MGA!$BK$37/1000</f>
        <v>3.9769999999999573E-5</v>
      </c>
      <c r="R108" s="119">
        <f>+[1]MGA!$BK$38/1000</f>
        <v>1.2374299999999994E-3</v>
      </c>
      <c r="S108" s="119">
        <f>+[1]MGA!$BK$39/1000</f>
        <v>0</v>
      </c>
      <c r="T108" s="117"/>
      <c r="U108" s="121">
        <f>+[1]Bancassurance!$BK$37/1000</f>
        <v>0</v>
      </c>
      <c r="V108" s="119">
        <f>+[1]Bancassurance!$BK$38/1000</f>
        <v>0</v>
      </c>
      <c r="W108" s="119">
        <f>+[1]Bancassurance!$BK$39/1000</f>
        <v>0</v>
      </c>
      <c r="X108" s="117"/>
      <c r="Y108" s="118">
        <f>+[1]Specials!$BK$37/1000</f>
        <v>2.1283480000000066E-2</v>
      </c>
      <c r="Z108" s="119">
        <f>+[1]Specials!$BK$38/1000</f>
        <v>-3.5149089999999966E-2</v>
      </c>
      <c r="AA108" s="119">
        <f>+[1]Specials!$BK$39/1000</f>
        <v>0</v>
      </c>
      <c r="AB108" s="117"/>
      <c r="AC108" s="124">
        <f>+'[1]Total P&amp;C'!$BK$37/1000</f>
        <v>0.74786646000000023</v>
      </c>
      <c r="AD108" s="123">
        <f>+'[1]Total P&amp;C'!$BK$38/1000</f>
        <v>0.75582725999999856</v>
      </c>
      <c r="AE108" s="123">
        <f>+'[1]Total P&amp;C'!$BK$39/1000</f>
        <v>1.0376181700025522</v>
      </c>
      <c r="AG108" s="212"/>
      <c r="AH108" s="115"/>
      <c r="AI108" s="116" t="s">
        <v>34</v>
      </c>
      <c r="AJ108" s="117"/>
      <c r="AK108" s="121">
        <f>+[2]Retail!$BK$37/1000</f>
        <v>0</v>
      </c>
      <c r="AL108" s="119">
        <f>+[2]Retail!$BK$38/1000</f>
        <v>0</v>
      </c>
      <c r="AM108" s="119">
        <f>+[2]Retail!$BK$39/1000</f>
        <v>0</v>
      </c>
      <c r="AN108" s="117"/>
      <c r="AO108" s="121">
        <f>+[2]SME!$BK$37/1000</f>
        <v>-1.5561899999999801E-3</v>
      </c>
      <c r="AP108" s="119">
        <f>+[2]SME!$BK$38/1000</f>
        <v>0.12921627000000005</v>
      </c>
      <c r="AQ108" s="119">
        <f>+[2]SME!$BK$39/1000</f>
        <v>0</v>
      </c>
      <c r="AR108" s="117"/>
      <c r="AS108" s="118">
        <f>+[2]MidCorp!$BK$37/1000</f>
        <v>0.35516687999999202</v>
      </c>
      <c r="AT108" s="119">
        <f>+[2]MidCorp!$BK$38/1000</f>
        <v>-1.38750047</v>
      </c>
      <c r="AU108" s="119">
        <f>+[2]MidCorp!$BK$39/1000</f>
        <v>0.32120780731393511</v>
      </c>
      <c r="AV108" s="117"/>
      <c r="AW108" s="121"/>
      <c r="AX108" s="119"/>
      <c r="AY108" s="119"/>
      <c r="AZ108" s="117"/>
      <c r="BA108" s="121"/>
      <c r="BB108" s="119"/>
      <c r="BC108" s="119"/>
      <c r="BD108" s="117"/>
      <c r="BE108" s="121"/>
      <c r="BF108" s="119"/>
      <c r="BG108" s="119"/>
      <c r="BH108" s="117"/>
      <c r="BI108" s="122">
        <f>+'[2]Total P&amp;C'!$BK$37/1000</f>
        <v>0.35361068999999129</v>
      </c>
      <c r="BJ108" s="123">
        <f>+'[2]Total P&amp;C'!$BK$38/1000</f>
        <v>-1.2582841999999987</v>
      </c>
      <c r="BK108" s="123">
        <f>+'[2]Total P&amp;C'!$BK$39/1000</f>
        <v>0.32120780731393511</v>
      </c>
      <c r="BM108" s="124">
        <f>+'[3]Total P&amp;C'!$BK$37/1000</f>
        <v>1.1014771499999976</v>
      </c>
      <c r="BN108" s="123">
        <f>+'[3]Total P&amp;C'!$BK$38/1000</f>
        <v>-0.50245694000000374</v>
      </c>
      <c r="BO108" s="123">
        <f>+'[3]Total P&amp;C'!$BK$39/1000</f>
        <v>1.3588259773164886</v>
      </c>
    </row>
    <row r="109" spans="1:67" s="152" customFormat="1" ht="17.5" hidden="1" collapsed="1" x14ac:dyDescent="0.35">
      <c r="AG109" s="154"/>
    </row>
    <row r="110" spans="1:67" hidden="1" x14ac:dyDescent="0.3">
      <c r="A110" s="215" t="s">
        <v>63</v>
      </c>
      <c r="B110" s="115"/>
      <c r="C110" s="116" t="s">
        <v>19</v>
      </c>
      <c r="D110" s="117"/>
      <c r="E110" s="118">
        <f>+[1]Retail!$C$98/1000</f>
        <v>0.26423783999999995</v>
      </c>
      <c r="F110" s="119">
        <f>+[1]Retail!$C$99/1000</f>
        <v>0.32629632999999991</v>
      </c>
      <c r="G110" s="119">
        <f>+[1]Retail!$C$100/1000</f>
        <v>0</v>
      </c>
      <c r="H110" s="117"/>
      <c r="I110" s="120">
        <f>+[1]SME!$C$98/1000</f>
        <v>7.9912013099999992</v>
      </c>
      <c r="J110" s="119">
        <f>+[1]SME!$C$99/1000</f>
        <v>8.3559709099999999</v>
      </c>
      <c r="K110" s="119">
        <f>+[1]SME!$C$100/1000</f>
        <v>8.0388500000000001</v>
      </c>
      <c r="L110" s="117"/>
      <c r="M110" s="121">
        <f>+[1]MidCorp!$C$98/1000</f>
        <v>48.920959830000001</v>
      </c>
      <c r="N110" s="119">
        <f>+[1]MidCorp!$C$99/1000</f>
        <v>48.344526350000002</v>
      </c>
      <c r="O110" s="119">
        <f>+[1]MidCorp!$C$100/1000</f>
        <v>51.247390000000003</v>
      </c>
      <c r="P110" s="117"/>
      <c r="Q110" s="121">
        <f>+[1]MGA!$C$98/1000</f>
        <v>1.06793541</v>
      </c>
      <c r="R110" s="119">
        <f>+[1]MGA!$C$99/1000</f>
        <v>0.72135705999999999</v>
      </c>
      <c r="S110" s="119">
        <f>+[1]MGA!$C$100/1000</f>
        <v>1.17015</v>
      </c>
      <c r="T110" s="117"/>
      <c r="U110" s="118">
        <f>+[1]Bancassurance!$C$98/1000</f>
        <v>0.56855008000000107</v>
      </c>
      <c r="V110" s="119">
        <f>+[1]Bancassurance!$C$99/1000</f>
        <v>0.22720669999999982</v>
      </c>
      <c r="W110" s="119">
        <f>+[1]Bancassurance!$C$100/1000</f>
        <v>0.46499000000000001</v>
      </c>
      <c r="X110" s="117"/>
      <c r="Y110" s="121">
        <f>+[1]Specials!$C$98/1000</f>
        <v>0</v>
      </c>
      <c r="Z110" s="119">
        <f>+[1]Specials!$C$99/1000</f>
        <v>0</v>
      </c>
      <c r="AA110" s="119">
        <f>+[1]Specials!$C$100/1000</f>
        <v>0</v>
      </c>
      <c r="AB110" s="117"/>
      <c r="AC110" s="124">
        <f>+'[1]Total P&amp;C'!$C$98/1000</f>
        <v>58.81288447</v>
      </c>
      <c r="AD110" s="123">
        <f>+'[1]Total P&amp;C'!$C$99/1000</f>
        <v>57.975357350000003</v>
      </c>
      <c r="AE110" s="123">
        <f>+'[1]Total P&amp;C'!$C$100/1000</f>
        <v>60.921379999999999</v>
      </c>
      <c r="AG110" s="215" t="s">
        <v>63</v>
      </c>
      <c r="AH110" s="115"/>
      <c r="AI110" s="116" t="s">
        <v>19</v>
      </c>
      <c r="AJ110" s="117"/>
      <c r="AK110" s="121">
        <f>+[2]Retail!$C$98/1000</f>
        <v>1.7562625100000002</v>
      </c>
      <c r="AL110" s="119">
        <f>+[2]Retail!$C$99/1000</f>
        <v>1.79275864</v>
      </c>
      <c r="AM110" s="119">
        <f>+[2]Retail!$C$100/1000</f>
        <v>1.80089528337227</v>
      </c>
      <c r="AN110" s="117"/>
      <c r="AO110" s="118">
        <f>+[2]SME!$C$98/1000</f>
        <v>3.5772385500000001</v>
      </c>
      <c r="AP110" s="119">
        <f>+[2]SME!$C$99/1000</f>
        <v>3.5668428100000003</v>
      </c>
      <c r="AQ110" s="119">
        <f>+[2]SME!$C$100/1000</f>
        <v>3.4141730273103246</v>
      </c>
      <c r="AR110" s="117"/>
      <c r="AS110" s="118">
        <f>+[2]MidCorp!$C$98/1000</f>
        <v>15.050518130000007</v>
      </c>
      <c r="AT110" s="119">
        <f>+[2]MidCorp!$C$99/1000</f>
        <v>14.164487099999999</v>
      </c>
      <c r="AU110" s="119">
        <f>+[2]MidCorp!$C$100/1000</f>
        <v>14.436148819709747</v>
      </c>
      <c r="AV110" s="117"/>
      <c r="AW110" s="121"/>
      <c r="AX110" s="119"/>
      <c r="AY110" s="119"/>
      <c r="AZ110" s="117"/>
      <c r="BA110" s="121"/>
      <c r="BB110" s="119"/>
      <c r="BC110" s="119"/>
      <c r="BD110" s="117"/>
      <c r="BE110" s="121"/>
      <c r="BF110" s="119"/>
      <c r="BG110" s="119"/>
      <c r="BH110" s="117"/>
      <c r="BI110" s="122">
        <f>+'[2]Total P&amp;C'!$C$98/1000</f>
        <v>20.384019190000007</v>
      </c>
      <c r="BJ110" s="123">
        <f>+'[2]Total P&amp;C'!$C$99/1000</f>
        <v>19.524088550000002</v>
      </c>
      <c r="BK110" s="123">
        <f>+'[2]Total P&amp;C'!$C$100/1000</f>
        <v>19.65121713039234</v>
      </c>
      <c r="BM110" s="125">
        <f>+'[3]Total P&amp;C'!$C$98/1000</f>
        <v>79.196903660000004</v>
      </c>
      <c r="BN110" s="123">
        <f>+'[3]Total P&amp;C'!$C$99/1000</f>
        <v>77.499445900000012</v>
      </c>
      <c r="BO110" s="123">
        <f>+'[3]Total P&amp;C'!$C$100/1000</f>
        <v>80.572597130392325</v>
      </c>
    </row>
    <row r="111" spans="1:67" hidden="1" x14ac:dyDescent="0.3">
      <c r="A111" s="215"/>
      <c r="B111" s="115"/>
      <c r="C111" s="116" t="s">
        <v>55</v>
      </c>
      <c r="D111" s="117"/>
      <c r="E111" s="118">
        <f>+[1]Retail!$N$98/1000</f>
        <v>0.2628706899999998</v>
      </c>
      <c r="F111" s="119">
        <f>+[1]Retail!$N$99/1000</f>
        <v>0.33039135999999925</v>
      </c>
      <c r="G111" s="119">
        <f>+[1]Retail!$N$100/1000</f>
        <v>0</v>
      </c>
      <c r="H111" s="117"/>
      <c r="I111" s="118">
        <f>+[1]SME!$N$98/1000</f>
        <v>4.1460000599999995</v>
      </c>
      <c r="J111" s="119">
        <f>+[1]SME!$N$99/1000</f>
        <v>4.4435567100000002</v>
      </c>
      <c r="K111" s="119">
        <f>+[1]SME!$N$100/1000</f>
        <v>3.9138063803492953</v>
      </c>
      <c r="L111" s="117"/>
      <c r="M111" s="121">
        <f>+[1]MidCorp!$N$98/1000</f>
        <v>18.003895629999999</v>
      </c>
      <c r="N111" s="119">
        <f>+[1]MidCorp!$N$99/1000</f>
        <v>18.433506699999999</v>
      </c>
      <c r="O111" s="119">
        <f>+[1]MidCorp!$N$100/1000</f>
        <v>20.504317930791434</v>
      </c>
      <c r="P111" s="117"/>
      <c r="Q111" s="121">
        <f>+[1]MGA!$N$98/1000</f>
        <v>0.72203911999999981</v>
      </c>
      <c r="R111" s="119">
        <f>+[1]MGA!$N$99/1000</f>
        <v>0.56484365999999964</v>
      </c>
      <c r="S111" s="119">
        <f>+[1]MGA!$N$100/1000</f>
        <v>1.095</v>
      </c>
      <c r="T111" s="117"/>
      <c r="U111" s="121">
        <f>+[1]Bancassurance!$N$98/1000</f>
        <v>0.3839864199999995</v>
      </c>
      <c r="V111" s="119">
        <f>+[1]Bancassurance!$N$99/1000</f>
        <v>0.15421565999999981</v>
      </c>
      <c r="W111" s="119">
        <f>+[1]Bancassurance!$N$100/1000</f>
        <v>0.52588297610942858</v>
      </c>
      <c r="X111" s="117"/>
      <c r="Y111" s="121">
        <f>+[1]Specials!$N$98/1000</f>
        <v>0</v>
      </c>
      <c r="Z111" s="119">
        <f>+[1]Specials!$N$99/1000</f>
        <v>0</v>
      </c>
      <c r="AA111" s="119">
        <f>+[1]Specials!$N$100/1000</f>
        <v>0</v>
      </c>
      <c r="AB111" s="117"/>
      <c r="AC111" s="124">
        <f>+'[1]Total P&amp;C'!$N$98/1000</f>
        <v>23.518791919999998</v>
      </c>
      <c r="AD111" s="123">
        <f>+'[1]Total P&amp;C'!$N$99/1000</f>
        <v>23.926514089999994</v>
      </c>
      <c r="AE111" s="123">
        <f>+'[1]Total P&amp;C'!$N$100/1000</f>
        <v>26.039007287250154</v>
      </c>
      <c r="AG111" s="215"/>
      <c r="AH111" s="115"/>
      <c r="AI111" s="116" t="s">
        <v>55</v>
      </c>
      <c r="AJ111" s="117"/>
      <c r="AK111" s="121">
        <f>+[2]Retail!$N$98/1000</f>
        <v>1.7474754400000003</v>
      </c>
      <c r="AL111" s="119">
        <f>+[2]Retail!$N$99/1000</f>
        <v>1.7681547000000009</v>
      </c>
      <c r="AM111" s="119">
        <f>+[2]Retail!$N$100/1000</f>
        <v>1.7948952092239718</v>
      </c>
      <c r="AN111" s="117"/>
      <c r="AO111" s="121">
        <f>+[2]SME!$N$98/1000</f>
        <v>1.7991692700000017</v>
      </c>
      <c r="AP111" s="119">
        <f>+[2]SME!$N$99/1000</f>
        <v>1.8372187900000008</v>
      </c>
      <c r="AQ111" s="119">
        <f>+[2]SME!$N$100/1000</f>
        <v>1.8385269787856031</v>
      </c>
      <c r="AR111" s="117"/>
      <c r="AS111" s="118">
        <f>+[2]MidCorp!$N$98/1000</f>
        <v>6.4189702700000071</v>
      </c>
      <c r="AT111" s="119">
        <f>+[2]MidCorp!$N$99/1000</f>
        <v>6.6598230999999934</v>
      </c>
      <c r="AU111" s="119">
        <f>+[2]MidCorp!$N$100/1000</f>
        <v>6.3724260842995628</v>
      </c>
      <c r="AV111" s="117"/>
      <c r="AW111" s="121"/>
      <c r="AX111" s="119"/>
      <c r="AY111" s="119"/>
      <c r="AZ111" s="117"/>
      <c r="BA111" s="121"/>
      <c r="BB111" s="119"/>
      <c r="BC111" s="119"/>
      <c r="BD111" s="117"/>
      <c r="BE111" s="121"/>
      <c r="BF111" s="119"/>
      <c r="BG111" s="119"/>
      <c r="BH111" s="117"/>
      <c r="BI111" s="125">
        <f>+'[2]Total P&amp;C'!$N$98/1000</f>
        <v>9.9656149800000087</v>
      </c>
      <c r="BJ111" s="123">
        <f>+'[2]Total P&amp;C'!$N$99/1000</f>
        <v>10.265196589999995</v>
      </c>
      <c r="BK111" s="123">
        <f>+'[2]Total P&amp;C'!$N$100/1000</f>
        <v>10.005848272309137</v>
      </c>
      <c r="BM111" s="124">
        <f>+'[3]Total P&amp;C'!$N$98/1000</f>
        <v>33.48440690000001</v>
      </c>
      <c r="BN111" s="123">
        <f>+'[3]Total P&amp;C'!$N$99/1000</f>
        <v>34.191710679999986</v>
      </c>
      <c r="BO111" s="123">
        <f>+'[3]Total P&amp;C'!$N$100/1000</f>
        <v>36.044855559559295</v>
      </c>
    </row>
    <row r="112" spans="1:67" hidden="1" x14ac:dyDescent="0.3">
      <c r="A112" s="215"/>
      <c r="B112" s="115"/>
      <c r="C112" s="116" t="s">
        <v>21</v>
      </c>
      <c r="D112" s="117"/>
      <c r="E112" s="126">
        <f>+E113+E118+E119+E120+E121</f>
        <v>4.115673755792252</v>
      </c>
      <c r="F112" s="127">
        <f>+F113+F118+F119+F120+F121</f>
        <v>0.38411264749780472</v>
      </c>
      <c r="G112" s="127" t="e">
        <f>+G113+G118+G119+G120+G121</f>
        <v>#DIV/0!</v>
      </c>
      <c r="H112" s="117"/>
      <c r="I112" s="128">
        <f>+I113+I118+I119+I120+I121</f>
        <v>0.95755831465183328</v>
      </c>
      <c r="J112" s="127">
        <f>+J113+J118+J119+J120+J121</f>
        <v>0.32633025853742226</v>
      </c>
      <c r="K112" s="127">
        <f>+K113+K118+K119+K120+K121</f>
        <v>0.83992314680861846</v>
      </c>
      <c r="L112" s="117"/>
      <c r="M112" s="126">
        <f>+M113+M118+M119+M120+M121</f>
        <v>0.77098080855737594</v>
      </c>
      <c r="N112" s="127">
        <f>+N113+N118+N119+N120+N121</f>
        <v>0.98856114827028518</v>
      </c>
      <c r="O112" s="127">
        <f>+O113+O118+O119+O120+O121</f>
        <v>0.82872393591710614</v>
      </c>
      <c r="P112" s="117"/>
      <c r="Q112" s="126">
        <f>+Q113+Q118+Q119+Q120+Q121</f>
        <v>2.5145867442748493E-3</v>
      </c>
      <c r="R112" s="127">
        <f>+R113+R118+R119+R120+R121</f>
        <v>-0.32224350362718063</v>
      </c>
      <c r="S112" s="127">
        <f>+S113+S118+S119+S120+S121</f>
        <v>0.97636570352856933</v>
      </c>
      <c r="T112" s="117"/>
      <c r="U112" s="126">
        <f>+U113+U118+U119+U120+U121</f>
        <v>0.29495037871391405</v>
      </c>
      <c r="V112" s="127"/>
      <c r="W112" s="127">
        <f>+W113+W118+W119+W120+W121</f>
        <v>0.82441390991400509</v>
      </c>
      <c r="X112" s="117"/>
      <c r="Y112" s="131"/>
      <c r="Z112" s="127"/>
      <c r="AA112" s="127"/>
      <c r="AB112" s="117"/>
      <c r="AC112" s="132">
        <f>+AC113+AC118+AC119+AC120+AC121</f>
        <v>0.81031854250105551</v>
      </c>
      <c r="AD112" s="130">
        <f>+AD113+AD118+AD119+AD120+AD121</f>
        <v>0.8264119802668678</v>
      </c>
      <c r="AE112" s="130">
        <f>+AE113+AE118+AE119+AE120+AE121</f>
        <v>0.8395692457856907</v>
      </c>
      <c r="AG112" s="215"/>
      <c r="AH112" s="115"/>
      <c r="AI112" s="116" t="s">
        <v>21</v>
      </c>
      <c r="AJ112" s="117"/>
      <c r="AK112" s="128">
        <f>+AK113+AK118+AK119+AK120+AK121</f>
        <v>1.211895744869524</v>
      </c>
      <c r="AL112" s="127">
        <f>+AL113+AL118+AL119+AL120+AL121</f>
        <v>2.1588569823669825</v>
      </c>
      <c r="AM112" s="127">
        <f>+AM113+AM118+AM119+AM120+AM121</f>
        <v>0.96290031861907521</v>
      </c>
      <c r="AN112" s="117"/>
      <c r="AO112" s="128">
        <f>+AO113+AO118+AO119+AO120+AO121</f>
        <v>1.6034457725036604</v>
      </c>
      <c r="AP112" s="127">
        <f>+AP113+AP118+AP119+AP120+AP121</f>
        <v>2.1529685258662061</v>
      </c>
      <c r="AQ112" s="127">
        <f>+AQ113+AQ118+AQ119+AQ120+AQ121</f>
        <v>1.1157193965102108</v>
      </c>
      <c r="AR112" s="117"/>
      <c r="AS112" s="128">
        <f>+AS113+AS118+AS119+AS120+AS121</f>
        <v>1.113896964660656</v>
      </c>
      <c r="AT112" s="127">
        <f>+AT113+AT118+AT119+AT120+AT121</f>
        <v>0.74219935061037967</v>
      </c>
      <c r="AU112" s="127">
        <f>+AU113+AU118+AU119+AU120+AU121</f>
        <v>1.0053972051097042</v>
      </c>
      <c r="AV112" s="117"/>
      <c r="AW112" s="131"/>
      <c r="AX112" s="127"/>
      <c r="AY112" s="127"/>
      <c r="AZ112" s="117"/>
      <c r="BA112" s="131"/>
      <c r="BB112" s="127"/>
      <c r="BC112" s="127"/>
      <c r="BD112" s="117"/>
      <c r="BE112" s="131"/>
      <c r="BF112" s="127"/>
      <c r="BG112" s="127"/>
      <c r="BH112" s="117"/>
      <c r="BI112" s="129">
        <f>+BI113+BI118+BI119+BI120+BI121</f>
        <v>1.2194631173679948</v>
      </c>
      <c r="BJ112" s="130">
        <f>+BJ113+BJ118+BJ119+BJ120+BJ121</f>
        <v>1.2387082525420983</v>
      </c>
      <c r="BK112" s="130">
        <f>+BK113+BK118+BK119+BK120+BK121</f>
        <v>1.0180450950072399</v>
      </c>
      <c r="BM112" s="129">
        <f>+BM113+BM118+BM119+BM120+BM121</f>
        <v>0.93208797734446325</v>
      </c>
      <c r="BN112" s="130">
        <f>+BN113+BN118+BN119+BN120+BN121</f>
        <v>0.95019351105482663</v>
      </c>
      <c r="BO112" s="130">
        <f>+BO113+BO118+BO119+BO120+BO121</f>
        <v>0.88911313325200436</v>
      </c>
    </row>
    <row r="113" spans="1:67" hidden="1" x14ac:dyDescent="0.3">
      <c r="A113" s="215"/>
      <c r="B113" s="115"/>
      <c r="C113" s="116" t="s">
        <v>56</v>
      </c>
      <c r="D113" s="117"/>
      <c r="E113" s="126">
        <f>+E114+E115+E116+E117</f>
        <v>1.7123552268227388E-2</v>
      </c>
      <c r="F113" s="127">
        <f>+F114+F115+F116+F117</f>
        <v>0.58715218824124338</v>
      </c>
      <c r="G113" s="127" t="e">
        <f>+G114+G115+G116+G117</f>
        <v>#DIV/0!</v>
      </c>
      <c r="H113" s="117"/>
      <c r="I113" s="126">
        <f>+I114+I115+I116+I117</f>
        <v>0.43327996237414429</v>
      </c>
      <c r="J113" s="127">
        <f>+J114+J115+J116+J117</f>
        <v>0.50749429053646533</v>
      </c>
      <c r="K113" s="127">
        <f>+K114+K115+K116+K117</f>
        <v>0.49674186173608431</v>
      </c>
      <c r="L113" s="117"/>
      <c r="M113" s="128">
        <f>+M114+M115+M116+M117</f>
        <v>0.63100824474175232</v>
      </c>
      <c r="N113" s="127">
        <f>+N114+N115+N116+N117</f>
        <v>0.65974613012726424</v>
      </c>
      <c r="O113" s="127">
        <f>+O114+O115+O116+O117</f>
        <v>0.61558945165435708</v>
      </c>
      <c r="P113" s="117"/>
      <c r="Q113" s="128">
        <f>+Q114+Q115+Q116+Q117</f>
        <v>0.70189958682571119</v>
      </c>
      <c r="R113" s="127">
        <f>+R114+R115+R116+R117</f>
        <v>0.56811782219526064</v>
      </c>
      <c r="S113" s="127">
        <f>+S114+S115+S116+S117</f>
        <v>0.58235940833323296</v>
      </c>
      <c r="T113" s="117"/>
      <c r="U113" s="128">
        <f>+U114+U115+U116+U117</f>
        <v>0.57086623011303439</v>
      </c>
      <c r="V113" s="127"/>
      <c r="W113" s="127">
        <f>+W114+W115+W116+W117</f>
        <v>0.47703279987202263</v>
      </c>
      <c r="X113" s="117"/>
      <c r="Y113" s="131"/>
      <c r="Z113" s="127"/>
      <c r="AA113" s="127"/>
      <c r="AB113" s="117"/>
      <c r="AC113" s="132">
        <f>+AC114+AC115+AC116+AC117</f>
        <v>0.5904848555673603</v>
      </c>
      <c r="AD113" s="130">
        <f>+AD114+AD115+AD116+AD117</f>
        <v>0.62668239400017023</v>
      </c>
      <c r="AE113" s="130">
        <f>+AE114+AE115+AE116+AE117</f>
        <v>0.59430366909308274</v>
      </c>
      <c r="AG113" s="215"/>
      <c r="AH113" s="115"/>
      <c r="AI113" s="116" t="s">
        <v>56</v>
      </c>
      <c r="AJ113" s="117"/>
      <c r="AK113" s="128">
        <f>+AK114+AK115+AK116+AK117</f>
        <v>0.48928180072161698</v>
      </c>
      <c r="AL113" s="127">
        <f>+AL114+AL115+AL116+AL117</f>
        <v>0.80632169798264786</v>
      </c>
      <c r="AM113" s="127">
        <f>+AM114+AM115+AM116+AM117</f>
        <v>0.4777181459946287</v>
      </c>
      <c r="AN113" s="117"/>
      <c r="AO113" s="128">
        <f>+AO114+AO115+AO116+AO117</f>
        <v>0.62745364698230921</v>
      </c>
      <c r="AP113" s="127">
        <f>+AP114+AP115+AP116+AP117</f>
        <v>0.5541662514784097</v>
      </c>
      <c r="AQ113" s="127">
        <f>+AQ114+AQ115+AQ116+AQ117</f>
        <v>0.53162835367601136</v>
      </c>
      <c r="AR113" s="117"/>
      <c r="AS113" s="128">
        <f>+AS114+AS115+AS116+AS117</f>
        <v>0.70846661204430139</v>
      </c>
      <c r="AT113" s="127">
        <f>+AT114+AT115+AT116+AT117</f>
        <v>0.64943401574735582</v>
      </c>
      <c r="AU113" s="127">
        <f>+AU114+AU115+AU116+AU117</f>
        <v>0.65786794897142031</v>
      </c>
      <c r="AV113" s="117"/>
      <c r="AW113" s="131"/>
      <c r="AX113" s="127"/>
      <c r="AY113" s="127"/>
      <c r="AZ113" s="117"/>
      <c r="BA113" s="131"/>
      <c r="BB113" s="127"/>
      <c r="BC113" s="127"/>
      <c r="BD113" s="117"/>
      <c r="BE113" s="131"/>
      <c r="BF113" s="127"/>
      <c r="BG113" s="127"/>
      <c r="BH113" s="117"/>
      <c r="BI113" s="129">
        <f>+BI114+BI115+BI116+BI117</f>
        <v>0.65540655374586776</v>
      </c>
      <c r="BJ113" s="130">
        <f>+BJ114+BJ115+BJ116+BJ117</f>
        <v>0.65940693396890937</v>
      </c>
      <c r="BK113" s="130">
        <f>+BK114+BK115+BK116+BK117</f>
        <v>0.60235592191176091</v>
      </c>
      <c r="BM113" s="133">
        <f>+BM114+BM115+BM116+BM117</f>
        <v>0.60980682384432483</v>
      </c>
      <c r="BN113" s="130">
        <f>+BN114+BN115+BN116+BN117</f>
        <v>0.63650710968170865</v>
      </c>
      <c r="BO113" s="130">
        <f>+BO114+BO115+BO116+BO117</f>
        <v>0.59653892898532535</v>
      </c>
    </row>
    <row r="114" spans="1:67" ht="14.5" hidden="1" x14ac:dyDescent="0.3">
      <c r="A114" s="215"/>
      <c r="B114" s="115"/>
      <c r="C114" s="38" t="s">
        <v>23</v>
      </c>
      <c r="D114" s="117"/>
      <c r="E114" s="74">
        <f>-SUM([1]Retail!$O$98,[1]Retail!$R$98:$V$98,[1]Retail!$Y$98,[1]Retail!$AB$98,[1]Retail!$AU$98,[1]Retail!$AX$98,[1]Retail!$BA$98,[1]Retail!$BD$98)/1000/E111</f>
        <v>1.6824241607156731E-2</v>
      </c>
      <c r="F114" s="42">
        <f>-SUM([1]Retail!$O$99,[1]Retail!$R$99:$V$99,[1]Retail!$Y$99,[1]Retail!$AB$99,[1]Retail!$AU$99,[1]Retail!$AX$99,[1]Retail!$BA$99,[1]Retail!$BD$99)/1000/F111</f>
        <v>0.40967427874442325</v>
      </c>
      <c r="G114" s="42" t="e">
        <f>-SUM([1]Retail!$O$100,[1]Retail!$R$100:$V$100,[1]Retail!$Y$100,[1]Retail!$AB$100,[1]Retail!$AU$100,[1]Retail!$AX$100,[1]Retail!$BA$100,[1]Retail!$BD$100)/1000/G111</f>
        <v>#DIV/0!</v>
      </c>
      <c r="H114" s="117"/>
      <c r="I114" s="74">
        <f>-SUM([1]SME!$O$98,[1]SME!$R$98:$V$98,[1]SME!$Y$98,[1]SME!$AB$98,[1]SME!$AU$98,[1]SME!$AX$98,[1]SME!$BA$98,[1]SME!$BD$98)/1000/I111</f>
        <v>0.2969758429060616</v>
      </c>
      <c r="J114" s="42">
        <f>-SUM([1]SME!$O$99,[1]SME!$R$99:$V$99,[1]SME!$Y$99,[1]SME!$AB$99,[1]SME!$AU$99,[1]SME!$AX$99,[1]SME!$BA$99,[1]SME!$BD$99)/1000/J111</f>
        <v>0.34915447463095273</v>
      </c>
      <c r="K114" s="42">
        <f>-SUM([1]SME!$O$100,[1]SME!$R$100:$V$100,[1]SME!$Y$100,[1]SME!$AB$100,[1]SME!$AU$100,[1]SME!$AX$100,[1]SME!$BA$100,[1]SME!$BD$100)/1000/K111</f>
        <v>0.36448324661850406</v>
      </c>
      <c r="L114" s="117"/>
      <c r="M114" s="73">
        <f>-SUM([1]MidCorp!$O$98,[1]MidCorp!$R$98:$V$98,[1]MidCorp!$Y$98,[1]MidCorp!$AB$98,[1]MidCorp!$AU$98,[1]MidCorp!$AX$98,[1]MidCorp!$BA$98,[1]MidCorp!$BD$98)/1000/M111</f>
        <v>0.47737452031714811</v>
      </c>
      <c r="N114" s="42">
        <f>-SUM([1]MidCorp!$O$99,[1]MidCorp!$R$99:$V$99,[1]MidCorp!$Y$99,[1]MidCorp!$AB$99,[1]MidCorp!$AU$99,[1]MidCorp!$AX$99,[1]MidCorp!$BA$99,[1]MidCorp!$BD$99)/1000/N111</f>
        <v>0.5295640103758863</v>
      </c>
      <c r="O114" s="42">
        <f>-SUM([1]MidCorp!$O$100,[1]MidCorp!$R$100:$V$100,[1]MidCorp!$Y$100,[1]MidCorp!$AB$100,[1]MidCorp!$AU$100,[1]MidCorp!$AX$100,[1]MidCorp!$BA$100,[1]MidCorp!$BD$100)/1000/O111</f>
        <v>0.46303475451648596</v>
      </c>
      <c r="P114" s="117"/>
      <c r="Q114" s="73">
        <f>-SUM([1]MGA!$O$98,[1]MGA!$R$98:$V$98,[1]MGA!$Y$98,[1]MGA!$AB$98,[1]MGA!$AU$98,[1]MGA!$AX$98,[1]MGA!$BA$98,[1]MGA!$BD$98)/1000/Q111</f>
        <v>0.65700570351368237</v>
      </c>
      <c r="R114" s="42">
        <f>-SUM([1]MGA!$O$99,[1]MGA!$R$99:$V$99,[1]MGA!$Y$99,[1]MGA!$AB$99,[1]MGA!$AU$99,[1]MGA!$AX$99,[1]MGA!$BA$99,[1]MGA!$BD$99)/1000/R111</f>
        <v>0.50386506949551357</v>
      </c>
      <c r="S114" s="42">
        <f>-SUM([1]MGA!$O$100,[1]MGA!$R$100:$V$100,[1]MGA!$Y$100,[1]MGA!$AB$100,[1]MGA!$AU$100,[1]MGA!$AX$100,[1]MGA!$BA$100,[1]MGA!$BD$100)/1000/S111</f>
        <v>0.46588707146509639</v>
      </c>
      <c r="T114" s="117"/>
      <c r="U114" s="73">
        <f>-SUM([1]Bancassurance!$O$98,[1]Bancassurance!$R$98:$V$98,[1]Bancassurance!$Y$98,[1]Bancassurance!$AB$98,[1]Bancassurance!$AU$98,[1]Bancassurance!$AX$98,[1]Bancassurance!$BA$98,[1]Bancassurance!$BD$98)/1000/U111</f>
        <v>0.53740153102289467</v>
      </c>
      <c r="V114" s="42"/>
      <c r="W114" s="42">
        <f>-SUM([1]Bancassurance!$O$100,[1]Bancassurance!$R$100:$V$100,[1]Bancassurance!$Y$100,[1]Bancassurance!$AB$100,[1]Bancassurance!$AU$100,[1]Bancassurance!$AX$100,[1]Bancassurance!$BA$100,[1]Bancassurance!$BD$100)/1000/W111</f>
        <v>0.37676724895865793</v>
      </c>
      <c r="X114" s="117"/>
      <c r="Y114" s="97"/>
      <c r="Z114" s="42"/>
      <c r="AA114" s="42"/>
      <c r="AB114" s="117"/>
      <c r="AC114" s="85">
        <f>-SUM('[1]Total P&amp;C'!$O$98,'[1]Total P&amp;C'!$R$98:$V$98,'[1]Total P&amp;C'!$Y$98,'[1]Total P&amp;C'!$AB$98,'[1]Total P&amp;C'!$AU$98,'[1]Total P&amp;C'!$AX$98,'[1]Total P&amp;C'!$BA$98,'[1]Total P&amp;C'!$BD$98)/1000/AC111</f>
        <v>0.44692024354277843</v>
      </c>
      <c r="AD114" s="60">
        <f>-SUM('[1]Total P&amp;C'!$O$99,'[1]Total P&amp;C'!$R$99:$V$99,'[1]Total P&amp;C'!$Y$99,'[1]Total P&amp;C'!$AB$99,'[1]Total P&amp;C'!$AU$99,'[1]Total P&amp;C'!$AX$99,'[1]Total P&amp;C'!$BA$99,'[1]Total P&amp;C'!$BD$99)/1000/AD111</f>
        <v>0.49172184923270018</v>
      </c>
      <c r="AE114" s="60">
        <f>-SUM('[1]Total P&amp;C'!$O$100,'[1]Total P&amp;C'!$R$100:$V$100,'[1]Total P&amp;C'!$Y$100,'[1]Total P&amp;C'!$AB$100,'[1]Total P&amp;C'!$AU$100,'[1]Total P&amp;C'!$AX$100,'[1]Total P&amp;C'!$BA$100,'[1]Total P&amp;C'!$BD$100)/1000/AE111</f>
        <v>0.44737296099679602</v>
      </c>
      <c r="AG114" s="215"/>
      <c r="AH114" s="115"/>
      <c r="AI114" s="38" t="s">
        <v>23</v>
      </c>
      <c r="AJ114" s="117"/>
      <c r="AK114" s="73">
        <f>-SUM([2]Retail!$O$98,[2]Retail!$R$98:$V$98,[2]Retail!$Y$98,[2]Retail!$AB$98,[2]Retail!$AU$98,[2]Retail!$AX$98,[2]Retail!$BA$98,[2]Retail!$BD$98)/1000/AK111</f>
        <v>0.41966363391379202</v>
      </c>
      <c r="AL114" s="42">
        <f>-SUM([2]Retail!$O$99,[2]Retail!$R$99:$V$99,[2]Retail!$Y$99,[2]Retail!$AB$99,[2]Retail!$AU$99,[2]Retail!$AX$99,[2]Retail!$BA$99,[2]Retail!$BD$99)/1000/AL111</f>
        <v>0.75052950400776541</v>
      </c>
      <c r="AM114" s="42">
        <f>-SUM([2]Retail!$O$100,[2]Retail!$R$100:$V$100,[2]Retail!$Y$100,[2]Retail!$AB$100,[2]Retail!$AU$100,[2]Retail!$AX$100,[2]Retail!$BA$100,[2]Retail!$BD$100)/1000/AM111</f>
        <v>0.39460236784754527</v>
      </c>
      <c r="AN114" s="117"/>
      <c r="AO114" s="73">
        <f>-SUM([2]SME!$O$98,[2]SME!$R$98:$V$98,[2]SME!$Y$98,[2]SME!$AB$98,[2]SME!$AU$98,[2]SME!$AX$98,[2]SME!$BA$98,[2]SME!$BD$98)/1000/AO111</f>
        <v>0.50882003500545037</v>
      </c>
      <c r="AP114" s="42">
        <f>-SUM([2]SME!$O$99,[2]SME!$R$99:$V$99,[2]SME!$Y$99,[2]SME!$AB$99,[2]SME!$AU$99,[2]SME!$AX$99,[2]SME!$BA$99,[2]SME!$BD$99)/1000/AP111</f>
        <v>0.51887235488158689</v>
      </c>
      <c r="AQ114" s="42">
        <f>-SUM([2]SME!$O$100,[2]SME!$R$100:$V$100,[2]SME!$Y$100,[2]SME!$AB$100,[2]SME!$AU$100,[2]SME!$AX$100,[2]SME!$BA$100,[2]SME!$BD$100)/1000/AQ111</f>
        <v>0.41770759198645441</v>
      </c>
      <c r="AR114" s="117"/>
      <c r="AS114" s="73">
        <f>-SUM([2]MidCorp!$O$98,[2]MidCorp!$R$98:$V$98,[2]MidCorp!$Y$98,[2]MidCorp!$AB$98,[2]MidCorp!$AU$98,[2]MidCorp!$AX$98,[2]MidCorp!$BA$98,[2]MidCorp!$BD$98)/1000/AS111</f>
        <v>0.50903624101730893</v>
      </c>
      <c r="AT114" s="42">
        <f>-SUM([2]MidCorp!$O$99,[2]MidCorp!$R$99:$V$99,[2]MidCorp!$Y$99,[2]MidCorp!$AB$99,[2]MidCorp!$AU$99,[2]MidCorp!$AX$99,[2]MidCorp!$BA$99,[2]MidCorp!$BD$99)/1000/AT111</f>
        <v>0.531287358068115</v>
      </c>
      <c r="AU114" s="42">
        <f>-SUM([2]MidCorp!$O$100,[2]MidCorp!$R$100:$V$100,[2]MidCorp!$Y$100,[2]MidCorp!$AB$100,[2]MidCorp!$AU$100,[2]MidCorp!$AX$100,[2]MidCorp!$BA$100,[2]MidCorp!$BD$100)/1000/AU111</f>
        <v>0.46155745152583916</v>
      </c>
      <c r="AV114" s="117"/>
      <c r="AW114" s="97"/>
      <c r="AX114" s="42"/>
      <c r="AY114" s="42"/>
      <c r="AZ114" s="117"/>
      <c r="BA114" s="97"/>
      <c r="BB114" s="42"/>
      <c r="BC114" s="42"/>
      <c r="BD114" s="117"/>
      <c r="BE114" s="97"/>
      <c r="BF114" s="42"/>
      <c r="BG114" s="42"/>
      <c r="BH114" s="117"/>
      <c r="BI114" s="84">
        <f>-SUM('[2]Total P&amp;C'!$O$98,'[2]Total P&amp;C'!$R$98:$V$98,'[2]Total P&amp;C'!$Y$98,'[2]Total P&amp;C'!$AB$98,'[2]Total P&amp;C'!$AU$98,'[2]Total P&amp;C'!$AX$98,'[2]Total P&amp;C'!$BA$98,'[2]Total P&amp;C'!$BD$98)/1000/BI111</f>
        <v>0.49332567749976375</v>
      </c>
      <c r="BJ114" s="60">
        <f>-SUM('[2]Total P&amp;C'!$O$99,'[2]Total P&amp;C'!$R$99:$V$99,'[2]Total P&amp;C'!$Y$99,'[2]Total P&amp;C'!$AB$99,'[2]Total P&amp;C'!$AU$99,'[2]Total P&amp;C'!$AX$99,'[2]Total P&amp;C'!$BA$99,'[2]Total P&amp;C'!$BD$99)/1000/BJ111</f>
        <v>0.56682929342710264</v>
      </c>
      <c r="BK114" s="60">
        <f>-SUM('[2]Total P&amp;C'!$O$100,'[2]Total P&amp;C'!$R$100:$V$100,'[2]Total P&amp;C'!$Y$100,'[2]Total P&amp;C'!$AB$100,'[2]Total P&amp;C'!$AU$100,'[2]Total P&amp;C'!$AX$100,'[2]Total P&amp;C'!$BA$100,'[2]Total P&amp;C'!$BD$100)/1000/BK111</f>
        <v>0.44148953691812159</v>
      </c>
      <c r="BM114" s="84">
        <f>-SUM('[3]Total P&amp;C'!$O$98,'[3]Total P&amp;C'!$R$98:$V$98,'[3]Total P&amp;C'!$Y$98,'[3]Total P&amp;C'!$AB$98,'[3]Total P&amp;C'!$AU$98,'[3]Total P&amp;C'!$AX$98,'[3]Total P&amp;C'!$BA$98,'[3]Total P&amp;C'!$BD$98)/1000/BM111</f>
        <v>0.46073140911534621</v>
      </c>
      <c r="BN114" s="60">
        <f>-SUM('[3]Total P&amp;C'!$O$99,'[3]Total P&amp;C'!$R$99:$V$99,'[3]Total P&amp;C'!$Y$99,'[3]Total P&amp;C'!$AB$99,'[3]Total P&amp;C'!$AU$99,'[3]Total P&amp;C'!$AX$99,'[3]Total P&amp;C'!$BA$99,'[3]Total P&amp;C'!$BD$99)/1000/BN111</f>
        <v>0.51427096025097341</v>
      </c>
      <c r="BO114" s="60">
        <f>-SUM('[3]Total P&amp;C'!$O$100,'[3]Total P&amp;C'!$R$100:$V$100,'[3]Total P&amp;C'!$Y$100,'[3]Total P&amp;C'!$AB$100,'[3]Total P&amp;C'!$AU$100,'[3]Total P&amp;C'!$AX$100,'[3]Total P&amp;C'!$BA$100,'[3]Total P&amp;C'!$BD$100)/1000/BO111</f>
        <v>0.44573975571024416</v>
      </c>
    </row>
    <row r="115" spans="1:67" ht="14.5" hidden="1" x14ac:dyDescent="0.3">
      <c r="A115" s="215"/>
      <c r="B115" s="115"/>
      <c r="C115" s="38" t="s">
        <v>24</v>
      </c>
      <c r="D115" s="134"/>
      <c r="E115" s="97">
        <f>-([1]Retail!$P$98+[1]Retail!$W$98+[1]Retail!$AV$98+[1]Retail!$AY$98)/1000/E111</f>
        <v>0</v>
      </c>
      <c r="F115" s="42">
        <f>-([1]Retail!$P$99+[1]Retail!$W$99+[1]Retail!$AV$99+[1]Retail!$AY$99)/1000/F111</f>
        <v>0</v>
      </c>
      <c r="G115" s="42" t="e">
        <f>-([1]Retail!$P$100+[1]Retail!$W$100+[1]Retail!$AV$100+[1]Retail!$AY$100)/1000/G111</f>
        <v>#DIV/0!</v>
      </c>
      <c r="H115" s="134"/>
      <c r="I115" s="97">
        <f>-([1]SME!$P$98+[1]SME!$W$98+[1]SME!$AV$98+[1]SME!$AY$98)/1000/I111</f>
        <v>0</v>
      </c>
      <c r="J115" s="42">
        <f>-([1]SME!$P$99+[1]SME!$W$99+[1]SME!$AV$99+[1]SME!$AY$99)/1000/J111</f>
        <v>0</v>
      </c>
      <c r="K115" s="42">
        <f>-([1]SME!$P$100+[1]SME!$W$100+[1]SME!$AV$100+[1]SME!$AY$100)/1000/K111</f>
        <v>0</v>
      </c>
      <c r="L115" s="134"/>
      <c r="M115" s="97">
        <f>-([1]MidCorp!$P$98+[1]MidCorp!$W$98+[1]MidCorp!$AV$98+[1]MidCorp!$AY$98)/1000/M111</f>
        <v>0</v>
      </c>
      <c r="N115" s="42">
        <f>-([1]MidCorp!$P$99+[1]MidCorp!$W$99+[1]MidCorp!$AV$99+[1]MidCorp!$AY$99)/1000/N111</f>
        <v>0</v>
      </c>
      <c r="O115" s="42">
        <f>-([1]MidCorp!$P$100+[1]MidCorp!$W$100+[1]MidCorp!$AV$100+[1]MidCorp!$AY$100)/1000/O111</f>
        <v>0</v>
      </c>
      <c r="P115" s="134"/>
      <c r="Q115" s="97">
        <f>-([1]MGA!$P$98+[1]MGA!$W$98+[1]MGA!$AV$98+[1]MGA!$AY$98)/1000/Q111</f>
        <v>0</v>
      </c>
      <c r="R115" s="42">
        <f>-([1]MGA!$P$99+[1]MGA!$W$99+[1]MGA!$AV$99+[1]MGA!$AY$99)/1000/R111</f>
        <v>0</v>
      </c>
      <c r="S115" s="42">
        <f>-([1]MGA!$P$100+[1]MGA!$W$100+[1]MGA!$AV$100+[1]MGA!$AY$100)/1000/S111</f>
        <v>0</v>
      </c>
      <c r="T115" s="134"/>
      <c r="U115" s="97">
        <f>-([1]Bancassurance!$P$98+[1]Bancassurance!$W$98+[1]Bancassurance!$AV$98+[1]Bancassurance!$AY$98)/1000/U111</f>
        <v>0</v>
      </c>
      <c r="V115" s="42"/>
      <c r="W115" s="42">
        <f>-([1]Bancassurance!$P$100+[1]Bancassurance!$W$100+[1]Bancassurance!$AV$100+[1]Bancassurance!$AY$100)/1000/W111</f>
        <v>0</v>
      </c>
      <c r="X115" s="134"/>
      <c r="Y115" s="97"/>
      <c r="Z115" s="42"/>
      <c r="AA115" s="42"/>
      <c r="AB115" s="134"/>
      <c r="AC115" s="99">
        <f>-('[1]Total P&amp;C'!$P$98+'[1]Total P&amp;C'!$W$98+'[1]Total P&amp;C'!$AV$98+'[1]Total P&amp;C'!$AY$98)/1000/AC111</f>
        <v>0</v>
      </c>
      <c r="AD115" s="60">
        <f>-('[1]Total P&amp;C'!$P$99+'[1]Total P&amp;C'!$W$99+'[1]Total P&amp;C'!$AV$99+'[1]Total P&amp;C'!$AY$99)/1000/AD111</f>
        <v>0</v>
      </c>
      <c r="AE115" s="60">
        <f>-('[1]Total P&amp;C'!$P$100+'[1]Total P&amp;C'!$W$100+'[1]Total P&amp;C'!$AV$100+'[1]Total P&amp;C'!$AY$100)/1000/AE111</f>
        <v>0</v>
      </c>
      <c r="AG115" s="215"/>
      <c r="AH115" s="115"/>
      <c r="AI115" s="38" t="s">
        <v>24</v>
      </c>
      <c r="AJ115" s="134"/>
      <c r="AK115" s="97">
        <f>-([2]Retail!$P$98+[2]Retail!$W$98+[2]Retail!$AV$98+[2]Retail!$AY$98)/1000/AK111</f>
        <v>7.8627714504531164E-4</v>
      </c>
      <c r="AL115" s="42">
        <f>-([2]Retail!$P$99+[2]Retail!$W$99+[2]Retail!$AV$99+[2]Retail!$AY$99)/1000/AL111</f>
        <v>0</v>
      </c>
      <c r="AM115" s="42">
        <f>-([2]Retail!$P$100+[2]Retail!$W$100+[2]Retail!$AV$100+[2]Retail!$AY$100)/1000/AM111</f>
        <v>0</v>
      </c>
      <c r="AN115" s="134"/>
      <c r="AO115" s="97">
        <f>-([2]SME!$P$98+[2]SME!$W$98+[2]SME!$AV$98+[2]SME!$AY$98)/1000/AO111</f>
        <v>3.7145476589870796E-4</v>
      </c>
      <c r="AP115" s="42">
        <f>-([2]SME!$P$99+[2]SME!$W$99+[2]SME!$AV$99+[2]SME!$AY$99)/1000/AP111</f>
        <v>0</v>
      </c>
      <c r="AQ115" s="42">
        <f>-([2]SME!$P$100+[2]SME!$W$100+[2]SME!$AV$100+[2]SME!$AY$100)/1000/AQ111</f>
        <v>0</v>
      </c>
      <c r="AR115" s="134"/>
      <c r="AS115" s="97">
        <f>-([2]MidCorp!$P$98+[2]MidCorp!$W$98+[2]MidCorp!$AV$98+[2]MidCorp!$AY$98)/1000/AS111</f>
        <v>0</v>
      </c>
      <c r="AT115" s="42">
        <f>-([2]MidCorp!$P$99+[2]MidCorp!$W$99+[2]MidCorp!$AV$99+[2]MidCorp!$AY$99)/1000/AT111</f>
        <v>0</v>
      </c>
      <c r="AU115" s="42">
        <f>-([2]MidCorp!$P$100+[2]MidCorp!$W$100+[2]MidCorp!$AV$100+[2]MidCorp!$AY$100)/1000/AU111</f>
        <v>0</v>
      </c>
      <c r="AV115" s="134"/>
      <c r="AW115" s="97"/>
      <c r="AX115" s="42"/>
      <c r="AY115" s="42"/>
      <c r="AZ115" s="134"/>
      <c r="BA115" s="97"/>
      <c r="BB115" s="42"/>
      <c r="BC115" s="42"/>
      <c r="BD115" s="134"/>
      <c r="BE115" s="97"/>
      <c r="BF115" s="42"/>
      <c r="BG115" s="42"/>
      <c r="BH115" s="134"/>
      <c r="BI115" s="99">
        <f>-('[2]Total P&amp;C'!$P$98+'[2]Total P&amp;C'!$W$98+'[2]Total P&amp;C'!$AV$98+'[2]Total P&amp;C'!$AY$98)/1000/BI111</f>
        <v>2.0493567171707029E-4</v>
      </c>
      <c r="BJ115" s="60">
        <f>-('[2]Total P&amp;C'!$P$99+'[2]Total P&amp;C'!$W$99+'[2]Total P&amp;C'!$AV$99+'[2]Total P&amp;C'!$AY$99)/1000/BJ111</f>
        <v>0</v>
      </c>
      <c r="BK115" s="60">
        <f>-('[2]Total P&amp;C'!$P$100+'[2]Total P&amp;C'!$W$100+'[2]Total P&amp;C'!$AV$100+'[2]Total P&amp;C'!$AY$100)/1000/BK111</f>
        <v>0</v>
      </c>
      <c r="BM115" s="99">
        <f>-('[3]Total P&amp;C'!$P$98+'[3]Total P&amp;C'!$W$98+'[3]Total P&amp;C'!$AV$98+'[3]Total P&amp;C'!$AY$98)/1000/BM111</f>
        <v>6.0992867698068719E-5</v>
      </c>
      <c r="BN115" s="60">
        <f>-('[3]Total P&amp;C'!$P$99+'[3]Total P&amp;C'!$W$99+'[3]Total P&amp;C'!$AV$99+'[3]Total P&amp;C'!$AY$99)/1000/BN111</f>
        <v>0</v>
      </c>
      <c r="BO115" s="60">
        <f>-('[3]Total P&amp;C'!$P$100+'[3]Total P&amp;C'!$W$100+'[3]Total P&amp;C'!$AV$100+'[3]Total P&amp;C'!$AY$100)/1000/BO111</f>
        <v>0</v>
      </c>
    </row>
    <row r="116" spans="1:67" ht="14.5" hidden="1" x14ac:dyDescent="0.3">
      <c r="A116" s="215"/>
      <c r="B116" s="115"/>
      <c r="C116" s="38" t="s">
        <v>25</v>
      </c>
      <c r="D116" s="134"/>
      <c r="E116" s="74">
        <f>-([1]Retail!$Q$98+[1]Retail!$X$98+[1]Retail!$AW$98+[1]Retail!$AZ$98)/1000/E111</f>
        <v>0</v>
      </c>
      <c r="F116" s="42">
        <f>-([1]Retail!$Q$99+[1]Retail!$X$99+[1]Retail!$AW$99+[1]Retail!$AZ$99)/1000/F111</f>
        <v>0.14728722896570698</v>
      </c>
      <c r="G116" s="42" t="e">
        <f>-([1]Retail!$Q$100+[1]Retail!$X$100+[1]Retail!$AW$100+[1]Retail!$AZ$100)/1000/G111</f>
        <v>#DIV/0!</v>
      </c>
      <c r="H116" s="134"/>
      <c r="I116" s="74">
        <f>-([1]SME!$Q$98+[1]SME!$X$98+[1]SME!$AW$98+[1]SME!$AZ$98)/1000/I111</f>
        <v>7.5755589230000614E-2</v>
      </c>
      <c r="J116" s="42">
        <f>-([1]SME!$Q$99+[1]SME!$X$99+[1]SME!$AW$99+[1]SME!$AZ$99)/1000/J111</f>
        <v>8.4680672709835869E-2</v>
      </c>
      <c r="K116" s="42">
        <f>-([1]SME!$Q$100+[1]SME!$X$100+[1]SME!$AW$100+[1]SME!$AZ$100)/1000/K111</f>
        <v>9.2779830940501851E-2</v>
      </c>
      <c r="L116" s="134"/>
      <c r="M116" s="73">
        <f>-([1]MidCorp!$Q$98+[1]MidCorp!$X$98+[1]MidCorp!$AW$98+[1]MidCorp!$AZ$98)/1000/M111</f>
        <v>0.13122606619936039</v>
      </c>
      <c r="N116" s="42">
        <f>-([1]MidCorp!$Q$99+[1]MidCorp!$X$99+[1]MidCorp!$AW$99+[1]MidCorp!$AZ$99)/1000/N111</f>
        <v>9.8567025592435409E-2</v>
      </c>
      <c r="O116" s="42">
        <f>-([1]MidCorp!$Q$100+[1]MidCorp!$X$100+[1]MidCorp!$AW$100+[1]MidCorp!$AZ$100)/1000/O111</f>
        <v>0.1222939690259655</v>
      </c>
      <c r="P116" s="134"/>
      <c r="Q116" s="74">
        <f>-([1]MGA!$Q$98+[1]MGA!$X$98+[1]MGA!$AW$98+[1]MGA!$AZ$98)/1000/Q111</f>
        <v>0</v>
      </c>
      <c r="R116" s="42">
        <f>-([1]MGA!$Q$99+[1]MGA!$X$99+[1]MGA!$AW$99+[1]MGA!$AZ$99)/1000/R111</f>
        <v>0</v>
      </c>
      <c r="S116" s="42">
        <f>-([1]MGA!$Q$100+[1]MGA!$X$100+[1]MGA!$AW$100+[1]MGA!$AZ$100)/1000/S111</f>
        <v>5.8327588600748395E-2</v>
      </c>
      <c r="T116" s="134"/>
      <c r="U116" s="74">
        <f>-([1]Bancassurance!$Q$98+[1]Bancassurance!$X$98+[1]Bancassurance!$AW$98+[1]Bancassurance!$AZ$98)/1000/U111</f>
        <v>0</v>
      </c>
      <c r="V116" s="42"/>
      <c r="W116" s="42">
        <f>-([1]Bancassurance!$Q$100+[1]Bancassurance!$X$100+[1]Bancassurance!$AW$100+[1]Bancassurance!$AZ$100)/1000/W111</f>
        <v>6.450679514812982E-2</v>
      </c>
      <c r="X116" s="134"/>
      <c r="Y116" s="97"/>
      <c r="Z116" s="42"/>
      <c r="AA116" s="42"/>
      <c r="AB116" s="134"/>
      <c r="AC116" s="85">
        <f>-('[1]Total P&amp;C'!$Q$98+'[1]Total P&amp;C'!$X$98+'[1]Total P&amp;C'!$AW$98+'[1]Total P&amp;C'!$AZ$98)/1000/AC111</f>
        <v>0.11380954797280561</v>
      </c>
      <c r="AD116" s="60">
        <f>-('[1]Total P&amp;C'!$Q$99+'[1]Total P&amp;C'!$X$99+'[1]Total P&amp;C'!$AW$99+'[1]Total P&amp;C'!$AZ$99)/1000/AD111</f>
        <v>9.3698635644961434E-2</v>
      </c>
      <c r="AE116" s="60">
        <f>-('[1]Total P&amp;C'!$Q$100+'[1]Total P&amp;C'!$X$100+'[1]Total P&amp;C'!$AW$100+'[1]Total P&amp;C'!$AZ$100)/1000/AE111</f>
        <v>0.11400083030863137</v>
      </c>
      <c r="AG116" s="215"/>
      <c r="AH116" s="115"/>
      <c r="AI116" s="38" t="s">
        <v>25</v>
      </c>
      <c r="AJ116" s="134"/>
      <c r="AK116" s="74">
        <f>-([2]Retail!$Q$98+[2]Retail!$X$98+[2]Retail!$AW$98+[2]Retail!$AZ$98)/1000/AK111</f>
        <v>4.300095151809244E-2</v>
      </c>
      <c r="AL116" s="42">
        <f>-([2]Retail!$Q$99+[2]Retail!$X$99+[2]Retail!$AW$99+[2]Retail!$AZ$99)/1000/AL111</f>
        <v>1.05878744659616E-2</v>
      </c>
      <c r="AM116" s="42">
        <f>-([2]Retail!$Q$100+[2]Retail!$X$100+[2]Retail!$AW$100+[2]Retail!$AZ$100)/1000/AM111</f>
        <v>4.5960269637703229E-2</v>
      </c>
      <c r="AN116" s="134"/>
      <c r="AO116" s="73">
        <f>-([2]SME!$Q$98+[2]SME!$X$98+[2]SME!$AW$98+[2]SME!$AZ$98)/1000/AO111</f>
        <v>0.10353663891661977</v>
      </c>
      <c r="AP116" s="42">
        <f>-([2]SME!$Q$99+[2]SME!$X$99+[2]SME!$AW$99+[2]SME!$AZ$99)/1000/AP111</f>
        <v>1.6420472163797099E-2</v>
      </c>
      <c r="AQ116" s="42">
        <f>-([2]SME!$Q$100+[2]SME!$X$100+[2]SME!$AW$100+[2]SME!$AZ$100)/1000/AQ111</f>
        <v>8.7909066126376334E-2</v>
      </c>
      <c r="AR116" s="134"/>
      <c r="AS116" s="74">
        <f>-([2]MidCorp!$Q$98+[2]MidCorp!$X$98+[2]MidCorp!$AW$98+[2]MidCorp!$AZ$98)/1000/AS111</f>
        <v>7.9640581129741719E-2</v>
      </c>
      <c r="AT116" s="42">
        <f>-([2]MidCorp!$Q$99+[2]MidCorp!$X$99+[2]MidCorp!$AW$99+[2]MidCorp!$AZ$99)/1000/AT111</f>
        <v>2.0329669116886922E-2</v>
      </c>
      <c r="AU116" s="42">
        <f>-([2]MidCorp!$Q$100+[2]MidCorp!$X$100+[2]MidCorp!$AW$100+[2]MidCorp!$AZ$100)/1000/AU111</f>
        <v>8.652941716205359E-2</v>
      </c>
      <c r="AV116" s="134"/>
      <c r="AW116" s="97"/>
      <c r="AX116" s="42"/>
      <c r="AY116" s="42"/>
      <c r="AZ116" s="134"/>
      <c r="BA116" s="97"/>
      <c r="BB116" s="42"/>
      <c r="BC116" s="42"/>
      <c r="BD116" s="134"/>
      <c r="BE116" s="97"/>
      <c r="BF116" s="42"/>
      <c r="BG116" s="42"/>
      <c r="BH116" s="134"/>
      <c r="BI116" s="85">
        <f>-('[2]Total P&amp;C'!$Q$98+'[2]Total P&amp;C'!$X$98+'[2]Total P&amp;C'!$AW$98+'[2]Total P&amp;C'!$AZ$98)/1000/BI111</f>
        <v>7.7529943695426692E-2</v>
      </c>
      <c r="BJ116" s="60">
        <f>-('[2]Total P&amp;C'!$Q$99+'[2]Total P&amp;C'!$X$99+'[2]Total P&amp;C'!$AW$99+'[2]Total P&amp;C'!$AZ$99)/1000/BJ111</f>
        <v>1.79520185886669E-2</v>
      </c>
      <c r="BK116" s="60">
        <f>-('[2]Total P&amp;C'!$Q$100+'[2]Total P&amp;C'!$X$100+'[2]Total P&amp;C'!$AW$100+'[2]Total P&amp;C'!$AZ$100)/1000/BK111</f>
        <v>7.9505440305828817E-2</v>
      </c>
      <c r="BM116" s="85">
        <f>-('[3]Total P&amp;C'!$Q$98+'[3]Total P&amp;C'!$X$98+'[3]Total P&amp;C'!$AW$98+'[3]Total P&amp;C'!$AZ$98)/1000/BM111</f>
        <v>0.10301202753486349</v>
      </c>
      <c r="BN116" s="60">
        <f>-('[3]Total P&amp;C'!$Q$99+'[3]Total P&amp;C'!$X$99+'[3]Total P&amp;C'!$AW$99+'[3]Total P&amp;C'!$AZ$99)/1000/BN111</f>
        <v>7.095762913647076E-2</v>
      </c>
      <c r="BO116" s="60">
        <f>-('[3]Total P&amp;C'!$Q$100+'[3]Total P&amp;C'!$X$100+'[3]Total P&amp;C'!$AW$100+'[3]Total P&amp;C'!$AZ$100)/1000/BO111</f>
        <v>0.10442510492136078</v>
      </c>
    </row>
    <row r="117" spans="1:67" ht="14.5" hidden="1" x14ac:dyDescent="0.3">
      <c r="A117" s="215"/>
      <c r="B117" s="115"/>
      <c r="C117" s="38" t="s">
        <v>53</v>
      </c>
      <c r="D117" s="134"/>
      <c r="E117" s="73">
        <f>-[1]Retail!$AT$98/1000/E111</f>
        <v>2.9931066107065818E-4</v>
      </c>
      <c r="F117" s="42">
        <f>-[1]Retail!$AT$99/1000/F111</f>
        <v>3.0190680531113224E-2</v>
      </c>
      <c r="G117" s="42" t="e">
        <f>-[1]Retail!$AT$100/1000/G111</f>
        <v>#DIV/0!</v>
      </c>
      <c r="H117" s="134"/>
      <c r="I117" s="73">
        <f>-[1]SME!$AT$98/1000/I111</f>
        <v>6.0548530238082092E-2</v>
      </c>
      <c r="J117" s="42">
        <f>-[1]SME!$AT$99/1000/J111</f>
        <v>7.3659143195676693E-2</v>
      </c>
      <c r="K117" s="42">
        <f>-[1]SME!$AT$100/1000/K111</f>
        <v>3.9478784177078417E-2</v>
      </c>
      <c r="L117" s="134"/>
      <c r="M117" s="74">
        <f>-[1]MidCorp!$AT$98/1000/M111</f>
        <v>2.2407658225243775E-2</v>
      </c>
      <c r="N117" s="42">
        <f>-[1]MidCorp!$AT$99/1000/N111</f>
        <v>3.161509415894264E-2</v>
      </c>
      <c r="O117" s="42">
        <f>-[1]MidCorp!$AT$100/1000/O111</f>
        <v>3.0260728111905572E-2</v>
      </c>
      <c r="P117" s="134"/>
      <c r="Q117" s="74">
        <f>-[1]MGA!$AT$98/1000/Q111</f>
        <v>4.489388331202885E-2</v>
      </c>
      <c r="R117" s="42">
        <f>-[1]MGA!$AT$99/1000/R111</f>
        <v>6.425275269974709E-2</v>
      </c>
      <c r="S117" s="42">
        <f>-[1]MGA!$AT$100/1000/S111</f>
        <v>5.8144748267388122E-2</v>
      </c>
      <c r="T117" s="134"/>
      <c r="U117" s="74">
        <f>-[1]Bancassurance!$AT$98/1000/U111</f>
        <v>3.3464699090139736E-2</v>
      </c>
      <c r="V117" s="42"/>
      <c r="W117" s="42">
        <f>-[1]Bancassurance!$AT$100/1000/W111</f>
        <v>3.5758755765234879E-2</v>
      </c>
      <c r="X117" s="134"/>
      <c r="Y117" s="97"/>
      <c r="Z117" s="42"/>
      <c r="AA117" s="42"/>
      <c r="AB117" s="134"/>
      <c r="AC117" s="85">
        <f>-'[1]Total P&amp;C'!$AT$98/1000/AC111</f>
        <v>2.9755064051776352E-2</v>
      </c>
      <c r="AD117" s="60">
        <f>-'[1]Total P&amp;C'!$AT$99/1000/AD111</f>
        <v>4.1261909122508551E-2</v>
      </c>
      <c r="AE117" s="60">
        <f>-'[1]Total P&amp;C'!$AT$100/1000/AE111</f>
        <v>3.2929877787655319E-2</v>
      </c>
      <c r="AG117" s="215"/>
      <c r="AH117" s="115"/>
      <c r="AI117" s="38" t="s">
        <v>53</v>
      </c>
      <c r="AJ117" s="134"/>
      <c r="AK117" s="74">
        <f>-[2]Retail!$AT$98/1000/AK111</f>
        <v>2.5830938144687159E-2</v>
      </c>
      <c r="AL117" s="42">
        <f>-[2]Retail!$AT$99/1000/AL111</f>
        <v>4.5204319508920787E-2</v>
      </c>
      <c r="AM117" s="42">
        <f>-[2]Retail!$AT$100/1000/AM111</f>
        <v>3.7155508509380222E-2</v>
      </c>
      <c r="AN117" s="134"/>
      <c r="AO117" s="74">
        <f>-[2]SME!$AT$98/1000/AO111</f>
        <v>1.472551829434034E-2</v>
      </c>
      <c r="AP117" s="42">
        <f>-[2]SME!$AT$99/1000/AP111</f>
        <v>1.8873424433025719E-2</v>
      </c>
      <c r="AQ117" s="42">
        <f>-[2]SME!$AT$100/1000/AQ111</f>
        <v>2.6011695563180628E-2</v>
      </c>
      <c r="AR117" s="134"/>
      <c r="AS117" s="73">
        <f>-[2]MidCorp!$AT$98/1000/AS111</f>
        <v>0.11978978989725078</v>
      </c>
      <c r="AT117" s="42">
        <f>-[2]MidCorp!$AT$99/1000/AT111</f>
        <v>9.7816988562353921E-2</v>
      </c>
      <c r="AU117" s="42">
        <f>-[2]MidCorp!$AT$100/1000/AU111</f>
        <v>0.10978108028352751</v>
      </c>
      <c r="AV117" s="134"/>
      <c r="AW117" s="97"/>
      <c r="AX117" s="42"/>
      <c r="AY117" s="42"/>
      <c r="AZ117" s="134"/>
      <c r="BA117" s="97"/>
      <c r="BB117" s="42"/>
      <c r="BC117" s="42"/>
      <c r="BD117" s="134"/>
      <c r="BE117" s="97"/>
      <c r="BF117" s="42"/>
      <c r="BG117" s="42"/>
      <c r="BH117" s="134"/>
      <c r="BI117" s="84">
        <f>-'[2]Total P&amp;C'!$AT$98/1000/BI111</f>
        <v>8.4345996878960217E-2</v>
      </c>
      <c r="BJ117" s="60">
        <f>-'[2]Total P&amp;C'!$AT$99/1000/BJ111</f>
        <v>7.4625621953139834E-2</v>
      </c>
      <c r="BK117" s="60">
        <f>-'[2]Total P&amp;C'!$AT$100/1000/BK111</f>
        <v>8.1360944687810466E-2</v>
      </c>
      <c r="BM117" s="85">
        <f>-'[3]Total P&amp;C'!$AT$98/1000/BM111</f>
        <v>4.6002394326417034E-2</v>
      </c>
      <c r="BN117" s="60">
        <f>-'[3]Total P&amp;C'!$AT$99/1000/BN111</f>
        <v>5.1278520294264517E-2</v>
      </c>
      <c r="BO117" s="60">
        <f>-'[3]Total P&amp;C'!$AT$100/1000/BO111</f>
        <v>4.6374068353720405E-2</v>
      </c>
    </row>
    <row r="118" spans="1:67" hidden="1" x14ac:dyDescent="0.3">
      <c r="A118" s="215"/>
      <c r="B118" s="115"/>
      <c r="C118" s="116" t="s">
        <v>27</v>
      </c>
      <c r="D118" s="134"/>
      <c r="E118" s="128">
        <f>-([1]Retail!$Z$98+[1]Retail!$AA$98+[1]Retail!$BB$98+[1]Retail!$BC$98)/1000/E111</f>
        <v>-1.584961792431101E-2</v>
      </c>
      <c r="F118" s="127">
        <f>-([1]Retail!$Z$99+[1]Retail!$AA$99+[1]Retail!$BB$99+[1]Retail!$BC$99)/1000/F111</f>
        <v>-5.4067333964181272E-2</v>
      </c>
      <c r="G118" s="127" t="e">
        <f>-([1]Retail!$Z$100+[1]Retail!$AA$100+[1]Retail!$BB$100+[1]Retail!$BC$100)/1000/G111</f>
        <v>#DIV/0!</v>
      </c>
      <c r="H118" s="134"/>
      <c r="I118" s="128">
        <f>-([1]SME!$Z$98+[1]SME!$AA$98+[1]SME!$BB$98+[1]SME!$BC$98)/1000/I111</f>
        <v>-4.1372437896202055E-2</v>
      </c>
      <c r="J118" s="127">
        <f>-([1]SME!$Z$99+[1]SME!$AA$99+[1]SME!$BB$99+[1]SME!$BC$99)/1000/J111</f>
        <v>-4.544483691308622E-2</v>
      </c>
      <c r="K118" s="127">
        <f>-([1]SME!$Z$100+[1]SME!$AA$100+[1]SME!$BB$100+[1]SME!$BC$100)/1000/K111</f>
        <v>-4.1231685243148179E-2</v>
      </c>
      <c r="L118" s="134"/>
      <c r="M118" s="126">
        <f>-([1]MidCorp!$Z$98+[1]MidCorp!$AA$98+[1]MidCorp!$BB$98+[1]MidCorp!$BC$98)/1000/M111</f>
        <v>-7.1975963237685139E-2</v>
      </c>
      <c r="N118" s="127">
        <f>-([1]MidCorp!$Z$99+[1]MidCorp!$AA$99+[1]MidCorp!$BB$99+[1]MidCorp!$BC$99)/1000/N111</f>
        <v>-6.8702468857973736E-2</v>
      </c>
      <c r="O118" s="127">
        <f>-([1]MidCorp!$Z$100+[1]MidCorp!$AA$100+[1]MidCorp!$BB$100+[1]MidCorp!$BC$100)/1000/O111</f>
        <v>-5.2972983877315451E-2</v>
      </c>
      <c r="P118" s="134"/>
      <c r="Q118" s="128">
        <f>-([1]MGA!$Z$98+[1]MGA!$AA$98+[1]MGA!$BB$98+[1]MGA!$BC$98)/1000/Q111</f>
        <v>-3.679763223909531E-2</v>
      </c>
      <c r="R118" s="127">
        <f>-([1]MGA!$Z$99+[1]MGA!$AA$99+[1]MGA!$BB$99+[1]MGA!$BC$99)/1000/R111</f>
        <v>-3.2781708127873843E-2</v>
      </c>
      <c r="S118" s="127">
        <f>-([1]MGA!$Z$100+[1]MGA!$AA$100+[1]MGA!$BB$100+[1]MGA!$BC$100)/1000/S111</f>
        <v>-2.863845673972357E-2</v>
      </c>
      <c r="T118" s="134"/>
      <c r="U118" s="128">
        <f>-([1]Bancassurance!$Z$98+[1]Bancassurance!$AA$98+[1]Bancassurance!$BB$98+[1]Bancassurance!$BC$98)/1000/U111</f>
        <v>-5.8745515010661123E-2</v>
      </c>
      <c r="V118" s="127"/>
      <c r="W118" s="127">
        <f>-([1]Bancassurance!$Z$100+[1]Bancassurance!$AA$100+[1]Bancassurance!$BB$100+[1]Bancassurance!$BC$100)/1000/W111</f>
        <v>-7.638888745281526E-2</v>
      </c>
      <c r="X118" s="134"/>
      <c r="Y118" s="128"/>
      <c r="Z118" s="127"/>
      <c r="AA118" s="127"/>
      <c r="AB118" s="134"/>
      <c r="AC118" s="132">
        <f>-('[1]Total P&amp;C'!$Z$98+'[1]Total P&amp;C'!$AA$98+'[1]Total P&amp;C'!$BB$98+'[1]Total P&amp;C'!$BC$98)/1000/AC111</f>
        <v>-6.4657703302644823E-2</v>
      </c>
      <c r="AD118" s="130">
        <f>-('[1]Total P&amp;C'!$Z$99+'[1]Total P&amp;C'!$AA$99+'[1]Total P&amp;C'!$BB$99+'[1]Total P&amp;C'!$BC$99)/1000/AD111</f>
        <v>-6.2931256276454947E-2</v>
      </c>
      <c r="AE118" s="130">
        <f>-('[1]Total P&amp;C'!$Z$100+'[1]Total P&amp;C'!$AA$100+'[1]Total P&amp;C'!$BB$100+'[1]Total P&amp;C'!$BC$100)/1000/AE111</f>
        <v>-5.06577861050641E-2</v>
      </c>
      <c r="AG118" s="215"/>
      <c r="AH118" s="115"/>
      <c r="AI118" s="116" t="s">
        <v>27</v>
      </c>
      <c r="AJ118" s="134"/>
      <c r="AK118" s="128">
        <f>-([2]Retail!$Z$98+[2]Retail!$AA$98+[2]Retail!$BB$98+[2]Retail!$BC$98)/1000/AK111</f>
        <v>-4.6414088658092954E-2</v>
      </c>
      <c r="AL118" s="127">
        <f>-([2]Retail!$Z$99+[2]Retail!$AA$99+[2]Retail!$BB$99+[2]Retail!$BC$99)/1000/AL111</f>
        <v>-7.4895426288208777E-2</v>
      </c>
      <c r="AM118" s="127">
        <f>-([2]Retail!$Z$100+[2]Retail!$AA$100+[2]Retail!$BB$100+[2]Retail!$BC$100)/1000/AM111</f>
        <v>-3.3851740610812579E-2</v>
      </c>
      <c r="AN118" s="134"/>
      <c r="AO118" s="126">
        <f>-([2]SME!$Z$98+[2]SME!$AA$98+[2]SME!$BB$98+[2]SME!$BC$98)/1000/AO111</f>
        <v>-6.6726723272680102E-2</v>
      </c>
      <c r="AP118" s="127">
        <f>-([2]SME!$Z$99+[2]SME!$AA$99+[2]SME!$BB$99+[2]SME!$BC$99)/1000/AP111</f>
        <v>-5.0275841126140433E-2</v>
      </c>
      <c r="AQ118" s="127">
        <f>-([2]SME!$Z$100+[2]SME!$AA$100+[2]SME!$BB$100+[2]SME!$BC$100)/1000/AQ111</f>
        <v>-3.8739093576071831E-2</v>
      </c>
      <c r="AR118" s="134"/>
      <c r="AS118" s="126">
        <f>-([2]MidCorp!$Z$98+[2]MidCorp!$AA$98+[2]MidCorp!$BB$98+[2]MidCorp!$BC$98)/1000/AS111</f>
        <v>-6.426363928306518E-2</v>
      </c>
      <c r="AT118" s="127">
        <f>-([2]MidCorp!$Z$99+[2]MidCorp!$AA$99+[2]MidCorp!$BB$99+[2]MidCorp!$BC$99)/1000/AT111</f>
        <v>-5.2465692369516599E-2</v>
      </c>
      <c r="AU118" s="127">
        <f>-([2]MidCorp!$Z$100+[2]MidCorp!$AA$100+[2]MidCorp!$BB$100+[2]MidCorp!$BC$100)/1000/AU111</f>
        <v>-4.152810459621193E-2</v>
      </c>
      <c r="AV118" s="134"/>
      <c r="AW118" s="131"/>
      <c r="AX118" s="127"/>
      <c r="AY118" s="127"/>
      <c r="AZ118" s="134"/>
      <c r="BA118" s="131"/>
      <c r="BB118" s="127"/>
      <c r="BC118" s="127"/>
      <c r="BD118" s="134"/>
      <c r="BE118" s="131"/>
      <c r="BF118" s="127"/>
      <c r="BG118" s="127"/>
      <c r="BH118" s="134"/>
      <c r="BI118" s="132">
        <f>-('[2]Total P&amp;C'!$Z$98+'[2]Total P&amp;C'!$AA$98+'[2]Total P&amp;C'!$BB$98+'[2]Total P&amp;C'!$BC$98)/1000/BI111</f>
        <v>-6.1578391422061486E-2</v>
      </c>
      <c r="BJ118" s="130">
        <f>-('[2]Total P&amp;C'!$Z$99+'[2]Total P&amp;C'!$AA$99+'[2]Total P&amp;C'!$BB$99+'[2]Total P&amp;C'!$BC$99)/1000/BJ111</f>
        <v>-5.5937228767676254E-2</v>
      </c>
      <c r="BK118" s="130">
        <f>-('[2]Total P&amp;C'!$Z$100+'[2]Total P&amp;C'!$AA$100+'[2]Total P&amp;C'!$BB$100+'[2]Total P&amp;C'!$BC$100)/1000/BK111</f>
        <v>-3.9638615526241511E-2</v>
      </c>
      <c r="BM118" s="132">
        <f>-('[3]Total P&amp;C'!$Z$98+'[3]Total P&amp;C'!$AA$98+'[3]Total P&amp;C'!$BB$98+'[3]Total P&amp;C'!$BC$98)/1000/BM111</f>
        <v>-6.3741239806759109E-2</v>
      </c>
      <c r="BN118" s="130">
        <f>-('[3]Total P&amp;C'!$Z$99+'[3]Total P&amp;C'!$AA$99+'[3]Total P&amp;C'!$BB$99+'[3]Total P&amp;C'!$BC$99)/1000/BN111</f>
        <v>-6.0831476361802236E-2</v>
      </c>
      <c r="BO118" s="130">
        <f>-('[3]Total P&amp;C'!$Z$100+'[3]Total P&amp;C'!$AA$100+'[3]Total P&amp;C'!$BB$100+'[3]Total P&amp;C'!$BC$100)/1000/BO111</f>
        <v>-4.7598926603846008E-2</v>
      </c>
    </row>
    <row r="119" spans="1:67" hidden="1" x14ac:dyDescent="0.3">
      <c r="A119" s="215"/>
      <c r="B119" s="115"/>
      <c r="C119" s="116" t="s">
        <v>57</v>
      </c>
      <c r="D119" s="134"/>
      <c r="E119" s="126">
        <f>-SUM([1]Retail!$AC$98:$AI$98,[1]Retail!$BE$98:$BG$98)/1000/E111</f>
        <v>3.8744564485298865</v>
      </c>
      <c r="F119" s="127">
        <f>-SUM([1]Retail!$AC$99:$AI$99,[1]Retail!$BE$99:$BG$99)/1000/F111</f>
        <v>-0.83733031033257244</v>
      </c>
      <c r="G119" s="127" t="e">
        <f>-SUM([1]Retail!$AC$100:$AI$100,[1]Retail!$BE$100:$BG$100)/1000/G111</f>
        <v>#DIV/0!</v>
      </c>
      <c r="H119" s="134"/>
      <c r="I119" s="128">
        <f>-SUM([1]SME!$AC$98:$AI$98,[1]SME!$BE$98:$BG$98)/1000/I111</f>
        <v>0.17806019038021909</v>
      </c>
      <c r="J119" s="127">
        <f>-SUM([1]SME!$AC$99:$AI$99,[1]SME!$BE$99:$BG$99)/1000/J111</f>
        <v>-0.59840959023115559</v>
      </c>
      <c r="K119" s="127">
        <f>-SUM([1]SME!$AC$100:$AI$100,[1]SME!$BE$100:$BG$100)/1000/K111</f>
        <v>-8.3974010245072665E-3</v>
      </c>
      <c r="L119" s="134"/>
      <c r="M119" s="126">
        <f>-SUM([1]MidCorp!$AC$98:$AI$98,[1]MidCorp!$BE$98:$BG$98)/1000/M111</f>
        <v>-0.10494146649304929</v>
      </c>
      <c r="N119" s="127">
        <f>-SUM([1]MidCorp!$AC$99:$AI$99,[1]MidCorp!$BE$99:$BG$99)/1000/N111</f>
        <v>0.11908268381729015</v>
      </c>
      <c r="O119" s="127">
        <f>-SUM([1]MidCorp!$AC$100:$AI$100,[1]MidCorp!$BE$100:$BG$100)/1000/O111</f>
        <v>-2.02715612668408E-2</v>
      </c>
      <c r="P119" s="134"/>
      <c r="Q119" s="126">
        <f>-SUM([1]MGA!$AC$98:$AI$98,[1]MGA!$BE$98:$BG$98)/1000/Q111</f>
        <v>-1.2040339171650423</v>
      </c>
      <c r="R119" s="127">
        <f>-SUM([1]MGA!$AC$99:$AI$99,[1]MGA!$BE$99:$BG$99)/1000/R111</f>
        <v>-1.2948347158574827</v>
      </c>
      <c r="S119" s="127">
        <f>-SUM([1]MGA!$AC$100:$AI$100,[1]MGA!$BE$100:$BG$100)/1000/S111</f>
        <v>-1.4118051830097726E-2</v>
      </c>
      <c r="T119" s="134"/>
      <c r="U119" s="126">
        <f>-SUM([1]Bancassurance!$AC$98:$AI$98,[1]Bancassurance!$BE$98:$BG$98)/1000/U111</f>
        <v>-0.76829000879770804</v>
      </c>
      <c r="V119" s="127"/>
      <c r="W119" s="127">
        <f>-SUM([1]Bancassurance!$AC$100:$AI$100,[1]Bancassurance!$BE$100:$BG$100)/1000/W111</f>
        <v>-1.5499603326949846E-2</v>
      </c>
      <c r="X119" s="134"/>
      <c r="Y119" s="131"/>
      <c r="Z119" s="127"/>
      <c r="AA119" s="127"/>
      <c r="AB119" s="134"/>
      <c r="AC119" s="132">
        <f>-SUM('[1]Total P&amp;C'!$AC$98:$AI$98,'[1]Total P&amp;C'!$BE$98:$BG$98)/1000/AC111</f>
        <v>-5.472130049781921E-2</v>
      </c>
      <c r="AD119" s="130">
        <f>-SUM('[1]Total P&amp;C'!$AC$99:$AI$99,'[1]Total P&amp;C'!$BE$99:$BG$99)/1000/AD111</f>
        <v>-6.0528510528212669E-2</v>
      </c>
      <c r="AE119" s="130">
        <f>-SUM('[1]Total P&amp;C'!$AC$100:$AI$100,'[1]Total P&amp;C'!$BE$100:$BG$100)/1000/AE111</f>
        <v>-1.8131666002033552E-2</v>
      </c>
      <c r="AG119" s="215"/>
      <c r="AH119" s="115"/>
      <c r="AI119" s="116" t="s">
        <v>57</v>
      </c>
      <c r="AJ119" s="134"/>
      <c r="AK119" s="128">
        <f>-SUM([2]Retail!$AC$98:$AI$98,[2]Retail!$BE$98:$BG$98)/1000/AK111</f>
        <v>0.38929854144330578</v>
      </c>
      <c r="AL119" s="127">
        <f>-SUM([2]Retail!$AC$99:$AI$99,[2]Retail!$BE$99:$BG$99)/1000/AL111</f>
        <v>0.93059601628748756</v>
      </c>
      <c r="AM119" s="127">
        <f>-SUM([2]Retail!$AC$100:$AI$100,[2]Retail!$BE$100:$BG$100)/1000/AM111</f>
        <v>1.7606749137243364E-2</v>
      </c>
      <c r="AN119" s="134"/>
      <c r="AO119" s="128">
        <f>-SUM([2]SME!$AC$98:$AI$98,[2]SME!$BE$98:$BG$98)/1000/AO111</f>
        <v>0.74388508203010728</v>
      </c>
      <c r="AP119" s="127">
        <f>-SUM([2]SME!$AC$99:$AI$99,[2]SME!$BE$99:$BG$99)/1000/AP111</f>
        <v>1.0567205770848858</v>
      </c>
      <c r="AQ119" s="127">
        <f>-SUM([2]SME!$AC$100:$AI$100,[2]SME!$BE$100:$BG$100)/1000/AQ111</f>
        <v>1.6527617073703173E-2</v>
      </c>
      <c r="AR119" s="134"/>
      <c r="AS119" s="128">
        <f>-SUM([2]MidCorp!$AC$98:$AI$98,[2]MidCorp!$BE$98:$BG$98)/1000/AS111</f>
        <v>0.12898091830545272</v>
      </c>
      <c r="AT119" s="127">
        <f>-SUM([2]MidCorp!$AC$99:$AI$99,[2]MidCorp!$BE$99:$BG$99)/1000/AT111</f>
        <v>-0.52419025063894031</v>
      </c>
      <c r="AU119" s="127">
        <f>-SUM([2]MidCorp!$AC$100:$AI$100,[2]MidCorp!$BE$100:$BG$100)/1000/AU111</f>
        <v>-1.6662834432765769E-3</v>
      </c>
      <c r="AV119" s="134"/>
      <c r="AW119" s="131"/>
      <c r="AX119" s="127"/>
      <c r="AY119" s="127"/>
      <c r="AZ119" s="134"/>
      <c r="BA119" s="131"/>
      <c r="BB119" s="127"/>
      <c r="BC119" s="127"/>
      <c r="BD119" s="134"/>
      <c r="BE119" s="131"/>
      <c r="BF119" s="127"/>
      <c r="BG119" s="127"/>
      <c r="BH119" s="134"/>
      <c r="BI119" s="129">
        <f>-SUM('[2]Total P&amp;C'!$AC$98:$AI$98,'[2]Total P&amp;C'!$BE$98:$BG$98)/1000/BI111</f>
        <v>0.2856411275884948</v>
      </c>
      <c r="BJ119" s="130">
        <f>-SUM('[2]Total P&amp;C'!$AC$99:$AI$99,'[2]Total P&amp;C'!$BE$99:$BG$99)/1000/BJ111</f>
        <v>9.337403249867416E-3</v>
      </c>
      <c r="BK119" s="130">
        <f>-SUM('[2]Total P&amp;C'!$AC$100:$AI$100,'[2]Total P&amp;C'!$BE$100:$BG$100)/1000/BK111</f>
        <v>5.1340446192733851E-3</v>
      </c>
      <c r="BM119" s="129">
        <f>-SUM('[3]Total P&amp;C'!$AC$98:$AI$98,'[3]Total P&amp;C'!$BE$98:$BG$98)/1000/BM111</f>
        <v>4.657722099297501E-2</v>
      </c>
      <c r="BN119" s="130">
        <f>-SUM('[3]Total P&amp;C'!$AC$99:$AI$99,'[3]Total P&amp;C'!$BE$99:$BG$99)/1000/BN111</f>
        <v>-3.9553036484690038E-2</v>
      </c>
      <c r="BO119" s="130">
        <f>-SUM('[3]Total P&amp;C'!$AC$100:$AI$100,'[3]Total P&amp;C'!$BE$100:$BG$100)/1000/BO111</f>
        <v>-1.1673236170359279E-2</v>
      </c>
    </row>
    <row r="120" spans="1:67" hidden="1" x14ac:dyDescent="0.3">
      <c r="A120" s="215"/>
      <c r="B120" s="115"/>
      <c r="C120" s="116" t="s">
        <v>29</v>
      </c>
      <c r="D120" s="134"/>
      <c r="E120" s="128">
        <f>-SUM([1]Retail!$AJ$98:$AK$98,[1]Retail!$BH$98:$BI$98)/1000/E111</f>
        <v>-0.18763042772094535</v>
      </c>
      <c r="F120" s="127">
        <f>-SUM([1]Retail!$AJ$99:$AK$99,[1]Retail!$BH$99:$BI$99)/1000/F111</f>
        <v>9.6403519753059136E-2</v>
      </c>
      <c r="G120" s="127" t="e">
        <f>-SUM([1]Retail!$AJ$100:$AK$100,[1]Retail!$BH$100:$BI$100)/1000/G111</f>
        <v>#DIV/0!</v>
      </c>
      <c r="H120" s="134"/>
      <c r="I120" s="128">
        <f>-SUM([1]SME!$AJ$98:$AK$98,[1]SME!$BH$98:$BI$98)/1000/I111</f>
        <v>2.6591244188259863E-2</v>
      </c>
      <c r="J120" s="127">
        <f>-SUM([1]SME!$AJ$99:$AK$99,[1]SME!$BH$99:$BI$99)/1000/J111</f>
        <v>5.6779378877331775E-2</v>
      </c>
      <c r="K120" s="127">
        <f>-SUM([1]SME!$AJ$100:$AK$100,[1]SME!$BH$100:$BI$100)/1000/K111</f>
        <v>0</v>
      </c>
      <c r="L120" s="134"/>
      <c r="M120" s="128">
        <f>-SUM([1]MidCorp!$AJ$98:$AK$98,[1]MidCorp!$BH$98:$BI$98)/1000/M111</f>
        <v>3.5315433007761798E-2</v>
      </c>
      <c r="N120" s="127">
        <f>-SUM([1]MidCorp!$AJ$99:$AK$99,[1]MidCorp!$BH$99:$BI$99)/1000/N111</f>
        <v>1.5745422437717718E-2</v>
      </c>
      <c r="O120" s="127">
        <f>-SUM([1]MidCorp!$AJ$100:$AK$100,[1]MidCorp!$BH$100:$BI$100)/1000/O111</f>
        <v>0</v>
      </c>
      <c r="P120" s="134"/>
      <c r="Q120" s="128">
        <f>-SUM([1]MGA!$AJ$98:$AK$98,[1]MGA!$BH$98:$BI$98)/1000/Q111</f>
        <v>8.8794413244534465E-2</v>
      </c>
      <c r="R120" s="127">
        <f>-SUM([1]MGA!$AJ$99:$AK$99,[1]MGA!$BH$99:$BI$99)/1000/R111</f>
        <v>-3.6286925837142291E-2</v>
      </c>
      <c r="S120" s="127">
        <f>-SUM([1]MGA!$AJ$100:$AK$100,[1]MGA!$BH$100:$BI$100)/1000/S111</f>
        <v>0</v>
      </c>
      <c r="T120" s="134"/>
      <c r="U120" s="128">
        <f>-SUM([1]Bancassurance!$AJ$98:$AK$98,[1]Bancassurance!$BH$98:$BI$98)/1000/U111</f>
        <v>9.7651969046197093E-2</v>
      </c>
      <c r="V120" s="127"/>
      <c r="W120" s="127">
        <f>-SUM([1]Bancassurance!$AJ$100:$AK$100,[1]Bancassurance!$BH$100:$BI$100)/1000/W111</f>
        <v>0</v>
      </c>
      <c r="X120" s="134"/>
      <c r="Y120" s="131"/>
      <c r="Z120" s="127"/>
      <c r="AA120" s="127"/>
      <c r="AB120" s="134"/>
      <c r="AC120" s="129">
        <f>-SUM('[1]Total P&amp;C'!$AJ$98:$AK$98,'[1]Total P&amp;C'!$BH$98:$BI$98)/1000/AC111</f>
        <v>3.3946289958927463E-2</v>
      </c>
      <c r="AD120" s="130">
        <f>-SUM('[1]Total P&amp;C'!$AJ$99:$AK$99,'[1]Total P&amp;C'!$BH$99:$BI$99)/1000/AD111</f>
        <v>2.2922382589331044E-2</v>
      </c>
      <c r="AE120" s="130">
        <f>-SUM('[1]Total P&amp;C'!$AJ$100:$AK$100,'[1]Total P&amp;C'!$BH$100:$BI$100)/1000/AE111</f>
        <v>0</v>
      </c>
      <c r="AG120" s="215"/>
      <c r="AH120" s="115"/>
      <c r="AI120" s="116" t="s">
        <v>29</v>
      </c>
      <c r="AJ120" s="134"/>
      <c r="AK120" s="126">
        <f>-SUM([2]Retail!$AJ$98:$AK$98,[2]Retail!$BH$98:$BI$98)/1000/AK111</f>
        <v>-0.13570040789815052</v>
      </c>
      <c r="AL120" s="127">
        <f>-SUM([2]Retail!$AJ$99:$AK$99,[2]Retail!$BH$99:$BI$99)/1000/AL111</f>
        <v>2.7753719739568018E-2</v>
      </c>
      <c r="AM120" s="127">
        <f>-SUM([2]Retail!$AJ$100:$AK$100,[2]Retail!$BH$100:$BI$100)/1000/AM111</f>
        <v>0</v>
      </c>
      <c r="AN120" s="134"/>
      <c r="AO120" s="126">
        <f>-SUM([2]SME!$AJ$98:$AK$98,[2]SME!$BH$98:$BI$98)/1000/AO111</f>
        <v>-0.26346624406273877</v>
      </c>
      <c r="AP120" s="127">
        <f>-SUM([2]SME!$AJ$99:$AK$99,[2]SME!$BH$99:$BI$99)/1000/AP111</f>
        <v>4.9327636149421324E-2</v>
      </c>
      <c r="AQ120" s="127">
        <f>-SUM([2]SME!$AJ$100:$AK$100,[2]SME!$BH$100:$BI$100)/1000/AQ111</f>
        <v>0</v>
      </c>
      <c r="AR120" s="134"/>
      <c r="AS120" s="126">
        <f>-SUM([2]MidCorp!$AJ$98:$AK$98,[2]MidCorp!$BH$98:$BI$98)/1000/AS111</f>
        <v>-5.9198323721165902E-2</v>
      </c>
      <c r="AT120" s="127">
        <f>-SUM([2]MidCorp!$AJ$99:$AK$99,[2]MidCorp!$BH$99:$BI$99)/1000/AT111</f>
        <v>0.22515947608278086</v>
      </c>
      <c r="AU120" s="127">
        <f>-SUM([2]MidCorp!$AJ$100:$AK$100,[2]MidCorp!$BH$100:$BI$100)/1000/AU111</f>
        <v>0</v>
      </c>
      <c r="AV120" s="134"/>
      <c r="AW120" s="131"/>
      <c r="AX120" s="127"/>
      <c r="AY120" s="127"/>
      <c r="AZ120" s="134"/>
      <c r="BA120" s="131"/>
      <c r="BB120" s="127"/>
      <c r="BC120" s="127"/>
      <c r="BD120" s="134"/>
      <c r="BE120" s="131"/>
      <c r="BF120" s="127"/>
      <c r="BG120" s="127"/>
      <c r="BH120" s="134"/>
      <c r="BI120" s="132">
        <f>-SUM('[2]Total P&amp;C'!$AJ$98:$AK$98,'[2]Total P&amp;C'!$BH$98:$BI$98)/1000/BI111</f>
        <v>-0.10949106323993253</v>
      </c>
      <c r="BJ120" s="130">
        <f>-SUM('[2]Total P&amp;C'!$AJ$99:$AK$99,'[2]Total P&amp;C'!$BH$99:$BI$99)/1000/BJ111</f>
        <v>0.15968723011080699</v>
      </c>
      <c r="BK120" s="130">
        <f>-SUM('[2]Total P&amp;C'!$AJ$100:$AK$100,'[2]Total P&amp;C'!$BH$100:$BI$100)/1000/BK111</f>
        <v>0</v>
      </c>
      <c r="BM120" s="132">
        <f>-SUM('[3]Total P&amp;C'!$AJ$98:$AK$98,'[3]Total P&amp;C'!$BH$98:$BI$98)/1000/BM111</f>
        <v>-8.7434742647330387E-3</v>
      </c>
      <c r="BN120" s="130">
        <f>-SUM('[3]Total P&amp;C'!$AJ$99:$AK$99,'[3]Total P&amp;C'!$BH$99:$BI$99)/1000/BN111</f>
        <v>6.3982569941423026E-2</v>
      </c>
      <c r="BO120" s="130">
        <f>-SUM('[3]Total P&amp;C'!$AJ$100:$AK$100,'[3]Total P&amp;C'!$BH$100:$BI$100)/1000/BO111</f>
        <v>0</v>
      </c>
    </row>
    <row r="121" spans="1:67" hidden="1" x14ac:dyDescent="0.3">
      <c r="A121" s="215"/>
      <c r="B121" s="115"/>
      <c r="C121" s="116" t="s">
        <v>58</v>
      </c>
      <c r="D121" s="134"/>
      <c r="E121" s="128">
        <f>+E122+E123+E124</f>
        <v>0.42757380063939476</v>
      </c>
      <c r="F121" s="127">
        <f>+F122+F123+F124</f>
        <v>0.5919545838002559</v>
      </c>
      <c r="G121" s="127" t="e">
        <f>+G122+G123+G124</f>
        <v>#DIV/0!</v>
      </c>
      <c r="H121" s="134"/>
      <c r="I121" s="126">
        <f>+I122+I123+I124</f>
        <v>0.36099935560541208</v>
      </c>
      <c r="J121" s="127">
        <f>+J122+J123+J124</f>
        <v>0.40591101626786696</v>
      </c>
      <c r="K121" s="127">
        <f>+K122+K123+K124</f>
        <v>0.39281037134018959</v>
      </c>
      <c r="L121" s="134"/>
      <c r="M121" s="126">
        <f>+M122+M123+M124</f>
        <v>0.28157456053859631</v>
      </c>
      <c r="N121" s="127">
        <f>+N122+N123+N124</f>
        <v>0.26268938074598686</v>
      </c>
      <c r="O121" s="127">
        <f>+O122+O123+O124</f>
        <v>0.28637902940690535</v>
      </c>
      <c r="P121" s="134"/>
      <c r="Q121" s="128">
        <f>+Q122+Q123+Q124</f>
        <v>0.45265213607816673</v>
      </c>
      <c r="R121" s="127">
        <f>+R122+R123+R124</f>
        <v>0.47354202400005757</v>
      </c>
      <c r="S121" s="127">
        <f>+S122+S123+S124</f>
        <v>0.43676280376515758</v>
      </c>
      <c r="T121" s="134"/>
      <c r="U121" s="128">
        <f>+U122+U123+U124</f>
        <v>0.45346770336305176</v>
      </c>
      <c r="V121" s="127"/>
      <c r="W121" s="127">
        <f>+W122+W123+W124</f>
        <v>0.4392696008217476</v>
      </c>
      <c r="X121" s="134"/>
      <c r="Y121" s="131"/>
      <c r="Z121" s="127"/>
      <c r="AA121" s="127"/>
      <c r="AB121" s="134"/>
      <c r="AC121" s="132">
        <f>+AC122+AC123+AC124</f>
        <v>0.30526640077523187</v>
      </c>
      <c r="AD121" s="130">
        <f>+AD122+AD123+AD124</f>
        <v>0.3002669704820341</v>
      </c>
      <c r="AE121" s="130">
        <f>+AE122+AE123+AE124</f>
        <v>0.31405502879970565</v>
      </c>
      <c r="AG121" s="215"/>
      <c r="AH121" s="115"/>
      <c r="AI121" s="116" t="s">
        <v>58</v>
      </c>
      <c r="AJ121" s="134"/>
      <c r="AK121" s="128">
        <f>+AK122+AK123+AK124</f>
        <v>0.51542989926084459</v>
      </c>
      <c r="AL121" s="127">
        <f>+AL122+AL123+AL124</f>
        <v>0.46908097464548776</v>
      </c>
      <c r="AM121" s="127">
        <f>+AM122+AM123+AM124</f>
        <v>0.5014271640980158</v>
      </c>
      <c r="AN121" s="134"/>
      <c r="AO121" s="126">
        <f>+AO122+AO123+AO124</f>
        <v>0.56230001082666259</v>
      </c>
      <c r="AP121" s="127">
        <f>+AP122+AP123+AP124</f>
        <v>0.54302990227963011</v>
      </c>
      <c r="AQ121" s="127">
        <f>+AQ122+AQ123+AQ124</f>
        <v>0.60630251933656809</v>
      </c>
      <c r="AR121" s="134"/>
      <c r="AS121" s="128">
        <f>+AS122+AS123+AS124</f>
        <v>0.39991139731513314</v>
      </c>
      <c r="AT121" s="127">
        <f>+AT122+AT123+AT124</f>
        <v>0.44426180178869989</v>
      </c>
      <c r="AU121" s="127">
        <f>+AU122+AU123+AU124</f>
        <v>0.39072364417777244</v>
      </c>
      <c r="AV121" s="134"/>
      <c r="AW121" s="131"/>
      <c r="AX121" s="127"/>
      <c r="AY121" s="127"/>
      <c r="AZ121" s="134"/>
      <c r="BA121" s="131"/>
      <c r="BB121" s="127"/>
      <c r="BC121" s="127"/>
      <c r="BD121" s="134"/>
      <c r="BE121" s="131"/>
      <c r="BF121" s="127"/>
      <c r="BG121" s="127"/>
      <c r="BH121" s="134"/>
      <c r="BI121" s="132">
        <f>+BI122+BI123+BI124</f>
        <v>0.4494848906956263</v>
      </c>
      <c r="BJ121" s="130">
        <f>+BJ122+BJ123+BJ124</f>
        <v>0.46621391398019063</v>
      </c>
      <c r="BK121" s="130">
        <f>+BK122+BK123+BK124</f>
        <v>0.45019374400244722</v>
      </c>
      <c r="BM121" s="132">
        <f>+BM122+BM123+BM124</f>
        <v>0.34818864657865561</v>
      </c>
      <c r="BN121" s="130">
        <f>+BN122+BN123+BN124</f>
        <v>0.35008834427818714</v>
      </c>
      <c r="BO121" s="130">
        <f>+BO122+BO123+BO124</f>
        <v>0.35184636704088434</v>
      </c>
    </row>
    <row r="122" spans="1:67" ht="14.5" hidden="1" x14ac:dyDescent="0.3">
      <c r="A122" s="215"/>
      <c r="B122" s="115"/>
      <c r="C122" s="39" t="s">
        <v>59</v>
      </c>
      <c r="D122" s="135"/>
      <c r="E122" s="74">
        <f>-SUM([1]Retail!$AL$98:$AN$98,[1]Retail!$BJ$98)/1000/E111</f>
        <v>0.24895076739061361</v>
      </c>
      <c r="F122" s="42">
        <f>-SUM([1]Retail!$AL$99:$AN$99,[1]Retail!$BJ$99)/1000/F111</f>
        <v>0.23292715644864392</v>
      </c>
      <c r="G122" s="42" t="e">
        <f>-SUM([1]Retail!$AL$100:$AN$100,[1]Retail!$BJ$100)/1000/G111</f>
        <v>#DIV/0!</v>
      </c>
      <c r="H122" s="135"/>
      <c r="I122" s="97">
        <f>-SUM([1]SME!$AL$98:$AN$98,[1]SME!$BJ$98)/1000/I111</f>
        <v>0.22107230022567823</v>
      </c>
      <c r="J122" s="42">
        <f>-SUM([1]SME!$AL$99:$AN$99,[1]SME!$BJ$99)/1000/J111</f>
        <v>0.22008881034400024</v>
      </c>
      <c r="K122" s="42">
        <f>-SUM([1]SME!$AL$100:$AN$100,[1]SME!$BJ$100)/1000/K111</f>
        <v>0.22058491680310188</v>
      </c>
      <c r="L122" s="135"/>
      <c r="M122" s="97">
        <f>-SUM([1]MidCorp!$AL$98:$AN$98,[1]MidCorp!$BJ$98)/1000/M111</f>
        <v>0.18473850373015102</v>
      </c>
      <c r="N122" s="42">
        <f>-SUM([1]MidCorp!$AL$99:$AN$99,[1]MidCorp!$BJ$99)/1000/N111</f>
        <v>0.18310714260352859</v>
      </c>
      <c r="O122" s="42">
        <f>-SUM([1]MidCorp!$AL$100:$AN$100,[1]MidCorp!$BJ$100)/1000/O111</f>
        <v>0.18031667008653623</v>
      </c>
      <c r="P122" s="135"/>
      <c r="Q122" s="74">
        <f>-SUM([1]MGA!$AL$98:$AN$98,[1]MGA!$BJ$98)/1000/Q111</f>
        <v>0.34909587724277286</v>
      </c>
      <c r="R122" s="42">
        <f>-SUM([1]MGA!$AL$99:$AN$99,[1]MGA!$BJ$99)/1000/R111</f>
        <v>0.35255748466752784</v>
      </c>
      <c r="S122" s="42">
        <f>-SUM([1]MGA!$AL$100:$AN$100,[1]MGA!$BJ$100)/1000/S111</f>
        <v>0.35130743590633745</v>
      </c>
      <c r="T122" s="135"/>
      <c r="U122" s="74">
        <f>-SUM([1]Bancassurance!$AL$98:$AN$98,[1]Bancassurance!$BJ$98)/1000/U111</f>
        <v>0.14714538602693306</v>
      </c>
      <c r="V122" s="42"/>
      <c r="W122" s="42">
        <f>-SUM([1]Bancassurance!$AL$100:$AN$100,[1]Bancassurance!$BJ$100)/1000/W111</f>
        <v>0.15</v>
      </c>
      <c r="X122" s="135"/>
      <c r="Y122" s="97"/>
      <c r="Z122" s="42"/>
      <c r="AA122" s="42"/>
      <c r="AB122" s="135"/>
      <c r="AC122" s="99">
        <f>-SUM('[1]Total P&amp;C'!$AL$98:$AN$98,'[1]Total P&amp;C'!$BJ$98)/1000/AC111</f>
        <v>0.19629337662000132</v>
      </c>
      <c r="AD122" s="60">
        <f>-SUM('[1]Total P&amp;C'!$AL$99:$AN$99,'[1]Total P&amp;C'!$BJ$99)/1000/AD111</f>
        <v>0.19440526072889383</v>
      </c>
      <c r="AE122" s="60">
        <f>-SUM('[1]Total P&amp;C'!$AL$100:$AN$100,'[1]Total P&amp;C'!$BJ$100)/1000/AE111</f>
        <v>0.19294748911809212</v>
      </c>
      <c r="AG122" s="215"/>
      <c r="AH122" s="115"/>
      <c r="AI122" s="39" t="s">
        <v>59</v>
      </c>
      <c r="AJ122" s="135"/>
      <c r="AK122" s="74">
        <f>-SUM([2]Retail!$AL$98:$AN$98,[2]Retail!$BJ$98)/1000/AK111</f>
        <v>0.2190726125455589</v>
      </c>
      <c r="AL122" s="42">
        <f>-SUM([2]Retail!$AL$99:$AN$99,[2]Retail!$BJ$99)/1000/AL111</f>
        <v>0.21886062345110424</v>
      </c>
      <c r="AM122" s="42">
        <f>-SUM([2]Retail!$AL$100:$AN$100,[2]Retail!$BJ$100)/1000/AM111</f>
        <v>0.21936165722942005</v>
      </c>
      <c r="AN122" s="135"/>
      <c r="AO122" s="74">
        <f>-SUM([2]SME!$AL$98:$AN$98,[2]SME!$BJ$98)/1000/AO111</f>
        <v>0.23252546993535481</v>
      </c>
      <c r="AP122" s="42">
        <f>-SUM([2]SME!$AL$99:$AN$99,[2]SME!$BJ$99)/1000/AP111</f>
        <v>0.23202317672790637</v>
      </c>
      <c r="AQ122" s="42">
        <f>-SUM([2]SME!$AL$100:$AN$100,[2]SME!$BJ$100)/1000/AQ111</f>
        <v>0.2382655312060564</v>
      </c>
      <c r="AR122" s="135"/>
      <c r="AS122" s="73">
        <f>-SUM([2]MidCorp!$AL$98:$AN$98,[2]MidCorp!$BJ$98)/1000/AS111</f>
        <v>0.2092818370383259</v>
      </c>
      <c r="AT122" s="42">
        <f>-SUM([2]MidCorp!$AL$99:$AN$99,[2]MidCorp!$BJ$99)/1000/AT111</f>
        <v>0.21061118725510941</v>
      </c>
      <c r="AU122" s="42">
        <f>-SUM([2]MidCorp!$AL$100:$AN$100,[2]MidCorp!$BJ$100)/1000/AU111</f>
        <v>0.18855625201321263</v>
      </c>
      <c r="AV122" s="135"/>
      <c r="AW122" s="97"/>
      <c r="AX122" s="42"/>
      <c r="AY122" s="42"/>
      <c r="AZ122" s="135"/>
      <c r="BA122" s="97"/>
      <c r="BB122" s="42"/>
      <c r="BC122" s="42"/>
      <c r="BD122" s="135"/>
      <c r="BE122" s="97"/>
      <c r="BF122" s="42"/>
      <c r="BG122" s="42"/>
      <c r="BH122" s="135"/>
      <c r="BI122" s="84">
        <f>-SUM('[2]Total P&amp;C'!$AL$98:$AN$98,'[2]Total P&amp;C'!$BJ$98)/1000/BI111</f>
        <v>0.21519500646010287</v>
      </c>
      <c r="BJ122" s="60">
        <f>-SUM('[2]Total P&amp;C'!$AL$99:$AN$99,'[2]Total P&amp;C'!$BJ$99)/1000/BJ111</f>
        <v>0.21586435394317222</v>
      </c>
      <c r="BK122" s="60">
        <f>-SUM('[2]Total P&amp;C'!$AL$100:$AN$100,'[2]Total P&amp;C'!$BJ$100)/1000/BK111</f>
        <v>0.20321611104173168</v>
      </c>
      <c r="BM122" s="84">
        <f>-SUM('[3]Total P&amp;C'!$AL$98:$AN$98,'[3]Total P&amp;C'!$BJ$98)/1000/BM111</f>
        <v>0.2019188716763563</v>
      </c>
      <c r="BN122" s="60">
        <f>-SUM('[3]Total P&amp;C'!$AL$99:$AN$99,'[3]Total P&amp;C'!$BJ$99)/1000/BN111</f>
        <v>0.20084781087063194</v>
      </c>
      <c r="BO122" s="60">
        <f>-SUM('[3]Total P&amp;C'!$AL$100:$AN$100,'[3]Total P&amp;C'!$BJ$100)/1000/BO111</f>
        <v>0.19579800055276467</v>
      </c>
    </row>
    <row r="123" spans="1:67" ht="14.5" hidden="1" x14ac:dyDescent="0.3">
      <c r="A123" s="215"/>
      <c r="B123" s="115"/>
      <c r="C123" s="39" t="s">
        <v>60</v>
      </c>
      <c r="D123" s="135"/>
      <c r="E123" s="74">
        <f>-SUM([1]Retail!$AO$98:$AP$98)/1000/E111</f>
        <v>9.1060361274967611E-3</v>
      </c>
      <c r="F123" s="42">
        <f>-SUM([1]Retail!$AO$99:$AP$99)/1000/F111</f>
        <v>5.3940666002888327E-2</v>
      </c>
      <c r="G123" s="42" t="e">
        <f>-SUM([1]Retail!$AO$100:$AP$100)/1000/G111</f>
        <v>#DIV/0!</v>
      </c>
      <c r="H123" s="135"/>
      <c r="I123" s="74">
        <f>-SUM([1]SME!$AO$98:$AP$98)/1000/I111</f>
        <v>5.8080814403075526E-2</v>
      </c>
      <c r="J123" s="42">
        <f>-SUM([1]SME!$AO$99:$AP$99)/1000/J111</f>
        <v>0.11019473407373255</v>
      </c>
      <c r="K123" s="42">
        <f>-SUM([1]SME!$AO$100:$AP$100)/1000/K111</f>
        <v>6.6483956206675271E-2</v>
      </c>
      <c r="L123" s="135"/>
      <c r="M123" s="97">
        <f>-SUM([1]MidCorp!$AO$98:$AP$98)/1000/M111</f>
        <v>4.9897408231087376E-2</v>
      </c>
      <c r="N123" s="42">
        <f>-SUM([1]MidCorp!$AO$99:$AP$99)/1000/N111</f>
        <v>3.7907898989181482E-2</v>
      </c>
      <c r="O123" s="42">
        <f>-SUM([1]MidCorp!$AO$100:$AP$100)/1000/O111</f>
        <v>4.878846528897491E-2</v>
      </c>
      <c r="P123" s="135"/>
      <c r="Q123" s="73">
        <f>-SUM([1]MGA!$AO$98:$AP$98)/1000/Q111</f>
        <v>4.2088495149681097E-2</v>
      </c>
      <c r="R123" s="42">
        <f>-SUM([1]MGA!$AO$99:$AP$99)/1000/R111</f>
        <v>3.9843201922457647E-2</v>
      </c>
      <c r="S123" s="42">
        <f>-SUM([1]MGA!$AO$100:$AP$100)/1000/S111</f>
        <v>3.3641106115087707E-2</v>
      </c>
      <c r="T123" s="135"/>
      <c r="U123" s="73">
        <f>-SUM([1]Bancassurance!$AO$98:$AP$98)/1000/U111</f>
        <v>0.15116308019434668</v>
      </c>
      <c r="V123" s="42"/>
      <c r="W123" s="42">
        <f>-SUM([1]Bancassurance!$AO$100:$AP$100)/1000/W111</f>
        <v>0.13071984914493379</v>
      </c>
      <c r="X123" s="135"/>
      <c r="Y123" s="97"/>
      <c r="Z123" s="42"/>
      <c r="AA123" s="42"/>
      <c r="AB123" s="135"/>
      <c r="AC123" s="85">
        <f>-SUM('[1]Total P&amp;C'!$AO$98:$AP$98)/1000/AC111</f>
        <v>5.2297695144538706E-2</v>
      </c>
      <c r="AD123" s="60">
        <f>-SUM('[1]Total P&amp;C'!$AO$99:$AP$99)/1000/AD111</f>
        <v>5.1863785728763469E-2</v>
      </c>
      <c r="AE123" s="60">
        <f>-SUM('[1]Total P&amp;C'!$AO$100:$AP$100)/1000/AE111</f>
        <v>5.2604479733685844E-2</v>
      </c>
      <c r="AG123" s="215"/>
      <c r="AH123" s="115"/>
      <c r="AI123" s="39" t="s">
        <v>60</v>
      </c>
      <c r="AJ123" s="135"/>
      <c r="AK123" s="73">
        <f>-SUM([2]Retail!$AO$98:$AP$98)/1000/AK111</f>
        <v>0.1678809803472831</v>
      </c>
      <c r="AL123" s="42">
        <f>-SUM([2]Retail!$AO$99:$AP$99)/1000/AL111</f>
        <v>0.14699480198197584</v>
      </c>
      <c r="AM123" s="42">
        <f>-SUM([2]Retail!$AO$100:$AP$100)/1000/AM111</f>
        <v>0.15784011461937195</v>
      </c>
      <c r="AN123" s="135"/>
      <c r="AO123" s="74">
        <f>-SUM([2]SME!$AO$98:$AP$98)/1000/AO111</f>
        <v>0.24925101127366386</v>
      </c>
      <c r="AP123" s="42">
        <f>-SUM([2]SME!$AO$99:$AP$99)/1000/AP111</f>
        <v>0.22513175472149394</v>
      </c>
      <c r="AQ123" s="42">
        <f>-SUM([2]SME!$AO$100:$AP$100)/1000/AQ111</f>
        <v>0.27659298359246726</v>
      </c>
      <c r="AR123" s="135"/>
      <c r="AS123" s="97">
        <f>-SUM([2]MidCorp!$AO$98:$AP$98)/1000/AS111</f>
        <v>7.5581147690842856E-2</v>
      </c>
      <c r="AT123" s="42">
        <f>-SUM([2]MidCorp!$AO$99:$AP$99)/1000/AT111</f>
        <v>9.0897812285734819E-2</v>
      </c>
      <c r="AU123" s="42">
        <f>-SUM([2]MidCorp!$AO$100:$AP$100)/1000/AU111</f>
        <v>7.3833281356277591E-2</v>
      </c>
      <c r="AV123" s="135"/>
      <c r="AW123" s="97"/>
      <c r="AX123" s="42"/>
      <c r="AY123" s="42"/>
      <c r="AZ123" s="135"/>
      <c r="BA123" s="97"/>
      <c r="BB123" s="42"/>
      <c r="BC123" s="42"/>
      <c r="BD123" s="135"/>
      <c r="BE123" s="97"/>
      <c r="BF123" s="42"/>
      <c r="BG123" s="42"/>
      <c r="BH123" s="135"/>
      <c r="BI123" s="85">
        <f>-SUM('[2]Total P&amp;C'!$AO$98:$AP$98)/1000/BI111</f>
        <v>0.12311992711562683</v>
      </c>
      <c r="BJ123" s="60">
        <f>-SUM('[2]Total P&amp;C'!$AO$99:$AP$99)/1000/BJ111</f>
        <v>0.12458496812870105</v>
      </c>
      <c r="BK123" s="60">
        <f>-SUM('[2]Total P&amp;C'!$AO$100:$AP$100)/1000/BK111</f>
        <v>0.12615894441742137</v>
      </c>
      <c r="BM123" s="99">
        <f>-SUM('[3]Total P&amp;C'!$AO$98:$AP$98)/1000/BM111</f>
        <v>7.3375777786286525E-2</v>
      </c>
      <c r="BN123" s="60">
        <f>-SUM('[3]Total P&amp;C'!$AO$99:$AP$99)/1000/BN111</f>
        <v>7.3696481980175699E-2</v>
      </c>
      <c r="BO123" s="60">
        <f>-SUM('[3]Total P&amp;C'!$AO$100:$AP$100)/1000/BO111</f>
        <v>7.3022783592894783E-2</v>
      </c>
    </row>
    <row r="124" spans="1:67" ht="14.5" hidden="1" x14ac:dyDescent="0.3">
      <c r="A124" s="215"/>
      <c r="B124" s="115"/>
      <c r="C124" s="39" t="s">
        <v>61</v>
      </c>
      <c r="D124" s="135"/>
      <c r="E124" s="73">
        <f>-SUM([1]Retail!$AQ$98:$AR$98)/1000/E111</f>
        <v>0.16951699712128437</v>
      </c>
      <c r="F124" s="42">
        <f>-SUM([1]Retail!$AQ$99:$AR$99)/1000/F111</f>
        <v>0.30508676134872365</v>
      </c>
      <c r="G124" s="42" t="e">
        <f>-SUM([1]Retail!$AQ$100:$AR$100)/1000/G111</f>
        <v>#DIV/0!</v>
      </c>
      <c r="H124" s="135"/>
      <c r="I124" s="74">
        <f>-SUM([1]SME!$AQ$98:$AR$98)/1000/I111</f>
        <v>8.1846240976658352E-2</v>
      </c>
      <c r="J124" s="42">
        <f>-SUM([1]SME!$AQ$99:$AR$99)/1000/J111</f>
        <v>7.5627471850134215E-2</v>
      </c>
      <c r="K124" s="42">
        <f>-SUM([1]SME!$AQ$100:$AR$100)/1000/K111</f>
        <v>0.10574149833041244</v>
      </c>
      <c r="L124" s="135"/>
      <c r="M124" s="74">
        <f>-SUM([1]MidCorp!$AQ$98:$AR$98)/1000/M111</f>
        <v>4.6938648577357925E-2</v>
      </c>
      <c r="N124" s="42">
        <f>-SUM([1]MidCorp!$AQ$99:$AR$99)/1000/N111</f>
        <v>4.1674339153276792E-2</v>
      </c>
      <c r="O124" s="42">
        <f>-SUM([1]MidCorp!$AQ$100:$AR$100)/1000/O111</f>
        <v>5.7273894031394205E-2</v>
      </c>
      <c r="P124" s="135"/>
      <c r="Q124" s="73">
        <f>-SUM([1]MGA!$AQ$98:$AR$98)/1000/Q111</f>
        <v>6.1467763685712787E-2</v>
      </c>
      <c r="R124" s="42">
        <f>-SUM([1]MGA!$AQ$99:$AR$99)/1000/R111</f>
        <v>8.1141337410072067E-2</v>
      </c>
      <c r="S124" s="42">
        <f>-SUM([1]MGA!$AQ$100:$AR$100)/1000/S111</f>
        <v>5.1814261743732451E-2</v>
      </c>
      <c r="T124" s="135"/>
      <c r="U124" s="74">
        <f>-SUM([1]Bancassurance!$AQ$98:$AR$98)/1000/U111</f>
        <v>0.15515923714177204</v>
      </c>
      <c r="V124" s="42"/>
      <c r="W124" s="42">
        <f>-SUM([1]Bancassurance!$AQ$100:$AR$100)/1000/W111</f>
        <v>0.15854975167681387</v>
      </c>
      <c r="X124" s="135"/>
      <c r="Y124" s="97"/>
      <c r="Z124" s="42"/>
      <c r="AA124" s="42"/>
      <c r="AB124" s="135"/>
      <c r="AC124" s="85">
        <f>-SUM('[1]Total P&amp;C'!$AQ$98:$AR$98)/1000/AC111</f>
        <v>5.6675329010691812E-2</v>
      </c>
      <c r="AD124" s="60">
        <f>-SUM('[1]Total P&amp;C'!$AQ$99:$AR$99)/1000/AD111</f>
        <v>5.3997924024376781E-2</v>
      </c>
      <c r="AE124" s="60">
        <f>-SUM('[1]Total P&amp;C'!$AQ$100:$AR$100)/1000/AE111</f>
        <v>6.8503059947927672E-2</v>
      </c>
      <c r="AG124" s="215"/>
      <c r="AH124" s="115"/>
      <c r="AI124" s="39" t="s">
        <v>61</v>
      </c>
      <c r="AJ124" s="135"/>
      <c r="AK124" s="97">
        <f>-SUM([2]Retail!$AQ$98:$AR$98)/1000/AK111</f>
        <v>0.1284763063680025</v>
      </c>
      <c r="AL124" s="42">
        <f>-SUM([2]Retail!$AQ$99:$AR$99)/1000/AL111</f>
        <v>0.10322554921240766</v>
      </c>
      <c r="AM124" s="42">
        <f>-SUM([2]Retail!$AQ$100:$AR$100)/1000/AM111</f>
        <v>0.12422539224922378</v>
      </c>
      <c r="AN124" s="135"/>
      <c r="AO124" s="74">
        <f>-SUM([2]SME!$AQ$98:$AR$98)/1000/AO111</f>
        <v>8.0523529617643946E-2</v>
      </c>
      <c r="AP124" s="42">
        <f>-SUM([2]SME!$AQ$99:$AR$99)/1000/AP111</f>
        <v>8.5874970830229713E-2</v>
      </c>
      <c r="AQ124" s="42">
        <f>-SUM([2]SME!$AQ$100:$AR$100)/1000/AQ111</f>
        <v>9.144400453804441E-2</v>
      </c>
      <c r="AR124" s="135"/>
      <c r="AS124" s="74">
        <f>-SUM([2]MidCorp!$AQ$98:$AR$98)/1000/AS111</f>
        <v>0.11504841258596438</v>
      </c>
      <c r="AT124" s="42">
        <f>-SUM([2]MidCorp!$AQ$99:$AR$99)/1000/AT111</f>
        <v>0.14275280224785566</v>
      </c>
      <c r="AU124" s="42">
        <f>-SUM([2]MidCorp!$AQ$100:$AR$100)/1000/AU111</f>
        <v>0.12833411080828222</v>
      </c>
      <c r="AV124" s="135"/>
      <c r="AW124" s="97"/>
      <c r="AX124" s="42"/>
      <c r="AY124" s="42"/>
      <c r="AZ124" s="135"/>
      <c r="BA124" s="97"/>
      <c r="BB124" s="42"/>
      <c r="BC124" s="42"/>
      <c r="BD124" s="135"/>
      <c r="BE124" s="97"/>
      <c r="BF124" s="42"/>
      <c r="BG124" s="42"/>
      <c r="BH124" s="135"/>
      <c r="BI124" s="85">
        <f>-SUM('[2]Total P&amp;C'!$AQ$98:$AR$98)/1000/BI111</f>
        <v>0.11116995711989656</v>
      </c>
      <c r="BJ124" s="60">
        <f>-SUM('[2]Total P&amp;C'!$AQ$99:$AR$99)/1000/BJ111</f>
        <v>0.12576459190831735</v>
      </c>
      <c r="BK124" s="60">
        <f>-SUM('[2]Total P&amp;C'!$AQ$100:$AR$100)/1000/BK111</f>
        <v>0.12081868854329421</v>
      </c>
      <c r="BM124" s="85">
        <f>-SUM('[3]Total P&amp;C'!$AQ$98:$AR$98)/1000/BM111</f>
        <v>7.2893997116012799E-2</v>
      </c>
      <c r="BN124" s="60">
        <f>-SUM('[3]Total P&amp;C'!$AQ$99:$AR$99)/1000/BN111</f>
        <v>7.5544051427379508E-2</v>
      </c>
      <c r="BO124" s="60">
        <f>-SUM('[3]Total P&amp;C'!$AQ$100:$AR$100)/1000/BO111</f>
        <v>8.3025582895224909E-2</v>
      </c>
    </row>
    <row r="125" spans="1:67" hidden="1" x14ac:dyDescent="0.3">
      <c r="A125" s="215"/>
      <c r="B125" s="115"/>
      <c r="C125" s="116" t="s">
        <v>34</v>
      </c>
      <c r="D125" s="117"/>
      <c r="E125" s="120">
        <f>+[1]Retail!$BK$98/1000</f>
        <v>-0.81901931000000028</v>
      </c>
      <c r="F125" s="119">
        <f>+[1]Retail!$BK$99/1000</f>
        <v>0.20348385999999924</v>
      </c>
      <c r="G125" s="119">
        <f>+[1]Retail!$BK$100/1000</f>
        <v>-7.9168393425542286E-2</v>
      </c>
      <c r="H125" s="117"/>
      <c r="I125" s="121">
        <f>+[1]SME!$BK$98/1000</f>
        <v>0.17596322999999944</v>
      </c>
      <c r="J125" s="119">
        <f>+[1]SME!$BK$99/1000</f>
        <v>2.9934897000000027</v>
      </c>
      <c r="K125" s="119">
        <f>+[1]SME!$BK$100/1000</f>
        <v>0.62650980936666589</v>
      </c>
      <c r="L125" s="117"/>
      <c r="M125" s="118">
        <f>+[1]MidCorp!$BK$98/1000</f>
        <v>4.1232376199999985</v>
      </c>
      <c r="N125" s="119">
        <f>+[1]MidCorp!$BK$99/1000</f>
        <v>0.21085814999999683</v>
      </c>
      <c r="O125" s="119">
        <f>+[1]MidCorp!$BK$100/1000</f>
        <v>3.51189887189026</v>
      </c>
      <c r="P125" s="117"/>
      <c r="Q125" s="118">
        <f>+[1]MGA!$BK$98/1000</f>
        <v>0.72022348999999986</v>
      </c>
      <c r="R125" s="119">
        <f>+[1]MGA!$BK$99/1000</f>
        <v>0.74686085999999929</v>
      </c>
      <c r="S125" s="119">
        <f>+[1]MGA!$BK$100/1000</f>
        <v>2.5879554636216637E-2</v>
      </c>
      <c r="T125" s="117"/>
      <c r="U125" s="118">
        <f>+[1]Bancassurance!$BK$98/1000</f>
        <v>0.27072947999999963</v>
      </c>
      <c r="V125" s="119">
        <f>+[1]Bancassurance!$BK$99/1000</f>
        <v>-1.0305820000000182E-2</v>
      </c>
      <c r="W125" s="119">
        <f>+[1]Bancassurance!$BK$100/1000</f>
        <v>9.2337735617841171E-2</v>
      </c>
      <c r="X125" s="117"/>
      <c r="Y125" s="121">
        <f>+[1]Specials!$BK$98/1000</f>
        <v>-1.005578E-2</v>
      </c>
      <c r="Z125" s="119">
        <f>+[1]Specials!$BK$99/1000</f>
        <v>8.9694499999970981E-3</v>
      </c>
      <c r="AA125" s="119">
        <f>+[1]Specials!$BK$100/1000</f>
        <v>0</v>
      </c>
      <c r="AB125" s="117"/>
      <c r="AC125" s="122">
        <f>+'[1]Total P&amp;C'!$BK$98/1000</f>
        <v>4.4610787299999988</v>
      </c>
      <c r="AD125" s="123">
        <f>+'[1]Total P&amp;C'!$BK$99/1000</f>
        <v>4.1533561999999851</v>
      </c>
      <c r="AE125" s="123">
        <f>+'[1]Total P&amp;C'!$BK$100/1000</f>
        <v>4.1774575780854377</v>
      </c>
      <c r="AG125" s="215"/>
      <c r="AH125" s="115"/>
      <c r="AI125" s="116" t="s">
        <v>34</v>
      </c>
      <c r="AJ125" s="117"/>
      <c r="AK125" s="121">
        <f>+[2]Retail!$BK$98/1000</f>
        <v>-0.37028260999999896</v>
      </c>
      <c r="AL125" s="119">
        <f>+[2]Retail!$BK$99/1000</f>
        <v>-2.0490384199999983</v>
      </c>
      <c r="AM125" s="119">
        <f>+[2]Retail!$BK$100/1000</f>
        <v>6.6590040374357243E-2</v>
      </c>
      <c r="AN125" s="117"/>
      <c r="AO125" s="120">
        <f>+[2]SME!$BK$98/1000</f>
        <v>-1.0857010899999977</v>
      </c>
      <c r="AP125" s="119">
        <f>+[2]SME!$BK$99/1000</f>
        <v>-2.1182554399999969</v>
      </c>
      <c r="AQ125" s="119">
        <f>+[2]SME!$BK$100/1000</f>
        <v>-0.2127532324528113</v>
      </c>
      <c r="AR125" s="117"/>
      <c r="AS125" s="120">
        <f>+[2]MidCorp!$BK$98/1000</f>
        <v>-0.73110122999999383</v>
      </c>
      <c r="AT125" s="119">
        <f>+[2]MidCorp!$BK$99/1000</f>
        <v>1.7169067199999917</v>
      </c>
      <c r="AU125" s="119">
        <f>+[2]MidCorp!$BK$100/1000</f>
        <v>-3.4393290623392747E-2</v>
      </c>
      <c r="AV125" s="117"/>
      <c r="AW125" s="121"/>
      <c r="AX125" s="119"/>
      <c r="AY125" s="119"/>
      <c r="AZ125" s="117"/>
      <c r="BA125" s="121"/>
      <c r="BB125" s="119"/>
      <c r="BC125" s="119"/>
      <c r="BD125" s="117"/>
      <c r="BE125" s="121"/>
      <c r="BF125" s="119"/>
      <c r="BG125" s="119"/>
      <c r="BH125" s="117"/>
      <c r="BI125" s="125">
        <f>+'[2]Total P&amp;C'!$BK$98/1000</f>
        <v>-2.1870849299999899</v>
      </c>
      <c r="BJ125" s="123">
        <f>+'[2]Total P&amp;C'!$BK$99/1000</f>
        <v>-2.4503871400000024</v>
      </c>
      <c r="BK125" s="123">
        <f>+'[2]Total P&amp;C'!$BK$100/1000</f>
        <v>-0.18055648270184674</v>
      </c>
      <c r="BM125" s="124">
        <f>+'[3]Total P&amp;C'!$BK$98/1000</f>
        <v>2.2739938000000084</v>
      </c>
      <c r="BN125" s="123">
        <f>+'[3]Total P&amp;C'!$BK$99/1000</f>
        <v>1.7029690599999823</v>
      </c>
      <c r="BO125" s="123">
        <f>+'[3]Total P&amp;C'!$BK$100/1000</f>
        <v>3.9969010953835911</v>
      </c>
    </row>
    <row r="126" spans="1:67" ht="17.5" hidden="1" x14ac:dyDescent="0.35">
      <c r="AG126" s="153"/>
    </row>
    <row r="127" spans="1:67" hidden="1" outlineLevel="1" x14ac:dyDescent="0.3">
      <c r="A127" s="216" t="s">
        <v>64</v>
      </c>
      <c r="B127" s="115"/>
      <c r="C127" s="116" t="s">
        <v>19</v>
      </c>
      <c r="D127" s="117"/>
      <c r="E127" s="118">
        <f>+[1]Retail!$C$41/1000</f>
        <v>0.26423783999999995</v>
      </c>
      <c r="F127" s="119">
        <f>+[1]Retail!$C$42/1000</f>
        <v>0.32629632999999991</v>
      </c>
      <c r="G127" s="119">
        <f>+[1]Retail!$C$43/1000</f>
        <v>0</v>
      </c>
      <c r="H127" s="117"/>
      <c r="I127" s="120">
        <f>+[1]SME!$C$41/1000</f>
        <v>7.9912013099999992</v>
      </c>
      <c r="J127" s="119">
        <f>+[1]SME!$C$42/1000</f>
        <v>8.3559709099999999</v>
      </c>
      <c r="K127" s="119">
        <f>+[1]SME!$C$43/1000</f>
        <v>8.0388500000000001</v>
      </c>
      <c r="L127" s="117"/>
      <c r="M127" s="121">
        <f>+[1]MidCorp!$C$41/1000</f>
        <v>34.074339359999996</v>
      </c>
      <c r="N127" s="119">
        <f>+[1]MidCorp!$C$42/1000</f>
        <v>33.936046259999998</v>
      </c>
      <c r="O127" s="119">
        <f>+[1]MidCorp!$C$43/1000</f>
        <v>35.573320000000002</v>
      </c>
      <c r="P127" s="117"/>
      <c r="Q127" s="121">
        <f>+[1]MGA!$C$41/1000</f>
        <v>1.06793541</v>
      </c>
      <c r="R127" s="119">
        <f>+[1]MGA!$C$42/1000</f>
        <v>0.72135705999999999</v>
      </c>
      <c r="S127" s="119">
        <f>+[1]MGA!$C$43/1000</f>
        <v>1.17015</v>
      </c>
      <c r="T127" s="117"/>
      <c r="U127" s="118">
        <f>+[1]Bancassurance!$C$41/1000</f>
        <v>0.56855008000000107</v>
      </c>
      <c r="V127" s="119">
        <f>+[1]Bancassurance!$C$42/1000</f>
        <v>0.22720669999999982</v>
      </c>
      <c r="W127" s="119">
        <f>+[1]Bancassurance!$C$43/1000</f>
        <v>0.46499000000000001</v>
      </c>
      <c r="X127" s="117"/>
      <c r="Y127" s="121">
        <f>+[1]Specials!$C$41/1000</f>
        <v>0</v>
      </c>
      <c r="Z127" s="119">
        <f>+[1]Specials!$C$42/1000</f>
        <v>0</v>
      </c>
      <c r="AA127" s="119">
        <f>+[1]Specials!$C$43/1000</f>
        <v>0</v>
      </c>
      <c r="AB127" s="117"/>
      <c r="AC127" s="124">
        <f>+'[1]Total P&amp;C'!$C$41/1000</f>
        <v>43.966263999999995</v>
      </c>
      <c r="AD127" s="123">
        <f>+'[1]Total P&amp;C'!$C$42/1000</f>
        <v>43.566877259999998</v>
      </c>
      <c r="AE127" s="123">
        <f>+'[1]Total P&amp;C'!$C$43/1000</f>
        <v>45.247309999999999</v>
      </c>
      <c r="AG127" s="215" t="s">
        <v>64</v>
      </c>
      <c r="AH127" s="115"/>
      <c r="AI127" s="116" t="s">
        <v>19</v>
      </c>
      <c r="AJ127" s="117"/>
      <c r="AK127" s="121">
        <f>+[2]Retail!$C$41/1000</f>
        <v>1.7562625100000002</v>
      </c>
      <c r="AL127" s="119">
        <f>+[2]Retail!$C$42/1000</f>
        <v>1.79275864</v>
      </c>
      <c r="AM127" s="119">
        <f>+[2]Retail!$C$43/1000</f>
        <v>1.80089528337227</v>
      </c>
      <c r="AN127" s="117"/>
      <c r="AO127" s="118">
        <f>+[2]SME!$C$41/1000</f>
        <v>3.5772385500000001</v>
      </c>
      <c r="AP127" s="119">
        <f>+[2]SME!$C$42/1000</f>
        <v>3.5668428100000003</v>
      </c>
      <c r="AQ127" s="119">
        <f>+[2]SME!$C$43/1000</f>
        <v>3.4141730273103246</v>
      </c>
      <c r="AR127" s="117"/>
      <c r="AS127" s="121">
        <f>+[2]MidCorp!$C$41/1000</f>
        <v>9.1223288100000062</v>
      </c>
      <c r="AT127" s="119">
        <f>+[2]MidCorp!$C$42/1000</f>
        <v>9.248511569999998</v>
      </c>
      <c r="AU127" s="119">
        <f>+[2]MidCorp!$C$43/1000</f>
        <v>9.5362593335711345</v>
      </c>
      <c r="AV127" s="117"/>
      <c r="AW127" s="121"/>
      <c r="AX127" s="119"/>
      <c r="AY127" s="119"/>
      <c r="AZ127" s="117"/>
      <c r="BA127" s="121"/>
      <c r="BB127" s="119"/>
      <c r="BC127" s="119"/>
      <c r="BD127" s="117"/>
      <c r="BE127" s="121"/>
      <c r="BF127" s="119"/>
      <c r="BG127" s="119"/>
      <c r="BH127" s="117"/>
      <c r="BI127" s="124">
        <f>+'[2]Total P&amp;C'!$C$41/1000</f>
        <v>14.455829870000008</v>
      </c>
      <c r="BJ127" s="123">
        <f>+'[2]Total P&amp;C'!$C$42/1000</f>
        <v>14.608113019999999</v>
      </c>
      <c r="BK127" s="123">
        <f>+'[2]Total P&amp;C'!$C$43/1000</f>
        <v>14.751327644253729</v>
      </c>
      <c r="BM127" s="124">
        <f>+'[3]Total P&amp;C'!$C$41/1000</f>
        <v>58.422093870000005</v>
      </c>
      <c r="BN127" s="123">
        <f>+'[3]Total P&amp;C'!$C$42/1000</f>
        <v>58.174990279999996</v>
      </c>
      <c r="BO127" s="123">
        <f>+'[3]Total P&amp;C'!$C$43/1000</f>
        <v>59.998637644253726</v>
      </c>
    </row>
    <row r="128" spans="1:67" hidden="1" outlineLevel="1" x14ac:dyDescent="0.3">
      <c r="A128" s="216"/>
      <c r="B128" s="115"/>
      <c r="C128" s="116" t="s">
        <v>55</v>
      </c>
      <c r="D128" s="117"/>
      <c r="E128" s="118">
        <f>+[1]Retail!$N$41/1000</f>
        <v>0.2628706899999998</v>
      </c>
      <c r="F128" s="119">
        <f>+[1]Retail!$N$42/1000</f>
        <v>0.33039135999999925</v>
      </c>
      <c r="G128" s="119">
        <f>+[1]Retail!$N$43/1000</f>
        <v>0</v>
      </c>
      <c r="H128" s="117"/>
      <c r="I128" s="118">
        <f>+[1]SME!$N$41/1000</f>
        <v>4.1460000599999995</v>
      </c>
      <c r="J128" s="119">
        <f>+[1]SME!$N$42/1000</f>
        <v>4.4435567100000002</v>
      </c>
      <c r="K128" s="119">
        <f>+[1]SME!$N$43/1000</f>
        <v>3.9138063803492953</v>
      </c>
      <c r="L128" s="117"/>
      <c r="M128" s="121">
        <f>+[1]MidCorp!$N$41/1000</f>
        <v>12.091597999999998</v>
      </c>
      <c r="N128" s="119">
        <f>+[1]MidCorp!$N$42/1000</f>
        <v>12.516155129999996</v>
      </c>
      <c r="O128" s="119">
        <f>+[1]MidCorp!$N$43/1000</f>
        <v>13.506442429496509</v>
      </c>
      <c r="P128" s="117"/>
      <c r="Q128" s="121">
        <f>+[1]MGA!$N$41/1000</f>
        <v>0.72203911999999981</v>
      </c>
      <c r="R128" s="119">
        <f>+[1]MGA!$N$42/1000</f>
        <v>0.56484365999999964</v>
      </c>
      <c r="S128" s="119">
        <f>+[1]MGA!$N$43/1000</f>
        <v>1.095</v>
      </c>
      <c r="T128" s="117"/>
      <c r="U128" s="121">
        <f>+[1]Bancassurance!$N$41/1000</f>
        <v>0.3839864199999995</v>
      </c>
      <c r="V128" s="119">
        <f>+[1]Bancassurance!$N$42/1000</f>
        <v>0.15421565999999981</v>
      </c>
      <c r="W128" s="119">
        <f>+[1]Bancassurance!$N$43/1000</f>
        <v>0.52588297610942858</v>
      </c>
      <c r="X128" s="117"/>
      <c r="Y128" s="121">
        <f>+[1]Specials!$N$41/1000</f>
        <v>0</v>
      </c>
      <c r="Z128" s="119">
        <f>+[1]Specials!$N$42/1000</f>
        <v>0</v>
      </c>
      <c r="AA128" s="119">
        <f>+[1]Specials!$N$43/1000</f>
        <v>0</v>
      </c>
      <c r="AB128" s="117"/>
      <c r="AC128" s="124">
        <f>+'[1]Total P&amp;C'!$N$41/1000</f>
        <v>17.606494289999997</v>
      </c>
      <c r="AD128" s="123">
        <f>+'[1]Total P&amp;C'!$N$42/1000</f>
        <v>18.00916251999999</v>
      </c>
      <c r="AE128" s="123">
        <f>+'[1]Total P&amp;C'!$N$43/1000</f>
        <v>19.041131785955233</v>
      </c>
      <c r="AG128" s="215"/>
      <c r="AH128" s="115"/>
      <c r="AI128" s="116" t="s">
        <v>55</v>
      </c>
      <c r="AJ128" s="117"/>
      <c r="AK128" s="121">
        <f>+[2]Retail!$N$41/1000</f>
        <v>1.7474754400000003</v>
      </c>
      <c r="AL128" s="119">
        <f>+[2]Retail!$N$42/1000</f>
        <v>1.7681547000000009</v>
      </c>
      <c r="AM128" s="119">
        <f>+[2]Retail!$N$43/1000</f>
        <v>1.7948952092239718</v>
      </c>
      <c r="AN128" s="117"/>
      <c r="AO128" s="121">
        <f>+[2]SME!$N$41/1000</f>
        <v>1.7991692700000017</v>
      </c>
      <c r="AP128" s="119">
        <f>+[2]SME!$N$42/1000</f>
        <v>1.8372187900000008</v>
      </c>
      <c r="AQ128" s="119">
        <f>+[2]SME!$N$43/1000</f>
        <v>1.8385269787856031</v>
      </c>
      <c r="AR128" s="117"/>
      <c r="AS128" s="118">
        <f>+[2]MidCorp!$N$41/1000</f>
        <v>4.2429061200000069</v>
      </c>
      <c r="AT128" s="119">
        <f>+[2]MidCorp!$N$42/1000</f>
        <v>4.3527476099999927</v>
      </c>
      <c r="AU128" s="119">
        <f>+[2]MidCorp!$N$43/1000</f>
        <v>4.1895342916585774</v>
      </c>
      <c r="AV128" s="117"/>
      <c r="AW128" s="121"/>
      <c r="AX128" s="119"/>
      <c r="AY128" s="119"/>
      <c r="AZ128" s="117"/>
      <c r="BA128" s="121"/>
      <c r="BB128" s="119"/>
      <c r="BC128" s="119"/>
      <c r="BD128" s="117"/>
      <c r="BE128" s="121"/>
      <c r="BF128" s="119"/>
      <c r="BG128" s="119"/>
      <c r="BH128" s="117"/>
      <c r="BI128" s="125">
        <f>+'[2]Total P&amp;C'!$N$41/1000</f>
        <v>7.7895508300000094</v>
      </c>
      <c r="BJ128" s="123">
        <f>+'[2]Total P&amp;C'!$N$42/1000</f>
        <v>7.9581210999999952</v>
      </c>
      <c r="BK128" s="123">
        <f>+'[2]Total P&amp;C'!$N$43/1000</f>
        <v>7.8229564796681528</v>
      </c>
      <c r="BM128" s="124">
        <f>+'[3]Total P&amp;C'!$N$41/1000</f>
        <v>25.396045120000011</v>
      </c>
      <c r="BN128" s="123">
        <f>+'[3]Total P&amp;C'!$N$42/1000</f>
        <v>25.967283619999986</v>
      </c>
      <c r="BO128" s="123">
        <f>+'[3]Total P&amp;C'!$N$43/1000</f>
        <v>26.864088265623383</v>
      </c>
    </row>
    <row r="129" spans="1:67" hidden="1" outlineLevel="1" x14ac:dyDescent="0.3">
      <c r="A129" s="216"/>
      <c r="B129" s="115"/>
      <c r="C129" s="116" t="s">
        <v>21</v>
      </c>
      <c r="D129" s="117"/>
      <c r="E129" s="126">
        <f>+E130+E135+E136+E137+E138</f>
        <v>4.115673755792252</v>
      </c>
      <c r="F129" s="127">
        <f>+F130+F135+F136+F137+F138</f>
        <v>0.38411264749780472</v>
      </c>
      <c r="G129" s="127" t="e">
        <f>+G130+G135+G136+G137+G138</f>
        <v>#DIV/0!</v>
      </c>
      <c r="H129" s="117"/>
      <c r="I129" s="128">
        <f>+I130+I135+I136+I137+I138</f>
        <v>0.93776695459092674</v>
      </c>
      <c r="J129" s="127">
        <f>+J130+J135+J136+J137+J138</f>
        <v>0.29838390427563555</v>
      </c>
      <c r="K129" s="127">
        <f>+K130+K135+K136+K137+K138</f>
        <v>0.83992314680861846</v>
      </c>
      <c r="L129" s="117"/>
      <c r="M129" s="126">
        <f>+M130+M135+M136+M137+M138</f>
        <v>0.75634597924939306</v>
      </c>
      <c r="N129" s="127">
        <f>+N130+N135+N136+N137+N138</f>
        <v>1.3178734386619897</v>
      </c>
      <c r="O129" s="127">
        <f>+O130+O135+O136+O137+O138</f>
        <v>0.87058266347254598</v>
      </c>
      <c r="P129" s="117"/>
      <c r="Q129" s="126">
        <f>+Q130+Q135+Q136+Q137+Q138</f>
        <v>2.5145867442749603E-3</v>
      </c>
      <c r="R129" s="127">
        <f>+R130+R135+R136+R137+R138</f>
        <v>-0.32224350362718063</v>
      </c>
      <c r="S129" s="127">
        <f>+S130+S135+S136+S137+S138</f>
        <v>0.96825496643143039</v>
      </c>
      <c r="T129" s="117"/>
      <c r="U129" s="126">
        <f>+U130+U135+U136+U137+U138</f>
        <v>0.29495037871391405</v>
      </c>
      <c r="V129" s="127">
        <f>+V130+V135+V136+V137+V138</f>
        <v>1.0668273247995712</v>
      </c>
      <c r="W129" s="127">
        <f>+W130+W135+W136+W137+W138</f>
        <v>0.82441390991400509</v>
      </c>
      <c r="X129" s="117"/>
      <c r="Y129" s="126" t="e">
        <f>+Y130+Y135+Y136+Y137+Y138</f>
        <v>#DIV/0!</v>
      </c>
      <c r="Z129" s="127" t="e">
        <f>+Z130+Z135+Z136+Z137+Z138</f>
        <v>#DIV/0!</v>
      </c>
      <c r="AA129" s="127" t="e">
        <f>+AA130+AA135+AA136+AA137+AA138</f>
        <v>#DIV/0!</v>
      </c>
      <c r="AB129" s="117"/>
      <c r="AC129" s="132">
        <f>+AC130+AC135+AC136+AC137+AC138</f>
        <v>0.80881699079005043</v>
      </c>
      <c r="AD129" s="130">
        <f>+AD130+AD135+AD136+AD137+AD138</f>
        <v>0.99510660254733552</v>
      </c>
      <c r="AE129" s="130">
        <f>+AE130+AE135+AE136+AE137+AE138</f>
        <v>0.87278026349829907</v>
      </c>
      <c r="AG129" s="215"/>
      <c r="AH129" s="115"/>
      <c r="AI129" s="116" t="s">
        <v>21</v>
      </c>
      <c r="AJ129" s="117"/>
      <c r="AK129" s="128">
        <f>+AK130+AK135+AK136+AK137+AK138</f>
        <v>1.211895744869524</v>
      </c>
      <c r="AL129" s="127">
        <f>+AL130+AL135+AL136+AL137+AL138</f>
        <v>2.1588569823669825</v>
      </c>
      <c r="AM129" s="127">
        <f>+AM130+AM135+AM136+AM137+AM138</f>
        <v>0.96290031861907521</v>
      </c>
      <c r="AN129" s="117"/>
      <c r="AO129" s="128">
        <f>+AO130+AO135+AO136+AO137+AO138</f>
        <v>1.6017054470922552</v>
      </c>
      <c r="AP129" s="127">
        <f>+AP130+AP135+AP136+AP137+AP138</f>
        <v>2.1740553012741586</v>
      </c>
      <c r="AQ129" s="127">
        <f>+AQ130+AQ135+AQ136+AQ137+AQ138</f>
        <v>1.1157193965102108</v>
      </c>
      <c r="AR129" s="117"/>
      <c r="AS129" s="126">
        <f>+AS130+AS135+AS136+AS137+AS138</f>
        <v>0.96571733244005697</v>
      </c>
      <c r="AT129" s="127">
        <f>+AT130+AT135+AT136+AT137+AT138</f>
        <v>0.38865738186000731</v>
      </c>
      <c r="AU129" s="127">
        <f>+AU130+AU135+AU136+AU137+AU138</f>
        <v>1.0450670041308556</v>
      </c>
      <c r="AV129" s="117"/>
      <c r="AW129" s="131"/>
      <c r="AX129" s="127"/>
      <c r="AY129" s="127"/>
      <c r="AZ129" s="117"/>
      <c r="BA129" s="131"/>
      <c r="BB129" s="127"/>
      <c r="BC129" s="127"/>
      <c r="BD129" s="117"/>
      <c r="BE129" s="131"/>
      <c r="BF129" s="127"/>
      <c r="BG129" s="127"/>
      <c r="BH129" s="117"/>
      <c r="BI129" s="129">
        <f>+BI130+BI135+BI136+BI137+BI138</f>
        <v>1.167839513282948</v>
      </c>
      <c r="BJ129" s="130">
        <f>+BJ130+BJ135+BJ136+BJ137+BJ138</f>
        <v>1.1941431577360648</v>
      </c>
      <c r="BK129" s="130">
        <f>+BK130+BK135+BK136+BK137+BK138</f>
        <v>1.0428192272547578</v>
      </c>
      <c r="BM129" s="132">
        <f>+BM130+BM135+BM136+BM137+BM138</f>
        <v>0.91893745147039585</v>
      </c>
      <c r="BN129" s="130">
        <f>+BN130+BN135+BN136+BN137+BN138</f>
        <v>1.0561047813594919</v>
      </c>
      <c r="BO129" s="130">
        <f>+BO130+BO135+BO136+BO137+BO138</f>
        <v>0.92229645776337121</v>
      </c>
    </row>
    <row r="130" spans="1:67" hidden="1" outlineLevel="1" x14ac:dyDescent="0.3">
      <c r="A130" s="216"/>
      <c r="B130" s="115"/>
      <c r="C130" s="116" t="s">
        <v>56</v>
      </c>
      <c r="D130" s="117"/>
      <c r="E130" s="126">
        <f>+E131+E132+E133+E134</f>
        <v>1.7123552268227388E-2</v>
      </c>
      <c r="F130" s="127">
        <f>+F131+F132+F133+F134</f>
        <v>0.58715218824124338</v>
      </c>
      <c r="G130" s="127" t="e">
        <f>+G131+G132+G133+G134</f>
        <v>#DIV/0!</v>
      </c>
      <c r="H130" s="117"/>
      <c r="I130" s="126">
        <f>+I131+I132+I133+I134</f>
        <v>0.41430738667186606</v>
      </c>
      <c r="J130" s="127">
        <f>+J131+J132+J133+J134</f>
        <v>0.48021395680578588</v>
      </c>
      <c r="K130" s="127">
        <f>+K131+K132+K133+K134</f>
        <v>0.49674186173608431</v>
      </c>
      <c r="L130" s="117"/>
      <c r="M130" s="131">
        <f>+M131+M132+M133+M134</f>
        <v>0.63919686959490396</v>
      </c>
      <c r="N130" s="127">
        <f>+N131+N132+N133+N134</f>
        <v>0.68966729881047784</v>
      </c>
      <c r="O130" s="127">
        <f>+O131+O132+O133+O134</f>
        <v>0.63389025128004162</v>
      </c>
      <c r="P130" s="117"/>
      <c r="Q130" s="128">
        <f>+Q131+Q132+Q133+Q134</f>
        <v>0.7018995868257113</v>
      </c>
      <c r="R130" s="127">
        <f>+R131+R132+R133+R134</f>
        <v>0.56811782219526064</v>
      </c>
      <c r="S130" s="127">
        <f>+S131+S132+S133+S134</f>
        <v>0.57424867123609413</v>
      </c>
      <c r="T130" s="117"/>
      <c r="U130" s="128">
        <f>+U131+U132+U133+U134</f>
        <v>0.57086623011303439</v>
      </c>
      <c r="V130" s="127">
        <f>+V131+V132+V133+V134</f>
        <v>0.28206597176966369</v>
      </c>
      <c r="W130" s="127">
        <f>+W131+W132+W133+W134</f>
        <v>0.47703279987202263</v>
      </c>
      <c r="X130" s="117"/>
      <c r="Y130" s="128" t="e">
        <f>+Y131+Y132+Y133+Y134</f>
        <v>#DIV/0!</v>
      </c>
      <c r="Z130" s="127" t="e">
        <f>+Z131+Z132+Z133+Z134</f>
        <v>#DIV/0!</v>
      </c>
      <c r="AA130" s="127" t="e">
        <f>+AA131+AA132+AA133+AA134</f>
        <v>#DIV/0!</v>
      </c>
      <c r="AB130" s="117"/>
      <c r="AC130" s="132">
        <f>+AC131+AC132+AC133+AC134</f>
        <v>0.57803302533544865</v>
      </c>
      <c r="AD130" s="130">
        <f>+AD131+AD132+AD133+AD134</f>
        <v>0.62988223896599083</v>
      </c>
      <c r="AE130" s="130">
        <f>+AE131+AE132+AE133+AE134</f>
        <v>0.59899573173565901</v>
      </c>
      <c r="AG130" s="215"/>
      <c r="AH130" s="115"/>
      <c r="AI130" s="116" t="s">
        <v>56</v>
      </c>
      <c r="AJ130" s="117"/>
      <c r="AK130" s="128">
        <f>+AK131+AK132+AK133+AK134</f>
        <v>0.48928180072161698</v>
      </c>
      <c r="AL130" s="127">
        <f>+AL131+AL132+AL133+AL134</f>
        <v>0.80632169798264786</v>
      </c>
      <c r="AM130" s="127">
        <f>+AM131+AM132+AM133+AM134</f>
        <v>0.4777181459946287</v>
      </c>
      <c r="AN130" s="117"/>
      <c r="AO130" s="128">
        <f>+AO131+AO132+AO133+AO134</f>
        <v>0.62745364698230921</v>
      </c>
      <c r="AP130" s="127">
        <f>+AP131+AP132+AP133+AP134</f>
        <v>0.5541662514784097</v>
      </c>
      <c r="AQ130" s="127">
        <f>+AQ131+AQ132+AQ133+AQ134</f>
        <v>0.53162835367601136</v>
      </c>
      <c r="AR130" s="117"/>
      <c r="AS130" s="128">
        <f>+AS131+AS132+AS133+AS134</f>
        <v>0.69846272488348027</v>
      </c>
      <c r="AT130" s="127">
        <f>+AT131+AT132+AT133+AT134</f>
        <v>0.64261899853182747</v>
      </c>
      <c r="AU130" s="127">
        <f>+AU131+AU132+AU133+AU134</f>
        <v>0.65783594900284181</v>
      </c>
      <c r="AV130" s="117"/>
      <c r="AW130" s="131"/>
      <c r="AX130" s="127"/>
      <c r="AY130" s="127"/>
      <c r="AZ130" s="117"/>
      <c r="BA130" s="131"/>
      <c r="BB130" s="127"/>
      <c r="BC130" s="127"/>
      <c r="BD130" s="117"/>
      <c r="BE130" s="131"/>
      <c r="BF130" s="127"/>
      <c r="BG130" s="127"/>
      <c r="BH130" s="117"/>
      <c r="BI130" s="129">
        <f>+BI131+BI132+BI133+BI134</f>
        <v>0.63513482715151537</v>
      </c>
      <c r="BJ130" s="130">
        <f>+BJ131+BJ132+BJ133+BJ134</f>
        <v>0.65857058395354218</v>
      </c>
      <c r="BK130" s="130">
        <f>+BK131+BK132+BK133+BK134</f>
        <v>0.58684889288221531</v>
      </c>
      <c r="BM130" s="133">
        <f>+BM131+BM132+BM133+BM134</f>
        <v>0.59554746058035013</v>
      </c>
      <c r="BN130" s="130">
        <f>+BN131+BN132+BN133+BN134</f>
        <v>0.63867427616597228</v>
      </c>
      <c r="BO130" s="130">
        <f>+BO131+BO132+BO133+BO134</f>
        <v>0.59545851168275932</v>
      </c>
    </row>
    <row r="131" spans="1:67" ht="14.5" hidden="1" outlineLevel="1" x14ac:dyDescent="0.3">
      <c r="A131" s="216"/>
      <c r="B131" s="115"/>
      <c r="C131" s="38" t="s">
        <v>23</v>
      </c>
      <c r="D131" s="117"/>
      <c r="E131" s="74">
        <f>-SUM([1]Retail!$O$41,[1]Retail!$R$41:$V$41,[1]Retail!$Y$41,[1]Retail!$AB$41,[1]Retail!$AU$41,[1]Retail!$AX$41,[1]Retail!$BA$41,[1]Retail!$BD$41)/1000/E128</f>
        <v>1.6824241607156731E-2</v>
      </c>
      <c r="F131" s="42">
        <f>-SUM([1]Retail!$O$42,[1]Retail!$R$42:$V$42,[1]Retail!$Y$42,[1]Retail!$AB$42,[1]Retail!$AU$42,[1]Retail!$AX$42,[1]Retail!$BA$42,[1]Retail!$BD$42)/1000/F128</f>
        <v>0.40967427874442325</v>
      </c>
      <c r="G131" s="42" t="e">
        <f>-SUM([1]Retail!$O$43,[1]Retail!$R$43:$V$43,[1]Retail!$Y$43,[1]Retail!$AB$43,[1]Retail!$AU$43,[1]Retail!$AX$43,[1]Retail!$BA$43,[1]Retail!$BD$43)/1000/G128</f>
        <v>#DIV/0!</v>
      </c>
      <c r="H131" s="117"/>
      <c r="I131" s="74">
        <f>-SUM([1]SME!$O$41,[1]SME!$R$41:$V$41,[1]SME!$Y$41,[1]SME!$AB$41,[1]SME!$AU$41,[1]SME!$AX$41,[1]SME!$BA$41,[1]SME!$BD$41)/1000/I128</f>
        <v>0.30283997933832207</v>
      </c>
      <c r="J131" s="42">
        <f>-SUM([1]SME!$O$42,[1]SME!$R$42:$V$42,[1]SME!$Y$42,[1]SME!$AB$42,[1]SME!$AU$42,[1]SME!$AX$42,[1]SME!$BA$42,[1]SME!$BD$42)/1000/J128</f>
        <v>0.35126682080150495</v>
      </c>
      <c r="K131" s="42">
        <f>-SUM([1]SME!$O$43,[1]SME!$R$43:$V$43,[1]SME!$Y$43,[1]SME!$AB$43,[1]SME!$AU$43,[1]SME!$AX$43,[1]SME!$BA$43,[1]SME!$BD$43)/1000/K128</f>
        <v>0.36448324661850406</v>
      </c>
      <c r="L131" s="117"/>
      <c r="M131" s="74">
        <f>-SUM([1]MidCorp!$O$41,[1]MidCorp!$R$41:$V$41,[1]MidCorp!$Y$41,[1]MidCorp!$AB$41,[1]MidCorp!$AU$41,[1]MidCorp!$AX$41,[1]MidCorp!$BA$41,[1]MidCorp!$BD$41)/1000/M128</f>
        <v>0.46247086014233074</v>
      </c>
      <c r="N131" s="42">
        <f>-SUM([1]MidCorp!$O$42,[1]MidCorp!$R$42:$V$42,[1]MidCorp!$Y$42,[1]MidCorp!$AB$42,[1]MidCorp!$AU$42,[1]MidCorp!$AX$42,[1]MidCorp!$BA$42,[1]MidCorp!$BD$42)/1000/N128</f>
        <v>0.51325888554585009</v>
      </c>
      <c r="O131" s="42">
        <f>-SUM([1]MidCorp!$O$43,[1]MidCorp!$R$43:$V$43,[1]MidCorp!$Y$43,[1]MidCorp!$AB$43,[1]MidCorp!$AU$43,[1]MidCorp!$AX$43,[1]MidCorp!$BA$43,[1]MidCorp!$BD$43)/1000/O128</f>
        <v>0.48214856659822664</v>
      </c>
      <c r="P131" s="117"/>
      <c r="Q131" s="73">
        <f>-SUM([1]MGA!$O$41,[1]MGA!$R$41:$V$41,[1]MGA!$Y$41,[1]MGA!$AB$41,[1]MGA!$AU$41,[1]MGA!$AX$41,[1]MGA!$BA$41,[1]MGA!$BD$41)/1000/Q128</f>
        <v>0.65700570351368237</v>
      </c>
      <c r="R131" s="42">
        <f>-SUM([1]MGA!$O$42,[1]MGA!$R$42:$V$42,[1]MGA!$Y$42,[1]MGA!$AB$42,[1]MGA!$AU$42,[1]MGA!$AX$42,[1]MGA!$BA$42,[1]MGA!$BD$42)/1000/R128</f>
        <v>0.50386506949551357</v>
      </c>
      <c r="S131" s="42">
        <f>-SUM([1]MGA!$O$43,[1]MGA!$R$43:$V$43,[1]MGA!$Y$43,[1]MGA!$AB$43,[1]MGA!$AU$43,[1]MGA!$AX$43,[1]MGA!$BA$43,[1]MGA!$BD$43)/1000/S128</f>
        <v>0.46588707146509639</v>
      </c>
      <c r="T131" s="117"/>
      <c r="U131" s="73">
        <f>-SUM([1]Bancassurance!$O$41,[1]Bancassurance!$R$41:$V$41,[1]Bancassurance!$Y$41,[1]Bancassurance!$AB$41,[1]Bancassurance!$AU$41,[1]Bancassurance!$AX$41,[1]Bancassurance!$BA$41,[1]Bancassurance!$BD$41)/1000/U128</f>
        <v>0.53740153102289467</v>
      </c>
      <c r="V131" s="42">
        <f>-SUM([1]Bancassurance!$O$42,[1]Bancassurance!$R$42:$V$42,[1]Bancassurance!$Y$42,[1]Bancassurance!$AB$42,[1]Bancassurance!$AU$42,[1]Bancassurance!$AX$42,[1]Bancassurance!$BA$42,[1]Bancassurance!$BD$42)/1000/V128</f>
        <v>8.1693843543515707E-2</v>
      </c>
      <c r="W131" s="42">
        <f>-SUM([1]Bancassurance!$O$43,[1]Bancassurance!$R$43:$V$43,[1]Bancassurance!$Y$43,[1]Bancassurance!$AB$43,[1]Bancassurance!$AU$43,[1]Bancassurance!$AX$43,[1]Bancassurance!$BA$43,[1]Bancassurance!$BD$43)/1000/W128</f>
        <v>0.37676724895865793</v>
      </c>
      <c r="X131" s="117"/>
      <c r="Y131" s="73" t="e">
        <f>-SUM([1]Specials!$O$41,[1]Specials!$R$41:$V$41,[1]Specials!$Y$41,[1]Specials!$AB$41,[1]Specials!$AU$41,[1]Specials!$AX$41,[1]Specials!$BA$41,[1]Specials!$BD$41)/1000/Y128</f>
        <v>#DIV/0!</v>
      </c>
      <c r="Z131" s="42" t="e">
        <f>-SUM([1]Specials!$O$42,[1]Specials!$R$42:$V$42,[1]Specials!$Y$42,[1]Specials!$AB$42,[1]Specials!$AU$42,[1]Specials!$AX$42,[1]Specials!$BA$42,[1]Specials!$BD$42)/1000/Z128</f>
        <v>#DIV/0!</v>
      </c>
      <c r="AA131" s="42" t="e">
        <f>-SUM([1]Specials!$O$43,[1]Specials!$R$43:$V$43,[1]Specials!$Y$43,[1]Specials!$AB$43,[1]Specials!$AU$43,[1]Specials!$AX$43,[1]Specials!$BA$43,[1]Specials!$BD$43)/1000/AA128</f>
        <v>#DIV/0!</v>
      </c>
      <c r="AB131" s="117"/>
      <c r="AC131" s="85">
        <f>-SUM('[1]Total P&amp;C'!$O$41,'[1]Total P&amp;C'!$R$41:$V$41,'[1]Total P&amp;C'!$Y$41,'[1]Total P&amp;C'!$AB$41,'[1]Total P&amp;C'!$AU$41,'[1]Total P&amp;C'!$AX$41,'[1]Total P&amp;C'!$BA$41,'[1]Total P&amp;C'!$BD$41)/1000/AC128</f>
        <v>0.42783915332541583</v>
      </c>
      <c r="AD131" s="60">
        <f>-SUM('[1]Total P&amp;C'!$O$42,'[1]Total P&amp;C'!$R$42:$V$42,'[1]Total P&amp;C'!$Y$42,'[1]Total P&amp;C'!$AB$42,'[1]Total P&amp;C'!$AU$42,'[1]Total P&amp;C'!$AX$42,'[1]Total P&amp;C'!$BA$42,'[1]Total P&amp;C'!$BD$42)/1000/AD128</f>
        <v>0.46847720845750124</v>
      </c>
      <c r="AE131" s="60">
        <f>-SUM('[1]Total P&amp;C'!$O$43,'[1]Total P&amp;C'!$R$43:$V$43,'[1]Total P&amp;C'!$Y$43,'[1]Total P&amp;C'!$AB$43,'[1]Total P&amp;C'!$AU$43,'[1]Total P&amp;C'!$AX$43,'[1]Total P&amp;C'!$BA$43,'[1]Total P&amp;C'!$BD$43)/1000/AE128</f>
        <v>0.45517503510575419</v>
      </c>
      <c r="AG131" s="215"/>
      <c r="AH131" s="115"/>
      <c r="AI131" s="38" t="s">
        <v>23</v>
      </c>
      <c r="AJ131" s="117"/>
      <c r="AK131" s="73">
        <f>-SUM([2]Retail!$O$41,[2]Retail!$R$41:$V$41,[2]Retail!$Y$41,[2]Retail!$AB$41,[2]Retail!$AU$41,[2]Retail!$AX$41,[2]Retail!$BA$41,[2]Retail!$BD$41)/1000/AK128</f>
        <v>0.41966363391379202</v>
      </c>
      <c r="AL131" s="42">
        <f>-SUM([2]Retail!$O$42,[2]Retail!$R$42:$V$42,[2]Retail!$Y$42,[2]Retail!$AB$42,[2]Retail!$AU$42,[2]Retail!$AX$42,[2]Retail!$BA$42,[2]Retail!$BD$42)/1000/AL128</f>
        <v>0.75052950400776541</v>
      </c>
      <c r="AM131" s="42">
        <f>-SUM([2]Retail!$O$43,[2]Retail!$R$43:$V$43,[2]Retail!$Y$43,[2]Retail!$AB$43,[2]Retail!$AU$43,[2]Retail!$AX$43,[2]Retail!$BA$43,[2]Retail!$BD$43)/1000/AM128</f>
        <v>0.39460236784754527</v>
      </c>
      <c r="AN131" s="117"/>
      <c r="AO131" s="73">
        <f>-SUM([2]SME!$O$41,[2]SME!$R$41:$V$41,[2]SME!$Y$41,[2]SME!$AB$41,[2]SME!$AU$41,[2]SME!$AX$41,[2]SME!$BA$41,[2]SME!$BD$41)/1000/AO128</f>
        <v>0.50882003500545037</v>
      </c>
      <c r="AP131" s="42">
        <f>-SUM([2]SME!$O$42,[2]SME!$R$42:$V$42,[2]SME!$Y$42,[2]SME!$AB$42,[2]SME!$AU$42,[2]SME!$AX$42,[2]SME!$BA$42,[2]SME!$BD$42)/1000/AP128</f>
        <v>0.51887235488158689</v>
      </c>
      <c r="AQ131" s="42">
        <f>-SUM([2]SME!$O$43,[2]SME!$R$43:$V$43,[2]SME!$Y$43,[2]SME!$AB$43,[2]SME!$AU$43,[2]SME!$AX$43,[2]SME!$BA$43,[2]SME!$BD$43)/1000/AQ128</f>
        <v>0.41770759198645441</v>
      </c>
      <c r="AR131" s="117"/>
      <c r="AS131" s="73">
        <f>-SUM([2]MidCorp!$O$41,[2]MidCorp!$R$41:$V$41,[2]MidCorp!$Y$41,[2]MidCorp!$AB$41,[2]MidCorp!$AU$41,[2]MidCorp!$AX$41,[2]MidCorp!$BA$41,[2]MidCorp!$BD$41)/1000/AS128</f>
        <v>0.50982692837802202</v>
      </c>
      <c r="AT131" s="42">
        <f>-SUM([2]MidCorp!$O$42,[2]MidCorp!$R$42:$V$42,[2]MidCorp!$Y$42,[2]MidCorp!$AB$42,[2]MidCorp!$AU$42,[2]MidCorp!$AX$42,[2]MidCorp!$BA$42,[2]MidCorp!$BD$42)/1000/AT128</f>
        <v>0.51800844019072467</v>
      </c>
      <c r="AU131" s="42">
        <f>-SUM([2]MidCorp!$O$43,[2]MidCorp!$R$43:$V$43,[2]MidCorp!$Y$43,[2]MidCorp!$AB$43,[2]MidCorp!$AU$43,[2]MidCorp!$AX$43,[2]MidCorp!$BA$43,[2]MidCorp!$BD$43)/1000/AU128</f>
        <v>0.48024796896810357</v>
      </c>
      <c r="AV131" s="117"/>
      <c r="AW131" s="97"/>
      <c r="AX131" s="42"/>
      <c r="AY131" s="42"/>
      <c r="AZ131" s="117"/>
      <c r="BA131" s="97"/>
      <c r="BB131" s="42"/>
      <c r="BC131" s="42"/>
      <c r="BD131" s="117"/>
      <c r="BE131" s="97"/>
      <c r="BF131" s="42"/>
      <c r="BG131" s="42"/>
      <c r="BH131" s="117"/>
      <c r="BI131" s="84">
        <f>-SUM('[2]Total P&amp;C'!$O$41,'[2]Total P&amp;C'!$R$41:$V$41,'[2]Total P&amp;C'!$Y$41,'[2]Total P&amp;C'!$AB$41,'[2]Total P&amp;C'!$AU$41,'[2]Total P&amp;C'!$AX$41,'[2]Total P&amp;C'!$BA$41,'[2]Total P&amp;C'!$BD$41)/1000/BI128</f>
        <v>0.48936750552323494</v>
      </c>
      <c r="BJ131" s="60">
        <f>-SUM('[2]Total P&amp;C'!$O$42,'[2]Total P&amp;C'!$R$42:$V$42,'[2]Total P&amp;C'!$Y$42,'[2]Total P&amp;C'!$AB$42,'[2]Total P&amp;C'!$AU$42,'[2]Total P&amp;C'!$AX$42,'[2]Total P&amp;C'!$BA$42,'[2]Total P&amp;C'!$BD$42)/1000/BJ128</f>
        <v>0.56986997973680054</v>
      </c>
      <c r="BK131" s="60">
        <f>-SUM('[2]Total P&amp;C'!$O$43,'[2]Total P&amp;C'!$R$43:$V$43,'[2]Total P&amp;C'!$Y$43,'[2]Total P&amp;C'!$AB$43,'[2]Total P&amp;C'!$AU$43,'[2]Total P&amp;C'!$AX$43,'[2]Total P&amp;C'!$BA$43,'[2]Total P&amp;C'!$BD$43)/1000/BK128</f>
        <v>0.44589943971513502</v>
      </c>
      <c r="BM131" s="85">
        <f>-SUM('[3]Total P&amp;C'!$O$41,'[3]Total P&amp;C'!$R$41:$V$41,'[3]Total P&amp;C'!$Y$41,'[3]Total P&amp;C'!$AB$41,'[3]Total P&amp;C'!$AU$41,'[3]Total P&amp;C'!$AX$41,'[3]Total P&amp;C'!$BA$41,'[3]Total P&amp;C'!$BD$41)/1000/BM128</f>
        <v>0.44671131332774666</v>
      </c>
      <c r="BN131" s="60">
        <f>-SUM('[3]Total P&amp;C'!$O$42,'[3]Total P&amp;C'!$R$42:$V$42,'[3]Total P&amp;C'!$Y$42,'[3]Total P&amp;C'!$AB$42,'[3]Total P&amp;C'!$AU$42,'[3]Total P&amp;C'!$AX$42,'[3]Total P&amp;C'!$BA$42,'[3]Total P&amp;C'!$BD$42)/1000/BN128</f>
        <v>0.49955076872330401</v>
      </c>
      <c r="BO131" s="60">
        <f>-SUM('[3]Total P&amp;C'!$O$43,'[3]Total P&amp;C'!$R$43:$V$43,'[3]Total P&amp;C'!$Y$43,'[3]Total P&amp;C'!$AB$43,'[3]Total P&amp;C'!$AU$43,'[3]Total P&amp;C'!$AX$43,'[3]Total P&amp;C'!$BA$43,'[3]Total P&amp;C'!$BD$43)/1000/BO128</f>
        <v>0.45247393546870912</v>
      </c>
    </row>
    <row r="132" spans="1:67" ht="14.5" hidden="1" outlineLevel="1" x14ac:dyDescent="0.3">
      <c r="A132" s="216"/>
      <c r="B132" s="115"/>
      <c r="C132" s="38" t="s">
        <v>24</v>
      </c>
      <c r="D132" s="134"/>
      <c r="E132" s="97">
        <f>-([1]Retail!$P$41+[1]Retail!$W$41+[1]Retail!$AV$41+[1]Retail!$AY$41)/1000/E128</f>
        <v>0</v>
      </c>
      <c r="F132" s="42">
        <f>-([1]Retail!$P$42+[1]Retail!$W$42+[1]Retail!$AV$42+[1]Retail!$AY$42)/1000/F128</f>
        <v>0</v>
      </c>
      <c r="G132" s="42" t="e">
        <f>-([1]Retail!$P$43+[1]Retail!$W$43+[1]Retail!$AV$43+[1]Retail!$AY$43)/1000/G128</f>
        <v>#DIV/0!</v>
      </c>
      <c r="H132" s="134"/>
      <c r="I132" s="97">
        <f>-([1]SME!$P$41+[1]SME!$W$41+[1]SME!$AV$41+[1]SME!$AY$41)/1000/I128</f>
        <v>0</v>
      </c>
      <c r="J132" s="42">
        <f>-([1]SME!$P$42+[1]SME!$W$42+[1]SME!$AV$42+[1]SME!$AY$42)/1000/J128</f>
        <v>0</v>
      </c>
      <c r="K132" s="42">
        <f>-([1]SME!$P$43+[1]SME!$W$43+[1]SME!$AV$43+[1]SME!$AY$43)/1000/K128</f>
        <v>0</v>
      </c>
      <c r="L132" s="134"/>
      <c r="M132" s="97">
        <f>-([1]MidCorp!$P$41+[1]MidCorp!$W$41+[1]MidCorp!$AV$41+[1]MidCorp!$AY$41)/1000/M128</f>
        <v>0</v>
      </c>
      <c r="N132" s="42">
        <f>-([1]MidCorp!$P$42+[1]MidCorp!$W$42+[1]MidCorp!$AV$42+[1]MidCorp!$AY$42)/1000/N128</f>
        <v>0</v>
      </c>
      <c r="O132" s="42">
        <f>-([1]MidCorp!$P$43+[1]MidCorp!$W$43+[1]MidCorp!$AV$43+[1]MidCorp!$AY$43)/1000/O128</f>
        <v>0</v>
      </c>
      <c r="P132" s="134"/>
      <c r="Q132" s="97">
        <f>-([1]MGA!$P$41+[1]MGA!$W$41+[1]MGA!$AV$41+[1]MGA!$AY$41)/1000/Q128</f>
        <v>0</v>
      </c>
      <c r="R132" s="42">
        <f>-([1]MGA!$P$42+[1]MGA!$W$42+[1]MGA!$AV$42+[1]MGA!$AY$42)/1000/R128</f>
        <v>0</v>
      </c>
      <c r="S132" s="42">
        <f>-([1]MGA!$P$43+[1]MGA!$W$43+[1]MGA!$AV$43+[1]MGA!$AY$43)/1000/S128</f>
        <v>0</v>
      </c>
      <c r="T132" s="134"/>
      <c r="U132" s="97">
        <f>-([1]Bancassurance!$P$41+[1]Bancassurance!$W$41+[1]Bancassurance!$AV$41+[1]Bancassurance!$AY$41)/1000/U128</f>
        <v>0</v>
      </c>
      <c r="V132" s="42">
        <f>-([1]Bancassurance!$P$42+[1]Bancassurance!$W$42+[1]Bancassurance!$AV$42+[1]Bancassurance!$AY$42)/1000/V128</f>
        <v>0</v>
      </c>
      <c r="W132" s="42">
        <f>-([1]Bancassurance!$P$43+[1]Bancassurance!$W$43+[1]Bancassurance!$AV$43+[1]Bancassurance!$AY$43)/1000/W128</f>
        <v>0</v>
      </c>
      <c r="X132" s="134"/>
      <c r="Y132" s="74" t="e">
        <f>-([1]Specials!$P$41+[1]Specials!$W$41+[1]Specials!$AV$41+[1]Specials!$AY$41)/1000/Y128</f>
        <v>#DIV/0!</v>
      </c>
      <c r="Z132" s="42" t="e">
        <f>-([1]Specials!$P$42+[1]Specials!$W$42+[1]Specials!$AV$42+[1]Specials!$AY$42)/1000/Z128</f>
        <v>#DIV/0!</v>
      </c>
      <c r="AA132" s="42" t="e">
        <f>-([1]Specials!$P$43+[1]Specials!$W$43+[1]Specials!$AV$43+[1]Specials!$AY$43)/1000/AA128</f>
        <v>#DIV/0!</v>
      </c>
      <c r="AB132" s="134"/>
      <c r="AC132" s="99">
        <f>-('[1]Total P&amp;C'!$P$41+'[1]Total P&amp;C'!$W$41+'[1]Total P&amp;C'!$AV$41+'[1]Total P&amp;C'!$AY$41)/1000/AC128</f>
        <v>0</v>
      </c>
      <c r="AD132" s="60">
        <f>-('[1]Total P&amp;C'!$P$42+'[1]Total P&amp;C'!$W$42+'[1]Total P&amp;C'!$AV$42+'[1]Total P&amp;C'!$AY$42)/1000/AD128</f>
        <v>0</v>
      </c>
      <c r="AE132" s="60">
        <f>-('[1]Total P&amp;C'!$P$43+'[1]Total P&amp;C'!$W$43+'[1]Total P&amp;C'!$AV$43+'[1]Total P&amp;C'!$AY$43)/1000/AE128</f>
        <v>0</v>
      </c>
      <c r="AG132" s="215"/>
      <c r="AH132" s="115"/>
      <c r="AI132" s="38" t="s">
        <v>24</v>
      </c>
      <c r="AJ132" s="134"/>
      <c r="AK132" s="97">
        <f>-([2]Retail!$P$41+[2]Retail!$W$41+[2]Retail!$AV$41+[2]Retail!$AY$41)/1000/AK128</f>
        <v>7.8627714504531164E-4</v>
      </c>
      <c r="AL132" s="42">
        <f>-([2]Retail!$P$42+[2]Retail!$W$42+[2]Retail!$AV$42+[2]Retail!$AY$42)/1000/AL128</f>
        <v>0</v>
      </c>
      <c r="AM132" s="42">
        <f>-([2]Retail!$P$43+[2]Retail!$W$43+[2]Retail!$AV$43+[2]Retail!$AY$43)/1000/AM128</f>
        <v>0</v>
      </c>
      <c r="AN132" s="134"/>
      <c r="AO132" s="97">
        <f>-([2]SME!$P$41+[2]SME!$W$41+[2]SME!$AV$41+[2]SME!$AY$41)/1000/AO128</f>
        <v>3.7145476589870796E-4</v>
      </c>
      <c r="AP132" s="42">
        <f>-([2]SME!$P$42+[2]SME!$W$42+[2]SME!$AV$42+[2]SME!$AY$42)/1000/AP128</f>
        <v>0</v>
      </c>
      <c r="AQ132" s="42">
        <f>-([2]SME!$P$43+[2]SME!$W$43+[2]SME!$AV$43+[2]SME!$AY$43)/1000/AQ128</f>
        <v>0</v>
      </c>
      <c r="AR132" s="134"/>
      <c r="AS132" s="97">
        <f>-([2]MidCorp!$P$41+[2]MidCorp!$W$41+[2]MidCorp!$AV$41+[2]MidCorp!$AY$41)/1000/AS128</f>
        <v>0</v>
      </c>
      <c r="AT132" s="42">
        <f>-([2]MidCorp!$P$42+[2]MidCorp!$W$42+[2]MidCorp!$AV$42+[2]MidCorp!$AY$42)/1000/AT128</f>
        <v>0</v>
      </c>
      <c r="AU132" s="42">
        <f>-([2]MidCorp!$P$43+[2]MidCorp!$W$43+[2]MidCorp!$AV$43+[2]MidCorp!$AY$43)/1000/AU128</f>
        <v>0</v>
      </c>
      <c r="AV132" s="134"/>
      <c r="AW132" s="97"/>
      <c r="AX132" s="42"/>
      <c r="AY132" s="42"/>
      <c r="AZ132" s="134"/>
      <c r="BA132" s="97"/>
      <c r="BB132" s="42"/>
      <c r="BC132" s="42"/>
      <c r="BD132" s="134"/>
      <c r="BE132" s="97"/>
      <c r="BF132" s="42"/>
      <c r="BG132" s="42"/>
      <c r="BH132" s="134"/>
      <c r="BI132" s="99">
        <f>-('[2]Total P&amp;C'!$P$41+'[2]Total P&amp;C'!$W$41+'[2]Total P&amp;C'!$AV$41+'[2]Total P&amp;C'!$AY$41)/1000/BI128</f>
        <v>2.6218584929626776E-4</v>
      </c>
      <c r="BJ132" s="60">
        <f>-('[2]Total P&amp;C'!$P$42+'[2]Total P&amp;C'!$W$42+'[2]Total P&amp;C'!$AV$42+'[2]Total P&amp;C'!$AY$42)/1000/BJ128</f>
        <v>0</v>
      </c>
      <c r="BK132" s="60">
        <f>-('[2]Total P&amp;C'!$P$43+'[2]Total P&amp;C'!$W$43+'[2]Total P&amp;C'!$AV$43+'[2]Total P&amp;C'!$AY$43)/1000/BK128</f>
        <v>0</v>
      </c>
      <c r="BM132" s="99">
        <f>-('[3]Total P&amp;C'!$P$41+'[3]Total P&amp;C'!$W$41+'[3]Total P&amp;C'!$AV$41+'[3]Total P&amp;C'!$AY$41)/1000/BM128</f>
        <v>8.0418426977499366E-5</v>
      </c>
      <c r="BN132" s="60">
        <f>-('[3]Total P&amp;C'!$P$42+'[3]Total P&amp;C'!$W$42+'[3]Total P&amp;C'!$AV$42+'[3]Total P&amp;C'!$AY$42)/1000/BN128</f>
        <v>0</v>
      </c>
      <c r="BO132" s="60">
        <f>-('[3]Total P&amp;C'!$P$43+'[3]Total P&amp;C'!$W$43+'[3]Total P&amp;C'!$AV$43+'[3]Total P&amp;C'!$AY$43)/1000/BO128</f>
        <v>0</v>
      </c>
    </row>
    <row r="133" spans="1:67" ht="14.5" hidden="1" outlineLevel="1" x14ac:dyDescent="0.3">
      <c r="A133" s="216"/>
      <c r="B133" s="115"/>
      <c r="C133" s="38" t="s">
        <v>25</v>
      </c>
      <c r="D133" s="134"/>
      <c r="E133" s="74">
        <f>-([1]Retail!$Q$41+[1]Retail!$X$41+[1]Retail!$AW$41+[1]Retail!$AZ$41)/1000/E128</f>
        <v>0</v>
      </c>
      <c r="F133" s="42">
        <f>-([1]Retail!$Q$42+[1]Retail!$X$42+[1]Retail!$AW$42+[1]Retail!$AZ$42)/1000/F128</f>
        <v>0.14728722896570698</v>
      </c>
      <c r="G133" s="42" t="e">
        <f>-([1]Retail!$Q$43+[1]Retail!$X$43+[1]Retail!$AW$43+[1]Retail!$AZ$43)/1000/G128</f>
        <v>#DIV/0!</v>
      </c>
      <c r="H133" s="134"/>
      <c r="I133" s="74">
        <f>-([1]SME!$Q$41+[1]SME!$X$41+[1]SME!$AW$41+[1]SME!$AZ$41)/1000/I128</f>
        <v>7.5755589230000614E-2</v>
      </c>
      <c r="J133" s="42">
        <f>-([1]SME!$Q$42+[1]SME!$X$42+[1]SME!$AW$42+[1]SME!$AZ$42)/1000/J128</f>
        <v>8.4680672709835869E-2</v>
      </c>
      <c r="K133" s="42">
        <f>-([1]SME!$Q$43+[1]SME!$X$43+[1]SME!$AW$43+[1]SME!$AZ$43)/1000/K128</f>
        <v>9.2779830940501851E-2</v>
      </c>
      <c r="L133" s="134"/>
      <c r="M133" s="73">
        <f>-([1]MidCorp!$Q$41+[1]MidCorp!$X$41+[1]MidCorp!$AW$41+[1]MidCorp!$AZ$41)/1000/M128</f>
        <v>0.15508004007780571</v>
      </c>
      <c r="N133" s="42">
        <f>-([1]MidCorp!$Q$42+[1]MidCorp!$X$42+[1]MidCorp!$AW$42+[1]MidCorp!$AZ$42)/1000/N128</f>
        <v>0.14516725845800776</v>
      </c>
      <c r="O133" s="42">
        <f>-([1]MidCorp!$Q$43+[1]MidCorp!$X$43+[1]MidCorp!$AW$43+[1]MidCorp!$AZ$43)/1000/O128</f>
        <v>0.11915686218414148</v>
      </c>
      <c r="P133" s="134"/>
      <c r="Q133" s="74">
        <f>-([1]MGA!$Q$41+[1]MGA!$X$41+[1]MGA!$AW$41+[1]MGA!$AZ$41)/1000/Q128</f>
        <v>0</v>
      </c>
      <c r="R133" s="42">
        <f>-([1]MGA!$Q$42+[1]MGA!$X$42+[1]MGA!$AW$42+[1]MGA!$AZ$42)/1000/R128</f>
        <v>0</v>
      </c>
      <c r="S133" s="42">
        <f>-([1]MGA!$Q$43+[1]MGA!$X$43+[1]MGA!$AW$43+[1]MGA!$AZ$43)/1000/S128</f>
        <v>5.8327588600748395E-2</v>
      </c>
      <c r="T133" s="134"/>
      <c r="U133" s="74">
        <f>-([1]Bancassurance!$Q$41+[1]Bancassurance!$X$41+[1]Bancassurance!$AW$41+[1]Bancassurance!$AZ$41)/1000/U128</f>
        <v>0</v>
      </c>
      <c r="V133" s="42">
        <f>-([1]Bancassurance!$Q$42+[1]Bancassurance!$X$42+[1]Bancassurance!$AW$42+[1]Bancassurance!$AZ$42)/1000/V128</f>
        <v>0</v>
      </c>
      <c r="W133" s="42">
        <f>-([1]Bancassurance!$Q$43+[1]Bancassurance!$X$43+[1]Bancassurance!$AW$43+[1]Bancassurance!$AZ$43)/1000/W128</f>
        <v>6.450679514812982E-2</v>
      </c>
      <c r="X133" s="134"/>
      <c r="Y133" s="97" t="e">
        <f>-([1]Specials!$Q$41+[1]Specials!$X$41+[1]Specials!$AW$41+[1]Specials!$AZ$41)/1000/Y128</f>
        <v>#DIV/0!</v>
      </c>
      <c r="Z133" s="42" t="e">
        <f>-([1]Specials!$Q$42+[1]Specials!$X$42+[1]Specials!$AW$42+[1]Specials!$AZ$42)/1000/Z128</f>
        <v>#DIV/0!</v>
      </c>
      <c r="AA133" s="42" t="e">
        <f>-([1]Specials!$Q$43+[1]Specials!$X$43+[1]Specials!$AW$43+[1]Specials!$AZ$43)/1000/AA128</f>
        <v>#DIV/0!</v>
      </c>
      <c r="AB133" s="134"/>
      <c r="AC133" s="84">
        <f>-('[1]Total P&amp;C'!$Q$41+'[1]Total P&amp;C'!$X$41+'[1]Total P&amp;C'!$AW$41+'[1]Total P&amp;C'!$AZ$41)/1000/AC128</f>
        <v>0.12434321926205752</v>
      </c>
      <c r="AD133" s="60">
        <f>-('[1]Total P&amp;C'!$Q$42+'[1]Total P&amp;C'!$X$42+'[1]Total P&amp;C'!$AW$42+'[1]Total P&amp;C'!$AZ$42)/1000/AD128</f>
        <v>0.1244856180004614</v>
      </c>
      <c r="AE133" s="60">
        <f>-('[1]Total P&amp;C'!$Q$43+'[1]Total P&amp;C'!$X$43+'[1]Total P&amp;C'!$AW$43+'[1]Total P&amp;C'!$AZ$43)/1000/AE128</f>
        <v>0.10872774537114839</v>
      </c>
      <c r="AG133" s="215"/>
      <c r="AH133" s="115"/>
      <c r="AI133" s="38" t="s">
        <v>25</v>
      </c>
      <c r="AJ133" s="134"/>
      <c r="AK133" s="74">
        <f>-([2]Retail!$Q$41+[2]Retail!$X$41+[2]Retail!$AW$41+[2]Retail!$AZ$41)/1000/AK128</f>
        <v>4.300095151809244E-2</v>
      </c>
      <c r="AL133" s="42">
        <f>-([2]Retail!$Q$42+[2]Retail!$X$42+[2]Retail!$AW$42+[2]Retail!$AZ$42)/1000/AL128</f>
        <v>1.05878744659616E-2</v>
      </c>
      <c r="AM133" s="42">
        <f>-([2]Retail!$Q$43+[2]Retail!$X$43+[2]Retail!$AW$43+[2]Retail!$AZ$43)/1000/AM128</f>
        <v>4.5960269637703229E-2</v>
      </c>
      <c r="AN133" s="134"/>
      <c r="AO133" s="73">
        <f>-([2]SME!$Q$41+[2]SME!$X$41+[2]SME!$AW$41+[2]SME!$AZ$41)/1000/AO128</f>
        <v>0.10353663891661977</v>
      </c>
      <c r="AP133" s="42">
        <f>-([2]SME!$Q$42+[2]SME!$X$42+[2]SME!$AW$42+[2]SME!$AZ$42)/1000/AP128</f>
        <v>1.6420472163797099E-2</v>
      </c>
      <c r="AQ133" s="42">
        <f>-([2]SME!$Q$43+[2]SME!$X$43+[2]SME!$AW$43+[2]SME!$AZ$43)/1000/AQ128</f>
        <v>8.7909066126376334E-2</v>
      </c>
      <c r="AR133" s="134"/>
      <c r="AS133" s="97">
        <f>-([2]MidCorp!$Q$41+[2]MidCorp!$X$41+[2]MidCorp!$AW$41+[2]MidCorp!$AZ$41)/1000/AS128</f>
        <v>8.5180113634964028E-2</v>
      </c>
      <c r="AT133" s="42">
        <f>-([2]MidCorp!$Q$42+[2]MidCorp!$X$42+[2]MidCorp!$AW$42+[2]MidCorp!$AZ$42)/1000/AT128</f>
        <v>3.1104950741676522E-2</v>
      </c>
      <c r="AU133" s="42">
        <f>-([2]MidCorp!$Q$43+[2]MidCorp!$X$43+[2]MidCorp!$AW$43+[2]MidCorp!$AZ$43)/1000/AU128</f>
        <v>8.0403602126019033E-2</v>
      </c>
      <c r="AV133" s="134"/>
      <c r="AW133" s="97"/>
      <c r="AX133" s="42"/>
      <c r="AY133" s="42"/>
      <c r="AZ133" s="134"/>
      <c r="BA133" s="97"/>
      <c r="BB133" s="42"/>
      <c r="BC133" s="42"/>
      <c r="BD133" s="134"/>
      <c r="BE133" s="97"/>
      <c r="BF133" s="42"/>
      <c r="BG133" s="42"/>
      <c r="BH133" s="134"/>
      <c r="BI133" s="84">
        <f>-('[2]Total P&amp;C'!$Q$41+'[2]Total P&amp;C'!$X$41+'[2]Total P&amp;C'!$AW$41+'[2]Total P&amp;C'!$AZ$41)/1000/BI128</f>
        <v>7.9957661843314529E-2</v>
      </c>
      <c r="BJ133" s="60">
        <f>-('[2]Total P&amp;C'!$Q$42+'[2]Total P&amp;C'!$X$42+'[2]Total P&amp;C'!$AW$42+'[2]Total P&amp;C'!$AZ$42)/1000/BJ128</f>
        <v>2.3156345283561985E-2</v>
      </c>
      <c r="BK133" s="60">
        <f>-('[2]Total P&amp;C'!$Q$43+'[2]Total P&amp;C'!$X$43+'[2]Total P&amp;C'!$AW$43+'[2]Total P&amp;C'!$AZ$43)/1000/BK128</f>
        <v>7.4264852083776381E-2</v>
      </c>
      <c r="BM133" s="84">
        <f>-('[3]Total P&amp;C'!$Q$41+'[3]Total P&amp;C'!$X$41+'[3]Total P&amp;C'!$AW$41+'[3]Total P&amp;C'!$AZ$41)/1000/BM128</f>
        <v>0.11072914848853768</v>
      </c>
      <c r="BN133" s="60">
        <f>-('[3]Total P&amp;C'!$Q$42+'[3]Total P&amp;C'!$X$42+'[3]Total P&amp;C'!$AW$42+'[3]Total P&amp;C'!$AZ$42)/1000/BN128</f>
        <v>9.3431517962252963E-2</v>
      </c>
      <c r="BO133" s="60">
        <f>-('[3]Total P&amp;C'!$Q$43+'[3]Total P&amp;C'!$X$43+'[3]Total P&amp;C'!$AW$43+'[3]Total P&amp;C'!$AZ$43)/1000/BO128</f>
        <v>9.8691978972347716E-2</v>
      </c>
    </row>
    <row r="134" spans="1:67" ht="14.5" hidden="1" outlineLevel="1" x14ac:dyDescent="0.3">
      <c r="A134" s="216"/>
      <c r="B134" s="115"/>
      <c r="C134" s="38" t="s">
        <v>53</v>
      </c>
      <c r="D134" s="134"/>
      <c r="E134" s="73">
        <f>-[1]Retail!$AT$41/1000/E128</f>
        <v>2.9931066107065818E-4</v>
      </c>
      <c r="F134" s="42">
        <f>-[1]Retail!$AT$42/1000/F128</f>
        <v>3.0190680531113224E-2</v>
      </c>
      <c r="G134" s="42" t="e">
        <f>-[1]Retail!$AT$43/1000/G128</f>
        <v>#DIV/0!</v>
      </c>
      <c r="H134" s="134"/>
      <c r="I134" s="74">
        <f>-[1]SME!$AT$41/1000/I128</f>
        <v>3.5711818103543416E-2</v>
      </c>
      <c r="J134" s="42">
        <f>-[1]SME!$AT$42/1000/J128</f>
        <v>4.4266463294445058E-2</v>
      </c>
      <c r="K134" s="42">
        <f>-[1]SME!$AT$43/1000/K128</f>
        <v>3.9478784177078417E-2</v>
      </c>
      <c r="L134" s="134"/>
      <c r="M134" s="74">
        <f>-[1]MidCorp!$AT$41/1000/M128</f>
        <v>2.164596937476751E-2</v>
      </c>
      <c r="N134" s="42">
        <f>-[1]MidCorp!$AT$42/1000/N128</f>
        <v>3.1241154806619927E-2</v>
      </c>
      <c r="O134" s="42">
        <f>-[1]MidCorp!$AT$43/1000/O128</f>
        <v>3.258482249767343E-2</v>
      </c>
      <c r="P134" s="134"/>
      <c r="Q134" s="74">
        <f>-[1]MGA!$AT$41/1000/Q128</f>
        <v>4.4893883312028877E-2</v>
      </c>
      <c r="R134" s="42">
        <f>-[1]MGA!$AT$42/1000/R128</f>
        <v>6.425275269974709E-2</v>
      </c>
      <c r="S134" s="42">
        <f>-[1]MGA!$AT$43/1000/S128</f>
        <v>5.0034011170249325E-2</v>
      </c>
      <c r="T134" s="134"/>
      <c r="U134" s="74">
        <f>-[1]Bancassurance!$AT$41/1000/U128</f>
        <v>3.3464699090139736E-2</v>
      </c>
      <c r="V134" s="42">
        <f>-[1]Bancassurance!$AT$42/1000/V128</f>
        <v>0.200372128226148</v>
      </c>
      <c r="W134" s="42">
        <f>-[1]Bancassurance!$AT$43/1000/W128</f>
        <v>3.5758755765234879E-2</v>
      </c>
      <c r="X134" s="134"/>
      <c r="Y134" s="74" t="e">
        <f>-[1]Specials!$AT$41/1000/Y128</f>
        <v>#DIV/0!</v>
      </c>
      <c r="Z134" s="42" t="e">
        <f>-[1]Specials!$AT$42/1000/Z128</f>
        <v>#DIV/0!</v>
      </c>
      <c r="AA134" s="42" t="e">
        <f>-[1]Specials!$AT$43/1000/AA128</f>
        <v>#DIV/0!</v>
      </c>
      <c r="AB134" s="134"/>
      <c r="AC134" s="85">
        <f>-'[1]Total P&amp;C'!$AT$41/1000/AC128</f>
        <v>2.5850652747975315E-2</v>
      </c>
      <c r="AD134" s="60">
        <f>-'[1]Total P&amp;C'!$AT$42/1000/AD128</f>
        <v>3.6919412508028188E-2</v>
      </c>
      <c r="AE134" s="60">
        <f>-'[1]Total P&amp;C'!$AT$43/1000/AE128</f>
        <v>3.5092951258756486E-2</v>
      </c>
      <c r="AG134" s="215"/>
      <c r="AH134" s="115"/>
      <c r="AI134" s="38" t="s">
        <v>53</v>
      </c>
      <c r="AJ134" s="134"/>
      <c r="AK134" s="74">
        <f>-[2]Retail!$AT$41/1000/AK128</f>
        <v>2.5830938144687159E-2</v>
      </c>
      <c r="AL134" s="42">
        <f>-[2]Retail!$AT$42/1000/AL128</f>
        <v>4.5204319508920787E-2</v>
      </c>
      <c r="AM134" s="42">
        <f>-[2]Retail!$AT$43/1000/AM128</f>
        <v>3.7155508509380222E-2</v>
      </c>
      <c r="AN134" s="134"/>
      <c r="AO134" s="74">
        <f>-[2]SME!$AT$41/1000/AO128</f>
        <v>1.472551829434034E-2</v>
      </c>
      <c r="AP134" s="42">
        <f>-[2]SME!$AT$42/1000/AP128</f>
        <v>1.8873424433025719E-2</v>
      </c>
      <c r="AQ134" s="42">
        <f>-[2]SME!$AT$43/1000/AQ128</f>
        <v>2.6011695563180628E-2</v>
      </c>
      <c r="AR134" s="134"/>
      <c r="AS134" s="73">
        <f>-[2]MidCorp!$AT$41/1000/AS128</f>
        <v>0.10345568287049423</v>
      </c>
      <c r="AT134" s="42">
        <f>-[2]MidCorp!$AT$42/1000/AT128</f>
        <v>9.3505607599426263E-2</v>
      </c>
      <c r="AU134" s="42">
        <f>-[2]MidCorp!$AT$43/1000/AU128</f>
        <v>9.7184377908719269E-2</v>
      </c>
      <c r="AV134" s="134"/>
      <c r="AW134" s="97"/>
      <c r="AX134" s="42"/>
      <c r="AY134" s="42"/>
      <c r="AZ134" s="134"/>
      <c r="BA134" s="97"/>
      <c r="BB134" s="42"/>
      <c r="BC134" s="42"/>
      <c r="BD134" s="134"/>
      <c r="BE134" s="97"/>
      <c r="BF134" s="42"/>
      <c r="BG134" s="42"/>
      <c r="BH134" s="134"/>
      <c r="BI134" s="85">
        <f>-'[2]Total P&amp;C'!$AT$41/1000/BI128</f>
        <v>6.5547473935669676E-2</v>
      </c>
      <c r="BJ134" s="60">
        <f>-'[2]Total P&amp;C'!$AT$42/1000/BJ128</f>
        <v>6.5544258933179597E-2</v>
      </c>
      <c r="BK134" s="60">
        <f>-'[2]Total P&amp;C'!$AT$43/1000/BK128</f>
        <v>6.6684601083303888E-2</v>
      </c>
      <c r="BM134" s="85">
        <f>-'[3]Total P&amp;C'!$AT$41/1000/BM128</f>
        <v>3.8026580337088306E-2</v>
      </c>
      <c r="BN134" s="60">
        <f>-'[3]Total P&amp;C'!$AT$42/1000/BN128</f>
        <v>4.56919894804153E-2</v>
      </c>
      <c r="BO134" s="60">
        <f>-'[3]Total P&amp;C'!$AT$43/1000/BO128</f>
        <v>4.4292597241702543E-2</v>
      </c>
    </row>
    <row r="135" spans="1:67" hidden="1" outlineLevel="1" x14ac:dyDescent="0.3">
      <c r="A135" s="216"/>
      <c r="B135" s="115"/>
      <c r="C135" s="116" t="s">
        <v>27</v>
      </c>
      <c r="D135" s="134"/>
      <c r="E135" s="128">
        <f>-([1]Retail!$Z$41+[1]Retail!$AA$41+[1]Retail!$BB$41+[1]Retail!$BC$41)/1000/E128</f>
        <v>-1.584961792431101E-2</v>
      </c>
      <c r="F135" s="127">
        <f>-([1]Retail!$Z$42+[1]Retail!$AA$42+[1]Retail!$BB$42+[1]Retail!$BC$42)/1000/F128</f>
        <v>-5.4067333964181272E-2</v>
      </c>
      <c r="G135" s="127" t="e">
        <f>-([1]Retail!$Z$43+[1]Retail!$AA$43+[1]Retail!$BB$43+[1]Retail!$BC$43)/1000/G128</f>
        <v>#DIV/0!</v>
      </c>
      <c r="H135" s="134"/>
      <c r="I135" s="128">
        <f>-([1]SME!$Z$41+[1]SME!$AA$41+[1]SME!$BB$41+[1]SME!$BC$41)/1000/I128</f>
        <v>-4.2097847919471576E-2</v>
      </c>
      <c r="J135" s="127">
        <f>-([1]SME!$Z$42+[1]SME!$AA$42+[1]SME!$BB$42+[1]SME!$BC$42)/1000/J128</f>
        <v>-4.5683470077734191E-2</v>
      </c>
      <c r="K135" s="127">
        <f>-([1]SME!$Z$43+[1]SME!$AA$43+[1]SME!$BB$43+[1]SME!$BC$43)/1000/K128</f>
        <v>-4.1231685243148179E-2</v>
      </c>
      <c r="L135" s="134"/>
      <c r="M135" s="126">
        <f>-([1]MidCorp!$Z$41+[1]MidCorp!$AA$41+[1]MidCorp!$BB$41+[1]MidCorp!$BC$41)/1000/M128</f>
        <v>-7.2820283142062792E-2</v>
      </c>
      <c r="N135" s="127">
        <f>-([1]MidCorp!$Z$42+[1]MidCorp!$AA$42+[1]MidCorp!$BB$42+[1]MidCorp!$BC$42)/1000/N128</f>
        <v>-7.2007066118874488E-2</v>
      </c>
      <c r="O135" s="127">
        <f>-([1]MidCorp!$Z$43+[1]MidCorp!$AA$43+[1]MidCorp!$BB$43+[1]MidCorp!$BC$43)/1000/O128</f>
        <v>-5.3869935576831111E-2</v>
      </c>
      <c r="P135" s="134"/>
      <c r="Q135" s="128">
        <f>-([1]MGA!$Z$41+[1]MGA!$AA$41+[1]MGA!$BB$41+[1]MGA!$BC$41)/1000/Q128</f>
        <v>-3.679763223909531E-2</v>
      </c>
      <c r="R135" s="127">
        <f>-([1]MGA!$Z$42+[1]MGA!$AA$42+[1]MGA!$BB$42+[1]MGA!$BC$42)/1000/R128</f>
        <v>-3.2781708127873843E-2</v>
      </c>
      <c r="S135" s="127">
        <f>-([1]MGA!$Z$43+[1]MGA!$AA$43+[1]MGA!$BB$43+[1]MGA!$BC$43)/1000/S128</f>
        <v>-2.863845673972357E-2</v>
      </c>
      <c r="T135" s="134"/>
      <c r="U135" s="128">
        <f>-([1]Bancassurance!$Z$41+[1]Bancassurance!$AA$41+[1]Bancassurance!$BB$41+[1]Bancassurance!$BC$41)/1000/U128</f>
        <v>-5.8745515010661123E-2</v>
      </c>
      <c r="V135" s="127">
        <f>-([1]Bancassurance!$Z$42+[1]Bancassurance!$AA$42+[1]Bancassurance!$BB$42+[1]Bancassurance!$BC$42)/1000/V128</f>
        <v>-6.3647232712942467E-3</v>
      </c>
      <c r="W135" s="127">
        <f>-([1]Bancassurance!$Z$43+[1]Bancassurance!$AA$43+[1]Bancassurance!$BB$43+[1]Bancassurance!$BC$43)/1000/W128</f>
        <v>-7.638888745281526E-2</v>
      </c>
      <c r="X135" s="134"/>
      <c r="Y135" s="128" t="e">
        <f>-([1]Specials!$Z$41+[1]Specials!$AA$41+[1]Specials!$BB$41+[1]Specials!$BC$41)/1000/Y128</f>
        <v>#DIV/0!</v>
      </c>
      <c r="Z135" s="127" t="e">
        <f>-([1]Specials!$Z$42+[1]Specials!$AA$42+[1]Specials!$BB$42+[1]Specials!$BC$42)/1000/Z128</f>
        <v>#DIV/0!</v>
      </c>
      <c r="AA135" s="127" t="e">
        <f>-([1]Specials!$Z$43+[1]Specials!$AA$43+[1]Specials!$BB$43+[1]Specials!$BC$43)/1000/AA128</f>
        <v>#DIV/0!</v>
      </c>
      <c r="AB135" s="134"/>
      <c r="AC135" s="132">
        <f>-('[1]Total P&amp;C'!$Z$41+'[1]Total P&amp;C'!$AA$41+'[1]Total P&amp;C'!$BB$41+'[1]Total P&amp;C'!$BC$41)/1000/AC128</f>
        <v>-6.2950889696963067E-2</v>
      </c>
      <c r="AD135" s="130">
        <f>-('[1]Total P&amp;C'!$Z$42+'[1]Total P&amp;C'!$AA$42+'[1]Total P&amp;C'!$BB$42+'[1]Total P&amp;C'!$BC$42)/1000/AD128</f>
        <v>-6.3390519061182884E-2</v>
      </c>
      <c r="AE135" s="130">
        <f>-('[1]Total P&amp;C'!$Z$43+'[1]Total P&amp;C'!$AA$43+'[1]Total P&amp;C'!$BB$43+'[1]Total P&amp;C'!$BC$43)/1000/AE128</f>
        <v>-5.0443153943200834E-2</v>
      </c>
      <c r="AG135" s="215"/>
      <c r="AH135" s="115"/>
      <c r="AI135" s="116" t="s">
        <v>27</v>
      </c>
      <c r="AJ135" s="134"/>
      <c r="AK135" s="128">
        <f>-([2]Retail!$Z$41+[2]Retail!$AA$41+[2]Retail!$BB$41+[2]Retail!$BC$41)/1000/AK128</f>
        <v>-4.6414088658092954E-2</v>
      </c>
      <c r="AL135" s="127">
        <f>-([2]Retail!$Z$42+[2]Retail!$AA$42+[2]Retail!$BB$42+[2]Retail!$BC$42)/1000/AL128</f>
        <v>-7.4895426288208777E-2</v>
      </c>
      <c r="AM135" s="127">
        <f>-([2]Retail!$Z$43+[2]Retail!$AA$43+[2]Retail!$BB$43+[2]Retail!$BC$43)/1000/AM128</f>
        <v>-3.3851740610812579E-2</v>
      </c>
      <c r="AN135" s="134"/>
      <c r="AO135" s="126">
        <f>-([2]SME!$Z$41+[2]SME!$AA$41+[2]SME!$BB$41+[2]SME!$BC$41)/1000/AO128</f>
        <v>-6.6726723272680102E-2</v>
      </c>
      <c r="AP135" s="127">
        <f>-([2]SME!$Z$42+[2]SME!$AA$42+[2]SME!$BB$42+[2]SME!$BC$42)/1000/AP128</f>
        <v>-5.0275841126140433E-2</v>
      </c>
      <c r="AQ135" s="127">
        <f>-([2]SME!$Z$43+[2]SME!$AA$43+[2]SME!$BB$43+[2]SME!$BC$43)/1000/AQ128</f>
        <v>-3.8739093576071831E-2</v>
      </c>
      <c r="AR135" s="134"/>
      <c r="AS135" s="126">
        <f>-([2]MidCorp!$Z$41+[2]MidCorp!$AA$41+[2]MidCorp!$BB$41+[2]MidCorp!$BC$41)/1000/AS128</f>
        <v>-6.4538401806542814E-2</v>
      </c>
      <c r="AT135" s="127">
        <f>-([2]MidCorp!$Z$42+[2]MidCorp!$AA$42+[2]MidCorp!$BB$42+[2]MidCorp!$BC$42)/1000/AT128</f>
        <v>-5.2424011324653942E-2</v>
      </c>
      <c r="AU135" s="127">
        <f>-([2]MidCorp!$Z$43+[2]MidCorp!$AA$43+[2]MidCorp!$BB$43+[2]MidCorp!$BC$43)/1000/AU128</f>
        <v>-4.2409621343155443E-2</v>
      </c>
      <c r="AV135" s="134"/>
      <c r="AW135" s="131"/>
      <c r="AX135" s="127"/>
      <c r="AY135" s="127"/>
      <c r="AZ135" s="134"/>
      <c r="BA135" s="131"/>
      <c r="BB135" s="127"/>
      <c r="BC135" s="127"/>
      <c r="BD135" s="134"/>
      <c r="BE135" s="131"/>
      <c r="BF135" s="127"/>
      <c r="BG135" s="127"/>
      <c r="BH135" s="134"/>
      <c r="BI135" s="132">
        <f>-('[2]Total P&amp;C'!$Z$41+'[2]Total P&amp;C'!$AA$41+'[2]Total P&amp;C'!$BB$41+'[2]Total P&amp;C'!$BC$41)/1000/BI128</f>
        <v>-6.0977910070329357E-2</v>
      </c>
      <c r="BJ135" s="130">
        <f>-('[2]Total P&amp;C'!$Z$42+'[2]Total P&amp;C'!$AA$42+'[2]Total P&amp;C'!$BB$42+'[2]Total P&amp;C'!$BC$42)/1000/BJ128</f>
        <v>-5.6920836502475473E-2</v>
      </c>
      <c r="BK135" s="130">
        <f>-('[2]Total P&amp;C'!$Z$43+'[2]Total P&amp;C'!$AA$43+'[2]Total P&amp;C'!$BB$43+'[2]Total P&amp;C'!$BC$43)/1000/BK128</f>
        <v>-3.9583469425882464E-2</v>
      </c>
      <c r="BM135" s="132">
        <f>-('[3]Total P&amp;C'!$Z$41+'[3]Total P&amp;C'!$AA$41+'[3]Total P&amp;C'!$BB$41+'[3]Total P&amp;C'!$BC$41)/1000/BM128</f>
        <v>-6.234573149159689E-2</v>
      </c>
      <c r="BN135" s="130">
        <f>-('[3]Total P&amp;C'!$Z$42+'[3]Total P&amp;C'!$AA$42+'[3]Total P&amp;C'!$BB$42+'[3]Total P&amp;C'!$BC$42)/1000/BN128</f>
        <v>-6.1407773463522587E-2</v>
      </c>
      <c r="BO135" s="130">
        <f>-('[3]Total P&amp;C'!$Z$43+'[3]Total P&amp;C'!$AA$43+'[3]Total P&amp;C'!$BB$43+'[3]Total P&amp;C'!$BC$43)/1000/BO128</f>
        <v>-4.7280759652283469E-2</v>
      </c>
    </row>
    <row r="136" spans="1:67" hidden="1" outlineLevel="1" x14ac:dyDescent="0.3">
      <c r="A136" s="216"/>
      <c r="B136" s="115"/>
      <c r="C136" s="116" t="s">
        <v>57</v>
      </c>
      <c r="D136" s="134"/>
      <c r="E136" s="126">
        <f>-SUM([1]Retail!$AC$41:$AI$41,[1]Retail!$BE$41:$BG$41)/1000/E128</f>
        <v>3.8744564485298865</v>
      </c>
      <c r="F136" s="127">
        <f>-SUM([1]Retail!$AC$42:$AI$42,[1]Retail!$BE$42:$BG$42)/1000/F128</f>
        <v>-0.83733031033257244</v>
      </c>
      <c r="G136" s="127" t="e">
        <f>-SUM([1]Retail!$AC$43:$AI$43,[1]Retail!$BE$43:$BG$43)/1000/G128</f>
        <v>#DIV/0!</v>
      </c>
      <c r="H136" s="134"/>
      <c r="I136" s="128">
        <f>-SUM([1]SME!$AC$41:$AI$41,[1]SME!$BE$41:$BG$41)/1000/I128</f>
        <v>0.17800270847077598</v>
      </c>
      <c r="J136" s="127">
        <f>-SUM([1]SME!$AC$42:$AI$42,[1]SME!$BE$42:$BG$42)/1000/J128</f>
        <v>-0.59907769917940379</v>
      </c>
      <c r="K136" s="127">
        <f>-SUM([1]SME!$AC$43:$AI$43,[1]SME!$BE$43:$BG$43)/1000/K128</f>
        <v>-8.3974010245072665E-3</v>
      </c>
      <c r="L136" s="134"/>
      <c r="M136" s="126">
        <f>-SUM([1]MidCorp!$AC$41:$AI$41,[1]MidCorp!$BE$41:$BG$41)/1000/M128</f>
        <v>-0.17133914309754619</v>
      </c>
      <c r="N136" s="127">
        <f>-SUM([1]MidCorp!$AC$42:$AI$42,[1]MidCorp!$BE$42:$BG$42)/1000/N128</f>
        <v>0.41698627060721</v>
      </c>
      <c r="O136" s="127">
        <f>-SUM([1]MidCorp!$AC$43:$AI$43,[1]MidCorp!$BE$43:$BG$43)/1000/O128</f>
        <v>-2.5387625436744887E-2</v>
      </c>
      <c r="P136" s="134"/>
      <c r="Q136" s="126">
        <f>-SUM([1]MGA!$AC$41:$AI$41,[1]MGA!$BE$41:$BG$41)/1000/Q128</f>
        <v>-1.2040339171650423</v>
      </c>
      <c r="R136" s="127">
        <f>-SUM([1]MGA!$AC$42:$AI$42,[1]MGA!$BE$42:$BG$42)/1000/R128</f>
        <v>-1.2948347158574827</v>
      </c>
      <c r="S136" s="127">
        <f>-SUM([1]MGA!$AC$43:$AI$43,[1]MGA!$BE$43:$BG$43)/1000/S128</f>
        <v>-1.4118051830097726E-2</v>
      </c>
      <c r="T136" s="134"/>
      <c r="U136" s="126">
        <f>-SUM([1]Bancassurance!$AC$41:$AI$41,[1]Bancassurance!$BE$41:$BG$41)/1000/U128</f>
        <v>-0.76829000879770804</v>
      </c>
      <c r="V136" s="127">
        <f>-SUM([1]Bancassurance!$AC$42:$AI$42,[1]Bancassurance!$BE$42:$BG$42)/1000/V128</f>
        <v>0.34540149813579285</v>
      </c>
      <c r="W136" s="127">
        <f>-SUM([1]Bancassurance!$AC$43:$AI$43,[1]Bancassurance!$BE$43:$BG$43)/1000/W128</f>
        <v>-1.5499603326949846E-2</v>
      </c>
      <c r="X136" s="134"/>
      <c r="Y136" s="126" t="e">
        <f>-SUM([1]Specials!$AC$41:$AI$41,[1]Specials!$BE$41:$BG$41)/1000/Y128</f>
        <v>#DIV/0!</v>
      </c>
      <c r="Z136" s="127" t="e">
        <f>-SUM([1]Specials!$AC$42:$AI$42,[1]Specials!$BE$42:$BG$42)/1000/Z128</f>
        <v>#DIV/0!</v>
      </c>
      <c r="AA136" s="127" t="e">
        <f>-SUM([1]Specials!$AC$43:$AI$43,[1]Specials!$BE$43:$BG$43)/1000/AA128</f>
        <v>#DIV/0!</v>
      </c>
      <c r="AB136" s="134"/>
      <c r="AC136" s="132">
        <f>-SUM('[1]Total P&amp;C'!$AC$41:$AI$41,'[1]Total P&amp;C'!$BE$41:$BG$41)/1000/AC128</f>
        <v>-8.3470678818480581E-2</v>
      </c>
      <c r="AD136" s="130">
        <f>-SUM('[1]Total P&amp;C'!$AC$42:$AI$42,'[1]Total P&amp;C'!$BE$42:$BG$42)/1000/AD128</f>
        <v>8.733045516433055E-2</v>
      </c>
      <c r="AE136" s="130">
        <f>-SUM('[1]Total P&amp;C'!$AC$43:$AI$43,'[1]Total P&amp;C'!$BE$43:$BG$43)/1000/AE128</f>
        <v>-2.0974202156707467E-2</v>
      </c>
      <c r="AG136" s="215"/>
      <c r="AH136" s="115"/>
      <c r="AI136" s="116" t="s">
        <v>57</v>
      </c>
      <c r="AJ136" s="134"/>
      <c r="AK136" s="128">
        <f>-SUM([2]Retail!$AC$41:$AI$41,[2]Retail!$BE$41:$BG$41)/1000/AK128</f>
        <v>0.38929854144330578</v>
      </c>
      <c r="AL136" s="127">
        <f>-SUM([2]Retail!$AC$42:$AI$42,[2]Retail!$BE$42:$BG$42)/1000/AL128</f>
        <v>0.93059601628748756</v>
      </c>
      <c r="AM136" s="127">
        <f>-SUM([2]Retail!$AC$43:$AI$43,[2]Retail!$BE$43:$BG$43)/1000/AM128</f>
        <v>1.7606749137243364E-2</v>
      </c>
      <c r="AN136" s="134"/>
      <c r="AO136" s="128">
        <f>-SUM([2]SME!$AC$41:$AI$41,[2]SME!$BE$41:$BG$41)/1000/AO128</f>
        <v>0.74135045670271948</v>
      </c>
      <c r="AP136" s="127">
        <f>-SUM([2]SME!$AC$42:$AI$42,[2]SME!$BE$42:$BG$42)/1000/AP128</f>
        <v>1.0794199856839017</v>
      </c>
      <c r="AQ136" s="127">
        <f>-SUM([2]SME!$AC$43:$AI$43,[2]SME!$BE$43:$BG$43)/1000/AQ128</f>
        <v>1.6527617073703173E-2</v>
      </c>
      <c r="AR136" s="134"/>
      <c r="AS136" s="126">
        <f>-SUM([2]MidCorp!$AC$41:$AI$41,[2]MidCorp!$BE$41:$BG$41)/1000/AS128</f>
        <v>-4.5606481625381473E-2</v>
      </c>
      <c r="AT136" s="127">
        <f>-SUM([2]MidCorp!$AC$42:$AI$42,[2]MidCorp!$BE$42:$BG$42)/1000/AT128</f>
        <v>-0.91250962975085248</v>
      </c>
      <c r="AU136" s="127">
        <f>-SUM([2]MidCorp!$AC$43:$AI$43,[2]MidCorp!$BE$43:$BG$43)/1000/AU128</f>
        <v>1.7633278611998819E-3</v>
      </c>
      <c r="AV136" s="134"/>
      <c r="AW136" s="131"/>
      <c r="AX136" s="127"/>
      <c r="AY136" s="127"/>
      <c r="AZ136" s="134"/>
      <c r="BA136" s="131"/>
      <c r="BB136" s="127"/>
      <c r="BC136" s="127"/>
      <c r="BD136" s="134"/>
      <c r="BE136" s="131"/>
      <c r="BF136" s="127"/>
      <c r="BG136" s="127"/>
      <c r="BH136" s="134"/>
      <c r="BI136" s="129">
        <f>-SUM('[2]Total P&amp;C'!$AC$41:$AI$41,'[2]Total P&amp;C'!$BE$41:$BG$41)/1000/BI128</f>
        <v>0.23372343537297346</v>
      </c>
      <c r="BJ136" s="130">
        <f>-SUM('[2]Total P&amp;C'!$AC$42:$AI$42,'[2]Total P&amp;C'!$BE$42:$BG$42)/1000/BJ128</f>
        <v>-4.3145323586493887E-2</v>
      </c>
      <c r="BK136" s="130">
        <f>-SUM('[2]Total P&amp;C'!$AC$43:$AI$43,'[2]Total P&amp;C'!$BE$43:$BG$43)/1000/BK128</f>
        <v>8.8682919665640063E-3</v>
      </c>
      <c r="BM136" s="129">
        <f>-SUM('[3]Total P&amp;C'!$AC$41:$AI$41,'[3]Total P&amp;C'!$BE$41:$BG$41)/1000/BM128</f>
        <v>1.3820047505097341E-2</v>
      </c>
      <c r="BN136" s="130">
        <f>-SUM('[3]Total P&amp;C'!$AC$42:$AI$42,'[3]Total P&amp;C'!$BE$42:$BG$42)/1000/BN128</f>
        <v>4.7343906586098189E-2</v>
      </c>
      <c r="BO136" s="130">
        <f>-SUM('[3]Total P&amp;C'!$AC$43:$AI$43,'[3]Total P&amp;C'!$BE$43:$BG$43)/1000/BO128</f>
        <v>-1.2283919037371223E-2</v>
      </c>
    </row>
    <row r="137" spans="1:67" hidden="1" outlineLevel="1" x14ac:dyDescent="0.3">
      <c r="A137" s="216"/>
      <c r="B137" s="115"/>
      <c r="C137" s="116" t="s">
        <v>29</v>
      </c>
      <c r="D137" s="134"/>
      <c r="E137" s="128">
        <f>-SUM([1]Retail!$AJ$41:$AK$41,[1]Retail!$BH$41:$BI$41)/1000/E128</f>
        <v>-0.18763042772094535</v>
      </c>
      <c r="F137" s="127">
        <f>-SUM([1]Retail!$AJ$42:$AK$42,[1]Retail!$BH$42:$BI$42)/1000/F128</f>
        <v>9.6403519753059136E-2</v>
      </c>
      <c r="G137" s="127" t="e">
        <f>-SUM([1]Retail!$AJ$43:$AK$43,[1]Retail!$BH$43:$BI$43)/1000/G128</f>
        <v>#DIV/0!</v>
      </c>
      <c r="H137" s="134"/>
      <c r="I137" s="128">
        <f>-SUM([1]SME!$AJ$41:$AK$41,[1]SME!$BH$41:$BI$41)/1000/I128</f>
        <v>2.6555351762344172E-2</v>
      </c>
      <c r="J137" s="127">
        <f>-SUM([1]SME!$AJ$42:$AK$42,[1]SME!$BH$42:$BI$42)/1000/J128</f>
        <v>5.702010045912069E-2</v>
      </c>
      <c r="K137" s="127">
        <f>-SUM([1]SME!$AJ$43:$AK$43,[1]SME!$BH$43:$BI$43)/1000/K128</f>
        <v>0</v>
      </c>
      <c r="L137" s="134"/>
      <c r="M137" s="128">
        <f>-SUM([1]MidCorp!$AJ$41:$AK$41,[1]MidCorp!$BH$41:$BI$41)/1000/M128</f>
        <v>5.320054222775189E-2</v>
      </c>
      <c r="N137" s="127">
        <f>-SUM([1]MidCorp!$AJ$42:$AK$42,[1]MidCorp!$BH$42:$BI$42)/1000/N128</f>
        <v>-5.1789306961074746E-4</v>
      </c>
      <c r="O137" s="127">
        <f>-SUM([1]MidCorp!$AJ$43:$AK$43,[1]MidCorp!$BH$43:$BI$43)/1000/O128</f>
        <v>0</v>
      </c>
      <c r="P137" s="134"/>
      <c r="Q137" s="128">
        <f>-SUM([1]MGA!$AJ$41:$AK$41,[1]MGA!$BH$41:$BI$41)/1000/Q128</f>
        <v>8.8794413244534465E-2</v>
      </c>
      <c r="R137" s="127">
        <f>-SUM([1]MGA!$AJ$42:$AK$42,[1]MGA!$BH$42:$BI$42)/1000/R128</f>
        <v>-3.6286925837142291E-2</v>
      </c>
      <c r="S137" s="127">
        <f>-SUM([1]MGA!$AJ$43:$AK$43,[1]MGA!$BH$43:$BI$43)/1000/S128</f>
        <v>0</v>
      </c>
      <c r="T137" s="134"/>
      <c r="U137" s="128">
        <f>-SUM([1]Bancassurance!$AJ$41:$AK$41,[1]Bancassurance!$BH$41:$BI$41)/1000/U128</f>
        <v>9.7651969046197093E-2</v>
      </c>
      <c r="V137" s="127">
        <f>-SUM([1]Bancassurance!$AJ$42:$AK$42,[1]Bancassurance!$BH$42:$BI$42)/1000/V128</f>
        <v>-4.2637044772236544E-2</v>
      </c>
      <c r="W137" s="127">
        <f>-SUM([1]Bancassurance!$AJ$43:$AK$43,[1]Bancassurance!$BH$43:$BI$43)/1000/W128</f>
        <v>0</v>
      </c>
      <c r="X137" s="134"/>
      <c r="Y137" s="128" t="e">
        <f>-SUM([1]Specials!$AJ$41:$AK$41,[1]Specials!$BH$41:$BI$41)/1000/Y128</f>
        <v>#DIV/0!</v>
      </c>
      <c r="Z137" s="127" t="e">
        <f>-SUM([1]Specials!$AJ$42:$AK$42,[1]Specials!$BH$42:$BI$42)/1000/Z128</f>
        <v>#DIV/0!</v>
      </c>
      <c r="AA137" s="127" t="e">
        <f>-SUM([1]Specials!$AJ$43:$AK$43,[1]Specials!$BH$43:$BI$43)/1000/AA128</f>
        <v>#DIV/0!</v>
      </c>
      <c r="AB137" s="134"/>
      <c r="AC137" s="129">
        <f>-SUM('[1]Total P&amp;C'!$AJ$41:$AK$41,'[1]Total P&amp;C'!$BH$41:$BI$41)/1000/AC128</f>
        <v>4.5761019015444243E-2</v>
      </c>
      <c r="AD137" s="130">
        <f>-SUM('[1]Total P&amp;C'!$AJ$42:$AK$42,'[1]Total P&amp;C'!$BH$42:$BI$42)/1000/AD128</f>
        <v>1.4037131916559548E-2</v>
      </c>
      <c r="AE137" s="130">
        <f>-SUM('[1]Total P&amp;C'!$AJ$43:$AK$43,'[1]Total P&amp;C'!$BH$43:$BI$43)/1000/AE128</f>
        <v>0</v>
      </c>
      <c r="AG137" s="215"/>
      <c r="AH137" s="115"/>
      <c r="AI137" s="116" t="s">
        <v>29</v>
      </c>
      <c r="AJ137" s="134"/>
      <c r="AK137" s="126">
        <f>-SUM([2]Retail!$AJ$41:$AK$41,[2]Retail!$BH$41:$BI$41)/1000/AK128</f>
        <v>-0.13570040789815052</v>
      </c>
      <c r="AL137" s="127">
        <f>-SUM([2]Retail!$AJ$42:$AK$42,[2]Retail!$BH$42:$BI$42)/1000/AL128</f>
        <v>2.7753719739568018E-2</v>
      </c>
      <c r="AM137" s="127">
        <f>-SUM([2]Retail!$AJ$43:$AK$43,[2]Retail!$BH$43:$BI$43)/1000/AM128</f>
        <v>0</v>
      </c>
      <c r="AN137" s="134"/>
      <c r="AO137" s="126">
        <f>-SUM([2]SME!$AJ$41:$AK$41,[2]SME!$BH$41:$BI$41)/1000/AO128</f>
        <v>-0.26267194414675588</v>
      </c>
      <c r="AP137" s="127">
        <f>-SUM([2]SME!$AJ$42:$AK$42,[2]SME!$BH$42:$BI$42)/1000/AP128</f>
        <v>4.771500295835758E-2</v>
      </c>
      <c r="AQ137" s="127">
        <f>-SUM([2]SME!$AJ$43:$AK$43,[2]SME!$BH$43:$BI$43)/1000/AQ128</f>
        <v>0</v>
      </c>
      <c r="AR137" s="134"/>
      <c r="AS137" s="126">
        <f>-SUM([2]MidCorp!$AJ$41:$AK$41,[2]MidCorp!$BH$41:$BI$41)/1000/AS128</f>
        <v>-3.3311123556040385E-2</v>
      </c>
      <c r="AT137" s="127">
        <f>-SUM([2]MidCorp!$AJ$42:$AK$42,[2]MidCorp!$BH$42:$BI$42)/1000/AT128</f>
        <v>0.29756712450414791</v>
      </c>
      <c r="AU137" s="127">
        <f>-SUM([2]MidCorp!$AJ$43:$AK$43,[2]MidCorp!$BH$43:$BI$43)/1000/AU128</f>
        <v>0</v>
      </c>
      <c r="AV137" s="134"/>
      <c r="AW137" s="131"/>
      <c r="AX137" s="127"/>
      <c r="AY137" s="127"/>
      <c r="AZ137" s="134"/>
      <c r="BA137" s="131"/>
      <c r="BB137" s="127"/>
      <c r="BC137" s="127"/>
      <c r="BD137" s="134"/>
      <c r="BE137" s="131"/>
      <c r="BF137" s="127"/>
      <c r="BG137" s="127"/>
      <c r="BH137" s="134"/>
      <c r="BI137" s="132">
        <f>-SUM('[2]Total P&amp;C'!$AJ$41:$AK$41,'[2]Total P&amp;C'!$BH$41:$BI$41)/1000/BI128</f>
        <v>-0.10925667070844432</v>
      </c>
      <c r="BJ137" s="130">
        <f>-SUM('[2]Total P&amp;C'!$AJ$42:$AK$42,'[2]Total P&amp;C'!$BH$42:$BI$42)/1000/BJ128</f>
        <v>0.17993824698143901</v>
      </c>
      <c r="BK137" s="130">
        <f>-SUM('[2]Total P&amp;C'!$AJ$43:$AK$43,'[2]Total P&amp;C'!$BH$43:$BI$43)/1000/BK128</f>
        <v>0</v>
      </c>
      <c r="BM137" s="132">
        <f>-SUM('[3]Total P&amp;C'!$AJ$41:$AK$41,'[3]Total P&amp;C'!$BH$41:$BI$41)/1000/BM128</f>
        <v>-1.7864698926790892E-3</v>
      </c>
      <c r="BN137" s="130">
        <f>-SUM('[3]Total P&amp;C'!$AJ$42:$AK$42,'[3]Total P&amp;C'!$BH$42:$BI$42)/1000/BN128</f>
        <v>6.488038466612632E-2</v>
      </c>
      <c r="BO137" s="130">
        <f>-SUM('[3]Total P&amp;C'!$AJ$43:$AK$43,'[3]Total P&amp;C'!$BH$43:$BI$43)/1000/BO128</f>
        <v>0</v>
      </c>
    </row>
    <row r="138" spans="1:67" hidden="1" outlineLevel="1" x14ac:dyDescent="0.3">
      <c r="A138" s="216"/>
      <c r="B138" s="115"/>
      <c r="C138" s="116" t="s">
        <v>58</v>
      </c>
      <c r="D138" s="134"/>
      <c r="E138" s="128">
        <f>+E139+E140+E141</f>
        <v>0.42757380063939476</v>
      </c>
      <c r="F138" s="127">
        <f>+F139+F140+F141</f>
        <v>0.5919545838002559</v>
      </c>
      <c r="G138" s="127" t="e">
        <f>+G139+G140+G141</f>
        <v>#DIV/0!</v>
      </c>
      <c r="H138" s="134"/>
      <c r="I138" s="126">
        <f>+I139+I140+I141</f>
        <v>0.36099935560541208</v>
      </c>
      <c r="J138" s="127">
        <f>+J139+J140+J141</f>
        <v>0.40591101626786696</v>
      </c>
      <c r="K138" s="127">
        <f>+K139+K140+K141</f>
        <v>0.39281037134018959</v>
      </c>
      <c r="L138" s="134"/>
      <c r="M138" s="126">
        <f>+M139+M140+M141</f>
        <v>0.30810799366634617</v>
      </c>
      <c r="N138" s="127">
        <f>+N139+N140+N141</f>
        <v>0.2837448284327872</v>
      </c>
      <c r="O138" s="127">
        <f>+O139+O140+O141</f>
        <v>0.31594997320608037</v>
      </c>
      <c r="P138" s="134"/>
      <c r="Q138" s="128">
        <f>+Q139+Q140+Q141</f>
        <v>0.45265213607816673</v>
      </c>
      <c r="R138" s="127">
        <f>+R139+R140+R141</f>
        <v>0.47354202400005757</v>
      </c>
      <c r="S138" s="127">
        <f>+S139+S140+S141</f>
        <v>0.43676280376515758</v>
      </c>
      <c r="T138" s="134"/>
      <c r="U138" s="128">
        <f>+U139+U140+U141</f>
        <v>0.45346770336305176</v>
      </c>
      <c r="V138" s="127">
        <f>+V139+V140+V141</f>
        <v>0.48836162293764529</v>
      </c>
      <c r="W138" s="127">
        <f>+W139+W140+W141</f>
        <v>0.4392696008217476</v>
      </c>
      <c r="X138" s="134"/>
      <c r="Y138" s="126" t="e">
        <f>+Y139+Y140+Y141</f>
        <v>#DIV/0!</v>
      </c>
      <c r="Z138" s="127" t="e">
        <f>+Z139+Z140+Z141</f>
        <v>#DIV/0!</v>
      </c>
      <c r="AA138" s="127" t="e">
        <f>+AA139+AA140+AA141</f>
        <v>#DIV/0!</v>
      </c>
      <c r="AB138" s="134"/>
      <c r="AC138" s="132">
        <f>+AC139+AC140+AC141</f>
        <v>0.33144451495460109</v>
      </c>
      <c r="AD138" s="130">
        <f>+AD139+AD140+AD141</f>
        <v>0.32724729556163745</v>
      </c>
      <c r="AE138" s="130">
        <f>+AE139+AE140+AE141</f>
        <v>0.34520188786254841</v>
      </c>
      <c r="AG138" s="215"/>
      <c r="AH138" s="115"/>
      <c r="AI138" s="116" t="s">
        <v>58</v>
      </c>
      <c r="AJ138" s="134"/>
      <c r="AK138" s="128">
        <f>+AK139+AK140+AK141</f>
        <v>0.51542989926084459</v>
      </c>
      <c r="AL138" s="127">
        <f>+AL139+AL140+AL141</f>
        <v>0.46908097464548776</v>
      </c>
      <c r="AM138" s="127">
        <f>+AM139+AM140+AM141</f>
        <v>0.5014271640980158</v>
      </c>
      <c r="AN138" s="134"/>
      <c r="AO138" s="126">
        <f>+AO139+AO140+AO141</f>
        <v>0.56230001082666259</v>
      </c>
      <c r="AP138" s="127">
        <f>+AP139+AP140+AP141</f>
        <v>0.54302990227963011</v>
      </c>
      <c r="AQ138" s="127">
        <f>+AQ139+AQ140+AQ141</f>
        <v>0.60630251933656809</v>
      </c>
      <c r="AR138" s="134"/>
      <c r="AS138" s="126">
        <f>+AS139+AS140+AS141</f>
        <v>0.41071061454454144</v>
      </c>
      <c r="AT138" s="127">
        <f>+AT139+AT140+AT141</f>
        <v>0.41340489989953833</v>
      </c>
      <c r="AU138" s="127">
        <f>+AU139+AU140+AU141</f>
        <v>0.42787734860996929</v>
      </c>
      <c r="AV138" s="134"/>
      <c r="AW138" s="131"/>
      <c r="AX138" s="127"/>
      <c r="AY138" s="127"/>
      <c r="AZ138" s="134"/>
      <c r="BA138" s="131"/>
      <c r="BB138" s="127"/>
      <c r="BC138" s="127"/>
      <c r="BD138" s="134"/>
      <c r="BE138" s="131"/>
      <c r="BF138" s="127"/>
      <c r="BG138" s="127"/>
      <c r="BH138" s="134"/>
      <c r="BI138" s="132">
        <f>+BI139+BI140+BI141</f>
        <v>0.46921583153723301</v>
      </c>
      <c r="BJ138" s="130">
        <f>+BJ139+BJ140+BJ141</f>
        <v>0.45570048689005305</v>
      </c>
      <c r="BK138" s="130">
        <f>+BK139+BK140+BK141</f>
        <v>0.48668551183186104</v>
      </c>
      <c r="BM138" s="132">
        <f>+BM139+BM140+BM141</f>
        <v>0.37370214476922442</v>
      </c>
      <c r="BN138" s="130">
        <f>+BN139+BN140+BN141</f>
        <v>0.3666139874048176</v>
      </c>
      <c r="BO138" s="130">
        <f>+BO139+BO140+BO141</f>
        <v>0.3864026247702666</v>
      </c>
    </row>
    <row r="139" spans="1:67" ht="14.5" hidden="1" outlineLevel="1" x14ac:dyDescent="0.3">
      <c r="A139" s="216"/>
      <c r="B139" s="115"/>
      <c r="C139" s="39" t="s">
        <v>59</v>
      </c>
      <c r="D139" s="135"/>
      <c r="E139" s="74">
        <f>-SUM([1]Retail!$AL$41:$AN$41,[1]Retail!$BJ$41)/1000/E128</f>
        <v>0.24895076739061361</v>
      </c>
      <c r="F139" s="42">
        <f>-SUM([1]Retail!$AL$42:$AN$42,[1]Retail!$BJ$42)/1000/F128</f>
        <v>0.23292715644864392</v>
      </c>
      <c r="G139" s="42" t="e">
        <f>-SUM([1]Retail!$AL$43:$AN$43,[1]Retail!$BJ$43)/1000/G128</f>
        <v>#DIV/0!</v>
      </c>
      <c r="H139" s="135"/>
      <c r="I139" s="97">
        <f>-SUM([1]SME!$AL$41:$AN$41,[1]SME!$BJ$41)/1000/I128</f>
        <v>0.22107230022567823</v>
      </c>
      <c r="J139" s="42">
        <f>-SUM([1]SME!$AL$42:$AN$42,[1]SME!$BJ$42)/1000/J128</f>
        <v>0.22008881034400024</v>
      </c>
      <c r="K139" s="42">
        <f>-SUM([1]SME!$AL$43:$AN$43,[1]SME!$BJ$43)/1000/K128</f>
        <v>0.22058491680310188</v>
      </c>
      <c r="L139" s="135"/>
      <c r="M139" s="74">
        <f>-SUM([1]MidCorp!$AL$41:$AN$41,[1]MidCorp!$BJ$41)/1000/M128</f>
        <v>0.19608202737140318</v>
      </c>
      <c r="N139" s="42">
        <f>-SUM([1]MidCorp!$AL$42:$AN$42,[1]MidCorp!$BJ$42)/1000/N128</f>
        <v>0.19631252045691122</v>
      </c>
      <c r="O139" s="42">
        <f>-SUM([1]MidCorp!$AL$43:$AN$43,[1]MidCorp!$BJ$43)/1000/O128</f>
        <v>0.1970993456192672</v>
      </c>
      <c r="P139" s="135"/>
      <c r="Q139" s="74">
        <f>-SUM([1]MGA!$AL$41:$AN$41,[1]MGA!$BJ$41)/1000/Q128</f>
        <v>0.34909587724277286</v>
      </c>
      <c r="R139" s="42">
        <f>-SUM([1]MGA!$AL$42:$AN$42,[1]MGA!$BJ$42)/1000/R128</f>
        <v>0.35255748466752784</v>
      </c>
      <c r="S139" s="42">
        <f>-SUM([1]MGA!$AL$43:$AN$43,[1]MGA!$BJ$43)/1000/S128</f>
        <v>0.35130743590633745</v>
      </c>
      <c r="T139" s="135"/>
      <c r="U139" s="74">
        <f>-SUM([1]Bancassurance!$AL$41:$AN$41,[1]Bancassurance!$BJ$41)/1000/U128</f>
        <v>0.14714538602693306</v>
      </c>
      <c r="V139" s="42">
        <f>-SUM([1]Bancassurance!$AL$42:$AN$42,[1]Bancassurance!$BJ$42)/1000/V128</f>
        <v>0.1430429309189484</v>
      </c>
      <c r="W139" s="42">
        <f>-SUM([1]Bancassurance!$AL$43:$AN$43,[1]Bancassurance!$BJ$43)/1000/W128</f>
        <v>0.15</v>
      </c>
      <c r="X139" s="135"/>
      <c r="Y139" s="73" t="e">
        <f>-SUM([1]Specials!$AL$41:$AN$41,[1]Specials!$BJ$41)/1000/Y128</f>
        <v>#DIV/0!</v>
      </c>
      <c r="Z139" s="42" t="e">
        <f>-SUM([1]Specials!$AL$42:$AN$42,[1]Specials!$BJ$42)/1000/Z128</f>
        <v>#DIV/0!</v>
      </c>
      <c r="AA139" s="42" t="e">
        <f>-SUM([1]Specials!$AL$43:$AN$43,[1]Specials!$BJ$43)/1000/AA128</f>
        <v>#DIV/0!</v>
      </c>
      <c r="AB139" s="135"/>
      <c r="AC139" s="85">
        <f>-SUM('[1]Total P&amp;C'!$AL$41:$AN$41,'[1]Total P&amp;C'!$BJ$41)/1000/AC128</f>
        <v>0.20796390977615811</v>
      </c>
      <c r="AD139" s="60">
        <f>-SUM('[1]Total P&amp;C'!$AL$42:$AN$42,'[1]Total P&amp;C'!$BJ$42)/1000/AD128</f>
        <v>0.2072951157975336</v>
      </c>
      <c r="AE139" s="60">
        <f>-SUM('[1]Total P&amp;C'!$AL$43:$AN$43,'[1]Total P&amp;C'!$BJ$43)/1000/AE128</f>
        <v>0.20949393937638797</v>
      </c>
      <c r="AG139" s="215"/>
      <c r="AH139" s="115"/>
      <c r="AI139" s="39" t="s">
        <v>59</v>
      </c>
      <c r="AJ139" s="135"/>
      <c r="AK139" s="74">
        <f>-SUM([2]Retail!$AL$41:$AN$41,[2]Retail!$BJ$41)/1000/AK128</f>
        <v>0.2190726125455589</v>
      </c>
      <c r="AL139" s="42">
        <f>-SUM([2]Retail!$AL$42:$AN$42,[2]Retail!$BJ$42)/1000/AL128</f>
        <v>0.21886062345110424</v>
      </c>
      <c r="AM139" s="42">
        <f>-SUM([2]Retail!$AL$43:$AN$43,[2]Retail!$BJ$43)/1000/AM128</f>
        <v>0.21936165722942005</v>
      </c>
      <c r="AN139" s="135"/>
      <c r="AO139" s="74">
        <f>-SUM([2]SME!$AL$41:$AN$41,[2]SME!$BJ$41)/1000/AO128</f>
        <v>0.23252546993535481</v>
      </c>
      <c r="AP139" s="42">
        <f>-SUM([2]SME!$AL$42:$AN$42,[2]SME!$BJ$42)/1000/AP128</f>
        <v>0.23202317672790637</v>
      </c>
      <c r="AQ139" s="42">
        <f>-SUM([2]SME!$AL$43:$AN$43,[2]SME!$BJ$43)/1000/AQ128</f>
        <v>0.2382655312060564</v>
      </c>
      <c r="AR139" s="135"/>
      <c r="AS139" s="74">
        <f>-SUM([2]MidCorp!$AL$41:$AN$41,[2]MidCorp!$BJ$41)/1000/AS128</f>
        <v>0.20878436970931552</v>
      </c>
      <c r="AT139" s="42">
        <f>-SUM([2]MidCorp!$AL$42:$AN$42,[2]MidCorp!$BJ$42)/1000/AT128</f>
        <v>0.21066715834690977</v>
      </c>
      <c r="AU139" s="42">
        <f>-SUM([2]MidCorp!$AL$43:$AN$43,[2]MidCorp!$BJ$43)/1000/AU128</f>
        <v>0.22145212001761377</v>
      </c>
      <c r="AV139" s="135"/>
      <c r="AW139" s="97"/>
      <c r="AX139" s="42"/>
      <c r="AY139" s="42"/>
      <c r="AZ139" s="135"/>
      <c r="BA139" s="97"/>
      <c r="BB139" s="42"/>
      <c r="BC139" s="42"/>
      <c r="BD139" s="135"/>
      <c r="BE139" s="97"/>
      <c r="BF139" s="42"/>
      <c r="BG139" s="42"/>
      <c r="BH139" s="135"/>
      <c r="BI139" s="85">
        <f>-SUM('[2]Total P&amp;C'!$AL$41:$AN$41,'[2]Total P&amp;C'!$BJ$41)/1000/BI128</f>
        <v>0.21657592418586175</v>
      </c>
      <c r="BJ139" s="60">
        <f>-SUM('[2]Total P&amp;C'!$AL$42:$AN$42,'[2]Total P&amp;C'!$BJ$42)/1000/BJ128</f>
        <v>0.21741787141188434</v>
      </c>
      <c r="BK139" s="60">
        <f>-SUM('[2]Total P&amp;C'!$AL$43:$AN$43,'[2]Total P&amp;C'!$BJ$43)/1000/BK128</f>
        <v>0.22492392105630876</v>
      </c>
      <c r="BM139" s="85">
        <f>-SUM('[3]Total P&amp;C'!$AL$41:$AN$41,'[3]Total P&amp;C'!$BJ$41)/1000/BM128</f>
        <v>0.21060541256433227</v>
      </c>
      <c r="BN139" s="60">
        <f>-SUM('[3]Total P&amp;C'!$AL$42:$AN$42,'[3]Total P&amp;C'!$BJ$42)/1000/BN128</f>
        <v>0.21039740852185468</v>
      </c>
      <c r="BO139" s="60">
        <f>-SUM('[3]Total P&amp;C'!$AL$43:$AN$43,'[3]Total P&amp;C'!$BJ$43)/1000/BO128</f>
        <v>0.21398722699406464</v>
      </c>
    </row>
    <row r="140" spans="1:67" ht="14.5" hidden="1" outlineLevel="1" x14ac:dyDescent="0.3">
      <c r="A140" s="216"/>
      <c r="B140" s="115"/>
      <c r="C140" s="39" t="s">
        <v>60</v>
      </c>
      <c r="D140" s="135"/>
      <c r="E140" s="74">
        <f>-SUM([1]Retail!$AO$41:$AP$41)/1000/E128</f>
        <v>9.1060361274967611E-3</v>
      </c>
      <c r="F140" s="42">
        <f>-SUM([1]Retail!$AO$42:$AP$42)/1000/F128</f>
        <v>5.3940666002888327E-2</v>
      </c>
      <c r="G140" s="42" t="e">
        <f>-SUM([1]Retail!$AO$43:$AP$43)/1000/G128</f>
        <v>#DIV/0!</v>
      </c>
      <c r="H140" s="135"/>
      <c r="I140" s="74">
        <f>-SUM([1]SME!$AO$41:$AP$41)/1000/I128</f>
        <v>5.8080814403075526E-2</v>
      </c>
      <c r="J140" s="42">
        <f>-SUM([1]SME!$AO$42:$AP$42)/1000/J128</f>
        <v>0.11019473407373255</v>
      </c>
      <c r="K140" s="42">
        <f>-SUM([1]SME!$AO$43:$AP$43)/1000/K128</f>
        <v>6.6483956206675271E-2</v>
      </c>
      <c r="L140" s="135"/>
      <c r="M140" s="97">
        <f>-SUM([1]MidCorp!$AO$41:$AP$41)/1000/M128</f>
        <v>5.9794429156510169E-2</v>
      </c>
      <c r="N140" s="42">
        <f>-SUM([1]MidCorp!$AO$42:$AP$42)/1000/N128</f>
        <v>4.126085564105661E-2</v>
      </c>
      <c r="O140" s="42">
        <f>-SUM([1]MidCorp!$AO$43:$AP$43)/1000/O128</f>
        <v>5.6889466660822792E-2</v>
      </c>
      <c r="P140" s="135"/>
      <c r="Q140" s="73">
        <f>-SUM([1]MGA!$AO$41:$AP$41)/1000/Q128</f>
        <v>4.2088495149681097E-2</v>
      </c>
      <c r="R140" s="42">
        <f>-SUM([1]MGA!$AO$42:$AP$42)/1000/R128</f>
        <v>3.9843201922457647E-2</v>
      </c>
      <c r="S140" s="42">
        <f>-SUM([1]MGA!$AO$43:$AP$43)/1000/S128</f>
        <v>3.3641106115087707E-2</v>
      </c>
      <c r="T140" s="135"/>
      <c r="U140" s="73">
        <f>-SUM([1]Bancassurance!$AO$41:$AP$41)/1000/U128</f>
        <v>0.15116308019434668</v>
      </c>
      <c r="V140" s="42">
        <f>-SUM([1]Bancassurance!$AO$42:$AP$42)/1000/V128</f>
        <v>7.8855999449083281E-2</v>
      </c>
      <c r="W140" s="42">
        <f>-SUM([1]Bancassurance!$AO$43:$AP$43)/1000/W128</f>
        <v>0.13071984914493379</v>
      </c>
      <c r="X140" s="135"/>
      <c r="Y140" s="74" t="e">
        <f>-SUM([1]Specials!$AO$41:$AP$41)/1000/Y128</f>
        <v>#DIV/0!</v>
      </c>
      <c r="Z140" s="42" t="e">
        <f>-SUM([1]Specials!$AO$42:$AP$42)/1000/Z128</f>
        <v>#DIV/0!</v>
      </c>
      <c r="AA140" s="42" t="e">
        <f>-SUM([1]Specials!$AO$43:$AP$43)/1000/AA128</f>
        <v>#DIV/0!</v>
      </c>
      <c r="AB140" s="135"/>
      <c r="AC140" s="99">
        <f>-SUM('[1]Total P&amp;C'!$AO$41:$AP$41)/1000/AC128</f>
        <v>5.9900685657735223E-2</v>
      </c>
      <c r="AD140" s="60">
        <f>-SUM('[1]Total P&amp;C'!$AO$42:$AP$42)/1000/AD128</f>
        <v>5.8779599485784449E-2</v>
      </c>
      <c r="AE140" s="60">
        <f>-SUM('[1]Total P&amp;C'!$AO$43:$AP$43)/1000/AE128</f>
        <v>5.9753198842166982E-2</v>
      </c>
      <c r="AG140" s="215"/>
      <c r="AH140" s="115"/>
      <c r="AI140" s="39" t="s">
        <v>60</v>
      </c>
      <c r="AJ140" s="135"/>
      <c r="AK140" s="73">
        <f>-SUM([2]Retail!$AO$41:$AP$41)/1000/AK128</f>
        <v>0.1678809803472831</v>
      </c>
      <c r="AL140" s="42">
        <f>-SUM([2]Retail!$AO$42:$AP$42)/1000/AL128</f>
        <v>0.14699480198197584</v>
      </c>
      <c r="AM140" s="42">
        <f>-SUM([2]Retail!$AO$43:$AP$43)/1000/AM128</f>
        <v>0.15784011461937195</v>
      </c>
      <c r="AN140" s="135"/>
      <c r="AO140" s="74">
        <f>-SUM([2]SME!$AO$41:$AP$41)/1000/AO128</f>
        <v>0.24925101127366386</v>
      </c>
      <c r="AP140" s="42">
        <f>-SUM([2]SME!$AO$42:$AP$42)/1000/AP128</f>
        <v>0.22513175472149394</v>
      </c>
      <c r="AQ140" s="42">
        <f>-SUM([2]SME!$AO$43:$AP$43)/1000/AQ128</f>
        <v>0.27659298359246726</v>
      </c>
      <c r="AR140" s="135"/>
      <c r="AS140" s="97">
        <f>-SUM([2]MidCorp!$AO$41:$AP$41)/1000/AS128</f>
        <v>8.1720045222211851E-2</v>
      </c>
      <c r="AT140" s="42">
        <f>-SUM([2]MidCorp!$AO$42:$AP$42)/1000/AT128</f>
        <v>7.5824545682767169E-2</v>
      </c>
      <c r="AU140" s="42">
        <f>-SUM([2]MidCorp!$AO$43:$AP$43)/1000/AU128</f>
        <v>7.6921401019488508E-2</v>
      </c>
      <c r="AV140" s="135"/>
      <c r="AW140" s="97"/>
      <c r="AX140" s="42"/>
      <c r="AY140" s="42"/>
      <c r="AZ140" s="135"/>
      <c r="BA140" s="97"/>
      <c r="BB140" s="42"/>
      <c r="BC140" s="42"/>
      <c r="BD140" s="135"/>
      <c r="BE140" s="97"/>
      <c r="BF140" s="42"/>
      <c r="BG140" s="42"/>
      <c r="BH140" s="135"/>
      <c r="BI140" s="85">
        <f>-SUM('[2]Total P&amp;C'!$AO$41:$AP$41)/1000/BI128</f>
        <v>0.1397440178203444</v>
      </c>
      <c r="BJ140" s="60">
        <f>-SUM('[2]Total P&amp;C'!$AO$42:$AP$42)/1000/BJ128</f>
        <v>0.1261065190375151</v>
      </c>
      <c r="BK140" s="60">
        <f>-SUM('[2]Total P&amp;C'!$AO$43:$AP$43)/1000/BK128</f>
        <v>0.14241354636962722</v>
      </c>
      <c r="BM140" s="99">
        <f>-SUM('[3]Total P&amp;C'!$AO$41:$AP$41)/1000/BM128</f>
        <v>8.4390471030947642E-2</v>
      </c>
      <c r="BN140" s="60">
        <f>-SUM('[3]Total P&amp;C'!$AO$42:$AP$42)/1000/BN128</f>
        <v>7.9413093035720486E-2</v>
      </c>
      <c r="BO140" s="60">
        <f>-SUM('[3]Total P&amp;C'!$AO$43:$AP$43)/1000/BO128</f>
        <v>8.3824304286272092E-2</v>
      </c>
    </row>
    <row r="141" spans="1:67" ht="14.5" hidden="1" outlineLevel="1" x14ac:dyDescent="0.3">
      <c r="A141" s="216"/>
      <c r="B141" s="115"/>
      <c r="C141" s="39" t="s">
        <v>61</v>
      </c>
      <c r="D141" s="135"/>
      <c r="E141" s="73">
        <f>-SUM([1]Retail!$AQ$41:$AR$41)/1000/E128</f>
        <v>0.16951699712128437</v>
      </c>
      <c r="F141" s="42">
        <f>-SUM([1]Retail!$AQ$42:$AR$42)/1000/F128</f>
        <v>0.30508676134872365</v>
      </c>
      <c r="G141" s="42" t="e">
        <f>-SUM([1]Retail!$AQ$43:$AR$43)/1000/G128</f>
        <v>#DIV/0!</v>
      </c>
      <c r="H141" s="135"/>
      <c r="I141" s="74">
        <f>-SUM([1]SME!$AQ$41:$AR$41)/1000/I128</f>
        <v>8.1846240976658352E-2</v>
      </c>
      <c r="J141" s="42">
        <f>-SUM([1]SME!$AQ$42:$AR$42)/1000/J128</f>
        <v>7.5627471850134215E-2</v>
      </c>
      <c r="K141" s="42">
        <f>-SUM([1]SME!$AQ$43:$AR$43)/1000/K128</f>
        <v>0.10574149833041244</v>
      </c>
      <c r="L141" s="135"/>
      <c r="M141" s="74">
        <f>-SUM([1]MidCorp!$AQ$41:$AR$41)/1000/M128</f>
        <v>5.2231537138432836E-2</v>
      </c>
      <c r="N141" s="42">
        <f>-SUM([1]MidCorp!$AQ$42:$AR$42)/1000/N128</f>
        <v>4.6171452334819389E-2</v>
      </c>
      <c r="O141" s="42">
        <f>-SUM([1]MidCorp!$AQ$43:$AR$43)/1000/O128</f>
        <v>6.1961160925990369E-2</v>
      </c>
      <c r="P141" s="135"/>
      <c r="Q141" s="73">
        <f>-SUM([1]MGA!$AQ$41:$AR$41)/1000/Q128</f>
        <v>6.1467763685712787E-2</v>
      </c>
      <c r="R141" s="42">
        <f>-SUM([1]MGA!$AQ$42:$AR$42)/1000/R128</f>
        <v>8.1141337410072067E-2</v>
      </c>
      <c r="S141" s="42">
        <f>-SUM([1]MGA!$AQ$43:$AR$43)/1000/S128</f>
        <v>5.1814261743732451E-2</v>
      </c>
      <c r="T141" s="135"/>
      <c r="U141" s="74">
        <f>-SUM([1]Bancassurance!$AQ$41:$AR$41)/1000/U128</f>
        <v>0.15515923714177204</v>
      </c>
      <c r="V141" s="42">
        <f>-SUM([1]Bancassurance!$AQ$42:$AR$42)/1000/V128</f>
        <v>0.26646269256961358</v>
      </c>
      <c r="W141" s="42">
        <f>-SUM([1]Bancassurance!$AQ$43:$AR$43)/1000/W128</f>
        <v>0.15854975167681387</v>
      </c>
      <c r="X141" s="135"/>
      <c r="Y141" s="74" t="e">
        <f>-SUM([1]Specials!$AQ$41:$AR$41)/1000/Y128</f>
        <v>#DIV/0!</v>
      </c>
      <c r="Z141" s="42" t="e">
        <f>-SUM([1]Specials!$AQ$42:$AR$42)/1000/Z128</f>
        <v>#DIV/0!</v>
      </c>
      <c r="AA141" s="42" t="e">
        <f>-SUM([1]Specials!$AQ$43:$AR$43)/1000/AA128</f>
        <v>#DIV/0!</v>
      </c>
      <c r="AB141" s="135"/>
      <c r="AC141" s="85">
        <f>-SUM('[1]Total P&amp;C'!$AQ$41:$AR$41)/1000/AC128</f>
        <v>6.3579919520707753E-2</v>
      </c>
      <c r="AD141" s="60">
        <f>-SUM('[1]Total P&amp;C'!$AQ$42:$AR$42)/1000/AD128</f>
        <v>6.1172580278319393E-2</v>
      </c>
      <c r="AE141" s="60">
        <f>-SUM('[1]Total P&amp;C'!$AQ$43:$AR$43)/1000/AE128</f>
        <v>7.5954749643993444E-2</v>
      </c>
      <c r="AG141" s="215"/>
      <c r="AH141" s="115"/>
      <c r="AI141" s="39" t="s">
        <v>61</v>
      </c>
      <c r="AJ141" s="135"/>
      <c r="AK141" s="97">
        <f>-SUM([2]Retail!$AQ$41:$AR$41)/1000/AK128</f>
        <v>0.1284763063680025</v>
      </c>
      <c r="AL141" s="42">
        <f>-SUM([2]Retail!$AQ$42:$AR$42)/1000/AL128</f>
        <v>0.10322554921240766</v>
      </c>
      <c r="AM141" s="42">
        <f>-SUM([2]Retail!$AQ$43:$AR$43)/1000/AM128</f>
        <v>0.12422539224922378</v>
      </c>
      <c r="AN141" s="135"/>
      <c r="AO141" s="74">
        <f>-SUM([2]SME!$AQ$41:$AR$41)/1000/AO128</f>
        <v>8.0523529617643946E-2</v>
      </c>
      <c r="AP141" s="42">
        <f>-SUM([2]SME!$AQ$42:$AR$42)/1000/AP128</f>
        <v>8.5874970830229713E-2</v>
      </c>
      <c r="AQ141" s="42">
        <f>-SUM([2]SME!$AQ$43:$AR$43)/1000/AQ128</f>
        <v>9.144400453804441E-2</v>
      </c>
      <c r="AR141" s="135"/>
      <c r="AS141" s="74">
        <f>-SUM([2]MidCorp!$AQ$41:$AR$41)/1000/AS128</f>
        <v>0.12020619961301411</v>
      </c>
      <c r="AT141" s="42">
        <f>-SUM([2]MidCorp!$AQ$42:$AR$42)/1000/AT128</f>
        <v>0.12691319586986138</v>
      </c>
      <c r="AU141" s="42">
        <f>-SUM([2]MidCorp!$AQ$43:$AR$43)/1000/AU128</f>
        <v>0.12950382757286696</v>
      </c>
      <c r="AV141" s="135"/>
      <c r="AW141" s="97"/>
      <c r="AX141" s="42"/>
      <c r="AY141" s="42"/>
      <c r="AZ141" s="135"/>
      <c r="BA141" s="97"/>
      <c r="BB141" s="42"/>
      <c r="BC141" s="42"/>
      <c r="BD141" s="135"/>
      <c r="BE141" s="97"/>
      <c r="BF141" s="42"/>
      <c r="BG141" s="42"/>
      <c r="BH141" s="135"/>
      <c r="BI141" s="85">
        <f>-SUM('[2]Total P&amp;C'!$AQ$41:$AR$41)/1000/BI128</f>
        <v>0.11289588953102689</v>
      </c>
      <c r="BJ141" s="60">
        <f>-SUM('[2]Total P&amp;C'!$AQ$42:$AR$42)/1000/BJ128</f>
        <v>0.11217609644065364</v>
      </c>
      <c r="BK141" s="60">
        <f>-SUM('[2]Total P&amp;C'!$AQ$43:$AR$43)/1000/BK128</f>
        <v>0.11934804440592507</v>
      </c>
      <c r="BM141" s="85">
        <f>-SUM('[3]Total P&amp;C'!$AQ$41:$AR$41)/1000/BM128</f>
        <v>7.8706261173944511E-2</v>
      </c>
      <c r="BN141" s="60">
        <f>-SUM('[3]Total P&amp;C'!$AQ$42:$AR$42)/1000/BN128</f>
        <v>7.6803485847242461E-2</v>
      </c>
      <c r="BO141" s="60">
        <f>-SUM('[3]Total P&amp;C'!$AQ$43:$AR$43)/1000/BO128</f>
        <v>8.8591093489929898E-2</v>
      </c>
    </row>
    <row r="142" spans="1:67" hidden="1" outlineLevel="1" x14ac:dyDescent="0.3">
      <c r="A142" s="216"/>
      <c r="B142" s="115"/>
      <c r="C142" s="116" t="s">
        <v>34</v>
      </c>
      <c r="D142" s="117"/>
      <c r="E142" s="120">
        <f>+[1]Retail!$BK$41/1000</f>
        <v>-0.81901931000000028</v>
      </c>
      <c r="F142" s="119">
        <f>+[1]Retail!$BK$42/1000</f>
        <v>0.20348385999999924</v>
      </c>
      <c r="G142" s="119">
        <f>+[1]Retail!$BK$43/1000</f>
        <v>-7.9168393425542286E-2</v>
      </c>
      <c r="H142" s="117"/>
      <c r="I142" s="121">
        <f>+[1]SME!$BK$41/1000</f>
        <v>0.25801820999999953</v>
      </c>
      <c r="J142" s="119">
        <f>+[1]SME!$BK$42/1000</f>
        <v>3.1176709100000028</v>
      </c>
      <c r="K142" s="119">
        <f>+[1]SME!$BK$43/1000</f>
        <v>0.62650980936666589</v>
      </c>
      <c r="L142" s="117"/>
      <c r="M142" s="118">
        <f>+[1]MidCorp!$BK$41/1000</f>
        <v>2.9461664699999965</v>
      </c>
      <c r="N142" s="119">
        <f>+[1]MidCorp!$BK$42/1000</f>
        <v>-3.9785532700000035</v>
      </c>
      <c r="O142" s="119">
        <f>+[1]MidCorp!$BK$43/1000</f>
        <v>1.747967805186835</v>
      </c>
      <c r="P142" s="117"/>
      <c r="Q142" s="118">
        <f>+[1]MGA!$BK$41/1000</f>
        <v>0.72022348999999986</v>
      </c>
      <c r="R142" s="119">
        <f>+[1]MGA!$BK$42/1000</f>
        <v>0.74686085999999929</v>
      </c>
      <c r="S142" s="119">
        <f>+[1]MGA!$BK$43/1000</f>
        <v>3.4760811757583623E-2</v>
      </c>
      <c r="T142" s="117"/>
      <c r="U142" s="118">
        <f>+[1]Bancassurance!$BK$41/1000</f>
        <v>0.27072947999999963</v>
      </c>
      <c r="V142" s="119">
        <f>+[1]Bancassurance!$BK$42/1000</f>
        <v>-1.0305820000000182E-2</v>
      </c>
      <c r="W142" s="119">
        <f>+[1]Bancassurance!$BK$43/1000</f>
        <v>9.2337735617841171E-2</v>
      </c>
      <c r="X142" s="117"/>
      <c r="Y142" s="121">
        <f>+[1]Specials!$BK$41/1000</f>
        <v>-1.005578E-2</v>
      </c>
      <c r="Z142" s="119">
        <f>+[1]Specials!$BK$42/1000</f>
        <v>8.9694499999970981E-3</v>
      </c>
      <c r="AA142" s="119">
        <f>+[1]Specials!$BK$43/1000</f>
        <v>0</v>
      </c>
      <c r="AB142" s="117"/>
      <c r="AC142" s="122">
        <f>+'[1]Total P&amp;C'!$BK$41/1000</f>
        <v>3.366062559999996</v>
      </c>
      <c r="AD142" s="123">
        <f>+'[1]Total P&amp;C'!$BK$42/1000</f>
        <v>8.8125989999983514E-2</v>
      </c>
      <c r="AE142" s="123">
        <f>+'[1]Total P&amp;C'!$BK$43/1000</f>
        <v>2.4224077685033798</v>
      </c>
      <c r="AG142" s="215"/>
      <c r="AH142" s="115"/>
      <c r="AI142" s="116" t="s">
        <v>34</v>
      </c>
      <c r="AJ142" s="117"/>
      <c r="AK142" s="121">
        <f>+[2]Retail!$BK$41/1000</f>
        <v>-0.37028260999999896</v>
      </c>
      <c r="AL142" s="119">
        <f>+[2]Retail!$BK$42/1000</f>
        <v>-2.0490384199999983</v>
      </c>
      <c r="AM142" s="119">
        <f>+[2]Retail!$BK$43/1000</f>
        <v>6.6590040374357243E-2</v>
      </c>
      <c r="AN142" s="117"/>
      <c r="AO142" s="120">
        <f>+[2]SME!$BK$41/1000</f>
        <v>-1.0825699499999979</v>
      </c>
      <c r="AP142" s="119">
        <f>+[2]SME!$BK$42/1000</f>
        <v>-2.1569964599999967</v>
      </c>
      <c r="AQ142" s="119">
        <f>+[2]SME!$BK$43/1000</f>
        <v>-0.2127532324528113</v>
      </c>
      <c r="AR142" s="117"/>
      <c r="AS142" s="118">
        <f>+[2]MidCorp!$BK$41/1000</f>
        <v>0.14545814000000729</v>
      </c>
      <c r="AT142" s="119">
        <f>+[2]MidCorp!$BK$42/1000</f>
        <v>2.6610201199999919</v>
      </c>
      <c r="AU142" s="119">
        <f>+[2]MidCorp!$BK$43/1000</f>
        <v>-0.18880975922853716</v>
      </c>
      <c r="AV142" s="117"/>
      <c r="AW142" s="121"/>
      <c r="AX142" s="119"/>
      <c r="AY142" s="119"/>
      <c r="AZ142" s="117"/>
      <c r="BA142" s="121"/>
      <c r="BB142" s="119"/>
      <c r="BC142" s="119"/>
      <c r="BD142" s="117"/>
      <c r="BE142" s="121"/>
      <c r="BF142" s="119"/>
      <c r="BG142" s="119"/>
      <c r="BH142" s="117"/>
      <c r="BI142" s="125">
        <f>+'[2]Total P&amp;C'!$BK$41/1000</f>
        <v>-1.3073944199999887</v>
      </c>
      <c r="BJ142" s="123">
        <f>+'[2]Total P&amp;C'!$BK$42/1000</f>
        <v>-1.5450147600000028</v>
      </c>
      <c r="BK142" s="123">
        <f>+'[2]Total P&amp;C'!$BK$43/1000</f>
        <v>-0.33497295130699117</v>
      </c>
      <c r="BM142" s="125">
        <f>+'[3]Total P&amp;C'!$BK$41/1000</f>
        <v>2.0586681400000142</v>
      </c>
      <c r="BN142" s="123">
        <f>+'[3]Total P&amp;C'!$BK$42/1000</f>
        <v>-1.4568887700000106</v>
      </c>
      <c r="BO142" s="123">
        <f>+'[3]Total P&amp;C'!$BK$43/1000</f>
        <v>2.0874348171963844</v>
      </c>
    </row>
    <row r="143" spans="1:67" ht="17.5" hidden="1" outlineLevel="1" x14ac:dyDescent="0.35">
      <c r="AG143" s="153"/>
    </row>
    <row r="144" spans="1:67" hidden="1" outlineLevel="1" x14ac:dyDescent="0.3">
      <c r="A144" s="216" t="s">
        <v>65</v>
      </c>
      <c r="B144" s="115"/>
      <c r="C144" s="116" t="s">
        <v>19</v>
      </c>
      <c r="D144" s="117"/>
      <c r="E144" s="121">
        <f>+[1]Retail!$C$45/1000</f>
        <v>0</v>
      </c>
      <c r="F144" s="119">
        <f>+[1]Retail!$C$46/1000</f>
        <v>0</v>
      </c>
      <c r="G144" s="119">
        <f>+[1]Retail!$C$47/1000</f>
        <v>0</v>
      </c>
      <c r="H144" s="117"/>
      <c r="I144" s="121">
        <f>+[1]SME!$C$45/1000</f>
        <v>0</v>
      </c>
      <c r="J144" s="119">
        <f>+[1]SME!$C$46/1000</f>
        <v>0</v>
      </c>
      <c r="K144" s="119">
        <f>+[1]SME!$C$47/1000</f>
        <v>0</v>
      </c>
      <c r="L144" s="117"/>
      <c r="M144" s="121">
        <f>+[1]MidCorp!$C$45/1000</f>
        <v>14.84662047</v>
      </c>
      <c r="N144" s="119">
        <f>+[1]MidCorp!$C$46/1000</f>
        <v>14.408480090000001</v>
      </c>
      <c r="O144" s="119">
        <f>+[1]MidCorp!$C$47/1000</f>
        <v>15.67407</v>
      </c>
      <c r="P144" s="117"/>
      <c r="Q144" s="121">
        <f>+[1]MGA!$C$45/1000</f>
        <v>0</v>
      </c>
      <c r="R144" s="119">
        <f>+[1]MGA!$C$46/1000</f>
        <v>0</v>
      </c>
      <c r="S144" s="119">
        <f>+[1]MGA!$C$47/1000</f>
        <v>0</v>
      </c>
      <c r="T144" s="117"/>
      <c r="U144" s="121">
        <f>+[1]Bancassurance!$C$45/1000</f>
        <v>0</v>
      </c>
      <c r="V144" s="119">
        <f>+[1]Bancassurance!$C$46/1000</f>
        <v>0</v>
      </c>
      <c r="W144" s="119">
        <f>+[1]Bancassurance!$C$47/1000</f>
        <v>0</v>
      </c>
      <c r="X144" s="117"/>
      <c r="Y144" s="121">
        <f>+[1]Specials!$C$45/1000</f>
        <v>0</v>
      </c>
      <c r="Z144" s="119">
        <f>+[1]Specials!$C$46/1000</f>
        <v>0</v>
      </c>
      <c r="AA144" s="119">
        <f>+[1]Specials!$C$47/1000</f>
        <v>0</v>
      </c>
      <c r="AB144" s="117"/>
      <c r="AC144" s="124">
        <f>+'[1]Total P&amp;C'!$C$45/1000</f>
        <v>14.84662047</v>
      </c>
      <c r="AD144" s="123">
        <f>+'[1]Total P&amp;C'!$C$46/1000</f>
        <v>14.408480090000001</v>
      </c>
      <c r="AE144" s="123">
        <f>+'[1]Total P&amp;C'!$C$47/1000</f>
        <v>15.67407</v>
      </c>
      <c r="AG144" s="215" t="s">
        <v>65</v>
      </c>
      <c r="AH144" s="115"/>
      <c r="AI144" s="116" t="s">
        <v>19</v>
      </c>
      <c r="AJ144" s="117"/>
      <c r="AK144" s="121">
        <f>+[2]Retail!$C$45/1000</f>
        <v>0</v>
      </c>
      <c r="AL144" s="119">
        <f>+[2]Retail!$C$46/1000</f>
        <v>0</v>
      </c>
      <c r="AM144" s="119">
        <f>+[2]Retail!$C$47/1000</f>
        <v>0</v>
      </c>
      <c r="AN144" s="117"/>
      <c r="AO144" s="121">
        <f>+[2]SME!$C$45/1000</f>
        <v>0</v>
      </c>
      <c r="AP144" s="119">
        <f>+[2]SME!$C$46/1000</f>
        <v>0</v>
      </c>
      <c r="AQ144" s="119">
        <f>+[2]SME!$C$47/1000</f>
        <v>0</v>
      </c>
      <c r="AR144" s="117"/>
      <c r="AS144" s="118">
        <f>+[2]MidCorp!$C$45/1000</f>
        <v>5.9281893200000004</v>
      </c>
      <c r="AT144" s="119">
        <f>+[2]MidCorp!$C$46/1000</f>
        <v>4.9159755299999999</v>
      </c>
      <c r="AU144" s="119">
        <f>+[2]MidCorp!$C$47/1000</f>
        <v>4.8998894861386102</v>
      </c>
      <c r="AV144" s="117"/>
      <c r="AW144" s="121"/>
      <c r="AX144" s="119"/>
      <c r="AY144" s="119"/>
      <c r="AZ144" s="117"/>
      <c r="BA144" s="121"/>
      <c r="BB144" s="119"/>
      <c r="BC144" s="119"/>
      <c r="BD144" s="117"/>
      <c r="BE144" s="121"/>
      <c r="BF144" s="119"/>
      <c r="BG144" s="119"/>
      <c r="BH144" s="117"/>
      <c r="BI144" s="122">
        <f>+'[2]Total P&amp;C'!$C$45/1000</f>
        <v>5.9281893200000004</v>
      </c>
      <c r="BJ144" s="123">
        <f>+'[2]Total P&amp;C'!$C$46/1000</f>
        <v>4.9159755299999999</v>
      </c>
      <c r="BK144" s="123">
        <f>+'[2]Total P&amp;C'!$C$47/1000</f>
        <v>4.8998894861386102</v>
      </c>
      <c r="BM144" s="122">
        <f>+'[3]Total P&amp;C'!$C$45/1000</f>
        <v>20.774809789999999</v>
      </c>
      <c r="BN144" s="123">
        <f>+'[3]Total P&amp;C'!$C$46/1000</f>
        <v>19.324455620000002</v>
      </c>
      <c r="BO144" s="123">
        <f>+'[3]Total P&amp;C'!$C$47/1000</f>
        <v>20.573959486138609</v>
      </c>
    </row>
    <row r="145" spans="1:67" hidden="1" outlineLevel="1" x14ac:dyDescent="0.3">
      <c r="A145" s="216"/>
      <c r="B145" s="115"/>
      <c r="C145" s="116" t="s">
        <v>55</v>
      </c>
      <c r="D145" s="117"/>
      <c r="E145" s="121">
        <f>+[1]Retail!$N$45/1000</f>
        <v>0</v>
      </c>
      <c r="F145" s="119">
        <f>+[1]Retail!$N$46/1000</f>
        <v>0</v>
      </c>
      <c r="G145" s="119">
        <f>+[1]Retail!$N$47/1000</f>
        <v>0</v>
      </c>
      <c r="H145" s="117"/>
      <c r="I145" s="121">
        <f>+[1]SME!$N$45/1000</f>
        <v>0</v>
      </c>
      <c r="J145" s="119">
        <f>+[1]SME!$N$46/1000</f>
        <v>0</v>
      </c>
      <c r="K145" s="119">
        <f>+[1]SME!$N$47/1000</f>
        <v>0</v>
      </c>
      <c r="L145" s="117"/>
      <c r="M145" s="121">
        <f>+[1]MidCorp!$N$45/1000</f>
        <v>5.9122976300000012</v>
      </c>
      <c r="N145" s="119">
        <f>+[1]MidCorp!$N$46/1000</f>
        <v>5.9173515700000019</v>
      </c>
      <c r="O145" s="119">
        <f>+[1]MidCorp!$N$47/1000</f>
        <v>6.9978755012949225</v>
      </c>
      <c r="P145" s="117"/>
      <c r="Q145" s="121">
        <f>+[1]MGA!$N$45/1000</f>
        <v>0</v>
      </c>
      <c r="R145" s="119">
        <f>+[1]MGA!$N$46/1000</f>
        <v>0</v>
      </c>
      <c r="S145" s="119">
        <f>+[1]MGA!$N$47/1000</f>
        <v>0</v>
      </c>
      <c r="T145" s="117"/>
      <c r="U145" s="121">
        <f>+[1]Bancassurance!$N$45/1000</f>
        <v>0</v>
      </c>
      <c r="V145" s="119">
        <f>+[1]Bancassurance!$N$46/1000</f>
        <v>0</v>
      </c>
      <c r="W145" s="119">
        <f>+[1]Bancassurance!$N$47/1000</f>
        <v>0</v>
      </c>
      <c r="X145" s="117"/>
      <c r="Y145" s="121">
        <f>+[1]Specials!$N$45/1000</f>
        <v>0</v>
      </c>
      <c r="Z145" s="119">
        <f>+[1]Specials!$N$46/1000</f>
        <v>0</v>
      </c>
      <c r="AA145" s="119">
        <f>+[1]Specials!$N$47/1000</f>
        <v>0</v>
      </c>
      <c r="AB145" s="117"/>
      <c r="AC145" s="124">
        <f>+'[1]Total P&amp;C'!$N$45/1000</f>
        <v>5.9122976300000012</v>
      </c>
      <c r="AD145" s="123">
        <f>+'[1]Total P&amp;C'!$N$46/1000</f>
        <v>5.9173515700000019</v>
      </c>
      <c r="AE145" s="123">
        <f>+'[1]Total P&amp;C'!$N$47/1000</f>
        <v>6.9978755012949225</v>
      </c>
      <c r="AG145" s="215"/>
      <c r="AH145" s="115"/>
      <c r="AI145" s="116" t="s">
        <v>55</v>
      </c>
      <c r="AJ145" s="117"/>
      <c r="AK145" s="121">
        <f>+[2]Retail!$N$45/1000</f>
        <v>0</v>
      </c>
      <c r="AL145" s="119">
        <f>+[2]Retail!$N$46/1000</f>
        <v>0</v>
      </c>
      <c r="AM145" s="119">
        <f>+[2]Retail!$N$47/1000</f>
        <v>0</v>
      </c>
      <c r="AN145" s="117"/>
      <c r="AO145" s="121">
        <f>+[2]SME!$N$45/1000</f>
        <v>0</v>
      </c>
      <c r="AP145" s="119">
        <f>+[2]SME!$N$46/1000</f>
        <v>0</v>
      </c>
      <c r="AQ145" s="119">
        <f>+[2]SME!$N$47/1000</f>
        <v>0</v>
      </c>
      <c r="AR145" s="117"/>
      <c r="AS145" s="120">
        <f>+[2]MidCorp!$N$45/1000</f>
        <v>2.1760641500000006</v>
      </c>
      <c r="AT145" s="119">
        <f>+[2]MidCorp!$N$46/1000</f>
        <v>2.3070754900000003</v>
      </c>
      <c r="AU145" s="119">
        <f>+[2]MidCorp!$N$47/1000</f>
        <v>2.182891792640985</v>
      </c>
      <c r="AV145" s="117"/>
      <c r="AW145" s="121"/>
      <c r="AX145" s="119"/>
      <c r="AY145" s="119"/>
      <c r="AZ145" s="117"/>
      <c r="BA145" s="121"/>
      <c r="BB145" s="119"/>
      <c r="BC145" s="119"/>
      <c r="BD145" s="117"/>
      <c r="BE145" s="121"/>
      <c r="BF145" s="119"/>
      <c r="BG145" s="119"/>
      <c r="BH145" s="117"/>
      <c r="BI145" s="125">
        <f>+'[2]Total P&amp;C'!$N$45/1000</f>
        <v>2.1760641500000006</v>
      </c>
      <c r="BJ145" s="123">
        <f>+'[2]Total P&amp;C'!$N$46/1000</f>
        <v>2.3070754900000003</v>
      </c>
      <c r="BK145" s="123">
        <f>+'[2]Total P&amp;C'!$N$47/1000</f>
        <v>2.182891792640985</v>
      </c>
      <c r="BM145" s="124">
        <f>+'[3]Total P&amp;C'!$N$45/1000</f>
        <v>8.0883617800000014</v>
      </c>
      <c r="BN145" s="123">
        <f>+'[3]Total P&amp;C'!$N$46/1000</f>
        <v>8.2244270600000018</v>
      </c>
      <c r="BO145" s="123">
        <f>+'[3]Total P&amp;C'!$N$47/1000</f>
        <v>9.180767293935908</v>
      </c>
    </row>
    <row r="146" spans="1:67" hidden="1" outlineLevel="1" x14ac:dyDescent="0.3">
      <c r="A146" s="216"/>
      <c r="B146" s="115"/>
      <c r="C146" s="116" t="s">
        <v>21</v>
      </c>
      <c r="D146" s="117"/>
      <c r="E146" s="126" t="e">
        <f>+E147+E152+E153+E154+E155</f>
        <v>#DIV/0!</v>
      </c>
      <c r="F146" s="127" t="e">
        <f>+F147+F152+F153+F154+F155</f>
        <v>#DIV/0!</v>
      </c>
      <c r="G146" s="127" t="e">
        <f>+G147+G152+G153+G154+G155</f>
        <v>#DIV/0!</v>
      </c>
      <c r="H146" s="117"/>
      <c r="I146" s="126" t="e">
        <f>+I147+I152+I153+I154+I155</f>
        <v>#DIV/0!</v>
      </c>
      <c r="J146" s="127" t="e">
        <f>+J147+J152+J153+J154+J155</f>
        <v>#DIV/0!</v>
      </c>
      <c r="K146" s="127" t="e">
        <f>+K147+K152+K153+K154+K155</f>
        <v>#DIV/0!</v>
      </c>
      <c r="L146" s="117"/>
      <c r="M146" s="128">
        <f>+M147+M152+M153+M154+M155</f>
        <v>0.80091138442906828</v>
      </c>
      <c r="N146" s="127">
        <f>+N147+N152+N153+N154+N155</f>
        <v>0.29201241967105207</v>
      </c>
      <c r="O146" s="127">
        <f>+O147+O152+O153+O154+O155</f>
        <v>0.74793334543076417</v>
      </c>
      <c r="P146" s="117"/>
      <c r="Q146" s="126" t="e">
        <f>+Q147+Q152+Q153+Q154+Q155</f>
        <v>#DIV/0!</v>
      </c>
      <c r="R146" s="127" t="e">
        <f>+R147+R152+R153+R154+R155</f>
        <v>#DIV/0!</v>
      </c>
      <c r="S146" s="127" t="e">
        <f>+S147+S152+S153+S154+S155</f>
        <v>#DIV/0!</v>
      </c>
      <c r="T146" s="117"/>
      <c r="U146" s="126" t="e">
        <f>+U147+U152+U153+U154+U155</f>
        <v>#DIV/0!</v>
      </c>
      <c r="V146" s="127" t="e">
        <f>+V147+V152+V153+V154+V155</f>
        <v>#DIV/0!</v>
      </c>
      <c r="W146" s="127" t="e">
        <f>+W147+W152+W153+W154+W155</f>
        <v>#DIV/0!</v>
      </c>
      <c r="X146" s="117"/>
      <c r="Y146" s="126" t="e">
        <f>+Y147+Y152+Y153+Y154+Y155</f>
        <v>#DIV/0!</v>
      </c>
      <c r="Z146" s="127" t="e">
        <f>+Z147+Z152+Z153+Z154+Z155</f>
        <v>#DIV/0!</v>
      </c>
      <c r="AA146" s="127" t="e">
        <f>+AA147+AA152+AA153+AA154+AA155</f>
        <v>#DIV/0!</v>
      </c>
      <c r="AB146" s="117"/>
      <c r="AC146" s="129">
        <f>+AC147+AC152+AC153+AC154+AC155</f>
        <v>0.81479008018072319</v>
      </c>
      <c r="AD146" s="130">
        <f>+AD147+AD152+AD153+AD154+AD155</f>
        <v>0.31299836389474461</v>
      </c>
      <c r="AE146" s="130">
        <f>+AE147+AE152+AE153+AE154+AE155</f>
        <v>0.74920248163070424</v>
      </c>
      <c r="AG146" s="215"/>
      <c r="AH146" s="115"/>
      <c r="AI146" s="116" t="s">
        <v>21</v>
      </c>
      <c r="AJ146" s="117"/>
      <c r="AK146" s="126" t="e">
        <f>+AK147+AK152+AK153+AK154+AK155</f>
        <v>#DIV/0!</v>
      </c>
      <c r="AL146" s="127" t="e">
        <f>+AL147+AL152+AL153+AL154+AL155</f>
        <v>#DIV/0!</v>
      </c>
      <c r="AM146" s="127" t="e">
        <f>+AM147+AM152+AM153+AM154+AM155</f>
        <v>#DIV/0!</v>
      </c>
      <c r="AN146" s="117"/>
      <c r="AO146" s="126" t="e">
        <f>+AO147+AO152+AO153+AO154+AO155</f>
        <v>#DIV/0!</v>
      </c>
      <c r="AP146" s="127" t="e">
        <f>+AP147+AP152+AP153+AP154+AP155</f>
        <v>#DIV/0!</v>
      </c>
      <c r="AQ146" s="127" t="e">
        <f>+AQ147+AQ152+AQ153+AQ154+AQ155</f>
        <v>#DIV/0!</v>
      </c>
      <c r="AR146" s="117"/>
      <c r="AS146" s="128">
        <f>+AS147+AS152+AS153+AS154+AS155</f>
        <v>1.4028187174537112</v>
      </c>
      <c r="AT146" s="127">
        <f>+AT147+AT152+AT153+AT154+AT155</f>
        <v>1.409225187512178</v>
      </c>
      <c r="AU146" s="127">
        <f>+AU147+AU152+AU153+AU154+AU155</f>
        <v>0.92926059407721606</v>
      </c>
      <c r="AV146" s="117"/>
      <c r="AW146" s="131"/>
      <c r="AX146" s="127"/>
      <c r="AY146" s="127"/>
      <c r="AZ146" s="117"/>
      <c r="BA146" s="131"/>
      <c r="BB146" s="127"/>
      <c r="BC146" s="127"/>
      <c r="BD146" s="117"/>
      <c r="BE146" s="131"/>
      <c r="BF146" s="127"/>
      <c r="BG146" s="127"/>
      <c r="BH146" s="117"/>
      <c r="BI146" s="129">
        <f>+BI147+BI152+BI153+BI154+BI155</f>
        <v>1.4042576180486226</v>
      </c>
      <c r="BJ146" s="130">
        <f>+BJ147+BJ152+BJ153+BJ154+BJ155</f>
        <v>1.3924329238138626</v>
      </c>
      <c r="BK146" s="130">
        <f>+BK147+BK152+BK153+BK154+BK155</f>
        <v>0.92926059407721606</v>
      </c>
      <c r="BM146" s="129">
        <f>+BM147+BM152+BM153+BM154+BM155</f>
        <v>0.97337833471637847</v>
      </c>
      <c r="BN146" s="130">
        <f>+BN147+BN152+BN153+BN154+BN155</f>
        <v>0.61579599321049849</v>
      </c>
      <c r="BO146" s="130">
        <f>+BO147+BO152+BO153+BO154+BO155</f>
        <v>0.79201452154783991</v>
      </c>
    </row>
    <row r="147" spans="1:67" hidden="1" outlineLevel="1" x14ac:dyDescent="0.3">
      <c r="A147" s="216"/>
      <c r="B147" s="115"/>
      <c r="C147" s="116" t="s">
        <v>56</v>
      </c>
      <c r="D147" s="117"/>
      <c r="E147" s="128" t="e">
        <f>+E148+E149+E150+E151</f>
        <v>#DIV/0!</v>
      </c>
      <c r="F147" s="127" t="e">
        <f>+F148+F149+F150+F151</f>
        <v>#DIV/0!</v>
      </c>
      <c r="G147" s="127" t="e">
        <f>+G148+G149+G150+G151</f>
        <v>#DIV/0!</v>
      </c>
      <c r="H147" s="117"/>
      <c r="I147" s="126" t="e">
        <f>+I148+I149+I150+I151</f>
        <v>#DIV/0!</v>
      </c>
      <c r="J147" s="127" t="e">
        <f>+J148+J149+J150+J151</f>
        <v>#DIV/0!</v>
      </c>
      <c r="K147" s="127" t="e">
        <f>+K148+K149+K150+K151</f>
        <v>#DIV/0!</v>
      </c>
      <c r="L147" s="117"/>
      <c r="M147" s="128">
        <f>+M148+M149+M150+M151</f>
        <v>0.61426119205707153</v>
      </c>
      <c r="N147" s="127">
        <f>+N148+N149+N150+N151</f>
        <v>0.59645802150640148</v>
      </c>
      <c r="O147" s="127">
        <f>+O148+O149+O150+O151</f>
        <v>0.58026748907981318</v>
      </c>
      <c r="P147" s="117"/>
      <c r="Q147" s="128" t="e">
        <f>+Q148+Q149+Q150+Q151</f>
        <v>#DIV/0!</v>
      </c>
      <c r="R147" s="127" t="e">
        <f>+R148+R149+R150+R151</f>
        <v>#DIV/0!</v>
      </c>
      <c r="S147" s="127" t="e">
        <f>+S148+S149+S150+S151</f>
        <v>#DIV/0!</v>
      </c>
      <c r="T147" s="117"/>
      <c r="U147" s="128" t="e">
        <f>+U148+U149+U150+U151</f>
        <v>#DIV/0!</v>
      </c>
      <c r="V147" s="127" t="e">
        <f>+V148+V149+V150+V151</f>
        <v>#DIV/0!</v>
      </c>
      <c r="W147" s="127" t="e">
        <f>+W148+W149+W150+W151</f>
        <v>#DIV/0!</v>
      </c>
      <c r="X147" s="117"/>
      <c r="Y147" s="128" t="e">
        <f>+Y148+Y149+Y150+Y151</f>
        <v>#DIV/0!</v>
      </c>
      <c r="Z147" s="127" t="e">
        <f>+Z148+Z149+Z150+Z151</f>
        <v>#DIV/0!</v>
      </c>
      <c r="AA147" s="127" t="e">
        <f>+AA148+AA149+AA150+AA151</f>
        <v>#DIV/0!</v>
      </c>
      <c r="AB147" s="117"/>
      <c r="AC147" s="129">
        <f>+AC148+AC149+AC150+AC151</f>
        <v>0.62756571509069969</v>
      </c>
      <c r="AD147" s="130">
        <f>+AD148+AD149+AD150+AD151</f>
        <v>0.61694382644227408</v>
      </c>
      <c r="AE147" s="130">
        <f>+AE148+AE149+AE150+AE151</f>
        <v>0.58153662527975325</v>
      </c>
      <c r="AG147" s="215"/>
      <c r="AH147" s="115"/>
      <c r="AI147" s="116" t="s">
        <v>56</v>
      </c>
      <c r="AJ147" s="117"/>
      <c r="AK147" s="128" t="e">
        <f>+AK148+AK149+AK150+AK151</f>
        <v>#DIV/0!</v>
      </c>
      <c r="AL147" s="127" t="e">
        <f>+AL148+AL149+AL150+AL151</f>
        <v>#DIV/0!</v>
      </c>
      <c r="AM147" s="127" t="e">
        <f>+AM148+AM149+AM150+AM151</f>
        <v>#DIV/0!</v>
      </c>
      <c r="AN147" s="117"/>
      <c r="AO147" s="128" t="e">
        <f>+AO148+AO149+AO150+AO151</f>
        <v>#DIV/0!</v>
      </c>
      <c r="AP147" s="127" t="e">
        <f>+AP148+AP149+AP150+AP151</f>
        <v>#DIV/0!</v>
      </c>
      <c r="AQ147" s="127" t="e">
        <f>+AQ148+AQ149+AQ150+AQ151</f>
        <v>#DIV/0!</v>
      </c>
      <c r="AR147" s="117"/>
      <c r="AS147" s="126">
        <f>+AS148+AS149+AS150+AS151</f>
        <v>0.72797226589115016</v>
      </c>
      <c r="AT147" s="127">
        <f>+AT148+AT149+AT150+AT151</f>
        <v>0.66229187411635138</v>
      </c>
      <c r="AU147" s="127">
        <f>+AU148+AU149+AU150+AU151</f>
        <v>0.65792936519284884</v>
      </c>
      <c r="AV147" s="117"/>
      <c r="AW147" s="131"/>
      <c r="AX147" s="127"/>
      <c r="AY147" s="127"/>
      <c r="AZ147" s="117"/>
      <c r="BA147" s="131"/>
      <c r="BB147" s="127"/>
      <c r="BC147" s="127"/>
      <c r="BD147" s="117"/>
      <c r="BE147" s="131"/>
      <c r="BF147" s="127"/>
      <c r="BG147" s="127"/>
      <c r="BH147" s="117"/>
      <c r="BI147" s="132">
        <f>+BI148+BI149+BI150+BI151</f>
        <v>0.72797226589115016</v>
      </c>
      <c r="BJ147" s="130">
        <f>+BJ148+BJ149+BJ150+BJ151</f>
        <v>0.66229187411635138</v>
      </c>
      <c r="BK147" s="130">
        <f>+BK148+BK149+BK150+BK151</f>
        <v>0.65792936519284884</v>
      </c>
      <c r="BM147" s="129">
        <f>+BM148+BM149+BM150+BM151</f>
        <v>0.65457873720381499</v>
      </c>
      <c r="BN147" s="130">
        <f>+BN148+BN149+BN150+BN151</f>
        <v>0.62966463587312782</v>
      </c>
      <c r="BO147" s="130">
        <f>+BO148+BO149+BO150+BO151</f>
        <v>0.59970036689684014</v>
      </c>
    </row>
    <row r="148" spans="1:67" ht="14.5" hidden="1" outlineLevel="1" x14ac:dyDescent="0.3">
      <c r="A148" s="216"/>
      <c r="B148" s="115"/>
      <c r="C148" s="38" t="s">
        <v>23</v>
      </c>
      <c r="D148" s="117"/>
      <c r="E148" s="73" t="e">
        <f>-SUM([1]Retail!$O$45,[1]Retail!$R$45:$V$45,[1]Retail!$Y$45,[1]Retail!$AB$45,[1]Retail!$AU$45,[1]Retail!$AX$45,[1]Retail!$BA$45,[1]Retail!$BD$45)/1000/E145</f>
        <v>#DIV/0!</v>
      </c>
      <c r="F148" s="42" t="e">
        <f>-SUM([1]Retail!$O$46,[1]Retail!$R$46:$V$46,[1]Retail!$Y$46,[1]Retail!$AB$46,[1]Retail!$AU$46,[1]Retail!$AX$46,[1]Retail!$BA$46,[1]Retail!$BD$46)/1000/F145</f>
        <v>#DIV/0!</v>
      </c>
      <c r="G148" s="42" t="e">
        <f>-SUM([1]Retail!$O$47,[1]Retail!$R$47:$V$47,[1]Retail!$Y$47,[1]Retail!$AB$47,[1]Retail!$AU$47,[1]Retail!$AX$47,[1]Retail!$BA$47,[1]Retail!$BD$47)/1000/G145</f>
        <v>#DIV/0!</v>
      </c>
      <c r="H148" s="117"/>
      <c r="I148" s="74" t="e">
        <f>-SUM([1]SME!$O$45,[1]SME!$R$45:$V$45,[1]SME!$Y$45,[1]SME!$AB$45,[1]SME!$AU$45,[1]SME!$AX$45,[1]SME!$BA$45,[1]SME!$BD$45)/1000/I145</f>
        <v>#DIV/0!</v>
      </c>
      <c r="J148" s="42" t="e">
        <f>-SUM([1]SME!$O$46,[1]SME!$R$46:$V$46,[1]SME!$Y$46,[1]SME!$AB$46,[1]SME!$AU$46,[1]SME!$AX$46,[1]SME!$BA$46,[1]SME!$BD$46)/1000/J145</f>
        <v>#DIV/0!</v>
      </c>
      <c r="K148" s="42" t="e">
        <f>-SUM([1]SME!$O$47,[1]SME!$R$47:$V$47,[1]SME!$Y$47,[1]SME!$AB$47,[1]SME!$AU$47,[1]SME!$AX$47,[1]SME!$BA$47,[1]SME!$BD$47)/1000/K145</f>
        <v>#DIV/0!</v>
      </c>
      <c r="L148" s="117"/>
      <c r="M148" s="73">
        <f>-SUM([1]MidCorp!$O$45,[1]MidCorp!$R$45:$V$45,[1]MidCorp!$Y$45,[1]MidCorp!$AB$45,[1]MidCorp!$AU$45,[1]MidCorp!$AX$45,[1]MidCorp!$BA$45,[1]MidCorp!$BD$45)/1000/M145</f>
        <v>0.50785489847809984</v>
      </c>
      <c r="N148" s="42">
        <f>-SUM([1]MidCorp!$O$46,[1]MidCorp!$R$46:$V$46,[1]MidCorp!$Y$46,[1]MidCorp!$AB$46,[1]MidCorp!$AU$46,[1]MidCorp!$AX$46,[1]MidCorp!$BA$46,[1]MidCorp!$BD$46)/1000/N145</f>
        <v>0.56405198516876343</v>
      </c>
      <c r="O148" s="42">
        <f>-SUM([1]MidCorp!$O$47,[1]MidCorp!$R$47:$V$47,[1]MidCorp!$Y$47,[1]MidCorp!$AB$47,[1]MidCorp!$AU$47,[1]MidCorp!$AX$47,[1]MidCorp!$BA$47,[1]MidCorp!$BD$47)/1000/O145</f>
        <v>0.42614361484952967</v>
      </c>
      <c r="P148" s="117"/>
      <c r="Q148" s="73" t="e">
        <f>-SUM([1]MGA!$O$45,[1]MGA!$R$45:$V$45,[1]MGA!$Y$45,[1]MGA!$AB$45,[1]MGA!$AU$45,[1]MGA!$AX$45,[1]MGA!$BA$45,[1]MGA!$BD$45)/1000/Q145</f>
        <v>#DIV/0!</v>
      </c>
      <c r="R148" s="42" t="e">
        <f>-SUM([1]MGA!$O$46,[1]MGA!$R$46:$V$46,[1]MGA!$Y$46,[1]MGA!$AB$46,[1]MGA!$AU$46,[1]MGA!$AX$46,[1]MGA!$BA$46,[1]MGA!$BD$46)/1000/R145</f>
        <v>#DIV/0!</v>
      </c>
      <c r="S148" s="42" t="e">
        <f>-SUM([1]MGA!$O$47,[1]MGA!$R$47:$V$47,[1]MGA!$Y$47,[1]MGA!$AB$47,[1]MGA!$AU$47,[1]MGA!$AX$47,[1]MGA!$BA$47,[1]MGA!$BD$47)/1000/S145</f>
        <v>#DIV/0!</v>
      </c>
      <c r="T148" s="117"/>
      <c r="U148" s="73" t="e">
        <f>-SUM([1]Bancassurance!$O$45,[1]Bancassurance!$R$45:$V$45,[1]Bancassurance!$Y$45,[1]Bancassurance!$AB$45,[1]Bancassurance!$AU$45,[1]Bancassurance!$AX$45,[1]Bancassurance!$BA$45,[1]Bancassurance!$BD$45)/1000/U145</f>
        <v>#DIV/0!</v>
      </c>
      <c r="V148" s="42" t="e">
        <f>-SUM([1]Bancassurance!$O$46,[1]Bancassurance!$R$46:$V$46,[1]Bancassurance!$Y$46,[1]Bancassurance!$AB$46,[1]Bancassurance!$AU$46,[1]Bancassurance!$AX$46,[1]Bancassurance!$BA$46,[1]Bancassurance!$BD$46)/1000/V145</f>
        <v>#DIV/0!</v>
      </c>
      <c r="W148" s="42" t="e">
        <f>-SUM([1]Bancassurance!$O$47,[1]Bancassurance!$R$47:$V$47,[1]Bancassurance!$Y$47,[1]Bancassurance!$AB$47,[1]Bancassurance!$AU$47,[1]Bancassurance!$AX$47,[1]Bancassurance!$BA$47,[1]Bancassurance!$BD$47)/1000/W145</f>
        <v>#DIV/0!</v>
      </c>
      <c r="X148" s="117"/>
      <c r="Y148" s="73" t="e">
        <f>-SUM([1]Specials!$O$45,[1]Specials!$R$45:$V$45,[1]Specials!$Y$45,[1]Specials!$AB$45,[1]Specials!$AU$45,[1]Specials!$AX$45,[1]Specials!$BA$45,[1]Specials!$BD$45)/1000/Y145</f>
        <v>#DIV/0!</v>
      </c>
      <c r="Z148" s="42" t="e">
        <f>-SUM([1]Specials!$O$46,[1]Specials!$R$46:$V$46,[1]Specials!$Y$46,[1]Specials!$AB$46,[1]Specials!$AU$46,[1]Specials!$AX$46,[1]Specials!$BA$46,[1]Specials!$BD$46)/1000/Z145</f>
        <v>#DIV/0!</v>
      </c>
      <c r="AA148" s="42" t="e">
        <f>-SUM([1]Specials!$O$47,[1]Specials!$R$47:$V$47,[1]Specials!$Y$47,[1]Specials!$AB$47,[1]Specials!$AU$47,[1]Specials!$AX$47,[1]Specials!$BA$47,[1]Specials!$BD$47)/1000/AA145</f>
        <v>#DIV/0!</v>
      </c>
      <c r="AB148" s="117"/>
      <c r="AC148" s="84">
        <f>-SUM('[1]Total P&amp;C'!$O$45,'[1]Total P&amp;C'!$R$45:$V$45,'[1]Total P&amp;C'!$Y$45,'[1]Total P&amp;C'!$AB$45,'[1]Total P&amp;C'!$AU$45,'[1]Total P&amp;C'!$AX$45,'[1]Total P&amp;C'!$BA$45,'[1]Total P&amp;C'!$BD$45)/1000/AC145</f>
        <v>0.50374267146898699</v>
      </c>
      <c r="AD148" s="60">
        <f>-SUM('[1]Total P&amp;C'!$O$46,'[1]Total P&amp;C'!$R$46:$V$46,'[1]Total P&amp;C'!$Y$46,'[1]Total P&amp;C'!$AB$46,'[1]Total P&amp;C'!$AU$46,'[1]Total P&amp;C'!$AX$46,'[1]Total P&amp;C'!$BA$46,'[1]Total P&amp;C'!$BD$46)/1000/AD145</f>
        <v>0.56246574681720296</v>
      </c>
      <c r="AE148" s="60">
        <f>-SUM('[1]Total P&amp;C'!$O$47,'[1]Total P&amp;C'!$R$47:$V$47,'[1]Total P&amp;C'!$Y$47,'[1]Total P&amp;C'!$AB$47,'[1]Total P&amp;C'!$AU$47,'[1]Total P&amp;C'!$AX$47,'[1]Total P&amp;C'!$BA$47,'[1]Total P&amp;C'!$BD$47)/1000/AE145</f>
        <v>0.42614361484952967</v>
      </c>
      <c r="AG148" s="215"/>
      <c r="AH148" s="115"/>
      <c r="AI148" s="38" t="s">
        <v>23</v>
      </c>
      <c r="AJ148" s="117"/>
      <c r="AK148" s="73" t="e">
        <f>-SUM([2]Retail!$O$45,[2]Retail!$R$45:$V$45,[2]Retail!$Y$45,[2]Retail!$AB$45,[2]Retail!$AU$45,[2]Retail!$AX$45,[2]Retail!$BA$45,[2]Retail!$BD$45)/1000/AK145</f>
        <v>#DIV/0!</v>
      </c>
      <c r="AL148" s="42" t="e">
        <f>-SUM([2]Retail!$O$46,[2]Retail!$R$46:$V$46,[2]Retail!$Y$46,[2]Retail!$AB$46,[2]Retail!$AU$46,[2]Retail!$AX$46,[2]Retail!$BA$46,[2]Retail!$BD$46)/1000/AL145</f>
        <v>#DIV/0!</v>
      </c>
      <c r="AM148" s="42" t="e">
        <f>-SUM([2]Retail!$O$47,[2]Retail!$R$47:$V$47,[2]Retail!$Y$47,[2]Retail!$AB$47,[2]Retail!$AU$47,[2]Retail!$AX$47,[2]Retail!$BA$47,[2]Retail!$BD$47)/1000/AM145</f>
        <v>#DIV/0!</v>
      </c>
      <c r="AN148" s="117"/>
      <c r="AO148" s="73" t="e">
        <f>-SUM([2]SME!$O$45,[2]SME!$R$45:$V$45,[2]SME!$Y$45,[2]SME!$AB$45,[2]SME!$AU$45,[2]SME!$AX$45,[2]SME!$BA$45,[2]SME!$BD$45)/1000/AO145</f>
        <v>#DIV/0!</v>
      </c>
      <c r="AP148" s="42" t="e">
        <f>-SUM([2]SME!$O$46,[2]SME!$R$46:$V$46,[2]SME!$Y$46,[2]SME!$AB$46,[2]SME!$AU$46,[2]SME!$AX$46,[2]SME!$BA$46,[2]SME!$BD$46)/1000/AP145</f>
        <v>#DIV/0!</v>
      </c>
      <c r="AQ148" s="42" t="e">
        <f>-SUM([2]SME!$O$47,[2]SME!$R$47:$V$47,[2]SME!$Y$47,[2]SME!$AB$47,[2]SME!$AU$47,[2]SME!$AX$47,[2]SME!$BA$47,[2]SME!$BD$47)/1000/AQ145</f>
        <v>#DIV/0!</v>
      </c>
      <c r="AR148" s="117"/>
      <c r="AS148" s="97">
        <f>-SUM([2]MidCorp!$O$45,[2]MidCorp!$R$45:$V$45,[2]MidCorp!$Y$45,[2]MidCorp!$AB$45,[2]MidCorp!$AU$45,[2]MidCorp!$AX$45,[2]MidCorp!$BA$45,[2]MidCorp!$BD$45)/1000/AS145</f>
        <v>0.50749455290035861</v>
      </c>
      <c r="AT148" s="42">
        <f>-SUM([2]MidCorp!$O$46,[2]MidCorp!$R$46:$V$46,[2]MidCorp!$Y$46,[2]MidCorp!$AB$46,[2]MidCorp!$AU$46,[2]MidCorp!$AX$46,[2]MidCorp!$BA$46,[2]MidCorp!$BD$46)/1000/AT145</f>
        <v>0.55634062498752468</v>
      </c>
      <c r="AU148" s="42">
        <f>-SUM([2]MidCorp!$O$47,[2]MidCorp!$R$47:$V$47,[2]MidCorp!$Y$47,[2]MidCorp!$AB$47,[2]MidCorp!$AU$47,[2]MidCorp!$AX$47,[2]MidCorp!$BA$47,[2]MidCorp!$BD$47)/1000/AU145</f>
        <v>0.42568551136957866</v>
      </c>
      <c r="AV148" s="117"/>
      <c r="AW148" s="97"/>
      <c r="AX148" s="42"/>
      <c r="AY148" s="42"/>
      <c r="AZ148" s="117"/>
      <c r="BA148" s="97"/>
      <c r="BB148" s="42"/>
      <c r="BC148" s="42"/>
      <c r="BD148" s="117"/>
      <c r="BE148" s="97"/>
      <c r="BF148" s="42"/>
      <c r="BG148" s="42"/>
      <c r="BH148" s="117"/>
      <c r="BI148" s="99">
        <f>-SUM('[2]Total P&amp;C'!$O$45,'[2]Total P&amp;C'!$R$45:$V$45,'[2]Total P&amp;C'!$Y$45,'[2]Total P&amp;C'!$AB$45,'[2]Total P&amp;C'!$AU$45,'[2]Total P&amp;C'!$AX$45,'[2]Total P&amp;C'!$BA$45,'[2]Total P&amp;C'!$BD$45)/1000/BI145</f>
        <v>0.50749455290035861</v>
      </c>
      <c r="BJ148" s="60">
        <f>-SUM('[2]Total P&amp;C'!$O$46,'[2]Total P&amp;C'!$R$46:$V$46,'[2]Total P&amp;C'!$Y$46,'[2]Total P&amp;C'!$AB$46,'[2]Total P&amp;C'!$AU$46,'[2]Total P&amp;C'!$AX$46,'[2]Total P&amp;C'!$BA$46,'[2]Total P&amp;C'!$BD$46)/1000/BJ145</f>
        <v>0.55634062498752468</v>
      </c>
      <c r="BK148" s="60">
        <f>-SUM('[2]Total P&amp;C'!$O$47,'[2]Total P&amp;C'!$R$47:$V$47,'[2]Total P&amp;C'!$Y$47,'[2]Total P&amp;C'!$AB$47,'[2]Total P&amp;C'!$AU$47,'[2]Total P&amp;C'!$AX$47,'[2]Total P&amp;C'!$BA$47,'[2]Total P&amp;C'!$BD$47)/1000/BK145</f>
        <v>0.42568551136957866</v>
      </c>
      <c r="BM148" s="84">
        <f>-SUM('[3]Total P&amp;C'!$O$45,'[3]Total P&amp;C'!$R$45:$V$45,'[3]Total P&amp;C'!$Y$45,'[3]Total P&amp;C'!$AB$45,'[3]Total P&amp;C'!$AU$45,'[3]Total P&amp;C'!$AX$45,'[3]Total P&amp;C'!$BA$45,'[3]Total P&amp;C'!$BD$45)/1000/BM145</f>
        <v>0.50475206433492525</v>
      </c>
      <c r="BN148" s="60">
        <f>-SUM('[3]Total P&amp;C'!$O$46,'[3]Total P&amp;C'!$R$46:$V$46,'[3]Total P&amp;C'!$Y$46,'[3]Total P&amp;C'!$AB$46,'[3]Total P&amp;C'!$AU$46,'[3]Total P&amp;C'!$AX$46,'[3]Total P&amp;C'!$BA$46,'[3]Total P&amp;C'!$BD$46)/1000/BN145</f>
        <v>0.56074755801895326</v>
      </c>
      <c r="BO148" s="60">
        <f>-SUM('[3]Total P&amp;C'!$O$47,'[3]Total P&amp;C'!$R$47:$V$47,'[3]Total P&amp;C'!$Y$47,'[3]Total P&amp;C'!$AB$47,'[3]Total P&amp;C'!$AU$47,'[3]Total P&amp;C'!$AX$47,'[3]Total P&amp;C'!$BA$47,'[3]Total P&amp;C'!$BD$47)/1000/BO145</f>
        <v>0.42603469254548376</v>
      </c>
    </row>
    <row r="149" spans="1:67" ht="14.5" hidden="1" outlineLevel="1" x14ac:dyDescent="0.3">
      <c r="A149" s="216"/>
      <c r="B149" s="115"/>
      <c r="C149" s="38" t="s">
        <v>24</v>
      </c>
      <c r="D149" s="134"/>
      <c r="E149" s="97" t="e">
        <f>-([1]Retail!$P$45+[1]Retail!$W$45+[1]Retail!$AV$45+[1]Retail!$AY$45)/1000/E145</f>
        <v>#DIV/0!</v>
      </c>
      <c r="F149" s="42" t="e">
        <f>-([1]Retail!$P$46+[1]Retail!$W$46+[1]Retail!$AV$46+[1]Retail!$AY$46)/1000/F145</f>
        <v>#DIV/0!</v>
      </c>
      <c r="G149" s="42" t="e">
        <f>-([1]Retail!$P$47+[1]Retail!$W$47+[1]Retail!$AV$47+[1]Retail!$AY$47)/1000/G145</f>
        <v>#DIV/0!</v>
      </c>
      <c r="H149" s="134"/>
      <c r="I149" s="97" t="e">
        <f>-([1]SME!$P$45+[1]SME!$W$45+[1]SME!$AV$45+[1]SME!$AY$45)/1000/I145</f>
        <v>#DIV/0!</v>
      </c>
      <c r="J149" s="42" t="e">
        <f>-([1]SME!$P$46+[1]SME!$W$46+[1]SME!$AV$46+[1]SME!$AY$46)/1000/J145</f>
        <v>#DIV/0!</v>
      </c>
      <c r="K149" s="42" t="e">
        <f>-([1]SME!$P$47+[1]SME!$W$47+[1]SME!$AV$47+[1]SME!$AY$47)/1000/K145</f>
        <v>#DIV/0!</v>
      </c>
      <c r="L149" s="134"/>
      <c r="M149" s="97">
        <f>-([1]MidCorp!$P$45+[1]MidCorp!$W$45+[1]MidCorp!$AV$45+[1]MidCorp!$AY$45)/1000/M145</f>
        <v>0</v>
      </c>
      <c r="N149" s="42">
        <f>-([1]MidCorp!$P$46+[1]MidCorp!$W$46+[1]MidCorp!$AV$46+[1]MidCorp!$AY$46)/1000/N145</f>
        <v>0</v>
      </c>
      <c r="O149" s="42">
        <f>-([1]MidCorp!$P$47+[1]MidCorp!$W$47+[1]MidCorp!$AV$47+[1]MidCorp!$AY$47)/1000/O145</f>
        <v>0</v>
      </c>
      <c r="P149" s="134"/>
      <c r="Q149" s="97" t="e">
        <f>-([1]MGA!$P$45+[1]MGA!$W$45+[1]MGA!$AV$45+[1]MGA!$AY$45)/1000/Q145</f>
        <v>#DIV/0!</v>
      </c>
      <c r="R149" s="42" t="e">
        <f>-([1]MGA!$P$46+[1]MGA!$W$46+[1]MGA!$AV$46+[1]MGA!$AY$46)/1000/R145</f>
        <v>#DIV/0!</v>
      </c>
      <c r="S149" s="42" t="e">
        <f>-([1]MGA!$P$47+[1]MGA!$W$47+[1]MGA!$AV$47+[1]MGA!$AY$47)/1000/S145</f>
        <v>#DIV/0!</v>
      </c>
      <c r="T149" s="134"/>
      <c r="U149" s="97" t="e">
        <f>-([1]Bancassurance!$P$45+[1]Bancassurance!$W$45+[1]Bancassurance!$AV$45+[1]Bancassurance!$AY$45)/1000/U145</f>
        <v>#DIV/0!</v>
      </c>
      <c r="V149" s="42" t="e">
        <f>-([1]Bancassurance!$P$46+[1]Bancassurance!$W$46+[1]Bancassurance!$AV$46+[1]Bancassurance!$AY$46)/1000/V145</f>
        <v>#DIV/0!</v>
      </c>
      <c r="W149" s="42" t="e">
        <f>-([1]Bancassurance!$P$47+[1]Bancassurance!$W$47+[1]Bancassurance!$AV$47+[1]Bancassurance!$AY$47)/1000/W145</f>
        <v>#DIV/0!</v>
      </c>
      <c r="X149" s="134"/>
      <c r="Y149" s="97" t="e">
        <f>-([1]Specials!$P$45+[1]Specials!$W$45+[1]Specials!$AV$45+[1]Specials!$AY$45)/1000/Y145</f>
        <v>#DIV/0!</v>
      </c>
      <c r="Z149" s="42" t="e">
        <f>-([1]Specials!$P$46+[1]Specials!$W$46+[1]Specials!$AV$46+[1]Specials!$AY$46)/1000/Z145</f>
        <v>#DIV/0!</v>
      </c>
      <c r="AA149" s="42" t="e">
        <f>-([1]Specials!$P$47+[1]Specials!$W$47+[1]Specials!$AV$47+[1]Specials!$AY$47)/1000/AA145</f>
        <v>#DIV/0!</v>
      </c>
      <c r="AB149" s="134"/>
      <c r="AC149" s="99">
        <f>-('[1]Total P&amp;C'!$P$45+'[1]Total P&amp;C'!$W$45+'[1]Total P&amp;C'!$AV$45+'[1]Total P&amp;C'!$AY$45)/1000/AC145</f>
        <v>0</v>
      </c>
      <c r="AD149" s="60">
        <f>-('[1]Total P&amp;C'!$P$46+'[1]Total P&amp;C'!$W$46+'[1]Total P&amp;C'!$AV$46+'[1]Total P&amp;C'!$AY$46)/1000/AD145</f>
        <v>0</v>
      </c>
      <c r="AE149" s="60">
        <f>-('[1]Total P&amp;C'!$P$47+'[1]Total P&amp;C'!$W$47+'[1]Total P&amp;C'!$AV$47+'[1]Total P&amp;C'!$AY$47)/1000/AE145</f>
        <v>0</v>
      </c>
      <c r="AG149" s="215"/>
      <c r="AH149" s="115"/>
      <c r="AI149" s="38" t="s">
        <v>24</v>
      </c>
      <c r="AJ149" s="134"/>
      <c r="AK149" s="74" t="e">
        <f>-([2]Retail!$P$45+[2]Retail!$W$45+[2]Retail!$AV$45+[2]Retail!$AY$45)/1000/AK145</f>
        <v>#DIV/0!</v>
      </c>
      <c r="AL149" s="42" t="e">
        <f>-([2]Retail!$P$46+[2]Retail!$W$46+[2]Retail!$AV$46+[2]Retail!$AY$46)/1000/AL145</f>
        <v>#DIV/0!</v>
      </c>
      <c r="AM149" s="42" t="e">
        <f>-([2]Retail!$P$47+[2]Retail!$W$47+[2]Retail!$AV$47+[2]Retail!$AY$47)/1000/AM145</f>
        <v>#DIV/0!</v>
      </c>
      <c r="AN149" s="134"/>
      <c r="AO149" s="74" t="e">
        <f>-([2]SME!$P$45+[2]SME!$W$45+[2]SME!$AV$45+[2]SME!$AY$45)/1000/AO145</f>
        <v>#DIV/0!</v>
      </c>
      <c r="AP149" s="42" t="e">
        <f>-([2]SME!$P$46+[2]SME!$W$46+[2]SME!$AV$46+[2]SME!$AY$46)/1000/AP145</f>
        <v>#DIV/0!</v>
      </c>
      <c r="AQ149" s="42" t="e">
        <f>-([2]SME!$P$47+[2]SME!$W$47+[2]SME!$AV$47+[2]SME!$AY$47)/1000/AQ145</f>
        <v>#DIV/0!</v>
      </c>
      <c r="AR149" s="134"/>
      <c r="AS149" s="97">
        <f>-([2]MidCorp!$P$45+[2]MidCorp!$W$45+[2]MidCorp!$AV$45+[2]MidCorp!$AY$45)/1000/AS145</f>
        <v>0</v>
      </c>
      <c r="AT149" s="42">
        <f>-([2]MidCorp!$P$46+[2]MidCorp!$W$46+[2]MidCorp!$AV$46+[2]MidCorp!$AY$46)/1000/AT145</f>
        <v>0</v>
      </c>
      <c r="AU149" s="42">
        <f>-([2]MidCorp!$P$47+[2]MidCorp!$W$47+[2]MidCorp!$AV$47+[2]MidCorp!$AY$47)/1000/AU145</f>
        <v>0</v>
      </c>
      <c r="AV149" s="134"/>
      <c r="AW149" s="97"/>
      <c r="AX149" s="42"/>
      <c r="AY149" s="42"/>
      <c r="AZ149" s="134"/>
      <c r="BA149" s="97"/>
      <c r="BB149" s="42"/>
      <c r="BC149" s="42"/>
      <c r="BD149" s="134"/>
      <c r="BE149" s="97"/>
      <c r="BF149" s="42"/>
      <c r="BG149" s="42"/>
      <c r="BH149" s="134"/>
      <c r="BI149" s="99">
        <f>-('[2]Total P&amp;C'!$P$45+'[2]Total P&amp;C'!$W$45+'[2]Total P&amp;C'!$AV$45+'[2]Total P&amp;C'!$AY$45)/1000/BI145</f>
        <v>0</v>
      </c>
      <c r="BJ149" s="60">
        <f>-('[2]Total P&amp;C'!$P$46+'[2]Total P&amp;C'!$W$46+'[2]Total P&amp;C'!$AV$46+'[2]Total P&amp;C'!$AY$46)/1000/BJ145</f>
        <v>0</v>
      </c>
      <c r="BK149" s="60">
        <f>-('[2]Total P&amp;C'!$P$47+'[2]Total P&amp;C'!$W$47+'[2]Total P&amp;C'!$AV$47+'[2]Total P&amp;C'!$AY$47)/1000/BK145</f>
        <v>0</v>
      </c>
      <c r="BM149" s="99">
        <f>-('[3]Total P&amp;C'!$P$45+'[3]Total P&amp;C'!$W$45+'[3]Total P&amp;C'!$AV$45+'[3]Total P&amp;C'!$AY$45)/1000/BM145</f>
        <v>0</v>
      </c>
      <c r="BN149" s="60">
        <f>-('[3]Total P&amp;C'!$P$46+'[3]Total P&amp;C'!$W$46+'[3]Total P&amp;C'!$AV$46+'[3]Total P&amp;C'!$AY$46)/1000/BN145</f>
        <v>0</v>
      </c>
      <c r="BO149" s="60">
        <f>-('[3]Total P&amp;C'!$P$47+'[3]Total P&amp;C'!$W$47+'[3]Total P&amp;C'!$AV$47+'[3]Total P&amp;C'!$AY$47)/1000/BO145</f>
        <v>0</v>
      </c>
    </row>
    <row r="150" spans="1:67" ht="14.5" hidden="1" outlineLevel="1" x14ac:dyDescent="0.3">
      <c r="A150" s="216"/>
      <c r="B150" s="115"/>
      <c r="C150" s="38" t="s">
        <v>25</v>
      </c>
      <c r="D150" s="134"/>
      <c r="E150" s="73" t="e">
        <f>-([1]Retail!$Q$45+[1]Retail!$X$45+[1]Retail!$AW$45+[1]Retail!$AZ$45)/1000/E145</f>
        <v>#DIV/0!</v>
      </c>
      <c r="F150" s="42" t="e">
        <f>-([1]Retail!$Q$46+[1]Retail!$X$46+[1]Retail!$AW$46+[1]Retail!$AZ$46)/1000/F145</f>
        <v>#DIV/0!</v>
      </c>
      <c r="G150" s="42" t="e">
        <f>-([1]Retail!$Q$47+[1]Retail!$X$47+[1]Retail!$AW$47+[1]Retail!$AZ$47)/1000/G145</f>
        <v>#DIV/0!</v>
      </c>
      <c r="H150" s="134"/>
      <c r="I150" s="74" t="e">
        <f>-([1]SME!$Q$45+[1]SME!$X$45+[1]SME!$AW$45+[1]SME!$AZ$45)/1000/I145</f>
        <v>#DIV/0!</v>
      </c>
      <c r="J150" s="42" t="e">
        <f>-([1]SME!$Q$46+[1]SME!$X$46+[1]SME!$AW$46+[1]SME!$AZ$46)/1000/J145</f>
        <v>#DIV/0!</v>
      </c>
      <c r="K150" s="42" t="e">
        <f>-([1]SME!$Q$47+[1]SME!$X$47+[1]SME!$AW$47+[1]SME!$AZ$47)/1000/K145</f>
        <v>#DIV/0!</v>
      </c>
      <c r="L150" s="134"/>
      <c r="M150" s="74">
        <f>-([1]MidCorp!$Q$45+[1]MidCorp!$X$45+[1]MidCorp!$AW$45+[1]MidCorp!$AZ$45)/1000/M145</f>
        <v>8.2440859348963266E-2</v>
      </c>
      <c r="N150" s="42">
        <f>-([1]MidCorp!$Q$46+[1]MidCorp!$X$46+[1]MidCorp!$AW$46+[1]MidCorp!$AZ$46)/1000/N145</f>
        <v>0</v>
      </c>
      <c r="O150" s="42">
        <f>-([1]MidCorp!$Q$47+[1]MidCorp!$X$47+[1]MidCorp!$AW$47+[1]MidCorp!$AZ$47)/1000/O145</f>
        <v>0.12834882852531426</v>
      </c>
      <c r="P150" s="134"/>
      <c r="Q150" s="73" t="e">
        <f>-([1]MGA!$Q$45+[1]MGA!$X$45+[1]MGA!$AW$45+[1]MGA!$AZ$45)/1000/Q145</f>
        <v>#DIV/0!</v>
      </c>
      <c r="R150" s="42" t="e">
        <f>-([1]MGA!$Q$46+[1]MGA!$X$46+[1]MGA!$AW$46+[1]MGA!$AZ$46)/1000/R145</f>
        <v>#DIV/0!</v>
      </c>
      <c r="S150" s="42" t="e">
        <f>-([1]MGA!$Q$47+[1]MGA!$X$47+[1]MGA!$AW$47+[1]MGA!$AZ$47)/1000/S145</f>
        <v>#DIV/0!</v>
      </c>
      <c r="T150" s="134"/>
      <c r="U150" s="73" t="e">
        <f>-([1]Bancassurance!$Q$45+[1]Bancassurance!$X$45+[1]Bancassurance!$AW$45+[1]Bancassurance!$AZ$45)/1000/U145</f>
        <v>#DIV/0!</v>
      </c>
      <c r="V150" s="42" t="e">
        <f>-([1]Bancassurance!$Q$46+[1]Bancassurance!$X$46+[1]Bancassurance!$AW$46+[1]Bancassurance!$AZ$46)/1000/V145</f>
        <v>#DIV/0!</v>
      </c>
      <c r="W150" s="42" t="e">
        <f>-([1]Bancassurance!$Q$47+[1]Bancassurance!$X$47+[1]Bancassurance!$AW$47+[1]Bancassurance!$AZ$47)/1000/W145</f>
        <v>#DIV/0!</v>
      </c>
      <c r="X150" s="134"/>
      <c r="Y150" s="73" t="e">
        <f>-([1]Specials!$Q$45+[1]Specials!$X$45+[1]Specials!$AW$45+[1]Specials!$AZ$45)/1000/Y145</f>
        <v>#DIV/0!</v>
      </c>
      <c r="Z150" s="42" t="e">
        <f>-([1]Specials!$Q$46+[1]Specials!$X$46+[1]Specials!$AW$46+[1]Specials!$AZ$46)/1000/Z145</f>
        <v>#DIV/0!</v>
      </c>
      <c r="AA150" s="42" t="e">
        <f>-([1]Specials!$Q$47+[1]Specials!$X$47+[1]Specials!$AW$47+[1]Specials!$AZ$47)/1000/AA145</f>
        <v>#DIV/0!</v>
      </c>
      <c r="AB150" s="134"/>
      <c r="AC150" s="85">
        <f>-('[1]Total P&amp;C'!$Q$45+'[1]Total P&amp;C'!$X$45+'[1]Total P&amp;C'!$AW$45+'[1]Total P&amp;C'!$AZ$45)/1000/AC145</f>
        <v>8.2440859348963266E-2</v>
      </c>
      <c r="AD150" s="60">
        <f>-('[1]Total P&amp;C'!$Q$46+'[1]Total P&amp;C'!$X$46+'[1]Total P&amp;C'!$AW$46+'[1]Total P&amp;C'!$AZ$46)/1000/AD145</f>
        <v>0</v>
      </c>
      <c r="AE150" s="60">
        <f>-('[1]Total P&amp;C'!$Q$47+'[1]Total P&amp;C'!$X$47+'[1]Total P&amp;C'!$AW$47+'[1]Total P&amp;C'!$AZ$47)/1000/AE145</f>
        <v>0.12834882852531426</v>
      </c>
      <c r="AG150" s="215"/>
      <c r="AH150" s="115"/>
      <c r="AI150" s="38" t="s">
        <v>25</v>
      </c>
      <c r="AJ150" s="134"/>
      <c r="AK150" s="97" t="e">
        <f>-([2]Retail!$Q$45+[2]Retail!$X$45+[2]Retail!$AW$45+[2]Retail!$AZ$45)/1000/AK145</f>
        <v>#DIV/0!</v>
      </c>
      <c r="AL150" s="42" t="e">
        <f>-([2]Retail!$Q$46+[2]Retail!$X$46+[2]Retail!$AW$46+[2]Retail!$AZ$46)/1000/AL145</f>
        <v>#DIV/0!</v>
      </c>
      <c r="AM150" s="42" t="e">
        <f>-([2]Retail!$Q$47+[2]Retail!$X$47+[2]Retail!$AW$47+[2]Retail!$AZ$47)/1000/AM145</f>
        <v>#DIV/0!</v>
      </c>
      <c r="AN150" s="134"/>
      <c r="AO150" s="74" t="e">
        <f>-([2]SME!$Q$45+[2]SME!$X$45+[2]SME!$AW$45+[2]SME!$AZ$45)/1000/AO145</f>
        <v>#DIV/0!</v>
      </c>
      <c r="AP150" s="42" t="e">
        <f>-([2]SME!$Q$46+[2]SME!$X$46+[2]SME!$AW$46+[2]SME!$AZ$46)/1000/AP145</f>
        <v>#DIV/0!</v>
      </c>
      <c r="AQ150" s="42" t="e">
        <f>-([2]SME!$Q$47+[2]SME!$X$47+[2]SME!$AW$47+[2]SME!$AZ$47)/1000/AQ145</f>
        <v>#DIV/0!</v>
      </c>
      <c r="AR150" s="134"/>
      <c r="AS150" s="74">
        <f>-([2]MidCorp!$Q$45+[2]MidCorp!$X$45+[2]MidCorp!$AW$45+[2]MidCorp!$AZ$45)/1000/AS145</f>
        <v>6.8839559308603415E-2</v>
      </c>
      <c r="AT150" s="42">
        <f>-([2]MidCorp!$Q$46+[2]MidCorp!$X$46+[2]MidCorp!$AW$46+[2]MidCorp!$AZ$46)/1000/AT145</f>
        <v>0</v>
      </c>
      <c r="AU150" s="42">
        <f>-([2]MidCorp!$Q$47+[2]MidCorp!$X$47+[2]MidCorp!$AW$47+[2]MidCorp!$AZ$47)/1000/AU145</f>
        <v>9.8286441602909849E-2</v>
      </c>
      <c r="AV150" s="134"/>
      <c r="AW150" s="97"/>
      <c r="AX150" s="42"/>
      <c r="AY150" s="42"/>
      <c r="AZ150" s="134"/>
      <c r="BA150" s="97"/>
      <c r="BB150" s="42"/>
      <c r="BC150" s="42"/>
      <c r="BD150" s="134"/>
      <c r="BE150" s="97"/>
      <c r="BF150" s="42"/>
      <c r="BG150" s="42"/>
      <c r="BH150" s="134"/>
      <c r="BI150" s="85">
        <f>-('[2]Total P&amp;C'!$Q$45+'[2]Total P&amp;C'!$X$45+'[2]Total P&amp;C'!$AW$45+'[2]Total P&amp;C'!$AZ$45)/1000/BI145</f>
        <v>6.8839559308603415E-2</v>
      </c>
      <c r="BJ150" s="60">
        <f>-('[2]Total P&amp;C'!$Q$46+'[2]Total P&amp;C'!$X$46+'[2]Total P&amp;C'!$AW$46+'[2]Total P&amp;C'!$AZ$46)/1000/BJ145</f>
        <v>0</v>
      </c>
      <c r="BK150" s="60">
        <f>-('[2]Total P&amp;C'!$Q$47+'[2]Total P&amp;C'!$X$47+'[2]Total P&amp;C'!$AW$47+'[2]Total P&amp;C'!$AZ$47)/1000/BK145</f>
        <v>9.8286441602909849E-2</v>
      </c>
      <c r="BM150" s="85">
        <f>-('[3]Total P&amp;C'!$Q$45+'[3]Total P&amp;C'!$X$45+'[3]Total P&amp;C'!$AW$45+'[3]Total P&amp;C'!$AZ$45)/1000/BM145</f>
        <v>7.878161385324306E-2</v>
      </c>
      <c r="BN150" s="60">
        <f>-('[3]Total P&amp;C'!$Q$46+'[3]Total P&amp;C'!$X$46+'[3]Total P&amp;C'!$AW$46+'[3]Total P&amp;C'!$AZ$46)/1000/BN145</f>
        <v>0</v>
      </c>
      <c r="BO150" s="60">
        <f>-('[3]Total P&amp;C'!$Q$47+'[3]Total P&amp;C'!$X$47+'[3]Total P&amp;C'!$AW$47+'[3]Total P&amp;C'!$AZ$47)/1000/BO145</f>
        <v>0.12120095781047112</v>
      </c>
    </row>
    <row r="151" spans="1:67" ht="14.5" hidden="1" outlineLevel="1" x14ac:dyDescent="0.3">
      <c r="A151" s="216"/>
      <c r="B151" s="115"/>
      <c r="C151" s="38" t="s">
        <v>53</v>
      </c>
      <c r="D151" s="134"/>
      <c r="E151" s="73" t="e">
        <f>-[1]Retail!$AT$45/1000/E145</f>
        <v>#DIV/0!</v>
      </c>
      <c r="F151" s="42" t="e">
        <f>-[1]Retail!$AT$46/1000/F145</f>
        <v>#DIV/0!</v>
      </c>
      <c r="G151" s="42" t="e">
        <f>-[1]Retail!$AT$47/1000/G145</f>
        <v>#DIV/0!</v>
      </c>
      <c r="H151" s="134"/>
      <c r="I151" s="73" t="e">
        <f>-[1]SME!$AT$45/1000/I145</f>
        <v>#DIV/0!</v>
      </c>
      <c r="J151" s="42" t="e">
        <f>-[1]SME!$AT$46/1000/J145</f>
        <v>#DIV/0!</v>
      </c>
      <c r="K151" s="42" t="e">
        <f>-[1]SME!$AT$47/1000/K145</f>
        <v>#DIV/0!</v>
      </c>
      <c r="L151" s="134"/>
      <c r="M151" s="74">
        <f>-[1]MidCorp!$AT$45/1000/M145</f>
        <v>2.3965434230008461E-2</v>
      </c>
      <c r="N151" s="42">
        <f>-[1]MidCorp!$AT$46/1000/N145</f>
        <v>3.2406036337638104E-2</v>
      </c>
      <c r="O151" s="42">
        <f>-[1]MidCorp!$AT$47/1000/O145</f>
        <v>2.5775045704969236E-2</v>
      </c>
      <c r="P151" s="134"/>
      <c r="Q151" s="73" t="e">
        <f>-[1]MGA!$AT$45/1000/Q145</f>
        <v>#DIV/0!</v>
      </c>
      <c r="R151" s="42" t="e">
        <f>-[1]MGA!$AT$46/1000/R145</f>
        <v>#DIV/0!</v>
      </c>
      <c r="S151" s="42" t="e">
        <f>-[1]MGA!$AT$47/1000/S145</f>
        <v>#DIV/0!</v>
      </c>
      <c r="T151" s="134"/>
      <c r="U151" s="73" t="e">
        <f>-[1]Bancassurance!$AT$45/1000/U145</f>
        <v>#DIV/0!</v>
      </c>
      <c r="V151" s="42" t="e">
        <f>-[1]Bancassurance!$AT$46/1000/V145</f>
        <v>#DIV/0!</v>
      </c>
      <c r="W151" s="42" t="e">
        <f>-[1]Bancassurance!$AT$47/1000/W145</f>
        <v>#DIV/0!</v>
      </c>
      <c r="X151" s="134"/>
      <c r="Y151" s="73" t="e">
        <f>-[1]Specials!$AT$45/1000/Y145</f>
        <v>#DIV/0!</v>
      </c>
      <c r="Z151" s="42" t="e">
        <f>-[1]Specials!$AT$46/1000/Z145</f>
        <v>#DIV/0!</v>
      </c>
      <c r="AA151" s="42" t="e">
        <f>-[1]Specials!$AT$47/1000/AA145</f>
        <v>#DIV/0!</v>
      </c>
      <c r="AB151" s="134"/>
      <c r="AC151" s="84">
        <f>-'[1]Total P&amp;C'!$AT$45/1000/AC145</f>
        <v>4.1382184272749457E-2</v>
      </c>
      <c r="AD151" s="60">
        <f>-'[1]Total P&amp;C'!$AT$46/1000/AD145</f>
        <v>5.447807962507116E-2</v>
      </c>
      <c r="AE151" s="60">
        <f>-'[1]Total P&amp;C'!$AT$47/1000/AE145</f>
        <v>2.704418190490928E-2</v>
      </c>
      <c r="AG151" s="215"/>
      <c r="AH151" s="115"/>
      <c r="AI151" s="38" t="s">
        <v>53</v>
      </c>
      <c r="AJ151" s="134"/>
      <c r="AK151" s="74" t="e">
        <f>-[2]Retail!$AT$45/1000/AK145</f>
        <v>#DIV/0!</v>
      </c>
      <c r="AL151" s="42" t="e">
        <f>-[2]Retail!$AT$46/1000/AL145</f>
        <v>#DIV/0!</v>
      </c>
      <c r="AM151" s="42" t="e">
        <f>-[2]Retail!$AT$47/1000/AM145</f>
        <v>#DIV/0!</v>
      </c>
      <c r="AN151" s="134"/>
      <c r="AO151" s="74" t="e">
        <f>-[2]SME!$AT$45/1000/AO145</f>
        <v>#DIV/0!</v>
      </c>
      <c r="AP151" s="42" t="e">
        <f>-[2]SME!$AT$46/1000/AP145</f>
        <v>#DIV/0!</v>
      </c>
      <c r="AQ151" s="42" t="e">
        <f>-[2]SME!$AT$47/1000/AQ145</f>
        <v>#DIV/0!</v>
      </c>
      <c r="AR151" s="134"/>
      <c r="AS151" s="73">
        <f>-[2]MidCorp!$AT$45/1000/AS145</f>
        <v>0.15163815368218814</v>
      </c>
      <c r="AT151" s="42">
        <f>-[2]MidCorp!$AT$46/1000/AT145</f>
        <v>0.10595124912882672</v>
      </c>
      <c r="AU151" s="42">
        <f>-[2]MidCorp!$AT$47/1000/AU145</f>
        <v>0.13395741222036023</v>
      </c>
      <c r="AV151" s="134"/>
      <c r="AW151" s="97"/>
      <c r="AX151" s="42"/>
      <c r="AY151" s="42"/>
      <c r="AZ151" s="134"/>
      <c r="BA151" s="97"/>
      <c r="BB151" s="42"/>
      <c r="BC151" s="42"/>
      <c r="BD151" s="134"/>
      <c r="BE151" s="97"/>
      <c r="BF151" s="42"/>
      <c r="BG151" s="42"/>
      <c r="BH151" s="134"/>
      <c r="BI151" s="84">
        <f>-'[2]Total P&amp;C'!$AT$45/1000/BI145</f>
        <v>0.15163815368218814</v>
      </c>
      <c r="BJ151" s="60">
        <f>-'[2]Total P&amp;C'!$AT$46/1000/BJ145</f>
        <v>0.10595124912882672</v>
      </c>
      <c r="BK151" s="60">
        <f>-'[2]Total P&amp;C'!$AT$47/1000/BK145</f>
        <v>0.13395741222036023</v>
      </c>
      <c r="BM151" s="84">
        <f>-'[3]Total P&amp;C'!$AT$45/1000/BM145</f>
        <v>7.1045059015646561E-2</v>
      </c>
      <c r="BN151" s="60">
        <f>-'[3]Total P&amp;C'!$AT$46/1000/BN145</f>
        <v>6.891707785417453E-2</v>
      </c>
      <c r="BO151" s="60">
        <f>-'[3]Total P&amp;C'!$AT$47/1000/BO145</f>
        <v>5.2464716540885262E-2</v>
      </c>
    </row>
    <row r="152" spans="1:67" hidden="1" outlineLevel="1" x14ac:dyDescent="0.3">
      <c r="A152" s="216"/>
      <c r="B152" s="115"/>
      <c r="C152" s="116" t="s">
        <v>27</v>
      </c>
      <c r="D152" s="134"/>
      <c r="E152" s="128" t="e">
        <f>-([1]Retail!$Z$45+[1]Retail!$AA$45+[1]Retail!$BB$45+[1]Retail!$BC$45)/1000/E145</f>
        <v>#DIV/0!</v>
      </c>
      <c r="F152" s="127" t="e">
        <f>-([1]Retail!$Z$46+[1]Retail!$AA$46+[1]Retail!$BB$46+[1]Retail!$BC$46)/1000/F145</f>
        <v>#DIV/0!</v>
      </c>
      <c r="G152" s="127" t="e">
        <f>-([1]Retail!$Z$47+[1]Retail!$AA$47+[1]Retail!$BB$47+[1]Retail!$BC$47)/1000/G145</f>
        <v>#DIV/0!</v>
      </c>
      <c r="H152" s="134"/>
      <c r="I152" s="128" t="e">
        <f>-([1]SME!$Z$45+[1]SME!$AA$45+[1]SME!$BB$45+[1]SME!$BC$45)/1000/I145</f>
        <v>#DIV/0!</v>
      </c>
      <c r="J152" s="127" t="e">
        <f>-([1]SME!$Z$46+[1]SME!$AA$46+[1]SME!$BB$46+[1]SME!$BC$46)/1000/J145</f>
        <v>#DIV/0!</v>
      </c>
      <c r="K152" s="127" t="e">
        <f>-([1]SME!$Z$47+[1]SME!$AA$47+[1]SME!$BB$47+[1]SME!$BC$47)/1000/K145</f>
        <v>#DIV/0!</v>
      </c>
      <c r="L152" s="134"/>
      <c r="M152" s="126">
        <f>-([1]MidCorp!$Z$45+[1]MidCorp!$AA$45+[1]MidCorp!$BB$45+[1]MidCorp!$BC$45)/1000/M145</f>
        <v>-7.0249193459497747E-2</v>
      </c>
      <c r="N152" s="127">
        <f>-([1]MidCorp!$Z$46+[1]MidCorp!$AA$46+[1]MidCorp!$BB$46+[1]MidCorp!$BC$46)/1000/N145</f>
        <v>-6.1712711452093061E-2</v>
      </c>
      <c r="O152" s="127">
        <f>-([1]MidCorp!$Z$47+[1]MidCorp!$AA$47+[1]MidCorp!$BB$47+[1]MidCorp!$BC$47)/1000/O145</f>
        <v>-5.1241797535216974E-2</v>
      </c>
      <c r="P152" s="134"/>
      <c r="Q152" s="128" t="e">
        <f>-([1]MGA!$Z$45+[1]MGA!$AA$45+[1]MGA!$BB$45+[1]MGA!$BC$45)/1000/Q145</f>
        <v>#DIV/0!</v>
      </c>
      <c r="R152" s="127" t="e">
        <f>-([1]MGA!$Z$46+[1]MGA!$AA$46+[1]MGA!$BB$46+[1]MGA!$BC$46)/1000/R145</f>
        <v>#DIV/0!</v>
      </c>
      <c r="S152" s="127" t="e">
        <f>-([1]MGA!$Z$47+[1]MGA!$AA$47+[1]MGA!$BB$47+[1]MGA!$BC$47)/1000/S145</f>
        <v>#DIV/0!</v>
      </c>
      <c r="T152" s="134"/>
      <c r="U152" s="128" t="e">
        <f>-([1]Bancassurance!$Z$45+[1]Bancassurance!$AA$45+[1]Bancassurance!$BB$45+[1]Bancassurance!$BC$45)/1000/U145</f>
        <v>#DIV/0!</v>
      </c>
      <c r="V152" s="127" t="e">
        <f>-([1]Bancassurance!$Z$46+[1]Bancassurance!$AA$46+[1]Bancassurance!$BB$46+[1]Bancassurance!$BC$46)/1000/V145</f>
        <v>#DIV/0!</v>
      </c>
      <c r="W152" s="127" t="e">
        <f>-([1]Bancassurance!$Z$47+[1]Bancassurance!$AA$47+[1]Bancassurance!$BB$47+[1]Bancassurance!$BC$47)/1000/W145</f>
        <v>#DIV/0!</v>
      </c>
      <c r="X152" s="134"/>
      <c r="Y152" s="128" t="e">
        <f>-([1]Specials!$Z$45+[1]Specials!$AA$45+[1]Specials!$BB$45+[1]Specials!$BC$45)/1000/Y145</f>
        <v>#DIV/0!</v>
      </c>
      <c r="Z152" s="127" t="e">
        <f>-([1]Specials!$Z$46+[1]Specials!$AA$46+[1]Specials!$BB$46+[1]Specials!$BC$46)/1000/Z145</f>
        <v>#DIV/0!</v>
      </c>
      <c r="AA152" s="127" t="e">
        <f>-([1]Specials!$Z$47+[1]Specials!$AA$47+[1]Specials!$BB$47+[1]Specials!$BC$47)/1000/AA145</f>
        <v>#DIV/0!</v>
      </c>
      <c r="AB152" s="134"/>
      <c r="AC152" s="132">
        <f>-('[1]Total P&amp;C'!$Z$45+'[1]Total P&amp;C'!$AA$45+'[1]Total P&amp;C'!$BB$45+'[1]Total P&amp;C'!$BC$45)/1000/AC145</f>
        <v>-6.9740499515414278E-2</v>
      </c>
      <c r="AD152" s="130">
        <f>-('[1]Total P&amp;C'!$Z$46+'[1]Total P&amp;C'!$AA$46+'[1]Total P&amp;C'!$BB$46+'[1]Total P&amp;C'!$BC$46)/1000/AD145</f>
        <v>-6.1533513040868702E-2</v>
      </c>
      <c r="AE152" s="130">
        <f>-('[1]Total P&amp;C'!$Z$47+'[1]Total P&amp;C'!$AA$47+'[1]Total P&amp;C'!$BB$47+'[1]Total P&amp;C'!$BC$47)/1000/AE145</f>
        <v>-5.1241797535216974E-2</v>
      </c>
      <c r="AG152" s="215"/>
      <c r="AH152" s="115"/>
      <c r="AI152" s="116" t="s">
        <v>27</v>
      </c>
      <c r="AJ152" s="134"/>
      <c r="AK152" s="128" t="e">
        <f>-([2]Retail!$Z$45+[2]Retail!$AA$45+[2]Retail!$BB$45+[2]Retail!$BC$45)/1000/AK145</f>
        <v>#DIV/0!</v>
      </c>
      <c r="AL152" s="127" t="e">
        <f>-([2]Retail!$Z$46+[2]Retail!$AA$46+[2]Retail!$BB$46+[2]Retail!$BC$46)/1000/AL145</f>
        <v>#DIV/0!</v>
      </c>
      <c r="AM152" s="127" t="e">
        <f>-([2]Retail!$Z$47+[2]Retail!$AA$47+[2]Retail!$BB$47+[2]Retail!$BC$47)/1000/AM145</f>
        <v>#DIV/0!</v>
      </c>
      <c r="AN152" s="134"/>
      <c r="AO152" s="128" t="e">
        <f>-([2]SME!$Z$45+[2]SME!$AA$45+[2]SME!$BB$45+[2]SME!$BC$45)/1000/AO145</f>
        <v>#DIV/0!</v>
      </c>
      <c r="AP152" s="127" t="e">
        <f>-([2]SME!$Z$46+[2]SME!$AA$46+[2]SME!$BB$46+[2]SME!$BC$46)/1000/AP145</f>
        <v>#DIV/0!</v>
      </c>
      <c r="AQ152" s="127" t="e">
        <f>-([2]SME!$Z$47+[2]SME!$AA$47+[2]SME!$BB$47+[2]SME!$BC$47)/1000/AQ145</f>
        <v>#DIV/0!</v>
      </c>
      <c r="AR152" s="134"/>
      <c r="AS152" s="126">
        <f>-([2]MidCorp!$Z$45+[2]MidCorp!$AA$45+[2]MidCorp!$BB$45+[2]MidCorp!$BC$45)/1000/AS145</f>
        <v>-6.3727905264189907E-2</v>
      </c>
      <c r="AT152" s="127">
        <f>-([2]MidCorp!$Z$46+[2]MidCorp!$AA$46+[2]MidCorp!$BB$46+[2]MidCorp!$BC$46)/1000/AT145</f>
        <v>-5.2544331785172739E-2</v>
      </c>
      <c r="AU152" s="127">
        <f>-([2]MidCorp!$Z$47+[2]MidCorp!$AA$47+[2]MidCorp!$BB$47+[2]MidCorp!$BC$47)/1000/AU145</f>
        <v>-3.9836245818584234E-2</v>
      </c>
      <c r="AV152" s="134"/>
      <c r="AW152" s="131"/>
      <c r="AX152" s="127"/>
      <c r="AY152" s="127"/>
      <c r="AZ152" s="134"/>
      <c r="BA152" s="131"/>
      <c r="BB152" s="127"/>
      <c r="BC152" s="127"/>
      <c r="BD152" s="134"/>
      <c r="BE152" s="131"/>
      <c r="BF152" s="127"/>
      <c r="BG152" s="127"/>
      <c r="BH152" s="134"/>
      <c r="BI152" s="132">
        <f>-('[2]Total P&amp;C'!$Z$45+'[2]Total P&amp;C'!$AA$45+'[2]Total P&amp;C'!$BB$45+'[2]Total P&amp;C'!$BC$45)/1000/BI145</f>
        <v>-6.3727905264189907E-2</v>
      </c>
      <c r="BJ152" s="130">
        <f>-('[2]Total P&amp;C'!$Z$46+'[2]Total P&amp;C'!$AA$46+'[2]Total P&amp;C'!$BB$46+'[2]Total P&amp;C'!$BC$46)/1000/BJ145</f>
        <v>-5.2544331785172739E-2</v>
      </c>
      <c r="BK152" s="130">
        <f>-('[2]Total P&amp;C'!$Z$47+'[2]Total P&amp;C'!$AA$47+'[2]Total P&amp;C'!$BB$47+'[2]Total P&amp;C'!$BC$47)/1000/BK145</f>
        <v>-3.9836245818584234E-2</v>
      </c>
      <c r="BM152" s="132">
        <f>-('[3]Total P&amp;C'!$Z$45+'[3]Total P&amp;C'!$AA$45+'[3]Total P&amp;C'!$BB$45+'[3]Total P&amp;C'!$BC$45)/1000/BM145</f>
        <v>-6.8122892495048604E-2</v>
      </c>
      <c r="BN152" s="130">
        <f>-('[3]Total P&amp;C'!$Z$46+'[3]Total P&amp;C'!$AA$46+'[3]Total P&amp;C'!$BB$46+'[3]Total P&amp;C'!$BC$46)/1000/BN145</f>
        <v>-5.9011912496674257E-2</v>
      </c>
      <c r="BO152" s="130">
        <f>-('[3]Total P&amp;C'!$Z$47+'[3]Total P&amp;C'!$AA$47+'[3]Total P&amp;C'!$BB$47+'[3]Total P&amp;C'!$BC$47)/1000/BO145</f>
        <v>-4.8529923414496696E-2</v>
      </c>
    </row>
    <row r="153" spans="1:67" hidden="1" outlineLevel="1" x14ac:dyDescent="0.3">
      <c r="A153" s="216"/>
      <c r="B153" s="115"/>
      <c r="C153" s="116" t="s">
        <v>57</v>
      </c>
      <c r="D153" s="134"/>
      <c r="E153" s="126" t="e">
        <f>-SUM([1]Retail!$AC$45:$AI$45,[1]Retail!$BE$45:$BG$45)/1000/E145</f>
        <v>#DIV/0!</v>
      </c>
      <c r="F153" s="127" t="e">
        <f>-SUM([1]Retail!$AC$46:$AI$46,[1]Retail!$BE$46:$BG$46)/1000/F145</f>
        <v>#DIV/0!</v>
      </c>
      <c r="G153" s="127" t="e">
        <f>-SUM([1]Retail!$AC$47:$AI$47,[1]Retail!$BE$47:$BG$47)/1000/G145</f>
        <v>#DIV/0!</v>
      </c>
      <c r="H153" s="134"/>
      <c r="I153" s="126" t="e">
        <f>-SUM([1]SME!$AC$45:$AI$45,[1]SME!$BE$45:$BG$45)/1000/I145</f>
        <v>#DIV/0!</v>
      </c>
      <c r="J153" s="127" t="e">
        <f>-SUM([1]SME!$AC$46:$AI$46,[1]SME!$BE$46:$BG$46)/1000/J145</f>
        <v>#DIV/0!</v>
      </c>
      <c r="K153" s="127" t="e">
        <f>-SUM([1]SME!$AC$47:$AI$47,[1]SME!$BE$47:$BG$47)/1000/K145</f>
        <v>#DIV/0!</v>
      </c>
      <c r="L153" s="134"/>
      <c r="M153" s="128">
        <f>-SUM([1]MidCorp!$AC$45:$AI$45,[1]MidCorp!$BE$45:$BG$45)/1000/M145</f>
        <v>3.0852443739372445E-2</v>
      </c>
      <c r="N153" s="127">
        <f>-SUM([1]MidCorp!$AC$46:$AI$46,[1]MidCorp!$BE$46:$BG$46)/1000/N145</f>
        <v>-0.51103155934336342</v>
      </c>
      <c r="O153" s="127">
        <f>-SUM([1]MidCorp!$AC$47:$AI$47,[1]MidCorp!$BE$47:$BG$47)/1000/O145</f>
        <v>-1.0397160648591345E-2</v>
      </c>
      <c r="P153" s="134"/>
      <c r="Q153" s="126" t="e">
        <f>-SUM([1]MGA!$AC$45:$AI$45,[1]MGA!$BE$45:$BG$45)/1000/Q145</f>
        <v>#DIV/0!</v>
      </c>
      <c r="R153" s="127" t="e">
        <f>-SUM([1]MGA!$AC$46:$AI$46,[1]MGA!$BE$46:$BG$46)/1000/R145</f>
        <v>#DIV/0!</v>
      </c>
      <c r="S153" s="127" t="e">
        <f>-SUM([1]MGA!$AC$47:$AI$47,[1]MGA!$BE$47:$BG$47)/1000/S145</f>
        <v>#DIV/0!</v>
      </c>
      <c r="T153" s="134"/>
      <c r="U153" s="126" t="e">
        <f>-SUM([1]Bancassurance!$AC$45:$AI$45,[1]Bancassurance!$BE$45:$BG$45)/1000/U145</f>
        <v>#DIV/0!</v>
      </c>
      <c r="V153" s="127" t="e">
        <f>-SUM([1]Bancassurance!$AC$46:$AI$46,[1]Bancassurance!$BE$46:$BG$46)/1000/V145</f>
        <v>#DIV/0!</v>
      </c>
      <c r="W153" s="127" t="e">
        <f>-SUM([1]Bancassurance!$AC$47:$AI$47,[1]Bancassurance!$BE$47:$BG$47)/1000/W145</f>
        <v>#DIV/0!</v>
      </c>
      <c r="X153" s="134"/>
      <c r="Y153" s="126" t="e">
        <f>-SUM([1]Specials!$AC$45:$AI$45,[1]Specials!$BE$45:$BG$45)/1000/Y145</f>
        <v>#DIV/0!</v>
      </c>
      <c r="Z153" s="127" t="e">
        <f>-SUM([1]Specials!$AC$46:$AI$46,[1]Specials!$BE$46:$BG$46)/1000/Z145</f>
        <v>#DIV/0!</v>
      </c>
      <c r="AA153" s="127" t="e">
        <f>-SUM([1]Specials!$AC$47:$AI$47,[1]Specials!$BE$47:$BG$47)/1000/AA145</f>
        <v>#DIV/0!</v>
      </c>
      <c r="AB153" s="134"/>
      <c r="AC153" s="129">
        <f>-SUM('[1]Total P&amp;C'!$AC$45:$AI$45,'[1]Total P&amp;C'!$BE$45:$BG$45)/1000/AC145</f>
        <v>3.0892752941465165E-2</v>
      </c>
      <c r="AD153" s="130">
        <f>-SUM('[1]Total P&amp;C'!$AC$46:$AI$46,'[1]Total P&amp;C'!$BE$46:$BG$46)/1000/AD145</f>
        <v>-0.51052985178637933</v>
      </c>
      <c r="AE153" s="130">
        <f>-SUM('[1]Total P&amp;C'!$AC$47:$AI$47,'[1]Total P&amp;C'!$BE$47:$BG$47)/1000/AE145</f>
        <v>-1.0397160648591345E-2</v>
      </c>
      <c r="AG153" s="215"/>
      <c r="AH153" s="115"/>
      <c r="AI153" s="116" t="s">
        <v>57</v>
      </c>
      <c r="AJ153" s="134"/>
      <c r="AK153" s="126" t="e">
        <f>-SUM([2]Retail!$AC$45:$AI$45,[2]Retail!$BE$45:$BG$45)/1000/AK145</f>
        <v>#DIV/0!</v>
      </c>
      <c r="AL153" s="127" t="e">
        <f>-SUM([2]Retail!$AC$46:$AI$46,[2]Retail!$BE$46:$BG$46)/1000/AL145</f>
        <v>#DIV/0!</v>
      </c>
      <c r="AM153" s="127" t="e">
        <f>-SUM([2]Retail!$AC$47:$AI$47,[2]Retail!$BE$47:$BG$47)/1000/AM145</f>
        <v>#DIV/0!</v>
      </c>
      <c r="AN153" s="134"/>
      <c r="AO153" s="126" t="e">
        <f>-SUM([2]SME!$AC$45:$AI$45,[2]SME!$BE$45:$BG$45)/1000/AO145</f>
        <v>#DIV/0!</v>
      </c>
      <c r="AP153" s="127" t="e">
        <f>-SUM([2]SME!$AC$46:$AI$46,[2]SME!$BE$46:$BG$46)/1000/AP145</f>
        <v>#DIV/0!</v>
      </c>
      <c r="AQ153" s="127" t="e">
        <f>-SUM([2]SME!$AC$47:$AI$47,[2]SME!$BE$47:$BG$47)/1000/AQ145</f>
        <v>#DIV/0!</v>
      </c>
      <c r="AR153" s="134"/>
      <c r="AS153" s="128">
        <f>-SUM([2]MidCorp!$AC$45:$AI$45,[2]MidCorp!$BE$45:$BG$45)/1000/AS145</f>
        <v>0.46939273366550321</v>
      </c>
      <c r="AT153" s="127">
        <f>-SUM([2]MidCorp!$AC$46:$AI$46,[2]MidCorp!$BE$46:$BG$46)/1000/AT145</f>
        <v>0.20844994976735676</v>
      </c>
      <c r="AU153" s="127">
        <f>-SUM([2]MidCorp!$AC$47:$AI$47,[2]MidCorp!$BE$47:$BG$47)/1000/AU145</f>
        <v>-8.248595134402804E-3</v>
      </c>
      <c r="AV153" s="134"/>
      <c r="AW153" s="131"/>
      <c r="AX153" s="127"/>
      <c r="AY153" s="127"/>
      <c r="AZ153" s="134"/>
      <c r="BA153" s="131"/>
      <c r="BB153" s="127"/>
      <c r="BC153" s="127"/>
      <c r="BD153" s="134"/>
      <c r="BE153" s="131"/>
      <c r="BF153" s="127"/>
      <c r="BG153" s="127"/>
      <c r="BH153" s="134"/>
      <c r="BI153" s="129">
        <f>-SUM('[2]Total P&amp;C'!$AC$45:$AI$45,'[2]Total P&amp;C'!$BE$45:$BG$45)/1000/BI145</f>
        <v>0.47148836122317422</v>
      </c>
      <c r="BJ153" s="130">
        <f>-SUM('[2]Total P&amp;C'!$AC$46:$AI$46,'[2]Total P&amp;C'!$BE$46:$BG$46)/1000/BJ145</f>
        <v>0.19037348014997113</v>
      </c>
      <c r="BK153" s="130">
        <f>-SUM('[2]Total P&amp;C'!$AC$47:$AI$47,'[2]Total P&amp;C'!$BE$47:$BG$47)/1000/BK145</f>
        <v>-8.248595134402804E-3</v>
      </c>
      <c r="BM153" s="129">
        <f>-SUM('[3]Total P&amp;C'!$AC$45:$AI$45,'[3]Total P&amp;C'!$BE$45:$BG$45)/1000/BM145</f>
        <v>0.14942903184530898</v>
      </c>
      <c r="BN153" s="130">
        <f>-SUM('[3]Total P&amp;C'!$AC$46:$AI$46,'[3]Total P&amp;C'!$BE$46:$BG$46)/1000/BN145</f>
        <v>-0.31391592522677186</v>
      </c>
      <c r="BO153" s="130">
        <f>-SUM('[3]Total P&amp;C'!$AC$47:$AI$47,'[3]Total P&amp;C'!$BE$47:$BG$47)/1000/BO145</f>
        <v>-9.8863007306004488E-3</v>
      </c>
    </row>
    <row r="154" spans="1:67" hidden="1" outlineLevel="1" x14ac:dyDescent="0.3">
      <c r="A154" s="216"/>
      <c r="B154" s="115"/>
      <c r="C154" s="116" t="s">
        <v>29</v>
      </c>
      <c r="D154" s="134"/>
      <c r="E154" s="128" t="e">
        <f>-SUM([1]Retail!$AJ$45:$AK$45,[1]Retail!$BH$45:$BI$45)/1000/E145</f>
        <v>#DIV/0!</v>
      </c>
      <c r="F154" s="127" t="e">
        <f>-SUM([1]Retail!$AJ$46:$AK$46,[1]Retail!$BH$46:$BI$46)/1000/F145</f>
        <v>#DIV/0!</v>
      </c>
      <c r="G154" s="127" t="e">
        <f>-SUM([1]Retail!$AJ$47:$AK$47,[1]Retail!$BH$47:$BI$47)/1000/G145</f>
        <v>#DIV/0!</v>
      </c>
      <c r="H154" s="134"/>
      <c r="I154" s="128" t="e">
        <f>-SUM([1]SME!$AJ$45:$AK$45,[1]SME!$BH$45:$BI$45)/1000/I145</f>
        <v>#DIV/0!</v>
      </c>
      <c r="J154" s="127" t="e">
        <f>-SUM([1]SME!$AJ$46:$AK$46,[1]SME!$BH$46:$BI$46)/1000/J145</f>
        <v>#DIV/0!</v>
      </c>
      <c r="K154" s="127" t="e">
        <f>-SUM([1]SME!$AJ$47:$AK$47,[1]SME!$BH$47:$BI$47)/1000/K145</f>
        <v>#DIV/0!</v>
      </c>
      <c r="L154" s="134"/>
      <c r="M154" s="126">
        <f>-SUM([1]MidCorp!$AJ$45:$AK$45,[1]MidCorp!$BH$45:$BI$45)/1000/M145</f>
        <v>-1.2624871863901597E-3</v>
      </c>
      <c r="N154" s="127">
        <f>-SUM([1]MidCorp!$AJ$46:$AK$46,[1]MidCorp!$BH$46:$BI$46)/1000/N145</f>
        <v>5.0144963754452036E-2</v>
      </c>
      <c r="O154" s="127">
        <f>-SUM([1]MidCorp!$AJ$47:$AK$47,[1]MidCorp!$BH$47:$BI$47)/1000/O145</f>
        <v>0</v>
      </c>
      <c r="P154" s="134"/>
      <c r="Q154" s="128" t="e">
        <f>-SUM([1]MGA!$AJ$45:$AK$45,[1]MGA!$BH$45:$BI$45)/1000/Q145</f>
        <v>#DIV/0!</v>
      </c>
      <c r="R154" s="127" t="e">
        <f>-SUM([1]MGA!$AJ$46:$AK$46,[1]MGA!$BH$46:$BI$46)/1000/R145</f>
        <v>#DIV/0!</v>
      </c>
      <c r="S154" s="127" t="e">
        <f>-SUM([1]MGA!$AJ$47:$AK$47,[1]MGA!$BH$47:$BI$47)/1000/S145</f>
        <v>#DIV/0!</v>
      </c>
      <c r="T154" s="134"/>
      <c r="U154" s="128" t="e">
        <f>-SUM([1]Bancassurance!$AJ$45:$AK$45,[1]Bancassurance!$BH$45:$BI$45)/1000/U145</f>
        <v>#DIV/0!</v>
      </c>
      <c r="V154" s="127" t="e">
        <f>-SUM([1]Bancassurance!$AJ$46:$AK$46,[1]Bancassurance!$BH$46:$BI$46)/1000/V145</f>
        <v>#DIV/0!</v>
      </c>
      <c r="W154" s="127" t="e">
        <f>-SUM([1]Bancassurance!$AJ$47:$AK$47,[1]Bancassurance!$BH$47:$BI$47)/1000/W145</f>
        <v>#DIV/0!</v>
      </c>
      <c r="X154" s="134"/>
      <c r="Y154" s="128" t="e">
        <f>-SUM([1]Specials!$AJ$45:$AK$45,[1]Specials!$BH$45:$BI$45)/1000/Y145</f>
        <v>#DIV/0!</v>
      </c>
      <c r="Z154" s="127" t="e">
        <f>-SUM([1]Specials!$AJ$46:$AK$46,[1]Specials!$BH$46:$BI$46)/1000/Z145</f>
        <v>#DIV/0!</v>
      </c>
      <c r="AA154" s="127" t="e">
        <f>-SUM([1]Specials!$AJ$47:$AK$47,[1]Specials!$BH$47:$BI$47)/1000/AA145</f>
        <v>#DIV/0!</v>
      </c>
      <c r="AB154" s="134"/>
      <c r="AC154" s="132">
        <f>-SUM('[1]Total P&amp;C'!$AJ$45:$AK$45,'[1]Total P&amp;C'!$BH$45:$BI$45)/1000/AC145</f>
        <v>-1.2373176145396309E-3</v>
      </c>
      <c r="AD154" s="130">
        <f>-SUM('[1]Total P&amp;C'!$AJ$46:$AK$46,'[1]Total P&amp;C'!$BH$46:$BI$46)/1000/AD145</f>
        <v>4.9964197074063625E-2</v>
      </c>
      <c r="AE154" s="130">
        <f>-SUM('[1]Total P&amp;C'!$AJ$47:$AK$47,'[1]Total P&amp;C'!$BH$47:$BI$47)/1000/AE145</f>
        <v>0</v>
      </c>
      <c r="AG154" s="215"/>
      <c r="AH154" s="115"/>
      <c r="AI154" s="116" t="s">
        <v>29</v>
      </c>
      <c r="AJ154" s="134"/>
      <c r="AK154" s="128" t="e">
        <f>-SUM([2]Retail!$AJ$45:$AK$45,[2]Retail!$BH$45:$BI$45)/1000/AK145</f>
        <v>#DIV/0!</v>
      </c>
      <c r="AL154" s="127" t="e">
        <f>-SUM([2]Retail!$AJ$46:$AK$46,[2]Retail!$BH$46:$BI$46)/1000/AL145</f>
        <v>#DIV/0!</v>
      </c>
      <c r="AM154" s="127" t="e">
        <f>-SUM([2]Retail!$AJ$47:$AK$47,[2]Retail!$BH$47:$BI$47)/1000/AM145</f>
        <v>#DIV/0!</v>
      </c>
      <c r="AN154" s="134"/>
      <c r="AO154" s="128" t="e">
        <f>-SUM([2]SME!$AJ$45:$AK$45,[2]SME!$BH$45:$BI$45)/1000/AO145</f>
        <v>#DIV/0!</v>
      </c>
      <c r="AP154" s="127" t="e">
        <f>-SUM([2]SME!$AJ$46:$AK$46,[2]SME!$BH$46:$BI$46)/1000/AP145</f>
        <v>#DIV/0!</v>
      </c>
      <c r="AQ154" s="127" t="e">
        <f>-SUM([2]SME!$AJ$47:$AK$47,[2]SME!$BH$47:$BI$47)/1000/AQ145</f>
        <v>#DIV/0!</v>
      </c>
      <c r="AR154" s="134"/>
      <c r="AS154" s="126">
        <f>-SUM([2]MidCorp!$AJ$45:$AK$45,[2]MidCorp!$BH$45:$BI$45)/1000/AS145</f>
        <v>-0.10967337980362385</v>
      </c>
      <c r="AT154" s="127">
        <f>-SUM([2]MidCorp!$AJ$46:$AK$46,[2]MidCorp!$BH$46:$BI$46)/1000/AT145</f>
        <v>8.8548333544126889E-2</v>
      </c>
      <c r="AU154" s="127">
        <f>-SUM([2]MidCorp!$AJ$47:$AK$47,[2]MidCorp!$BH$47:$BI$47)/1000/AU145</f>
        <v>0</v>
      </c>
      <c r="AV154" s="134"/>
      <c r="AW154" s="131"/>
      <c r="AX154" s="127"/>
      <c r="AY154" s="127"/>
      <c r="AZ154" s="134"/>
      <c r="BA154" s="131"/>
      <c r="BB154" s="127"/>
      <c r="BC154" s="127"/>
      <c r="BD154" s="134"/>
      <c r="BE154" s="131"/>
      <c r="BF154" s="127"/>
      <c r="BG154" s="127"/>
      <c r="BH154" s="134"/>
      <c r="BI154" s="132">
        <f>-SUM('[2]Total P&amp;C'!$AJ$45:$AK$45,'[2]Total P&amp;C'!$BH$45:$BI$45)/1000/BI145</f>
        <v>-0.11033010676638365</v>
      </c>
      <c r="BJ154" s="130">
        <f>-SUM('[2]Total P&amp;C'!$AJ$46:$AK$46,'[2]Total P&amp;C'!$BH$46:$BI$46)/1000/BJ145</f>
        <v>8.9832539463197164E-2</v>
      </c>
      <c r="BK154" s="130">
        <f>-SUM('[2]Total P&amp;C'!$AJ$47:$AK$47,'[2]Total P&amp;C'!$BH$47:$BI$47)/1000/BK145</f>
        <v>0</v>
      </c>
      <c r="BM154" s="132">
        <f>-SUM('[3]Total P&amp;C'!$AJ$45:$AK$45,'[3]Total P&amp;C'!$BH$45:$BI$45)/1000/BM145</f>
        <v>-3.0587254468728751E-2</v>
      </c>
      <c r="BN154" s="130">
        <f>-SUM('[3]Total P&amp;C'!$AJ$46:$AK$46,'[3]Total P&amp;C'!$BH$46:$BI$46)/1000/BN145</f>
        <v>6.1147866754866657E-2</v>
      </c>
      <c r="BO154" s="130">
        <f>-SUM('[3]Total P&amp;C'!$AJ$47:$AK$47,'[3]Total P&amp;C'!$BH$47:$BI$47)/1000/BO145</f>
        <v>0</v>
      </c>
    </row>
    <row r="155" spans="1:67" hidden="1" outlineLevel="1" x14ac:dyDescent="0.3">
      <c r="A155" s="216"/>
      <c r="B155" s="115"/>
      <c r="C155" s="116" t="s">
        <v>58</v>
      </c>
      <c r="D155" s="134"/>
      <c r="E155" s="128" t="e">
        <f>+E156+E157+E158</f>
        <v>#DIV/0!</v>
      </c>
      <c r="F155" s="127" t="e">
        <f>+F156+F157+F158</f>
        <v>#DIV/0!</v>
      </c>
      <c r="G155" s="127" t="e">
        <f>+G156+G157+G158</f>
        <v>#DIV/0!</v>
      </c>
      <c r="H155" s="134"/>
      <c r="I155" s="128" t="e">
        <f>+I156+I157+I158</f>
        <v>#DIV/0!</v>
      </c>
      <c r="J155" s="127" t="e">
        <f>+J156+J157+J158</f>
        <v>#DIV/0!</v>
      </c>
      <c r="K155" s="127" t="e">
        <f>+K156+K157+K158</f>
        <v>#DIV/0!</v>
      </c>
      <c r="L155" s="134"/>
      <c r="M155" s="126">
        <f>+M156+M157+M158</f>
        <v>0.22730942927851217</v>
      </c>
      <c r="N155" s="127">
        <f>+N156+N157+N158</f>
        <v>0.21815370520565497</v>
      </c>
      <c r="O155" s="127">
        <f>+O156+O157+O158</f>
        <v>0.22930481453475929</v>
      </c>
      <c r="P155" s="134"/>
      <c r="Q155" s="128" t="e">
        <f>+Q156+Q157+Q158</f>
        <v>#DIV/0!</v>
      </c>
      <c r="R155" s="127" t="e">
        <f>+R156+R157+R158</f>
        <v>#DIV/0!</v>
      </c>
      <c r="S155" s="127" t="e">
        <f>+S156+S157+S158</f>
        <v>#DIV/0!</v>
      </c>
      <c r="T155" s="134"/>
      <c r="U155" s="128" t="e">
        <f>+U156+U157+U158</f>
        <v>#DIV/0!</v>
      </c>
      <c r="V155" s="127" t="e">
        <f>+V156+V157+V158</f>
        <v>#DIV/0!</v>
      </c>
      <c r="W155" s="127" t="e">
        <f>+W156+W157+W158</f>
        <v>#DIV/0!</v>
      </c>
      <c r="X155" s="134"/>
      <c r="Y155" s="128" t="e">
        <f>+Y156+Y157+Y158</f>
        <v>#DIV/0!</v>
      </c>
      <c r="Z155" s="127" t="e">
        <f>+Z156+Z157+Z158</f>
        <v>#DIV/0!</v>
      </c>
      <c r="AA155" s="127" t="e">
        <f>+AA156+AA157+AA158</f>
        <v>#DIV/0!</v>
      </c>
      <c r="AB155" s="134"/>
      <c r="AC155" s="132">
        <f>+AC156+AC157+AC158</f>
        <v>0.22730942927851217</v>
      </c>
      <c r="AD155" s="130">
        <f>+AD156+AD157+AD158</f>
        <v>0.21815370520565497</v>
      </c>
      <c r="AE155" s="130">
        <f>+AE156+AE157+AE158</f>
        <v>0.22930481453475929</v>
      </c>
      <c r="AG155" s="215"/>
      <c r="AH155" s="115"/>
      <c r="AI155" s="116" t="s">
        <v>58</v>
      </c>
      <c r="AJ155" s="134"/>
      <c r="AK155" s="126" t="e">
        <f>+AK156+AK157+AK158</f>
        <v>#DIV/0!</v>
      </c>
      <c r="AL155" s="127" t="e">
        <f>+AL156+AL157+AL158</f>
        <v>#DIV/0!</v>
      </c>
      <c r="AM155" s="127" t="e">
        <f>+AM156+AM157+AM158</f>
        <v>#DIV/0!</v>
      </c>
      <c r="AN155" s="134"/>
      <c r="AO155" s="128" t="e">
        <f>+AO156+AO157+AO158</f>
        <v>#DIV/0!</v>
      </c>
      <c r="AP155" s="127" t="e">
        <f>+AP156+AP157+AP158</f>
        <v>#DIV/0!</v>
      </c>
      <c r="AQ155" s="127" t="e">
        <f>+AQ156+AQ157+AQ158</f>
        <v>#DIV/0!</v>
      </c>
      <c r="AR155" s="134"/>
      <c r="AS155" s="128">
        <f>+AS156+AS157+AS158</f>
        <v>0.37885500296487168</v>
      </c>
      <c r="AT155" s="127">
        <f>+AT156+AT157+AT158</f>
        <v>0.50247936186951569</v>
      </c>
      <c r="AU155" s="127">
        <f>+AU156+AU157+AU158</f>
        <v>0.31941606983735427</v>
      </c>
      <c r="AV155" s="134"/>
      <c r="AW155" s="131"/>
      <c r="AX155" s="127"/>
      <c r="AY155" s="127"/>
      <c r="AZ155" s="134"/>
      <c r="BA155" s="131"/>
      <c r="BB155" s="127"/>
      <c r="BC155" s="127"/>
      <c r="BD155" s="134"/>
      <c r="BE155" s="131"/>
      <c r="BF155" s="127"/>
      <c r="BG155" s="127"/>
      <c r="BH155" s="134"/>
      <c r="BI155" s="129">
        <f>+BI156+BI157+BI158</f>
        <v>0.37885500296487168</v>
      </c>
      <c r="BJ155" s="130">
        <f>+BJ156+BJ157+BJ158</f>
        <v>0.50247936186951569</v>
      </c>
      <c r="BK155" s="130">
        <f>+BK156+BK157+BK158</f>
        <v>0.31941606983735427</v>
      </c>
      <c r="BM155" s="129">
        <f>+BM156+BM157+BM158</f>
        <v>0.26808071263103184</v>
      </c>
      <c r="BN155" s="130">
        <f>+BN156+BN157+BN158</f>
        <v>0.29791132830595013</v>
      </c>
      <c r="BO155" s="130">
        <f>+BO156+BO157+BO158</f>
        <v>0.25073037879609694</v>
      </c>
    </row>
    <row r="156" spans="1:67" ht="14.5" hidden="1" outlineLevel="1" x14ac:dyDescent="0.3">
      <c r="A156" s="216"/>
      <c r="B156" s="115"/>
      <c r="C156" s="39" t="s">
        <v>59</v>
      </c>
      <c r="D156" s="135"/>
      <c r="E156" s="73" t="e">
        <f>-SUM([1]Retail!$AL$45:$AN$45,[1]Retail!$BJ$45)/1000/E145</f>
        <v>#DIV/0!</v>
      </c>
      <c r="F156" s="42" t="e">
        <f>-SUM([1]Retail!$AL$46:$AN$46,[1]Retail!$BJ$46)/1000/F145</f>
        <v>#DIV/0!</v>
      </c>
      <c r="G156" s="42" t="e">
        <f>-SUM([1]Retail!$AL$47:$AN$47,[1]Retail!$BJ$47)/1000/G145</f>
        <v>#DIV/0!</v>
      </c>
      <c r="H156" s="135"/>
      <c r="I156" s="73" t="e">
        <f>-SUM([1]SME!$AL$45:$AN$45,[1]SME!$BJ$45)/1000/I145</f>
        <v>#DIV/0!</v>
      </c>
      <c r="J156" s="42" t="e">
        <f>-SUM([1]SME!$AL$46:$AN$46,[1]SME!$BJ$46)/1000/J145</f>
        <v>#DIV/0!</v>
      </c>
      <c r="K156" s="42" t="e">
        <f>-SUM([1]SME!$AL$47:$AN$47,[1]SME!$BJ$47)/1000/K145</f>
        <v>#DIV/0!</v>
      </c>
      <c r="L156" s="135"/>
      <c r="M156" s="73">
        <f>-SUM([1]MidCorp!$AL$45:$AN$45,[1]MidCorp!$BJ$45)/1000/M145</f>
        <v>0.16153917643689397</v>
      </c>
      <c r="N156" s="42">
        <f>-SUM([1]MidCorp!$AL$46:$AN$46,[1]MidCorp!$BJ$46)/1000/N145</f>
        <v>0.15517563375062399</v>
      </c>
      <c r="O156" s="42">
        <f>-SUM([1]MidCorp!$AL$47:$AN$47,[1]MidCorp!$BJ$47)/1000/O145</f>
        <v>0.14792480474771946</v>
      </c>
      <c r="P156" s="135"/>
      <c r="Q156" s="73" t="e">
        <f>-SUM([1]MGA!$AL$45:$AN$45,[1]MGA!$BJ$45)/1000/Q145</f>
        <v>#DIV/0!</v>
      </c>
      <c r="R156" s="42" t="e">
        <f>-SUM([1]MGA!$AL$46:$AN$46,[1]MGA!$BJ$46)/1000/R145</f>
        <v>#DIV/0!</v>
      </c>
      <c r="S156" s="42" t="e">
        <f>-SUM([1]MGA!$AL$47:$AN$47,[1]MGA!$BJ$47)/1000/S145</f>
        <v>#DIV/0!</v>
      </c>
      <c r="T156" s="135"/>
      <c r="U156" s="73" t="e">
        <f>-SUM([1]Bancassurance!$AL$45:$AN$45,[1]Bancassurance!$BJ$45)/1000/U145</f>
        <v>#DIV/0!</v>
      </c>
      <c r="V156" s="42" t="e">
        <f>-SUM([1]Bancassurance!$AL$46:$AN$46,[1]Bancassurance!$BJ$46)/1000/V145</f>
        <v>#DIV/0!</v>
      </c>
      <c r="W156" s="42" t="e">
        <f>-SUM([1]Bancassurance!$AL$47:$AN$47,[1]Bancassurance!$BJ$47)/1000/W145</f>
        <v>#DIV/0!</v>
      </c>
      <c r="X156" s="135"/>
      <c r="Y156" s="73" t="e">
        <f>-SUM([1]Specials!$AL$45:$AN$45,[1]Specials!$BJ$45)/1000/Y145</f>
        <v>#DIV/0!</v>
      </c>
      <c r="Z156" s="42" t="e">
        <f>-SUM([1]Specials!$AL$46:$AN$46,[1]Specials!$BJ$46)/1000/Z145</f>
        <v>#DIV/0!</v>
      </c>
      <c r="AA156" s="42" t="e">
        <f>-SUM([1]Specials!$AL$47:$AN$47,[1]Specials!$BJ$47)/1000/AA145</f>
        <v>#DIV/0!</v>
      </c>
      <c r="AB156" s="135"/>
      <c r="AC156" s="84">
        <f>-SUM('[1]Total P&amp;C'!$AL$45:$AN$45,'[1]Total P&amp;C'!$BJ$45)/1000/AC145</f>
        <v>0.16153917643689397</v>
      </c>
      <c r="AD156" s="60">
        <f>-SUM('[1]Total P&amp;C'!$AL$46:$AN$46,'[1]Total P&amp;C'!$BJ$46)/1000/AD145</f>
        <v>0.15517563375062399</v>
      </c>
      <c r="AE156" s="60">
        <f>-SUM('[1]Total P&amp;C'!$AL$47:$AN$47,'[1]Total P&amp;C'!$BJ$47)/1000/AE145</f>
        <v>0.14792480474771946</v>
      </c>
      <c r="AG156" s="215"/>
      <c r="AH156" s="115"/>
      <c r="AI156" s="39" t="s">
        <v>59</v>
      </c>
      <c r="AJ156" s="135"/>
      <c r="AK156" s="73" t="e">
        <f>-SUM([2]Retail!$AL$45:$AN$45,[2]Retail!$BJ$45)/1000/AK145</f>
        <v>#DIV/0!</v>
      </c>
      <c r="AL156" s="42" t="e">
        <f>-SUM([2]Retail!$AL$46:$AN$46,[2]Retail!$BJ$46)/1000/AL145</f>
        <v>#DIV/0!</v>
      </c>
      <c r="AM156" s="42" t="e">
        <f>-SUM([2]Retail!$AL$47:$AN$47,[2]Retail!$BJ$47)/1000/AM145</f>
        <v>#DIV/0!</v>
      </c>
      <c r="AN156" s="135"/>
      <c r="AO156" s="73" t="e">
        <f>-SUM([2]SME!$AL$45:$AN$45,[2]SME!$BJ$45)/1000/AO145</f>
        <v>#DIV/0!</v>
      </c>
      <c r="AP156" s="42" t="e">
        <f>-SUM([2]SME!$AL$46:$AN$46,[2]SME!$BJ$46)/1000/AP145</f>
        <v>#DIV/0!</v>
      </c>
      <c r="AQ156" s="42" t="e">
        <f>-SUM([2]SME!$AL$47:$AN$47,[2]SME!$BJ$47)/1000/AQ145</f>
        <v>#DIV/0!</v>
      </c>
      <c r="AR156" s="135"/>
      <c r="AS156" s="73">
        <f>-SUM([2]MidCorp!$AL$45:$AN$45,[2]MidCorp!$BJ$45)/1000/AS145</f>
        <v>0.21025180254911197</v>
      </c>
      <c r="AT156" s="42">
        <f>-SUM([2]MidCorp!$AL$46:$AN$46,[2]MidCorp!$BJ$46)/1000/AT145</f>
        <v>0.21050558688047108</v>
      </c>
      <c r="AU156" s="42">
        <f>-SUM([2]MidCorp!$AL$47:$AN$47,[2]MidCorp!$BJ$47)/1000/AU145</f>
        <v>0.12542056772371679</v>
      </c>
      <c r="AV156" s="135"/>
      <c r="AW156" s="97"/>
      <c r="AX156" s="42"/>
      <c r="AY156" s="42"/>
      <c r="AZ156" s="135"/>
      <c r="BA156" s="97"/>
      <c r="BB156" s="42"/>
      <c r="BC156" s="42"/>
      <c r="BD156" s="135"/>
      <c r="BE156" s="97"/>
      <c r="BF156" s="42"/>
      <c r="BG156" s="42"/>
      <c r="BH156" s="135"/>
      <c r="BI156" s="84">
        <f>-SUM('[2]Total P&amp;C'!$AL$45:$AN$45,'[2]Total P&amp;C'!$BJ$45)/1000/BI145</f>
        <v>0.21025180254911197</v>
      </c>
      <c r="BJ156" s="60">
        <f>-SUM('[2]Total P&amp;C'!$AL$46:$AN$46,'[2]Total P&amp;C'!$BJ$46)/1000/BJ145</f>
        <v>0.21050558688047108</v>
      </c>
      <c r="BK156" s="60">
        <f>-SUM('[2]Total P&amp;C'!$AL$47:$AN$47,'[2]Total P&amp;C'!$BJ$47)/1000/BK145</f>
        <v>0.12542056772371679</v>
      </c>
      <c r="BM156" s="84">
        <f>-SUM('[3]Total P&amp;C'!$AL$45:$AN$45,'[3]Total P&amp;C'!$BJ$45)/1000/BM145</f>
        <v>0.17464464849889555</v>
      </c>
      <c r="BN156" s="60">
        <f>-SUM('[3]Total P&amp;C'!$AL$46:$AN$46,'[3]Total P&amp;C'!$BJ$46)/1000/BN145</f>
        <v>0.17069651779488215</v>
      </c>
      <c r="BO156" s="60">
        <f>-SUM('[3]Total P&amp;C'!$AL$47:$AN$47,'[3]Total P&amp;C'!$BJ$47)/1000/BO145</f>
        <v>0.14257401948908532</v>
      </c>
    </row>
    <row r="157" spans="1:67" ht="14.5" hidden="1" outlineLevel="1" x14ac:dyDescent="0.3">
      <c r="A157" s="216"/>
      <c r="B157" s="115"/>
      <c r="C157" s="39" t="s">
        <v>60</v>
      </c>
      <c r="D157" s="135"/>
      <c r="E157" s="73" t="e">
        <f>-SUM([1]Retail!$AO$45:$AP$45)/1000/E145</f>
        <v>#DIV/0!</v>
      </c>
      <c r="F157" s="42" t="e">
        <f>-SUM([1]Retail!$AO$46:$AP$46)/1000/F145</f>
        <v>#DIV/0!</v>
      </c>
      <c r="G157" s="42" t="e">
        <f>-SUM([1]Retail!$AO$47:$AP$47)/1000/G145</f>
        <v>#DIV/0!</v>
      </c>
      <c r="H157" s="135"/>
      <c r="I157" s="73" t="e">
        <f>-SUM([1]SME!$AO$45:$AP$45)/1000/I145</f>
        <v>#DIV/0!</v>
      </c>
      <c r="J157" s="42" t="e">
        <f>-SUM([1]SME!$AO$46:$AP$46)/1000/J145</f>
        <v>#DIV/0!</v>
      </c>
      <c r="K157" s="42" t="e">
        <f>-SUM([1]SME!$AO$47:$AP$47)/1000/K145</f>
        <v>#DIV/0!</v>
      </c>
      <c r="L157" s="135"/>
      <c r="M157" s="74">
        <f>-SUM([1]MidCorp!$AO$45:$AP$45)/1000/M145</f>
        <v>2.9656411258849286E-2</v>
      </c>
      <c r="N157" s="42">
        <f>-SUM([1]MidCorp!$AO$46:$AP$46)/1000/N145</f>
        <v>3.081585365393456E-2</v>
      </c>
      <c r="O157" s="42">
        <f>-SUM([1]MidCorp!$AO$47:$AP$47)/1000/O145</f>
        <v>3.3152904377682806E-2</v>
      </c>
      <c r="P157" s="135"/>
      <c r="Q157" s="73" t="e">
        <f>-SUM([1]MGA!$AO$45:$AP$45)/1000/Q145</f>
        <v>#DIV/0!</v>
      </c>
      <c r="R157" s="42" t="e">
        <f>-SUM([1]MGA!$AO$46:$AP$46)/1000/R145</f>
        <v>#DIV/0!</v>
      </c>
      <c r="S157" s="42" t="e">
        <f>-SUM([1]MGA!$AO$47:$AP$47)/1000/S145</f>
        <v>#DIV/0!</v>
      </c>
      <c r="T157" s="135"/>
      <c r="U157" s="73" t="e">
        <f>-SUM([1]Bancassurance!$AO$45:$AP$45)/1000/U145</f>
        <v>#DIV/0!</v>
      </c>
      <c r="V157" s="42" t="e">
        <f>-SUM([1]Bancassurance!$AO$46:$AP$46)/1000/V145</f>
        <v>#DIV/0!</v>
      </c>
      <c r="W157" s="42" t="e">
        <f>-SUM([1]Bancassurance!$AO$47:$AP$47)/1000/W145</f>
        <v>#DIV/0!</v>
      </c>
      <c r="X157" s="135"/>
      <c r="Y157" s="73" t="e">
        <f>-SUM([1]Specials!$AO$45:$AP$45)/1000/Y145</f>
        <v>#DIV/0!</v>
      </c>
      <c r="Z157" s="42" t="e">
        <f>-SUM([1]Specials!$AO$46:$AP$46)/1000/Z145</f>
        <v>#DIV/0!</v>
      </c>
      <c r="AA157" s="42" t="e">
        <f>-SUM([1]Specials!$AO$47:$AP$47)/1000/AA145</f>
        <v>#DIV/0!</v>
      </c>
      <c r="AB157" s="135"/>
      <c r="AC157" s="85">
        <f>-SUM('[1]Total P&amp;C'!$AO$45:$AP$45)/1000/AC145</f>
        <v>2.9656411258849286E-2</v>
      </c>
      <c r="AD157" s="60">
        <f>-SUM('[1]Total P&amp;C'!$AO$46:$AP$46)/1000/AD145</f>
        <v>3.081585365393456E-2</v>
      </c>
      <c r="AE157" s="60">
        <f>-SUM('[1]Total P&amp;C'!$AO$47:$AP$47)/1000/AE145</f>
        <v>3.3152904377682806E-2</v>
      </c>
      <c r="AG157" s="215"/>
      <c r="AH157" s="115"/>
      <c r="AI157" s="39" t="s">
        <v>60</v>
      </c>
      <c r="AJ157" s="135"/>
      <c r="AK157" s="74" t="e">
        <f>-SUM([2]Retail!$AO$45:$AP$45)/1000/AK145</f>
        <v>#DIV/0!</v>
      </c>
      <c r="AL157" s="42" t="e">
        <f>-SUM([2]Retail!$AO$46:$AP$46)/1000/AL145</f>
        <v>#DIV/0!</v>
      </c>
      <c r="AM157" s="42" t="e">
        <f>-SUM([2]Retail!$AO$47:$AP$47)/1000/AM145</f>
        <v>#DIV/0!</v>
      </c>
      <c r="AN157" s="135"/>
      <c r="AO157" s="73" t="e">
        <f>-SUM([2]SME!$AO$45:$AP$45)/1000/AO145</f>
        <v>#DIV/0!</v>
      </c>
      <c r="AP157" s="42" t="e">
        <f>-SUM([2]SME!$AO$46:$AP$46)/1000/AP145</f>
        <v>#DIV/0!</v>
      </c>
      <c r="AQ157" s="42" t="e">
        <f>-SUM([2]SME!$AO$47:$AP$47)/1000/AQ145</f>
        <v>#DIV/0!</v>
      </c>
      <c r="AR157" s="135"/>
      <c r="AS157" s="74">
        <f>-SUM([2]MidCorp!$AO$45:$AP$45)/1000/AS145</f>
        <v>6.3611479468562507E-2</v>
      </c>
      <c r="AT157" s="42">
        <f>-SUM([2]MidCorp!$AO$46:$AP$46)/1000/AT145</f>
        <v>0.1193364678327019</v>
      </c>
      <c r="AU157" s="42">
        <f>-SUM([2]MidCorp!$AO$47:$AP$47)/1000/AU145</f>
        <v>6.7906380504213687E-2</v>
      </c>
      <c r="AV157" s="135"/>
      <c r="AW157" s="97"/>
      <c r="AX157" s="42"/>
      <c r="AY157" s="42"/>
      <c r="AZ157" s="135"/>
      <c r="BA157" s="97"/>
      <c r="BB157" s="42"/>
      <c r="BC157" s="42"/>
      <c r="BD157" s="135"/>
      <c r="BE157" s="97"/>
      <c r="BF157" s="42"/>
      <c r="BG157" s="42"/>
      <c r="BH157" s="135"/>
      <c r="BI157" s="85">
        <f>-SUM('[2]Total P&amp;C'!$AO$45:$AP$45)/1000/BI145</f>
        <v>6.3611479468562507E-2</v>
      </c>
      <c r="BJ157" s="60">
        <f>-SUM('[2]Total P&amp;C'!$AO$46:$AP$46)/1000/BJ145</f>
        <v>0.1193364678327019</v>
      </c>
      <c r="BK157" s="60">
        <f>-SUM('[2]Total P&amp;C'!$AO$47:$AP$47)/1000/BK145</f>
        <v>6.7906380504213687E-2</v>
      </c>
      <c r="BM157" s="85">
        <f>-SUM('[3]Total P&amp;C'!$AO$45:$AP$45)/1000/BM145</f>
        <v>3.8791562313128865E-2</v>
      </c>
      <c r="BN157" s="60">
        <f>-SUM('[3]Total P&amp;C'!$AO$46:$AP$46)/1000/BN145</f>
        <v>5.5647217327257796E-2</v>
      </c>
      <c r="BO157" s="60">
        <f>-SUM('[3]Total P&amp;C'!$AO$47:$AP$47)/1000/BO145</f>
        <v>4.1416165538049846E-2</v>
      </c>
    </row>
    <row r="158" spans="1:67" ht="14.5" hidden="1" outlineLevel="1" x14ac:dyDescent="0.3">
      <c r="A158" s="216"/>
      <c r="B158" s="115"/>
      <c r="C158" s="39" t="s">
        <v>61</v>
      </c>
      <c r="D158" s="135"/>
      <c r="E158" s="73" t="e">
        <f>-SUM([1]Retail!$AQ$45:$AR$45)/1000/E145</f>
        <v>#DIV/0!</v>
      </c>
      <c r="F158" s="42" t="e">
        <f>-SUM([1]Retail!$AQ$46:$AR$46)/1000/F145</f>
        <v>#DIV/0!</v>
      </c>
      <c r="G158" s="42" t="e">
        <f>-SUM([1]Retail!$AQ$47:$AR$47)/1000/G145</f>
        <v>#DIV/0!</v>
      </c>
      <c r="H158" s="135"/>
      <c r="I158" s="73" t="e">
        <f>-SUM([1]SME!$AQ$45:$AR$45)/1000/I145</f>
        <v>#DIV/0!</v>
      </c>
      <c r="J158" s="42" t="e">
        <f>-SUM([1]SME!$AQ$46:$AR$46)/1000/J145</f>
        <v>#DIV/0!</v>
      </c>
      <c r="K158" s="42" t="e">
        <f>-SUM([1]SME!$AQ$47:$AR$47)/1000/K145</f>
        <v>#DIV/0!</v>
      </c>
      <c r="L158" s="135"/>
      <c r="M158" s="74">
        <f>-SUM([1]MidCorp!$AQ$45:$AR$45)/1000/M145</f>
        <v>3.6113841582768889E-2</v>
      </c>
      <c r="N158" s="42">
        <f>-SUM([1]MidCorp!$AQ$46:$AR$46)/1000/N145</f>
        <v>3.2162217801096439E-2</v>
      </c>
      <c r="O158" s="42">
        <f>-SUM([1]MidCorp!$AQ$47:$AR$47)/1000/O145</f>
        <v>4.8227105409357013E-2</v>
      </c>
      <c r="P158" s="135"/>
      <c r="Q158" s="73" t="e">
        <f>-SUM([1]MGA!$AQ$45:$AR$45)/1000/Q145</f>
        <v>#DIV/0!</v>
      </c>
      <c r="R158" s="42" t="e">
        <f>-SUM([1]MGA!$AQ$46:$AR$46)/1000/R145</f>
        <v>#DIV/0!</v>
      </c>
      <c r="S158" s="42" t="e">
        <f>-SUM([1]MGA!$AQ$47:$AR$47)/1000/S145</f>
        <v>#DIV/0!</v>
      </c>
      <c r="T158" s="135"/>
      <c r="U158" s="73" t="e">
        <f>-SUM([1]Bancassurance!$AQ$45:$AR$45)/1000/U145</f>
        <v>#DIV/0!</v>
      </c>
      <c r="V158" s="42" t="e">
        <f>-SUM([1]Bancassurance!$AQ$46:$AR$46)/1000/V145</f>
        <v>#DIV/0!</v>
      </c>
      <c r="W158" s="42" t="e">
        <f>-SUM([1]Bancassurance!$AQ$47:$AR$47)/1000/W145</f>
        <v>#DIV/0!</v>
      </c>
      <c r="X158" s="135"/>
      <c r="Y158" s="73" t="e">
        <f>-SUM([1]Specials!$AQ$45:$AR$45)/1000/Y145</f>
        <v>#DIV/0!</v>
      </c>
      <c r="Z158" s="42" t="e">
        <f>-SUM([1]Specials!$AQ$46:$AR$46)/1000/Z145</f>
        <v>#DIV/0!</v>
      </c>
      <c r="AA158" s="42" t="e">
        <f>-SUM([1]Specials!$AQ$47:$AR$47)/1000/AA145</f>
        <v>#DIV/0!</v>
      </c>
      <c r="AB158" s="135"/>
      <c r="AC158" s="85">
        <f>-SUM('[1]Total P&amp;C'!$AQ$45:$AR$45)/1000/AC145</f>
        <v>3.6113841582768889E-2</v>
      </c>
      <c r="AD158" s="60">
        <f>-SUM('[1]Total P&amp;C'!$AQ$46:$AR$46)/1000/AD145</f>
        <v>3.2162217801096439E-2</v>
      </c>
      <c r="AE158" s="60">
        <f>-SUM('[1]Total P&amp;C'!$AQ$47:$AR$47)/1000/AE145</f>
        <v>4.8227105409357013E-2</v>
      </c>
      <c r="AG158" s="215"/>
      <c r="AH158" s="115"/>
      <c r="AI158" s="39" t="s">
        <v>61</v>
      </c>
      <c r="AJ158" s="135"/>
      <c r="AK158" s="74" t="e">
        <f>-SUM([2]Retail!$AQ$45:$AR$45)/1000/AK145</f>
        <v>#DIV/0!</v>
      </c>
      <c r="AL158" s="42" t="e">
        <f>-SUM([2]Retail!$AQ$46:$AR$46)/1000/AL145</f>
        <v>#DIV/0!</v>
      </c>
      <c r="AM158" s="42" t="e">
        <f>-SUM([2]Retail!$AQ$47:$AR$47)/1000/AM145</f>
        <v>#DIV/0!</v>
      </c>
      <c r="AN158" s="135"/>
      <c r="AO158" s="73" t="e">
        <f>-SUM([2]SME!$AQ$45:$AR$45)/1000/AO145</f>
        <v>#DIV/0!</v>
      </c>
      <c r="AP158" s="42" t="e">
        <f>-SUM([2]SME!$AQ$46:$AR$46)/1000/AP145</f>
        <v>#DIV/0!</v>
      </c>
      <c r="AQ158" s="42" t="e">
        <f>-SUM([2]SME!$AQ$47:$AR$47)/1000/AQ145</f>
        <v>#DIV/0!</v>
      </c>
      <c r="AR158" s="135"/>
      <c r="AS158" s="74">
        <f>-SUM([2]MidCorp!$AQ$45:$AR$45)/1000/AS145</f>
        <v>0.10499172094719723</v>
      </c>
      <c r="AT158" s="42">
        <f>-SUM([2]MidCorp!$AQ$46:$AR$46)/1000/AT145</f>
        <v>0.17263730715634276</v>
      </c>
      <c r="AU158" s="42">
        <f>-SUM([2]MidCorp!$AQ$47:$AR$47)/1000/AU145</f>
        <v>0.12608912160942376</v>
      </c>
      <c r="AV158" s="135"/>
      <c r="AW158" s="97"/>
      <c r="AX158" s="42"/>
      <c r="AY158" s="42"/>
      <c r="AZ158" s="135"/>
      <c r="BA158" s="97"/>
      <c r="BB158" s="42"/>
      <c r="BC158" s="42"/>
      <c r="BD158" s="135"/>
      <c r="BE158" s="97"/>
      <c r="BF158" s="42"/>
      <c r="BG158" s="42"/>
      <c r="BH158" s="135"/>
      <c r="BI158" s="85">
        <f>-SUM('[2]Total P&amp;C'!$AQ$45:$AR$45)/1000/BI145</f>
        <v>0.10499172094719723</v>
      </c>
      <c r="BJ158" s="60">
        <f>-SUM('[2]Total P&amp;C'!$AQ$46:$AR$46)/1000/BJ145</f>
        <v>0.17263730715634276</v>
      </c>
      <c r="BK158" s="60">
        <f>-SUM('[2]Total P&amp;C'!$AQ$47:$AR$47)/1000/BK145</f>
        <v>0.12608912160942376</v>
      </c>
      <c r="BM158" s="85">
        <f>-SUM('[3]Total P&amp;C'!$AQ$45:$AR$45)/1000/BM145</f>
        <v>5.4644501819007402E-2</v>
      </c>
      <c r="BN158" s="60">
        <f>-SUM('[3]Total P&amp;C'!$AQ$46:$AR$46)/1000/BN145</f>
        <v>7.1567593183810174E-2</v>
      </c>
      <c r="BO158" s="60">
        <f>-SUM('[3]Total P&amp;C'!$AQ$47:$AR$47)/1000/BO145</f>
        <v>6.6740193768961786E-2</v>
      </c>
    </row>
    <row r="159" spans="1:67" hidden="1" outlineLevel="1" x14ac:dyDescent="0.3">
      <c r="A159" s="216"/>
      <c r="B159" s="115"/>
      <c r="C159" s="116" t="s">
        <v>34</v>
      </c>
      <c r="D159" s="117"/>
      <c r="E159" s="121">
        <f>+[1]Retail!$BK$45/1000</f>
        <v>0</v>
      </c>
      <c r="F159" s="119">
        <f>+[1]Retail!$BK$46/1000</f>
        <v>0</v>
      </c>
      <c r="G159" s="119">
        <f>+[1]Retail!$BK$47/1000</f>
        <v>0</v>
      </c>
      <c r="H159" s="117"/>
      <c r="I159" s="121">
        <f>+[1]SME!$BK$45/1000</f>
        <v>-8.2054980000000041E-2</v>
      </c>
      <c r="J159" s="119">
        <f>+[1]SME!$BK$46/1000</f>
        <v>-0.12418120999999999</v>
      </c>
      <c r="K159" s="119">
        <f>+[1]SME!$BK$47/1000</f>
        <v>0</v>
      </c>
      <c r="L159" s="117"/>
      <c r="M159" s="121">
        <f>+[1]MidCorp!$BK$45/1000</f>
        <v>1.1770711500000011</v>
      </c>
      <c r="N159" s="119">
        <f>+[1]MidCorp!$BK$46/1000</f>
        <v>4.1894114200000008</v>
      </c>
      <c r="O159" s="119">
        <f>+[1]MidCorp!$BK$47/1000</f>
        <v>1.7639310667034251</v>
      </c>
      <c r="P159" s="117"/>
      <c r="Q159" s="118">
        <f>+[1]MGA!$BK$45/1000</f>
        <v>2.3092638912203255E-17</v>
      </c>
      <c r="R159" s="119">
        <f>+[1]MGA!$BK$46/1000</f>
        <v>0</v>
      </c>
      <c r="S159" s="119">
        <f>+[1]MGA!$BK$47/1000</f>
        <v>-8.8812571213669877E-3</v>
      </c>
      <c r="T159" s="117"/>
      <c r="U159" s="121">
        <f>+[1]Bancassurance!$BK$45/1000</f>
        <v>0</v>
      </c>
      <c r="V159" s="119">
        <f>+[1]Bancassurance!$BK$46/1000</f>
        <v>0</v>
      </c>
      <c r="W159" s="119">
        <f>+[1]Bancassurance!$BK$47/1000</f>
        <v>0</v>
      </c>
      <c r="X159" s="117"/>
      <c r="Y159" s="121">
        <f>+[1]Specials!$BK$45/1000</f>
        <v>0</v>
      </c>
      <c r="Z159" s="119">
        <f>+[1]Specials!$BK$46/1000</f>
        <v>0</v>
      </c>
      <c r="AA159" s="119">
        <f>+[1]Specials!$BK$47/1000</f>
        <v>0</v>
      </c>
      <c r="AB159" s="117"/>
      <c r="AC159" s="124">
        <f>+'[1]Total P&amp;C'!$BK$45/1000</f>
        <v>1.0950161700000021</v>
      </c>
      <c r="AD159" s="123">
        <f>+'[1]Total P&amp;C'!$BK$46/1000</f>
        <v>4.065230210000002</v>
      </c>
      <c r="AE159" s="123">
        <f>+'[1]Total P&amp;C'!$BK$47/1000</f>
        <v>1.7550498095820577</v>
      </c>
      <c r="AG159" s="215"/>
      <c r="AH159" s="115"/>
      <c r="AI159" s="116" t="s">
        <v>34</v>
      </c>
      <c r="AJ159" s="117"/>
      <c r="AK159" s="121">
        <f>+[2]Retail!$BK$45/1000</f>
        <v>0</v>
      </c>
      <c r="AL159" s="119">
        <f>+[2]Retail!$BK$46/1000</f>
        <v>0</v>
      </c>
      <c r="AM159" s="119">
        <f>+[2]Retail!$BK$47/1000</f>
        <v>0</v>
      </c>
      <c r="AN159" s="117"/>
      <c r="AO159" s="121">
        <f>+[2]SME!$BK$45/1000</f>
        <v>-3.1311399999999988E-3</v>
      </c>
      <c r="AP159" s="119">
        <f>+[2]SME!$BK$46/1000</f>
        <v>3.8741019999999987E-2</v>
      </c>
      <c r="AQ159" s="119">
        <f>+[2]SME!$BK$47/1000</f>
        <v>0</v>
      </c>
      <c r="AR159" s="117"/>
      <c r="AS159" s="120">
        <f>+[2]MidCorp!$BK$45/1000</f>
        <v>-0.87655937000000106</v>
      </c>
      <c r="AT159" s="119">
        <f>+[2]MidCorp!$BK$46/1000</f>
        <v>-0.9441134000000001</v>
      </c>
      <c r="AU159" s="119">
        <f>+[2]MidCorp!$BK$47/1000</f>
        <v>0.15441646860514441</v>
      </c>
      <c r="AV159" s="117"/>
      <c r="AW159" s="121"/>
      <c r="AX159" s="119"/>
      <c r="AY159" s="119"/>
      <c r="AZ159" s="117"/>
      <c r="BA159" s="121"/>
      <c r="BB159" s="119"/>
      <c r="BC159" s="119"/>
      <c r="BD159" s="117"/>
      <c r="BE159" s="121"/>
      <c r="BF159" s="119"/>
      <c r="BG159" s="119"/>
      <c r="BH159" s="117"/>
      <c r="BI159" s="125">
        <f>+'[2]Total P&amp;C'!$BK$45/1000</f>
        <v>-0.87969051000000109</v>
      </c>
      <c r="BJ159" s="123">
        <f>+'[2]Total P&amp;C'!$BK$46/1000</f>
        <v>-0.90537237999999998</v>
      </c>
      <c r="BK159" s="123">
        <f>+'[2]Total P&amp;C'!$BK$47/1000</f>
        <v>0.15441646860514441</v>
      </c>
      <c r="BM159" s="124">
        <f>+'[3]Total P&amp;C'!$BK$45/1000</f>
        <v>0.21532565999999864</v>
      </c>
      <c r="BN159" s="123">
        <f>+'[3]Total P&amp;C'!$BK$46/1000</f>
        <v>3.1598578300000022</v>
      </c>
      <c r="BO159" s="123">
        <f>+'[3]Total P&amp;C'!$BK$47/1000</f>
        <v>1.9094662781872027</v>
      </c>
    </row>
    <row r="160" spans="1:67" ht="17.5" hidden="1" collapsed="1" x14ac:dyDescent="0.35">
      <c r="AG160" s="153"/>
    </row>
    <row r="161" spans="1:67" hidden="1" x14ac:dyDescent="0.3">
      <c r="A161" s="215" t="s">
        <v>66</v>
      </c>
      <c r="B161" s="115"/>
      <c r="C161" s="116" t="s">
        <v>19</v>
      </c>
      <c r="D161" s="117"/>
      <c r="E161" s="118">
        <f>+[1]Retail!$C$102/1000</f>
        <v>0.20716015999999984</v>
      </c>
      <c r="F161" s="119">
        <f>+[1]Retail!$C$103/1000</f>
        <v>0.23597399999999999</v>
      </c>
      <c r="G161" s="119">
        <f>+[1]Retail!$C$104/1000</f>
        <v>0</v>
      </c>
      <c r="H161" s="117"/>
      <c r="I161" s="118">
        <f>+[1]SME!$C$102/1000</f>
        <v>2.3922501200000008</v>
      </c>
      <c r="J161" s="119">
        <f>+[1]SME!$C$103/1000</f>
        <v>2.3423085099999996</v>
      </c>
      <c r="K161" s="119">
        <f>+[1]SME!$C$104/1000</f>
        <v>2.1552200000000004</v>
      </c>
      <c r="L161" s="117"/>
      <c r="M161" s="118">
        <f>+[1]MidCorp!$C$102/1000</f>
        <v>22.349017880000002</v>
      </c>
      <c r="N161" s="119">
        <f>+[1]MidCorp!$C$103/1000</f>
        <v>22.422075069999995</v>
      </c>
      <c r="O161" s="119">
        <f>+[1]MidCorp!$C$104/1000</f>
        <v>20.558590000000002</v>
      </c>
      <c r="P161" s="117"/>
      <c r="Q161" s="118">
        <f>+[1]MGA!$C$102/1000</f>
        <v>1.5486288999999998</v>
      </c>
      <c r="R161" s="119">
        <f>+[1]MGA!$C$103/1000</f>
        <v>1.3896312300000002</v>
      </c>
      <c r="S161" s="119">
        <f>+[1]MGA!$C$104/1000</f>
        <v>0.34412999999999999</v>
      </c>
      <c r="T161" s="117"/>
      <c r="U161" s="121">
        <f>+[1]Bancassurance!$C$102/1000</f>
        <v>0</v>
      </c>
      <c r="V161" s="119">
        <f>+[1]Bancassurance!$C$103/1000</f>
        <v>0</v>
      </c>
      <c r="W161" s="119">
        <f>+[1]Bancassurance!$C$104/1000</f>
        <v>0.21</v>
      </c>
      <c r="X161" s="117"/>
      <c r="Y161" s="121">
        <f>+[1]Specials!$C$102/1000</f>
        <v>0</v>
      </c>
      <c r="Z161" s="119">
        <f>+[1]Specials!$C$103/1000</f>
        <v>6.7525500000000004E-3</v>
      </c>
      <c r="AA161" s="119">
        <f>+[1]Specials!$C$104/1000</f>
        <v>0</v>
      </c>
      <c r="AB161" s="117"/>
      <c r="AC161" s="122">
        <f>+'[1]Total P&amp;C'!$C$102/1000</f>
        <v>26.497057060000003</v>
      </c>
      <c r="AD161" s="123">
        <f>+'[1]Total P&amp;C'!$C$103/1000</f>
        <v>26.396741359999996</v>
      </c>
      <c r="AE161" s="123">
        <f>+'[1]Total P&amp;C'!$C$104/1000</f>
        <v>23.267939999999999</v>
      </c>
      <c r="AG161" s="215" t="s">
        <v>66</v>
      </c>
      <c r="AH161" s="115"/>
      <c r="AI161" s="116" t="s">
        <v>19</v>
      </c>
      <c r="AJ161" s="117"/>
      <c r="AK161" s="120">
        <f>+[2]Retail!$C$102/1000</f>
        <v>2.0728422599999985</v>
      </c>
      <c r="AL161" s="119">
        <f>+[2]Retail!$C$103/1000</f>
        <v>1.8777070399999998</v>
      </c>
      <c r="AM161" s="119">
        <f>+[2]Retail!$C$104/1000</f>
        <v>2.0944776262386982</v>
      </c>
      <c r="AN161" s="117"/>
      <c r="AO161" s="121">
        <f>+[2]SME!$C$102/1000</f>
        <v>0.16925476999999997</v>
      </c>
      <c r="AP161" s="119">
        <f>+[2]SME!$C$103/1000</f>
        <v>2.2605766799999993</v>
      </c>
      <c r="AQ161" s="119">
        <f>+[2]SME!$C$104/1000</f>
        <v>0.20300508586223162</v>
      </c>
      <c r="AR161" s="117"/>
      <c r="AS161" s="118">
        <f>+[2]MidCorp!$C$102/1000</f>
        <v>7.5962462800000079</v>
      </c>
      <c r="AT161" s="119">
        <f>+[2]MidCorp!$C$103/1000</f>
        <v>5.7432604999999981</v>
      </c>
      <c r="AU161" s="119">
        <f>+[2]MidCorp!$C$104/1000</f>
        <v>6.4590205073738902</v>
      </c>
      <c r="AV161" s="117"/>
      <c r="AW161" s="121"/>
      <c r="AX161" s="119"/>
      <c r="AY161" s="119"/>
      <c r="AZ161" s="117"/>
      <c r="BA161" s="121"/>
      <c r="BB161" s="119"/>
      <c r="BC161" s="119"/>
      <c r="BD161" s="117"/>
      <c r="BE161" s="121"/>
      <c r="BF161" s="119"/>
      <c r="BG161" s="119"/>
      <c r="BH161" s="117"/>
      <c r="BI161" s="122">
        <f>+'[2]Total P&amp;C'!$C$102/1000</f>
        <v>9.8383433100000062</v>
      </c>
      <c r="BJ161" s="123">
        <f>+'[2]Total P&amp;C'!$C$103/1000</f>
        <v>9.8815442199999985</v>
      </c>
      <c r="BK161" s="123">
        <f>+'[2]Total P&amp;C'!$C$104/1000</f>
        <v>8.7565032194748209</v>
      </c>
      <c r="BM161" s="122">
        <f>+'[3]Total P&amp;C'!$C$102/1000</f>
        <v>36.335400370000009</v>
      </c>
      <c r="BN161" s="123">
        <f>+'[3]Total P&amp;C'!$C$103/1000</f>
        <v>36.278285579999995</v>
      </c>
      <c r="BO161" s="123">
        <f>+'[3]Total P&amp;C'!$C$104/1000</f>
        <v>32.024443219474819</v>
      </c>
    </row>
    <row r="162" spans="1:67" hidden="1" x14ac:dyDescent="0.3">
      <c r="A162" s="212"/>
      <c r="B162" s="115"/>
      <c r="C162" s="116" t="s">
        <v>55</v>
      </c>
      <c r="D162" s="117"/>
      <c r="E162" s="118">
        <f>+[1]Retail!$N$102/1000</f>
        <v>0.20675357999999988</v>
      </c>
      <c r="F162" s="119">
        <f>+[1]Retail!$N$103/1000</f>
        <v>0.23842942000000014</v>
      </c>
      <c r="G162" s="119">
        <f>+[1]Retail!$N$104/1000</f>
        <v>0</v>
      </c>
      <c r="H162" s="117"/>
      <c r="I162" s="121">
        <f>+[1]SME!$N$102/1000</f>
        <v>0.76173483999999991</v>
      </c>
      <c r="J162" s="119">
        <f>+[1]SME!$N$103/1000</f>
        <v>1.3499784399999999</v>
      </c>
      <c r="K162" s="119">
        <f>+[1]SME!$N$104/1000</f>
        <v>1.2604586143005387</v>
      </c>
      <c r="L162" s="117"/>
      <c r="M162" s="118">
        <f>+[1]MidCorp!$N$102/1000</f>
        <v>13.397432049999999</v>
      </c>
      <c r="N162" s="119">
        <f>+[1]MidCorp!$N$103/1000</f>
        <v>12.706284109999997</v>
      </c>
      <c r="O162" s="119">
        <f>+[1]MidCorp!$N$104/1000</f>
        <v>13.249722010516683</v>
      </c>
      <c r="P162" s="117"/>
      <c r="Q162" s="118">
        <f>+[1]MGA!$N$102/1000</f>
        <v>1.3855758399999996</v>
      </c>
      <c r="R162" s="119">
        <f>+[1]MGA!$N$103/1000</f>
        <v>1.2479655499999995</v>
      </c>
      <c r="S162" s="119">
        <f>+[1]MGA!$N$104/1000</f>
        <v>0.32864121845396349</v>
      </c>
      <c r="T162" s="117"/>
      <c r="U162" s="121">
        <f>+[1]Bancassurance!$N$102/1000</f>
        <v>0</v>
      </c>
      <c r="V162" s="119">
        <f>+[1]Bancassurance!$N$103/1000</f>
        <v>0</v>
      </c>
      <c r="W162" s="119">
        <f>+[1]Bancassurance!$N$104/1000</f>
        <v>0.216490239375</v>
      </c>
      <c r="X162" s="117"/>
      <c r="Y162" s="118">
        <f>+[1]Specials!$N$102/1000</f>
        <v>1.8760000000000003E-5</v>
      </c>
      <c r="Z162" s="119">
        <f>+[1]Specials!$N$103/1000</f>
        <v>1.6842400000000003E-3</v>
      </c>
      <c r="AA162" s="119">
        <f>+[1]Specials!$N$104/1000</f>
        <v>0</v>
      </c>
      <c r="AB162" s="117"/>
      <c r="AC162" s="122">
        <f>+'[1]Total P&amp;C'!$N$102/1000</f>
        <v>15.751515069999998</v>
      </c>
      <c r="AD162" s="123">
        <f>+'[1]Total P&amp;C'!$N$103/1000</f>
        <v>15.544341759999996</v>
      </c>
      <c r="AE162" s="123">
        <f>+'[1]Total P&amp;C'!$N$104/1000</f>
        <v>15.055312082646187</v>
      </c>
      <c r="AG162" s="212"/>
      <c r="AH162" s="115"/>
      <c r="AI162" s="116" t="s">
        <v>55</v>
      </c>
      <c r="AJ162" s="117"/>
      <c r="AK162" s="121">
        <f>+[2]Retail!$N$102/1000</f>
        <v>1.9241250399999994</v>
      </c>
      <c r="AL162" s="119">
        <f>+[2]Retail!$N$103/1000</f>
        <v>1.6934579700000008</v>
      </c>
      <c r="AM162" s="119">
        <f>+[2]Retail!$N$104/1000</f>
        <v>2.0691156129332842</v>
      </c>
      <c r="AN162" s="117"/>
      <c r="AO162" s="121">
        <f>+[2]SME!$N$102/1000</f>
        <v>0.14764874</v>
      </c>
      <c r="AP162" s="119">
        <f>+[2]SME!$N$103/1000</f>
        <v>1.7775871299999992</v>
      </c>
      <c r="AQ162" s="119">
        <f>+[2]SME!$N$104/1000</f>
        <v>0.15375</v>
      </c>
      <c r="AR162" s="117"/>
      <c r="AS162" s="118">
        <f>+[2]MidCorp!$N$102/1000</f>
        <v>5.4020138000000077</v>
      </c>
      <c r="AT162" s="119">
        <f>+[2]MidCorp!$N$103/1000</f>
        <v>3.9316019399999993</v>
      </c>
      <c r="AU162" s="119">
        <f>+[2]MidCorp!$N$104/1000</f>
        <v>5.0701760169854078</v>
      </c>
      <c r="AV162" s="117"/>
      <c r="AW162" s="121"/>
      <c r="AX162" s="119"/>
      <c r="AY162" s="119"/>
      <c r="AZ162" s="117"/>
      <c r="BA162" s="121"/>
      <c r="BB162" s="119"/>
      <c r="BC162" s="119"/>
      <c r="BD162" s="117"/>
      <c r="BE162" s="121"/>
      <c r="BF162" s="119"/>
      <c r="BG162" s="119"/>
      <c r="BH162" s="117"/>
      <c r="BI162" s="122">
        <f>+'[2]Total P&amp;C'!$N$102/1000</f>
        <v>7.4737875800000078</v>
      </c>
      <c r="BJ162" s="123">
        <f>+'[2]Total P&amp;C'!$N$103/1000</f>
        <v>7.4026470399999997</v>
      </c>
      <c r="BK162" s="123">
        <f>+'[2]Total P&amp;C'!$N$104/1000</f>
        <v>7.2930416299186911</v>
      </c>
      <c r="BM162" s="122">
        <f>+'[3]Total P&amp;C'!$N$102/1000</f>
        <v>23.225302650000007</v>
      </c>
      <c r="BN162" s="123">
        <f>+'[3]Total P&amp;C'!$N$103/1000</f>
        <v>22.946988799999996</v>
      </c>
      <c r="BO162" s="123">
        <f>+'[3]Total P&amp;C'!$N$104/1000</f>
        <v>22.348353712564879</v>
      </c>
    </row>
    <row r="163" spans="1:67" hidden="1" x14ac:dyDescent="0.3">
      <c r="A163" s="212"/>
      <c r="B163" s="115"/>
      <c r="C163" s="116" t="s">
        <v>21</v>
      </c>
      <c r="D163" s="117"/>
      <c r="E163" s="128">
        <f>+E164+E169+E170+E171+E172</f>
        <v>0.72436129038249331</v>
      </c>
      <c r="F163" s="127">
        <f>+F164+F169+F170+F171+F172</f>
        <v>0.95623212101929311</v>
      </c>
      <c r="G163" s="127" t="e">
        <f>+G164+G169+G170+G171+G172</f>
        <v>#DIV/0!</v>
      </c>
      <c r="H163" s="117"/>
      <c r="I163" s="128">
        <f>+I164+I169+I170+I171+I172</f>
        <v>1.7591924507483474</v>
      </c>
      <c r="J163" s="127">
        <f>+J164+J169+J170+J171+J172</f>
        <v>0.93474306893375281</v>
      </c>
      <c r="K163" s="127">
        <f>+K164+K169+K170+K171+K172</f>
        <v>0.87025753986058052</v>
      </c>
      <c r="L163" s="117"/>
      <c r="M163" s="126">
        <f>+M164+M169+M170+M171+M172</f>
        <v>0.6294890415212071</v>
      </c>
      <c r="N163" s="127">
        <f>+N164+N169+N170+N171+N172</f>
        <v>0.81360620622861257</v>
      </c>
      <c r="O163" s="127">
        <f>+O164+O169+O170+O171+O172</f>
        <v>0.80278177301599341</v>
      </c>
      <c r="P163" s="117"/>
      <c r="Q163" s="126">
        <f>+Q164+Q169+Q170+Q171+Q172</f>
        <v>0.65443223230566749</v>
      </c>
      <c r="R163" s="127">
        <f>+R164+R169+R170+R171+R172</f>
        <v>0.75623737369993904</v>
      </c>
      <c r="S163" s="127">
        <f>+S164+S169+S170+S171+S172</f>
        <v>0.75780114132170362</v>
      </c>
      <c r="T163" s="117"/>
      <c r="U163" s="126"/>
      <c r="V163" s="127"/>
      <c r="W163" s="127">
        <f>+W164+W169+W170+W171+W172</f>
        <v>0.8062853914047734</v>
      </c>
      <c r="X163" s="117"/>
      <c r="Y163" s="131"/>
      <c r="Z163" s="127"/>
      <c r="AA163" s="127"/>
      <c r="AB163" s="117"/>
      <c r="AC163" s="132">
        <f>+AC164+AC169+AC170+AC171+AC172</f>
        <v>0.69018698910466147</v>
      </c>
      <c r="AD163" s="130">
        <f>+AD164+AD169+AD170+AD171+AD172</f>
        <v>0.82755196898089833</v>
      </c>
      <c r="AE163" s="130">
        <f>+AE164+AE169+AE170+AE171+AE172</f>
        <v>0.80990665008157059</v>
      </c>
      <c r="AG163" s="212"/>
      <c r="AH163" s="115"/>
      <c r="AI163" s="116" t="s">
        <v>21</v>
      </c>
      <c r="AJ163" s="117"/>
      <c r="AK163" s="126">
        <f>+AK164+AK169+AK170+AK171+AK172</f>
        <v>-0.12169626460450794</v>
      </c>
      <c r="AL163" s="127">
        <f>+AL164+AL169+AL170+AL171+AL172</f>
        <v>0.40388936845004741</v>
      </c>
      <c r="AM163" s="127">
        <f>+AM164+AM169+AM170+AM171+AM172</f>
        <v>0.75962692199376292</v>
      </c>
      <c r="AN163" s="117"/>
      <c r="AO163" s="126">
        <f>+AO164+AO169+AO170+AO171+AO172</f>
        <v>0.67820883537509347</v>
      </c>
      <c r="AP163" s="127">
        <f>+AP164+AP169+AP170+AP171+AP172</f>
        <v>0.14608593616449106</v>
      </c>
      <c r="AQ163" s="127">
        <f>+AQ164+AQ169+AQ170+AQ171+AQ172</f>
        <v>0.78833170277610565</v>
      </c>
      <c r="AR163" s="117"/>
      <c r="AS163" s="126">
        <f>+AS164+AS169+AS170+AS171+AS172</f>
        <v>0.26368060555491324</v>
      </c>
      <c r="AT163" s="127">
        <f>+AT164+AT169+AT170+AT171+AT172</f>
        <v>0.81335763101185221</v>
      </c>
      <c r="AU163" s="127">
        <f>+AU164+AU169+AU170+AU171+AU172</f>
        <v>0.63402554132582611</v>
      </c>
      <c r="AV163" s="117"/>
      <c r="AW163" s="131"/>
      <c r="AX163" s="127"/>
      <c r="AY163" s="127"/>
      <c r="AZ163" s="117"/>
      <c r="BA163" s="131"/>
      <c r="BB163" s="127"/>
      <c r="BC163" s="127"/>
      <c r="BD163" s="117"/>
      <c r="BE163" s="131"/>
      <c r="BF163" s="127"/>
      <c r="BG163" s="127"/>
      <c r="BH163" s="117"/>
      <c r="BI163" s="132">
        <f>+BI164+BI169+BI170+BI171+BI172</f>
        <v>0.17274621551392783</v>
      </c>
      <c r="BJ163" s="130">
        <f>+BJ164+BJ169+BJ170+BJ171+BJ172</f>
        <v>0.56141988771627327</v>
      </c>
      <c r="BK163" s="130">
        <f>+BK164+BK169+BK170+BK171+BK172</f>
        <v>0.67291306788340421</v>
      </c>
      <c r="BM163" s="132">
        <f>+BM164+BM169+BM170+BM171+BM172</f>
        <v>0.52367710609790474</v>
      </c>
      <c r="BN163" s="130">
        <f>+BN164+BN169+BN170+BN171+BN172</f>
        <v>0.74169835738970691</v>
      </c>
      <c r="BO163" s="130">
        <f>+BO164+BO169+BO170+BO171+BO172</f>
        <v>0.76520090079672753</v>
      </c>
    </row>
    <row r="164" spans="1:67" hidden="1" x14ac:dyDescent="0.3">
      <c r="A164" s="212"/>
      <c r="B164" s="115"/>
      <c r="C164" s="116" t="s">
        <v>56</v>
      </c>
      <c r="D164" s="117"/>
      <c r="E164" s="126">
        <f>+E165+E166+E167+E168</f>
        <v>0.54865037887131163</v>
      </c>
      <c r="F164" s="127">
        <f>+F165+F166+F167+F168</f>
        <v>0.54875547656828561</v>
      </c>
      <c r="G164" s="127" t="e">
        <f>+G165+G166+G167+G168</f>
        <v>#DIV/0!</v>
      </c>
      <c r="H164" s="117"/>
      <c r="I164" s="128">
        <f>+I165+I166+I167+I168</f>
        <v>1.412616784076727</v>
      </c>
      <c r="J164" s="127">
        <f>+J165+J166+J167+J168</f>
        <v>0.827147595038629</v>
      </c>
      <c r="K164" s="127">
        <f>+K165+K166+K167+K168</f>
        <v>0.52161138466176615</v>
      </c>
      <c r="L164" s="117"/>
      <c r="M164" s="126">
        <f>+M165+M166+M167+M168</f>
        <v>0.58316728689808894</v>
      </c>
      <c r="N164" s="127">
        <f>+N165+N166+N167+N168</f>
        <v>0.65201605428292309</v>
      </c>
      <c r="O164" s="127">
        <f>+O165+O166+O167+O168</f>
        <v>0.59192984308617158</v>
      </c>
      <c r="P164" s="117"/>
      <c r="Q164" s="128">
        <f>+Q165+Q166+Q167+Q168</f>
        <v>0.45783426766448254</v>
      </c>
      <c r="R164" s="127">
        <f>+R165+R166+R167+R168</f>
        <v>0.47428787597542266</v>
      </c>
      <c r="S164" s="127">
        <f>+S165+S166+S167+S168</f>
        <v>0.41268104150432788</v>
      </c>
      <c r="T164" s="117"/>
      <c r="U164" s="126"/>
      <c r="V164" s="127"/>
      <c r="W164" s="127">
        <f>+W165+W166+W167+W168</f>
        <v>0.64336592295495154</v>
      </c>
      <c r="X164" s="117"/>
      <c r="Y164" s="131"/>
      <c r="Z164" s="127"/>
      <c r="AA164" s="127"/>
      <c r="AB164" s="117"/>
      <c r="AC164" s="129">
        <f>+AC165+AC166+AC167+AC168</f>
        <v>0.61257996688695682</v>
      </c>
      <c r="AD164" s="130">
        <f>+AD165+AD166+AD167+AD168</f>
        <v>0.65311203309518595</v>
      </c>
      <c r="AE164" s="130">
        <f>+AE165+AE166+AE167+AE168</f>
        <v>0.58371915125502238</v>
      </c>
      <c r="AG164" s="212"/>
      <c r="AH164" s="115"/>
      <c r="AI164" s="116" t="s">
        <v>56</v>
      </c>
      <c r="AJ164" s="117"/>
      <c r="AK164" s="128">
        <f>+AK165+AK166+AK167+AK168</f>
        <v>0.40412510301305588</v>
      </c>
      <c r="AL164" s="127">
        <f>+AL165+AL166+AL167+AL168</f>
        <v>0.44685912104449793</v>
      </c>
      <c r="AM164" s="127">
        <f>+AM165+AM166+AM167+AM168</f>
        <v>0.33921008233958444</v>
      </c>
      <c r="AN164" s="117"/>
      <c r="AO164" s="131">
        <f>+AO165+AO166+AO167+AO168</f>
        <v>0.50594634265080751</v>
      </c>
      <c r="AP164" s="127">
        <f>+AP165+AP166+AP167+AP168</f>
        <v>0.15321270355957184</v>
      </c>
      <c r="AQ164" s="127">
        <f>+AQ165+AQ166+AQ167+AQ168</f>
        <v>0.50558909320778911</v>
      </c>
      <c r="AR164" s="117"/>
      <c r="AS164" s="128">
        <f>+AS165+AS166+AS167+AS168</f>
        <v>0.41355023380354872</v>
      </c>
      <c r="AT164" s="127">
        <f>+AT165+AT166+AT167+AT168</f>
        <v>0.64180907134255816</v>
      </c>
      <c r="AU164" s="127">
        <f>+AU165+AU166+AU167+AU168</f>
        <v>0.39001849429222579</v>
      </c>
      <c r="AV164" s="117"/>
      <c r="AW164" s="131"/>
      <c r="AX164" s="127"/>
      <c r="AY164" s="127"/>
      <c r="AZ164" s="117"/>
      <c r="BA164" s="131"/>
      <c r="BB164" s="127"/>
      <c r="BC164" s="127"/>
      <c r="BD164" s="117"/>
      <c r="BE164" s="131"/>
      <c r="BF164" s="127"/>
      <c r="BG164" s="127"/>
      <c r="BH164" s="117"/>
      <c r="BI164" s="129">
        <f>+BI165+BI166+BI167+BI168</f>
        <v>0.4129490712659506</v>
      </c>
      <c r="BJ164" s="130">
        <f>+BJ165+BJ166+BJ167+BJ168</f>
        <v>0.4798856194013541</v>
      </c>
      <c r="BK164" s="130">
        <f>+BK165+BK166+BK167+BK168</f>
        <v>0.37804002175781598</v>
      </c>
      <c r="BM164" s="129">
        <f>+BM165+BM166+BM167+BM168</f>
        <v>0.54833973153843907</v>
      </c>
      <c r="BN164" s="130">
        <f>+BN165+BN166+BN167+BN168</f>
        <v>0.59722958116404368</v>
      </c>
      <c r="BO164" s="130">
        <f>+BO165+BO166+BO167+BO168</f>
        <v>0.51659892964401366</v>
      </c>
    </row>
    <row r="165" spans="1:67" ht="14.5" hidden="1" x14ac:dyDescent="0.3">
      <c r="A165" s="212"/>
      <c r="B165" s="115"/>
      <c r="C165" s="38" t="s">
        <v>23</v>
      </c>
      <c r="D165" s="117"/>
      <c r="E165" s="73">
        <f>-SUM([1]Retail!$O$102,[1]Retail!$R$102:$V$102,[1]Retail!$Y$102,[1]Retail!$AB$102,[1]Retail!$AU$102,[1]Retail!$AX$102,[1]Retail!$BA$102,[1]Retail!$BD$102)/1000/E162</f>
        <v>2.7503320619647813E-2</v>
      </c>
      <c r="F165" s="42">
        <f>-SUM([1]Retail!$O$103,[1]Retail!$R$103:$V$103,[1]Retail!$Y$103,[1]Retail!$AB$103,[1]Retail!$AU$103,[1]Retail!$AX$103,[1]Retail!$BA$103,[1]Retail!$BD$103)/1000/F162</f>
        <v>2.2489548479378077E-2</v>
      </c>
      <c r="G165" s="42" t="e">
        <f>-SUM([1]Retail!$O$104,[1]Retail!$R$104:$V$104,[1]Retail!$Y$104,[1]Retail!$AB$104,[1]Retail!$AU$104,[1]Retail!$AX$104,[1]Retail!$BA$104,[1]Retail!$BD$104)/1000/G162</f>
        <v>#DIV/0!</v>
      </c>
      <c r="H165" s="117"/>
      <c r="I165" s="73">
        <f>-SUM([1]SME!$O$102,[1]SME!$R$102:$V$102,[1]SME!$Y$102,[1]SME!$AB$102,[1]SME!$AU$102,[1]SME!$AX$102,[1]SME!$BA$102,[1]SME!$BD$102)/1000/I162</f>
        <v>0.16358927471401991</v>
      </c>
      <c r="J165" s="42">
        <f>-SUM([1]SME!$O$103,[1]SME!$R$103:$V$103,[1]SME!$Y$103,[1]SME!$AB$103,[1]SME!$AU$103,[1]SME!$AX$103,[1]SME!$BA$103,[1]SME!$BD$103)/1000/J162</f>
        <v>0.12943292635103121</v>
      </c>
      <c r="K165" s="42">
        <f>-SUM([1]SME!$O$104,[1]SME!$R$104:$V$104,[1]SME!$Y$104,[1]SME!$AB$104,[1]SME!$AU$104,[1]SME!$AX$104,[1]SME!$BA$104,[1]SME!$BD$104)/1000/K162</f>
        <v>-7.0525156774550041E-2</v>
      </c>
      <c r="L165" s="117"/>
      <c r="M165" s="97">
        <f>-SUM([1]MidCorp!$O$102,[1]MidCorp!$R$102:$V$102,[1]MidCorp!$Y$102,[1]MidCorp!$AB$102,[1]MidCorp!$AU$102,[1]MidCorp!$AX$102,[1]MidCorp!$BA$102,[1]MidCorp!$BD$102)/1000/M162</f>
        <v>0.49813088322399823</v>
      </c>
      <c r="N165" s="42">
        <f>-SUM([1]MidCorp!$O$103,[1]MidCorp!$R$103:$V$103,[1]MidCorp!$Y$103,[1]MidCorp!$AB$103,[1]MidCorp!$AU$103,[1]MidCorp!$AX$103,[1]MidCorp!$BA$103,[1]MidCorp!$BD$103)/1000/N162</f>
        <v>0.53425575024388483</v>
      </c>
      <c r="O165" s="42">
        <f>-SUM([1]MidCorp!$O$104,[1]MidCorp!$R$104:$V$104,[1]MidCorp!$Y$104,[1]MidCorp!$AB$104,[1]MidCorp!$AU$104,[1]MidCorp!$AX$104,[1]MidCorp!$BA$104,[1]MidCorp!$BD$104)/1000/O162</f>
        <v>0.49433450810300061</v>
      </c>
      <c r="P165" s="117"/>
      <c r="Q165" s="73">
        <f>-SUM([1]MGA!$O$102,[1]MGA!$R$102:$V$102,[1]MGA!$Y$102,[1]MGA!$AB$102,[1]MGA!$AU$102,[1]MGA!$AX$102,[1]MGA!$BA$102,[1]MGA!$BD$102)/1000/Q162</f>
        <v>0.45603980075172229</v>
      </c>
      <c r="R165" s="42">
        <f>-SUM([1]MGA!$O$103,[1]MGA!$R$103:$V$103,[1]MGA!$Y$103,[1]MGA!$AB$103,[1]MGA!$AU$103,[1]MGA!$AX$103,[1]MGA!$BA$103,[1]MGA!$BD$103)/1000/R162</f>
        <v>0.4681948151533511</v>
      </c>
      <c r="S165" s="42">
        <f>-SUM([1]MGA!$O$104,[1]MGA!$R$104:$V$104,[1]MGA!$Y$104,[1]MGA!$AB$104,[1]MGA!$AU$104,[1]MGA!$AX$104,[1]MGA!$BA$104,[1]MGA!$BD$104)/1000/S162</f>
        <v>0.40291312687356556</v>
      </c>
      <c r="T165" s="117"/>
      <c r="U165" s="74"/>
      <c r="V165" s="42"/>
      <c r="W165" s="42">
        <f>-SUM([1]Bancassurance!$O$104,[1]Bancassurance!$R$104:$V$104,[1]Bancassurance!$Y$104,[1]Bancassurance!$AB$104,[1]Bancassurance!$AU$104,[1]Bancassurance!$AX$104,[1]Bancassurance!$BA$104,[1]Bancassurance!$BD$104)/1000/W162</f>
        <v>0.64336592295495154</v>
      </c>
      <c r="X165" s="117"/>
      <c r="Y165" s="97"/>
      <c r="Z165" s="42"/>
      <c r="AA165" s="42"/>
      <c r="AB165" s="117"/>
      <c r="AC165" s="84">
        <f>-SUM('[1]Total P&amp;C'!$O$102,'[1]Total P&amp;C'!$R$102:$V$102,'[1]Total P&amp;C'!$Y$102,'[1]Total P&amp;C'!$AB$102,'[1]Total P&amp;C'!$AU$102,'[1]Total P&amp;C'!$AX$102,'[1]Total P&amp;C'!$BA$102,'[1]Total P&amp;C'!$BD$102)/1000/AC162</f>
        <v>0.47285070083102809</v>
      </c>
      <c r="AD165" s="60">
        <f>-SUM('[1]Total P&amp;C'!$O$103,'[1]Total P&amp;C'!$R$103:$V$103,'[1]Total P&amp;C'!$Y$103,'[1]Total P&amp;C'!$AB$103,'[1]Total P&amp;C'!$AU$103,'[1]Total P&amp;C'!$AX$103,'[1]Total P&amp;C'!$BA$103,'[1]Total P&amp;C'!$BD$103)/1000/AD162</f>
        <v>0.4876964182238876</v>
      </c>
      <c r="AE165" s="60">
        <f>-SUM('[1]Total P&amp;C'!$O$104,'[1]Total P&amp;C'!$R$104:$V$104,'[1]Total P&amp;C'!$Y$104,'[1]Total P&amp;C'!$AB$104,'[1]Total P&amp;C'!$AU$104,'[1]Total P&amp;C'!$AX$104,'[1]Total P&amp;C'!$BA$104,'[1]Total P&amp;C'!$BD$104)/1000/AE162</f>
        <v>0.4480404758015688</v>
      </c>
      <c r="AG165" s="212"/>
      <c r="AH165" s="115"/>
      <c r="AI165" s="38" t="s">
        <v>23</v>
      </c>
      <c r="AJ165" s="117"/>
      <c r="AK165" s="73">
        <f>-SUM([2]Retail!$O$102,[2]Retail!$R$102:$V$102,[2]Retail!$Y$102,[2]Retail!$AB$102,[2]Retail!$AU$102,[2]Retail!$AX$102,[2]Retail!$BA$102,[2]Retail!$BD$102)/1000/AK162</f>
        <v>0.38945453877571296</v>
      </c>
      <c r="AL165" s="42">
        <f>-SUM([2]Retail!$O$103,[2]Retail!$R$103:$V$103,[2]Retail!$Y$103,[2]Retail!$AB$103,[2]Retail!$AU$103,[2]Retail!$AX$103,[2]Retail!$BA$103,[2]Retail!$BD$103)/1000/AL162</f>
        <v>0.43776116864595094</v>
      </c>
      <c r="AM165" s="42">
        <f>-SUM([2]Retail!$O$104,[2]Retail!$R$104:$V$104,[2]Retail!$Y$104,[2]Retail!$AB$104,[2]Retail!$AU$104,[2]Retail!$AX$104,[2]Retail!$BA$104,[2]Retail!$BD$104)/1000/AM162</f>
        <v>0.32921751620591272</v>
      </c>
      <c r="AN165" s="117"/>
      <c r="AO165" s="97">
        <f>-SUM([2]SME!$O$102,[2]SME!$R$102:$V$102,[2]SME!$Y$102,[2]SME!$AB$102,[2]SME!$AU$102,[2]SME!$AX$102,[2]SME!$BA$102,[2]SME!$BD$102)/1000/AO162</f>
        <v>0.50594634265080751</v>
      </c>
      <c r="AP165" s="42">
        <f>-SUM([2]SME!$O$103,[2]SME!$R$103:$V$103,[2]SME!$Y$103,[2]SME!$AB$103,[2]SME!$AU$103,[2]SME!$AX$103,[2]SME!$BA$103,[2]SME!$BD$103)/1000/AP162</f>
        <v>0.1478638799550715</v>
      </c>
      <c r="AQ165" s="42">
        <f>-SUM([2]SME!$O$104,[2]SME!$R$104:$V$104,[2]SME!$Y$104,[2]SME!$AB$104,[2]SME!$AU$104,[2]SME!$AX$104,[2]SME!$BA$104,[2]SME!$BD$104)/1000/AQ162</f>
        <v>0.50558909320778911</v>
      </c>
      <c r="AR165" s="117"/>
      <c r="AS165" s="73">
        <f>-SUM([2]MidCorp!$O$102,[2]MidCorp!$R$102:$V$102,[2]MidCorp!$Y$102,[2]MidCorp!$AB$102,[2]MidCorp!$AU$102,[2]MidCorp!$AX$102,[2]MidCorp!$BA$102,[2]MidCorp!$BD$102)/1000/AS162</f>
        <v>0.28298519526181104</v>
      </c>
      <c r="AT165" s="42">
        <f>-SUM([2]MidCorp!$O$103,[2]MidCorp!$R$103:$V$103,[2]MidCorp!$Y$103,[2]MidCorp!$AB$103,[2]MidCorp!$AU$103,[2]MidCorp!$AX$103,[2]MidCorp!$BA$103,[2]MidCorp!$BD$103)/1000/AT162</f>
        <v>0.41008402544434591</v>
      </c>
      <c r="AU165" s="42">
        <f>-SUM([2]MidCorp!$O$104,[2]MidCorp!$R$104:$V$104,[2]MidCorp!$Y$104,[2]MidCorp!$AB$104,[2]MidCorp!$AU$104,[2]MidCorp!$AX$104,[2]MidCorp!$BA$104,[2]MidCorp!$BD$104)/1000/AU162</f>
        <v>0.26092021812959909</v>
      </c>
      <c r="AV165" s="117"/>
      <c r="AW165" s="97"/>
      <c r="AX165" s="42"/>
      <c r="AY165" s="42"/>
      <c r="AZ165" s="117"/>
      <c r="BA165" s="97"/>
      <c r="BB165" s="42"/>
      <c r="BC165" s="42"/>
      <c r="BD165" s="117"/>
      <c r="BE165" s="97"/>
      <c r="BF165" s="42"/>
      <c r="BG165" s="42"/>
      <c r="BH165" s="117"/>
      <c r="BI165" s="84">
        <f>-SUM('[2]Total P&amp;C'!$O$102,'[2]Total P&amp;C'!$R$102:$V$102,'[2]Total P&amp;C'!$Y$102,'[2]Total P&amp;C'!$AB$102,'[2]Total P&amp;C'!$AU$102,'[2]Total P&amp;C'!$AX$102,'[2]Total P&amp;C'!$BA$102,'[2]Total P&amp;C'!$BD$102)/1000/BI162</f>
        <v>0.31480042412444337</v>
      </c>
      <c r="BJ165" s="60">
        <f>-SUM('[2]Total P&amp;C'!$O$103,'[2]Total P&amp;C'!$R$103:$V$103,'[2]Total P&amp;C'!$Y$103,'[2]Total P&amp;C'!$AB$103,'[2]Total P&amp;C'!$AU$103,'[2]Total P&amp;C'!$AX$103,'[2]Total P&amp;C'!$BA$103,'[2]Total P&amp;C'!$BD$103)/1000/BJ162</f>
        <v>0.35344900356075876</v>
      </c>
      <c r="BK165" s="60">
        <f>-SUM('[2]Total P&amp;C'!$O$104,'[2]Total P&amp;C'!$R$104:$V$104,'[2]Total P&amp;C'!$Y$104,'[2]Total P&amp;C'!$AB$104,'[2]Total P&amp;C'!$AU$104,'[2]Total P&amp;C'!$AX$104,'[2]Total P&amp;C'!$BA$104,'[2]Total P&amp;C'!$BD$104)/1000/BK162</f>
        <v>0.28545495334625864</v>
      </c>
      <c r="BM165" s="84">
        <f>-SUM('[3]Total P&amp;C'!$O$102,'[3]Total P&amp;C'!$R$102:$V$102,'[3]Total P&amp;C'!$Y$102,'[3]Total P&amp;C'!$AB$102,'[3]Total P&amp;C'!$AU$102,'[3]Total P&amp;C'!$AX$102,'[3]Total P&amp;C'!$BA$102,'[3]Total P&amp;C'!$BD$102)/1000/BM162</f>
        <v>0.42199090309809156</v>
      </c>
      <c r="BN165" s="60">
        <f>-SUM('[3]Total P&amp;C'!$O$103,'[3]Total P&amp;C'!$R$103:$V$103,'[3]Total P&amp;C'!$Y$103,'[3]Total P&amp;C'!$AB$103,'[3]Total P&amp;C'!$AU$103,'[3]Total P&amp;C'!$AX$103,'[3]Total P&amp;C'!$BA$103,'[3]Total P&amp;C'!$BD$103)/1000/BN162</f>
        <v>0.44438850381972561</v>
      </c>
      <c r="BO165" s="60">
        <f>-SUM('[3]Total P&amp;C'!$O$104,'[3]Total P&amp;C'!$R$104:$V$104,'[3]Total P&amp;C'!$Y$104,'[3]Total P&amp;C'!$AB$104,'[3]Total P&amp;C'!$AU$104,'[3]Total P&amp;C'!$AX$104,'[3]Total P&amp;C'!$BA$104,'[3]Total P&amp;C'!$BD$104)/1000/BO162</f>
        <v>0.39498319028787127</v>
      </c>
    </row>
    <row r="166" spans="1:67" ht="14.5" hidden="1" x14ac:dyDescent="0.3">
      <c r="A166" s="212"/>
      <c r="B166" s="115"/>
      <c r="C166" s="38" t="s">
        <v>24</v>
      </c>
      <c r="D166" s="134"/>
      <c r="E166" s="97">
        <f>-([1]Retail!$P$102+[1]Retail!$W$102+[1]Retail!$AV$102+[1]Retail!$AY$102)/1000/E162</f>
        <v>0</v>
      </c>
      <c r="F166" s="42">
        <f>-([1]Retail!$P$103+[1]Retail!$W$103+[1]Retail!$AV$103+[1]Retail!$AY$103)/1000/F162</f>
        <v>0</v>
      </c>
      <c r="G166" s="42" t="e">
        <f>-([1]Retail!$P$104+[1]Retail!$W$104+[1]Retail!$AV$104+[1]Retail!$AY$104)/1000/G162</f>
        <v>#DIV/0!</v>
      </c>
      <c r="H166" s="134"/>
      <c r="I166" s="97">
        <f>-([1]SME!$P$102+[1]SME!$W$102+[1]SME!$AV$102+[1]SME!$AY$102)/1000/I162</f>
        <v>0</v>
      </c>
      <c r="J166" s="42">
        <f>-([1]SME!$P$103+[1]SME!$W$103+[1]SME!$AV$103+[1]SME!$AY$103)/1000/J162</f>
        <v>0</v>
      </c>
      <c r="K166" s="42">
        <f>-([1]SME!$P$104+[1]SME!$W$104+[1]SME!$AV$104+[1]SME!$AY$104)/1000/K162</f>
        <v>0</v>
      </c>
      <c r="L166" s="134"/>
      <c r="M166" s="97">
        <f>-([1]MidCorp!$P$102+[1]MidCorp!$W$102+[1]MidCorp!$AV$102+[1]MidCorp!$AY$102)/1000/M162</f>
        <v>0</v>
      </c>
      <c r="N166" s="42">
        <f>-([1]MidCorp!$P$103+[1]MidCorp!$W$103+[1]MidCorp!$AV$103+[1]MidCorp!$AY$103)/1000/N162</f>
        <v>0</v>
      </c>
      <c r="O166" s="42">
        <f>-([1]MidCorp!$P$104+[1]MidCorp!$W$104+[1]MidCorp!$AV$104+[1]MidCorp!$AY$104)/1000/O162</f>
        <v>0</v>
      </c>
      <c r="P166" s="134"/>
      <c r="Q166" s="97">
        <f>-([1]MGA!$P$102+[1]MGA!$W$102+[1]MGA!$AV$102+[1]MGA!$AY$102)/1000/Q162</f>
        <v>0</v>
      </c>
      <c r="R166" s="42">
        <f>-([1]MGA!$P$103+[1]MGA!$W$103+[1]MGA!$AV$103+[1]MGA!$AY$103)/1000/R162</f>
        <v>0</v>
      </c>
      <c r="S166" s="42">
        <f>-([1]MGA!$P$104+[1]MGA!$W$104+[1]MGA!$AV$104+[1]MGA!$AY$104)/1000/S162</f>
        <v>0</v>
      </c>
      <c r="T166" s="134"/>
      <c r="U166" s="97"/>
      <c r="V166" s="42"/>
      <c r="W166" s="42">
        <f>-([1]Bancassurance!$P$104+[1]Bancassurance!$W$104+[1]Bancassurance!$AV$104+[1]Bancassurance!$AY$104)/1000/W162</f>
        <v>0</v>
      </c>
      <c r="X166" s="134"/>
      <c r="Y166" s="97"/>
      <c r="Z166" s="42"/>
      <c r="AA166" s="42"/>
      <c r="AB166" s="134"/>
      <c r="AC166" s="99">
        <f>-('[1]Total P&amp;C'!$P$102+'[1]Total P&amp;C'!$W$102+'[1]Total P&amp;C'!$AV$102+'[1]Total P&amp;C'!$AY$102)/1000/AC162</f>
        <v>0</v>
      </c>
      <c r="AD166" s="60">
        <f>-('[1]Total P&amp;C'!$P$103+'[1]Total P&amp;C'!$W$103+'[1]Total P&amp;C'!$AV$103+'[1]Total P&amp;C'!$AY$103)/1000/AD162</f>
        <v>0</v>
      </c>
      <c r="AE166" s="60">
        <f>-('[1]Total P&amp;C'!$P$104+'[1]Total P&amp;C'!$W$104+'[1]Total P&amp;C'!$AV$104+'[1]Total P&amp;C'!$AY$104)/1000/AE162</f>
        <v>0</v>
      </c>
      <c r="AG166" s="212"/>
      <c r="AH166" s="115"/>
      <c r="AI166" s="38" t="s">
        <v>24</v>
      </c>
      <c r="AJ166" s="134"/>
      <c r="AK166" s="97">
        <f>-([2]Retail!$P$102+[2]Retail!$W$102+[2]Retail!$AV$102+[2]Retail!$AY$102)/1000/AK162</f>
        <v>0</v>
      </c>
      <c r="AL166" s="42">
        <f>-([2]Retail!$P$103+[2]Retail!$W$103+[2]Retail!$AV$103+[2]Retail!$AY$103)/1000/AL162</f>
        <v>0</v>
      </c>
      <c r="AM166" s="42">
        <f>-([2]Retail!$P$104+[2]Retail!$W$104+[2]Retail!$AV$104+[2]Retail!$AY$104)/1000/AM162</f>
        <v>0</v>
      </c>
      <c r="AN166" s="134"/>
      <c r="AO166" s="97">
        <f>-([2]SME!$P$102+[2]SME!$W$102+[2]SME!$AV$102+[2]SME!$AY$102)/1000/AO162</f>
        <v>0</v>
      </c>
      <c r="AP166" s="42">
        <f>-([2]SME!$P$103+[2]SME!$W$103+[2]SME!$AV$103+[2]SME!$AY$103)/1000/AP162</f>
        <v>0</v>
      </c>
      <c r="AQ166" s="42">
        <f>-([2]SME!$P$104+[2]SME!$W$104+[2]SME!$AV$104+[2]SME!$AY$104)/1000/AQ162</f>
        <v>0</v>
      </c>
      <c r="AR166" s="134"/>
      <c r="AS166" s="97">
        <f>-([2]MidCorp!$P$102+[2]MidCorp!$W$102+[2]MidCorp!$AV$102+[2]MidCorp!$AY$102)/1000/AS162</f>
        <v>0</v>
      </c>
      <c r="AT166" s="42">
        <f>-([2]MidCorp!$P$103+[2]MidCorp!$W$103+[2]MidCorp!$AV$103+[2]MidCorp!$AY$103)/1000/AT162</f>
        <v>0</v>
      </c>
      <c r="AU166" s="42">
        <f>-([2]MidCorp!$P$104+[2]MidCorp!$W$104+[2]MidCorp!$AV$104+[2]MidCorp!$AY$104)/1000/AU162</f>
        <v>0</v>
      </c>
      <c r="AV166" s="134"/>
      <c r="AW166" s="97"/>
      <c r="AX166" s="42"/>
      <c r="AY166" s="42"/>
      <c r="AZ166" s="134"/>
      <c r="BA166" s="97"/>
      <c r="BB166" s="42"/>
      <c r="BC166" s="42"/>
      <c r="BD166" s="134"/>
      <c r="BE166" s="97"/>
      <c r="BF166" s="42"/>
      <c r="BG166" s="42"/>
      <c r="BH166" s="134"/>
      <c r="BI166" s="99">
        <f>-('[2]Total P&amp;C'!$P$102+'[2]Total P&amp;C'!$W$102+'[2]Total P&amp;C'!$AV$102+'[2]Total P&amp;C'!$AY$102)/1000/BI162</f>
        <v>0</v>
      </c>
      <c r="BJ166" s="60">
        <f>-('[2]Total P&amp;C'!$P$103+'[2]Total P&amp;C'!$W$103+'[2]Total P&amp;C'!$AV$103+'[2]Total P&amp;C'!$AY$103)/1000/BJ162</f>
        <v>0</v>
      </c>
      <c r="BK166" s="60">
        <f>-('[2]Total P&amp;C'!$P$104+'[2]Total P&amp;C'!$W$104+'[2]Total P&amp;C'!$AV$104+'[2]Total P&amp;C'!$AY$104)/1000/BK162</f>
        <v>0</v>
      </c>
      <c r="BM166" s="99">
        <f>-('[3]Total P&amp;C'!$P$102+'[3]Total P&amp;C'!$W$102+'[3]Total P&amp;C'!$AV$102+'[3]Total P&amp;C'!$AY$102)/1000/BM162</f>
        <v>0</v>
      </c>
      <c r="BN166" s="60">
        <f>-('[3]Total P&amp;C'!$P$103+'[3]Total P&amp;C'!$W$103+'[3]Total P&amp;C'!$AV$103+'[3]Total P&amp;C'!$AY$103)/1000/BN162</f>
        <v>0</v>
      </c>
      <c r="BO166" s="60">
        <f>-('[3]Total P&amp;C'!$P$104+'[3]Total P&amp;C'!$W$104+'[3]Total P&amp;C'!$AV$104+'[3]Total P&amp;C'!$AY$104)/1000/BO162</f>
        <v>0</v>
      </c>
    </row>
    <row r="167" spans="1:67" ht="14.5" hidden="1" x14ac:dyDescent="0.3">
      <c r="A167" s="212"/>
      <c r="B167" s="115"/>
      <c r="C167" s="38" t="s">
        <v>25</v>
      </c>
      <c r="D167" s="134"/>
      <c r="E167" s="97">
        <f>-([1]Retail!$Q$102+[1]Retail!$X$102+[1]Retail!$AW$102+[1]Retail!$AZ$102)/1000/E162</f>
        <v>0</v>
      </c>
      <c r="F167" s="42">
        <f>-([1]Retail!$Q$103+[1]Retail!$X$103+[1]Retail!$AW$103+[1]Retail!$AZ$103)/1000/F162</f>
        <v>0</v>
      </c>
      <c r="G167" s="42" t="e">
        <f>-([1]Retail!$Q$104+[1]Retail!$X$104+[1]Retail!$AW$104+[1]Retail!$AZ$104)/1000/G162</f>
        <v>#DIV/0!</v>
      </c>
      <c r="H167" s="134"/>
      <c r="I167" s="97">
        <f>-([1]SME!$Q$102+[1]SME!$X$102+[1]SME!$AW$102+[1]SME!$AZ$102)/1000/I162</f>
        <v>0</v>
      </c>
      <c r="J167" s="42">
        <f>-([1]SME!$Q$103+[1]SME!$X$103+[1]SME!$AW$103+[1]SME!$AZ$103)/1000/J162</f>
        <v>0</v>
      </c>
      <c r="K167" s="42">
        <f>-([1]SME!$Q$104+[1]SME!$X$104+[1]SME!$AW$104+[1]SME!$AZ$104)/1000/K162</f>
        <v>0</v>
      </c>
      <c r="L167" s="134"/>
      <c r="M167" s="74">
        <f>-([1]MidCorp!$Q$102+[1]MidCorp!$X$102+[1]MidCorp!$AW$102+[1]MidCorp!$AZ$102)/1000/M162</f>
        <v>4.851676034438257E-2</v>
      </c>
      <c r="N167" s="42">
        <f>-([1]MidCorp!$Q$103+[1]MidCorp!$X$103+[1]MidCorp!$AW$103+[1]MidCorp!$AZ$103)/1000/N162</f>
        <v>7.6576282379380869E-2</v>
      </c>
      <c r="O167" s="42">
        <f>-([1]MidCorp!$Q$104+[1]MidCorp!$X$104+[1]MidCorp!$AW$104+[1]MidCorp!$AZ$104)/1000/O162</f>
        <v>5.5803276481183092E-2</v>
      </c>
      <c r="P167" s="134"/>
      <c r="Q167" s="97">
        <f>-([1]MGA!$Q$102+[1]MGA!$X$102+[1]MGA!$AW$102+[1]MGA!$AZ$102)/1000/Q162</f>
        <v>0</v>
      </c>
      <c r="R167" s="42">
        <f>-([1]MGA!$Q$103+[1]MGA!$X$103+[1]MGA!$AW$103+[1]MGA!$AZ$103)/1000/R162</f>
        <v>0</v>
      </c>
      <c r="S167" s="42">
        <f>-([1]MGA!$Q$104+[1]MGA!$X$104+[1]MGA!$AW$104+[1]MGA!$AZ$104)/1000/S162</f>
        <v>0</v>
      </c>
      <c r="T167" s="134"/>
      <c r="U167" s="97"/>
      <c r="V167" s="42"/>
      <c r="W167" s="42">
        <f>-([1]Bancassurance!$Q$104+[1]Bancassurance!$X$104+[1]Bancassurance!$AW$104+[1]Bancassurance!$AZ$104)/1000/W162</f>
        <v>0</v>
      </c>
      <c r="X167" s="134"/>
      <c r="Y167" s="97"/>
      <c r="Z167" s="42"/>
      <c r="AA167" s="42"/>
      <c r="AB167" s="134"/>
      <c r="AC167" s="85">
        <f>-('[1]Total P&amp;C'!$Q$102+'[1]Total P&amp;C'!$X$102+'[1]Total P&amp;C'!$AW$102+'[1]Total P&amp;C'!$AZ$102)/1000/AC162</f>
        <v>4.1265871702587914E-2</v>
      </c>
      <c r="AD167" s="60">
        <f>-('[1]Total P&amp;C'!$Q$103+'[1]Total P&amp;C'!$X$103+'[1]Total P&amp;C'!$AW$103+'[1]Total P&amp;C'!$AZ$103)/1000/AD162</f>
        <v>6.2595124002214439E-2</v>
      </c>
      <c r="AE167" s="60">
        <f>-('[1]Total P&amp;C'!$Q$104+'[1]Total P&amp;C'!$X$104+'[1]Total P&amp;C'!$AW$104+'[1]Total P&amp;C'!$AZ$104)/1000/AE162</f>
        <v>4.9110765462240968E-2</v>
      </c>
      <c r="AG167" s="212"/>
      <c r="AH167" s="115"/>
      <c r="AI167" s="38" t="s">
        <v>25</v>
      </c>
      <c r="AJ167" s="134"/>
      <c r="AK167" s="97">
        <f>-([2]Retail!$Q$102+[2]Retail!$X$102+[2]Retail!$AW$102+[2]Retail!$AZ$102)/1000/AK162</f>
        <v>0</v>
      </c>
      <c r="AL167" s="42">
        <f>-([2]Retail!$Q$103+[2]Retail!$X$103+[2]Retail!$AW$103+[2]Retail!$AZ$103)/1000/AL162</f>
        <v>0</v>
      </c>
      <c r="AM167" s="42">
        <f>-([2]Retail!$Q$104+[2]Retail!$X$104+[2]Retail!$AW$104+[2]Retail!$AZ$104)/1000/AM162</f>
        <v>0</v>
      </c>
      <c r="AN167" s="134"/>
      <c r="AO167" s="97">
        <f>-([2]SME!$Q$102+[2]SME!$X$102+[2]SME!$AW$102+[2]SME!$AZ$102)/1000/AO162</f>
        <v>0</v>
      </c>
      <c r="AP167" s="42">
        <f>-([2]SME!$Q$103+[2]SME!$X$103+[2]SME!$AW$103+[2]SME!$AZ$103)/1000/AP162</f>
        <v>0</v>
      </c>
      <c r="AQ167" s="42">
        <f>-([2]SME!$Q$104+[2]SME!$X$104+[2]SME!$AW$104+[2]SME!$AZ$104)/1000/AQ162</f>
        <v>0</v>
      </c>
      <c r="AR167" s="134"/>
      <c r="AS167" s="97">
        <f>-([2]MidCorp!$Q$102+[2]MidCorp!$X$102+[2]MidCorp!$AW$102+[2]MidCorp!$AZ$102)/1000/AS162</f>
        <v>0</v>
      </c>
      <c r="AT167" s="42">
        <f>-([2]MidCorp!$Q$103+[2]MidCorp!$X$103+[2]MidCorp!$AW$103+[2]MidCorp!$AZ$103)/1000/AT162</f>
        <v>0</v>
      </c>
      <c r="AU167" s="42">
        <f>-([2]MidCorp!$Q$104+[2]MidCorp!$X$104+[2]MidCorp!$AW$104+[2]MidCorp!$AZ$104)/1000/AU162</f>
        <v>0</v>
      </c>
      <c r="AV167" s="134"/>
      <c r="AW167" s="97"/>
      <c r="AX167" s="42"/>
      <c r="AY167" s="42"/>
      <c r="AZ167" s="134"/>
      <c r="BA167" s="97"/>
      <c r="BB167" s="42"/>
      <c r="BC167" s="42"/>
      <c r="BD167" s="134"/>
      <c r="BE167" s="97"/>
      <c r="BF167" s="42"/>
      <c r="BG167" s="42"/>
      <c r="BH167" s="134"/>
      <c r="BI167" s="99">
        <f>-('[2]Total P&amp;C'!$Q$102+'[2]Total P&amp;C'!$X$102+'[2]Total P&amp;C'!$AW$102+'[2]Total P&amp;C'!$AZ$102)/1000/BI162</f>
        <v>0</v>
      </c>
      <c r="BJ167" s="60">
        <f>-('[2]Total P&amp;C'!$Q$103+'[2]Total P&amp;C'!$X$103+'[2]Total P&amp;C'!$AW$103+'[2]Total P&amp;C'!$AZ$103)/1000/BJ162</f>
        <v>0</v>
      </c>
      <c r="BK167" s="60">
        <f>-('[2]Total P&amp;C'!$Q$104+'[2]Total P&amp;C'!$X$104+'[2]Total P&amp;C'!$AW$104+'[2]Total P&amp;C'!$AZ$104)/1000/BK162</f>
        <v>0</v>
      </c>
      <c r="BM167" s="85">
        <f>-('[3]Total P&amp;C'!$Q$102+'[3]Total P&amp;C'!$X$102+'[3]Total P&amp;C'!$AW$102+'[3]Total P&amp;C'!$AZ$102)/1000/BM162</f>
        <v>2.7986718183842477E-2</v>
      </c>
      <c r="BN167" s="60">
        <f>-('[3]Total P&amp;C'!$Q$103+'[3]Total P&amp;C'!$X$103+'[3]Total P&amp;C'!$AW$103+'[3]Total P&amp;C'!$AZ$103)/1000/BN162</f>
        <v>4.2402077609416021E-2</v>
      </c>
      <c r="BO167" s="60">
        <f>-('[3]Total P&amp;C'!$Q$104+'[3]Total P&amp;C'!$X$104+'[3]Total P&amp;C'!$AW$104+'[3]Total P&amp;C'!$AZ$104)/1000/BO162</f>
        <v>3.3084222227786751E-2</v>
      </c>
    </row>
    <row r="168" spans="1:67" ht="14.5" hidden="1" x14ac:dyDescent="0.3">
      <c r="A168" s="212"/>
      <c r="B168" s="115"/>
      <c r="C168" s="38" t="s">
        <v>53</v>
      </c>
      <c r="D168" s="134"/>
      <c r="E168" s="74">
        <f>-[1]Retail!$AT$102/1000/E162</f>
        <v>0.52114705825166385</v>
      </c>
      <c r="F168" s="42">
        <f>-[1]Retail!$AT$103/1000/F162</f>
        <v>0.52626592808890749</v>
      </c>
      <c r="G168" s="42" t="e">
        <f>-[1]Retail!$AT$104/1000/G162</f>
        <v>#DIV/0!</v>
      </c>
      <c r="H168" s="134"/>
      <c r="I168" s="73">
        <f>-[1]SME!$AT$102/1000/I162</f>
        <v>1.249027509362707</v>
      </c>
      <c r="J168" s="42">
        <f>-[1]SME!$AT$103/1000/J162</f>
        <v>0.69771466868759779</v>
      </c>
      <c r="K168" s="42">
        <f>-[1]SME!$AT$104/1000/K162</f>
        <v>0.59213654143631622</v>
      </c>
      <c r="L168" s="134"/>
      <c r="M168" s="74">
        <f>-[1]MidCorp!$AT$102/1000/M162</f>
        <v>3.6519643329708133E-2</v>
      </c>
      <c r="N168" s="42">
        <f>-[1]MidCorp!$AT$103/1000/N162</f>
        <v>4.1184021659657351E-2</v>
      </c>
      <c r="O168" s="42">
        <f>-[1]MidCorp!$AT$104/1000/O162</f>
        <v>4.1792058501987861E-2</v>
      </c>
      <c r="P168" s="134"/>
      <c r="Q168" s="74">
        <f>-[1]MGA!$AT$102/1000/Q162</f>
        <v>1.7944669127602582E-3</v>
      </c>
      <c r="R168" s="42">
        <f>-[1]MGA!$AT$103/1000/R162</f>
        <v>6.0930608220715748E-3</v>
      </c>
      <c r="S168" s="42">
        <f>-[1]MGA!$AT$104/1000/S162</f>
        <v>9.7679146307623303E-3</v>
      </c>
      <c r="T168" s="134"/>
      <c r="U168" s="97"/>
      <c r="V168" s="42"/>
      <c r="W168" s="42">
        <f>-[1]Bancassurance!$AT$104/1000/W162</f>
        <v>0</v>
      </c>
      <c r="X168" s="134"/>
      <c r="Y168" s="97"/>
      <c r="Z168" s="42"/>
      <c r="AA168" s="42"/>
      <c r="AB168" s="134"/>
      <c r="AC168" s="84">
        <f>-'[1]Total P&amp;C'!$AT$102/1000/AC162</f>
        <v>9.8463394353340811E-2</v>
      </c>
      <c r="AD168" s="60">
        <f>-'[1]Total P&amp;C'!$AT$103/1000/AD162</f>
        <v>0.10282049086908393</v>
      </c>
      <c r="AE168" s="60">
        <f>-'[1]Total P&amp;C'!$AT$104/1000/AE162</f>
        <v>8.6567909991212569E-2</v>
      </c>
      <c r="AG168" s="212"/>
      <c r="AH168" s="115"/>
      <c r="AI168" s="38" t="s">
        <v>53</v>
      </c>
      <c r="AJ168" s="134"/>
      <c r="AK168" s="73">
        <f>-[2]Retail!$AT$102/1000/AK162</f>
        <v>1.4670564237342918E-2</v>
      </c>
      <c r="AL168" s="42">
        <f>-[2]Retail!$AT$103/1000/AL162</f>
        <v>9.0979523985469761E-3</v>
      </c>
      <c r="AM168" s="42">
        <f>-[2]Retail!$AT$104/1000/AM162</f>
        <v>9.9925661336717365E-3</v>
      </c>
      <c r="AN168" s="134"/>
      <c r="AO168" s="97">
        <f>-[2]SME!$AT$102/1000/AO162</f>
        <v>0</v>
      </c>
      <c r="AP168" s="42">
        <f>-[2]SME!$AT$103/1000/AP162</f>
        <v>5.3488236045003334E-3</v>
      </c>
      <c r="AQ168" s="42">
        <f>-[2]SME!$AT$104/1000/AQ162</f>
        <v>0</v>
      </c>
      <c r="AR168" s="134"/>
      <c r="AS168" s="73">
        <f>-[2]MidCorp!$AT$102/1000/AS162</f>
        <v>0.1305650385417377</v>
      </c>
      <c r="AT168" s="42">
        <f>-[2]MidCorp!$AT$103/1000/AT162</f>
        <v>0.23172504589821219</v>
      </c>
      <c r="AU168" s="42">
        <f>-[2]MidCorp!$AT$104/1000/AU162</f>
        <v>0.12909827616262673</v>
      </c>
      <c r="AV168" s="134"/>
      <c r="AW168" s="97"/>
      <c r="AX168" s="42"/>
      <c r="AY168" s="42"/>
      <c r="AZ168" s="134"/>
      <c r="BA168" s="97"/>
      <c r="BB168" s="42"/>
      <c r="BC168" s="42"/>
      <c r="BD168" s="134"/>
      <c r="BE168" s="97"/>
      <c r="BF168" s="42"/>
      <c r="BG168" s="42"/>
      <c r="BH168" s="134"/>
      <c r="BI168" s="84">
        <f>-'[2]Total P&amp;C'!$AT$102/1000/BI162</f>
        <v>9.8148647141507242E-2</v>
      </c>
      <c r="BJ168" s="60">
        <f>-'[2]Total P&amp;C'!$AT$103/1000/BJ162</f>
        <v>0.12643661584059532</v>
      </c>
      <c r="BK168" s="60">
        <f>-'[2]Total P&amp;C'!$AT$104/1000/BK162</f>
        <v>9.2585068411557336E-2</v>
      </c>
      <c r="BM168" s="84">
        <f>-'[3]Total P&amp;C'!$AT$102/1000/BM162</f>
        <v>9.8362110256505084E-2</v>
      </c>
      <c r="BN168" s="60">
        <f>-'[3]Total P&amp;C'!$AT$103/1000/BN162</f>
        <v>0.11043899973490204</v>
      </c>
      <c r="BO168" s="60">
        <f>-'[3]Total P&amp;C'!$AT$104/1000/BO162</f>
        <v>8.8531517128355636E-2</v>
      </c>
    </row>
    <row r="169" spans="1:67" hidden="1" x14ac:dyDescent="0.3">
      <c r="A169" s="212"/>
      <c r="B169" s="115"/>
      <c r="C169" s="116" t="s">
        <v>27</v>
      </c>
      <c r="D169" s="134"/>
      <c r="E169" s="126">
        <f>-([1]Retail!$Z$102+[1]Retail!$AA$102+[1]Retail!$BB$102+[1]Retail!$BC$102)/1000/E162</f>
        <v>-4.8932647260569828E-4</v>
      </c>
      <c r="F169" s="127">
        <f>-([1]Retail!$Z$103+[1]Retail!$AA$103+[1]Retail!$BB$103+[1]Retail!$BC$103)/1000/F162</f>
        <v>-6.4685809326718124E-4</v>
      </c>
      <c r="G169" s="127" t="e">
        <f>-([1]Retail!$Z$104+[1]Retail!$AA$104+[1]Retail!$BB$104+[1]Retail!$BC$104)/1000/G162</f>
        <v>#DIV/0!</v>
      </c>
      <c r="H169" s="134"/>
      <c r="I169" s="126">
        <f>-([1]SME!$Z$102+[1]SME!$AA$102+[1]SME!$BB$102+[1]SME!$BC$102)/1000/I162</f>
        <v>-4.6795680239596245E-3</v>
      </c>
      <c r="J169" s="127">
        <f>-([1]SME!$Z$103+[1]SME!$AA$103+[1]SME!$BB$103+[1]SME!$BC$103)/1000/J162</f>
        <v>-3.9002622886332911E-3</v>
      </c>
      <c r="K169" s="127">
        <f>-([1]SME!$Z$104+[1]SME!$AA$104+[1]SME!$BB$104+[1]SME!$BC$104)/1000/K162</f>
        <v>3.183563323949771E-4</v>
      </c>
      <c r="L169" s="134"/>
      <c r="M169" s="126">
        <f>-([1]MidCorp!$Z$102+[1]MidCorp!$AA$102+[1]MidCorp!$BB$102+[1]MidCorp!$BC$102)/1000/M162</f>
        <v>-2.2658501932838693E-2</v>
      </c>
      <c r="N169" s="127">
        <f>-([1]MidCorp!$Z$103+[1]MidCorp!$AA$103+[1]MidCorp!$BB$103+[1]MidCorp!$BC$103)/1000/N162</f>
        <v>-2.6404358433631786E-2</v>
      </c>
      <c r="O169" s="127">
        <f>-([1]MidCorp!$Z$104+[1]MidCorp!$AA$104+[1]MidCorp!$BB$104+[1]MidCorp!$BC$104)/1000/O162</f>
        <v>-1.5091968946234562E-2</v>
      </c>
      <c r="P169" s="134"/>
      <c r="Q169" s="126">
        <f>-([1]MGA!$Z$102+[1]MGA!$AA$102+[1]MGA!$BB$102+[1]MGA!$BC$102)/1000/Q162</f>
        <v>-1.3546252365370349E-2</v>
      </c>
      <c r="R169" s="127">
        <f>-([1]MGA!$Z$103+[1]MGA!$AA$103+[1]MGA!$BB$103+[1]MGA!$BC$103)/1000/R162</f>
        <v>-1.5819507197133771E-2</v>
      </c>
      <c r="S169" s="127">
        <f>-([1]MGA!$Z$104+[1]MGA!$AA$104+[1]MGA!$BB$104+[1]MGA!$BC$104)/1000/S162</f>
        <v>-9.5773803594270783E-3</v>
      </c>
      <c r="T169" s="134"/>
      <c r="U169" s="128"/>
      <c r="V169" s="127"/>
      <c r="W169" s="127">
        <f>-([1]Bancassurance!$Z$104+[1]Bancassurance!$AA$104+[1]Bancassurance!$BB$104+[1]Bancassurance!$BC$104)/1000/W162</f>
        <v>-1.5387380409313126E-2</v>
      </c>
      <c r="X169" s="134"/>
      <c r="Y169" s="128"/>
      <c r="Z169" s="127"/>
      <c r="AA169" s="127"/>
      <c r="AB169" s="134"/>
      <c r="AC169" s="132">
        <f>-('[1]Total P&amp;C'!$Z$102+'[1]Total P&amp;C'!$AA$102+'[1]Total P&amp;C'!$BB$102+'[1]Total P&amp;C'!$BC$102)/1000/AC162</f>
        <v>-2.0696476405682038E-2</v>
      </c>
      <c r="AD169" s="130">
        <f>-('[1]Total P&amp;C'!$Z$103+'[1]Total P&amp;C'!$AA$103+'[1]Total P&amp;C'!$BB$103+'[1]Total P&amp;C'!$BC$103)/1000/AD162</f>
        <v>-2.32022034492376E-2</v>
      </c>
      <c r="AE169" s="130">
        <f>-('[1]Total P&amp;C'!$Z$104+'[1]Total P&amp;C'!$AA$104+'[1]Total P&amp;C'!$BB$104+'[1]Total P&amp;C'!$BC$104)/1000/AE162</f>
        <v>-1.3685658366654375E-2</v>
      </c>
      <c r="AG169" s="212"/>
      <c r="AH169" s="115"/>
      <c r="AI169" s="116" t="s">
        <v>27</v>
      </c>
      <c r="AJ169" s="134"/>
      <c r="AK169" s="126">
        <f>-([2]Retail!$Z$102+[2]Retail!$AA$102+[2]Retail!$BB$102+[2]Retail!$BC$102)/1000/AK162</f>
        <v>-1.639746344135723E-2</v>
      </c>
      <c r="AL169" s="127">
        <f>-([2]Retail!$Z$103+[2]Retail!$AA$103+[2]Retail!$BB$103+[2]Retail!$BC$103)/1000/AL162</f>
        <v>-2.5878339336641454E-2</v>
      </c>
      <c r="AM169" s="127">
        <f>-([2]Retail!$Z$104+[2]Retail!$AA$104+[2]Retail!$BB$104+[2]Retail!$BC$104)/1000/AM162</f>
        <v>-1.1612084713996735E-2</v>
      </c>
      <c r="AN169" s="134"/>
      <c r="AO169" s="128">
        <f>-([2]SME!$Z$102+[2]SME!$AA$102+[2]SME!$BB$102+[2]SME!$BC$102)/1000/AO162</f>
        <v>-1.8566700941708002E-2</v>
      </c>
      <c r="AP169" s="127">
        <f>-([2]SME!$Z$103+[2]SME!$AA$103+[2]SME!$BB$103+[2]SME!$BC$103)/1000/AP162</f>
        <v>-8.1233148892116518E-3</v>
      </c>
      <c r="AQ169" s="127">
        <f>-([2]SME!$Z$104+[2]SME!$AA$104+[2]SME!$BB$104+[2]SME!$BC$104)/1000/AQ162</f>
        <v>-1.9364818571206862E-2</v>
      </c>
      <c r="AR169" s="134"/>
      <c r="AS169" s="126">
        <f>-([2]MidCorp!$Z$102+[2]MidCorp!$AA$102+[2]MidCorp!$BB$102+[2]MidCorp!$BC$102)/1000/AS162</f>
        <v>-1.1493361975491417E-2</v>
      </c>
      <c r="AT169" s="127">
        <f>-([2]MidCorp!$Z$103+[2]MidCorp!$AA$103+[2]MidCorp!$BB$103+[2]MidCorp!$BC$103)/1000/AT162</f>
        <v>-1.8270679762661831E-2</v>
      </c>
      <c r="AU169" s="127">
        <f>-([2]MidCorp!$Z$104+[2]MidCorp!$AA$104+[2]MidCorp!$BB$104+[2]MidCorp!$BC$104)/1000/AU162</f>
        <v>-6.0222824326494374E-3</v>
      </c>
      <c r="AV169" s="134"/>
      <c r="AW169" s="131"/>
      <c r="AX169" s="127"/>
      <c r="AY169" s="127"/>
      <c r="AZ169" s="134"/>
      <c r="BA169" s="131"/>
      <c r="BB169" s="127"/>
      <c r="BC169" s="127"/>
      <c r="BD169" s="134"/>
      <c r="BE169" s="131"/>
      <c r="BF169" s="127"/>
      <c r="BG169" s="127"/>
      <c r="BH169" s="134"/>
      <c r="BI169" s="132">
        <f>-('[2]Total P&amp;C'!$Z$102+'[2]Total P&amp;C'!$AA$102+'[2]Total P&amp;C'!$BB$102+'[2]Total P&amp;C'!$BC$102)/1000/BI162</f>
        <v>-1.2895659525822369E-2</v>
      </c>
      <c r="BJ169" s="130">
        <f>-('[2]Total P&amp;C'!$Z$103+'[2]Total P&amp;C'!$AA$103+'[2]Total P&amp;C'!$BB$103+'[2]Total P&amp;C'!$BC$103)/1000/BJ162</f>
        <v>-1.7574364858546604E-2</v>
      </c>
      <c r="BK169" s="130">
        <f>-('[2]Total P&amp;C'!$Z$104+'[2]Total P&amp;C'!$AA$104+'[2]Total P&amp;C'!$BB$104+'[2]Total P&amp;C'!$BC$104)/1000/BK162</f>
        <v>-7.8894542926023093E-3</v>
      </c>
      <c r="BM169" s="132">
        <f>-('[3]Total P&amp;C'!$Z$102+'[3]Total P&amp;C'!$AA$102+'[3]Total P&amp;C'!$BB$102+'[3]Total P&amp;C'!$BC$102)/1000/BM162</f>
        <v>-1.8186212096573038E-2</v>
      </c>
      <c r="BN169" s="130">
        <f>-('[3]Total P&amp;C'!$Z$103+'[3]Total P&amp;C'!$AA$103+'[3]Total P&amp;C'!$BB$103+'[3]Total P&amp;C'!$BC$103)/1000/BN162</f>
        <v>-2.1386675361954249E-2</v>
      </c>
      <c r="BO169" s="130">
        <f>-('[3]Total P&amp;C'!$Z$104+'[3]Total P&amp;C'!$AA$104+'[3]Total P&amp;C'!$BB$104+'[3]Total P&amp;C'!$BC$104)/1000/BO162</f>
        <v>-1.1794156283268272E-2</v>
      </c>
    </row>
    <row r="170" spans="1:67" hidden="1" x14ac:dyDescent="0.3">
      <c r="A170" s="212"/>
      <c r="B170" s="115"/>
      <c r="C170" s="116" t="s">
        <v>57</v>
      </c>
      <c r="D170" s="134"/>
      <c r="E170" s="126">
        <f>-SUM([1]Retail!$AC$102:$AI$102,[1]Retail!$BE$102:$BG$102)/1000/E162</f>
        <v>-0.12729540160803995</v>
      </c>
      <c r="F170" s="127">
        <f>-SUM([1]Retail!$AC$103:$AI$103,[1]Retail!$BE$103:$BG$103)/1000/F162</f>
        <v>-0.1767059199321962</v>
      </c>
      <c r="G170" s="127" t="e">
        <f>-SUM([1]Retail!$AC$104:$AI$104,[1]Retail!$BE$104:$BG$104)/1000/G162</f>
        <v>#DIV/0!</v>
      </c>
      <c r="H170" s="134"/>
      <c r="I170" s="126">
        <f>-SUM([1]SME!$AC$102:$AI$102,[1]SME!$BE$102:$BG$102)/1000/I162</f>
        <v>-8.316516020194116E-2</v>
      </c>
      <c r="J170" s="127">
        <f>-SUM([1]SME!$AC$103:$AI$103,[1]SME!$BE$103:$BG$103)/1000/J162</f>
        <v>-0.18059603233367194</v>
      </c>
      <c r="K170" s="127">
        <f>-SUM([1]SME!$AC$104:$AI$104,[1]SME!$BE$104:$BG$104)/1000/K162</f>
        <v>2.7573679296598991E-4</v>
      </c>
      <c r="L170" s="134"/>
      <c r="M170" s="126">
        <f>-SUM([1]MidCorp!$AC$102:$AI$102,[1]MidCorp!$BE$102:$BG$102)/1000/M162</f>
        <v>-0.22963256081601108</v>
      </c>
      <c r="N170" s="127">
        <f>-SUM([1]MidCorp!$AC$103:$AI$103,[1]MidCorp!$BE$103:$BG$103)/1000/N162</f>
        <v>-5.7253337301616539E-2</v>
      </c>
      <c r="O170" s="127">
        <f>-SUM([1]MidCorp!$AC$104:$AI$104,[1]MidCorp!$BE$104:$BG$104)/1000/O162</f>
        <v>-2.7356874837871862E-2</v>
      </c>
      <c r="P170" s="134"/>
      <c r="Q170" s="126">
        <f>-SUM([1]MGA!$AC$102:$AI$102,[1]MGA!$BE$102:$BG$102)/1000/Q162</f>
        <v>-0.13019569538683626</v>
      </c>
      <c r="R170" s="127">
        <f>-SUM([1]MGA!$AC$103:$AI$103,[1]MGA!$BE$103:$BG$103)/1000/R162</f>
        <v>-3.7114806574589649E-3</v>
      </c>
      <c r="S170" s="127">
        <f>-SUM([1]MGA!$AC$104:$AI$104,[1]MGA!$BE$104:$BG$104)/1000/S162</f>
        <v>-4.6509944227969426E-2</v>
      </c>
      <c r="T170" s="134"/>
      <c r="U170" s="128"/>
      <c r="V170" s="127"/>
      <c r="W170" s="127">
        <f>-SUM([1]Bancassurance!$AC$104:$AI$104,[1]Bancassurance!$BE$104:$BG$104)/1000/W162</f>
        <v>-8.1830144923878776E-3</v>
      </c>
      <c r="X170" s="134"/>
      <c r="Y170" s="131"/>
      <c r="Z170" s="127"/>
      <c r="AA170" s="127"/>
      <c r="AB170" s="134"/>
      <c r="AC170" s="132">
        <f>-SUM('[1]Total P&amp;C'!$AC$102:$AI$102,'[1]Total P&amp;C'!$BE$102:$BG$102)/1000/AC162</f>
        <v>-0.21245454326953206</v>
      </c>
      <c r="AD170" s="130">
        <f>-SUM('[1]Total P&amp;C'!$AC$103:$AI$103,'[1]Total P&amp;C'!$BE$103:$BG$103)/1000/AD162</f>
        <v>-6.542092394139426E-2</v>
      </c>
      <c r="AE170" s="130">
        <f>-SUM('[1]Total P&amp;C'!$AC$104:$AI$104,'[1]Total P&amp;C'!$BE$104:$BG$104)/1000/AE162</f>
        <v>-2.5185798692739767E-2</v>
      </c>
      <c r="AG170" s="212"/>
      <c r="AH170" s="115"/>
      <c r="AI170" s="116" t="s">
        <v>57</v>
      </c>
      <c r="AJ170" s="134"/>
      <c r="AK170" s="126">
        <f>-SUM([2]Retail!$AC$102:$AI$102,[2]Retail!$BE$102:$BG$102)/1000/AK162</f>
        <v>-1.2144010765537359</v>
      </c>
      <c r="AL170" s="127">
        <f>-SUM([2]Retail!$AC$103:$AI$103,[2]Retail!$BE$103:$BG$103)/1000/AL162</f>
        <v>-0.48135049965249493</v>
      </c>
      <c r="AM170" s="127">
        <f>-SUM([2]Retail!$AC$104:$AI$104,[2]Retail!$BE$104:$BG$104)/1000/AM162</f>
        <v>-4.2902013827559862E-3</v>
      </c>
      <c r="AN170" s="134"/>
      <c r="AO170" s="126">
        <f>-SUM([2]SME!$AC$102:$AI$102,[2]SME!$BE$102:$BG$102)/1000/AO162</f>
        <v>-0.18937391541573612</v>
      </c>
      <c r="AP170" s="127">
        <f>-SUM([2]SME!$AC$103:$AI$103,[2]SME!$BE$103:$BG$103)/1000/AP162</f>
        <v>-0.20691198973745933</v>
      </c>
      <c r="AQ170" s="127">
        <f>-SUM([2]SME!$AC$104:$AI$104,[2]SME!$BE$104:$BG$104)/1000/AQ162</f>
        <v>-5.6108451703700234E-3</v>
      </c>
      <c r="AR170" s="134"/>
      <c r="AS170" s="126">
        <f>-SUM([2]MidCorp!$AC$102:$AI$102,[2]MidCorp!$BE$102:$BG$102)/1000/AS162</f>
        <v>-0.39656367778993751</v>
      </c>
      <c r="AT170" s="127">
        <f>-SUM([2]MidCorp!$AC$103:$AI$103,[2]MidCorp!$BE$103:$BG$103)/1000/AT162</f>
        <v>-9.2636201619128902E-2</v>
      </c>
      <c r="AU170" s="127">
        <f>-SUM([2]MidCorp!$AC$104:$AI$104,[2]MidCorp!$BE$104:$BG$104)/1000/AU162</f>
        <v>-3.8494332433820361E-3</v>
      </c>
      <c r="AV170" s="134"/>
      <c r="AW170" s="131"/>
      <c r="AX170" s="127"/>
      <c r="AY170" s="127"/>
      <c r="AZ170" s="134"/>
      <c r="BA170" s="131"/>
      <c r="BB170" s="127"/>
      <c r="BC170" s="127"/>
      <c r="BD170" s="134"/>
      <c r="BE170" s="131"/>
      <c r="BF170" s="127"/>
      <c r="BG170" s="127"/>
      <c r="BH170" s="134"/>
      <c r="BI170" s="132">
        <f>-SUM('[2]Total P&amp;C'!$AC$102:$AI$102,'[2]Total P&amp;C'!$BE$102:$BG$102)/1000/BI162</f>
        <v>-0.60302259754618226</v>
      </c>
      <c r="BJ170" s="130">
        <f>-SUM('[2]Total P&amp;C'!$AC$103:$AI$103,'[2]Total P&amp;C'!$BE$103:$BG$103)/1000/BJ162</f>
        <v>-0.20900086031928361</v>
      </c>
      <c r="BK170" s="130">
        <f>-SUM('[2]Total P&amp;C'!$AC$104:$AI$104,'[2]Total P&amp;C'!$BE$104:$BG$104)/1000/BK162</f>
        <v>-4.0116176079665307E-3</v>
      </c>
      <c r="BM170" s="132">
        <f>-SUM('[3]Total P&amp;C'!$AC$102:$AI$102,'[3]Total P&amp;C'!$BE$102:$BG$102)/1000/BM162</f>
        <v>-0.33813741238803607</v>
      </c>
      <c r="BN170" s="130">
        <f>-SUM('[3]Total P&amp;C'!$AC$103:$AI$103,'[3]Total P&amp;C'!$BE$103:$BG$103)/1000/BN162</f>
        <v>-0.1117394888866638</v>
      </c>
      <c r="BO170" s="130">
        <f>-SUM('[3]Total P&amp;C'!$AC$104:$AI$104,'[3]Total P&amp;C'!$BE$104:$BG$104)/1000/BO162</f>
        <v>-1.8275930247089296E-2</v>
      </c>
    </row>
    <row r="171" spans="1:67" hidden="1" x14ac:dyDescent="0.3">
      <c r="A171" s="212"/>
      <c r="B171" s="115"/>
      <c r="C171" s="116" t="s">
        <v>29</v>
      </c>
      <c r="D171" s="134"/>
      <c r="E171" s="126">
        <f>-SUM([1]Retail!$AJ$102:$AK$102,[1]Retail!$BH$102:$BI$102)/1000/E162</f>
        <v>6.6914439885394049E-3</v>
      </c>
      <c r="F171" s="127">
        <f>-SUM([1]Retail!$AJ$103:$AK$103,[1]Retail!$BH$103:$BI$103)/1000/F162</f>
        <v>2.1007055253500148E-3</v>
      </c>
      <c r="G171" s="127" t="e">
        <f>-SUM([1]Retail!$AJ$104:$AK$104,[1]Retail!$BH$104:$BI$104)/1000/G162</f>
        <v>#DIV/0!</v>
      </c>
      <c r="H171" s="134"/>
      <c r="I171" s="128">
        <f>-SUM([1]SME!$AJ$102:$AK$102,[1]SME!$BH$102:$BI$102)/1000/I162</f>
        <v>1.7297160781040294E-2</v>
      </c>
      <c r="J171" s="127">
        <f>-SUM([1]SME!$AJ$103:$AK$103,[1]SME!$BH$103:$BI$103)/1000/J162</f>
        <v>8.0137205746782132E-3</v>
      </c>
      <c r="K171" s="127">
        <f>-SUM([1]SME!$AJ$104:$AK$104,[1]SME!$BH$104:$BI$104)/1000/K162</f>
        <v>0</v>
      </c>
      <c r="L171" s="134"/>
      <c r="M171" s="128">
        <f>-SUM([1]MidCorp!$AJ$102:$AK$102,[1]MidCorp!$BH$102:$BI$102)/1000/M162</f>
        <v>4.8948290803236434E-2</v>
      </c>
      <c r="N171" s="127">
        <f>-SUM([1]MidCorp!$AJ$103:$AK$103,[1]MidCorp!$BH$103:$BI$103)/1000/N162</f>
        <v>9.8836810914028871E-3</v>
      </c>
      <c r="O171" s="127">
        <f>-SUM([1]MidCorp!$AJ$104:$AK$104,[1]MidCorp!$BH$104:$BI$104)/1000/O162</f>
        <v>0</v>
      </c>
      <c r="P171" s="134"/>
      <c r="Q171" s="128">
        <f>-SUM([1]MGA!$AJ$102:$AK$102,[1]MGA!$BH$102:$BI$102)/1000/Q162</f>
        <v>4.3781508199507886E-2</v>
      </c>
      <c r="R171" s="127">
        <f>-SUM([1]MGA!$AJ$103:$AK$103,[1]MGA!$BH$103:$BI$103)/1000/R162</f>
        <v>-3.3288090364353422E-2</v>
      </c>
      <c r="S171" s="127">
        <f>-SUM([1]MGA!$AJ$104:$AK$104,[1]MGA!$BH$104:$BI$104)/1000/S162</f>
        <v>0</v>
      </c>
      <c r="T171" s="134"/>
      <c r="U171" s="131"/>
      <c r="V171" s="127"/>
      <c r="W171" s="127">
        <f>-SUM([1]Bancassurance!$AJ$104:$AK$104,[1]Bancassurance!$BH$104:$BI$104)/1000/W162</f>
        <v>0</v>
      </c>
      <c r="X171" s="134"/>
      <c r="Y171" s="131"/>
      <c r="Z171" s="127"/>
      <c r="AA171" s="127"/>
      <c r="AB171" s="134"/>
      <c r="AC171" s="129">
        <f>-SUM('[1]Total P&amp;C'!$AJ$102:$AK$102,'[1]Total P&amp;C'!$BH$102:$BI$102)/1000/AC162</f>
        <v>4.6408432887338764E-2</v>
      </c>
      <c r="AD171" s="130">
        <f>-SUM('[1]Total P&amp;C'!$AJ$103:$AK$103,'[1]Total P&amp;C'!$BH$103:$BI$103)/1000/AD162</f>
        <v>6.1348561085676975E-3</v>
      </c>
      <c r="AE171" s="130">
        <f>-SUM('[1]Total P&amp;C'!$AJ$104:$AK$104,'[1]Total P&amp;C'!$BH$104:$BI$104)/1000/AE162</f>
        <v>0</v>
      </c>
      <c r="AG171" s="212"/>
      <c r="AH171" s="115"/>
      <c r="AI171" s="116" t="s">
        <v>29</v>
      </c>
      <c r="AJ171" s="134"/>
      <c r="AK171" s="128">
        <f>-SUM([2]Retail!$AJ$102:$AK$102,[2]Retail!$BH$102:$BI$102)/1000/AK162</f>
        <v>0.24237447167155007</v>
      </c>
      <c r="AL171" s="127">
        <f>-SUM([2]Retail!$AJ$103:$AK$103,[2]Retail!$BH$103:$BI$103)/1000/AL162</f>
        <v>3.0714532584472695E-2</v>
      </c>
      <c r="AM171" s="127">
        <f>-SUM([2]Retail!$AJ$104:$AK$104,[2]Retail!$BH$104:$BI$104)/1000/AM162</f>
        <v>0</v>
      </c>
      <c r="AN171" s="134"/>
      <c r="AO171" s="128">
        <f>-SUM([2]SME!$AJ$102:$AK$102,[2]SME!$BH$102:$BI$102)/1000/AO162</f>
        <v>8.1334727272308588E-2</v>
      </c>
      <c r="AP171" s="127">
        <f>-SUM([2]SME!$AJ$103:$AK$103,[2]SME!$BH$103:$BI$103)/1000/AP162</f>
        <v>1.60951604099429E-2</v>
      </c>
      <c r="AQ171" s="127">
        <f>-SUM([2]SME!$AJ$104:$AK$104,[2]SME!$BH$104:$BI$104)/1000/AQ162</f>
        <v>0</v>
      </c>
      <c r="AR171" s="134"/>
      <c r="AS171" s="128">
        <f>-SUM([2]MidCorp!$AJ$102:$AK$102,[2]MidCorp!$BH$102:$BI$102)/1000/AS162</f>
        <v>2.3785437201215547E-2</v>
      </c>
      <c r="AT171" s="127">
        <f>-SUM([2]MidCorp!$AJ$103:$AK$103,[2]MidCorp!$BH$103:$BI$103)/1000/AT162</f>
        <v>2.0997919234926415E-2</v>
      </c>
      <c r="AU171" s="127">
        <f>-SUM([2]MidCorp!$AJ$104:$AK$104,[2]MidCorp!$BH$104:$BI$104)/1000/AU162</f>
        <v>0</v>
      </c>
      <c r="AV171" s="134"/>
      <c r="AW171" s="131"/>
      <c r="AX171" s="127"/>
      <c r="AY171" s="127"/>
      <c r="AZ171" s="134"/>
      <c r="BA171" s="131"/>
      <c r="BB171" s="127"/>
      <c r="BC171" s="127"/>
      <c r="BD171" s="134"/>
      <c r="BE171" s="131"/>
      <c r="BF171" s="127"/>
      <c r="BG171" s="127"/>
      <c r="BH171" s="134"/>
      <c r="BI171" s="129">
        <f>-SUM('[2]Total P&amp;C'!$AJ$102:$AK$102,'[2]Total P&amp;C'!$BH$102:$BI$102)/1000/BI162</f>
        <v>8.119805567179357E-2</v>
      </c>
      <c r="BJ171" s="130">
        <f>-SUM('[2]Total P&amp;C'!$AJ$103:$AK$103,'[2]Total P&amp;C'!$BH$103:$BI$103)/1000/BJ162</f>
        <v>2.2043436505652988E-2</v>
      </c>
      <c r="BK171" s="130">
        <f>-SUM('[2]Total P&amp;C'!$AJ$104:$AK$104,'[2]Total P&amp;C'!$BH$104:$BI$104)/1000/BK162</f>
        <v>0</v>
      </c>
      <c r="BM171" s="129">
        <f>-SUM('[3]Total P&amp;C'!$AJ$102:$AK$102,'[3]Total P&amp;C'!$BH$102:$BI$102)/1000/BM162</f>
        <v>5.7603561519143406E-2</v>
      </c>
      <c r="BN171" s="130">
        <f>-SUM('[3]Total P&amp;C'!$AJ$103:$AK$103,'[3]Total P&amp;C'!$BH$103:$BI$103)/1000/BN162</f>
        <v>1.1266928408489051E-2</v>
      </c>
      <c r="BO171" s="130">
        <f>-SUM('[3]Total P&amp;C'!$AJ$104:$AK$104,'[3]Total P&amp;C'!$BH$104:$BI$104)/1000/BO162</f>
        <v>0</v>
      </c>
    </row>
    <row r="172" spans="1:67" hidden="1" x14ac:dyDescent="0.3">
      <c r="A172" s="212"/>
      <c r="B172" s="115"/>
      <c r="C172" s="116" t="s">
        <v>58</v>
      </c>
      <c r="D172" s="134"/>
      <c r="E172" s="128">
        <f>+E173+E174+E175</f>
        <v>0.29680419560328797</v>
      </c>
      <c r="F172" s="127">
        <f>+F173+F174+F175</f>
        <v>0.58272871695112083</v>
      </c>
      <c r="G172" s="127" t="e">
        <f>+G173+G174+G175</f>
        <v>#DIV/0!</v>
      </c>
      <c r="H172" s="134"/>
      <c r="I172" s="128">
        <f>+I173+I174+I175</f>
        <v>0.41712323411648072</v>
      </c>
      <c r="J172" s="127">
        <f>+J173+J174+J175</f>
        <v>0.28407804794275088</v>
      </c>
      <c r="K172" s="127">
        <f>+K173+K174+K175</f>
        <v>0.34805206207345341</v>
      </c>
      <c r="L172" s="134"/>
      <c r="M172" s="126">
        <f>+M173+M174+M175</f>
        <v>0.24966452656873153</v>
      </c>
      <c r="N172" s="127">
        <f>+N173+N174+N175</f>
        <v>0.23536416658953488</v>
      </c>
      <c r="O172" s="127">
        <f>+O173+O174+O175</f>
        <v>0.25330077371392817</v>
      </c>
      <c r="P172" s="134"/>
      <c r="Q172" s="126">
        <f>+Q173+Q174+Q175</f>
        <v>0.29655840419388368</v>
      </c>
      <c r="R172" s="127">
        <f>+R173+R174+R175</f>
        <v>0.33476857594346249</v>
      </c>
      <c r="S172" s="127">
        <f>+S173+S174+S175</f>
        <v>0.40120742440477219</v>
      </c>
      <c r="T172" s="134"/>
      <c r="U172" s="126"/>
      <c r="V172" s="127"/>
      <c r="W172" s="127">
        <f>+W173+W174+W175</f>
        <v>0.18648986335152282</v>
      </c>
      <c r="X172" s="134"/>
      <c r="Y172" s="131"/>
      <c r="Z172" s="127"/>
      <c r="AA172" s="127"/>
      <c r="AB172" s="134"/>
      <c r="AC172" s="132">
        <f>+AC173+AC174+AC175</f>
        <v>0.26434960900557997</v>
      </c>
      <c r="AD172" s="130">
        <f>+AD173+AD174+AD175</f>
        <v>0.25692820716777659</v>
      </c>
      <c r="AE172" s="130">
        <f>+AE173+AE174+AE175</f>
        <v>0.26505895588594225</v>
      </c>
      <c r="AG172" s="212"/>
      <c r="AH172" s="115"/>
      <c r="AI172" s="116" t="s">
        <v>58</v>
      </c>
      <c r="AJ172" s="134"/>
      <c r="AK172" s="128">
        <f>+AK173+AK174+AK175</f>
        <v>0.46260270070597914</v>
      </c>
      <c r="AL172" s="127">
        <f>+AL173+AL174+AL175</f>
        <v>0.43354455381021317</v>
      </c>
      <c r="AM172" s="127">
        <f>+AM173+AM174+AM175</f>
        <v>0.43631912575093118</v>
      </c>
      <c r="AN172" s="134"/>
      <c r="AO172" s="126">
        <f>+AO173+AO174+AO175</f>
        <v>0.29886838180942144</v>
      </c>
      <c r="AP172" s="127">
        <f>+AP173+AP174+AP175</f>
        <v>0.19181337682164729</v>
      </c>
      <c r="AQ172" s="127">
        <f>+AQ173+AQ174+AQ175</f>
        <v>0.30771827330989338</v>
      </c>
      <c r="AR172" s="134"/>
      <c r="AS172" s="126">
        <f>+AS173+AS174+AS175</f>
        <v>0.23440197431557791</v>
      </c>
      <c r="AT172" s="127">
        <f>+AT173+AT174+AT175</f>
        <v>0.26145752181615833</v>
      </c>
      <c r="AU172" s="127">
        <f>+AU173+AU174+AU175</f>
        <v>0.25387876270963183</v>
      </c>
      <c r="AV172" s="134"/>
      <c r="AW172" s="131"/>
      <c r="AX172" s="127"/>
      <c r="AY172" s="127"/>
      <c r="AZ172" s="134"/>
      <c r="BA172" s="131"/>
      <c r="BB172" s="127"/>
      <c r="BC172" s="127"/>
      <c r="BD172" s="134"/>
      <c r="BE172" s="131"/>
      <c r="BF172" s="127"/>
      <c r="BG172" s="127"/>
      <c r="BH172" s="134"/>
      <c r="BI172" s="132">
        <f>+BI173+BI174+BI175</f>
        <v>0.29451734564818832</v>
      </c>
      <c r="BJ172" s="130">
        <f>+BJ173+BJ174+BJ175</f>
        <v>0.28606605698709642</v>
      </c>
      <c r="BK172" s="130">
        <f>+BK173+BK174+BK175</f>
        <v>0.30677411802615706</v>
      </c>
      <c r="BM172" s="132">
        <f>+BM173+BM174+BM175</f>
        <v>0.27405743752493134</v>
      </c>
      <c r="BN172" s="130">
        <f>+BN173+BN174+BN175</f>
        <v>0.26632801206579232</v>
      </c>
      <c r="BO172" s="130">
        <f>+BO173+BO174+BO175</f>
        <v>0.27867205768307141</v>
      </c>
    </row>
    <row r="173" spans="1:67" ht="14.5" hidden="1" x14ac:dyDescent="0.3">
      <c r="A173" s="212"/>
      <c r="B173" s="115"/>
      <c r="C173" s="39" t="s">
        <v>59</v>
      </c>
      <c r="D173" s="135"/>
      <c r="E173" s="74">
        <f>-SUM([1]Retail!$AL$102:$AN$102,[1]Retail!$BJ$102)/1000/E162</f>
        <v>0.18786010863753863</v>
      </c>
      <c r="F173" s="42">
        <f>-SUM([1]Retail!$AL$103:$AN$103,[1]Retail!$BJ$103)/1000/F162</f>
        <v>0.18900335369687166</v>
      </c>
      <c r="G173" s="42" t="e">
        <f>-SUM([1]Retail!$AL$104:$AN$104,[1]Retail!$BJ$104)/1000/G162</f>
        <v>#DIV/0!</v>
      </c>
      <c r="H173" s="135"/>
      <c r="I173" s="74">
        <f>-SUM([1]SME!$AL$102:$AN$102,[1]SME!$BJ$102)/1000/I162</f>
        <v>0.17400018095535702</v>
      </c>
      <c r="J173" s="42">
        <f>-SUM([1]SME!$AL$103:$AN$103,[1]SME!$BJ$103)/1000/J162</f>
        <v>0.1779075301380369</v>
      </c>
      <c r="K173" s="42">
        <f>-SUM([1]SME!$AL$104:$AN$104,[1]SME!$BJ$104)/1000/K162</f>
        <v>0.17741797625186193</v>
      </c>
      <c r="L173" s="135"/>
      <c r="M173" s="73">
        <f>-SUM([1]MidCorp!$AL$102:$AN$102,[1]MidCorp!$BJ$102)/1000/M162</f>
        <v>0.15467906030544118</v>
      </c>
      <c r="N173" s="42">
        <f>-SUM([1]MidCorp!$AL$103:$AN$103,[1]MidCorp!$BJ$103)/1000/N162</f>
        <v>0.14827617765269691</v>
      </c>
      <c r="O173" s="42">
        <f>-SUM([1]MidCorp!$AL$104:$AN$104,[1]MidCorp!$BJ$104)/1000/O162</f>
        <v>0.1483981058064047</v>
      </c>
      <c r="P173" s="135"/>
      <c r="Q173" s="74">
        <f>-SUM([1]MGA!$AL$102:$AN$102,[1]MGA!$BJ$102)/1000/Q162</f>
        <v>0.27417360279607639</v>
      </c>
      <c r="R173" s="42">
        <f>-SUM([1]MGA!$AL$103:$AN$103,[1]MGA!$BJ$103)/1000/R162</f>
        <v>0.27096691090551328</v>
      </c>
      <c r="S173" s="42">
        <f>-SUM([1]MGA!$AL$104:$AN$104,[1]MGA!$BJ$104)/1000/S162</f>
        <v>0.28035210306235236</v>
      </c>
      <c r="T173" s="135"/>
      <c r="U173" s="74"/>
      <c r="V173" s="42"/>
      <c r="W173" s="42">
        <f>-SUM([1]Bancassurance!$AL$104:$AN$104,[1]Bancassurance!$BJ$104)/1000/W162</f>
        <v>0.15</v>
      </c>
      <c r="X173" s="135"/>
      <c r="Y173" s="97"/>
      <c r="Z173" s="42"/>
      <c r="AA173" s="42"/>
      <c r="AB173" s="135"/>
      <c r="AC173" s="84">
        <f>-SUM('[1]Total P&amp;C'!$AL$102:$AN$102,'[1]Total P&amp;C'!$BJ$102)/1000/AC162</f>
        <v>0.16656011808012067</v>
      </c>
      <c r="AD173" s="60">
        <f>-SUM('[1]Total P&amp;C'!$AL$103:$AN$103,'[1]Total P&amp;C'!$BJ$103)/1000/AD162</f>
        <v>0.16131377505173949</v>
      </c>
      <c r="AE173" s="60">
        <f>-SUM('[1]Total P&amp;C'!$AL$104:$AN$104,'[1]Total P&amp;C'!$BJ$104)/1000/AE162</f>
        <v>0.15373115118889802</v>
      </c>
      <c r="AG173" s="212"/>
      <c r="AH173" s="115"/>
      <c r="AI173" s="39" t="s">
        <v>59</v>
      </c>
      <c r="AJ173" s="135"/>
      <c r="AK173" s="97">
        <f>-SUM([2]Retail!$AL$102:$AN$102,[2]Retail!$BJ$102)/1000/AK162</f>
        <v>0.22106758196962092</v>
      </c>
      <c r="AL173" s="42">
        <f>-SUM([2]Retail!$AL$103:$AN$103,[2]Retail!$BJ$103)/1000/AL162</f>
        <v>0.23531043997507631</v>
      </c>
      <c r="AM173" s="42">
        <f>-SUM([2]Retail!$AL$104:$AN$104,[2]Retail!$BJ$104)/1000/AM162</f>
        <v>0.21728834574731601</v>
      </c>
      <c r="AN173" s="135"/>
      <c r="AO173" s="74">
        <f>-SUM([2]SME!$AL$102:$AN$102,[2]SME!$BJ$102)/1000/AO162</f>
        <v>0.20562857495431386</v>
      </c>
      <c r="AP173" s="42">
        <f>-SUM([2]SME!$AL$103:$AN$103,[2]SME!$BJ$103)/1000/AP162</f>
        <v>0.15270359771337932</v>
      </c>
      <c r="AQ173" s="42">
        <f>-SUM([2]SME!$AL$104:$AN$104,[2]SME!$BJ$104)/1000/AQ162</f>
        <v>0.2111548514466525</v>
      </c>
      <c r="AR173" s="135"/>
      <c r="AS173" s="74">
        <f>-SUM([2]MidCorp!$AL$102:$AN$102,[2]MidCorp!$BJ$102)/1000/AS162</f>
        <v>0.12354823862167814</v>
      </c>
      <c r="AT173" s="42">
        <f>-SUM([2]MidCorp!$AL$103:$AN$103,[2]MidCorp!$BJ$103)/1000/AT162</f>
        <v>0.12596566680908702</v>
      </c>
      <c r="AU173" s="42">
        <f>-SUM([2]MidCorp!$AL$104:$AN$104,[2]MidCorp!$BJ$104)/1000/AU162</f>
        <v>0.12938320348721735</v>
      </c>
      <c r="AV173" s="135"/>
      <c r="AW173" s="97"/>
      <c r="AX173" s="42"/>
      <c r="AY173" s="42"/>
      <c r="AZ173" s="135"/>
      <c r="BA173" s="97"/>
      <c r="BB173" s="42"/>
      <c r="BC173" s="42"/>
      <c r="BD173" s="135"/>
      <c r="BE173" s="97"/>
      <c r="BF173" s="42"/>
      <c r="BG173" s="42"/>
      <c r="BH173" s="135"/>
      <c r="BI173" s="85">
        <f>-SUM('[2]Total P&amp;C'!$AL$102:$AN$102,'[2]Total P&amp;C'!$BJ$102)/1000/BI162</f>
        <v>0.15027611475144412</v>
      </c>
      <c r="BJ173" s="60">
        <f>-SUM('[2]Total P&amp;C'!$AL$103:$AN$103,'[2]Total P&amp;C'!$BJ$103)/1000/BJ162</f>
        <v>0.15740033851458632</v>
      </c>
      <c r="BK173" s="60">
        <f>-SUM('[2]Total P&amp;C'!$AL$104:$AN$104,'[2]Total P&amp;C'!$BJ$104)/1000/BK162</f>
        <v>0.1560467415621293</v>
      </c>
      <c r="BM173" s="84">
        <f>-SUM('[3]Total P&amp;C'!$AL$102:$AN$102,'[3]Total P&amp;C'!$BJ$102)/1000/BM162</f>
        <v>0.16132000630786172</v>
      </c>
      <c r="BN173" s="60">
        <f>-SUM('[3]Total P&amp;C'!$AL$103:$AN$103,'[3]Total P&amp;C'!$BJ$103)/1000/BN162</f>
        <v>0.16005130921578695</v>
      </c>
      <c r="BO173" s="60">
        <f>-SUM('[3]Total P&amp;C'!$AL$104:$AN$104,'[3]Total P&amp;C'!$BJ$104)/1000/BO162</f>
        <v>0.15448680850518257</v>
      </c>
    </row>
    <row r="174" spans="1:67" ht="14.5" hidden="1" x14ac:dyDescent="0.3">
      <c r="A174" s="212"/>
      <c r="B174" s="115"/>
      <c r="C174" s="39" t="s">
        <v>60</v>
      </c>
      <c r="D174" s="135"/>
      <c r="E174" s="73">
        <f>-SUM([1]Retail!$AO$102:$AP$102)/1000/E162</f>
        <v>4.310251846666939E-3</v>
      </c>
      <c r="F174" s="42">
        <f>-SUM([1]Retail!$AO$103:$AP$103)/1000/F162</f>
        <v>6.9921362892213512E-2</v>
      </c>
      <c r="G174" s="42" t="e">
        <f>-SUM([1]Retail!$AO$104:$AP$104)/1000/G162</f>
        <v>#DIV/0!</v>
      </c>
      <c r="H174" s="135"/>
      <c r="I174" s="73">
        <f>-SUM([1]SME!$AO$102:$AP$102)/1000/I162</f>
        <v>6.9073104231388446E-2</v>
      </c>
      <c r="J174" s="42">
        <f>-SUM([1]SME!$AO$103:$AP$103)/1000/J162</f>
        <v>3.5128931392415422E-2</v>
      </c>
      <c r="K174" s="42">
        <f>-SUM([1]SME!$AO$104:$AP$104)/1000/K162</f>
        <v>4.6912316871337165E-2</v>
      </c>
      <c r="L174" s="135"/>
      <c r="M174" s="97">
        <f>-SUM([1]MidCorp!$AO$102:$AP$102)/1000/M162</f>
        <v>4.7647904286254608E-2</v>
      </c>
      <c r="N174" s="42">
        <f>-SUM([1]MidCorp!$AO$103:$AP$103)/1000/N162</f>
        <v>4.1705392025898916E-2</v>
      </c>
      <c r="O174" s="42">
        <f>-SUM([1]MidCorp!$AO$104:$AP$104)/1000/O162</f>
        <v>4.3480593169963111E-2</v>
      </c>
      <c r="P174" s="135"/>
      <c r="Q174" s="74">
        <f>-SUM([1]MGA!$AO$102:$AP$102)/1000/Q162</f>
        <v>1.1942796288942223E-2</v>
      </c>
      <c r="R174" s="42">
        <f>-SUM([1]MGA!$AO$103:$AP$103)/1000/R162</f>
        <v>1.4049610584202428E-2</v>
      </c>
      <c r="S174" s="42">
        <f>-SUM([1]MGA!$AO$104:$AP$104)/1000/S162</f>
        <v>5.432322143647246E-2</v>
      </c>
      <c r="T174" s="135"/>
      <c r="U174" s="74"/>
      <c r="V174" s="42"/>
      <c r="W174" s="42">
        <f>-SUM([1]Bancassurance!$AO$104:$AP$104)/1000/W162</f>
        <v>3.02731904088684E-3</v>
      </c>
      <c r="X174" s="135"/>
      <c r="Y174" s="97"/>
      <c r="Z174" s="42"/>
      <c r="AA174" s="42"/>
      <c r="AB174" s="135"/>
      <c r="AC174" s="99">
        <f>-SUM('[1]Total P&amp;C'!$AO$102:$AP$102)/1000/AC162</f>
        <v>4.5248230207229206E-2</v>
      </c>
      <c r="AD174" s="60">
        <f>-SUM('[1]Total P&amp;C'!$AO$103:$AP$103)/1000/AD162</f>
        <v>3.9861313497008465E-2</v>
      </c>
      <c r="AE174" s="60">
        <f>-SUM('[1]Total P&amp;C'!$AO$104:$AP$104)/1000/AE162</f>
        <v>4.3482921533510355E-2</v>
      </c>
      <c r="AG174" s="212"/>
      <c r="AH174" s="115"/>
      <c r="AI174" s="39" t="s">
        <v>60</v>
      </c>
      <c r="AJ174" s="135"/>
      <c r="AK174" s="73">
        <f>-SUM([2]Retail!$AO$102:$AP$102)/1000/AK162</f>
        <v>0.15180160536760129</v>
      </c>
      <c r="AL174" s="42">
        <f>-SUM([2]Retail!$AO$103:$AP$103)/1000/AL162</f>
        <v>0.13759564401825683</v>
      </c>
      <c r="AM174" s="42">
        <f>-SUM([2]Retail!$AO$104:$AP$104)/1000/AM162</f>
        <v>0.13594720900364765</v>
      </c>
      <c r="AN174" s="135"/>
      <c r="AO174" s="97">
        <f>-SUM([2]SME!$AO$102:$AP$102)/1000/AO162</f>
        <v>3.6130684217149434E-2</v>
      </c>
      <c r="AP174" s="42">
        <f>-SUM([2]SME!$AO$103:$AP$103)/1000/AP162</f>
        <v>1.6255737630143628E-2</v>
      </c>
      <c r="AQ174" s="42">
        <f>-SUM([2]SME!$AO$104:$AP$104)/1000/AQ162</f>
        <v>3.1376445051859894E-2</v>
      </c>
      <c r="AR174" s="135"/>
      <c r="AS174" s="97">
        <f>-SUM([2]MidCorp!$AO$102:$AP$102)/1000/AS162</f>
        <v>3.9237608019438916E-2</v>
      </c>
      <c r="AT174" s="42">
        <f>-SUM([2]MidCorp!$AO$103:$AP$103)/1000/AT162</f>
        <v>4.9639809161351682E-2</v>
      </c>
      <c r="AU174" s="42">
        <f>-SUM([2]MidCorp!$AO$104:$AP$104)/1000/AU162</f>
        <v>3.9214537658267636E-2</v>
      </c>
      <c r="AV174" s="135"/>
      <c r="AW174" s="97"/>
      <c r="AX174" s="42"/>
      <c r="AY174" s="42"/>
      <c r="AZ174" s="135"/>
      <c r="BA174" s="97"/>
      <c r="BB174" s="42"/>
      <c r="BC174" s="42"/>
      <c r="BD174" s="135"/>
      <c r="BE174" s="97"/>
      <c r="BF174" s="42"/>
      <c r="BG174" s="42"/>
      <c r="BH174" s="135"/>
      <c r="BI174" s="99">
        <f>-SUM('[2]Total P&amp;C'!$AO$102:$AP$102)/1000/BI162</f>
        <v>6.8155806483330583E-2</v>
      </c>
      <c r="BJ174" s="60">
        <f>-SUM('[2]Total P&amp;C'!$AO$103:$AP$103)/1000/BJ162</f>
        <v>6.1744454048696613E-2</v>
      </c>
      <c r="BK174" s="60">
        <f>-SUM('[2]Total P&amp;C'!$AO$104:$AP$104)/1000/BK162</f>
        <v>6.6493413046430305E-2</v>
      </c>
      <c r="BM174" s="99">
        <f>-SUM('[3]Total P&amp;C'!$AO$102:$AP$102)/1000/BM162</f>
        <v>5.2619775010768248E-2</v>
      </c>
      <c r="BN174" s="60">
        <f>-SUM('[3]Total P&amp;C'!$AO$103:$AP$103)/1000/BN162</f>
        <v>4.6920765481874488E-2</v>
      </c>
      <c r="BO174" s="60">
        <f>-SUM('[3]Total P&amp;C'!$AO$104:$AP$104)/1000/BO162</f>
        <v>5.0992041654258434E-2</v>
      </c>
    </row>
    <row r="175" spans="1:67" ht="14.5" hidden="1" x14ac:dyDescent="0.3">
      <c r="A175" s="212"/>
      <c r="B175" s="115"/>
      <c r="C175" s="39" t="s">
        <v>61</v>
      </c>
      <c r="D175" s="135"/>
      <c r="E175" s="73">
        <f>-SUM([1]Retail!$AQ$102:$AR$102)/1000/E162</f>
        <v>0.10463383511908241</v>
      </c>
      <c r="F175" s="42">
        <f>-SUM([1]Retail!$AQ$103:$AR$103)/1000/F162</f>
        <v>0.32380400036203566</v>
      </c>
      <c r="G175" s="42" t="e">
        <f>-SUM([1]Retail!$AQ$104:$AR$104)/1000/G162</f>
        <v>#DIV/0!</v>
      </c>
      <c r="H175" s="135"/>
      <c r="I175" s="73">
        <f>-SUM([1]SME!$AQ$102:$AR$102)/1000/I162</f>
        <v>0.17404994892973524</v>
      </c>
      <c r="J175" s="42">
        <f>-SUM([1]SME!$AQ$103:$AR$103)/1000/J162</f>
        <v>7.104158641229856E-2</v>
      </c>
      <c r="K175" s="42">
        <f>-SUM([1]SME!$AQ$104:$AR$104)/1000/K162</f>
        <v>0.12372176895025434</v>
      </c>
      <c r="L175" s="135"/>
      <c r="M175" s="74">
        <f>-SUM([1]MidCorp!$AQ$102:$AR$102)/1000/M162</f>
        <v>4.7337561977035737E-2</v>
      </c>
      <c r="N175" s="42">
        <f>-SUM([1]MidCorp!$AQ$103:$AR$103)/1000/N162</f>
        <v>4.5382596910939065E-2</v>
      </c>
      <c r="O175" s="42">
        <f>-SUM([1]MidCorp!$AQ$104:$AR$104)/1000/O162</f>
        <v>6.1422074737560374E-2</v>
      </c>
      <c r="P175" s="135"/>
      <c r="Q175" s="74">
        <f>-SUM([1]MGA!$AQ$102:$AR$102)/1000/Q162</f>
        <v>1.0442005108865065E-2</v>
      </c>
      <c r="R175" s="42">
        <f>-SUM([1]MGA!$AQ$103:$AR$103)/1000/R162</f>
        <v>4.9752054453746766E-2</v>
      </c>
      <c r="S175" s="42">
        <f>-SUM([1]MGA!$AQ$104:$AR$104)/1000/S162</f>
        <v>6.6532099905947384E-2</v>
      </c>
      <c r="T175" s="135"/>
      <c r="U175" s="74"/>
      <c r="V175" s="42"/>
      <c r="W175" s="42">
        <f>-SUM([1]Bancassurance!$AQ$104:$AR$104)/1000/W162</f>
        <v>3.3462544310635979E-2</v>
      </c>
      <c r="X175" s="135"/>
      <c r="Y175" s="97"/>
      <c r="Z175" s="42"/>
      <c r="AA175" s="42"/>
      <c r="AB175" s="135"/>
      <c r="AC175" s="85">
        <f>-SUM('[1]Total P&amp;C'!$AQ$102:$AR$102)/1000/AC162</f>
        <v>5.2541260718230079E-2</v>
      </c>
      <c r="AD175" s="60">
        <f>-SUM('[1]Total P&amp;C'!$AQ$103:$AR$103)/1000/AD162</f>
        <v>5.5753118619028624E-2</v>
      </c>
      <c r="AE175" s="60">
        <f>-SUM('[1]Total P&amp;C'!$AQ$104:$AR$104)/1000/AE162</f>
        <v>6.7844883163533889E-2</v>
      </c>
      <c r="AG175" s="212"/>
      <c r="AH175" s="115"/>
      <c r="AI175" s="39" t="s">
        <v>61</v>
      </c>
      <c r="AJ175" s="135"/>
      <c r="AK175" s="73">
        <f>-SUM([2]Retail!$AQ$102:$AR$102)/1000/AK162</f>
        <v>8.973351336875697E-2</v>
      </c>
      <c r="AL175" s="42">
        <f>-SUM([2]Retail!$AQ$103:$AR$103)/1000/AL162</f>
        <v>6.063846981688005E-2</v>
      </c>
      <c r="AM175" s="42">
        <f>-SUM([2]Retail!$AQ$104:$AR$104)/1000/AM162</f>
        <v>8.3083570999967479E-2</v>
      </c>
      <c r="AN175" s="135"/>
      <c r="AO175" s="74">
        <f>-SUM([2]SME!$AQ$102:$AR$102)/1000/AO162</f>
        <v>5.7109122637958157E-2</v>
      </c>
      <c r="AP175" s="42">
        <f>-SUM([2]SME!$AQ$103:$AR$103)/1000/AP162</f>
        <v>2.2854041478124351E-2</v>
      </c>
      <c r="AQ175" s="42">
        <f>-SUM([2]SME!$AQ$104:$AR$104)/1000/AQ162</f>
        <v>6.5186976811380984E-2</v>
      </c>
      <c r="AR175" s="135"/>
      <c r="AS175" s="74">
        <f>-SUM([2]MidCorp!$AQ$102:$AR$102)/1000/AS162</f>
        <v>7.161612767446085E-2</v>
      </c>
      <c r="AT175" s="42">
        <f>-SUM([2]MidCorp!$AQ$103:$AR$103)/1000/AT162</f>
        <v>8.5852045845719593E-2</v>
      </c>
      <c r="AU175" s="42">
        <f>-SUM([2]MidCorp!$AQ$104:$AR$104)/1000/AU162</f>
        <v>8.5281021564146881E-2</v>
      </c>
      <c r="AV175" s="135"/>
      <c r="AW175" s="97"/>
      <c r="AX175" s="42"/>
      <c r="AY175" s="42"/>
      <c r="AZ175" s="135"/>
      <c r="BA175" s="97"/>
      <c r="BB175" s="42"/>
      <c r="BC175" s="42"/>
      <c r="BD175" s="135"/>
      <c r="BE175" s="97"/>
      <c r="BF175" s="42"/>
      <c r="BG175" s="42"/>
      <c r="BH175" s="135"/>
      <c r="BI175" s="85">
        <f>-SUM('[2]Total P&amp;C'!$AQ$102:$AR$102)/1000/BI162</f>
        <v>7.6085424413413594E-2</v>
      </c>
      <c r="BJ175" s="60">
        <f>-SUM('[2]Total P&amp;C'!$AQ$103:$AR$103)/1000/BJ162</f>
        <v>6.6921264423813479E-2</v>
      </c>
      <c r="BK175" s="60">
        <f>-SUM('[2]Total P&amp;C'!$AQ$104:$AR$104)/1000/BK162</f>
        <v>8.4233963417597466E-2</v>
      </c>
      <c r="BM175" s="85">
        <f>-SUM('[3]Total P&amp;C'!$AQ$102:$AR$102)/1000/BM162</f>
        <v>6.0117656206301336E-2</v>
      </c>
      <c r="BN175" s="60">
        <f>-SUM('[3]Total P&amp;C'!$AQ$103:$AR$103)/1000/BN162</f>
        <v>5.9355937368130864E-2</v>
      </c>
      <c r="BO175" s="60">
        <f>-SUM('[3]Total P&amp;C'!$AQ$104:$AR$104)/1000/BO162</f>
        <v>7.3193207523630413E-2</v>
      </c>
    </row>
    <row r="176" spans="1:67" hidden="1" x14ac:dyDescent="0.3">
      <c r="A176" s="212"/>
      <c r="B176" s="115"/>
      <c r="C176" s="116" t="s">
        <v>34</v>
      </c>
      <c r="D176" s="117"/>
      <c r="E176" s="118">
        <f>+[1]Retail!$BK$102/1000</f>
        <v>5.698928999999988E-2</v>
      </c>
      <c r="F176" s="119">
        <f>+[1]Retail!$BK$103/1000</f>
        <v>1.0435550000000156E-2</v>
      </c>
      <c r="G176" s="119">
        <f>+[1]Retail!$BK$104/1000</f>
        <v>-3.624082662013297E-2</v>
      </c>
      <c r="H176" s="117"/>
      <c r="I176" s="121">
        <f>+[1]SME!$BK$102/1000</f>
        <v>-0.57830333999999994</v>
      </c>
      <c r="J176" s="119">
        <f>+[1]SME!$BK$103/1000</f>
        <v>8.8095450000000061E-2</v>
      </c>
      <c r="K176" s="119">
        <f>+[1]SME!$BK$104/1000</f>
        <v>0.16353500152327555</v>
      </c>
      <c r="L176" s="117"/>
      <c r="M176" s="118">
        <f>+[1]MidCorp!$BK$102/1000</f>
        <v>4.9638953899999976</v>
      </c>
      <c r="N176" s="119">
        <f>+[1]MidCorp!$BK$103/1000</f>
        <v>2.3683724999999978</v>
      </c>
      <c r="O176" s="119">
        <f>+[1]MidCorp!$BK$104/1000</f>
        <v>2.6130866829450641</v>
      </c>
      <c r="P176" s="117"/>
      <c r="Q176" s="118">
        <f>+[1]MGA!$BK$102/1000</f>
        <v>0.47881034999999889</v>
      </c>
      <c r="R176" s="119">
        <f>+[1]MGA!$BK$103/1000</f>
        <v>0.30420735999999993</v>
      </c>
      <c r="S176" s="119">
        <f>+[1]MGA!$BK$104/1000</f>
        <v>7.9596528024194646E-2</v>
      </c>
      <c r="T176" s="117"/>
      <c r="U176" s="121">
        <f>+[1]Bancassurance!$BK$102/1000</f>
        <v>-4.1508639999999999E-2</v>
      </c>
      <c r="V176" s="119">
        <f>+[1]Bancassurance!$BK$103/1000</f>
        <v>-9.2731900000000006E-2</v>
      </c>
      <c r="W176" s="119">
        <f>+[1]Bancassurance!$BK$104/1000</f>
        <v>4.1937321985215069E-2</v>
      </c>
      <c r="X176" s="117"/>
      <c r="Y176" s="118">
        <f>+[1]Specials!$BK$102/1000</f>
        <v>1.4125999999999999E-4</v>
      </c>
      <c r="Z176" s="119">
        <f>+[1]Specials!$BK$103/1000</f>
        <v>2.2121699999999998E-3</v>
      </c>
      <c r="AA176" s="119">
        <f>+[1]Specials!$BK$104/1000</f>
        <v>0</v>
      </c>
      <c r="AB176" s="117"/>
      <c r="AC176" s="122">
        <f>+'[1]Total P&amp;C'!$BK$102/1000</f>
        <v>4.8800243099999969</v>
      </c>
      <c r="AD176" s="123">
        <f>+'[1]Total P&amp;C'!$BK$103/1000</f>
        <v>2.6805911300000012</v>
      </c>
      <c r="AE176" s="123">
        <f>+'[1]Total P&amp;C'!$BK$104/1000</f>
        <v>2.8619147078576197</v>
      </c>
      <c r="AG176" s="212"/>
      <c r="AH176" s="115"/>
      <c r="AI176" s="116" t="s">
        <v>34</v>
      </c>
      <c r="AJ176" s="117"/>
      <c r="AK176" s="118">
        <f>+[2]Retail!$BK$102/1000</f>
        <v>2.1582838699999987</v>
      </c>
      <c r="AL176" s="119">
        <f>+[2]Retail!$BK$103/1000</f>
        <v>1.0094883000000012</v>
      </c>
      <c r="AM176" s="119">
        <f>+[2]Retail!$BK$104/1000</f>
        <v>0.49735968863153479</v>
      </c>
      <c r="AN176" s="117"/>
      <c r="AO176" s="118">
        <f>+[2]SME!$BK$102/1000</f>
        <v>4.7512060000000043E-2</v>
      </c>
      <c r="AP176" s="119">
        <f>+[2]SME!$BK$103/1000</f>
        <v>1.5179066499999989</v>
      </c>
      <c r="AQ176" s="119">
        <f>+[2]SME!$BK$104/1000</f>
        <v>3.2544000698173772E-2</v>
      </c>
      <c r="AR176" s="117"/>
      <c r="AS176" s="118">
        <f>+[2]MidCorp!$BK$102/1000</f>
        <v>3.9776075300000087</v>
      </c>
      <c r="AT176" s="119">
        <f>+[2]MidCorp!$BK$103/1000</f>
        <v>0.73380349999999783</v>
      </c>
      <c r="AU176" s="119">
        <f>+[2]MidCorp!$BK$104/1000</f>
        <v>1.8555549231990123</v>
      </c>
      <c r="AV176" s="117"/>
      <c r="AW176" s="121"/>
      <c r="AX176" s="119"/>
      <c r="AY176" s="119"/>
      <c r="AZ176" s="117"/>
      <c r="BA176" s="121"/>
      <c r="BB176" s="119"/>
      <c r="BC176" s="119"/>
      <c r="BD176" s="117"/>
      <c r="BE176" s="121"/>
      <c r="BF176" s="119"/>
      <c r="BG176" s="119"/>
      <c r="BH176" s="117"/>
      <c r="BI176" s="122">
        <f>+'[2]Total P&amp;C'!$BK$102/1000</f>
        <v>6.1827190600000064</v>
      </c>
      <c r="BJ176" s="123">
        <f>+'[2]Total P&amp;C'!$BK$103/1000</f>
        <v>3.2466537699999964</v>
      </c>
      <c r="BK176" s="123">
        <f>+'[2]Total P&amp;C'!$BK$104/1000</f>
        <v>2.3854586125287227</v>
      </c>
      <c r="BM176" s="122">
        <f>+'[3]Total P&amp;C'!$BK$102/1000</f>
        <v>11.062743370000003</v>
      </c>
      <c r="BN176" s="123">
        <f>+'[3]Total P&amp;C'!$BK$103/1000</f>
        <v>5.927244899999998</v>
      </c>
      <c r="BO176" s="123">
        <f>+'[3]Total P&amp;C'!$BK$104/1000</f>
        <v>5.2473733203863429</v>
      </c>
    </row>
    <row r="177" spans="1:67" ht="17.5" hidden="1" x14ac:dyDescent="0.35">
      <c r="AG177" s="153"/>
    </row>
    <row r="178" spans="1:67" ht="16.5" hidden="1" customHeight="1" outlineLevel="1" x14ac:dyDescent="0.3">
      <c r="A178" s="214" t="s">
        <v>42</v>
      </c>
      <c r="B178" s="115"/>
      <c r="C178" s="116" t="s">
        <v>19</v>
      </c>
      <c r="D178" s="117"/>
      <c r="E178" s="121">
        <f>+[1]Retail!$C$53/1000</f>
        <v>0</v>
      </c>
      <c r="F178" s="119">
        <f>+[1]Retail!$C$54/1000</f>
        <v>0</v>
      </c>
      <c r="G178" s="119">
        <f>+[1]Retail!$C$55/1000</f>
        <v>0</v>
      </c>
      <c r="H178" s="117"/>
      <c r="I178" s="118">
        <f>+[1]SME!$C$53/1000</f>
        <v>0.40433286000000007</v>
      </c>
      <c r="J178" s="119">
        <f>+[1]SME!$C$54/1000</f>
        <v>0.37757544999999998</v>
      </c>
      <c r="K178" s="119">
        <f>+[1]SME!$C$55/1000</f>
        <v>0.37413000000000002</v>
      </c>
      <c r="L178" s="117"/>
      <c r="M178" s="121">
        <f>+[1]MidCorp!$C$53/1000</f>
        <v>1.1140608300000001</v>
      </c>
      <c r="N178" s="119">
        <f>+[1]MidCorp!$C$54/1000</f>
        <v>1.2487556599999998</v>
      </c>
      <c r="O178" s="119">
        <f>+[1]MidCorp!$C$55/1000</f>
        <v>1.19591</v>
      </c>
      <c r="P178" s="117"/>
      <c r="Q178" s="121">
        <f>+[1]MGA!$C$53/1000</f>
        <v>7.1004310000000001E-2</v>
      </c>
      <c r="R178" s="119">
        <f>+[1]MGA!$C$54/1000</f>
        <v>8.5579470000000019E-2</v>
      </c>
      <c r="S178" s="119">
        <f>+[1]MGA!$C$55/1000</f>
        <v>9.4920000000000004E-2</v>
      </c>
      <c r="T178" s="117"/>
      <c r="U178" s="121">
        <f>+[1]Bancassurance!$C$53/1000</f>
        <v>0</v>
      </c>
      <c r="V178" s="119">
        <f>+[1]Bancassurance!$C$54/1000</f>
        <v>0</v>
      </c>
      <c r="W178" s="119">
        <f>+[1]Bancassurance!$C$55/1000</f>
        <v>0</v>
      </c>
      <c r="X178" s="117"/>
      <c r="Y178" s="121">
        <f>+[1]Specials!$C$53/1000</f>
        <v>0</v>
      </c>
      <c r="Z178" s="119">
        <f>+[1]Specials!$C$54/1000</f>
        <v>0</v>
      </c>
      <c r="AA178" s="119">
        <f>+[1]Specials!$C$55/1000</f>
        <v>0</v>
      </c>
      <c r="AB178" s="117"/>
      <c r="AC178" s="124">
        <f>+'[1]Total P&amp;C'!$C$53/1000</f>
        <v>1.5893980000000003</v>
      </c>
      <c r="AD178" s="123">
        <f>+'[1]Total P&amp;C'!$C$54/1000</f>
        <v>1.7119105799999998</v>
      </c>
      <c r="AE178" s="123">
        <f>+'[1]Total P&amp;C'!$C$55/1000</f>
        <v>1.66496</v>
      </c>
      <c r="AG178" s="212" t="s">
        <v>42</v>
      </c>
      <c r="AH178" s="115"/>
      <c r="AI178" s="116" t="s">
        <v>19</v>
      </c>
      <c r="AJ178" s="117"/>
      <c r="AK178" s="118">
        <f>+[2]Retail!$C$53/1000</f>
        <v>1.2185501199999993</v>
      </c>
      <c r="AL178" s="119">
        <f>+[2]Retail!$C$54/1000</f>
        <v>1.0235148199999993</v>
      </c>
      <c r="AM178" s="119">
        <f>+[2]Retail!$C$55/1000</f>
        <v>1.1549591886022801</v>
      </c>
      <c r="AN178" s="117"/>
      <c r="AO178" s="121">
        <f>+[2]SME!$C$53/1000</f>
        <v>0</v>
      </c>
      <c r="AP178" s="119">
        <f>+[2]SME!$C$54/1000</f>
        <v>2.0810886699999998</v>
      </c>
      <c r="AQ178" s="119">
        <f>+[2]SME!$C$55/1000</f>
        <v>0</v>
      </c>
      <c r="AR178" s="117"/>
      <c r="AS178" s="118">
        <f>+[2]MidCorp!$C$53/1000</f>
        <v>4.7522073000000074</v>
      </c>
      <c r="AT178" s="119">
        <f>+[2]MidCorp!$C$54/1000</f>
        <v>2.5081306899999984</v>
      </c>
      <c r="AU178" s="119">
        <f>+[2]MidCorp!$C$55/1000</f>
        <v>3.8220304784264103</v>
      </c>
      <c r="AV178" s="117"/>
      <c r="AW178" s="121"/>
      <c r="AX178" s="119"/>
      <c r="AY178" s="119"/>
      <c r="AZ178" s="117"/>
      <c r="BA178" s="121"/>
      <c r="BB178" s="119"/>
      <c r="BC178" s="119"/>
      <c r="BD178" s="117"/>
      <c r="BE178" s="121"/>
      <c r="BF178" s="119"/>
      <c r="BG178" s="119"/>
      <c r="BH178" s="117"/>
      <c r="BI178" s="122">
        <f>+'[2]Total P&amp;C'!$C$53/1000</f>
        <v>5.9707574200000062</v>
      </c>
      <c r="BJ178" s="123">
        <f>+'[2]Total P&amp;C'!$C$54/1000</f>
        <v>5.6127341799999977</v>
      </c>
      <c r="BK178" s="123">
        <f>+'[2]Total P&amp;C'!$C$55/1000</f>
        <v>4.9769896670286906</v>
      </c>
      <c r="BM178" s="122">
        <f>+'[3]Total P&amp;C'!$C$53/1000</f>
        <v>7.5601554200000072</v>
      </c>
      <c r="BN178" s="123">
        <f>+'[3]Total P&amp;C'!$C$54/1000</f>
        <v>7.3246447599999964</v>
      </c>
      <c r="BO178" s="123">
        <f>+'[3]Total P&amp;C'!$C$55/1000</f>
        <v>6.6419496670286904</v>
      </c>
    </row>
    <row r="179" spans="1:67" ht="16.5" hidden="1" customHeight="1" outlineLevel="1" x14ac:dyDescent="0.3">
      <c r="A179" s="214"/>
      <c r="B179" s="115"/>
      <c r="C179" s="116" t="s">
        <v>55</v>
      </c>
      <c r="D179" s="117"/>
      <c r="E179" s="121">
        <f>+[1]Retail!$N$53/1000</f>
        <v>0</v>
      </c>
      <c r="F179" s="119">
        <f>+[1]Retail!$N$54/1000</f>
        <v>0</v>
      </c>
      <c r="G179" s="119">
        <f>+[1]Retail!$N$55/1000</f>
        <v>0</v>
      </c>
      <c r="H179" s="117"/>
      <c r="I179" s="121">
        <f>+[1]SME!$N$53/1000</f>
        <v>-0.41640734000000018</v>
      </c>
      <c r="J179" s="119">
        <f>+[1]SME!$N$54/1000</f>
        <v>0.18226884000000004</v>
      </c>
      <c r="K179" s="119">
        <f>+[1]SME!$N$55/1000</f>
        <v>0.16665027249864792</v>
      </c>
      <c r="L179" s="117"/>
      <c r="M179" s="118">
        <f>+[1]MidCorp!$N$53/1000</f>
        <v>0.93034387000000007</v>
      </c>
      <c r="N179" s="119">
        <f>+[1]MidCorp!$N$54/1000</f>
        <v>0.38738824999999993</v>
      </c>
      <c r="O179" s="119">
        <f>+[1]MidCorp!$N$55/1000</f>
        <v>0.41826758347666482</v>
      </c>
      <c r="P179" s="117"/>
      <c r="Q179" s="121">
        <f>+[1]MGA!$N$53/1000</f>
        <v>6.2240860000000023E-2</v>
      </c>
      <c r="R179" s="119">
        <f>+[1]MGA!$N$54/1000</f>
        <v>7.6919479999999971E-2</v>
      </c>
      <c r="S179" s="119">
        <f>+[1]MGA!$N$55/1000</f>
        <v>9.0644932800574465E-2</v>
      </c>
      <c r="T179" s="117"/>
      <c r="U179" s="121">
        <f>+[1]Bancassurance!$N$53/1000</f>
        <v>0</v>
      </c>
      <c r="V179" s="119">
        <f>+[1]Bancassurance!$N$54/1000</f>
        <v>0</v>
      </c>
      <c r="W179" s="119">
        <f>+[1]Bancassurance!$N$55/1000</f>
        <v>0</v>
      </c>
      <c r="X179" s="117"/>
      <c r="Y179" s="121">
        <f>+[1]Specials!$N$53/1000</f>
        <v>0</v>
      </c>
      <c r="Z179" s="119">
        <f>+[1]Specials!$N$54/1000</f>
        <v>0</v>
      </c>
      <c r="AA179" s="119">
        <f>+[1]Specials!$N$55/1000</f>
        <v>0</v>
      </c>
      <c r="AB179" s="117"/>
      <c r="AC179" s="124">
        <f>+'[1]Total P&amp;C'!$N$53/1000</f>
        <v>0.57617738999999979</v>
      </c>
      <c r="AD179" s="123">
        <f>+'[1]Total P&amp;C'!$N$54/1000</f>
        <v>0.64657656999999991</v>
      </c>
      <c r="AE179" s="123">
        <f>+'[1]Total P&amp;C'!$N$55/1000</f>
        <v>0.67556278877588716</v>
      </c>
      <c r="AG179" s="212"/>
      <c r="AH179" s="115"/>
      <c r="AI179" s="116" t="s">
        <v>55</v>
      </c>
      <c r="AJ179" s="117"/>
      <c r="AK179" s="121">
        <f>+[2]Retail!$N$53/1000</f>
        <v>1.1005569900000001</v>
      </c>
      <c r="AL179" s="119">
        <f>+[2]Retail!$N$54/1000</f>
        <v>0.88749872000000063</v>
      </c>
      <c r="AM179" s="119">
        <f>+[2]Retail!$N$55/1000</f>
        <v>1.2191156129332839</v>
      </c>
      <c r="AN179" s="117"/>
      <c r="AO179" s="121">
        <f>+[2]SME!$N$53/1000</f>
        <v>0</v>
      </c>
      <c r="AP179" s="119">
        <f>+[2]SME!$N$54/1000</f>
        <v>1.6232626099999994</v>
      </c>
      <c r="AQ179" s="119">
        <f>+[2]SME!$N$55/1000</f>
        <v>0</v>
      </c>
      <c r="AR179" s="117"/>
      <c r="AS179" s="118">
        <f>+[2]MidCorp!$N$53/1000</f>
        <v>3.1121795000000074</v>
      </c>
      <c r="AT179" s="119">
        <f>+[2]MidCorp!$N$54/1000</f>
        <v>1.3471783799999995</v>
      </c>
      <c r="AU179" s="119">
        <f>+[2]MidCorp!$N$55/1000</f>
        <v>2.7833635930188678</v>
      </c>
      <c r="AV179" s="117"/>
      <c r="AW179" s="121"/>
      <c r="AX179" s="119"/>
      <c r="AY179" s="119"/>
      <c r="AZ179" s="117"/>
      <c r="BA179" s="121"/>
      <c r="BB179" s="119"/>
      <c r="BC179" s="119"/>
      <c r="BD179" s="117"/>
      <c r="BE179" s="121"/>
      <c r="BF179" s="119"/>
      <c r="BG179" s="119"/>
      <c r="BH179" s="117"/>
      <c r="BI179" s="122">
        <f>+'[2]Total P&amp;C'!$N$53/1000</f>
        <v>4.2127364900000073</v>
      </c>
      <c r="BJ179" s="123">
        <f>+'[2]Total P&amp;C'!$N$54/1000</f>
        <v>3.8579397099999992</v>
      </c>
      <c r="BK179" s="123">
        <f>+'[2]Total P&amp;C'!$N$55/1000</f>
        <v>4.0024792059521523</v>
      </c>
      <c r="BM179" s="122">
        <f>+'[3]Total P&amp;C'!$N$53/1000</f>
        <v>4.7889138800000071</v>
      </c>
      <c r="BN179" s="123">
        <f>+'[3]Total P&amp;C'!$N$54/1000</f>
        <v>4.5045162799999989</v>
      </c>
      <c r="BO179" s="123">
        <f>+'[3]Total P&amp;C'!$N$55/1000</f>
        <v>4.6780419947280389</v>
      </c>
    </row>
    <row r="180" spans="1:67" ht="16.5" hidden="1" customHeight="1" outlineLevel="1" x14ac:dyDescent="0.3">
      <c r="A180" s="214"/>
      <c r="B180" s="115"/>
      <c r="C180" s="116" t="s">
        <v>21</v>
      </c>
      <c r="D180" s="117"/>
      <c r="E180" s="126" t="e">
        <f>+E181+E186+E187+E188+E189</f>
        <v>#DIV/0!</v>
      </c>
      <c r="F180" s="127" t="e">
        <f>+F181+F186+F187+F188+F189</f>
        <v>#DIV/0!</v>
      </c>
      <c r="G180" s="127" t="e">
        <f>+G181+G186+G187+G188+G189</f>
        <v>#DIV/0!</v>
      </c>
      <c r="H180" s="117"/>
      <c r="I180" s="126">
        <f>+I181+I186+I187+I188+I189</f>
        <v>8.0843915959790763E-2</v>
      </c>
      <c r="J180" s="127">
        <f>+J181+J186+J187+J188+J189</f>
        <v>-0.25962995101082559</v>
      </c>
      <c r="K180" s="127">
        <f>+K181+K186+K187+K188+K189</f>
        <v>0.74261305189328031</v>
      </c>
      <c r="L180" s="117"/>
      <c r="M180" s="126">
        <f>+M181+M186+M187+M188+M189</f>
        <v>3.9546872061402311E-2</v>
      </c>
      <c r="N180" s="127">
        <f>+N181+N186+N187+N188+N189</f>
        <v>-0.21297494180579854</v>
      </c>
      <c r="O180" s="127">
        <f>+O181+O186+O187+O188+O189</f>
        <v>0.49375678409281021</v>
      </c>
      <c r="P180" s="117"/>
      <c r="Q180" s="128">
        <f>+Q181+Q186+Q187+Q188+Q189</f>
        <v>0.83449087946406886</v>
      </c>
      <c r="R180" s="127">
        <f>+R181+R186+R187+R188+R189</f>
        <v>0.4858353176594537</v>
      </c>
      <c r="S180" s="127">
        <f>+S181+S186+S187+S188+S189</f>
        <v>0.49963999126990216</v>
      </c>
      <c r="T180" s="117"/>
      <c r="U180" s="126" t="e">
        <f>+U181+U186+U187+U188+U189</f>
        <v>#DIV/0!</v>
      </c>
      <c r="V180" s="127" t="e">
        <f>+V181+V186+V187+V188+V189</f>
        <v>#DIV/0!</v>
      </c>
      <c r="W180" s="127" t="e">
        <f>+W181+W186+W187+W188+W189</f>
        <v>#DIV/0!</v>
      </c>
      <c r="X180" s="117"/>
      <c r="Y180" s="126" t="e">
        <f>+Y181+Y186+Y187+Y188+Y189</f>
        <v>#DIV/0!</v>
      </c>
      <c r="Z180" s="127" t="e">
        <f>+Z181+Z186+Z187+Z188+Z189</f>
        <v>#DIV/0!</v>
      </c>
      <c r="AA180" s="127" t="e">
        <f>+AA181+AA186+AA187+AA188+AA189</f>
        <v>#DIV/0!</v>
      </c>
      <c r="AB180" s="117"/>
      <c r="AC180" s="132">
        <f>+AC181+AC186+AC187+AC188+AC189</f>
        <v>9.4516933404832026E-2</v>
      </c>
      <c r="AD180" s="130">
        <f>+AD181+AD186+AD187+AD188+AD189</f>
        <v>-0.14082386251639184</v>
      </c>
      <c r="AE180" s="130">
        <f>+AE181+AE186+AE187+AE188+AE189</f>
        <v>0.55598173155838326</v>
      </c>
      <c r="AG180" s="212"/>
      <c r="AH180" s="115"/>
      <c r="AI180" s="116" t="s">
        <v>21</v>
      </c>
      <c r="AJ180" s="117"/>
      <c r="AK180" s="126">
        <f>+AK181+AK186+AK187+AK188+AK189</f>
        <v>-0.75983947909866933</v>
      </c>
      <c r="AL180" s="127">
        <f>+AL181+AL186+AL187+AL188+AL189</f>
        <v>0.32513333653033277</v>
      </c>
      <c r="AM180" s="127">
        <f>+AM181+AM186+AM187+AM188+AM189</f>
        <v>0.74791325653187446</v>
      </c>
      <c r="AN180" s="117"/>
      <c r="AO180" s="126" t="e">
        <f>+AO181+AO186+AO187+AO188+AO189</f>
        <v>#DIV/0!</v>
      </c>
      <c r="AP180" s="127">
        <f>+AP181+AP186+AP187+AP188+AP189</f>
        <v>0.12941502422704154</v>
      </c>
      <c r="AQ180" s="127" t="e">
        <f>+AQ181+AQ186+AQ187+AQ188+AQ189</f>
        <v>#DIV/0!</v>
      </c>
      <c r="AR180" s="117"/>
      <c r="AS180" s="126">
        <f>+AS181+AS186+AS187+AS188+AS189</f>
        <v>-6.8589800170587939E-2</v>
      </c>
      <c r="AT180" s="127">
        <f>+AT181+AT186+AT187+AT188+AT189</f>
        <v>0.1227299090117538</v>
      </c>
      <c r="AU180" s="127">
        <f>+AU181+AU186+AU187+AU188+AU189</f>
        <v>0.41009386511507451</v>
      </c>
      <c r="AV180" s="117"/>
      <c r="AW180" s="131"/>
      <c r="AX180" s="127"/>
      <c r="AY180" s="127"/>
      <c r="AZ180" s="117"/>
      <c r="BA180" s="131"/>
      <c r="BB180" s="127"/>
      <c r="BC180" s="127"/>
      <c r="BD180" s="117"/>
      <c r="BE180" s="131"/>
      <c r="BF180" s="127"/>
      <c r="BG180" s="127"/>
      <c r="BH180" s="117"/>
      <c r="BI180" s="132">
        <f>+BI181+BI186+BI187+BI188+BI189</f>
        <v>-0.2491754284873392</v>
      </c>
      <c r="BJ180" s="130">
        <f>+BJ181+BJ186+BJ187+BJ188+BJ189</f>
        <v>0.17210457392036393</v>
      </c>
      <c r="BK180" s="130">
        <f>+BK181+BK186+BK187+BK188+BK189</f>
        <v>0.51299031335030465</v>
      </c>
      <c r="BM180" s="132">
        <f>+BM181+BM186+BM187+BM188+BM189</f>
        <v>-0.20782413819477563</v>
      </c>
      <c r="BN180" s="130">
        <f>+BN181+BN186+BN187+BN188+BN189</f>
        <v>0.127186944032979</v>
      </c>
      <c r="BO180" s="130">
        <f>+BO181+BO186+BO187+BO188+BO189</f>
        <v>0.51919876603431458</v>
      </c>
    </row>
    <row r="181" spans="1:67" ht="16.5" hidden="1" customHeight="1" outlineLevel="1" x14ac:dyDescent="0.3">
      <c r="A181" s="214"/>
      <c r="B181" s="115"/>
      <c r="C181" s="116" t="s">
        <v>56</v>
      </c>
      <c r="D181" s="117"/>
      <c r="E181" s="128" t="e">
        <f>+E182+E183+E184+E185</f>
        <v>#DIV/0!</v>
      </c>
      <c r="F181" s="127" t="e">
        <f>+F182+F183+F184+F185</f>
        <v>#DIV/0!</v>
      </c>
      <c r="G181" s="127" t="e">
        <f>+G182+G183+G184+G185</f>
        <v>#DIV/0!</v>
      </c>
      <c r="H181" s="117"/>
      <c r="I181" s="126">
        <f>+I182+I183+I184+I185</f>
        <v>-0.13006125204229105</v>
      </c>
      <c r="J181" s="127">
        <f>+J182+J183+J184+J185</f>
        <v>0.27033781528427997</v>
      </c>
      <c r="K181" s="127">
        <f>+K182+K183+K184+K185</f>
        <v>0.28387922204950639</v>
      </c>
      <c r="L181" s="117"/>
      <c r="M181" s="126">
        <f>+M182+M183+M184+M185</f>
        <v>7.872525671610002E-2</v>
      </c>
      <c r="N181" s="127">
        <f>+N182+N183+N184+N185</f>
        <v>0.27986205053973634</v>
      </c>
      <c r="O181" s="127">
        <f>+O182+O183+O184+O185</f>
        <v>0.27718420984795727</v>
      </c>
      <c r="P181" s="117"/>
      <c r="Q181" s="126">
        <f>+Q182+Q183+Q184+Q185</f>
        <v>4.6330336695219167E-2</v>
      </c>
      <c r="R181" s="127">
        <f>+R182+R183+R184+R185</f>
        <v>2.1975577578007558E-2</v>
      </c>
      <c r="S181" s="127">
        <f>+S182+S183+S184+S185</f>
        <v>0.14677287497998226</v>
      </c>
      <c r="T181" s="117"/>
      <c r="U181" s="128" t="e">
        <f>+U182+U183+U184+U185</f>
        <v>#DIV/0!</v>
      </c>
      <c r="V181" s="127" t="e">
        <f>+V182+V183+V184+V185</f>
        <v>#DIV/0!</v>
      </c>
      <c r="W181" s="127" t="e">
        <f>+W182+W183+W184+W185</f>
        <v>#DIV/0!</v>
      </c>
      <c r="X181" s="117"/>
      <c r="Y181" s="128" t="e">
        <f>+Y182+Y183+Y184+Y185</f>
        <v>#DIV/0!</v>
      </c>
      <c r="Z181" s="127" t="e">
        <f>+Z182+Z183+Z184+Z185</f>
        <v>#DIV/0!</v>
      </c>
      <c r="AA181" s="127" t="e">
        <f>+AA182+AA183+AA184+AA185</f>
        <v>#DIV/0!</v>
      </c>
      <c r="AB181" s="117"/>
      <c r="AC181" s="132">
        <f>+AC182+AC183+AC184+AC185</f>
        <v>0.22613153910812095</v>
      </c>
      <c r="AD181" s="130">
        <f>+AD182+AD183+AD184+AD185</f>
        <v>0.24660616761909571</v>
      </c>
      <c r="AE181" s="130">
        <f>+AE182+AE183+AE184+AE185</f>
        <v>0.26135292708011859</v>
      </c>
      <c r="AG181" s="212"/>
      <c r="AH181" s="115"/>
      <c r="AI181" s="116" t="s">
        <v>56</v>
      </c>
      <c r="AJ181" s="117"/>
      <c r="AK181" s="128">
        <f>+AK182+AK183+AK184+AK185</f>
        <v>0.23911574992586251</v>
      </c>
      <c r="AL181" s="127">
        <f>+AL182+AL183+AL184+AL185</f>
        <v>0.27804923482030469</v>
      </c>
      <c r="AM181" s="127">
        <f>+AM182+AM183+AM184+AM185</f>
        <v>0.21467998733166055</v>
      </c>
      <c r="AN181" s="117"/>
      <c r="AO181" s="126" t="e">
        <f>+AO182+AO183+AO184+AO185</f>
        <v>#DIV/0!</v>
      </c>
      <c r="AP181" s="127">
        <f>+AP182+AP183+AP184+AP185</f>
        <v>0.11379906668336311</v>
      </c>
      <c r="AQ181" s="127" t="e">
        <f>+AQ182+AQ183+AQ184+AQ185</f>
        <v>#DIV/0!</v>
      </c>
      <c r="AR181" s="117"/>
      <c r="AS181" s="128">
        <f>+AS182+AS183+AS184+AS185</f>
        <v>0.22453809942517725</v>
      </c>
      <c r="AT181" s="127">
        <f>+AT182+AT183+AT184+AT185</f>
        <v>0.43013090070522086</v>
      </c>
      <c r="AU181" s="127">
        <f>+AU182+AU183+AU184+AU185</f>
        <v>0.21266094223018928</v>
      </c>
      <c r="AV181" s="117"/>
      <c r="AW181" s="131"/>
      <c r="AX181" s="127"/>
      <c r="AY181" s="127"/>
      <c r="AZ181" s="117"/>
      <c r="BA181" s="131"/>
      <c r="BB181" s="127"/>
      <c r="BC181" s="127"/>
      <c r="BD181" s="117"/>
      <c r="BE181" s="131"/>
      <c r="BF181" s="127"/>
      <c r="BG181" s="127"/>
      <c r="BH181" s="117"/>
      <c r="BI181" s="129">
        <f>+BI182+BI183+BI184+BI185</f>
        <v>0.22834643996448928</v>
      </c>
      <c r="BJ181" s="130">
        <f>+BJ182+BJ183+BJ184+BJ185</f>
        <v>0.26204586800035817</v>
      </c>
      <c r="BK181" s="130">
        <f>+BK182+BK183+BK184+BK185</f>
        <v>0.21327592341554047</v>
      </c>
      <c r="BM181" s="133">
        <f>+BM182+BM183+BM184+BM185</f>
        <v>0.22807995453031585</v>
      </c>
      <c r="BN181" s="130">
        <f>+BN182+BN183+BN184+BN185</f>
        <v>0.25982965922369816</v>
      </c>
      <c r="BO181" s="130">
        <f>+BO182+BO183+BO184+BO185</f>
        <v>0.22021879282719467</v>
      </c>
    </row>
    <row r="182" spans="1:67" ht="16.5" hidden="1" customHeight="1" outlineLevel="1" x14ac:dyDescent="0.3">
      <c r="A182" s="214"/>
      <c r="B182" s="115"/>
      <c r="C182" s="38" t="s">
        <v>23</v>
      </c>
      <c r="D182" s="117"/>
      <c r="E182" s="73" t="e">
        <f>-SUM([1]Retail!$O$53,[1]Retail!$R$53:$V$53,[1]Retail!$Y$53,[1]Retail!$AB$53,[1]Retail!$AU$53,[1]Retail!$AX$53,[1]Retail!$BA$53,[1]Retail!$BD$53)/1000/E179</f>
        <v>#DIV/0!</v>
      </c>
      <c r="F182" s="42" t="e">
        <f>-SUM([1]Retail!$O$54,[1]Retail!$R$54:$V$54,[1]Retail!$Y$54,[1]Retail!$AB$54,[1]Retail!$AU$54,[1]Retail!$AX$54,[1]Retail!$BA$54,[1]Retail!$BD$54)/1000/F179</f>
        <v>#DIV/0!</v>
      </c>
      <c r="G182" s="42" t="e">
        <f>-SUM([1]Retail!$O$55,[1]Retail!$R$55:$V$55,[1]Retail!$Y$55,[1]Retail!$AB$55,[1]Retail!$AU$55,[1]Retail!$AX$55,[1]Retail!$BA$55,[1]Retail!$BD$55)/1000/G179</f>
        <v>#DIV/0!</v>
      </c>
      <c r="H182" s="117"/>
      <c r="I182" s="74">
        <f>-SUM([1]SME!$O$53,[1]SME!$R$53:$V$53,[1]SME!$Y$53,[1]SME!$AB$53,[1]SME!$AU$53,[1]SME!$AX$53,[1]SME!$BA$53,[1]SME!$BD$53)/1000/I179</f>
        <v>-9.4514952594255394E-2</v>
      </c>
      <c r="J182" s="42">
        <f>-SUM([1]SME!$O$54,[1]SME!$R$54:$V$54,[1]SME!$Y$54,[1]SME!$AB$54,[1]SME!$AU$54,[1]SME!$AX$54,[1]SME!$BA$54,[1]SME!$BD$54)/1000/J179</f>
        <v>0.24691159498244453</v>
      </c>
      <c r="K182" s="42">
        <f>-SUM([1]SME!$O$55,[1]SME!$R$55:$V$55,[1]SME!$Y$55,[1]SME!$AB$55,[1]SME!$AU$55,[1]SME!$AX$55,[1]SME!$BA$55,[1]SME!$BD$55)/1000/K179</f>
        <v>0.25876185047195283</v>
      </c>
      <c r="L182" s="117"/>
      <c r="M182" s="74">
        <f>-SUM([1]MidCorp!$O$53,[1]MidCorp!$R$53:$V$53,[1]MidCorp!$Y$53,[1]MidCorp!$AB$53,[1]MidCorp!$AU$53,[1]MidCorp!$AX$53,[1]MidCorp!$BA$53,[1]MidCorp!$BD$53)/1000/M179</f>
        <v>7.0845062912060663E-2</v>
      </c>
      <c r="N182" s="42">
        <f>-SUM([1]MidCorp!$O$54,[1]MidCorp!$R$54:$V$54,[1]MidCorp!$Y$54,[1]MidCorp!$AB$54,[1]MidCorp!$AU$54,[1]MidCorp!$AX$54,[1]MidCorp!$BA$54,[1]MidCorp!$BD$54)/1000/N179</f>
        <v>0.27004962076160033</v>
      </c>
      <c r="O182" s="42">
        <f>-SUM([1]MidCorp!$O$55,[1]MidCorp!$R$55:$V$55,[1]MidCorp!$Y$55,[1]MidCorp!$AB$55,[1]MidCorp!$AU$55,[1]MidCorp!$AX$55,[1]MidCorp!$BA$55,[1]MidCorp!$BD$55)/1000/O179</f>
        <v>0.23448690353338589</v>
      </c>
      <c r="P182" s="117"/>
      <c r="Q182" s="74">
        <f>-SUM([1]MGA!$O$53,[1]MGA!$R$53:$V$53,[1]MGA!$Y$53,[1]MGA!$AB$53,[1]MGA!$AU$53,[1]MGA!$AX$53,[1]MGA!$BA$53,[1]MGA!$BD$53)/1000/Q179</f>
        <v>1.6176993698351846E-2</v>
      </c>
      <c r="R182" s="42">
        <f>-SUM([1]MGA!$O$54,[1]MGA!$R$54:$V$54,[1]MGA!$Y$54,[1]MGA!$AB$54,[1]MGA!$AU$54,[1]MGA!$AX$54,[1]MGA!$BA$54,[1]MGA!$BD$54)/1000/R179</f>
        <v>9.3630378156482532E-4</v>
      </c>
      <c r="S182" s="42">
        <f>-SUM([1]MGA!$O$55,[1]MGA!$R$55:$V$55,[1]MGA!$Y$55,[1]MGA!$AB$55,[1]MGA!$AU$55,[1]MGA!$AX$55,[1]MGA!$BA$55,[1]MGA!$BD$55)/1000/S179</f>
        <v>0.12544823019432486</v>
      </c>
      <c r="T182" s="117"/>
      <c r="U182" s="73" t="e">
        <f>-SUM([1]Bancassurance!$O$53,[1]Bancassurance!$R$53:$V$53,[1]Bancassurance!$Y$53,[1]Bancassurance!$AB$53,[1]Bancassurance!$AU$53,[1]Bancassurance!$AX$53,[1]Bancassurance!$BA$53,[1]Bancassurance!$BD$53)/1000/U179</f>
        <v>#DIV/0!</v>
      </c>
      <c r="V182" s="42" t="e">
        <f>-SUM([1]Bancassurance!$O$54,[1]Bancassurance!$R$54:$V$54,[1]Bancassurance!$Y$54,[1]Bancassurance!$AB$54,[1]Bancassurance!$AU$54,[1]Bancassurance!$AX$54,[1]Bancassurance!$BA$54,[1]Bancassurance!$BD$54)/1000/V179</f>
        <v>#DIV/0!</v>
      </c>
      <c r="W182" s="42" t="e">
        <f>-SUM([1]Bancassurance!$O$55,[1]Bancassurance!$R$55:$V$55,[1]Bancassurance!$Y$55,[1]Bancassurance!$AB$55,[1]Bancassurance!$AU$55,[1]Bancassurance!$AX$55,[1]Bancassurance!$BA$55,[1]Bancassurance!$BD$55)/1000/W179</f>
        <v>#DIV/0!</v>
      </c>
      <c r="X182" s="117"/>
      <c r="Y182" s="73" t="e">
        <f>-SUM([1]Specials!$O$53,[1]Specials!$R$53:$V$53,[1]Specials!$Y$53,[1]Specials!$AB$53,[1]Specials!$AU$53,[1]Specials!$AX$53,[1]Specials!$BA$53,[1]Specials!$BD$53)/1000/Y179</f>
        <v>#DIV/0!</v>
      </c>
      <c r="Z182" s="42" t="e">
        <f>-SUM([1]Specials!$O$54,[1]Specials!$R$54:$V$54,[1]Specials!$Y$54,[1]Specials!$AB$54,[1]Specials!$AU$54,[1]Specials!$AX$54,[1]Specials!$BA$54,[1]Specials!$BD$54)/1000/Z179</f>
        <v>#DIV/0!</v>
      </c>
      <c r="AA182" s="42" t="e">
        <f>-SUM([1]Specials!$O$55,[1]Specials!$R$55:$V$55,[1]Specials!$Y$55,[1]Specials!$AB$55,[1]Specials!$AU$55,[1]Specials!$AX$55,[1]Specials!$BA$55,[1]Specials!$BD$55)/1000/AA179</f>
        <v>#DIV/0!</v>
      </c>
      <c r="AB182" s="117"/>
      <c r="AC182" s="85">
        <f>-SUM('[1]Total P&amp;C'!$O$53,'[1]Total P&amp;C'!$R$53:$V$53,'[1]Total P&amp;C'!$Y$53,'[1]Total P&amp;C'!$AB$53,'[1]Total P&amp;C'!$AU$53,'[1]Total P&amp;C'!$AX$53,'[1]Total P&amp;C'!$BA$53,'[1]Total P&amp;C'!$BD$53)/1000/AC179</f>
        <v>0.18445675211240076</v>
      </c>
      <c r="AD182" s="60">
        <f>-SUM('[1]Total P&amp;C'!$O$54,'[1]Total P&amp;C'!$R$54:$V$54,'[1]Total P&amp;C'!$Y$54,'[1]Total P&amp;C'!$AB$54,'[1]Total P&amp;C'!$AU$54,'[1]Total P&amp;C'!$AX$54,'[1]Total P&amp;C'!$BA$54,'[1]Total P&amp;C'!$BD$54)/1000/AD179</f>
        <v>0.2316165431110502</v>
      </c>
      <c r="AE182" s="60">
        <f>-SUM('[1]Total P&amp;C'!$O$55,'[1]Total P&amp;C'!$R$55:$V$55,'[1]Total P&amp;C'!$Y$55,'[1]Total P&amp;C'!$AB$55,'[1]Total P&amp;C'!$AU$55,'[1]Total P&amp;C'!$AX$55,'[1]Total P&amp;C'!$BA$55,'[1]Total P&amp;C'!$BD$55)/1000/AE179</f>
        <v>0.22586002050951368</v>
      </c>
      <c r="AG182" s="212"/>
      <c r="AH182" s="115"/>
      <c r="AI182" s="38" t="s">
        <v>23</v>
      </c>
      <c r="AJ182" s="117"/>
      <c r="AK182" s="73">
        <f>-SUM([2]Retail!$O$53,[2]Retail!$R$53:$V$53,[2]Retail!$Y$53,[2]Retail!$AB$53,[2]Retail!$AU$53,[2]Retail!$AX$53,[2]Retail!$BA$53,[2]Retail!$BD$53)/1000/AK179</f>
        <v>0.21346691914609525</v>
      </c>
      <c r="AL182" s="42">
        <f>-SUM([2]Retail!$O$54,[2]Retail!$R$54:$V$54,[2]Retail!$Y$54,[2]Retail!$AB$54,[2]Retail!$AU$54,[2]Retail!$AX$54,[2]Retail!$BA$54,[2]Retail!$BD$54)/1000/AL179</f>
        <v>0.26068920978274746</v>
      </c>
      <c r="AM182" s="42">
        <f>-SUM([2]Retail!$O$55,[2]Retail!$R$55:$V$55,[2]Retail!$Y$55,[2]Retail!$AB$55,[2]Retail!$AU$55,[2]Retail!$AX$55,[2]Retail!$BA$55,[2]Retail!$BD$55)/1000/AM179</f>
        <v>0.19772033692516539</v>
      </c>
      <c r="AN182" s="117"/>
      <c r="AO182" s="74" t="e">
        <f>-SUM([2]SME!$O$53,[2]SME!$R$53:$V$53,[2]SME!$Y$53,[2]SME!$AB$53,[2]SME!$AU$53,[2]SME!$AX$53,[2]SME!$BA$53,[2]SME!$BD$53)/1000/AO179</f>
        <v>#DIV/0!</v>
      </c>
      <c r="AP182" s="42">
        <f>-SUM([2]SME!$O$54,[2]SME!$R$54:$V$54,[2]SME!$Y$54,[2]SME!$AB$54,[2]SME!$AU$54,[2]SME!$AX$54,[2]SME!$BA$54,[2]SME!$BD$54)/1000/AP179</f>
        <v>0.10794172730929842</v>
      </c>
      <c r="AQ182" s="42" t="e">
        <f>-SUM([2]SME!$O$55,[2]SME!$R$55:$V$55,[2]SME!$Y$55,[2]SME!$AB$55,[2]SME!$AU$55,[2]SME!$AX$55,[2]SME!$BA$55,[2]SME!$BD$55)/1000/AQ179</f>
        <v>#DIV/0!</v>
      </c>
      <c r="AR182" s="117"/>
      <c r="AS182" s="73">
        <f>-SUM([2]MidCorp!$O$53,[2]MidCorp!$R$53:$V$53,[2]MidCorp!$Y$53,[2]MidCorp!$AB$53,[2]MidCorp!$AU$53,[2]MidCorp!$AX$53,[2]MidCorp!$BA$53,[2]MidCorp!$BD$53)/1000/AS179</f>
        <v>0.17611134897585398</v>
      </c>
      <c r="AT182" s="42">
        <f>-SUM([2]MidCorp!$O$54,[2]MidCorp!$R$54:$V$54,[2]MidCorp!$Y$54,[2]MidCorp!$AB$54,[2]MidCorp!$AU$54,[2]MidCorp!$AX$54,[2]MidCorp!$BA$54,[2]MidCorp!$BD$54)/1000/AT179</f>
        <v>0.35407270268099184</v>
      </c>
      <c r="AU182" s="42">
        <f>-SUM([2]MidCorp!$O$55,[2]MidCorp!$R$55:$V$55,[2]MidCorp!$Y$55,[2]MidCorp!$AB$55,[2]MidCorp!$AU$55,[2]MidCorp!$AX$55,[2]MidCorp!$BA$55,[2]MidCorp!$BD$55)/1000/AU179</f>
        <v>0.16551212595250619</v>
      </c>
      <c r="AV182" s="117"/>
      <c r="AW182" s="97"/>
      <c r="AX182" s="42"/>
      <c r="AY182" s="42"/>
      <c r="AZ182" s="117"/>
      <c r="BA182" s="97"/>
      <c r="BB182" s="42"/>
      <c r="BC182" s="42"/>
      <c r="BD182" s="117"/>
      <c r="BE182" s="97"/>
      <c r="BF182" s="42"/>
      <c r="BG182" s="42"/>
      <c r="BH182" s="117"/>
      <c r="BI182" s="84">
        <f>-SUM('[2]Total P&amp;C'!$O$53,'[2]Total P&amp;C'!$R$53:$V$53,'[2]Total P&amp;C'!$Y$53,'[2]Total P&amp;C'!$AB$53,'[2]Total P&amp;C'!$AU$53,'[2]Total P&amp;C'!$AX$53,'[2]Total P&amp;C'!$BA$53,'[2]Total P&amp;C'!$BD$53)/1000/BI179</f>
        <v>0.18587031063032347</v>
      </c>
      <c r="BJ182" s="60">
        <f>-SUM('[2]Total P&amp;C'!$O$54,'[2]Total P&amp;C'!$R$54:$V$54,'[2]Total P&amp;C'!$Y$54,'[2]Total P&amp;C'!$AB$54,'[2]Total P&amp;C'!$AU$54,'[2]Total P&amp;C'!$AX$54,'[2]Total P&amp;C'!$BA$54,'[2]Total P&amp;C'!$BD$54)/1000/BJ179</f>
        <v>0.22902851428956106</v>
      </c>
      <c r="BK182" s="60">
        <f>-SUM('[2]Total P&amp;C'!$O$55,'[2]Total P&amp;C'!$R$55:$V$55,'[2]Total P&amp;C'!$Y$55,'[2]Total P&amp;C'!$AB$55,'[2]Total P&amp;C'!$AU$55,'[2]Total P&amp;C'!$AX$55,'[2]Total P&amp;C'!$BA$55,'[2]Total P&amp;C'!$BD$55)/1000/BK179</f>
        <v>0.17532242872760254</v>
      </c>
      <c r="BM182" s="99">
        <f>-SUM('[3]Total P&amp;C'!$O$53,'[3]Total P&amp;C'!$R$53:$V$53,'[3]Total P&amp;C'!$Y$53,'[3]Total P&amp;C'!$AB$53,'[3]Total P&amp;C'!$AU$53,'[3]Total P&amp;C'!$AX$53,'[3]Total P&amp;C'!$BA$53,'[3]Total P&amp;C'!$BD$53)/1000/BM179</f>
        <v>0.18570023856849951</v>
      </c>
      <c r="BN182" s="60">
        <f>-SUM('[3]Total P&amp;C'!$O$54,'[3]Total P&amp;C'!$R$54:$V$54,'[3]Total P&amp;C'!$Y$54,'[3]Total P&amp;C'!$AB$54,'[3]Total P&amp;C'!$AU$54,'[3]Total P&amp;C'!$AX$54,'[3]Total P&amp;C'!$BA$54,'[3]Total P&amp;C'!$BD$54)/1000/BN179</f>
        <v>0.22939999897169877</v>
      </c>
      <c r="BO182" s="60">
        <f>-SUM('[3]Total P&amp;C'!$O$55,'[3]Total P&amp;C'!$R$55:$V$55,'[3]Total P&amp;C'!$Y$55,'[3]Total P&amp;C'!$AB$55,'[3]Total P&amp;C'!$AU$55,'[3]Total P&amp;C'!$AX$55,'[3]Total P&amp;C'!$BA$55,'[3]Total P&amp;C'!$BD$55)/1000/BO179</f>
        <v>0.1826206352167023</v>
      </c>
    </row>
    <row r="183" spans="1:67" ht="16.5" hidden="1" customHeight="1" outlineLevel="1" x14ac:dyDescent="0.3">
      <c r="A183" s="214"/>
      <c r="B183" s="115"/>
      <c r="C183" s="38" t="s">
        <v>24</v>
      </c>
      <c r="D183" s="134"/>
      <c r="E183" s="74" t="e">
        <f>-([1]Retail!$P$53+[1]Retail!$W$53+[1]Retail!$AV$53+[1]Retail!$AY$53)/1000/E179</f>
        <v>#DIV/0!</v>
      </c>
      <c r="F183" s="42" t="e">
        <f>-([1]Retail!$P$54+[1]Retail!$W$54+[1]Retail!$AV$54+[1]Retail!$AY$54)/1000/F179</f>
        <v>#DIV/0!</v>
      </c>
      <c r="G183" s="42" t="e">
        <f>-([1]Retail!$P$55+[1]Retail!$W$55+[1]Retail!$AV$55+[1]Retail!$AY$55)/1000/G179</f>
        <v>#DIV/0!</v>
      </c>
      <c r="H183" s="134"/>
      <c r="I183" s="97">
        <f>-([1]SME!$P$53+[1]SME!$W$53+[1]SME!$AV$53+[1]SME!$AY$53)/1000/I179</f>
        <v>0</v>
      </c>
      <c r="J183" s="42">
        <f>-([1]SME!$P$54+[1]SME!$W$54+[1]SME!$AV$54+[1]SME!$AY$54)/1000/J179</f>
        <v>0</v>
      </c>
      <c r="K183" s="42">
        <f>-([1]SME!$P$55+[1]SME!$W$55+[1]SME!$AV$55+[1]SME!$AY$55)/1000/K179</f>
        <v>0</v>
      </c>
      <c r="L183" s="134"/>
      <c r="M183" s="97">
        <f>-([1]MidCorp!$P$53+[1]MidCorp!$W$53+[1]MidCorp!$AV$53+[1]MidCorp!$AY$53)/1000/M179</f>
        <v>0</v>
      </c>
      <c r="N183" s="42">
        <f>-([1]MidCorp!$P$54+[1]MidCorp!$W$54+[1]MidCorp!$AV$54+[1]MidCorp!$AY$54)/1000/N179</f>
        <v>0</v>
      </c>
      <c r="O183" s="42">
        <f>-([1]MidCorp!$P$55+[1]MidCorp!$W$55+[1]MidCorp!$AV$55+[1]MidCorp!$AY$55)/1000/O179</f>
        <v>0</v>
      </c>
      <c r="P183" s="134"/>
      <c r="Q183" s="97">
        <f>-([1]MGA!$P$53+[1]MGA!$W$53+[1]MGA!$AV$53+[1]MGA!$AY$53)/1000/Q179</f>
        <v>0</v>
      </c>
      <c r="R183" s="42">
        <f>-([1]MGA!$P$54+[1]MGA!$W$54+[1]MGA!$AV$54+[1]MGA!$AY$54)/1000/R179</f>
        <v>0</v>
      </c>
      <c r="S183" s="42">
        <f>-([1]MGA!$P$55+[1]MGA!$W$55+[1]MGA!$AV$55+[1]MGA!$AY$55)/1000/S179</f>
        <v>0</v>
      </c>
      <c r="T183" s="134"/>
      <c r="U183" s="74" t="e">
        <f>-([1]Bancassurance!$P$53+[1]Bancassurance!$W$53+[1]Bancassurance!$AV$53+[1]Bancassurance!$AY$53)/1000/U179</f>
        <v>#DIV/0!</v>
      </c>
      <c r="V183" s="42" t="e">
        <f>-([1]Bancassurance!$P$54+[1]Bancassurance!$W$54+[1]Bancassurance!$AV$54+[1]Bancassurance!$AY$54)/1000/V179</f>
        <v>#DIV/0!</v>
      </c>
      <c r="W183" s="42" t="e">
        <f>-([1]Bancassurance!$P$55+[1]Bancassurance!$W$55+[1]Bancassurance!$AV$55+[1]Bancassurance!$AY$55)/1000/W179</f>
        <v>#DIV/0!</v>
      </c>
      <c r="X183" s="134"/>
      <c r="Y183" s="74" t="e">
        <f>-([1]Specials!$P$53+[1]Specials!$W$53+[1]Specials!$AV$53+[1]Specials!$AY$53)/1000/Y179</f>
        <v>#DIV/0!</v>
      </c>
      <c r="Z183" s="42" t="e">
        <f>-([1]Specials!$P$54+[1]Specials!$W$54+[1]Specials!$AV$54+[1]Specials!$AY$54)/1000/Z179</f>
        <v>#DIV/0!</v>
      </c>
      <c r="AA183" s="42" t="e">
        <f>-([1]Specials!$P$55+[1]Specials!$W$55+[1]Specials!$AV$55+[1]Specials!$AY$55)/1000/AA179</f>
        <v>#DIV/0!</v>
      </c>
      <c r="AB183" s="134"/>
      <c r="AC183" s="99">
        <f>-('[1]Total P&amp;C'!$P$53+'[1]Total P&amp;C'!$W$53+'[1]Total P&amp;C'!$AV$53+'[1]Total P&amp;C'!$AY$53)/1000/AC179</f>
        <v>0</v>
      </c>
      <c r="AD183" s="60">
        <f>-('[1]Total P&amp;C'!$P$54+'[1]Total P&amp;C'!$W$54+'[1]Total P&amp;C'!$AV$54+'[1]Total P&amp;C'!$AY$54)/1000/AD179</f>
        <v>0</v>
      </c>
      <c r="AE183" s="60">
        <f>-('[1]Total P&amp;C'!$P$55+'[1]Total P&amp;C'!$W$55+'[1]Total P&amp;C'!$AV$55+'[1]Total P&amp;C'!$AY$55)/1000/AE179</f>
        <v>0</v>
      </c>
      <c r="AG183" s="212"/>
      <c r="AH183" s="115"/>
      <c r="AI183" s="38" t="s">
        <v>24</v>
      </c>
      <c r="AJ183" s="134"/>
      <c r="AK183" s="97">
        <f>-([2]Retail!$P$53+[2]Retail!$W$53+[2]Retail!$AV$53+[2]Retail!$AY$53)/1000/AK179</f>
        <v>0</v>
      </c>
      <c r="AL183" s="42">
        <f>-([2]Retail!$P$54+[2]Retail!$W$54+[2]Retail!$AV$54+[2]Retail!$AY$54)/1000/AL179</f>
        <v>0</v>
      </c>
      <c r="AM183" s="42">
        <f>-([2]Retail!$P$55+[2]Retail!$W$55+[2]Retail!$AV$55+[2]Retail!$AY$55)/1000/AM179</f>
        <v>0</v>
      </c>
      <c r="AN183" s="134"/>
      <c r="AO183" s="97" t="e">
        <f>-([2]SME!$P$53+[2]SME!$W$53+[2]SME!$AV$53+[2]SME!$AY$53)/1000/AO179</f>
        <v>#DIV/0!</v>
      </c>
      <c r="AP183" s="42">
        <f>-([2]SME!$P$54+[2]SME!$W$54+[2]SME!$AV$54+[2]SME!$AY$54)/1000/AP179</f>
        <v>0</v>
      </c>
      <c r="AQ183" s="42" t="e">
        <f>-([2]SME!$P$55+[2]SME!$W$55+[2]SME!$AV$55+[2]SME!$AY$55)/1000/AQ179</f>
        <v>#DIV/0!</v>
      </c>
      <c r="AR183" s="134"/>
      <c r="AS183" s="97">
        <f>-([2]MidCorp!$P$53+[2]MidCorp!$W$53+[2]MidCorp!$AV$53+[2]MidCorp!$AY$53)/1000/AS179</f>
        <v>0</v>
      </c>
      <c r="AT183" s="42">
        <f>-([2]MidCorp!$P$54+[2]MidCorp!$W$54+[2]MidCorp!$AV$54+[2]MidCorp!$AY$54)/1000/AT179</f>
        <v>0</v>
      </c>
      <c r="AU183" s="42">
        <f>-([2]MidCorp!$P$55+[2]MidCorp!$W$55+[2]MidCorp!$AV$55+[2]MidCorp!$AY$55)/1000/AU179</f>
        <v>0</v>
      </c>
      <c r="AV183" s="134"/>
      <c r="AW183" s="97"/>
      <c r="AX183" s="42"/>
      <c r="AY183" s="42"/>
      <c r="AZ183" s="134"/>
      <c r="BA183" s="97"/>
      <c r="BB183" s="42"/>
      <c r="BC183" s="42"/>
      <c r="BD183" s="134"/>
      <c r="BE183" s="97"/>
      <c r="BF183" s="42"/>
      <c r="BG183" s="42"/>
      <c r="BH183" s="134"/>
      <c r="BI183" s="99">
        <f>-('[2]Total P&amp;C'!$P$53+'[2]Total P&amp;C'!$W$53+'[2]Total P&amp;C'!$AV$53+'[2]Total P&amp;C'!$AY$53)/1000/BI179</f>
        <v>0</v>
      </c>
      <c r="BJ183" s="60">
        <f>-('[2]Total P&amp;C'!$P$54+'[2]Total P&amp;C'!$W$54+'[2]Total P&amp;C'!$AV$54+'[2]Total P&amp;C'!$AY$54)/1000/BJ179</f>
        <v>0</v>
      </c>
      <c r="BK183" s="60">
        <f>-('[2]Total P&amp;C'!$P$55+'[2]Total P&amp;C'!$W$55+'[2]Total P&amp;C'!$AV$55+'[2]Total P&amp;C'!$AY$55)/1000/BK179</f>
        <v>0</v>
      </c>
      <c r="BM183" s="99">
        <f>-('[3]Total P&amp;C'!$P$53+'[3]Total P&amp;C'!$W$53+'[3]Total P&amp;C'!$AV$53+'[3]Total P&amp;C'!$AY$53)/1000/BM179</f>
        <v>0</v>
      </c>
      <c r="BN183" s="60">
        <f>-('[3]Total P&amp;C'!$P$54+'[3]Total P&amp;C'!$W$54+'[3]Total P&amp;C'!$AV$54+'[3]Total P&amp;C'!$AY$54)/1000/BN179</f>
        <v>0</v>
      </c>
      <c r="BO183" s="60">
        <f>-('[3]Total P&amp;C'!$P$55+'[3]Total P&amp;C'!$W$55+'[3]Total P&amp;C'!$AV$55+'[3]Total P&amp;C'!$AY$55)/1000/BO179</f>
        <v>0</v>
      </c>
    </row>
    <row r="184" spans="1:67" ht="16.5" hidden="1" customHeight="1" outlineLevel="1" x14ac:dyDescent="0.3">
      <c r="A184" s="214"/>
      <c r="B184" s="115"/>
      <c r="C184" s="38" t="s">
        <v>25</v>
      </c>
      <c r="D184" s="134"/>
      <c r="E184" s="97" t="e">
        <f>-([1]Retail!$Q$53+[1]Retail!$X$53+[1]Retail!$AW$53+[1]Retail!$AZ$53)/1000/E179</f>
        <v>#DIV/0!</v>
      </c>
      <c r="F184" s="42" t="e">
        <f>-([1]Retail!$Q$54+[1]Retail!$X$54+[1]Retail!$AW$54+[1]Retail!$AZ$54)/1000/F179</f>
        <v>#DIV/0!</v>
      </c>
      <c r="G184" s="42" t="e">
        <f>-([1]Retail!$Q$55+[1]Retail!$X$55+[1]Retail!$AW$55+[1]Retail!$AZ$55)/1000/G179</f>
        <v>#DIV/0!</v>
      </c>
      <c r="H184" s="134"/>
      <c r="I184" s="97">
        <f>-([1]SME!$Q$53+[1]SME!$X$53+[1]SME!$AW$53+[1]SME!$AZ$53)/1000/I179</f>
        <v>0</v>
      </c>
      <c r="J184" s="42">
        <f>-([1]SME!$Q$54+[1]SME!$X$54+[1]SME!$AW$54+[1]SME!$AZ$54)/1000/J179</f>
        <v>0</v>
      </c>
      <c r="K184" s="42">
        <f>-([1]SME!$Q$55+[1]SME!$X$55+[1]SME!$AW$55+[1]SME!$AZ$55)/1000/K179</f>
        <v>0</v>
      </c>
      <c r="L184" s="134"/>
      <c r="M184" s="97">
        <f>-([1]MidCorp!$Q$53+[1]MidCorp!$X$53+[1]MidCorp!$AW$53+[1]MidCorp!$AZ$53)/1000/M179</f>
        <v>0</v>
      </c>
      <c r="N184" s="42">
        <f>-([1]MidCorp!$Q$54+[1]MidCorp!$X$54+[1]MidCorp!$AW$54+[1]MidCorp!$AZ$54)/1000/N179</f>
        <v>0</v>
      </c>
      <c r="O184" s="42">
        <f>-([1]MidCorp!$Q$55+[1]MidCorp!$X$55+[1]MidCorp!$AW$55+[1]MidCorp!$AZ$55)/1000/O179</f>
        <v>0</v>
      </c>
      <c r="P184" s="134"/>
      <c r="Q184" s="97">
        <f>-([1]MGA!$Q$53+[1]MGA!$X$53+[1]MGA!$AW$53+[1]MGA!$AZ$53)/1000/Q179</f>
        <v>0</v>
      </c>
      <c r="R184" s="42">
        <f>-([1]MGA!$Q$54+[1]MGA!$X$54+[1]MGA!$AW$54+[1]MGA!$AZ$54)/1000/R179</f>
        <v>0</v>
      </c>
      <c r="S184" s="42">
        <f>-([1]MGA!$Q$55+[1]MGA!$X$55+[1]MGA!$AW$55+[1]MGA!$AZ$55)/1000/S179</f>
        <v>0</v>
      </c>
      <c r="T184" s="134"/>
      <c r="U184" s="97" t="e">
        <f>-([1]Bancassurance!$Q$53+[1]Bancassurance!$X$53+[1]Bancassurance!$AW$53+[1]Bancassurance!$AZ$53)/1000/U179</f>
        <v>#DIV/0!</v>
      </c>
      <c r="V184" s="42" t="e">
        <f>-([1]Bancassurance!$Q$54+[1]Bancassurance!$X$54+[1]Bancassurance!$AW$54+[1]Bancassurance!$AZ$54)/1000/V179</f>
        <v>#DIV/0!</v>
      </c>
      <c r="W184" s="42" t="e">
        <f>-([1]Bancassurance!$Q$55+[1]Bancassurance!$X$55+[1]Bancassurance!$AW$55+[1]Bancassurance!$AZ$55)/1000/W179</f>
        <v>#DIV/0!</v>
      </c>
      <c r="X184" s="134"/>
      <c r="Y184" s="97" t="e">
        <f>-([1]Specials!$Q$53+[1]Specials!$X$53+[1]Specials!$AW$53+[1]Specials!$AZ$53)/1000/Y179</f>
        <v>#DIV/0!</v>
      </c>
      <c r="Z184" s="42" t="e">
        <f>-([1]Specials!$Q$54+[1]Specials!$X$54+[1]Specials!$AW$54+[1]Specials!$AZ$54)/1000/Z179</f>
        <v>#DIV/0!</v>
      </c>
      <c r="AA184" s="42" t="e">
        <f>-([1]Specials!$Q$55+[1]Specials!$X$55+[1]Specials!$AW$55+[1]Specials!$AZ$55)/1000/AA179</f>
        <v>#DIV/0!</v>
      </c>
      <c r="AB184" s="134"/>
      <c r="AC184" s="99">
        <f>-('[1]Total P&amp;C'!$Q$53+'[1]Total P&amp;C'!$X$53+'[1]Total P&amp;C'!$AW$53+'[1]Total P&amp;C'!$AZ$53)/1000/AC179</f>
        <v>0</v>
      </c>
      <c r="AD184" s="60">
        <f>-('[1]Total P&amp;C'!$Q$54+'[1]Total P&amp;C'!$X$54+'[1]Total P&amp;C'!$AW$54+'[1]Total P&amp;C'!$AZ$54)/1000/AD179</f>
        <v>0</v>
      </c>
      <c r="AE184" s="60">
        <f>-('[1]Total P&amp;C'!$Q$55+'[1]Total P&amp;C'!$X$55+'[1]Total P&amp;C'!$AW$55+'[1]Total P&amp;C'!$AZ$55)/1000/AE179</f>
        <v>0</v>
      </c>
      <c r="AG184" s="212"/>
      <c r="AH184" s="115"/>
      <c r="AI184" s="38" t="s">
        <v>25</v>
      </c>
      <c r="AJ184" s="134"/>
      <c r="AK184" s="97">
        <f>-([2]Retail!$Q$53+[2]Retail!$X$53+[2]Retail!$AW$53+[2]Retail!$AZ$53)/1000/AK179</f>
        <v>0</v>
      </c>
      <c r="AL184" s="42">
        <f>-([2]Retail!$Q$54+[2]Retail!$X$54+[2]Retail!$AW$54+[2]Retail!$AZ$54)/1000/AL179</f>
        <v>0</v>
      </c>
      <c r="AM184" s="42">
        <f>-([2]Retail!$Q$55+[2]Retail!$X$55+[2]Retail!$AW$55+[2]Retail!$AZ$55)/1000/AM179</f>
        <v>0</v>
      </c>
      <c r="AN184" s="134"/>
      <c r="AO184" s="97" t="e">
        <f>-([2]SME!$Q$53+[2]SME!$X$53+[2]SME!$AW$53+[2]SME!$AZ$53)/1000/AO179</f>
        <v>#DIV/0!</v>
      </c>
      <c r="AP184" s="42">
        <f>-([2]SME!$Q$54+[2]SME!$X$54+[2]SME!$AW$54+[2]SME!$AZ$54)/1000/AP179</f>
        <v>0</v>
      </c>
      <c r="AQ184" s="42" t="e">
        <f>-([2]SME!$Q$55+[2]SME!$X$55+[2]SME!$AW$55+[2]SME!$AZ$55)/1000/AQ179</f>
        <v>#DIV/0!</v>
      </c>
      <c r="AR184" s="134"/>
      <c r="AS184" s="97">
        <f>-([2]MidCorp!$Q$53+[2]MidCorp!$X$53+[2]MidCorp!$AW$53+[2]MidCorp!$AZ$53)/1000/AS179</f>
        <v>0</v>
      </c>
      <c r="AT184" s="42">
        <f>-([2]MidCorp!$Q$54+[2]MidCorp!$X$54+[2]MidCorp!$AW$54+[2]MidCorp!$AZ$54)/1000/AT179</f>
        <v>0</v>
      </c>
      <c r="AU184" s="42">
        <f>-([2]MidCorp!$Q$55+[2]MidCorp!$X$55+[2]MidCorp!$AW$55+[2]MidCorp!$AZ$55)/1000/AU179</f>
        <v>0</v>
      </c>
      <c r="AV184" s="134"/>
      <c r="AW184" s="97"/>
      <c r="AX184" s="42"/>
      <c r="AY184" s="42"/>
      <c r="AZ184" s="134"/>
      <c r="BA184" s="97"/>
      <c r="BB184" s="42"/>
      <c r="BC184" s="42"/>
      <c r="BD184" s="134"/>
      <c r="BE184" s="97"/>
      <c r="BF184" s="42"/>
      <c r="BG184" s="42"/>
      <c r="BH184" s="134"/>
      <c r="BI184" s="99">
        <f>-('[2]Total P&amp;C'!$Q$53+'[2]Total P&amp;C'!$X$53+'[2]Total P&amp;C'!$AW$53+'[2]Total P&amp;C'!$AZ$53)/1000/BI179</f>
        <v>0</v>
      </c>
      <c r="BJ184" s="60">
        <f>-('[2]Total P&amp;C'!$Q$54+'[2]Total P&amp;C'!$X$54+'[2]Total P&amp;C'!$AW$54+'[2]Total P&amp;C'!$AZ$54)/1000/BJ179</f>
        <v>0</v>
      </c>
      <c r="BK184" s="60">
        <f>-('[2]Total P&amp;C'!$Q$55+'[2]Total P&amp;C'!$X$55+'[2]Total P&amp;C'!$AW$55+'[2]Total P&amp;C'!$AZ$55)/1000/BK179</f>
        <v>0</v>
      </c>
      <c r="BM184" s="99">
        <f>-('[3]Total P&amp;C'!$Q$53+'[3]Total P&amp;C'!$X$53+'[3]Total P&amp;C'!$AW$53+'[3]Total P&amp;C'!$AZ$53)/1000/BM179</f>
        <v>0</v>
      </c>
      <c r="BN184" s="60">
        <f>-('[3]Total P&amp;C'!$Q$54+'[3]Total P&amp;C'!$X$54+'[3]Total P&amp;C'!$AW$54+'[3]Total P&amp;C'!$AZ$54)/1000/BN179</f>
        <v>0</v>
      </c>
      <c r="BO184" s="60">
        <f>-('[3]Total P&amp;C'!$Q$55+'[3]Total P&amp;C'!$X$55+'[3]Total P&amp;C'!$AW$55+'[3]Total P&amp;C'!$AZ$55)/1000/BO179</f>
        <v>0</v>
      </c>
    </row>
    <row r="185" spans="1:67" ht="16.5" hidden="1" customHeight="1" outlineLevel="1" x14ac:dyDescent="0.3">
      <c r="A185" s="214"/>
      <c r="B185" s="115"/>
      <c r="C185" s="38" t="s">
        <v>53</v>
      </c>
      <c r="D185" s="134"/>
      <c r="E185" s="74" t="e">
        <f>-[1]Retail!$AT$53/1000/E179</f>
        <v>#DIV/0!</v>
      </c>
      <c r="F185" s="42" t="e">
        <f>-[1]Retail!$AT$54/1000/F179</f>
        <v>#DIV/0!</v>
      </c>
      <c r="G185" s="42" t="e">
        <f>-[1]Retail!$AT$55/1000/G179</f>
        <v>#DIV/0!</v>
      </c>
      <c r="H185" s="134"/>
      <c r="I185" s="74">
        <f>-[1]SME!$AT$53/1000/I179</f>
        <v>-3.5546299448035647E-2</v>
      </c>
      <c r="J185" s="42">
        <f>-[1]SME!$AT$54/1000/J179</f>
        <v>2.342622030183546E-2</v>
      </c>
      <c r="K185" s="42">
        <f>-[1]SME!$AT$55/1000/K179</f>
        <v>2.5117371577553577E-2</v>
      </c>
      <c r="L185" s="134"/>
      <c r="M185" s="74">
        <f>-[1]MidCorp!$AT$53/1000/M179</f>
        <v>7.8801938040393565E-3</v>
      </c>
      <c r="N185" s="42">
        <f>-[1]MidCorp!$AT$54/1000/N179</f>
        <v>9.8124297781360167E-3</v>
      </c>
      <c r="O185" s="42">
        <f>-[1]MidCorp!$AT$55/1000/O179</f>
        <v>4.2697306314571401E-2</v>
      </c>
      <c r="P185" s="134"/>
      <c r="Q185" s="73">
        <f>-[1]MGA!$AT$53/1000/Q179</f>
        <v>3.0153342996867321E-2</v>
      </c>
      <c r="R185" s="42">
        <f>-[1]MGA!$AT$54/1000/R179</f>
        <v>2.1039273796442732E-2</v>
      </c>
      <c r="S185" s="42">
        <f>-[1]MGA!$AT$55/1000/S179</f>
        <v>2.1324644785657414E-2</v>
      </c>
      <c r="T185" s="134"/>
      <c r="U185" s="74" t="e">
        <f>-[1]Bancassurance!$AT$53/1000/U179</f>
        <v>#DIV/0!</v>
      </c>
      <c r="V185" s="42" t="e">
        <f>-[1]Bancassurance!$AT$54/1000/V179</f>
        <v>#DIV/0!</v>
      </c>
      <c r="W185" s="42" t="e">
        <f>-[1]Bancassurance!$AT$55/1000/W179</f>
        <v>#DIV/0!</v>
      </c>
      <c r="X185" s="134"/>
      <c r="Y185" s="74" t="e">
        <f>-[1]Specials!$AT$53/1000/Y179</f>
        <v>#DIV/0!</v>
      </c>
      <c r="Z185" s="42" t="e">
        <f>-[1]Specials!$AT$54/1000/Z179</f>
        <v>#DIV/0!</v>
      </c>
      <c r="AA185" s="42" t="e">
        <f>-[1]Specials!$AT$55/1000/AA179</f>
        <v>#DIV/0!</v>
      </c>
      <c r="AB185" s="134"/>
      <c r="AC185" s="84">
        <f>-'[1]Total P&amp;C'!$AT$53/1000/AC179</f>
        <v>4.1674786995720192E-2</v>
      </c>
      <c r="AD185" s="60">
        <f>-'[1]Total P&amp;C'!$AT$54/1000/AD179</f>
        <v>1.4989624508045507E-2</v>
      </c>
      <c r="AE185" s="60">
        <f>-'[1]Total P&amp;C'!$AT$55/1000/AE179</f>
        <v>3.5492906570604901E-2</v>
      </c>
      <c r="AG185" s="212"/>
      <c r="AH185" s="115"/>
      <c r="AI185" s="38" t="s">
        <v>53</v>
      </c>
      <c r="AJ185" s="134"/>
      <c r="AK185" s="73">
        <f>-[2]Retail!$AT$53/1000/AK179</f>
        <v>2.5648830779767252E-2</v>
      </c>
      <c r="AL185" s="42">
        <f>-[2]Retail!$AT$54/1000/AL179</f>
        <v>1.7360025037557226E-2</v>
      </c>
      <c r="AM185" s="42">
        <f>-[2]Retail!$AT$55/1000/AM179</f>
        <v>1.6959650406495167E-2</v>
      </c>
      <c r="AN185" s="134"/>
      <c r="AO185" s="74" t="e">
        <f>-[2]SME!$AT$53/1000/AO179</f>
        <v>#DIV/0!</v>
      </c>
      <c r="AP185" s="42">
        <f>-[2]SME!$AT$54/1000/AP179</f>
        <v>5.8573393740646825E-3</v>
      </c>
      <c r="AQ185" s="42" t="e">
        <f>-[2]SME!$AT$55/1000/AQ179</f>
        <v>#DIV/0!</v>
      </c>
      <c r="AR185" s="134"/>
      <c r="AS185" s="73">
        <f>-[2]MidCorp!$AT$53/1000/AS179</f>
        <v>4.8426750449323264E-2</v>
      </c>
      <c r="AT185" s="42">
        <f>-[2]MidCorp!$AT$54/1000/AT179</f>
        <v>7.6058198024229043E-2</v>
      </c>
      <c r="AU185" s="42">
        <f>-[2]MidCorp!$AT$55/1000/AU179</f>
        <v>4.7148816277683088E-2</v>
      </c>
      <c r="AV185" s="134"/>
      <c r="AW185" s="97"/>
      <c r="AX185" s="42"/>
      <c r="AY185" s="42"/>
      <c r="AZ185" s="134"/>
      <c r="BA185" s="97"/>
      <c r="BB185" s="42"/>
      <c r="BC185" s="42"/>
      <c r="BD185" s="134"/>
      <c r="BE185" s="97"/>
      <c r="BF185" s="42"/>
      <c r="BG185" s="42"/>
      <c r="BH185" s="134"/>
      <c r="BI185" s="84">
        <f>-'[2]Total P&amp;C'!$AT$53/1000/BI179</f>
        <v>4.2476129334165814E-2</v>
      </c>
      <c r="BJ185" s="60">
        <f>-'[2]Total P&amp;C'!$AT$54/1000/BJ179</f>
        <v>3.3017353710797122E-2</v>
      </c>
      <c r="BK185" s="60">
        <f>-'[2]Total P&amp;C'!$AT$55/1000/BK179</f>
        <v>3.7953494687937933E-2</v>
      </c>
      <c r="BM185" s="84">
        <f>-'[3]Total P&amp;C'!$AT$53/1000/BM179</f>
        <v>4.2379715961816326E-2</v>
      </c>
      <c r="BN185" s="60">
        <f>-'[3]Total P&amp;C'!$AT$54/1000/BN179</f>
        <v>3.0429660251999373E-2</v>
      </c>
      <c r="BO185" s="60">
        <f>-'[3]Total P&amp;C'!$AT$55/1000/BO179</f>
        <v>3.7598157610492372E-2</v>
      </c>
    </row>
    <row r="186" spans="1:67" ht="16.5" hidden="1" customHeight="1" outlineLevel="1" x14ac:dyDescent="0.3">
      <c r="A186" s="214"/>
      <c r="B186" s="115"/>
      <c r="C186" s="116" t="s">
        <v>27</v>
      </c>
      <c r="D186" s="134"/>
      <c r="E186" s="128" t="e">
        <f>-([1]Retail!$Z$53+[1]Retail!$AA$53+[1]Retail!$BB$53+[1]Retail!$BC$53)/1000/E179</f>
        <v>#DIV/0!</v>
      </c>
      <c r="F186" s="127" t="e">
        <f>-([1]Retail!$Z$54+[1]Retail!$AA$54+[1]Retail!$BB$54+[1]Retail!$BC$54)/1000/F179</f>
        <v>#DIV/0!</v>
      </c>
      <c r="G186" s="127" t="e">
        <f>-([1]Retail!$Z$55+[1]Retail!$AA$55+[1]Retail!$BB$55+[1]Retail!$BC$55)/1000/G179</f>
        <v>#DIV/0!</v>
      </c>
      <c r="H186" s="134"/>
      <c r="I186" s="126">
        <f>-([1]SME!$Z$53+[1]SME!$AA$53+[1]SME!$BB$53+[1]SME!$BC$53)/1000/I179</f>
        <v>6.2657877260280746E-3</v>
      </c>
      <c r="J186" s="127">
        <f>-([1]SME!$Z$54+[1]SME!$AA$54+[1]SME!$BB$54+[1]SME!$BC$54)/1000/J179</f>
        <v>-1.6015189431172104E-2</v>
      </c>
      <c r="K186" s="127">
        <f>-([1]SME!$Z$55+[1]SME!$AA$55+[1]SME!$BB$55+[1]SME!$BC$55)/1000/K179</f>
        <v>-1.0856896557384232E-2</v>
      </c>
      <c r="L186" s="134"/>
      <c r="M186" s="126">
        <f>-([1]MidCorp!$Z$53+[1]MidCorp!$AA$53+[1]MidCorp!$BB$53+[1]MidCorp!$BC$53)/1000/M179</f>
        <v>-4.6942642831623105E-3</v>
      </c>
      <c r="N186" s="127">
        <f>-([1]MidCorp!$Z$54+[1]MidCorp!$AA$54+[1]MidCorp!$BB$54+[1]MidCorp!$BC$54)/1000/N179</f>
        <v>-1.6630860641746365E-2</v>
      </c>
      <c r="O186" s="127">
        <f>-([1]MidCorp!$Z$55+[1]MidCorp!$AA$55+[1]MidCorp!$BB$55+[1]MidCorp!$BC$55)/1000/O179</f>
        <v>-1.0103744435079083E-2</v>
      </c>
      <c r="P186" s="134"/>
      <c r="Q186" s="128">
        <f>-([1]MGA!$Z$53+[1]MGA!$AA$53+[1]MGA!$BB$53+[1]MGA!$BC$53)/1000/Q179</f>
        <v>-7.5272096176048908E-4</v>
      </c>
      <c r="R186" s="127">
        <f>-([1]MGA!$Z$54+[1]MGA!$AA$54+[1]MGA!$BB$54+[1]MGA!$BC$54)/1000/R179</f>
        <v>-1.2480583592088775E-5</v>
      </c>
      <c r="S186" s="127">
        <f>-([1]MGA!$Z$55+[1]MGA!$AA$55+[1]MGA!$BB$55+[1]MGA!$BC$55)/1000/S179</f>
        <v>-5.5886740973519642E-3</v>
      </c>
      <c r="T186" s="134"/>
      <c r="U186" s="128" t="e">
        <f>-([1]Bancassurance!$Z$53+[1]Bancassurance!$AA$53+[1]Bancassurance!$BB$53+[1]Bancassurance!$BC$53)/1000/U179</f>
        <v>#DIV/0!</v>
      </c>
      <c r="V186" s="127" t="e">
        <f>-([1]Bancassurance!$Z$54+[1]Bancassurance!$AA$54+[1]Bancassurance!$BB$54+[1]Bancassurance!$BC$54)/1000/V179</f>
        <v>#DIV/0!</v>
      </c>
      <c r="W186" s="127" t="e">
        <f>-([1]Bancassurance!$Z$55+[1]Bancassurance!$AA$55+[1]Bancassurance!$BB$55+[1]Bancassurance!$BC$55)/1000/W179</f>
        <v>#DIV/0!</v>
      </c>
      <c r="X186" s="134"/>
      <c r="Y186" s="128" t="e">
        <f>-([1]Specials!$Z$53+[1]Specials!$AA$53+[1]Specials!$BB$53+[1]Specials!$BC$53)/1000/Y179</f>
        <v>#DIV/0!</v>
      </c>
      <c r="Z186" s="127" t="e">
        <f>-([1]Specials!$Z$54+[1]Specials!$AA$54+[1]Specials!$BB$54+[1]Specials!$BC$54)/1000/Z179</f>
        <v>#DIV/0!</v>
      </c>
      <c r="AA186" s="127" t="e">
        <f>-([1]Specials!$Z$55+[1]Specials!$AA$55+[1]Specials!$BB$55+[1]Specials!$BC$55)/1000/AA179</f>
        <v>#DIV/0!</v>
      </c>
      <c r="AB186" s="134"/>
      <c r="AC186" s="132">
        <f>-('[1]Total P&amp;C'!$Z$53+'[1]Total P&amp;C'!$AA$53+'[1]Total P&amp;C'!$BB$53+'[1]Total P&amp;C'!$BC$53)/1000/AC179</f>
        <v>-1.2189388410399101E-2</v>
      </c>
      <c r="AD186" s="130">
        <f>-('[1]Total P&amp;C'!$Z$54+'[1]Total P&amp;C'!$AA$54+'[1]Total P&amp;C'!$BB$54+'[1]Total P&amp;C'!$BC$54)/1000/AD179</f>
        <v>-1.4485059364276071E-2</v>
      </c>
      <c r="AE186" s="130">
        <f>-('[1]Total P&amp;C'!$Z$55+'[1]Total P&amp;C'!$AA$55+'[1]Total P&amp;C'!$BB$55+'[1]Total P&amp;C'!$BC$55)/1000/AE179</f>
        <v>-9.6837165033272256E-3</v>
      </c>
      <c r="AG186" s="212"/>
      <c r="AH186" s="115"/>
      <c r="AI186" s="116" t="s">
        <v>27</v>
      </c>
      <c r="AJ186" s="134"/>
      <c r="AK186" s="126">
        <f>-([2]Retail!$Z$53+[2]Retail!$AA$53+[2]Retail!$BB$53+[2]Retail!$BC$53)/1000/AK179</f>
        <v>-8.1863366294188927E-3</v>
      </c>
      <c r="AL186" s="127">
        <f>-([2]Retail!$Z$54+[2]Retail!$AA$54+[2]Retail!$BB$54+[2]Retail!$BC$54)/1000/AL179</f>
        <v>-2.1747321505996071E-2</v>
      </c>
      <c r="AM186" s="127">
        <f>-([2]Retail!$Z$55+[2]Retail!$AA$55+[2]Retail!$BB$55+[2]Retail!$BC$55)/1000/AM179</f>
        <v>-5.545295729120125E-3</v>
      </c>
      <c r="AN186" s="134"/>
      <c r="AO186" s="128" t="e">
        <f>-([2]SME!$Z$53+[2]SME!$AA$53+[2]SME!$BB$53+[2]SME!$BC$53)/1000/AO179</f>
        <v>#DIV/0!</v>
      </c>
      <c r="AP186" s="127">
        <f>-([2]SME!$Z$54+[2]SME!$AA$54+[2]SME!$BB$54+[2]SME!$BC$54)/1000/AP179</f>
        <v>-6.6623231098756125E-3</v>
      </c>
      <c r="AQ186" s="127" t="e">
        <f>-([2]SME!$Z$55+[2]SME!$AA$55+[2]SME!$BB$55+[2]SME!$BC$55)/1000/AQ179</f>
        <v>#DIV/0!</v>
      </c>
      <c r="AR186" s="134"/>
      <c r="AS186" s="126">
        <f>-([2]MidCorp!$Z$53+[2]MidCorp!$AA$53+[2]MidCorp!$BB$53+[2]MidCorp!$BC$53)/1000/AS179</f>
        <v>-9.1743037315167517E-3</v>
      </c>
      <c r="AT186" s="127">
        <f>-([2]MidCorp!$Z$54+[2]MidCorp!$AA$54+[2]MidCorp!$BB$54+[2]MidCorp!$BC$54)/1000/AT179</f>
        <v>-2.1679244882181089E-2</v>
      </c>
      <c r="AU186" s="127">
        <f>-([2]MidCorp!$Z$55+[2]MidCorp!$AA$55+[2]MidCorp!$BB$55+[2]MidCorp!$BC$55)/1000/AU179</f>
        <v>-4.9980715639119117E-3</v>
      </c>
      <c r="AV186" s="134"/>
      <c r="AW186" s="131"/>
      <c r="AX186" s="127"/>
      <c r="AY186" s="127"/>
      <c r="AZ186" s="134"/>
      <c r="BA186" s="131"/>
      <c r="BB186" s="127"/>
      <c r="BC186" s="127"/>
      <c r="BD186" s="134"/>
      <c r="BE186" s="131"/>
      <c r="BF186" s="127"/>
      <c r="BG186" s="127"/>
      <c r="BH186" s="134"/>
      <c r="BI186" s="132">
        <f>-('[2]Total P&amp;C'!$Z$53+'[2]Total P&amp;C'!$AA$53+'[2]Total P&amp;C'!$BB$53+'[2]Total P&amp;C'!$BC$53)/1000/BI179</f>
        <v>-8.9162021145072698E-3</v>
      </c>
      <c r="BJ186" s="130">
        <f>-('[2]Total P&amp;C'!$Z$54+'[2]Total P&amp;C'!$AA$54+'[2]Total P&amp;C'!$BB$54+'[2]Total P&amp;C'!$BC$54)/1000/BJ179</f>
        <v>-1.5376401514579401E-2</v>
      </c>
      <c r="BK186" s="130">
        <f>-('[2]Total P&amp;C'!$Z$55+'[2]Total P&amp;C'!$AA$55+'[2]Total P&amp;C'!$BB$55+'[2]Total P&amp;C'!$BC$55)/1000/BK179</f>
        <v>-5.164750636869395E-3</v>
      </c>
      <c r="BM186" s="132">
        <f>-('[3]Total P&amp;C'!$Z$53+'[3]Total P&amp;C'!$AA$53+'[3]Total P&amp;C'!$BB$53+'[3]Total P&amp;C'!$BC$53)/1000/BM179</f>
        <v>-9.310014988200192E-3</v>
      </c>
      <c r="BN186" s="130">
        <f>-('[3]Total P&amp;C'!$Z$54+'[3]Total P&amp;C'!$AA$54+'[3]Total P&amp;C'!$BB$54+'[3]Total P&amp;C'!$BC$54)/1000/BN179</f>
        <v>-1.5248458598089473E-2</v>
      </c>
      <c r="BO186" s="130">
        <f>-('[3]Total P&amp;C'!$Z$55+'[3]Total P&amp;C'!$AA$55+'[3]Total P&amp;C'!$BB$55+'[3]Total P&amp;C'!$BC$55)/1000/BO179</f>
        <v>-5.8173410126222697E-3</v>
      </c>
    </row>
    <row r="187" spans="1:67" ht="16.5" hidden="1" customHeight="1" outlineLevel="1" x14ac:dyDescent="0.3">
      <c r="A187" s="214"/>
      <c r="B187" s="115"/>
      <c r="C187" s="116" t="s">
        <v>57</v>
      </c>
      <c r="D187" s="134"/>
      <c r="E187" s="126" t="e">
        <f>-SUM([1]Retail!$AC$53:$AI$53,[1]Retail!$BE$53:$BG$53)/1000/E179</f>
        <v>#DIV/0!</v>
      </c>
      <c r="F187" s="127" t="e">
        <f>-SUM([1]Retail!$AC$54:$AI$54,[1]Retail!$BE$54:$BG$54)/1000/F179</f>
        <v>#DIV/0!</v>
      </c>
      <c r="G187" s="127" t="e">
        <f>-SUM([1]Retail!$AC$55:$AI$55,[1]Retail!$BE$55:$BG$55)/1000/G179</f>
        <v>#DIV/0!</v>
      </c>
      <c r="H187" s="134"/>
      <c r="I187" s="128">
        <f>-SUM([1]SME!$AC$53:$AI$53,[1]SME!$BE$53:$BG$53)/1000/I179</f>
        <v>0.14043880686637264</v>
      </c>
      <c r="J187" s="127">
        <f>-SUM([1]SME!$AC$54:$AI$54,[1]SME!$BE$54:$BG$54)/1000/J179</f>
        <v>-0.86777432719712244</v>
      </c>
      <c r="K187" s="127">
        <f>-SUM([1]SME!$AC$55:$AI$55,[1]SME!$BE$55:$BG$55)/1000/K179</f>
        <v>-4.6194783245500359E-3</v>
      </c>
      <c r="L187" s="134"/>
      <c r="M187" s="126">
        <f>-SUM([1]MidCorp!$AC$53:$AI$53,[1]MidCorp!$BE$53:$BG$53)/1000/M179</f>
        <v>-0.24906576747799708</v>
      </c>
      <c r="N187" s="127">
        <f>-SUM([1]MidCorp!$AC$54:$AI$54,[1]MidCorp!$BE$54:$BG$54)/1000/N179</f>
        <v>-0.74524245379151299</v>
      </c>
      <c r="O187" s="127">
        <f>-SUM([1]MidCorp!$AC$55:$AI$55,[1]MidCorp!$BE$55:$BG$55)/1000/O179</f>
        <v>-4.2990147566392507E-3</v>
      </c>
      <c r="P187" s="134"/>
      <c r="Q187" s="128">
        <f>-SUM([1]MGA!$AC$53:$AI$53,[1]MGA!$BE$53:$BG$53)/1000/Q179</f>
        <v>0.39909650991326262</v>
      </c>
      <c r="R187" s="127">
        <f>-SUM([1]MGA!$AC$54:$AI$54,[1]MGA!$BE$54:$BG$54)/1000/R179</f>
        <v>4.5735098573209183E-2</v>
      </c>
      <c r="S187" s="127">
        <f>-SUM([1]MGA!$AC$55:$AI$55,[1]MGA!$BE$55:$BG$55)/1000/S179</f>
        <v>-2.9958042129850825E-2</v>
      </c>
      <c r="T187" s="134"/>
      <c r="U187" s="126" t="e">
        <f>-SUM([1]Bancassurance!$AC$53:$AI$53,[1]Bancassurance!$BE$53:$BG$53)/1000/U179</f>
        <v>#DIV/0!</v>
      </c>
      <c r="V187" s="127" t="e">
        <f>-SUM([1]Bancassurance!$AC$54:$AI$54,[1]Bancassurance!$BE$54:$BG$54)/1000/V179</f>
        <v>#DIV/0!</v>
      </c>
      <c r="W187" s="127" t="e">
        <f>-SUM([1]Bancassurance!$AC$55:$AI$55,[1]Bancassurance!$BE$55:$BG$55)/1000/W179</f>
        <v>#DIV/0!</v>
      </c>
      <c r="X187" s="134"/>
      <c r="Y187" s="126" t="e">
        <f>-SUM([1]Specials!$AC$53:$AI$53,[1]Specials!$BE$53:$BG$53)/1000/Y179</f>
        <v>#DIV/0!</v>
      </c>
      <c r="Z187" s="127" t="e">
        <f>-SUM([1]Specials!$AC$54:$AI$54,[1]Specials!$BE$54:$BG$54)/1000/Z179</f>
        <v>#DIV/0!</v>
      </c>
      <c r="AA187" s="127" t="e">
        <f>-SUM([1]Specials!$AC$55:$AI$55,[1]Specials!$BE$55:$BG$55)/1000/AA179</f>
        <v>#DIV/0!</v>
      </c>
      <c r="AB187" s="134"/>
      <c r="AC187" s="132">
        <f>-SUM('[1]Total P&amp;C'!$AC$53:$AI$53,'[1]Total P&amp;C'!$BE$53:$BG$53)/1000/AC179</f>
        <v>-0.46167236794904448</v>
      </c>
      <c r="AD187" s="130">
        <f>-SUM('[1]Total P&amp;C'!$AC$54:$AI$54,'[1]Total P&amp;C'!$BE$54:$BG$54)/1000/AD179</f>
        <v>-0.69335900928176231</v>
      </c>
      <c r="AE187" s="130">
        <f>-SUM('[1]Total P&amp;C'!$AC$55:$AI$55,'[1]Total P&amp;C'!$BE$55:$BG$55)/1000/AE179</f>
        <v>-7.8209170763367513E-3</v>
      </c>
      <c r="AG187" s="212"/>
      <c r="AH187" s="115"/>
      <c r="AI187" s="116" t="s">
        <v>57</v>
      </c>
      <c r="AJ187" s="134"/>
      <c r="AK187" s="126">
        <f>-SUM([2]Retail!$AC$53:$AI$53,[2]Retail!$BE$53:$BG$53)/1000/AK179</f>
        <v>-1.9443769468039991</v>
      </c>
      <c r="AL187" s="127">
        <f>-SUM([2]Retail!$AC$54:$AI$54,[2]Retail!$BE$54:$BG$54)/1000/AL179</f>
        <v>-0.58671854760534148</v>
      </c>
      <c r="AM187" s="127">
        <f>-SUM([2]Retail!$AC$55:$AI$55,[2]Retail!$BE$55:$BG$55)/1000/AM179</f>
        <v>-3.1777834245217823E-3</v>
      </c>
      <c r="AN187" s="134"/>
      <c r="AO187" s="128" t="e">
        <f>-SUM([2]SME!$AC$53:$AI$53,[2]SME!$BE$53:$BG$53)/1000/AO179</f>
        <v>#DIV/0!</v>
      </c>
      <c r="AP187" s="127">
        <f>-SUM([2]SME!$AC$54:$AI$54,[2]SME!$BE$54:$BG$54)/1000/AP179</f>
        <v>-0.17907804209203082</v>
      </c>
      <c r="AQ187" s="127" t="e">
        <f>-SUM([2]SME!$AC$55:$AI$55,[2]SME!$BE$55:$BG$55)/1000/AQ179</f>
        <v>#DIV/0!</v>
      </c>
      <c r="AR187" s="134"/>
      <c r="AS187" s="126">
        <f>-SUM([2]MidCorp!$AC$53:$AI$53,[2]MidCorp!$BE$53:$BG$53)/1000/AS179</f>
        <v>-0.49884046533948206</v>
      </c>
      <c r="AT187" s="127">
        <f>-SUM([2]MidCorp!$AC$54:$AI$54,[2]MidCorp!$BE$54:$BG$54)/1000/AT179</f>
        <v>-0.52450802394854246</v>
      </c>
      <c r="AU187" s="127">
        <f>-SUM([2]MidCorp!$AC$55:$AI$55,[2]MidCorp!$BE$55:$BG$55)/1000/AU179</f>
        <v>-2.8648898714089223E-3</v>
      </c>
      <c r="AV187" s="134"/>
      <c r="AW187" s="131"/>
      <c r="AX187" s="127"/>
      <c r="AY187" s="127"/>
      <c r="AZ187" s="134"/>
      <c r="BA187" s="131"/>
      <c r="BB187" s="127"/>
      <c r="BC187" s="127"/>
      <c r="BD187" s="134"/>
      <c r="BE187" s="131"/>
      <c r="BF187" s="127"/>
      <c r="BG187" s="127"/>
      <c r="BH187" s="134"/>
      <c r="BI187" s="132">
        <f>-SUM('[2]Total P&amp;C'!$AC$53:$AI$53,'[2]Total P&amp;C'!$BE$53:$BG$53)/1000/BI179</f>
        <v>-0.87647986499150665</v>
      </c>
      <c r="BJ187" s="130">
        <f>-SUM('[2]Total P&amp;C'!$AC$54:$AI$54,'[2]Total P&amp;C'!$BE$54:$BG$54)/1000/BJ179</f>
        <v>-0.39347647555643073</v>
      </c>
      <c r="BK187" s="130">
        <f>-SUM('[2]Total P&amp;C'!$AC$55:$AI$55,'[2]Total P&amp;C'!$BE$55:$BG$55)/1000/BK179</f>
        <v>-2.9601941556182654E-3</v>
      </c>
      <c r="BM187" s="132">
        <f>-SUM('[3]Total P&amp;C'!$AC$53:$AI$53,'[3]Total P&amp;C'!$BE$53:$BG$53)/1000/BM179</f>
        <v>-0.82657236884785956</v>
      </c>
      <c r="BN187" s="130">
        <f>-SUM('[3]Total P&amp;C'!$AC$54:$AI$54,'[3]Total P&amp;C'!$BE$54:$BG$54)/1000/BN179</f>
        <v>-0.43652150148295132</v>
      </c>
      <c r="BO187" s="130">
        <f>-SUM('[3]Total P&amp;C'!$AC$55:$AI$55,'[3]Total P&amp;C'!$BE$55:$BG$55)/1000/BO179</f>
        <v>-3.6621381602868967E-3</v>
      </c>
    </row>
    <row r="188" spans="1:67" ht="16.5" hidden="1" customHeight="1" outlineLevel="1" x14ac:dyDescent="0.3">
      <c r="A188" s="214"/>
      <c r="B188" s="115"/>
      <c r="C188" s="116" t="s">
        <v>29</v>
      </c>
      <c r="D188" s="134"/>
      <c r="E188" s="128" t="e">
        <f>-SUM([1]Retail!$AJ$53:$AK$53,[1]Retail!$BH$53:$BI$53)/1000/E179</f>
        <v>#DIV/0!</v>
      </c>
      <c r="F188" s="127" t="e">
        <f>-SUM([1]Retail!$AJ$54:$AK$54,[1]Retail!$BH$54:$BI$54)/1000/F179</f>
        <v>#DIV/0!</v>
      </c>
      <c r="G188" s="127" t="e">
        <f>-SUM([1]Retail!$AJ$55:$AK$55,[1]Retail!$BH$55:$BI$55)/1000/G179</f>
        <v>#DIV/0!</v>
      </c>
      <c r="H188" s="134"/>
      <c r="I188" s="126">
        <f>-SUM([1]SME!$AJ$53:$AK$53,[1]SME!$BH$53:$BI$53)/1000/I179</f>
        <v>-9.5307157650006795E-3</v>
      </c>
      <c r="J188" s="127">
        <f>-SUM([1]SME!$AJ$54:$AK$54,[1]SME!$BH$54:$BI$54)/1000/J179</f>
        <v>4.7832311875140018E-2</v>
      </c>
      <c r="K188" s="127">
        <f>-SUM([1]SME!$AJ$55:$AK$55,[1]SME!$BH$55:$BI$55)/1000/K179</f>
        <v>0</v>
      </c>
      <c r="L188" s="134"/>
      <c r="M188" s="128">
        <f>-SUM([1]MidCorp!$AJ$53:$AK$53,[1]MidCorp!$BH$53:$BI$53)/1000/M179</f>
        <v>1.4406017422353735E-2</v>
      </c>
      <c r="N188" s="127">
        <f>-SUM([1]MidCorp!$AJ$54:$AK$54,[1]MidCorp!$BH$54:$BI$54)/1000/N179</f>
        <v>4.0982038045810638E-2</v>
      </c>
      <c r="O188" s="127">
        <f>-SUM([1]MidCorp!$AJ$55:$AK$55,[1]MidCorp!$BH$55:$BI$55)/1000/O179</f>
        <v>0</v>
      </c>
      <c r="P188" s="134"/>
      <c r="Q188" s="126">
        <f>-SUM([1]MGA!$AJ$53:$AK$53,[1]MGA!$BH$53:$BI$53)/1000/Q179</f>
        <v>-8.6999119228108324E-3</v>
      </c>
      <c r="R188" s="127">
        <f>-SUM([1]MGA!$AJ$54:$AK$54,[1]MGA!$BH$54:$BI$54)/1000/R179</f>
        <v>1.2695093622577796E-2</v>
      </c>
      <c r="S188" s="127">
        <f>-SUM([1]MGA!$AJ$55:$AK$55,[1]MGA!$BH$55:$BI$55)/1000/S179</f>
        <v>0</v>
      </c>
      <c r="T188" s="134"/>
      <c r="U188" s="128" t="e">
        <f>-SUM([1]Bancassurance!$AJ$53:$AK$53,[1]Bancassurance!$BH$53:$BI$53)/1000/U179</f>
        <v>#DIV/0!</v>
      </c>
      <c r="V188" s="127" t="e">
        <f>-SUM([1]Bancassurance!$AJ$54:$AK$54,[1]Bancassurance!$BH$54:$BI$54)/1000/V179</f>
        <v>#DIV/0!</v>
      </c>
      <c r="W188" s="127" t="e">
        <f>-SUM([1]Bancassurance!$AJ$55:$AK$55,[1]Bancassurance!$BH$55:$BI$55)/1000/W179</f>
        <v>#DIV/0!</v>
      </c>
      <c r="X188" s="134"/>
      <c r="Y188" s="128" t="e">
        <f>-SUM([1]Specials!$AJ$53:$AK$53,[1]Specials!$BH$53:$BI$53)/1000/Y179</f>
        <v>#DIV/0!</v>
      </c>
      <c r="Z188" s="127" t="e">
        <f>-SUM([1]Specials!$AJ$54:$AK$54,[1]Specials!$BH$54:$BI$54)/1000/Z179</f>
        <v>#DIV/0!</v>
      </c>
      <c r="AA188" s="127" t="e">
        <f>-SUM([1]Specials!$AJ$55:$AK$55,[1]Specials!$BH$55:$BI$55)/1000/AA179</f>
        <v>#DIV/0!</v>
      </c>
      <c r="AB188" s="134"/>
      <c r="AC188" s="129">
        <f>-SUM('[1]Total P&amp;C'!$AJ$53:$AK$53,'[1]Total P&amp;C'!$BH$53:$BI$53)/1000/AC179</f>
        <v>2.9243250937007456E-2</v>
      </c>
      <c r="AD188" s="130">
        <f>-SUM('[1]Total P&amp;C'!$AJ$54:$AK$54,'[1]Total P&amp;C'!$BH$54:$BI$54)/1000/AD179</f>
        <v>3.9598295372812536E-2</v>
      </c>
      <c r="AE188" s="130">
        <f>-SUM('[1]Total P&amp;C'!$AJ$55:$AK$55,'[1]Total P&amp;C'!$BH$55:$BI$55)/1000/AE179</f>
        <v>0</v>
      </c>
      <c r="AG188" s="212"/>
      <c r="AH188" s="115"/>
      <c r="AI188" s="116" t="s">
        <v>29</v>
      </c>
      <c r="AJ188" s="134"/>
      <c r="AK188" s="128">
        <f>-SUM([2]Retail!$AJ$53:$AK$53,[2]Retail!$BH$53:$BI$53)/1000/AK179</f>
        <v>0.36671639330553879</v>
      </c>
      <c r="AL188" s="127">
        <f>-SUM([2]Retail!$AJ$54:$AK$54,[2]Retail!$BH$54:$BI$54)/1000/AL179</f>
        <v>7.7224224052965321E-2</v>
      </c>
      <c r="AM188" s="127">
        <f>-SUM([2]Retail!$AJ$55:$AK$55,[2]Retail!$BH$55:$BI$55)/1000/AM179</f>
        <v>0</v>
      </c>
      <c r="AN188" s="134"/>
      <c r="AO188" s="128" t="e">
        <f>-SUM([2]SME!$AJ$53:$AK$53,[2]SME!$BH$53:$BI$53)/1000/AO179</f>
        <v>#DIV/0!</v>
      </c>
      <c r="AP188" s="127">
        <f>-SUM([2]SME!$AJ$54:$AK$54,[2]SME!$BH$54:$BI$54)/1000/AP179</f>
        <v>1.8653968750010217E-2</v>
      </c>
      <c r="AQ188" s="127" t="e">
        <f>-SUM([2]SME!$AJ$55:$AK$55,[2]SME!$BH$55:$BI$55)/1000/AQ179</f>
        <v>#DIV/0!</v>
      </c>
      <c r="AR188" s="134"/>
      <c r="AS188" s="128">
        <f>-SUM([2]MidCorp!$AJ$53:$AK$53,[2]MidCorp!$BH$53:$BI$53)/1000/AS179</f>
        <v>2.357562602028572E-2</v>
      </c>
      <c r="AT188" s="127">
        <f>-SUM([2]MidCorp!$AJ$54:$AK$54,[2]MidCorp!$BH$54:$BI$54)/1000/AT179</f>
        <v>5.689348280663474E-2</v>
      </c>
      <c r="AU188" s="127">
        <f>-SUM([2]MidCorp!$AJ$55:$AK$55,[2]MidCorp!$BH$55:$BI$55)/1000/AU179</f>
        <v>0</v>
      </c>
      <c r="AV188" s="134"/>
      <c r="AW188" s="131"/>
      <c r="AX188" s="127"/>
      <c r="AY188" s="127"/>
      <c r="AZ188" s="134"/>
      <c r="BA188" s="131"/>
      <c r="BB188" s="127"/>
      <c r="BC188" s="127"/>
      <c r="BD188" s="134"/>
      <c r="BE188" s="131"/>
      <c r="BF188" s="127"/>
      <c r="BG188" s="127"/>
      <c r="BH188" s="134"/>
      <c r="BI188" s="129">
        <f>-SUM('[2]Total P&amp;C'!$AJ$53:$AK$53,'[2]Total P&amp;C'!$BH$53:$BI$53)/1000/BI179</f>
        <v>0.11321948836158967</v>
      </c>
      <c r="BJ188" s="130">
        <f>-SUM('[2]Total P&amp;C'!$AJ$54:$AK$54,'[2]Total P&amp;C'!$BH$54:$BI$54)/1000/BJ179</f>
        <v>4.5480845526225201E-2</v>
      </c>
      <c r="BK188" s="130">
        <f>-SUM('[2]Total P&amp;C'!$AJ$55:$AK$55,'[2]Total P&amp;C'!$BH$55:$BI$55)/1000/BK179</f>
        <v>0</v>
      </c>
      <c r="BM188" s="129">
        <f>-SUM('[3]Total P&amp;C'!$AJ$53:$AK$53,'[3]Total P&amp;C'!$BH$53:$BI$53)/1000/BM179</f>
        <v>0.10311590109446679</v>
      </c>
      <c r="BN188" s="130">
        <f>-SUM('[3]Total P&amp;C'!$AJ$54:$AK$54,'[3]Total P&amp;C'!$BH$54:$BI$54)/1000/BN179</f>
        <v>4.4636466493134762E-2</v>
      </c>
      <c r="BO188" s="130">
        <f>-SUM('[3]Total P&amp;C'!$AJ$55:$AK$55,'[3]Total P&amp;C'!$BH$55:$BI$55)/1000/BO179</f>
        <v>0</v>
      </c>
    </row>
    <row r="189" spans="1:67" ht="16.5" hidden="1" customHeight="1" outlineLevel="1" x14ac:dyDescent="0.3">
      <c r="A189" s="214"/>
      <c r="B189" s="115"/>
      <c r="C189" s="116" t="s">
        <v>58</v>
      </c>
      <c r="D189" s="134"/>
      <c r="E189" s="126" t="e">
        <f>+E190+E191+E192</f>
        <v>#DIV/0!</v>
      </c>
      <c r="F189" s="127" t="e">
        <f>+F190+F191+F192</f>
        <v>#DIV/0!</v>
      </c>
      <c r="G189" s="127" t="e">
        <f>+G190+G191+G192</f>
        <v>#DIV/0!</v>
      </c>
      <c r="H189" s="134"/>
      <c r="I189" s="126">
        <f>+I190+I191+I192</f>
        <v>7.3731289174681774E-2</v>
      </c>
      <c r="J189" s="127">
        <f>+J190+J191+J192</f>
        <v>0.30598943845804899</v>
      </c>
      <c r="K189" s="127">
        <f>+K190+K191+K192</f>
        <v>0.47421020472570824</v>
      </c>
      <c r="L189" s="134"/>
      <c r="M189" s="126">
        <f>+M190+M191+M192</f>
        <v>0.20017562968410796</v>
      </c>
      <c r="N189" s="127">
        <f>+N190+N191+N192</f>
        <v>0.22805428404191383</v>
      </c>
      <c r="O189" s="127">
        <f>+O190+O191+O192</f>
        <v>0.23097533343657126</v>
      </c>
      <c r="P189" s="134"/>
      <c r="Q189" s="128">
        <f>+Q190+Q191+Q192</f>
        <v>0.39851666574015837</v>
      </c>
      <c r="R189" s="127">
        <f>+R190+R191+R192</f>
        <v>0.40544202846925126</v>
      </c>
      <c r="S189" s="127">
        <f>+S190+S191+S192</f>
        <v>0.38841383251712269</v>
      </c>
      <c r="T189" s="134"/>
      <c r="U189" s="126" t="e">
        <f>+U190+U191+U192</f>
        <v>#DIV/0!</v>
      </c>
      <c r="V189" s="127" t="e">
        <f>+V190+V191+V192</f>
        <v>#DIV/0!</v>
      </c>
      <c r="W189" s="127" t="e">
        <f>+W190+W191+W192</f>
        <v>#DIV/0!</v>
      </c>
      <c r="X189" s="134"/>
      <c r="Y189" s="126" t="e">
        <f>+Y190+Y191+Y192</f>
        <v>#DIV/0!</v>
      </c>
      <c r="Z189" s="127" t="e">
        <f>+Z190+Z191+Z192</f>
        <v>#DIV/0!</v>
      </c>
      <c r="AA189" s="127" t="e">
        <f>+AA190+AA191+AA192</f>
        <v>#DIV/0!</v>
      </c>
      <c r="AB189" s="134"/>
      <c r="AC189" s="133">
        <f>+AC190+AC191+AC192</f>
        <v>0.31300389971914722</v>
      </c>
      <c r="AD189" s="130">
        <f>+AD190+AD191+AD192</f>
        <v>0.28081574313773833</v>
      </c>
      <c r="AE189" s="130">
        <f>+AE190+AE191+AE192</f>
        <v>0.3121334380579287</v>
      </c>
      <c r="AG189" s="212"/>
      <c r="AH189" s="115"/>
      <c r="AI189" s="116" t="s">
        <v>58</v>
      </c>
      <c r="AJ189" s="134"/>
      <c r="AK189" s="128">
        <f>+AK190+AK191+AK192</f>
        <v>0.58689166110334723</v>
      </c>
      <c r="AL189" s="127">
        <f>+AL190+AL191+AL192</f>
        <v>0.57832574676840032</v>
      </c>
      <c r="AM189" s="127">
        <f>+AM190+AM191+AM192</f>
        <v>0.54195634835385575</v>
      </c>
      <c r="AN189" s="134"/>
      <c r="AO189" s="126" t="e">
        <f>+AO190+AO191+AO192</f>
        <v>#DIV/0!</v>
      </c>
      <c r="AP189" s="127">
        <f>+AP190+AP191+AP192</f>
        <v>0.18270235399557466</v>
      </c>
      <c r="AQ189" s="127" t="e">
        <f>+AQ190+AQ191+AQ192</f>
        <v>#DIV/0!</v>
      </c>
      <c r="AR189" s="134"/>
      <c r="AS189" s="126">
        <f>+AS190+AS191+AS192</f>
        <v>0.1913112434549479</v>
      </c>
      <c r="AT189" s="127">
        <f>+AT190+AT191+AT192</f>
        <v>0.18189279433062175</v>
      </c>
      <c r="AU189" s="127">
        <f>+AU190+AU191+AU192</f>
        <v>0.2052958843202061</v>
      </c>
      <c r="AV189" s="134"/>
      <c r="AW189" s="131"/>
      <c r="AX189" s="127"/>
      <c r="AY189" s="127"/>
      <c r="AZ189" s="134"/>
      <c r="BA189" s="131"/>
      <c r="BB189" s="127"/>
      <c r="BC189" s="127"/>
      <c r="BD189" s="134"/>
      <c r="BE189" s="131"/>
      <c r="BF189" s="127"/>
      <c r="BG189" s="127"/>
      <c r="BH189" s="134"/>
      <c r="BI189" s="132">
        <f>+BI190+BI191+BI192</f>
        <v>0.29465471029259582</v>
      </c>
      <c r="BJ189" s="130">
        <f>+BJ190+BJ191+BJ192</f>
        <v>0.27343073746479069</v>
      </c>
      <c r="BK189" s="130">
        <f>+BK190+BK191+BK192</f>
        <v>0.30783933472725189</v>
      </c>
      <c r="BM189" s="132">
        <f>+BM190+BM191+BM192</f>
        <v>0.2968623900165015</v>
      </c>
      <c r="BN189" s="130">
        <f>+BN190+BN191+BN192</f>
        <v>0.27449077839718689</v>
      </c>
      <c r="BO189" s="130">
        <f>+BO190+BO191+BO192</f>
        <v>0.30845945238002909</v>
      </c>
    </row>
    <row r="190" spans="1:67" ht="16.5" hidden="1" customHeight="1" outlineLevel="1" x14ac:dyDescent="0.3">
      <c r="A190" s="214"/>
      <c r="B190" s="115"/>
      <c r="C190" s="39" t="s">
        <v>59</v>
      </c>
      <c r="D190" s="135"/>
      <c r="E190" s="73" t="e">
        <f>-SUM([1]Retail!$AL$53:$AN$53,[1]Retail!$BJ$53)/1000/E179</f>
        <v>#DIV/0!</v>
      </c>
      <c r="F190" s="42" t="e">
        <f>-SUM([1]Retail!$AL$54:$AN$54,[1]Retail!$BJ$54)/1000/F179</f>
        <v>#DIV/0!</v>
      </c>
      <c r="G190" s="42" t="e">
        <f>-SUM([1]Retail!$AL$55:$AN$55,[1]Retail!$BJ$55)/1000/G179</f>
        <v>#DIV/0!</v>
      </c>
      <c r="H190" s="135"/>
      <c r="I190" s="74">
        <f>-SUM([1]SME!$AL$53:$AN$53,[1]SME!$BJ$53)/1000/I179</f>
        <v>0.1756086239978383</v>
      </c>
      <c r="J190" s="42">
        <f>-SUM([1]SME!$AL$54:$AN$54,[1]SME!$BJ$54)/1000/J179</f>
        <v>0.19727738432965275</v>
      </c>
      <c r="K190" s="42">
        <f>-SUM([1]SME!$AL$55:$AN$55,[1]SME!$BJ$55)/1000/K179</f>
        <v>0.19635863147164215</v>
      </c>
      <c r="L190" s="135"/>
      <c r="M190" s="74">
        <f>-SUM([1]MidCorp!$AL$53:$AN$53,[1]MidCorp!$BJ$53)/1000/M179</f>
        <v>0.18485891673580854</v>
      </c>
      <c r="N190" s="42">
        <f>-SUM([1]MidCorp!$AL$54:$AN$54,[1]MidCorp!$BJ$54)/1000/N179</f>
        <v>0.18949650641184887</v>
      </c>
      <c r="O190" s="42">
        <f>-SUM([1]MidCorp!$AL$55:$AN$55,[1]MidCorp!$BJ$55)/1000/O179</f>
        <v>0.18855070362418175</v>
      </c>
      <c r="P190" s="135"/>
      <c r="Q190" s="74">
        <f>-SUM([1]MGA!$AL$53:$AN$53,[1]MGA!$BJ$53)/1000/Q179</f>
        <v>0.30895138659716453</v>
      </c>
      <c r="R190" s="42">
        <f>-SUM([1]MGA!$AL$54:$AN$54,[1]MGA!$BJ$54)/1000/R179</f>
        <v>0.31520025876409979</v>
      </c>
      <c r="S190" s="42">
        <f>-SUM([1]MGA!$AL$55:$AN$55,[1]MGA!$BJ$55)/1000/S179</f>
        <v>0.31159589850518604</v>
      </c>
      <c r="T190" s="135"/>
      <c r="U190" s="73" t="e">
        <f>-SUM([1]Bancassurance!$AL$53:$AN$53,[1]Bancassurance!$BJ$53)/1000/U179</f>
        <v>#DIV/0!</v>
      </c>
      <c r="V190" s="42" t="e">
        <f>-SUM([1]Bancassurance!$AL$54:$AN$54,[1]Bancassurance!$BJ$54)/1000/V179</f>
        <v>#DIV/0!</v>
      </c>
      <c r="W190" s="42" t="e">
        <f>-SUM([1]Bancassurance!$AL$55:$AN$55,[1]Bancassurance!$BJ$55)/1000/W179</f>
        <v>#DIV/0!</v>
      </c>
      <c r="X190" s="135"/>
      <c r="Y190" s="73" t="e">
        <f>-SUM([1]Specials!$AL$53:$AN$53,[1]Specials!$BJ$53)/1000/Y179</f>
        <v>#DIV/0!</v>
      </c>
      <c r="Z190" s="42" t="e">
        <f>-SUM([1]Specials!$AL$54:$AN$54,[1]Specials!$BJ$54)/1000/Z179</f>
        <v>#DIV/0!</v>
      </c>
      <c r="AA190" s="42" t="e">
        <f>-SUM([1]Specials!$AL$55:$AN$55,[1]Specials!$BJ$55)/1000/AA179</f>
        <v>#DIV/0!</v>
      </c>
      <c r="AB190" s="135"/>
      <c r="AC190" s="85">
        <f>-SUM('[1]Total P&amp;C'!$AL$53:$AN$53,'[1]Total P&amp;C'!$BJ$53)/1000/AC179</f>
        <v>0.20494910430275637</v>
      </c>
      <c r="AD190" s="60">
        <f>-SUM('[1]Total P&amp;C'!$AL$54:$AN$54,'[1]Total P&amp;C'!$BJ$54)/1000/AD179</f>
        <v>0.20664384730179733</v>
      </c>
      <c r="AE190" s="60">
        <f>-SUM('[1]Total P&amp;C'!$AL$55:$AN$55,'[1]Total P&amp;C'!$BJ$55)/1000/AE179</f>
        <v>0.20698661651307682</v>
      </c>
      <c r="AG190" s="212"/>
      <c r="AH190" s="115"/>
      <c r="AI190" s="39" t="s">
        <v>59</v>
      </c>
      <c r="AJ190" s="135"/>
      <c r="AK190" s="73">
        <f>-SUM([2]Retail!$AL$53:$AN$53,[2]Retail!$BJ$53)/1000/AK179</f>
        <v>0.25312515619931686</v>
      </c>
      <c r="AL190" s="42">
        <f>-SUM([2]Retail!$AL$54:$AN$54,[2]Retail!$BJ$54)/1000/AL179</f>
        <v>0.2863261368985407</v>
      </c>
      <c r="AM190" s="42">
        <f>-SUM([2]Retail!$AL$55:$AN$55,[2]Retail!$BJ$55)/1000/AM179</f>
        <v>0.24413927793433124</v>
      </c>
      <c r="AN190" s="135"/>
      <c r="AO190" s="74" t="e">
        <f>-SUM([2]SME!$AL$53:$AN$53,[2]SME!$BJ$53)/1000/AO179</f>
        <v>#DIV/0!</v>
      </c>
      <c r="AP190" s="42">
        <f>-SUM([2]SME!$AL$54:$AN$54,[2]SME!$BJ$54)/1000/AP179</f>
        <v>0.14804403706434194</v>
      </c>
      <c r="AQ190" s="42" t="e">
        <f>-SUM([2]SME!$AL$55:$AN$55,[2]SME!$BJ$55)/1000/AQ179</f>
        <v>#DIV/0!</v>
      </c>
      <c r="AR190" s="135"/>
      <c r="AS190" s="97">
        <f>-SUM([2]MidCorp!$AL$53:$AN$53,[2]MidCorp!$BJ$53)/1000/AS179</f>
        <v>0.1205484934271942</v>
      </c>
      <c r="AT190" s="42">
        <f>-SUM([2]MidCorp!$AL$54:$AN$54,[2]MidCorp!$BJ$54)/1000/AT179</f>
        <v>9.9558656812767557E-2</v>
      </c>
      <c r="AU190" s="42">
        <f>-SUM([2]MidCorp!$AL$55:$AN$55,[2]MidCorp!$BJ$55)/1000/AU179</f>
        <v>0.12053279863614015</v>
      </c>
      <c r="AV190" s="135"/>
      <c r="AW190" s="97"/>
      <c r="AX190" s="42"/>
      <c r="AY190" s="42"/>
      <c r="AZ190" s="135"/>
      <c r="BA190" s="97"/>
      <c r="BB190" s="42"/>
      <c r="BC190" s="42"/>
      <c r="BD190" s="135"/>
      <c r="BE190" s="97"/>
      <c r="BF190" s="42"/>
      <c r="BG190" s="42"/>
      <c r="BH190" s="135"/>
      <c r="BI190" s="85">
        <f>-SUM('[2]Total P&amp;C'!$AL$53:$AN$53,'[2]Total P&amp;C'!$BJ$53)/1000/BI179</f>
        <v>0.15518350401261347</v>
      </c>
      <c r="BJ190" s="60">
        <f>-SUM('[2]Total P&amp;C'!$AL$54:$AN$54,'[2]Total P&amp;C'!$BJ$54)/1000/BJ179</f>
        <v>0.16292418939849129</v>
      </c>
      <c r="BK190" s="60">
        <f>-SUM('[2]Total P&amp;C'!$AL$55:$AN$55,'[2]Total P&amp;C'!$BJ$55)/1000/BK179</f>
        <v>0.15818211072951591</v>
      </c>
      <c r="BM190" s="85">
        <f>-SUM('[3]Total P&amp;C'!$AL$53:$AN$53,'[3]Total P&amp;C'!$BJ$53)/1000/BM179</f>
        <v>0.16117104406980864</v>
      </c>
      <c r="BN190" s="60">
        <f>-SUM('[3]Total P&amp;C'!$AL$54:$AN$54,'[3]Total P&amp;C'!$BJ$54)/1000/BN179</f>
        <v>0.16919969262493165</v>
      </c>
      <c r="BO190" s="60">
        <f>-SUM('[3]Total P&amp;C'!$AL$55:$AN$55,'[3]Total P&amp;C'!$BJ$55)/1000/BO179</f>
        <v>0.16523003977100972</v>
      </c>
    </row>
    <row r="191" spans="1:67" ht="16.5" hidden="1" customHeight="1" outlineLevel="1" x14ac:dyDescent="0.3">
      <c r="A191" s="214"/>
      <c r="B191" s="115"/>
      <c r="C191" s="39" t="s">
        <v>60</v>
      </c>
      <c r="D191" s="135"/>
      <c r="E191" s="74" t="e">
        <f>-SUM([1]Retail!$AO$53:$AP$53)/1000/E179</f>
        <v>#DIV/0!</v>
      </c>
      <c r="F191" s="42" t="e">
        <f>-SUM([1]Retail!$AO$54:$AP$54)/1000/F179</f>
        <v>#DIV/0!</v>
      </c>
      <c r="G191" s="42" t="e">
        <f>-SUM([1]Retail!$AO$55:$AP$55)/1000/G179</f>
        <v>#DIV/0!</v>
      </c>
      <c r="H191" s="135"/>
      <c r="I191" s="74">
        <f>-SUM([1]SME!$AO$53:$AP$53)/1000/I179</f>
        <v>-1.8989530780125049E-2</v>
      </c>
      <c r="J191" s="42">
        <f>-SUM([1]SME!$AO$54:$AP$54)/1000/J179</f>
        <v>5.8070046421538644E-2</v>
      </c>
      <c r="K191" s="42">
        <f>-SUM([1]SME!$AO$55:$AP$55)/1000/K179</f>
        <v>5.5523602024877279E-2</v>
      </c>
      <c r="L191" s="135"/>
      <c r="M191" s="74">
        <f>-SUM([1]MidCorp!$AO$53:$AP$53)/1000/M179</f>
        <v>2.4613157283446176E-3</v>
      </c>
      <c r="N191" s="42">
        <f>-SUM([1]MidCorp!$AO$54:$AP$54)/1000/N179</f>
        <v>4.7885035232741327E-3</v>
      </c>
      <c r="O191" s="42">
        <f>-SUM([1]MidCorp!$AO$55:$AP$55)/1000/O179</f>
        <v>4.082746671301935E-3</v>
      </c>
      <c r="P191" s="135"/>
      <c r="Q191" s="73">
        <f>-SUM([1]MGA!$AO$53:$AP$53)/1000/Q179</f>
        <v>3.0627629502548631E-2</v>
      </c>
      <c r="R191" s="42">
        <f>-SUM([1]MGA!$AO$54:$AP$54)/1000/R179</f>
        <v>2.0871695960503124E-2</v>
      </c>
      <c r="S191" s="42">
        <f>-SUM([1]MGA!$AO$55:$AP$55)/1000/S179</f>
        <v>2.4477222704816018E-2</v>
      </c>
      <c r="T191" s="135"/>
      <c r="U191" s="74" t="e">
        <f>-SUM([1]Bancassurance!$AO$53:$AP$53)/1000/U179</f>
        <v>#DIV/0!</v>
      </c>
      <c r="V191" s="42" t="e">
        <f>-SUM([1]Bancassurance!$AO$54:$AP$54)/1000/V179</f>
        <v>#DIV/0!</v>
      </c>
      <c r="W191" s="42" t="e">
        <f>-SUM([1]Bancassurance!$AO$55:$AP$55)/1000/W179</f>
        <v>#DIV/0!</v>
      </c>
      <c r="X191" s="135"/>
      <c r="Y191" s="74" t="e">
        <f>-SUM([1]Specials!$AO$53:$AP$53)/1000/Y179</f>
        <v>#DIV/0!</v>
      </c>
      <c r="Z191" s="42" t="e">
        <f>-SUM([1]Specials!$AO$54:$AP$54)/1000/Z179</f>
        <v>#DIV/0!</v>
      </c>
      <c r="AA191" s="42" t="e">
        <f>-SUM([1]Specials!$AO$55:$AP$55)/1000/AA179</f>
        <v>#DIV/0!</v>
      </c>
      <c r="AB191" s="135"/>
      <c r="AC191" s="99">
        <f>-SUM('[1]Total P&amp;C'!$AO$53:$AP$53)/1000/AC179</f>
        <v>2.1009883779021601E-2</v>
      </c>
      <c r="AD191" s="60">
        <f>-SUM('[1]Total P&amp;C'!$AO$54:$AP$54)/1000/AD179</f>
        <v>3.0376665210742181E-2</v>
      </c>
      <c r="AE191" s="60">
        <f>-SUM('[1]Total P&amp;C'!$AO$55:$AP$55)/1000/AE179</f>
        <v>1.9513674311961004E-2</v>
      </c>
      <c r="AG191" s="212"/>
      <c r="AH191" s="115"/>
      <c r="AI191" s="39" t="s">
        <v>60</v>
      </c>
      <c r="AJ191" s="135"/>
      <c r="AK191" s="73">
        <f>-SUM([2]Retail!$AO$53:$AP$53)/1000/AK179</f>
        <v>0.22141979217268881</v>
      </c>
      <c r="AL191" s="42">
        <f>-SUM([2]Retail!$AO$54:$AP$54)/1000/AL179</f>
        <v>0.21585330286448171</v>
      </c>
      <c r="AM191" s="42">
        <f>-SUM([2]Retail!$AO$55:$AP$55)/1000/AM179</f>
        <v>0.19810227531353578</v>
      </c>
      <c r="AN191" s="135"/>
      <c r="AO191" s="74" t="e">
        <f>-SUM([2]SME!$AO$53:$AP$53)/1000/AO179</f>
        <v>#DIV/0!</v>
      </c>
      <c r="AP191" s="42">
        <f>-SUM([2]SME!$AO$54:$AP$54)/1000/AP179</f>
        <v>1.4742297304562453E-2</v>
      </c>
      <c r="AQ191" s="42" t="e">
        <f>-SUM([2]SME!$AO$55:$AP$55)/1000/AQ179</f>
        <v>#DIV/0!</v>
      </c>
      <c r="AR191" s="135"/>
      <c r="AS191" s="74">
        <f>-SUM([2]MidCorp!$AO$53:$AP$53)/1000/AS179</f>
        <v>2.2635689875857047E-2</v>
      </c>
      <c r="AT191" s="42">
        <f>-SUM([2]MidCorp!$AO$54:$AP$54)/1000/AT179</f>
        <v>2.2487541701790088E-2</v>
      </c>
      <c r="AU191" s="42">
        <f>-SUM([2]MidCorp!$AO$55:$AP$55)/1000/AU179</f>
        <v>2.2645578105911408E-2</v>
      </c>
      <c r="AV191" s="135"/>
      <c r="AW191" s="97"/>
      <c r="AX191" s="42"/>
      <c r="AY191" s="42"/>
      <c r="AZ191" s="135"/>
      <c r="BA191" s="97"/>
      <c r="BB191" s="42"/>
      <c r="BC191" s="42"/>
      <c r="BD191" s="135"/>
      <c r="BE191" s="97"/>
      <c r="BF191" s="42"/>
      <c r="BG191" s="42"/>
      <c r="BH191" s="135"/>
      <c r="BI191" s="85">
        <f>-SUM('[2]Total P&amp;C'!$AO$53:$AP$53)/1000/BI179</f>
        <v>7.4567073147269056E-2</v>
      </c>
      <c r="BJ191" s="60">
        <f>-SUM('[2]Total P&amp;C'!$AO$54:$AP$54)/1000/BJ179</f>
        <v>6.3711436278510433E-2</v>
      </c>
      <c r="BK191" s="60">
        <f>-SUM('[2]Total P&amp;C'!$AO$55:$AP$55)/1000/BK179</f>
        <v>7.6087954181576059E-2</v>
      </c>
      <c r="BM191" s="99">
        <f>-SUM('[3]Total P&amp;C'!$AO$53:$AP$53)/1000/BM179</f>
        <v>6.8123348670450418E-2</v>
      </c>
      <c r="BN191" s="60">
        <f>-SUM('[3]Total P&amp;C'!$AO$54:$AP$54)/1000/BN179</f>
        <v>5.892657579650263E-2</v>
      </c>
      <c r="BO191" s="60">
        <f>-SUM('[3]Total P&amp;C'!$AO$55:$AP$55)/1000/BO179</f>
        <v>6.7917980862658364E-2</v>
      </c>
    </row>
    <row r="192" spans="1:67" ht="16.5" hidden="1" customHeight="1" outlineLevel="1" x14ac:dyDescent="0.3">
      <c r="A192" s="214"/>
      <c r="B192" s="115"/>
      <c r="C192" s="39" t="s">
        <v>61</v>
      </c>
      <c r="D192" s="135"/>
      <c r="E192" s="74" t="e">
        <f>-SUM([1]Retail!$AQ$53:$AR$53)/1000/E179</f>
        <v>#DIV/0!</v>
      </c>
      <c r="F192" s="42" t="e">
        <f>-SUM([1]Retail!$AQ$54:$AR$54)/1000/F179</f>
        <v>#DIV/0!</v>
      </c>
      <c r="G192" s="42" t="e">
        <f>-SUM([1]Retail!$AQ$55:$AR$55)/1000/G179</f>
        <v>#DIV/0!</v>
      </c>
      <c r="H192" s="135"/>
      <c r="I192" s="74">
        <f>-SUM([1]SME!$AQ$53:$AR$53)/1000/I179</f>
        <v>-8.2887804043031477E-2</v>
      </c>
      <c r="J192" s="42">
        <f>-SUM([1]SME!$AQ$54:$AR$54)/1000/J179</f>
        <v>5.0642007706857624E-2</v>
      </c>
      <c r="K192" s="42">
        <f>-SUM([1]SME!$AQ$55:$AR$55)/1000/K179</f>
        <v>0.22232797122918879</v>
      </c>
      <c r="L192" s="135"/>
      <c r="M192" s="74">
        <f>-SUM([1]MidCorp!$AQ$53:$AR$53)/1000/M179</f>
        <v>1.2855397219954809E-2</v>
      </c>
      <c r="N192" s="42">
        <f>-SUM([1]MidCorp!$AQ$54:$AR$54)/1000/N179</f>
        <v>3.3769274106790807E-2</v>
      </c>
      <c r="O192" s="42">
        <f>-SUM([1]MidCorp!$AQ$55:$AR$55)/1000/O179</f>
        <v>3.8341883141087572E-2</v>
      </c>
      <c r="P192" s="135"/>
      <c r="Q192" s="73">
        <f>-SUM([1]MGA!$AQ$53:$AR$53)/1000/Q179</f>
        <v>5.8937649640445185E-2</v>
      </c>
      <c r="R192" s="42">
        <f>-SUM([1]MGA!$AQ$54:$AR$54)/1000/R179</f>
        <v>6.9370073744648333E-2</v>
      </c>
      <c r="S192" s="42">
        <f>-SUM([1]MGA!$AQ$55:$AR$55)/1000/S179</f>
        <v>5.2340711307120653E-2</v>
      </c>
      <c r="T192" s="135"/>
      <c r="U192" s="74" t="e">
        <f>-SUM([1]Bancassurance!$AQ$53:$AR$53)/1000/U179</f>
        <v>#DIV/0!</v>
      </c>
      <c r="V192" s="42" t="e">
        <f>-SUM([1]Bancassurance!$AQ$54:$AR$54)/1000/V179</f>
        <v>#DIV/0!</v>
      </c>
      <c r="W192" s="42" t="e">
        <f>-SUM([1]Bancassurance!$AQ$55:$AR$55)/1000/W179</f>
        <v>#DIV/0!</v>
      </c>
      <c r="X192" s="135"/>
      <c r="Y192" s="74" t="e">
        <f>-SUM([1]Specials!$AQ$53:$AR$53)/1000/Y179</f>
        <v>#DIV/0!</v>
      </c>
      <c r="Z192" s="42" t="e">
        <f>-SUM([1]Specials!$AQ$54:$AR$54)/1000/Z179</f>
        <v>#DIV/0!</v>
      </c>
      <c r="AA192" s="42" t="e">
        <f>-SUM([1]Specials!$AQ$55:$AR$55)/1000/AA179</f>
        <v>#DIV/0!</v>
      </c>
      <c r="AB192" s="135"/>
      <c r="AC192" s="99">
        <f>-SUM('[1]Total P&amp;C'!$AQ$53:$AR$53)/1000/AC179</f>
        <v>8.7044911637369216E-2</v>
      </c>
      <c r="AD192" s="60">
        <f>-SUM('[1]Total P&amp;C'!$AQ$54:$AR$54)/1000/AD179</f>
        <v>4.3795230625198807E-2</v>
      </c>
      <c r="AE192" s="60">
        <f>-SUM('[1]Total P&amp;C'!$AQ$55:$AR$55)/1000/AE179</f>
        <v>8.5633147232890866E-2</v>
      </c>
      <c r="AG192" s="212"/>
      <c r="AH192" s="115"/>
      <c r="AI192" s="39" t="s">
        <v>61</v>
      </c>
      <c r="AJ192" s="135"/>
      <c r="AK192" s="73">
        <f>-SUM([2]Retail!$AQ$53:$AR$53)/1000/AK179</f>
        <v>0.1123467127313416</v>
      </c>
      <c r="AL192" s="42">
        <f>-SUM([2]Retail!$AQ$54:$AR$54)/1000/AL179</f>
        <v>7.6146307005377944E-2</v>
      </c>
      <c r="AM192" s="42">
        <f>-SUM([2]Retail!$AQ$55:$AR$55)/1000/AM179</f>
        <v>9.9714795105988727E-2</v>
      </c>
      <c r="AN192" s="135"/>
      <c r="AO192" s="74" t="e">
        <f>-SUM([2]SME!$AQ$53:$AR$53)/1000/AO179</f>
        <v>#DIV/0!</v>
      </c>
      <c r="AP192" s="42">
        <f>-SUM([2]SME!$AQ$54:$AR$54)/1000/AP179</f>
        <v>1.9916019626670271E-2</v>
      </c>
      <c r="AQ192" s="42" t="e">
        <f>-SUM([2]SME!$AQ$55:$AR$55)/1000/AQ179</f>
        <v>#DIV/0!</v>
      </c>
      <c r="AR192" s="135"/>
      <c r="AS192" s="74">
        <f>-SUM([2]MidCorp!$AQ$53:$AR$53)/1000/AS179</f>
        <v>4.8127060151896661E-2</v>
      </c>
      <c r="AT192" s="42">
        <f>-SUM([2]MidCorp!$AQ$54:$AR$54)/1000/AT179</f>
        <v>5.9846595816064108E-2</v>
      </c>
      <c r="AU192" s="42">
        <f>-SUM([2]MidCorp!$AQ$55:$AR$55)/1000/AU179</f>
        <v>6.2117507578154547E-2</v>
      </c>
      <c r="AV192" s="135"/>
      <c r="AW192" s="97"/>
      <c r="AX192" s="42"/>
      <c r="AY192" s="42"/>
      <c r="AZ192" s="135"/>
      <c r="BA192" s="97"/>
      <c r="BB192" s="42"/>
      <c r="BC192" s="42"/>
      <c r="BD192" s="135"/>
      <c r="BE192" s="97"/>
      <c r="BF192" s="42"/>
      <c r="BG192" s="42"/>
      <c r="BH192" s="135"/>
      <c r="BI192" s="85">
        <f>-SUM('[2]Total P&amp;C'!$AQ$53:$AR$53)/1000/BI179</f>
        <v>6.4904133132713329E-2</v>
      </c>
      <c r="BJ192" s="60">
        <f>-SUM('[2]Total P&amp;C'!$AQ$54:$AR$54)/1000/BJ179</f>
        <v>4.6795111787788939E-2</v>
      </c>
      <c r="BK192" s="60">
        <f>-SUM('[2]Total P&amp;C'!$AQ$55:$AR$55)/1000/BK179</f>
        <v>7.3569269816159882E-2</v>
      </c>
      <c r="BM192" s="85">
        <f>-SUM('[3]Total P&amp;C'!$AQ$53:$AR$53)/1000/BM179</f>
        <v>6.7567997276242422E-2</v>
      </c>
      <c r="BN192" s="60">
        <f>-SUM('[3]Total P&amp;C'!$AQ$54:$AR$54)/1000/BN179</f>
        <v>4.6364509975752616E-2</v>
      </c>
      <c r="BO192" s="60">
        <f>-SUM('[3]Total P&amp;C'!$AQ$55:$AR$55)/1000/BO179</f>
        <v>7.5311431746360999E-2</v>
      </c>
    </row>
    <row r="193" spans="1:67" ht="16.5" hidden="1" customHeight="1" outlineLevel="1" x14ac:dyDescent="0.3">
      <c r="A193" s="214"/>
      <c r="B193" s="115"/>
      <c r="C193" s="116" t="s">
        <v>34</v>
      </c>
      <c r="D193" s="117"/>
      <c r="E193" s="118">
        <f>+[1]Retail!$BK$53/1000</f>
        <v>6.0910000000000001E-4</v>
      </c>
      <c r="F193" s="119">
        <f>+[1]Retail!$BK$54/1000</f>
        <v>-1.4030400000000001E-3</v>
      </c>
      <c r="G193" s="119">
        <f>+[1]Retail!$BK$55/1000</f>
        <v>-3.1611280111406664E-5</v>
      </c>
      <c r="H193" s="117"/>
      <c r="I193" s="121">
        <f>+[1]SME!$BK$53/1000</f>
        <v>-0.3827433400000001</v>
      </c>
      <c r="J193" s="119">
        <f>+[1]SME!$BK$54/1000</f>
        <v>0.22959129000000003</v>
      </c>
      <c r="K193" s="119">
        <f>+[1]SME!$BK$55/1000</f>
        <v>4.2893605039580181E-2</v>
      </c>
      <c r="L193" s="117"/>
      <c r="M193" s="118">
        <f>+[1]MidCorp!$BK$53/1000</f>
        <v>0.89355167999999985</v>
      </c>
      <c r="N193" s="119">
        <f>+[1]MidCorp!$BK$54/1000</f>
        <v>0.46989223999999996</v>
      </c>
      <c r="O193" s="119">
        <f>+[1]MidCorp!$BK$55/1000</f>
        <v>0.21174512656895575</v>
      </c>
      <c r="P193" s="117"/>
      <c r="Q193" s="121">
        <f>+[1]MGA!$BK$53/1000</f>
        <v>1.0301430000000028E-2</v>
      </c>
      <c r="R193" s="119">
        <f>+[1]MGA!$BK$54/1000</f>
        <v>3.9549279999999971E-2</v>
      </c>
      <c r="S193" s="119">
        <f>+[1]MGA!$BK$55/1000</f>
        <v>4.5355099367434572E-2</v>
      </c>
      <c r="T193" s="117"/>
      <c r="U193" s="121">
        <f>+[1]Bancassurance!$BK$53/1000</f>
        <v>0</v>
      </c>
      <c r="V193" s="119">
        <f>+[1]Bancassurance!$BK$54/1000</f>
        <v>0</v>
      </c>
      <c r="W193" s="119">
        <f>+[1]Bancassurance!$BK$55/1000</f>
        <v>0</v>
      </c>
      <c r="X193" s="117"/>
      <c r="Y193" s="121">
        <f>+[1]Specials!$BK$53/1000</f>
        <v>0</v>
      </c>
      <c r="Z193" s="119">
        <f>+[1]Specials!$BK$54/1000</f>
        <v>2.0999999999999997E-7</v>
      </c>
      <c r="AA193" s="119">
        <f>+[1]Specials!$BK$55/1000</f>
        <v>0</v>
      </c>
      <c r="AB193" s="117"/>
      <c r="AC193" s="122">
        <f>+'[1]Total P&amp;C'!$BK$53/1000</f>
        <v>0.52171886999999983</v>
      </c>
      <c r="AD193" s="123">
        <f>+'[1]Total P&amp;C'!$BK$54/1000</f>
        <v>0.73762998000000002</v>
      </c>
      <c r="AE193" s="123">
        <f>+'[1]Total P&amp;C'!$BK$55/1000</f>
        <v>0.29996221969585918</v>
      </c>
      <c r="AG193" s="212"/>
      <c r="AH193" s="115"/>
      <c r="AI193" s="116" t="s">
        <v>34</v>
      </c>
      <c r="AJ193" s="117"/>
      <c r="AK193" s="118">
        <f>+[2]Retail!$BK$53/1000</f>
        <v>1.9368036399999995</v>
      </c>
      <c r="AL193" s="119">
        <f>+[2]Retail!$BK$54/1000</f>
        <v>0.59894330000000096</v>
      </c>
      <c r="AM193" s="119">
        <f>+[2]Retail!$BK$55/1000</f>
        <v>0.30732288477549918</v>
      </c>
      <c r="AN193" s="117"/>
      <c r="AO193" s="121">
        <f>+[2]SME!$BK$53/1000</f>
        <v>0</v>
      </c>
      <c r="AP193" s="119">
        <f>+[2]SME!$BK$54/1000</f>
        <v>1.4131880399999992</v>
      </c>
      <c r="AQ193" s="119">
        <f>+[2]SME!$BK$55/1000</f>
        <v>0</v>
      </c>
      <c r="AR193" s="117"/>
      <c r="AS193" s="118">
        <f>+[2]MidCorp!$BK$53/1000</f>
        <v>3.3256432700000094</v>
      </c>
      <c r="AT193" s="119">
        <f>+[2]MidCorp!$BK$54/1000</f>
        <v>1.181839299999998</v>
      </c>
      <c r="AU193" s="119">
        <f>+[2]MidCorp!$BK$55/1000</f>
        <v>1.6419232591371784</v>
      </c>
      <c r="AV193" s="117"/>
      <c r="AW193" s="121"/>
      <c r="AX193" s="119"/>
      <c r="AY193" s="119"/>
      <c r="AZ193" s="117"/>
      <c r="BA193" s="121"/>
      <c r="BB193" s="119"/>
      <c r="BC193" s="119"/>
      <c r="BD193" s="117"/>
      <c r="BE193" s="121"/>
      <c r="BF193" s="119"/>
      <c r="BG193" s="119"/>
      <c r="BH193" s="117"/>
      <c r="BI193" s="122">
        <f>+'[2]Total P&amp;C'!$BK$53/1000</f>
        <v>5.2624469100000084</v>
      </c>
      <c r="BJ193" s="123">
        <f>+'[2]Total P&amp;C'!$BK$54/1000</f>
        <v>3.1939706399999968</v>
      </c>
      <c r="BK193" s="123">
        <f>+'[2]Total P&amp;C'!$BK$55/1000</f>
        <v>1.9492461439126794</v>
      </c>
      <c r="BM193" s="122">
        <f>+'[3]Total P&amp;C'!$BK$53/1000</f>
        <v>5.7841657800000084</v>
      </c>
      <c r="BN193" s="123">
        <f>+'[3]Total P&amp;C'!$BK$54/1000</f>
        <v>3.9316006199999958</v>
      </c>
      <c r="BO193" s="123">
        <f>+'[3]Total P&amp;C'!$BK$55/1000</f>
        <v>2.2492083636085374</v>
      </c>
    </row>
    <row r="194" spans="1:67" ht="12.75" hidden="1" customHeight="1" outlineLevel="1" x14ac:dyDescent="0.35">
      <c r="AG194" s="153"/>
    </row>
    <row r="195" spans="1:67" ht="16.5" hidden="1" customHeight="1" outlineLevel="1" x14ac:dyDescent="0.3">
      <c r="A195" s="214" t="s">
        <v>43</v>
      </c>
      <c r="B195" s="115"/>
      <c r="C195" s="116" t="s">
        <v>19</v>
      </c>
      <c r="D195" s="117"/>
      <c r="E195" s="118">
        <f>+[1]Retail!$C$61/1000</f>
        <v>6.3370639999999909E-2</v>
      </c>
      <c r="F195" s="119">
        <f>+[1]Retail!$C$62/1000</f>
        <v>7.1586830000000018E-2</v>
      </c>
      <c r="G195" s="119">
        <f>+[1]Retail!$C$63/1000</f>
        <v>0</v>
      </c>
      <c r="H195" s="117"/>
      <c r="I195" s="118">
        <f>+[1]SME!$C$61/1000</f>
        <v>0.38157938000000002</v>
      </c>
      <c r="J195" s="119">
        <f>+[1]SME!$C$62/1000</f>
        <v>0.36467952999999997</v>
      </c>
      <c r="K195" s="119">
        <f>+[1]SME!$C$63/1000</f>
        <v>0.31595999999999996</v>
      </c>
      <c r="L195" s="117"/>
      <c r="M195" s="118">
        <f>+[1]MidCorp!$C$61/1000</f>
        <v>1.8923619999999999</v>
      </c>
      <c r="N195" s="119">
        <f>+[1]MidCorp!$C$62/1000</f>
        <v>1.70135163</v>
      </c>
      <c r="O195" s="119">
        <f>+[1]MidCorp!$C$63/1000</f>
        <v>1.6033299999999999</v>
      </c>
      <c r="P195" s="117"/>
      <c r="Q195" s="118">
        <f>+[1]MGA!$C$61/1000</f>
        <v>1.2683266199999998</v>
      </c>
      <c r="R195" s="119">
        <f>+[1]MGA!$C$62/1000</f>
        <v>1.1094641200000002</v>
      </c>
      <c r="S195" s="119">
        <f>+[1]MGA!$C$63/1000</f>
        <v>0.23235</v>
      </c>
      <c r="T195" s="117"/>
      <c r="U195" s="121">
        <f>+[1]Bancassurance!$C$61/1000</f>
        <v>0</v>
      </c>
      <c r="V195" s="119">
        <f>+[1]Bancassurance!$C$62/1000</f>
        <v>0</v>
      </c>
      <c r="W195" s="119">
        <f>+[1]Bancassurance!$C$63/1000</f>
        <v>0</v>
      </c>
      <c r="X195" s="117"/>
      <c r="Y195" s="121">
        <f>+[1]Specials!$C$61/1000</f>
        <v>0</v>
      </c>
      <c r="Z195" s="119">
        <f>+[1]Specials!$C$62/1000</f>
        <v>0</v>
      </c>
      <c r="AA195" s="119">
        <f>+[1]Specials!$C$63/1000</f>
        <v>0</v>
      </c>
      <c r="AB195" s="117"/>
      <c r="AC195" s="122">
        <f>+'[1]Total P&amp;C'!$C$61/1000</f>
        <v>3.6056386399999996</v>
      </c>
      <c r="AD195" s="123">
        <f>+'[1]Total P&amp;C'!$C$62/1000</f>
        <v>3.2470821100000005</v>
      </c>
      <c r="AE195" s="123">
        <f>+'[1]Total P&amp;C'!$C$63/1000</f>
        <v>2.15164</v>
      </c>
      <c r="AG195" s="212" t="s">
        <v>43</v>
      </c>
      <c r="AH195" s="115"/>
      <c r="AI195" s="116" t="s">
        <v>19</v>
      </c>
      <c r="AJ195" s="117"/>
      <c r="AK195" s="121"/>
      <c r="AL195" s="119"/>
      <c r="AM195" s="119"/>
      <c r="AN195" s="117"/>
      <c r="AO195" s="121"/>
      <c r="AP195" s="119"/>
      <c r="AQ195" s="119"/>
      <c r="AR195" s="117"/>
      <c r="AS195" s="121"/>
      <c r="AT195" s="119"/>
      <c r="AU195" s="119"/>
      <c r="AV195" s="117"/>
      <c r="AW195" s="121"/>
      <c r="AX195" s="119"/>
      <c r="AY195" s="119"/>
      <c r="AZ195" s="117"/>
      <c r="BA195" s="121"/>
      <c r="BB195" s="119"/>
      <c r="BC195" s="119"/>
      <c r="BD195" s="117"/>
      <c r="BE195" s="121"/>
      <c r="BF195" s="119"/>
      <c r="BG195" s="119"/>
      <c r="BH195" s="117"/>
      <c r="BI195" s="124"/>
      <c r="BJ195" s="123"/>
      <c r="BK195" s="123"/>
      <c r="BM195" s="122">
        <f>+'[3]Total P&amp;C'!$C$61/1000</f>
        <v>3.6056386399999996</v>
      </c>
      <c r="BN195" s="123">
        <f>+'[3]Total P&amp;C'!$C$62/1000</f>
        <v>3.2470821100000005</v>
      </c>
      <c r="BO195" s="123">
        <f>+'[3]Total P&amp;C'!$C$63/1000</f>
        <v>2.15164</v>
      </c>
    </row>
    <row r="196" spans="1:67" ht="16.5" hidden="1" customHeight="1" outlineLevel="1" x14ac:dyDescent="0.3">
      <c r="A196" s="214"/>
      <c r="B196" s="115"/>
      <c r="C196" s="116" t="s">
        <v>55</v>
      </c>
      <c r="D196" s="117"/>
      <c r="E196" s="118">
        <f>+[1]Retail!$N$61/1000</f>
        <v>6.1564569999999923E-2</v>
      </c>
      <c r="F196" s="119">
        <f>+[1]Retail!$N$62/1000</f>
        <v>7.2085030000000078E-2</v>
      </c>
      <c r="G196" s="119">
        <f>+[1]Retail!$N$63/1000</f>
        <v>0</v>
      </c>
      <c r="H196" s="117"/>
      <c r="I196" s="118">
        <f>+[1]SME!$N$61/1000</f>
        <v>0.20755725000000003</v>
      </c>
      <c r="J196" s="119">
        <f>+[1]SME!$N$62/1000</f>
        <v>0.20802046999999999</v>
      </c>
      <c r="K196" s="119">
        <f>+[1]SME!$N$63/1000</f>
        <v>0.18809983677189798</v>
      </c>
      <c r="L196" s="117"/>
      <c r="M196" s="120">
        <f>+[1]MidCorp!$N$61/1000</f>
        <v>0.86120008999999975</v>
      </c>
      <c r="N196" s="119">
        <f>+[1]MidCorp!$N$62/1000</f>
        <v>0.77956283999999965</v>
      </c>
      <c r="O196" s="119">
        <f>+[1]MidCorp!$N$63/1000</f>
        <v>0.8665907897237648</v>
      </c>
      <c r="P196" s="117"/>
      <c r="Q196" s="118">
        <f>+[1]MGA!$N$61/1000</f>
        <v>1.1455273699999993</v>
      </c>
      <c r="R196" s="119">
        <f>+[1]MGA!$N$62/1000</f>
        <v>1.0065372999999995</v>
      </c>
      <c r="S196" s="119">
        <f>+[1]MGA!$N$63/1000</f>
        <v>0.22189628565338904</v>
      </c>
      <c r="T196" s="117"/>
      <c r="U196" s="121">
        <f>+[1]Bancassurance!$N$61/1000</f>
        <v>0</v>
      </c>
      <c r="V196" s="119">
        <f>+[1]Bancassurance!$N$62/1000</f>
        <v>0</v>
      </c>
      <c r="W196" s="119">
        <f>+[1]Bancassurance!$N$63/1000</f>
        <v>0</v>
      </c>
      <c r="X196" s="117"/>
      <c r="Y196" s="121">
        <f>+[1]Specials!$N$61/1000</f>
        <v>0</v>
      </c>
      <c r="Z196" s="119">
        <f>+[1]Specials!$N$62/1000</f>
        <v>0</v>
      </c>
      <c r="AA196" s="119">
        <f>+[1]Specials!$N$63/1000</f>
        <v>0</v>
      </c>
      <c r="AB196" s="117"/>
      <c r="AC196" s="122">
        <f>+'[1]Total P&amp;C'!$N$61/1000</f>
        <v>2.2758492799999992</v>
      </c>
      <c r="AD196" s="123">
        <f>+'[1]Total P&amp;C'!$N$62/1000</f>
        <v>2.0662056399999993</v>
      </c>
      <c r="AE196" s="123">
        <f>+'[1]Total P&amp;C'!$N$63/1000</f>
        <v>1.2765869121490518</v>
      </c>
      <c r="AG196" s="212"/>
      <c r="AH196" s="115"/>
      <c r="AI196" s="116" t="s">
        <v>55</v>
      </c>
      <c r="AJ196" s="117"/>
      <c r="AK196" s="121"/>
      <c r="AL196" s="119"/>
      <c r="AM196" s="119"/>
      <c r="AN196" s="117"/>
      <c r="AO196" s="121"/>
      <c r="AP196" s="119"/>
      <c r="AQ196" s="119"/>
      <c r="AR196" s="117"/>
      <c r="AS196" s="121"/>
      <c r="AT196" s="119"/>
      <c r="AU196" s="119"/>
      <c r="AV196" s="117"/>
      <c r="AW196" s="121"/>
      <c r="AX196" s="119"/>
      <c r="AY196" s="119"/>
      <c r="AZ196" s="117"/>
      <c r="BA196" s="121"/>
      <c r="BB196" s="119"/>
      <c r="BC196" s="119"/>
      <c r="BD196" s="117"/>
      <c r="BE196" s="121"/>
      <c r="BF196" s="119"/>
      <c r="BG196" s="119"/>
      <c r="BH196" s="117"/>
      <c r="BI196" s="124"/>
      <c r="BJ196" s="123"/>
      <c r="BK196" s="123"/>
      <c r="BM196" s="122">
        <f>+'[3]Total P&amp;C'!$N$61/1000</f>
        <v>2.2758492799999992</v>
      </c>
      <c r="BN196" s="123">
        <f>+'[3]Total P&amp;C'!$N$62/1000</f>
        <v>2.0662056399999993</v>
      </c>
      <c r="BO196" s="123">
        <f>+'[3]Total P&amp;C'!$N$63/1000</f>
        <v>1.2765869121490518</v>
      </c>
    </row>
    <row r="197" spans="1:67" ht="16.5" hidden="1" customHeight="1" outlineLevel="1" x14ac:dyDescent="0.3">
      <c r="A197" s="214"/>
      <c r="B197" s="115"/>
      <c r="C197" s="116" t="s">
        <v>21</v>
      </c>
      <c r="D197" s="117"/>
      <c r="E197" s="126">
        <f>+E198+E203+E204+E205+E206</f>
        <v>0.14705584721861981</v>
      </c>
      <c r="F197" s="127">
        <f>+F198+F203+F204+F205+F206</f>
        <v>0.32037900240868272</v>
      </c>
      <c r="G197" s="127" t="e">
        <f>+G198+G203+G204+G205+G206</f>
        <v>#DIV/0!</v>
      </c>
      <c r="H197" s="117"/>
      <c r="I197" s="126">
        <f>+I198+I203+I204+I205+I206</f>
        <v>0.72930687798185789</v>
      </c>
      <c r="J197" s="127">
        <f>+J198+J203+J204+J205+J206</f>
        <v>0.52733050742554344</v>
      </c>
      <c r="K197" s="127">
        <f>+K198+K203+K204+K205+K206</f>
        <v>0.86162394146728793</v>
      </c>
      <c r="L197" s="117"/>
      <c r="M197" s="126">
        <f>+M198+M203+M204+M205+M206</f>
        <v>0.33306148400425761</v>
      </c>
      <c r="N197" s="127">
        <f>+N198+N203+N204+N205+N206</f>
        <v>0.1740580400163764</v>
      </c>
      <c r="O197" s="127">
        <f>+O198+O203+O204+O205+O206</f>
        <v>0.39592926841002457</v>
      </c>
      <c r="P197" s="117"/>
      <c r="Q197" s="126">
        <f>+Q198+Q203+Q204+Q205+Q206</f>
        <v>0.50765076001632381</v>
      </c>
      <c r="R197" s="127">
        <f>+R198+R203+R204+R205+R206</f>
        <v>0.51020101291824949</v>
      </c>
      <c r="S197" s="127">
        <f>+S198+S203+S204+S205+S206</f>
        <v>0.87238577523802152</v>
      </c>
      <c r="T197" s="117"/>
      <c r="U197" s="126" t="e">
        <f>+U198+U203+U204+U205+U206</f>
        <v>#DIV/0!</v>
      </c>
      <c r="V197" s="127" t="e">
        <f>+V198+V203+V204+V205+V206</f>
        <v>#DIV/0!</v>
      </c>
      <c r="W197" s="127" t="e">
        <f>+W198+W203+W204+W205+W206</f>
        <v>#DIV/0!</v>
      </c>
      <c r="X197" s="117"/>
      <c r="Y197" s="126" t="e">
        <f>+Y198+Y203+Y204+Y205+Y206</f>
        <v>#DIV/0!</v>
      </c>
      <c r="Z197" s="127" t="e">
        <f>+Z198+Z203+Z204+Z205+Z206</f>
        <v>#DIV/0!</v>
      </c>
      <c r="AA197" s="127" t="e">
        <f>+AA198+AA203+AA204+AA205+AA206</f>
        <v>#DIV/0!</v>
      </c>
      <c r="AB197" s="117"/>
      <c r="AC197" s="132">
        <f>+AC198+AC203+AC204+AC205+AC206</f>
        <v>0.45524620154107953</v>
      </c>
      <c r="AD197" s="130">
        <f>+AD198+AD203+AD204+AD205+AD206</f>
        <v>0.38608796460356187</v>
      </c>
      <c r="AE197" s="130">
        <f>+AE198+AE203+AE204+AE205+AE206</f>
        <v>0.55770952510221794</v>
      </c>
      <c r="AG197" s="212"/>
      <c r="AH197" s="115"/>
      <c r="AI197" s="116" t="s">
        <v>21</v>
      </c>
      <c r="AJ197" s="117"/>
      <c r="AK197" s="131"/>
      <c r="AL197" s="127"/>
      <c r="AM197" s="127"/>
      <c r="AN197" s="117"/>
      <c r="AO197" s="131"/>
      <c r="AP197" s="127"/>
      <c r="AQ197" s="127"/>
      <c r="AR197" s="117"/>
      <c r="AS197" s="131"/>
      <c r="AT197" s="127"/>
      <c r="AU197" s="127"/>
      <c r="AV197" s="117"/>
      <c r="AW197" s="131"/>
      <c r="AX197" s="127"/>
      <c r="AY197" s="127"/>
      <c r="AZ197" s="117"/>
      <c r="BA197" s="131"/>
      <c r="BB197" s="127"/>
      <c r="BC197" s="127"/>
      <c r="BD197" s="117"/>
      <c r="BE197" s="131"/>
      <c r="BF197" s="127"/>
      <c r="BG197" s="127"/>
      <c r="BH197" s="117"/>
      <c r="BI197" s="133"/>
      <c r="BJ197" s="130"/>
      <c r="BK197" s="130"/>
      <c r="BM197" s="132">
        <f>+BM198+BM203+BM204+BM205+BM206</f>
        <v>0.4555469244430812</v>
      </c>
      <c r="BN197" s="130">
        <f>+BN198+BN203+BN204+BN205+BN206</f>
        <v>0.39312728330370833</v>
      </c>
      <c r="BO197" s="130">
        <f>+BO198+BO203+BO204+BO205+BO206</f>
        <v>0.55770952510221794</v>
      </c>
    </row>
    <row r="198" spans="1:67" ht="16.5" hidden="1" customHeight="1" outlineLevel="1" x14ac:dyDescent="0.3">
      <c r="A198" s="214"/>
      <c r="B198" s="115"/>
      <c r="C198" s="116" t="s">
        <v>56</v>
      </c>
      <c r="D198" s="117"/>
      <c r="E198" s="126">
        <f>+E199+E200+E201+E202</f>
        <v>8.5447685251436117E-2</v>
      </c>
      <c r="F198" s="127">
        <f>+F199+F200+F201+F202</f>
        <v>3.8008585138967099E-2</v>
      </c>
      <c r="G198" s="127" t="e">
        <f>+G199+G200+G201+G202</f>
        <v>#DIV/0!</v>
      </c>
      <c r="H198" s="117"/>
      <c r="I198" s="126">
        <f>+I199+I200+I201+I202</f>
        <v>0.31588474987021647</v>
      </c>
      <c r="J198" s="127">
        <f>+J199+J200+J201+J202</f>
        <v>0.55587063138545934</v>
      </c>
      <c r="K198" s="127">
        <f>+K199+K200+K201+K202</f>
        <v>0.36985942942499977</v>
      </c>
      <c r="L198" s="117"/>
      <c r="M198" s="126">
        <f>+M199+M200+M201+M202</f>
        <v>4.5452317590909702E-2</v>
      </c>
      <c r="N198" s="127">
        <f>+N199+N200+N201+N202</f>
        <v>8.3787818824201582E-2</v>
      </c>
      <c r="O198" s="127">
        <f>+O199+O200+O201+O202</f>
        <v>9.1185593524651692E-2</v>
      </c>
      <c r="P198" s="117"/>
      <c r="Q198" s="131">
        <f>+Q199+Q200+Q201+Q202</f>
        <v>0.54813226330855847</v>
      </c>
      <c r="R198" s="127">
        <f>+R199+R200+R201+R202</f>
        <v>0.58009144817584024</v>
      </c>
      <c r="S198" s="127">
        <f>+S199+S200+S201+S202</f>
        <v>0.54494291878340873</v>
      </c>
      <c r="T198" s="117"/>
      <c r="U198" s="128" t="e">
        <f>+U199+U200+U201+U202</f>
        <v>#DIV/0!</v>
      </c>
      <c r="V198" s="127" t="e">
        <f>+V199+V200+V201+V202</f>
        <v>#DIV/0!</v>
      </c>
      <c r="W198" s="127" t="e">
        <f>+W199+W200+W201+W202</f>
        <v>#DIV/0!</v>
      </c>
      <c r="X198" s="117"/>
      <c r="Y198" s="128" t="e">
        <f>+Y199+Y200+Y201+Y202</f>
        <v>#DIV/0!</v>
      </c>
      <c r="Z198" s="127" t="e">
        <f>+Z199+Z200+Z201+Z202</f>
        <v>#DIV/0!</v>
      </c>
      <c r="AA198" s="127" t="e">
        <f>+AA199+AA200+AA201+AA202</f>
        <v>#DIV/0!</v>
      </c>
      <c r="AB198" s="117"/>
      <c r="AC198" s="129">
        <f>+AC199+AC200+AC201+AC202</f>
        <v>0.3252391168891467</v>
      </c>
      <c r="AD198" s="130">
        <f>+AD199+AD200+AD201+AD202</f>
        <v>0.37389322003786624</v>
      </c>
      <c r="AE198" s="130">
        <f>+AE199+AE200+AE201+AE202</f>
        <v>0.2146540021871633</v>
      </c>
      <c r="AG198" s="212"/>
      <c r="AH198" s="115"/>
      <c r="AI198" s="116" t="s">
        <v>56</v>
      </c>
      <c r="AJ198" s="117"/>
      <c r="AK198" s="131"/>
      <c r="AL198" s="127"/>
      <c r="AM198" s="127"/>
      <c r="AN198" s="117"/>
      <c r="AO198" s="131"/>
      <c r="AP198" s="127"/>
      <c r="AQ198" s="127"/>
      <c r="AR198" s="117"/>
      <c r="AS198" s="131"/>
      <c r="AT198" s="127"/>
      <c r="AU198" s="127"/>
      <c r="AV198" s="117"/>
      <c r="AW198" s="131"/>
      <c r="AX198" s="127"/>
      <c r="AY198" s="127"/>
      <c r="AZ198" s="117"/>
      <c r="BA198" s="131"/>
      <c r="BB198" s="127"/>
      <c r="BC198" s="127"/>
      <c r="BD198" s="117"/>
      <c r="BE198" s="131"/>
      <c r="BF198" s="127"/>
      <c r="BG198" s="127"/>
      <c r="BH198" s="117"/>
      <c r="BI198" s="133"/>
      <c r="BJ198" s="130"/>
      <c r="BK198" s="130"/>
      <c r="BM198" s="129">
        <f>+BM199+BM200+BM201+BM202</f>
        <v>0.3252391168891467</v>
      </c>
      <c r="BN198" s="130">
        <f>+BN199+BN200+BN201+BN202</f>
        <v>0.37389322003786624</v>
      </c>
      <c r="BO198" s="130">
        <f>+BO199+BO200+BO201+BO202</f>
        <v>0.2146540021871633</v>
      </c>
    </row>
    <row r="199" spans="1:67" ht="16.5" hidden="1" customHeight="1" outlineLevel="1" x14ac:dyDescent="0.3">
      <c r="A199" s="214"/>
      <c r="B199" s="115"/>
      <c r="C199" s="38" t="s">
        <v>23</v>
      </c>
      <c r="D199" s="117"/>
      <c r="E199" s="74">
        <f>-SUM([1]Retail!$O$61,[1]Retail!$R$61:$V$61,[1]Retail!$Y$61,[1]Retail!$AB$61,[1]Retail!$AU$61,[1]Retail!$AX$61,[1]Retail!$BA$61,[1]Retail!$BD$61)/1000/E196</f>
        <v>8.5447685251436117E-2</v>
      </c>
      <c r="F199" s="42">
        <f>-SUM([1]Retail!$O$62,[1]Retail!$R$62:$V$62,[1]Retail!$Y$62,[1]Retail!$AB$62,[1]Retail!$AU$62,[1]Retail!$AX$62,[1]Retail!$BA$62,[1]Retail!$BD$62)/1000/F196</f>
        <v>3.8008585138967099E-2</v>
      </c>
      <c r="G199" s="42" t="e">
        <f>-SUM([1]Retail!$O$63,[1]Retail!$R$63:$V$63,[1]Retail!$Y$63,[1]Retail!$AB$63,[1]Retail!$AU$63,[1]Retail!$AX$63,[1]Retail!$BA$63,[1]Retail!$BD$63)/1000/G196</f>
        <v>#DIV/0!</v>
      </c>
      <c r="H199" s="117"/>
      <c r="I199" s="74">
        <f>-SUM([1]SME!$O$61,[1]SME!$R$61:$V$61,[1]SME!$Y$61,[1]SME!$AB$61,[1]SME!$AU$61,[1]SME!$AX$61,[1]SME!$BA$61,[1]SME!$BD$61)/1000/I196</f>
        <v>0.31588474987021647</v>
      </c>
      <c r="J199" s="42">
        <f>-SUM([1]SME!$O$62,[1]SME!$R$62:$V$62,[1]SME!$Y$62,[1]SME!$AB$62,[1]SME!$AU$62,[1]SME!$AX$62,[1]SME!$BA$62,[1]SME!$BD$62)/1000/J196</f>
        <v>0.55587063138545934</v>
      </c>
      <c r="K199" s="42">
        <f>-SUM([1]SME!$O$63,[1]SME!$R$63:$V$63,[1]SME!$Y$63,[1]SME!$AB$63,[1]SME!$AU$63,[1]SME!$AX$63,[1]SME!$BA$63,[1]SME!$BD$63)/1000/K196</f>
        <v>0.36985942942499977</v>
      </c>
      <c r="L199" s="117"/>
      <c r="M199" s="74">
        <f>-SUM([1]MidCorp!$O$61,[1]MidCorp!$R$61:$V$61,[1]MidCorp!$Y$61,[1]MidCorp!$AB$61,[1]MidCorp!$AU$61,[1]MidCorp!$AX$61,[1]MidCorp!$BA$61,[1]MidCorp!$BD$61)/1000/M196</f>
        <v>4.5452317590909702E-2</v>
      </c>
      <c r="N199" s="42">
        <f>-SUM([1]MidCorp!$O$62,[1]MidCorp!$R$62:$V$62,[1]MidCorp!$Y$62,[1]MidCorp!$AB$62,[1]MidCorp!$AU$62,[1]MidCorp!$AX$62,[1]MidCorp!$BA$62,[1]MidCorp!$BD$62)/1000/N196</f>
        <v>8.3787818824201582E-2</v>
      </c>
      <c r="O199" s="42">
        <f>-SUM([1]MidCorp!$O$63,[1]MidCorp!$R$63:$V$63,[1]MidCorp!$Y$63,[1]MidCorp!$AB$63,[1]MidCorp!$AU$63,[1]MidCorp!$AX$63,[1]MidCorp!$BA$63,[1]MidCorp!$BD$63)/1000/O196</f>
        <v>9.1185593524651692E-2</v>
      </c>
      <c r="P199" s="117"/>
      <c r="Q199" s="97">
        <f>-SUM([1]MGA!$O$61,[1]MGA!$R$61:$V$61,[1]MGA!$Y$61,[1]MGA!$AB$61,[1]MGA!$AU$61,[1]MGA!$AX$61,[1]MGA!$BA$61,[1]MGA!$BD$61)/1000/Q196</f>
        <v>0.54813226330855847</v>
      </c>
      <c r="R199" s="42">
        <f>-SUM([1]MGA!$O$62,[1]MGA!$R$62:$V$62,[1]MGA!$Y$62,[1]MGA!$AB$62,[1]MGA!$AU$62,[1]MGA!$AX$62,[1]MGA!$BA$62,[1]MGA!$BD$62)/1000/R196</f>
        <v>0.58009144817584024</v>
      </c>
      <c r="S199" s="42">
        <f>-SUM([1]MGA!$O$63,[1]MGA!$R$63:$V$63,[1]MGA!$Y$63,[1]MGA!$AB$63,[1]MGA!$AU$63,[1]MGA!$AX$63,[1]MGA!$BA$63,[1]MGA!$BD$63)/1000/S196</f>
        <v>0.54494291878340873</v>
      </c>
      <c r="T199" s="117"/>
      <c r="U199" s="73" t="e">
        <f>-SUM([1]Bancassurance!$O$61,[1]Bancassurance!$R$61:$V$61,[1]Bancassurance!$Y$61,[1]Bancassurance!$AB$61,[1]Bancassurance!$AU$61,[1]Bancassurance!$AX$61,[1]Bancassurance!$BA$61,[1]Bancassurance!$BD$61)/1000/U196</f>
        <v>#DIV/0!</v>
      </c>
      <c r="V199" s="42" t="e">
        <f>-SUM([1]Bancassurance!$O$62,[1]Bancassurance!$R$62:$V$62,[1]Bancassurance!$Y$62,[1]Bancassurance!$AB$62,[1]Bancassurance!$AU$62,[1]Bancassurance!$AX$62,[1]Bancassurance!$BA$62,[1]Bancassurance!$BD$62)/1000/V196</f>
        <v>#DIV/0!</v>
      </c>
      <c r="W199" s="42" t="e">
        <f>-SUM([1]Bancassurance!$O$63,[1]Bancassurance!$R$63:$V$63,[1]Bancassurance!$Y$63,[1]Bancassurance!$AB$63,[1]Bancassurance!$AU$63,[1]Bancassurance!$AX$63,[1]Bancassurance!$BA$63,[1]Bancassurance!$BD$63)/1000/W196</f>
        <v>#DIV/0!</v>
      </c>
      <c r="X199" s="117"/>
      <c r="Y199" s="73" t="e">
        <f>-SUM([1]Specials!$O$61,[1]Specials!$R$61:$V$61,[1]Specials!$Y$61,[1]Specials!$AB$61,[1]Specials!$AU$61,[1]Specials!$AX$61,[1]Specials!$BA$61,[1]Specials!$BD$61)/1000/Y196</f>
        <v>#DIV/0!</v>
      </c>
      <c r="Z199" s="42" t="e">
        <f>-SUM([1]Specials!$O$62,[1]Specials!$R$62:$V$62,[1]Specials!$Y$62,[1]Specials!$AB$62,[1]Specials!$AU$62,[1]Specials!$AX$62,[1]Specials!$BA$62,[1]Specials!$BD$62)/1000/Z196</f>
        <v>#DIV/0!</v>
      </c>
      <c r="AA199" s="42" t="e">
        <f>-SUM([1]Specials!$O$63,[1]Specials!$R$63:$V$63,[1]Specials!$Y$63,[1]Specials!$AB$63,[1]Specials!$AU$63,[1]Specials!$AX$63,[1]Specials!$BA$63,[1]Specials!$BD$63)/1000/AA196</f>
        <v>#DIV/0!</v>
      </c>
      <c r="AB199" s="117"/>
      <c r="AC199" s="84">
        <f>-SUM('[1]Total P&amp;C'!$O$61,'[1]Total P&amp;C'!$R$61:$V$61,'[1]Total P&amp;C'!$Y$61,'[1]Total P&amp;C'!$AB$61,'[1]Total P&amp;C'!$AU$61,'[1]Total P&amp;C'!$AX$61,'[1]Total P&amp;C'!$BA$61,'[1]Total P&amp;C'!$BD$61)/1000/AC196</f>
        <v>0.3252391168891467</v>
      </c>
      <c r="AD199" s="60">
        <f>-SUM('[1]Total P&amp;C'!$O$62,'[1]Total P&amp;C'!$R$62:$V$62,'[1]Total P&amp;C'!$Y$62,'[1]Total P&amp;C'!$AB$62,'[1]Total P&amp;C'!$AU$62,'[1]Total P&amp;C'!$AX$62,'[1]Total P&amp;C'!$BA$62,'[1]Total P&amp;C'!$BD$62)/1000/AD196</f>
        <v>0.37389322003786624</v>
      </c>
      <c r="AE199" s="60">
        <f>-SUM('[1]Total P&amp;C'!$O$63,'[1]Total P&amp;C'!$R$63:$V$63,'[1]Total P&amp;C'!$Y$63,'[1]Total P&amp;C'!$AB$63,'[1]Total P&amp;C'!$AU$63,'[1]Total P&amp;C'!$AX$63,'[1]Total P&amp;C'!$BA$63,'[1]Total P&amp;C'!$BD$63)/1000/AE196</f>
        <v>0.2146540021871633</v>
      </c>
      <c r="AG199" s="212"/>
      <c r="AH199" s="115"/>
      <c r="AI199" s="38" t="s">
        <v>23</v>
      </c>
      <c r="AJ199" s="117"/>
      <c r="AK199" s="97"/>
      <c r="AL199" s="42"/>
      <c r="AM199" s="42"/>
      <c r="AN199" s="117"/>
      <c r="AO199" s="97"/>
      <c r="AP199" s="42"/>
      <c r="AQ199" s="42"/>
      <c r="AR199" s="117"/>
      <c r="AS199" s="97"/>
      <c r="AT199" s="42"/>
      <c r="AU199" s="42"/>
      <c r="AV199" s="117"/>
      <c r="AW199" s="97"/>
      <c r="AX199" s="42"/>
      <c r="AY199" s="42"/>
      <c r="AZ199" s="117"/>
      <c r="BA199" s="97"/>
      <c r="BB199" s="42"/>
      <c r="BC199" s="42"/>
      <c r="BD199" s="117"/>
      <c r="BE199" s="97"/>
      <c r="BF199" s="42"/>
      <c r="BG199" s="42"/>
      <c r="BH199" s="117"/>
      <c r="BI199" s="99"/>
      <c r="BJ199" s="60"/>
      <c r="BK199" s="60"/>
      <c r="BM199" s="84">
        <f>-SUM('[3]Total P&amp;C'!$O$61,'[3]Total P&amp;C'!$R$61:$V$61,'[3]Total P&amp;C'!$Y$61,'[3]Total P&amp;C'!$AB$61,'[3]Total P&amp;C'!$AU$61,'[3]Total P&amp;C'!$AX$61,'[3]Total P&amp;C'!$BA$61,'[3]Total P&amp;C'!$BD$61)/1000/BM196</f>
        <v>0.3252391168891467</v>
      </c>
      <c r="BN199" s="60">
        <f>-SUM('[3]Total P&amp;C'!$O$62,'[3]Total P&amp;C'!$R$62:$V$62,'[3]Total P&amp;C'!$Y$62,'[3]Total P&amp;C'!$AB$62,'[3]Total P&amp;C'!$AU$62,'[3]Total P&amp;C'!$AX$62,'[3]Total P&amp;C'!$BA$62,'[3]Total P&amp;C'!$BD$62)/1000/BN196</f>
        <v>0.37389322003786624</v>
      </c>
      <c r="BO199" s="60">
        <f>-SUM('[3]Total P&amp;C'!$O$63,'[3]Total P&amp;C'!$R$63:$V$63,'[3]Total P&amp;C'!$Y$63,'[3]Total P&amp;C'!$AB$63,'[3]Total P&amp;C'!$AU$63,'[3]Total P&amp;C'!$AX$63,'[3]Total P&amp;C'!$BA$63,'[3]Total P&amp;C'!$BD$63)/1000/BO196</f>
        <v>0.2146540021871633</v>
      </c>
    </row>
    <row r="200" spans="1:67" ht="16.5" hidden="1" customHeight="1" outlineLevel="1" x14ac:dyDescent="0.3">
      <c r="A200" s="214"/>
      <c r="B200" s="115"/>
      <c r="C200" s="38" t="s">
        <v>24</v>
      </c>
      <c r="D200" s="134"/>
      <c r="E200" s="97">
        <f>-([1]Retail!$P$61+[1]Retail!$W$61+[1]Retail!$AV$61+[1]Retail!$AY$61)/1000/E196</f>
        <v>0</v>
      </c>
      <c r="F200" s="42">
        <f>-([1]Retail!$P$62+[1]Retail!$W$62+[1]Retail!$AV$62+[1]Retail!$AY$62)/1000/F196</f>
        <v>0</v>
      </c>
      <c r="G200" s="42" t="e">
        <f>-([1]Retail!$P$63+[1]Retail!$W$63+[1]Retail!$AV$63+[1]Retail!$AY$63)/1000/G196</f>
        <v>#DIV/0!</v>
      </c>
      <c r="H200" s="134"/>
      <c r="I200" s="97">
        <f>-([1]SME!$P$61+[1]SME!$W$61+[1]SME!$AV$61+[1]SME!$AY$61)/1000/I196</f>
        <v>0</v>
      </c>
      <c r="J200" s="42">
        <f>-([1]SME!$P$62+[1]SME!$W$62+[1]SME!$AV$62+[1]SME!$AY$62)/1000/J196</f>
        <v>0</v>
      </c>
      <c r="K200" s="42">
        <f>-([1]SME!$P$63+[1]SME!$W$63+[1]SME!$AV$63+[1]SME!$AY$63)/1000/K196</f>
        <v>0</v>
      </c>
      <c r="L200" s="134"/>
      <c r="M200" s="97">
        <f>-([1]MidCorp!$P$61+[1]MidCorp!$W$61+[1]MidCorp!$AV$61+[1]MidCorp!$AY$61)/1000/M196</f>
        <v>0</v>
      </c>
      <c r="N200" s="42">
        <f>-([1]MidCorp!$P$62+[1]MidCorp!$W$62+[1]MidCorp!$AV$62+[1]MidCorp!$AY$62)/1000/N196</f>
        <v>0</v>
      </c>
      <c r="O200" s="42">
        <f>-([1]MidCorp!$P$63+[1]MidCorp!$W$63+[1]MidCorp!$AV$63+[1]MidCorp!$AY$63)/1000/O196</f>
        <v>0</v>
      </c>
      <c r="P200" s="134"/>
      <c r="Q200" s="97">
        <f>-([1]MGA!$P$61+[1]MGA!$W$61+[1]MGA!$AV$61+[1]MGA!$AY$61)/1000/Q196</f>
        <v>0</v>
      </c>
      <c r="R200" s="42">
        <f>-([1]MGA!$P$62+[1]MGA!$W$62+[1]MGA!$AV$62+[1]MGA!$AY$62)/1000/R196</f>
        <v>0</v>
      </c>
      <c r="S200" s="42">
        <f>-([1]MGA!$P$63+[1]MGA!$W$63+[1]MGA!$AV$63+[1]MGA!$AY$63)/1000/S196</f>
        <v>0</v>
      </c>
      <c r="T200" s="134"/>
      <c r="U200" s="74" t="e">
        <f>-([1]Bancassurance!$P$61+[1]Bancassurance!$W$61+[1]Bancassurance!$AV$61+[1]Bancassurance!$AY$61)/1000/U196</f>
        <v>#DIV/0!</v>
      </c>
      <c r="V200" s="42" t="e">
        <f>-([1]Bancassurance!$P$62+[1]Bancassurance!$W$62+[1]Bancassurance!$AV$62+[1]Bancassurance!$AY$62)/1000/V196</f>
        <v>#DIV/0!</v>
      </c>
      <c r="W200" s="42" t="e">
        <f>-([1]Bancassurance!$P$63+[1]Bancassurance!$W$63+[1]Bancassurance!$AV$63+[1]Bancassurance!$AY$63)/1000/W196</f>
        <v>#DIV/0!</v>
      </c>
      <c r="X200" s="134"/>
      <c r="Y200" s="74" t="e">
        <f>-([1]Specials!$P$61+[1]Specials!$W$61+[1]Specials!$AV$61+[1]Specials!$AY$61)/1000/Y196</f>
        <v>#DIV/0!</v>
      </c>
      <c r="Z200" s="42" t="e">
        <f>-([1]Specials!$P$62+[1]Specials!$W$62+[1]Specials!$AV$62+[1]Specials!$AY$62)/1000/Z196</f>
        <v>#DIV/0!</v>
      </c>
      <c r="AA200" s="42" t="e">
        <f>-([1]Specials!$P$63+[1]Specials!$W$63+[1]Specials!$AV$63+[1]Specials!$AY$63)/1000/AA196</f>
        <v>#DIV/0!</v>
      </c>
      <c r="AB200" s="134"/>
      <c r="AC200" s="99">
        <f>-('[1]Total P&amp;C'!$P$61+'[1]Total P&amp;C'!$W$61+'[1]Total P&amp;C'!$AV$61+'[1]Total P&amp;C'!$AY$61)/1000/AC196</f>
        <v>0</v>
      </c>
      <c r="AD200" s="60">
        <f>-('[1]Total P&amp;C'!$P$62+'[1]Total P&amp;C'!$W$62+'[1]Total P&amp;C'!$AV$62+'[1]Total P&amp;C'!$AY$62)/1000/AD196</f>
        <v>0</v>
      </c>
      <c r="AE200" s="60">
        <f>-('[1]Total P&amp;C'!$P$63+'[1]Total P&amp;C'!$W$63+'[1]Total P&amp;C'!$AV$63+'[1]Total P&amp;C'!$AY$63)/1000/AE196</f>
        <v>0</v>
      </c>
      <c r="AG200" s="212"/>
      <c r="AH200" s="115"/>
      <c r="AI200" s="38" t="s">
        <v>24</v>
      </c>
      <c r="AJ200" s="134"/>
      <c r="AK200" s="97"/>
      <c r="AL200" s="42"/>
      <c r="AM200" s="42"/>
      <c r="AN200" s="134"/>
      <c r="AO200" s="97"/>
      <c r="AP200" s="42"/>
      <c r="AQ200" s="42"/>
      <c r="AR200" s="134"/>
      <c r="AS200" s="97"/>
      <c r="AT200" s="42"/>
      <c r="AU200" s="42"/>
      <c r="AV200" s="134"/>
      <c r="AW200" s="97"/>
      <c r="AX200" s="42"/>
      <c r="AY200" s="42"/>
      <c r="AZ200" s="134"/>
      <c r="BA200" s="97"/>
      <c r="BB200" s="42"/>
      <c r="BC200" s="42"/>
      <c r="BD200" s="134"/>
      <c r="BE200" s="97"/>
      <c r="BF200" s="42"/>
      <c r="BG200" s="42"/>
      <c r="BH200" s="134"/>
      <c r="BI200" s="99"/>
      <c r="BJ200" s="60"/>
      <c r="BK200" s="60"/>
      <c r="BM200" s="99">
        <f>-('[3]Total P&amp;C'!$P$61+'[3]Total P&amp;C'!$W$61+'[3]Total P&amp;C'!$AV$61+'[3]Total P&amp;C'!$AY$61)/1000/BM196</f>
        <v>0</v>
      </c>
      <c r="BN200" s="60">
        <f>-('[3]Total P&amp;C'!$P$62+'[3]Total P&amp;C'!$W$62+'[3]Total P&amp;C'!$AV$62+'[3]Total P&amp;C'!$AY$62)/1000/BN196</f>
        <v>0</v>
      </c>
      <c r="BO200" s="60">
        <f>-('[3]Total P&amp;C'!$P$63+'[3]Total P&amp;C'!$W$63+'[3]Total P&amp;C'!$AV$63+'[3]Total P&amp;C'!$AY$63)/1000/BO196</f>
        <v>0</v>
      </c>
    </row>
    <row r="201" spans="1:67" ht="16.5" hidden="1" customHeight="1" outlineLevel="1" x14ac:dyDescent="0.3">
      <c r="A201" s="214"/>
      <c r="B201" s="115"/>
      <c r="C201" s="38" t="s">
        <v>25</v>
      </c>
      <c r="D201" s="134"/>
      <c r="E201" s="97">
        <f>-([1]Retail!$Q$61+[1]Retail!$X$61+[1]Retail!$AW$61+[1]Retail!$AZ$61)/1000/E196</f>
        <v>0</v>
      </c>
      <c r="F201" s="42">
        <f>-([1]Retail!$Q$62+[1]Retail!$X$62+[1]Retail!$AW$62+[1]Retail!$AZ$62)/1000/F196</f>
        <v>0</v>
      </c>
      <c r="G201" s="42" t="e">
        <f>-([1]Retail!$Q$63+[1]Retail!$X$63+[1]Retail!$AW$63+[1]Retail!$AZ$63)/1000/G196</f>
        <v>#DIV/0!</v>
      </c>
      <c r="H201" s="134"/>
      <c r="I201" s="97">
        <f>-([1]SME!$Q$61+[1]SME!$X$61+[1]SME!$AW$61+[1]SME!$AZ$61)/1000/I196</f>
        <v>0</v>
      </c>
      <c r="J201" s="42">
        <f>-([1]SME!$Q$62+[1]SME!$X$62+[1]SME!$AW$62+[1]SME!$AZ$62)/1000/J196</f>
        <v>0</v>
      </c>
      <c r="K201" s="42">
        <f>-([1]SME!$Q$63+[1]SME!$X$63+[1]SME!$AW$63+[1]SME!$AZ$63)/1000/K196</f>
        <v>0</v>
      </c>
      <c r="L201" s="134"/>
      <c r="M201" s="97">
        <f>-([1]MidCorp!$Q$61+[1]MidCorp!$X$61+[1]MidCorp!$AW$61+[1]MidCorp!$AZ$61)/1000/M196</f>
        <v>0</v>
      </c>
      <c r="N201" s="42">
        <f>-([1]MidCorp!$Q$62+[1]MidCorp!$X$62+[1]MidCorp!$AW$62+[1]MidCorp!$AZ$62)/1000/N196</f>
        <v>0</v>
      </c>
      <c r="O201" s="42">
        <f>-([1]MidCorp!$Q$63+[1]MidCorp!$X$63+[1]MidCorp!$AW$63+[1]MidCorp!$AZ$63)/1000/O196</f>
        <v>0</v>
      </c>
      <c r="P201" s="134"/>
      <c r="Q201" s="97">
        <f>-([1]MGA!$Q$61+[1]MGA!$X$61+[1]MGA!$AW$61+[1]MGA!$AZ$61)/1000/Q196</f>
        <v>0</v>
      </c>
      <c r="R201" s="42">
        <f>-([1]MGA!$Q$62+[1]MGA!$X$62+[1]MGA!$AW$62+[1]MGA!$AZ$62)/1000/R196</f>
        <v>0</v>
      </c>
      <c r="S201" s="42">
        <f>-([1]MGA!$Q$63+[1]MGA!$X$63+[1]MGA!$AW$63+[1]MGA!$AZ$63)/1000/S196</f>
        <v>0</v>
      </c>
      <c r="T201" s="134"/>
      <c r="U201" s="97" t="e">
        <f>-([1]Bancassurance!$Q$61+[1]Bancassurance!$X$61+[1]Bancassurance!$AW$61+[1]Bancassurance!$AZ$61)/1000/U196</f>
        <v>#DIV/0!</v>
      </c>
      <c r="V201" s="42" t="e">
        <f>-([1]Bancassurance!$Q$62+[1]Bancassurance!$X$62+[1]Bancassurance!$AW$62+[1]Bancassurance!$AZ$62)/1000/V196</f>
        <v>#DIV/0!</v>
      </c>
      <c r="W201" s="42" t="e">
        <f>-([1]Bancassurance!$Q$63+[1]Bancassurance!$X$63+[1]Bancassurance!$AW$63+[1]Bancassurance!$AZ$63)/1000/W196</f>
        <v>#DIV/0!</v>
      </c>
      <c r="X201" s="134"/>
      <c r="Y201" s="97" t="e">
        <f>-([1]Specials!$Q$61+[1]Specials!$X$61+[1]Specials!$AW$61+[1]Specials!$AZ$61)/1000/Y196</f>
        <v>#DIV/0!</v>
      </c>
      <c r="Z201" s="42" t="e">
        <f>-([1]Specials!$Q$62+[1]Specials!$X$62+[1]Specials!$AW$62+[1]Specials!$AZ$62)/1000/Z196</f>
        <v>#DIV/0!</v>
      </c>
      <c r="AA201" s="42" t="e">
        <f>-([1]Specials!$Q$63+[1]Specials!$X$63+[1]Specials!$AW$63+[1]Specials!$AZ$63)/1000/AA196</f>
        <v>#DIV/0!</v>
      </c>
      <c r="AB201" s="134"/>
      <c r="AC201" s="99">
        <f>-('[1]Total P&amp;C'!$Q$61+'[1]Total P&amp;C'!$X$61+'[1]Total P&amp;C'!$AW$61+'[1]Total P&amp;C'!$AZ$61)/1000/AC196</f>
        <v>0</v>
      </c>
      <c r="AD201" s="60">
        <f>-('[1]Total P&amp;C'!$Q$62+'[1]Total P&amp;C'!$X$62+'[1]Total P&amp;C'!$AW$62+'[1]Total P&amp;C'!$AZ$62)/1000/AD196</f>
        <v>0</v>
      </c>
      <c r="AE201" s="60">
        <f>-('[1]Total P&amp;C'!$Q$63+'[1]Total P&amp;C'!$X$63+'[1]Total P&amp;C'!$AW$63+'[1]Total P&amp;C'!$AZ$63)/1000/AE196</f>
        <v>0</v>
      </c>
      <c r="AG201" s="212"/>
      <c r="AH201" s="115"/>
      <c r="AI201" s="38" t="s">
        <v>25</v>
      </c>
      <c r="AJ201" s="134"/>
      <c r="AK201" s="97"/>
      <c r="AL201" s="42"/>
      <c r="AM201" s="42"/>
      <c r="AN201" s="134"/>
      <c r="AO201" s="97"/>
      <c r="AP201" s="42"/>
      <c r="AQ201" s="42"/>
      <c r="AR201" s="134"/>
      <c r="AS201" s="97"/>
      <c r="AT201" s="42"/>
      <c r="AU201" s="42"/>
      <c r="AV201" s="134"/>
      <c r="AW201" s="97"/>
      <c r="AX201" s="42"/>
      <c r="AY201" s="42"/>
      <c r="AZ201" s="134"/>
      <c r="BA201" s="97"/>
      <c r="BB201" s="42"/>
      <c r="BC201" s="42"/>
      <c r="BD201" s="134"/>
      <c r="BE201" s="97"/>
      <c r="BF201" s="42"/>
      <c r="BG201" s="42"/>
      <c r="BH201" s="134"/>
      <c r="BI201" s="99"/>
      <c r="BJ201" s="60"/>
      <c r="BK201" s="60"/>
      <c r="BM201" s="99">
        <f>-('[3]Total P&amp;C'!$Q$61+'[3]Total P&amp;C'!$X$61+'[3]Total P&amp;C'!$AW$61+'[3]Total P&amp;C'!$AZ$61)/1000/BM196</f>
        <v>0</v>
      </c>
      <c r="BN201" s="60">
        <f>-('[3]Total P&amp;C'!$Q$62+'[3]Total P&amp;C'!$X$62+'[3]Total P&amp;C'!$AW$62+'[3]Total P&amp;C'!$AZ$62)/1000/BN196</f>
        <v>0</v>
      </c>
      <c r="BO201" s="60">
        <f>-('[3]Total P&amp;C'!$Q$63+'[3]Total P&amp;C'!$X$63+'[3]Total P&amp;C'!$AW$63+'[3]Total P&amp;C'!$AZ$63)/1000/BO196</f>
        <v>0</v>
      </c>
    </row>
    <row r="202" spans="1:67" ht="16.5" hidden="1" customHeight="1" outlineLevel="1" x14ac:dyDescent="0.3">
      <c r="A202" s="214"/>
      <c r="B202" s="115"/>
      <c r="C202" s="38" t="s">
        <v>53</v>
      </c>
      <c r="D202" s="134"/>
      <c r="E202" s="97">
        <f>-[1]Retail!$AT$61/1000/E196</f>
        <v>0</v>
      </c>
      <c r="F202" s="42">
        <f>-[1]Retail!$AT$62/1000/F196</f>
        <v>0</v>
      </c>
      <c r="G202" s="42" t="e">
        <f>-[1]Retail!$AT$63/1000/G196</f>
        <v>#DIV/0!</v>
      </c>
      <c r="H202" s="134"/>
      <c r="I202" s="97">
        <f>-[1]SME!$AT$61/1000/I196</f>
        <v>0</v>
      </c>
      <c r="J202" s="42">
        <f>-[1]SME!$AT$62/1000/J196</f>
        <v>0</v>
      </c>
      <c r="K202" s="42">
        <f>-[1]SME!$AT$63/1000/K196</f>
        <v>0</v>
      </c>
      <c r="L202" s="134"/>
      <c r="M202" s="97">
        <f>-[1]MidCorp!$AT$61/1000/M196</f>
        <v>0</v>
      </c>
      <c r="N202" s="42">
        <f>-[1]MidCorp!$AT$62/1000/N196</f>
        <v>0</v>
      </c>
      <c r="O202" s="42">
        <f>-[1]MidCorp!$AT$63/1000/O196</f>
        <v>0</v>
      </c>
      <c r="P202" s="134"/>
      <c r="Q202" s="97">
        <f>-[1]MGA!$AT$61/1000/Q196</f>
        <v>0</v>
      </c>
      <c r="R202" s="42">
        <f>-[1]MGA!$AT$62/1000/R196</f>
        <v>0</v>
      </c>
      <c r="S202" s="42">
        <f>-[1]MGA!$AT$63/1000/S196</f>
        <v>0</v>
      </c>
      <c r="T202" s="134"/>
      <c r="U202" s="74" t="e">
        <f>-[1]Bancassurance!$AT$61/1000/U196</f>
        <v>#DIV/0!</v>
      </c>
      <c r="V202" s="42" t="e">
        <f>-[1]Bancassurance!$AT$62/1000/V196</f>
        <v>#DIV/0!</v>
      </c>
      <c r="W202" s="42" t="e">
        <f>-[1]Bancassurance!$AT$63/1000/W196</f>
        <v>#DIV/0!</v>
      </c>
      <c r="X202" s="134"/>
      <c r="Y202" s="74" t="e">
        <f>-[1]Specials!$AT$61/1000/Y196</f>
        <v>#DIV/0!</v>
      </c>
      <c r="Z202" s="42" t="e">
        <f>-[1]Specials!$AT$62/1000/Z196</f>
        <v>#DIV/0!</v>
      </c>
      <c r="AA202" s="42" t="e">
        <f>-[1]Specials!$AT$63/1000/AA196</f>
        <v>#DIV/0!</v>
      </c>
      <c r="AB202" s="134"/>
      <c r="AC202" s="99">
        <f>-'[1]Total P&amp;C'!$AT$61/1000/AC196</f>
        <v>0</v>
      </c>
      <c r="AD202" s="60">
        <f>-'[1]Total P&amp;C'!$AT$62/1000/AD196</f>
        <v>0</v>
      </c>
      <c r="AE202" s="60">
        <f>-'[1]Total P&amp;C'!$AT$63/1000/AE196</f>
        <v>0</v>
      </c>
      <c r="AG202" s="212"/>
      <c r="AH202" s="115"/>
      <c r="AI202" s="38" t="s">
        <v>53</v>
      </c>
      <c r="AJ202" s="134"/>
      <c r="AK202" s="97"/>
      <c r="AL202" s="42"/>
      <c r="AM202" s="42"/>
      <c r="AN202" s="134"/>
      <c r="AO202" s="97"/>
      <c r="AP202" s="42"/>
      <c r="AQ202" s="42"/>
      <c r="AR202" s="134"/>
      <c r="AS202" s="97"/>
      <c r="AT202" s="42"/>
      <c r="AU202" s="42"/>
      <c r="AV202" s="134"/>
      <c r="AW202" s="97"/>
      <c r="AX202" s="42"/>
      <c r="AY202" s="42"/>
      <c r="AZ202" s="134"/>
      <c r="BA202" s="97"/>
      <c r="BB202" s="42"/>
      <c r="BC202" s="42"/>
      <c r="BD202" s="134"/>
      <c r="BE202" s="97"/>
      <c r="BF202" s="42"/>
      <c r="BG202" s="42"/>
      <c r="BH202" s="134"/>
      <c r="BI202" s="99"/>
      <c r="BJ202" s="60"/>
      <c r="BK202" s="60"/>
      <c r="BM202" s="99">
        <f>-'[3]Total P&amp;C'!$AT$61/1000/BM196</f>
        <v>0</v>
      </c>
      <c r="BN202" s="60">
        <f>-'[3]Total P&amp;C'!$AT$62/1000/BN196</f>
        <v>0</v>
      </c>
      <c r="BO202" s="60">
        <f>-'[3]Total P&amp;C'!$AT$63/1000/BO196</f>
        <v>0</v>
      </c>
    </row>
    <row r="203" spans="1:67" ht="16.5" hidden="1" customHeight="1" outlineLevel="1" x14ac:dyDescent="0.3">
      <c r="A203" s="214"/>
      <c r="B203" s="115"/>
      <c r="C203" s="116" t="s">
        <v>27</v>
      </c>
      <c r="D203" s="134"/>
      <c r="E203" s="126">
        <f>-([1]Retail!$Z$61+[1]Retail!$AA$61+[1]Retail!$BB$61+[1]Retail!$BC$61)/1000/E196</f>
        <v>-1.643315302941288E-3</v>
      </c>
      <c r="F203" s="127">
        <f>-([1]Retail!$Z$62+[1]Retail!$AA$62+[1]Retail!$BB$62+[1]Retail!$BC$62)/1000/F196</f>
        <v>-1.0484839917525167E-3</v>
      </c>
      <c r="G203" s="127" t="e">
        <f>-([1]Retail!$Z$63+[1]Retail!$AA$63+[1]Retail!$BB$63+[1]Retail!$BC$63)/1000/G196</f>
        <v>#DIV/0!</v>
      </c>
      <c r="H203" s="134"/>
      <c r="I203" s="126">
        <f>-([1]SME!$Z$61+[1]SME!$AA$61+[1]SME!$BB$61+[1]SME!$BC$61)/1000/I196</f>
        <v>-4.6034046028264478E-3</v>
      </c>
      <c r="J203" s="127">
        <f>-([1]SME!$Z$62+[1]SME!$AA$62+[1]SME!$BB$62+[1]SME!$BC$62)/1000/J196</f>
        <v>-1.1278697716623752E-2</v>
      </c>
      <c r="K203" s="127">
        <f>-([1]SME!$Z$63+[1]SME!$AA$63+[1]SME!$BB$63+[1]SME!$BC$63)/1000/K196</f>
        <v>-4.7224201089781847E-3</v>
      </c>
      <c r="L203" s="134"/>
      <c r="M203" s="126">
        <f>-([1]MidCorp!$Z$61+[1]MidCorp!$AA$61+[1]MidCorp!$BB$61+[1]MidCorp!$BC$61)/1000/M196</f>
        <v>-8.6395717863893909E-4</v>
      </c>
      <c r="N203" s="127">
        <f>-([1]MidCorp!$Z$62+[1]MidCorp!$AA$62+[1]MidCorp!$BB$62+[1]MidCorp!$BC$62)/1000/N196</f>
        <v>-2.5928121458431764E-3</v>
      </c>
      <c r="O203" s="127">
        <f>-([1]MidCorp!$Z$63+[1]MidCorp!$AA$63+[1]MidCorp!$BB$63+[1]MidCorp!$BC$63)/1000/O196</f>
        <v>-1.3922810236527072E-3</v>
      </c>
      <c r="P203" s="134"/>
      <c r="Q203" s="126">
        <f>-([1]MGA!$Z$61+[1]MGA!$AA$61+[1]MGA!$BB$61+[1]MGA!$BC$61)/1000/Q196</f>
        <v>-1.626758162923686E-2</v>
      </c>
      <c r="R203" s="127">
        <f>-([1]MGA!$Z$62+[1]MGA!$AA$62+[1]MGA!$BB$62+[1]MGA!$BC$62)/1000/R196</f>
        <v>-1.9611752093042164E-2</v>
      </c>
      <c r="S203" s="127">
        <f>-([1]MGA!$Z$63+[1]MGA!$AA$63+[1]MGA!$BB$63+[1]MGA!$BC$63)/1000/S196</f>
        <v>-1.1909216415739287E-2</v>
      </c>
      <c r="T203" s="134"/>
      <c r="U203" s="128" t="e">
        <f>-([1]Bancassurance!$Z$61+[1]Bancassurance!$AA$61+[1]Bancassurance!$BB$61+[1]Bancassurance!$BC$61)/1000/U196</f>
        <v>#DIV/0!</v>
      </c>
      <c r="V203" s="127" t="e">
        <f>-([1]Bancassurance!$Z$62+[1]Bancassurance!$AA$62+[1]Bancassurance!$BB$62+[1]Bancassurance!$BC$62)/1000/V196</f>
        <v>#DIV/0!</v>
      </c>
      <c r="W203" s="127" t="e">
        <f>-([1]Bancassurance!$Z$63+[1]Bancassurance!$AA$63+[1]Bancassurance!$BB$63+[1]Bancassurance!$BC$63)/1000/W196</f>
        <v>#DIV/0!</v>
      </c>
      <c r="X203" s="134"/>
      <c r="Y203" s="128" t="e">
        <f>-([1]Specials!$Z$61+[1]Specials!$AA$61+[1]Specials!$BB$61+[1]Specials!$BC$61)/1000/Y196</f>
        <v>#DIV/0!</v>
      </c>
      <c r="Z203" s="127" t="e">
        <f>-([1]Specials!$Z$62+[1]Specials!$AA$62+[1]Specials!$BB$62+[1]Specials!$BC$62)/1000/Z196</f>
        <v>#DIV/0!</v>
      </c>
      <c r="AA203" s="127" t="e">
        <f>-([1]Specials!$Z$63+[1]Specials!$AA$63+[1]Specials!$BB$63+[1]Specials!$BC$63)/1000/AA196</f>
        <v>#DIV/0!</v>
      </c>
      <c r="AB203" s="134"/>
      <c r="AC203" s="132">
        <f>-('[1]Total P&amp;C'!$Z$61+'[1]Total P&amp;C'!$AA$61+'[1]Total P&amp;C'!$BB$61+'[1]Total P&amp;C'!$BC$61)/1000/AC196</f>
        <v>-8.9793468221234796E-3</v>
      </c>
      <c r="AD203" s="130">
        <f>-('[1]Total P&amp;C'!$Z$62+'[1]Total P&amp;C'!$AA$62+'[1]Total P&amp;C'!$BB$62+'[1]Total P&amp;C'!$BC$62)/1000/AD196</f>
        <v>-1.1704062524967265E-2</v>
      </c>
      <c r="AE203" s="130">
        <f>-('[1]Total P&amp;C'!$Z$63+'[1]Total P&amp;C'!$AA$63+'[1]Total P&amp;C'!$BB$63+'[1]Total P&amp;C'!$BC$63)/1000/AE196</f>
        <v>-3.7110166225905327E-3</v>
      </c>
      <c r="AG203" s="212"/>
      <c r="AH203" s="115"/>
      <c r="AI203" s="116" t="s">
        <v>27</v>
      </c>
      <c r="AJ203" s="134"/>
      <c r="AK203" s="131"/>
      <c r="AL203" s="127"/>
      <c r="AM203" s="127"/>
      <c r="AN203" s="134"/>
      <c r="AO203" s="131"/>
      <c r="AP203" s="127"/>
      <c r="AQ203" s="127"/>
      <c r="AR203" s="134"/>
      <c r="AS203" s="131"/>
      <c r="AT203" s="127"/>
      <c r="AU203" s="127"/>
      <c r="AV203" s="134"/>
      <c r="AW203" s="131"/>
      <c r="AX203" s="127"/>
      <c r="AY203" s="127"/>
      <c r="AZ203" s="134"/>
      <c r="BA203" s="131"/>
      <c r="BB203" s="127"/>
      <c r="BC203" s="127"/>
      <c r="BD203" s="134"/>
      <c r="BE203" s="131"/>
      <c r="BF203" s="127"/>
      <c r="BG203" s="127"/>
      <c r="BH203" s="134"/>
      <c r="BI203" s="133"/>
      <c r="BJ203" s="130"/>
      <c r="BK203" s="130"/>
      <c r="BM203" s="132">
        <f>-('[3]Total P&amp;C'!$Z$61+'[3]Total P&amp;C'!$AA$61+'[3]Total P&amp;C'!$BB$61+'[3]Total P&amp;C'!$BC$61)/1000/BM196</f>
        <v>-8.9793468221234796E-3</v>
      </c>
      <c r="BN203" s="130">
        <f>-('[3]Total P&amp;C'!$Z$62+'[3]Total P&amp;C'!$AA$62+'[3]Total P&amp;C'!$BB$62+'[3]Total P&amp;C'!$BC$62)/1000/BN196</f>
        <v>-1.1704062524967265E-2</v>
      </c>
      <c r="BO203" s="130">
        <f>-('[3]Total P&amp;C'!$Z$63+'[3]Total P&amp;C'!$AA$63+'[3]Total P&amp;C'!$BB$63+'[3]Total P&amp;C'!$BC$63)/1000/BO196</f>
        <v>-3.7110166225905327E-3</v>
      </c>
    </row>
    <row r="204" spans="1:67" ht="16.5" hidden="1" customHeight="1" outlineLevel="1" x14ac:dyDescent="0.3">
      <c r="A204" s="214"/>
      <c r="B204" s="115"/>
      <c r="C204" s="116" t="s">
        <v>57</v>
      </c>
      <c r="D204" s="134"/>
      <c r="E204" s="126">
        <f>-SUM([1]Retail!$AC$61:$AI$61,[1]Retail!$BE$61:$BG$61)/1000/E196</f>
        <v>-0.25312968156847382</v>
      </c>
      <c r="F204" s="127">
        <f>-SUM([1]Retail!$AC$62:$AI$62,[1]Retail!$BE$62:$BG$62)/1000/F196</f>
        <v>-0.31563113728328862</v>
      </c>
      <c r="G204" s="127" t="e">
        <f>-SUM([1]Retail!$AC$63:$AI$63,[1]Retail!$BE$63:$BG$63)/1000/G196</f>
        <v>#DIV/0!</v>
      </c>
      <c r="H204" s="134"/>
      <c r="I204" s="126">
        <f>-SUM([1]SME!$AC$61:$AI$61,[1]SME!$BE$61:$BG$61)/1000/I196</f>
        <v>-4.8448897834211975E-2</v>
      </c>
      <c r="J204" s="127">
        <f>-SUM([1]SME!$AC$62:$AI$62,[1]SME!$BE$62:$BG$62)/1000/J196</f>
        <v>-0.43806116773027187</v>
      </c>
      <c r="K204" s="127">
        <f>-SUM([1]SME!$AC$63:$AI$63,[1]SME!$BE$63:$BG$63)/1000/K196</f>
        <v>-2.5113847300836938E-3</v>
      </c>
      <c r="L204" s="134"/>
      <c r="M204" s="131">
        <f>-SUM([1]MidCorp!$AC$61:$AI$61,[1]MidCorp!$BE$61:$BG$61)/1000/M196</f>
        <v>2.2207847191469802E-3</v>
      </c>
      <c r="N204" s="127">
        <f>-SUM([1]MidCorp!$AC$62:$AI$62,[1]MidCorp!$BE$62:$BG$62)/1000/N196</f>
        <v>-0.15936220099972967</v>
      </c>
      <c r="O204" s="127">
        <f>-SUM([1]MidCorp!$AC$63:$AI$63,[1]MidCorp!$BE$63:$BG$63)/1000/O196</f>
        <v>-7.4041555494829686E-4</v>
      </c>
      <c r="P204" s="134"/>
      <c r="Q204" s="126">
        <f>-SUM([1]MGA!$AC$61:$AI$61,[1]MGA!$BE$61:$BG$61)/1000/Q196</f>
        <v>-0.36628353105172856</v>
      </c>
      <c r="R204" s="127">
        <f>-SUM([1]MGA!$AC$62:$AI$62,[1]MGA!$BE$62:$BG$62)/1000/R196</f>
        <v>-0.35042679491361151</v>
      </c>
      <c r="S204" s="127">
        <f>-SUM([1]MGA!$AC$63:$AI$63,[1]MGA!$BE$63:$BG$63)/1000/S196</f>
        <v>-5.6650274552817528E-2</v>
      </c>
      <c r="T204" s="134"/>
      <c r="U204" s="126" t="e">
        <f>-SUM([1]Bancassurance!$AC$61:$AI$61,[1]Bancassurance!$BE$61:$BG$61)/1000/U196</f>
        <v>#DIV/0!</v>
      </c>
      <c r="V204" s="127" t="e">
        <f>-SUM([1]Bancassurance!$AC$62:$AI$62,[1]Bancassurance!$BE$62:$BG$62)/1000/V196</f>
        <v>#DIV/0!</v>
      </c>
      <c r="W204" s="127" t="e">
        <f>-SUM([1]Bancassurance!$AC$63:$AI$63,[1]Bancassurance!$BE$63:$BG$63)/1000/W196</f>
        <v>#DIV/0!</v>
      </c>
      <c r="X204" s="134"/>
      <c r="Y204" s="126" t="e">
        <f>-SUM([1]Specials!$AC$61:$AI$61,[1]Specials!$BE$61:$BG$61)/1000/Y196</f>
        <v>#DIV/0!</v>
      </c>
      <c r="Z204" s="127" t="e">
        <f>-SUM([1]Specials!$AC$62:$AI$62,[1]Specials!$BE$62:$BG$62)/1000/Z196</f>
        <v>#DIV/0!</v>
      </c>
      <c r="AA204" s="127" t="e">
        <f>-SUM([1]Specials!$AC$63:$AI$63,[1]Specials!$BE$63:$BG$63)/1000/AA196</f>
        <v>#DIV/0!</v>
      </c>
      <c r="AB204" s="134"/>
      <c r="AC204" s="132">
        <f>-SUM('[1]Total P&amp;C'!$AC$61:$AI$61,'[1]Total P&amp;C'!$BE$61:$BG$61)/1000/AC196</f>
        <v>-0.19482708890107162</v>
      </c>
      <c r="AD204" s="130">
        <f>-SUM('[1]Total P&amp;C'!$AC$62:$AI$62,'[1]Total P&amp;C'!$BE$62:$BG$62)/1000/AD196</f>
        <v>-0.28595032777086044</v>
      </c>
      <c r="AE204" s="130">
        <f>-SUM('[1]Total P&amp;C'!$AC$63:$AI$63,'[1]Total P&amp;C'!$BE$63:$BG$63)/1000/AE196</f>
        <v>-1.0719610026210044E-2</v>
      </c>
      <c r="AG204" s="212"/>
      <c r="AH204" s="115"/>
      <c r="AI204" s="116" t="s">
        <v>57</v>
      </c>
      <c r="AJ204" s="134"/>
      <c r="AK204" s="131"/>
      <c r="AL204" s="127"/>
      <c r="AM204" s="127"/>
      <c r="AN204" s="134"/>
      <c r="AO204" s="131"/>
      <c r="AP204" s="127"/>
      <c r="AQ204" s="127"/>
      <c r="AR204" s="134"/>
      <c r="AS204" s="131"/>
      <c r="AT204" s="127"/>
      <c r="AU204" s="127"/>
      <c r="AV204" s="134"/>
      <c r="AW204" s="131"/>
      <c r="AX204" s="127"/>
      <c r="AY204" s="127"/>
      <c r="AZ204" s="134"/>
      <c r="BA204" s="131"/>
      <c r="BB204" s="127"/>
      <c r="BC204" s="127"/>
      <c r="BD204" s="134"/>
      <c r="BE204" s="131"/>
      <c r="BF204" s="127"/>
      <c r="BG204" s="127"/>
      <c r="BH204" s="134"/>
      <c r="BI204" s="133"/>
      <c r="BJ204" s="130"/>
      <c r="BK204" s="130"/>
      <c r="BM204" s="132">
        <f>-SUM('[3]Total P&amp;C'!$AC$61:$AI$61,'[3]Total P&amp;C'!$BE$61:$BG$61)/1000/BM196</f>
        <v>-0.19482708890107162</v>
      </c>
      <c r="BN204" s="130">
        <f>-SUM('[3]Total P&amp;C'!$AC$62:$AI$62,'[3]Total P&amp;C'!$BE$62:$BG$62)/1000/BN196</f>
        <v>-0.28595032777086044</v>
      </c>
      <c r="BO204" s="130">
        <f>-SUM('[3]Total P&amp;C'!$AC$63:$AI$63,'[3]Total P&amp;C'!$BE$63:$BG$63)/1000/BO196</f>
        <v>-1.0719610026210044E-2</v>
      </c>
    </row>
    <row r="205" spans="1:67" ht="16.5" hidden="1" customHeight="1" outlineLevel="1" x14ac:dyDescent="0.3">
      <c r="A205" s="214"/>
      <c r="B205" s="115"/>
      <c r="C205" s="116" t="s">
        <v>29</v>
      </c>
      <c r="D205" s="134"/>
      <c r="E205" s="126">
        <f>-SUM([1]Retail!$AJ$61:$AK$61,[1]Retail!$BH$61:$BI$61)/1000/E196</f>
        <v>1.446757445069463E-2</v>
      </c>
      <c r="F205" s="127">
        <f>-SUM([1]Retail!$AJ$62:$AK$62,[1]Retail!$BH$62:$BI$62)/1000/F196</f>
        <v>1.8709848632926949E-3</v>
      </c>
      <c r="G205" s="127" t="e">
        <f>-SUM([1]Retail!$AJ$63:$AK$63,[1]Retail!$BH$63:$BI$63)/1000/G196</f>
        <v>#DIV/0!</v>
      </c>
      <c r="H205" s="134"/>
      <c r="I205" s="128">
        <f>-SUM([1]SME!$AJ$61:$AK$61,[1]SME!$BH$61:$BI$61)/1000/I196</f>
        <v>4.5845760627489511E-2</v>
      </c>
      <c r="J205" s="127">
        <f>-SUM([1]SME!$AJ$62:$AK$62,[1]SME!$BH$62:$BI$62)/1000/J196</f>
        <v>1.003713721058317E-2</v>
      </c>
      <c r="K205" s="127">
        <f>-SUM([1]SME!$AJ$63:$AK$63,[1]SME!$BH$63:$BI$63)/1000/K196</f>
        <v>0</v>
      </c>
      <c r="L205" s="134"/>
      <c r="M205" s="128">
        <f>-SUM([1]MidCorp!$AJ$61:$AK$61,[1]MidCorp!$BH$61:$BI$61)/1000/M196</f>
        <v>5.3513696218958828E-4</v>
      </c>
      <c r="N205" s="127">
        <f>-SUM([1]MidCorp!$AJ$62:$AK$62,[1]MidCorp!$BH$62:$BI$62)/1000/N196</f>
        <v>-3.9205819507764144E-3</v>
      </c>
      <c r="O205" s="127">
        <f>-SUM([1]MidCorp!$AJ$63:$AK$63,[1]MidCorp!$BH$63:$BI$63)/1000/O196</f>
        <v>0</v>
      </c>
      <c r="P205" s="134"/>
      <c r="Q205" s="128">
        <f>-SUM([1]MGA!$AJ$61:$AK$61,[1]MGA!$BH$61:$BI$61)/1000/Q196</f>
        <v>5.0744872206763637E-2</v>
      </c>
      <c r="R205" s="127">
        <f>-SUM([1]MGA!$AJ$62:$AK$62,[1]MGA!$BH$62:$BI$62)/1000/R196</f>
        <v>-2.7889060842553985E-2</v>
      </c>
      <c r="S205" s="127">
        <f>-SUM([1]MGA!$AJ$63:$AK$63,[1]MGA!$BH$63:$BI$63)/1000/S196</f>
        <v>0</v>
      </c>
      <c r="T205" s="134"/>
      <c r="U205" s="128" t="e">
        <f>-SUM([1]Bancassurance!$AJ$61:$AK$61,[1]Bancassurance!$BH$61:$BI$61)/1000/U196</f>
        <v>#DIV/0!</v>
      </c>
      <c r="V205" s="127" t="e">
        <f>-SUM([1]Bancassurance!$AJ$62:$AK$62,[1]Bancassurance!$BH$62:$BI$62)/1000/V196</f>
        <v>#DIV/0!</v>
      </c>
      <c r="W205" s="127" t="e">
        <f>-SUM([1]Bancassurance!$AJ$63:$AK$63,[1]Bancassurance!$BH$63:$BI$63)/1000/W196</f>
        <v>#DIV/0!</v>
      </c>
      <c r="X205" s="134"/>
      <c r="Y205" s="128" t="e">
        <f>-SUM([1]Specials!$AJ$61:$AK$61,[1]Specials!$BH$61:$BI$61)/1000/Y196</f>
        <v>#DIV/0!</v>
      </c>
      <c r="Z205" s="127" t="e">
        <f>-SUM([1]Specials!$AJ$62:$AK$62,[1]Specials!$BH$62:$BI$62)/1000/Z196</f>
        <v>#DIV/0!</v>
      </c>
      <c r="AA205" s="127" t="e">
        <f>-SUM([1]Specials!$AJ$63:$AK$63,[1]Specials!$BH$63:$BI$63)/1000/AA196</f>
        <v>#DIV/0!</v>
      </c>
      <c r="AB205" s="134"/>
      <c r="AC205" s="129">
        <f>-SUM('[1]Total P&amp;C'!$AJ$61:$AK$61,'[1]Total P&amp;C'!$BH$61:$BI$61)/1000/AC196</f>
        <v>3.0316950514403147E-2</v>
      </c>
      <c r="AD205" s="130">
        <f>-SUM('[1]Total P&amp;C'!$AJ$62:$AK$62,'[1]Total P&amp;C'!$BH$62:$BI$62)/1000/AD196</f>
        <v>-1.3989367486190781E-2</v>
      </c>
      <c r="AE205" s="130">
        <f>-SUM('[1]Total P&amp;C'!$AJ$63:$AK$63,'[1]Total P&amp;C'!$BH$63:$BI$63)/1000/AE196</f>
        <v>0</v>
      </c>
      <c r="AG205" s="212"/>
      <c r="AH205" s="115"/>
      <c r="AI205" s="116" t="s">
        <v>29</v>
      </c>
      <c r="AJ205" s="134"/>
      <c r="AK205" s="131"/>
      <c r="AL205" s="127"/>
      <c r="AM205" s="127"/>
      <c r="AN205" s="134"/>
      <c r="AO205" s="131"/>
      <c r="AP205" s="127"/>
      <c r="AQ205" s="127"/>
      <c r="AR205" s="134"/>
      <c r="AS205" s="131"/>
      <c r="AT205" s="127"/>
      <c r="AU205" s="127"/>
      <c r="AV205" s="134"/>
      <c r="AW205" s="131"/>
      <c r="AX205" s="127"/>
      <c r="AY205" s="127"/>
      <c r="AZ205" s="134"/>
      <c r="BA205" s="131"/>
      <c r="BB205" s="127"/>
      <c r="BC205" s="127"/>
      <c r="BD205" s="134"/>
      <c r="BE205" s="131"/>
      <c r="BF205" s="127"/>
      <c r="BG205" s="127"/>
      <c r="BH205" s="134"/>
      <c r="BI205" s="133"/>
      <c r="BJ205" s="130"/>
      <c r="BK205" s="130"/>
      <c r="BM205" s="129">
        <f>-SUM('[3]Total P&amp;C'!$AJ$61:$AK$61,'[3]Total P&amp;C'!$BH$61:$BI$61)/1000/BM196</f>
        <v>3.0316950514403147E-2</v>
      </c>
      <c r="BN205" s="130">
        <f>-SUM('[3]Total P&amp;C'!$AJ$62:$AK$62,'[3]Total P&amp;C'!$BH$62:$BI$62)/1000/BN196</f>
        <v>-1.3989367486190781E-2</v>
      </c>
      <c r="BO205" s="130">
        <f>-SUM('[3]Total P&amp;C'!$AJ$63:$AK$63,'[3]Total P&amp;C'!$BH$63:$BI$63)/1000/BO196</f>
        <v>0</v>
      </c>
    </row>
    <row r="206" spans="1:67" ht="16.5" hidden="1" customHeight="1" outlineLevel="1" x14ac:dyDescent="0.3">
      <c r="A206" s="214"/>
      <c r="B206" s="115"/>
      <c r="C206" s="116" t="s">
        <v>58</v>
      </c>
      <c r="D206" s="134"/>
      <c r="E206" s="128">
        <f>+E207+E208+E209</f>
        <v>0.30191358438790417</v>
      </c>
      <c r="F206" s="127">
        <f>+F207+F208+F209</f>
        <v>0.59717905368146407</v>
      </c>
      <c r="G206" s="127" t="e">
        <f>+G207+G208+G209</f>
        <v>#DIV/0!</v>
      </c>
      <c r="H206" s="134"/>
      <c r="I206" s="126">
        <f>+I207+I208+I209</f>
        <v>0.4206286699211903</v>
      </c>
      <c r="J206" s="127">
        <f>+J207+J208+J209</f>
        <v>0.41076260427639649</v>
      </c>
      <c r="K206" s="127">
        <f>+K207+K208+K209</f>
        <v>0.49899831688135005</v>
      </c>
      <c r="L206" s="134"/>
      <c r="M206" s="126">
        <f>+M207+M208+M209</f>
        <v>0.28571720191065025</v>
      </c>
      <c r="N206" s="127">
        <f>+N207+N208+N209</f>
        <v>0.25614581628852406</v>
      </c>
      <c r="O206" s="127">
        <f>+O207+O208+O209</f>
        <v>0.3068763714639739</v>
      </c>
      <c r="P206" s="134"/>
      <c r="Q206" s="126">
        <f>+Q207+Q208+Q209</f>
        <v>0.29132473718196722</v>
      </c>
      <c r="R206" s="127">
        <f>+R207+R208+R209</f>
        <v>0.3280371725916168</v>
      </c>
      <c r="S206" s="127">
        <f>+S207+S208+S209</f>
        <v>0.39600234742316959</v>
      </c>
      <c r="T206" s="134"/>
      <c r="U206" s="126" t="e">
        <f>+U207+U208+U209</f>
        <v>#DIV/0!</v>
      </c>
      <c r="V206" s="127" t="e">
        <f>+V207+V208+V209</f>
        <v>#DIV/0!</v>
      </c>
      <c r="W206" s="127" t="e">
        <f>+W207+W208+W209</f>
        <v>#DIV/0!</v>
      </c>
      <c r="X206" s="134"/>
      <c r="Y206" s="126" t="e">
        <f>+Y207+Y208+Y209</f>
        <v>#DIV/0!</v>
      </c>
      <c r="Z206" s="127" t="e">
        <f>+Z207+Z208+Z209</f>
        <v>#DIV/0!</v>
      </c>
      <c r="AA206" s="127" t="e">
        <f>+AA207+AA208+AA209</f>
        <v>#DIV/0!</v>
      </c>
      <c r="AB206" s="134"/>
      <c r="AC206" s="132">
        <f>+AC207+AC208+AC209</f>
        <v>0.30349656986072482</v>
      </c>
      <c r="AD206" s="130">
        <f>+AD207+AD208+AD209</f>
        <v>0.32383850234771411</v>
      </c>
      <c r="AE206" s="130">
        <f>+AE207+AE208+AE209</f>
        <v>0.35748614956385527</v>
      </c>
      <c r="AG206" s="212"/>
      <c r="AH206" s="115"/>
      <c r="AI206" s="116" t="s">
        <v>58</v>
      </c>
      <c r="AJ206" s="134"/>
      <c r="AK206" s="131"/>
      <c r="AL206" s="127"/>
      <c r="AM206" s="127"/>
      <c r="AN206" s="134"/>
      <c r="AO206" s="131"/>
      <c r="AP206" s="127"/>
      <c r="AQ206" s="127"/>
      <c r="AR206" s="134"/>
      <c r="AS206" s="131"/>
      <c r="AT206" s="127"/>
      <c r="AU206" s="127"/>
      <c r="AV206" s="134"/>
      <c r="AW206" s="131"/>
      <c r="AX206" s="127"/>
      <c r="AY206" s="127"/>
      <c r="AZ206" s="134"/>
      <c r="BA206" s="131"/>
      <c r="BB206" s="127"/>
      <c r="BC206" s="127"/>
      <c r="BD206" s="134"/>
      <c r="BE206" s="131"/>
      <c r="BF206" s="127"/>
      <c r="BG206" s="127"/>
      <c r="BH206" s="134"/>
      <c r="BI206" s="133"/>
      <c r="BJ206" s="130"/>
      <c r="BK206" s="130"/>
      <c r="BM206" s="132">
        <f>+BM207+BM208+BM209</f>
        <v>0.30379729276272649</v>
      </c>
      <c r="BN206" s="130">
        <f>+BN207+BN208+BN209</f>
        <v>0.33087782104786057</v>
      </c>
      <c r="BO206" s="130">
        <f>+BO207+BO208+BO209</f>
        <v>0.35748614956385527</v>
      </c>
    </row>
    <row r="207" spans="1:67" ht="16.5" hidden="1" customHeight="1" outlineLevel="1" x14ac:dyDescent="0.3">
      <c r="A207" s="214"/>
      <c r="B207" s="115"/>
      <c r="C207" s="39" t="s">
        <v>59</v>
      </c>
      <c r="D207" s="135"/>
      <c r="E207" s="74">
        <f>-SUM([1]Retail!$AL$61:$AN$61,[1]Retail!$BJ$61)/1000/E196</f>
        <v>0.19023863887947279</v>
      </c>
      <c r="F207" s="42">
        <f>-SUM([1]Retail!$AL$62:$AN$62,[1]Retail!$BJ$62)/1000/F196</f>
        <v>0.19195844130189002</v>
      </c>
      <c r="G207" s="42" t="e">
        <f>-SUM([1]Retail!$AL$63:$AN$63,[1]Retail!$BJ$63)/1000/G196</f>
        <v>#DIV/0!</v>
      </c>
      <c r="H207" s="135"/>
      <c r="I207" s="74">
        <f>-SUM([1]SME!$AL$61:$AN$61,[1]SME!$BJ$61)/1000/I196</f>
        <v>0.14409402706963975</v>
      </c>
      <c r="J207" s="42">
        <f>-SUM([1]SME!$AL$62:$AN$62,[1]SME!$BJ$62)/1000/J196</f>
        <v>0.14524536936196714</v>
      </c>
      <c r="K207" s="42">
        <f>-SUM([1]SME!$AL$63:$AN$63,[1]SME!$BJ$63)/1000/K196</f>
        <v>0.14552952396818492</v>
      </c>
      <c r="L207" s="135"/>
      <c r="M207" s="74">
        <f>-SUM([1]MidCorp!$AL$61:$AN$61,[1]MidCorp!$BJ$61)/1000/M196</f>
        <v>0.18386909365046644</v>
      </c>
      <c r="N207" s="42">
        <f>-SUM([1]MidCorp!$AL$62:$AN$62,[1]MidCorp!$BJ$62)/1000/N196</f>
        <v>0.1745966239232235</v>
      </c>
      <c r="O207" s="42">
        <f>-SUM([1]MidCorp!$AL$63:$AN$63,[1]MidCorp!$BJ$63)/1000/O196</f>
        <v>0.18666085656704579</v>
      </c>
      <c r="P207" s="135"/>
      <c r="Q207" s="97">
        <f>-SUM([1]MGA!$AL$61:$AN$61,[1]MGA!$BJ$61)/1000/Q196</f>
        <v>0.27251702418947882</v>
      </c>
      <c r="R207" s="42">
        <f>-SUM([1]MGA!$AL$62:$AN$62,[1]MGA!$BJ$62)/1000/R196</f>
        <v>0.26919499158153398</v>
      </c>
      <c r="S207" s="42">
        <f>-SUM([1]MGA!$AL$63:$AN$63,[1]MGA!$BJ$63)/1000/S196</f>
        <v>0.26907382246443018</v>
      </c>
      <c r="T207" s="135"/>
      <c r="U207" s="73" t="e">
        <f>-SUM([1]Bancassurance!$AL$61:$AN$61,[1]Bancassurance!$BJ$61)/1000/U196</f>
        <v>#DIV/0!</v>
      </c>
      <c r="V207" s="42" t="e">
        <f>-SUM([1]Bancassurance!$AL$62:$AN$62,[1]Bancassurance!$BJ$62)/1000/V196</f>
        <v>#DIV/0!</v>
      </c>
      <c r="W207" s="42" t="e">
        <f>-SUM([1]Bancassurance!$AL$63:$AN$63,[1]Bancassurance!$BJ$63)/1000/W196</f>
        <v>#DIV/0!</v>
      </c>
      <c r="X207" s="135"/>
      <c r="Y207" s="73" t="e">
        <f>-SUM([1]Specials!$AL$61:$AN$61,[1]Specials!$BJ$61)/1000/Y196</f>
        <v>#DIV/0!</v>
      </c>
      <c r="Z207" s="42" t="e">
        <f>-SUM([1]Specials!$AL$62:$AN$62,[1]Specials!$BJ$62)/1000/Z196</f>
        <v>#DIV/0!</v>
      </c>
      <c r="AA207" s="42" t="e">
        <f>-SUM([1]Specials!$AL$63:$AN$63,[1]Specials!$BJ$63)/1000/AA196</f>
        <v>#DIV/0!</v>
      </c>
      <c r="AB207" s="135"/>
      <c r="AC207" s="84">
        <f>-SUM('[1]Total P&amp;C'!$AL$61:$AN$61,'[1]Total P&amp;C'!$BJ$61)/1000/AC196</f>
        <v>0.22503401894874173</v>
      </c>
      <c r="AD207" s="60">
        <f>-SUM('[1]Total P&amp;C'!$AL$62:$AN$62,'[1]Total P&amp;C'!$BJ$62)/1000/AD196</f>
        <v>0.21833024325691031</v>
      </c>
      <c r="AE207" s="60">
        <f>-SUM('[1]Total P&amp;C'!$AL$63:$AN$63,'[1]Total P&amp;C'!$BJ$63)/1000/AE196</f>
        <v>0.19492534210566992</v>
      </c>
      <c r="AG207" s="212"/>
      <c r="AH207" s="115"/>
      <c r="AI207" s="39" t="s">
        <v>59</v>
      </c>
      <c r="AJ207" s="135"/>
      <c r="AK207" s="97"/>
      <c r="AL207" s="42"/>
      <c r="AM207" s="42"/>
      <c r="AN207" s="135"/>
      <c r="AO207" s="97"/>
      <c r="AP207" s="42"/>
      <c r="AQ207" s="42"/>
      <c r="AR207" s="135"/>
      <c r="AS207" s="97"/>
      <c r="AT207" s="42"/>
      <c r="AU207" s="42"/>
      <c r="AV207" s="135"/>
      <c r="AW207" s="97"/>
      <c r="AX207" s="42"/>
      <c r="AY207" s="42"/>
      <c r="AZ207" s="135"/>
      <c r="BA207" s="97"/>
      <c r="BB207" s="42"/>
      <c r="BC207" s="42"/>
      <c r="BD207" s="135"/>
      <c r="BE207" s="97"/>
      <c r="BF207" s="42"/>
      <c r="BG207" s="42"/>
      <c r="BH207" s="135"/>
      <c r="BI207" s="99"/>
      <c r="BJ207" s="60"/>
      <c r="BK207" s="60"/>
      <c r="BM207" s="84">
        <f>-SUM('[3]Total P&amp;C'!$AL$61:$AN$61,'[3]Total P&amp;C'!$BJ$61)/1000/BM196</f>
        <v>0.22503401894874173</v>
      </c>
      <c r="BN207" s="60">
        <f>-SUM('[3]Total P&amp;C'!$AL$62:$AN$62,'[3]Total P&amp;C'!$BJ$62)/1000/BN196</f>
        <v>0.21833024325691031</v>
      </c>
      <c r="BO207" s="60">
        <f>-SUM('[3]Total P&amp;C'!$AL$63:$AN$63,'[3]Total P&amp;C'!$BJ$63)/1000/BO196</f>
        <v>0.19492534210566992</v>
      </c>
    </row>
    <row r="208" spans="1:67" ht="16.5" hidden="1" customHeight="1" outlineLevel="1" x14ac:dyDescent="0.3">
      <c r="A208" s="214"/>
      <c r="B208" s="115"/>
      <c r="C208" s="39" t="s">
        <v>60</v>
      </c>
      <c r="D208" s="135"/>
      <c r="E208" s="74">
        <f>-SUM([1]Retail!$AO$61:$AP$61)/1000/E196</f>
        <v>8.6553028795620726E-3</v>
      </c>
      <c r="F208" s="42">
        <f>-SUM([1]Retail!$AO$62:$AP$62)/1000/F196</f>
        <v>0.11395625416261868</v>
      </c>
      <c r="G208" s="42" t="e">
        <f>-SUM([1]Retail!$AO$63:$AP$63)/1000/G196</f>
        <v>#DIV/0!</v>
      </c>
      <c r="H208" s="135"/>
      <c r="I208" s="74">
        <f>-SUM([1]SME!$AO$61:$AP$61)/1000/I196</f>
        <v>7.0441384244587929E-2</v>
      </c>
      <c r="J208" s="42">
        <f>-SUM([1]SME!$AO$62:$AP$62)/1000/J196</f>
        <v>9.2651026122573421E-2</v>
      </c>
      <c r="K208" s="42">
        <f>-SUM([1]SME!$AO$63:$AP$63)/1000/K196</f>
        <v>9.0550344281962472E-2</v>
      </c>
      <c r="L208" s="135"/>
      <c r="M208" s="73">
        <f>-SUM([1]MidCorp!$AO$61:$AP$61)/1000/M196</f>
        <v>1.1116568740720874E-2</v>
      </c>
      <c r="N208" s="42">
        <f>-SUM([1]MidCorp!$AO$62:$AP$62)/1000/N196</f>
        <v>4.1163711702830799E-3</v>
      </c>
      <c r="O208" s="42">
        <f>-SUM([1]MidCorp!$AO$63:$AP$63)/1000/O196</f>
        <v>5.4851226428809866E-3</v>
      </c>
      <c r="P208" s="135"/>
      <c r="Q208" s="74">
        <f>-SUM([1]MGA!$AO$61:$AP$61)/1000/Q196</f>
        <v>1.0552545767631906E-2</v>
      </c>
      <c r="R208" s="42">
        <f>-SUM([1]MGA!$AO$62:$AP$62)/1000/R196</f>
        <v>1.3133631510724945E-2</v>
      </c>
      <c r="S208" s="42">
        <f>-SUM([1]MGA!$AO$63:$AP$63)/1000/S196</f>
        <v>5.8694746103682784E-2</v>
      </c>
      <c r="T208" s="135"/>
      <c r="U208" s="74" t="e">
        <f>-SUM([1]Bancassurance!$AO$61:$AP$61)/1000/U196</f>
        <v>#DIV/0!</v>
      </c>
      <c r="V208" s="42" t="e">
        <f>-SUM([1]Bancassurance!$AO$62:$AP$62)/1000/V196</f>
        <v>#DIV/0!</v>
      </c>
      <c r="W208" s="42" t="e">
        <f>-SUM([1]Bancassurance!$AO$63:$AP$63)/1000/W196</f>
        <v>#DIV/0!</v>
      </c>
      <c r="X208" s="135"/>
      <c r="Y208" s="74" t="e">
        <f>-SUM([1]Specials!$AO$61:$AP$61)/1000/Y196</f>
        <v>#DIV/0!</v>
      </c>
      <c r="Z208" s="42" t="e">
        <f>-SUM([1]Specials!$AO$62:$AP$62)/1000/Z196</f>
        <v>#DIV/0!</v>
      </c>
      <c r="AA208" s="42" t="e">
        <f>-SUM([1]Specials!$AO$63:$AP$63)/1000/AA196</f>
        <v>#DIV/0!</v>
      </c>
      <c r="AB208" s="135"/>
      <c r="AC208" s="85">
        <f>-SUM('[1]Total P&amp;C'!$AO$61:$AP$61)/1000/AC196</f>
        <v>1.6517249332082314E-2</v>
      </c>
      <c r="AD208" s="60">
        <f>-SUM('[1]Total P&amp;C'!$AO$62:$AP$62)/1000/AD196</f>
        <v>2.2055650762815657E-2</v>
      </c>
      <c r="AE208" s="60">
        <f>-SUM('[1]Total P&amp;C'!$AO$63:$AP$63)/1000/AE196</f>
        <v>2.7895897512144701E-2</v>
      </c>
      <c r="AG208" s="212"/>
      <c r="AH208" s="115"/>
      <c r="AI208" s="39" t="s">
        <v>60</v>
      </c>
      <c r="AJ208" s="135"/>
      <c r="AK208" s="97"/>
      <c r="AL208" s="42"/>
      <c r="AM208" s="42"/>
      <c r="AN208" s="135"/>
      <c r="AO208" s="97"/>
      <c r="AP208" s="42"/>
      <c r="AQ208" s="42"/>
      <c r="AR208" s="135"/>
      <c r="AS208" s="97"/>
      <c r="AT208" s="42"/>
      <c r="AU208" s="42"/>
      <c r="AV208" s="135"/>
      <c r="AW208" s="97"/>
      <c r="AX208" s="42"/>
      <c r="AY208" s="42"/>
      <c r="AZ208" s="135"/>
      <c r="BA208" s="97"/>
      <c r="BB208" s="42"/>
      <c r="BC208" s="42"/>
      <c r="BD208" s="135"/>
      <c r="BE208" s="97"/>
      <c r="BF208" s="42"/>
      <c r="BG208" s="42"/>
      <c r="BH208" s="135"/>
      <c r="BI208" s="99"/>
      <c r="BJ208" s="60"/>
      <c r="BK208" s="60"/>
      <c r="BM208" s="85">
        <f>-SUM('[3]Total P&amp;C'!$AO$61:$AP$61)/1000/BM196</f>
        <v>1.6517249332082314E-2</v>
      </c>
      <c r="BN208" s="60">
        <f>-SUM('[3]Total P&amp;C'!$AO$62:$AP$62)/1000/BN196</f>
        <v>2.2055650762815657E-2</v>
      </c>
      <c r="BO208" s="60">
        <f>-SUM('[3]Total P&amp;C'!$AO$63:$AP$63)/1000/BO196</f>
        <v>2.7895897512144701E-2</v>
      </c>
    </row>
    <row r="209" spans="1:67" ht="16.5" hidden="1" customHeight="1" outlineLevel="1" x14ac:dyDescent="0.3">
      <c r="A209" s="214"/>
      <c r="B209" s="115"/>
      <c r="C209" s="39" t="s">
        <v>61</v>
      </c>
      <c r="D209" s="135"/>
      <c r="E209" s="73">
        <f>-SUM([1]Retail!$AQ$61:$AR$61)/1000/E196</f>
        <v>0.1030196426288693</v>
      </c>
      <c r="F209" s="42">
        <f>-SUM([1]Retail!$AQ$62:$AR$62)/1000/F196</f>
        <v>0.29126435821695545</v>
      </c>
      <c r="G209" s="42" t="e">
        <f>-SUM([1]Retail!$AQ$63:$AR$63)/1000/G196</f>
        <v>#DIV/0!</v>
      </c>
      <c r="H209" s="135"/>
      <c r="I209" s="74">
        <f>-SUM([1]SME!$AQ$61:$AR$61)/1000/I196</f>
        <v>0.20609325860696262</v>
      </c>
      <c r="J209" s="42">
        <f>-SUM([1]SME!$AQ$62:$AR$62)/1000/J196</f>
        <v>0.17286620879185594</v>
      </c>
      <c r="K209" s="42">
        <f>-SUM([1]SME!$AQ$63:$AR$63)/1000/K196</f>
        <v>0.26291844863120267</v>
      </c>
      <c r="L209" s="135"/>
      <c r="M209" s="74">
        <f>-SUM([1]MidCorp!$AQ$61:$AR$61)/1000/M196</f>
        <v>9.0731539519462931E-2</v>
      </c>
      <c r="N209" s="42">
        <f>-SUM([1]MidCorp!$AQ$62:$AR$62)/1000/N196</f>
        <v>7.7432821195017487E-2</v>
      </c>
      <c r="O209" s="42">
        <f>-SUM([1]MidCorp!$AQ$63:$AR$63)/1000/O196</f>
        <v>0.11473039225404712</v>
      </c>
      <c r="P209" s="135"/>
      <c r="Q209" s="74">
        <f>-SUM([1]MGA!$AQ$61:$AR$61)/1000/Q196</f>
        <v>8.2551672248564485E-3</v>
      </c>
      <c r="R209" s="42">
        <f>-SUM([1]MGA!$AQ$62:$AR$62)/1000/R196</f>
        <v>4.5708549499357876E-2</v>
      </c>
      <c r="S209" s="42">
        <f>-SUM([1]MGA!$AQ$63:$AR$63)/1000/S196</f>
        <v>6.8233778855056618E-2</v>
      </c>
      <c r="T209" s="135"/>
      <c r="U209" s="74" t="e">
        <f>-SUM([1]Bancassurance!$AQ$61:$AR$61)/1000/U196</f>
        <v>#DIV/0!</v>
      </c>
      <c r="V209" s="42" t="e">
        <f>-SUM([1]Bancassurance!$AQ$62:$AR$62)/1000/V196</f>
        <v>#DIV/0!</v>
      </c>
      <c r="W209" s="42" t="e">
        <f>-SUM([1]Bancassurance!$AQ$63:$AR$63)/1000/W196</f>
        <v>#DIV/0!</v>
      </c>
      <c r="X209" s="135"/>
      <c r="Y209" s="74" t="e">
        <f>-SUM([1]Specials!$AQ$61:$AR$61)/1000/Y196</f>
        <v>#DIV/0!</v>
      </c>
      <c r="Z209" s="42" t="e">
        <f>-SUM([1]Specials!$AQ$62:$AR$62)/1000/Z196</f>
        <v>#DIV/0!</v>
      </c>
      <c r="AA209" s="42" t="e">
        <f>-SUM([1]Specials!$AQ$63:$AR$63)/1000/AA196</f>
        <v>#DIV/0!</v>
      </c>
      <c r="AB209" s="135"/>
      <c r="AC209" s="85">
        <f>-SUM('[1]Total P&amp;C'!$AQ$61:$AR$61)/1000/AC196</f>
        <v>6.1945301579900795E-2</v>
      </c>
      <c r="AD209" s="60">
        <f>-SUM('[1]Total P&amp;C'!$AQ$62:$AR$62)/1000/AD196</f>
        <v>8.3452608327988134E-2</v>
      </c>
      <c r="AE209" s="60">
        <f>-SUM('[1]Total P&amp;C'!$AQ$63:$AR$63)/1000/AE196</f>
        <v>0.13466490994604069</v>
      </c>
      <c r="AG209" s="212"/>
      <c r="AH209" s="115"/>
      <c r="AI209" s="39" t="s">
        <v>61</v>
      </c>
      <c r="AJ209" s="135"/>
      <c r="AK209" s="97"/>
      <c r="AL209" s="42"/>
      <c r="AM209" s="42"/>
      <c r="AN209" s="135"/>
      <c r="AO209" s="97"/>
      <c r="AP209" s="42"/>
      <c r="AQ209" s="42"/>
      <c r="AR209" s="135"/>
      <c r="AS209" s="97"/>
      <c r="AT209" s="42"/>
      <c r="AU209" s="42"/>
      <c r="AV209" s="135"/>
      <c r="AW209" s="97"/>
      <c r="AX209" s="42"/>
      <c r="AY209" s="42"/>
      <c r="AZ209" s="135"/>
      <c r="BA209" s="97"/>
      <c r="BB209" s="42"/>
      <c r="BC209" s="42"/>
      <c r="BD209" s="135"/>
      <c r="BE209" s="97"/>
      <c r="BF209" s="42"/>
      <c r="BG209" s="42"/>
      <c r="BH209" s="135"/>
      <c r="BI209" s="99"/>
      <c r="BJ209" s="60"/>
      <c r="BK209" s="60"/>
      <c r="BM209" s="85">
        <f>-SUM('[3]Total P&amp;C'!$AQ$61:$AR$61)/1000/BM196</f>
        <v>6.2246024481902439E-2</v>
      </c>
      <c r="BN209" s="60">
        <f>-SUM('[3]Total P&amp;C'!$AQ$62:$AR$62)/1000/BN196</f>
        <v>9.0491927028134592E-2</v>
      </c>
      <c r="BO209" s="60">
        <f>-SUM('[3]Total P&amp;C'!$AQ$63:$AR$63)/1000/BO196</f>
        <v>0.13466490994604069</v>
      </c>
    </row>
    <row r="210" spans="1:67" ht="16.5" hidden="1" customHeight="1" outlineLevel="1" x14ac:dyDescent="0.3">
      <c r="A210" s="214"/>
      <c r="B210" s="115"/>
      <c r="C210" s="116" t="s">
        <v>34</v>
      </c>
      <c r="D210" s="117"/>
      <c r="E210" s="118">
        <f>+[1]Retail!$BK$61/1000</f>
        <v>5.2511139999999915E-2</v>
      </c>
      <c r="F210" s="119">
        <f>+[1]Retail!$BK$62/1000</f>
        <v>4.8990500000000083E-2</v>
      </c>
      <c r="G210" s="119">
        <f>+[1]Retail!$BK$63/1000</f>
        <v>-1.3205537209233478E-2</v>
      </c>
      <c r="H210" s="117"/>
      <c r="I210" s="118">
        <f>+[1]SME!$BK$61/1000</f>
        <v>5.6184320000000086E-2</v>
      </c>
      <c r="J210" s="119">
        <f>+[1]SME!$BK$62/1000</f>
        <v>9.8324929999999991E-2</v>
      </c>
      <c r="K210" s="119">
        <f>+[1]SME!$BK$63/1000</f>
        <v>2.6028514023141717E-2</v>
      </c>
      <c r="L210" s="117"/>
      <c r="M210" s="118">
        <f>+[1]MidCorp!$BK$61/1000</f>
        <v>0.57436750999999964</v>
      </c>
      <c r="N210" s="119">
        <f>+[1]MidCorp!$BK$62/1000</f>
        <v>0.64387365999999979</v>
      </c>
      <c r="O210" s="119">
        <f>+[1]MidCorp!$BK$63/1000</f>
        <v>0.52348213233756902</v>
      </c>
      <c r="P210" s="117"/>
      <c r="Q210" s="118">
        <f>+[1]MGA!$BK$61/1000</f>
        <v>0.56399952999999881</v>
      </c>
      <c r="R210" s="119">
        <f>+[1]MGA!$BK$62/1000</f>
        <v>0.49300094999999994</v>
      </c>
      <c r="S210" s="119">
        <f>+[1]MGA!$BK$63/1000</f>
        <v>2.8317122471219789E-2</v>
      </c>
      <c r="T210" s="117"/>
      <c r="U210" s="121">
        <f>+[1]Bancassurance!$BK$61/1000</f>
        <v>-7.36704E-3</v>
      </c>
      <c r="V210" s="119">
        <f>+[1]Bancassurance!$BK$62/1000</f>
        <v>-1.572525E-2</v>
      </c>
      <c r="W210" s="119">
        <f>+[1]Bancassurance!$BK$63/1000</f>
        <v>0</v>
      </c>
      <c r="X210" s="117"/>
      <c r="Y210" s="118">
        <f>+[1]Specials!$BK$61/1000</f>
        <v>8.208E-5</v>
      </c>
      <c r="Z210" s="119">
        <f>+[1]Specials!$BK$62/1000</f>
        <v>3.7200000000000004E-6</v>
      </c>
      <c r="AA210" s="119">
        <f>+[1]Specials!$BK$63/1000</f>
        <v>0</v>
      </c>
      <c r="AB210" s="117"/>
      <c r="AC210" s="122">
        <f>+'[1]Total P&amp;C'!$BK$61/1000</f>
        <v>1.239777539999998</v>
      </c>
      <c r="AD210" s="123">
        <f>+'[1]Total P&amp;C'!$BK$62/1000</f>
        <v>1.2684685099999997</v>
      </c>
      <c r="AE210" s="123">
        <f>+'[1]Total P&amp;C'!$BK$63/1000</f>
        <v>0.56462223162269709</v>
      </c>
      <c r="AG210" s="212"/>
      <c r="AH210" s="115"/>
      <c r="AI210" s="116" t="s">
        <v>34</v>
      </c>
      <c r="AJ210" s="117"/>
      <c r="AK210" s="121"/>
      <c r="AL210" s="119"/>
      <c r="AM210" s="119"/>
      <c r="AN210" s="117"/>
      <c r="AO210" s="121"/>
      <c r="AP210" s="119"/>
      <c r="AQ210" s="119"/>
      <c r="AR210" s="117"/>
      <c r="AS210" s="121"/>
      <c r="AT210" s="119"/>
      <c r="AU210" s="119"/>
      <c r="AV210" s="117"/>
      <c r="AW210" s="121"/>
      <c r="AX210" s="119"/>
      <c r="AY210" s="119"/>
      <c r="AZ210" s="117"/>
      <c r="BA210" s="121"/>
      <c r="BB210" s="119"/>
      <c r="BC210" s="119"/>
      <c r="BD210" s="117"/>
      <c r="BE210" s="121"/>
      <c r="BF210" s="119"/>
      <c r="BG210" s="119"/>
      <c r="BH210" s="117"/>
      <c r="BI210" s="124"/>
      <c r="BJ210" s="123"/>
      <c r="BK210" s="123"/>
      <c r="BM210" s="122">
        <f>+'[3]Total P&amp;C'!$BK$61/1000</f>
        <v>1.239093139999998</v>
      </c>
      <c r="BN210" s="123">
        <f>+'[3]Total P&amp;C'!$BK$62/1000</f>
        <v>1.2539238299999995</v>
      </c>
      <c r="BO210" s="123">
        <f>+'[3]Total P&amp;C'!$BK$63/1000</f>
        <v>0.56462223162269709</v>
      </c>
    </row>
    <row r="211" spans="1:67" ht="12.75" hidden="1" customHeight="1" outlineLevel="1" x14ac:dyDescent="0.35">
      <c r="AG211" s="153"/>
    </row>
    <row r="212" spans="1:67" ht="16.5" hidden="1" customHeight="1" outlineLevel="1" x14ac:dyDescent="0.3">
      <c r="A212" s="214" t="s">
        <v>44</v>
      </c>
      <c r="B212" s="115"/>
      <c r="C212" s="116" t="s">
        <v>19</v>
      </c>
      <c r="D212" s="117"/>
      <c r="E212" s="121">
        <f>+[1]Retail!$C$49/1000</f>
        <v>0</v>
      </c>
      <c r="F212" s="119">
        <f>+[1]Retail!$C$50/1000</f>
        <v>0</v>
      </c>
      <c r="G212" s="119">
        <f>+[1]Retail!$C$51/1000</f>
        <v>0</v>
      </c>
      <c r="H212" s="117"/>
      <c r="I212" s="121">
        <f>+[1]SME!$C$49/1000</f>
        <v>0</v>
      </c>
      <c r="J212" s="119">
        <f>+[1]SME!$C$50/1000</f>
        <v>0</v>
      </c>
      <c r="K212" s="119">
        <f>+[1]SME!$C$51/1000</f>
        <v>0</v>
      </c>
      <c r="L212" s="117"/>
      <c r="M212" s="118">
        <f>+[1]MidCorp!$C$49/1000</f>
        <v>19.322857210000002</v>
      </c>
      <c r="N212" s="119">
        <f>+[1]MidCorp!$C$50/1000</f>
        <v>19.452615629999997</v>
      </c>
      <c r="O212" s="119">
        <f>+[1]MidCorp!$C$51/1000</f>
        <v>17.744019999999999</v>
      </c>
      <c r="P212" s="117"/>
      <c r="Q212" s="118">
        <f>+[1]MGA!$C$49/1000</f>
        <v>0.10787987999999998</v>
      </c>
      <c r="R212" s="119">
        <f>+[1]MGA!$C$50/1000</f>
        <v>0.11686347</v>
      </c>
      <c r="S212" s="119">
        <f>+[1]MGA!$C$51/1000</f>
        <v>1.686E-2</v>
      </c>
      <c r="T212" s="117"/>
      <c r="U212" s="121">
        <f>+[1]Bancassurance!$C$49/1000</f>
        <v>0</v>
      </c>
      <c r="V212" s="119">
        <f>+[1]Bancassurance!$C$50/1000</f>
        <v>0</v>
      </c>
      <c r="W212" s="119">
        <f>+[1]Bancassurance!$C$51/1000</f>
        <v>0</v>
      </c>
      <c r="X212" s="117"/>
      <c r="Y212" s="121">
        <f>+[1]Specials!$C$49/1000</f>
        <v>0</v>
      </c>
      <c r="Z212" s="119">
        <f>+[1]Specials!$C$50/1000</f>
        <v>6.7525500000000004E-3</v>
      </c>
      <c r="AA212" s="119">
        <f>+[1]Specials!$C$51/1000</f>
        <v>0</v>
      </c>
      <c r="AB212" s="117"/>
      <c r="AC212" s="122">
        <f>+'[1]Total P&amp;C'!$C$49/1000</f>
        <v>19.430737090000001</v>
      </c>
      <c r="AD212" s="123">
        <f>+'[1]Total P&amp;C'!$C$50/1000</f>
        <v>19.576231649999997</v>
      </c>
      <c r="AE212" s="123">
        <f>+'[1]Total P&amp;C'!$C$51/1000</f>
        <v>17.76088</v>
      </c>
      <c r="AG212" s="212" t="s">
        <v>44</v>
      </c>
      <c r="AH212" s="115"/>
      <c r="AI212" s="116" t="s">
        <v>19</v>
      </c>
      <c r="AJ212" s="117"/>
      <c r="AK212" s="121">
        <f>+[2]Retail!$C$49/1000</f>
        <v>-1.13E-5</v>
      </c>
      <c r="AL212" s="119">
        <f>+[2]Retail!$C$50/1000</f>
        <v>0</v>
      </c>
      <c r="AM212" s="119">
        <f>+[2]Retail!$C$51/1000</f>
        <v>0</v>
      </c>
      <c r="AN212" s="117"/>
      <c r="AO212" s="118">
        <f>+[2]SME!$C$49/1000</f>
        <v>6.8904999999999999E-3</v>
      </c>
      <c r="AP212" s="119">
        <f>+[2]SME!$C$50/1000</f>
        <v>7.2917499999999996E-3</v>
      </c>
      <c r="AQ212" s="119">
        <f>+[2]SME!$C$51/1000</f>
        <v>0</v>
      </c>
      <c r="AR212" s="117"/>
      <c r="AS212" s="118">
        <f>+[2]MidCorp!$C$49/1000</f>
        <v>2.59850789</v>
      </c>
      <c r="AT212" s="119">
        <f>+[2]MidCorp!$C$50/1000</f>
        <v>2.96470754</v>
      </c>
      <c r="AU212" s="119">
        <f>+[2]MidCorp!$C$51/1000</f>
        <v>2.3872297670028235</v>
      </c>
      <c r="AV212" s="117"/>
      <c r="AW212" s="121"/>
      <c r="AX212" s="119"/>
      <c r="AY212" s="119"/>
      <c r="AZ212" s="117"/>
      <c r="BA212" s="121"/>
      <c r="BB212" s="119"/>
      <c r="BC212" s="119"/>
      <c r="BD212" s="117"/>
      <c r="BE212" s="121"/>
      <c r="BF212" s="119"/>
      <c r="BG212" s="119"/>
      <c r="BH212" s="117"/>
      <c r="BI212" s="122">
        <f>+'[2]Total P&amp;C'!$C$49/1000</f>
        <v>2.6053870899999998</v>
      </c>
      <c r="BJ212" s="123">
        <f>+'[2]Total P&amp;C'!$C$50/1000</f>
        <v>2.9719992899999998</v>
      </c>
      <c r="BK212" s="123">
        <f>+'[2]Total P&amp;C'!$C$51/1000</f>
        <v>2.3872297670028235</v>
      </c>
      <c r="BM212" s="122">
        <f>+'[3]Total P&amp;C'!$C$49/1000</f>
        <v>22.036124180000002</v>
      </c>
      <c r="BN212" s="123">
        <f>+'[3]Total P&amp;C'!$C$50/1000</f>
        <v>22.548230939999996</v>
      </c>
      <c r="BO212" s="123">
        <f>+'[3]Total P&amp;C'!$C$51/1000</f>
        <v>20.148109767002826</v>
      </c>
    </row>
    <row r="213" spans="1:67" ht="16.5" hidden="1" customHeight="1" outlineLevel="1" x14ac:dyDescent="0.3">
      <c r="A213" s="214"/>
      <c r="B213" s="115"/>
      <c r="C213" s="116" t="s">
        <v>55</v>
      </c>
      <c r="D213" s="117"/>
      <c r="E213" s="121">
        <f>+[1]Retail!$N$49/1000</f>
        <v>0</v>
      </c>
      <c r="F213" s="119">
        <f>+[1]Retail!$N$50/1000</f>
        <v>0</v>
      </c>
      <c r="G213" s="119">
        <f>+[1]Retail!$N$51/1000</f>
        <v>0</v>
      </c>
      <c r="H213" s="117"/>
      <c r="I213" s="121">
        <f>+[1]SME!$N$49/1000</f>
        <v>0</v>
      </c>
      <c r="J213" s="119">
        <f>+[1]SME!$N$50/1000</f>
        <v>0</v>
      </c>
      <c r="K213" s="119">
        <f>+[1]SME!$N$51/1000</f>
        <v>0</v>
      </c>
      <c r="L213" s="117"/>
      <c r="M213" s="121">
        <f>+[1]MidCorp!$N$49/1000</f>
        <v>11.585330679999998</v>
      </c>
      <c r="N213" s="119">
        <f>+[1]MidCorp!$N$50/1000</f>
        <v>11.519039879999998</v>
      </c>
      <c r="O213" s="119">
        <f>+[1]MidCorp!$N$51/1000</f>
        <v>11.947373838708574</v>
      </c>
      <c r="P213" s="117"/>
      <c r="Q213" s="118">
        <f>+[1]MGA!$N$49/1000</f>
        <v>9.9852920000000053E-2</v>
      </c>
      <c r="R213" s="119">
        <f>+[1]MGA!$N$50/1000</f>
        <v>0.10783339999999997</v>
      </c>
      <c r="S213" s="119">
        <f>+[1]MGA!$N$51/1000</f>
        <v>1.6100000000000021E-2</v>
      </c>
      <c r="T213" s="117"/>
      <c r="U213" s="121">
        <f>+[1]Bancassurance!$N$49/1000</f>
        <v>0</v>
      </c>
      <c r="V213" s="119">
        <f>+[1]Bancassurance!$N$50/1000</f>
        <v>0</v>
      </c>
      <c r="W213" s="119">
        <f>+[1]Bancassurance!$N$51/1000</f>
        <v>0</v>
      </c>
      <c r="X213" s="117"/>
      <c r="Y213" s="118">
        <f>+[1]Specials!$N$49/1000</f>
        <v>1.8760000000000003E-5</v>
      </c>
      <c r="Z213" s="119">
        <f>+[1]Specials!$N$50/1000</f>
        <v>1.6842400000000003E-3</v>
      </c>
      <c r="AA213" s="119">
        <f>+[1]Specials!$N$51/1000</f>
        <v>0</v>
      </c>
      <c r="AB213" s="117"/>
      <c r="AC213" s="124">
        <f>+'[1]Total P&amp;C'!$N$49/1000</f>
        <v>11.68520236</v>
      </c>
      <c r="AD213" s="123">
        <f>+'[1]Total P&amp;C'!$N$50/1000</f>
        <v>11.628557519999999</v>
      </c>
      <c r="AE213" s="123">
        <f>+'[1]Total P&amp;C'!$N$51/1000</f>
        <v>11.963473838708575</v>
      </c>
      <c r="AG213" s="212"/>
      <c r="AH213" s="115"/>
      <c r="AI213" s="116" t="s">
        <v>55</v>
      </c>
      <c r="AJ213" s="117"/>
      <c r="AK213" s="121">
        <f>+[2]Retail!$N$49/1000</f>
        <v>-1.1280000000000002E-5</v>
      </c>
      <c r="AL213" s="119">
        <f>+[2]Retail!$N$50/1000</f>
        <v>0</v>
      </c>
      <c r="AM213" s="119">
        <f>+[2]Retail!$N$51/1000</f>
        <v>0</v>
      </c>
      <c r="AN213" s="117"/>
      <c r="AO213" s="118">
        <f>+[2]SME!$N$49/1000</f>
        <v>6.4492899999999999E-3</v>
      </c>
      <c r="AP213" s="119">
        <f>+[2]SME!$N$50/1000</f>
        <v>6.8124100000000022E-3</v>
      </c>
      <c r="AQ213" s="119">
        <f>+[2]SME!$N$51/1000</f>
        <v>0</v>
      </c>
      <c r="AR213" s="117"/>
      <c r="AS213" s="118">
        <f>+[2]MidCorp!$N$49/1000</f>
        <v>2.1006284200000001</v>
      </c>
      <c r="AT213" s="119">
        <f>+[2]MidCorp!$N$50/1000</f>
        <v>2.3870117999999998</v>
      </c>
      <c r="AU213" s="119">
        <f>+[2]MidCorp!$N$51/1000</f>
        <v>2.0983124239665396</v>
      </c>
      <c r="AV213" s="117"/>
      <c r="AW213" s="121"/>
      <c r="AX213" s="119"/>
      <c r="AY213" s="119"/>
      <c r="AZ213" s="117"/>
      <c r="BA213" s="121"/>
      <c r="BB213" s="119"/>
      <c r="BC213" s="119"/>
      <c r="BD213" s="117"/>
      <c r="BE213" s="121"/>
      <c r="BF213" s="119"/>
      <c r="BG213" s="119"/>
      <c r="BH213" s="117"/>
      <c r="BI213" s="122">
        <f>+'[2]Total P&amp;C'!$N$49/1000</f>
        <v>2.1070664299999997</v>
      </c>
      <c r="BJ213" s="123">
        <f>+'[2]Total P&amp;C'!$N$50/1000</f>
        <v>2.3938242099999996</v>
      </c>
      <c r="BK213" s="123">
        <f>+'[2]Total P&amp;C'!$N$51/1000</f>
        <v>2.0983124239665396</v>
      </c>
      <c r="BM213" s="125">
        <f>+'[3]Total P&amp;C'!$N$49/1000</f>
        <v>13.79226879</v>
      </c>
      <c r="BN213" s="123">
        <f>+'[3]Total P&amp;C'!$N$50/1000</f>
        <v>14.022381729999999</v>
      </c>
      <c r="BO213" s="123">
        <f>+'[3]Total P&amp;C'!$N$51/1000</f>
        <v>14.061786262675113</v>
      </c>
    </row>
    <row r="214" spans="1:67" ht="16.5" hidden="1" customHeight="1" outlineLevel="1" x14ac:dyDescent="0.3">
      <c r="A214" s="214"/>
      <c r="B214" s="115"/>
      <c r="C214" s="116" t="s">
        <v>21</v>
      </c>
      <c r="D214" s="117"/>
      <c r="E214" s="126" t="e">
        <f>+E215+E220+E221+E222+E223</f>
        <v>#DIV/0!</v>
      </c>
      <c r="F214" s="127" t="e">
        <f>+F215+F220+F221+F222+F223</f>
        <v>#DIV/0!</v>
      </c>
      <c r="G214" s="127" t="e">
        <f>+G215+G220+G221+G222+G223</f>
        <v>#DIV/0!</v>
      </c>
      <c r="H214" s="117"/>
      <c r="I214" s="126" t="e">
        <f>+I215+I220+I221+I222+I223</f>
        <v>#DIV/0!</v>
      </c>
      <c r="J214" s="127" t="e">
        <f>+J215+J220+J221+J222+J223</f>
        <v>#DIV/0!</v>
      </c>
      <c r="K214" s="127" t="e">
        <f>+K215+K220+K221+K222+K223</f>
        <v>#DIV/0!</v>
      </c>
      <c r="L214" s="117"/>
      <c r="M214" s="126">
        <f>+M215+M220+M221+M222+M223</f>
        <v>0.69840045515213567</v>
      </c>
      <c r="N214" s="127">
        <f>+N215+N220+N221+N222+N223</f>
        <v>0.89133483059006502</v>
      </c>
      <c r="O214" s="127">
        <f>+O215+O220+O221+O222+O223</f>
        <v>0.84289647219674313</v>
      </c>
      <c r="P214" s="117"/>
      <c r="Q214" s="128">
        <f>+Q215+Q220+Q221+Q222+Q223</f>
        <v>2.6303008464850088</v>
      </c>
      <c r="R214" s="127">
        <f>+R215+R220+R221+R222+R223</f>
        <v>3.4833272436925857</v>
      </c>
      <c r="S214" s="127">
        <f>+S215+S220+S221+S222+S223</f>
        <v>0.51347491672933976</v>
      </c>
      <c r="T214" s="117"/>
      <c r="U214" s="126" t="e">
        <f>+U215+U220+U221+U222+U223</f>
        <v>#DIV/0!</v>
      </c>
      <c r="V214" s="127" t="e">
        <f>+V215+V220+V221+V222+V223</f>
        <v>#DIV/0!</v>
      </c>
      <c r="W214" s="127" t="e">
        <f>+W215+W220+W221+W222+W223</f>
        <v>#DIV/0!</v>
      </c>
      <c r="X214" s="117"/>
      <c r="Y214" s="126">
        <f>+Y215+Y220+Y221+Y222+Y223</f>
        <v>-2.1545842217483999</v>
      </c>
      <c r="Z214" s="127">
        <f>+Z215+Z220+Z221+Z222+Z223</f>
        <v>-0.31111955540778036</v>
      </c>
      <c r="AA214" s="127" t="e">
        <f>+AA215+AA220+AA221+AA222+AA223</f>
        <v>#DIV/0!</v>
      </c>
      <c r="AB214" s="117"/>
      <c r="AC214" s="132">
        <f>+AC215+AC220+AC221+AC222+AC223</f>
        <v>0.71505567918979551</v>
      </c>
      <c r="AD214" s="130">
        <f>+AD215+AD220+AD221+AD222+AD223</f>
        <v>0.91528345641274322</v>
      </c>
      <c r="AE214" s="130">
        <f>+AE215+AE220+AE221+AE222+AE223</f>
        <v>0.84245314886820744</v>
      </c>
      <c r="AG214" s="212"/>
      <c r="AH214" s="115"/>
      <c r="AI214" s="116" t="s">
        <v>21</v>
      </c>
      <c r="AJ214" s="117"/>
      <c r="AK214" s="126">
        <f>+AK215+AK220+AK221+AK222+AK223</f>
        <v>0.175531914893617</v>
      </c>
      <c r="AL214" s="127" t="e">
        <f>+AL215+AL220+AL221+AL222+AL223</f>
        <v>#DIV/0!</v>
      </c>
      <c r="AM214" s="127" t="e">
        <f>+AM215+AM220+AM221+AM222+AM223</f>
        <v>#DIV/0!</v>
      </c>
      <c r="AN214" s="117"/>
      <c r="AO214" s="126">
        <f>+AO215+AO220+AO221+AO222+AO223</f>
        <v>0.16841078630360862</v>
      </c>
      <c r="AP214" s="127">
        <f>+AP215+AP220+AP221+AP222+AP223</f>
        <v>1.2286180661469286</v>
      </c>
      <c r="AQ214" s="127" t="e">
        <f>+AQ215+AQ220+AQ221+AQ222+AQ223</f>
        <v>#DIV/0!</v>
      </c>
      <c r="AR214" s="117"/>
      <c r="AS214" s="126">
        <f>+AS215+AS220+AS221+AS222+AS223</f>
        <v>0.72425026507067858</v>
      </c>
      <c r="AT214" s="127">
        <f>+AT215+AT220+AT221+AT222+AT223</f>
        <v>1.1803555684140314</v>
      </c>
      <c r="AU214" s="127">
        <f>+AU215+AU220+AU221+AU222+AU223</f>
        <v>0.8587145603395574</v>
      </c>
      <c r="AV214" s="117"/>
      <c r="AW214" s="131"/>
      <c r="AX214" s="127"/>
      <c r="AY214" s="127"/>
      <c r="AZ214" s="117"/>
      <c r="BA214" s="131"/>
      <c r="BB214" s="127"/>
      <c r="BC214" s="127"/>
      <c r="BD214" s="117"/>
      <c r="BE214" s="131"/>
      <c r="BF214" s="127"/>
      <c r="BG214" s="127"/>
      <c r="BH214" s="117"/>
      <c r="BI214" s="132">
        <f>+BI215+BI220+BI221+BI222+BI223</f>
        <v>0.72255189410425968</v>
      </c>
      <c r="BJ214" s="130">
        <f>+BJ215+BJ220+BJ221+BJ222+BJ223</f>
        <v>1.1804929151418353</v>
      </c>
      <c r="BK214" s="130">
        <f>+BK215+BK220+BK221+BK222+BK223</f>
        <v>0.8587145603395574</v>
      </c>
      <c r="BM214" s="132">
        <f>+BM215+BM220+BM221+BM222+BM223</f>
        <v>0.71620088764235867</v>
      </c>
      <c r="BN214" s="130">
        <f>+BN215+BN220+BN221+BN222+BN223</f>
        <v>0.96055856268576978</v>
      </c>
      <c r="BO214" s="130">
        <f>+BO215+BO220+BO221+BO222+BO223</f>
        <v>0.84487969134895446</v>
      </c>
    </row>
    <row r="215" spans="1:67" ht="16.5" hidden="1" customHeight="1" outlineLevel="1" x14ac:dyDescent="0.3">
      <c r="A215" s="214"/>
      <c r="B215" s="115"/>
      <c r="C215" s="116" t="s">
        <v>56</v>
      </c>
      <c r="D215" s="117"/>
      <c r="E215" s="128" t="e">
        <f>+E216+E217+E218+E219</f>
        <v>#DIV/0!</v>
      </c>
      <c r="F215" s="127" t="e">
        <f>+F216+F217+F218+F219</f>
        <v>#DIV/0!</v>
      </c>
      <c r="G215" s="127" t="e">
        <f>+G216+G217+G218+G219</f>
        <v>#DIV/0!</v>
      </c>
      <c r="H215" s="117"/>
      <c r="I215" s="128" t="e">
        <f>+I216+I217+I218+I219</f>
        <v>#DIV/0!</v>
      </c>
      <c r="J215" s="127" t="e">
        <f>+J216+J217+J218+J219</f>
        <v>#DIV/0!</v>
      </c>
      <c r="K215" s="127" t="e">
        <f>+K216+K217+K218+K219</f>
        <v>#DIV/0!</v>
      </c>
      <c r="L215" s="117"/>
      <c r="M215" s="128">
        <f>+M216+M217+M218+M219</f>
        <v>0.66353323891485172</v>
      </c>
      <c r="N215" s="127">
        <f>+N216+N217+N218+N219</f>
        <v>0.70303897150844852</v>
      </c>
      <c r="O215" s="127">
        <f>+O216+O217+O218+O219</f>
        <v>0.63920930812318855</v>
      </c>
      <c r="P215" s="117"/>
      <c r="Q215" s="126">
        <f>+Q216+Q217+Q218+Q219</f>
        <v>3.4874994141383141E-2</v>
      </c>
      <c r="R215" s="127">
        <f>+R216+R217+R218+R219</f>
        <v>5.8446640836698122E-2</v>
      </c>
      <c r="S215" s="127">
        <f>+S216+S217+S218+S219</f>
        <v>8.0037080775631E-2</v>
      </c>
      <c r="T215" s="117"/>
      <c r="U215" s="128" t="e">
        <f>+U216+U217+U218+U219</f>
        <v>#DIV/0!</v>
      </c>
      <c r="V215" s="127" t="e">
        <f>+V216+V217+V218+V219</f>
        <v>#DIV/0!</v>
      </c>
      <c r="W215" s="127" t="e">
        <f>+W216+W217+W218+W219</f>
        <v>#DIV/0!</v>
      </c>
      <c r="X215" s="117"/>
      <c r="Y215" s="128">
        <f>+Y216+Y217+Y218+Y219</f>
        <v>0.80170575692963753</v>
      </c>
      <c r="Z215" s="127">
        <f>+Z216+Z217+Z218+Z219</f>
        <v>0</v>
      </c>
      <c r="AA215" s="127" t="e">
        <f>+AA216+AA217+AA218+AA219</f>
        <v>#DIV/0!</v>
      </c>
      <c r="AB215" s="117"/>
      <c r="AC215" s="129">
        <f>+AC216+AC217+AC218+AC219</f>
        <v>0.65816120278125856</v>
      </c>
      <c r="AD215" s="130">
        <f>+AD216+AD217+AD218+AD219</f>
        <v>0.69695955461894632</v>
      </c>
      <c r="AE215" s="130">
        <f>+AE216+AE217+AE218+AE219</f>
        <v>0.6384567948497305</v>
      </c>
      <c r="AG215" s="212"/>
      <c r="AH215" s="115"/>
      <c r="AI215" s="116" t="s">
        <v>56</v>
      </c>
      <c r="AJ215" s="117"/>
      <c r="AK215" s="128">
        <f>+AK216+AK217+AK218+AK219</f>
        <v>0</v>
      </c>
      <c r="AL215" s="127" t="e">
        <f>+AL216+AL217+AL218+AL219</f>
        <v>#DIV/0!</v>
      </c>
      <c r="AM215" s="127" t="e">
        <f>+AM216+AM217+AM218+AM219</f>
        <v>#DIV/0!</v>
      </c>
      <c r="AN215" s="117"/>
      <c r="AO215" s="128">
        <f>+AO216+AO217+AO218+AO219</f>
        <v>4.6516748355245304E-6</v>
      </c>
      <c r="AP215" s="127">
        <f>+AP216+AP217+AP218+AP219</f>
        <v>0.72786135890235593</v>
      </c>
      <c r="AQ215" s="127" t="e">
        <f>+AQ216+AQ217+AQ218+AQ219</f>
        <v>#DIV/0!</v>
      </c>
      <c r="AR215" s="117"/>
      <c r="AS215" s="128">
        <f>+AS216+AS217+AS218+AS219</f>
        <v>0.62022357576215215</v>
      </c>
      <c r="AT215" s="127">
        <f>+AT216+AT217+AT218+AT219</f>
        <v>0.68634367035806021</v>
      </c>
      <c r="AU215" s="127">
        <f>+AU216+AU217+AU218+AU219</f>
        <v>0.54654019402813114</v>
      </c>
      <c r="AV215" s="117"/>
      <c r="AW215" s="131"/>
      <c r="AX215" s="127"/>
      <c r="AY215" s="127"/>
      <c r="AZ215" s="117"/>
      <c r="BA215" s="131"/>
      <c r="BB215" s="127"/>
      <c r="BC215" s="127"/>
      <c r="BD215" s="117"/>
      <c r="BE215" s="131"/>
      <c r="BF215" s="127"/>
      <c r="BG215" s="127"/>
      <c r="BH215" s="117"/>
      <c r="BI215" s="129">
        <f>+BI216+BI217+BI218+BI219</f>
        <v>0.61832853556496559</v>
      </c>
      <c r="BJ215" s="130">
        <f>+BJ216+BJ217+BJ218+BJ219</f>
        <v>0.68646182252455379</v>
      </c>
      <c r="BK215" s="130">
        <f>+BK216+BK217+BK218+BK219</f>
        <v>0.54654019402813114</v>
      </c>
      <c r="BM215" s="129">
        <f>+BM216+BM217+BM218+BM219</f>
        <v>0.65207590403986027</v>
      </c>
      <c r="BN215" s="130">
        <f>+BN216+BN217+BN218+BN219</f>
        <v>0.69516743929064317</v>
      </c>
      <c r="BO215" s="130">
        <f>+BO216+BO217+BO218+BO219</f>
        <v>0.62474091680479971</v>
      </c>
    </row>
    <row r="216" spans="1:67" ht="16.5" hidden="1" customHeight="1" outlineLevel="1" x14ac:dyDescent="0.3">
      <c r="A216" s="214"/>
      <c r="B216" s="115"/>
      <c r="C216" s="38" t="s">
        <v>23</v>
      </c>
      <c r="D216" s="117"/>
      <c r="E216" s="73" t="e">
        <f>-SUM([1]Retail!$O$49,[1]Retail!$R$49:$V$49,[1]Retail!$Y$49,[1]Retail!$AB$49,[1]Retail!$AU$49,[1]Retail!$AX$49,[1]Retail!$BA$49,[1]Retail!$BD$49)/1000/E213</f>
        <v>#DIV/0!</v>
      </c>
      <c r="F216" s="42" t="e">
        <f>-SUM([1]Retail!$O$50,[1]Retail!$R$50:$V$50,[1]Retail!$Y$50,[1]Retail!$AB$50,[1]Retail!$AU$50,[1]Retail!$AX$50,[1]Retail!$BA$50,[1]Retail!$BD$50)/1000/F213</f>
        <v>#DIV/0!</v>
      </c>
      <c r="G216" s="42" t="e">
        <f>-SUM([1]Retail!$O$51,[1]Retail!$R$51:$V$51,[1]Retail!$Y$51,[1]Retail!$AB$51,[1]Retail!$AU$51,[1]Retail!$AX$51,[1]Retail!$BA$51,[1]Retail!$BD$51)/1000/G213</f>
        <v>#DIV/0!</v>
      </c>
      <c r="H216" s="117"/>
      <c r="I216" s="73" t="e">
        <f>-SUM([1]SME!$O$49,[1]SME!$R$49:$V$49,[1]SME!$Y$49,[1]SME!$AB$49,[1]SME!$AU$49,[1]SME!$AX$49,[1]SME!$BA$49,[1]SME!$BD$49)/1000/I213</f>
        <v>#DIV/0!</v>
      </c>
      <c r="J216" s="42" t="e">
        <f>-SUM([1]SME!$O$50,[1]SME!$R$50:$V$50,[1]SME!$Y$50,[1]SME!$AB$50,[1]SME!$AU$50,[1]SME!$AX$50,[1]SME!$BA$50,[1]SME!$BD$50)/1000/J213</f>
        <v>#DIV/0!</v>
      </c>
      <c r="K216" s="42" t="e">
        <f>-SUM([1]SME!$O$51,[1]SME!$R$51:$V$51,[1]SME!$Y$51,[1]SME!$AB$51,[1]SME!$AU$51,[1]SME!$AX$51,[1]SME!$BA$51,[1]SME!$BD$51)/1000/K213</f>
        <v>#DIV/0!</v>
      </c>
      <c r="L216" s="117"/>
      <c r="M216" s="73">
        <f>-SUM([1]MidCorp!$O$49,[1]MidCorp!$R$49:$V$49,[1]MidCorp!$Y$49,[1]MidCorp!$AB$49,[1]MidCorp!$AU$49,[1]MidCorp!$AX$49,[1]MidCorp!$BA$49,[1]MidCorp!$BD$49)/1000/M213</f>
        <v>0.56696219567899298</v>
      </c>
      <c r="N216" s="42">
        <f>-SUM([1]MidCorp!$O$50,[1]MidCorp!$R$50:$V$50,[1]MidCorp!$Y$50,[1]MidCorp!$AB$50,[1]MidCorp!$AU$50,[1]MidCorp!$AX$50,[1]MidCorp!$BA$50,[1]MidCorp!$BD$50)/1000/N213</f>
        <v>0.57456777986256979</v>
      </c>
      <c r="O216" s="42">
        <f>-SUM([1]MidCorp!$O$51,[1]MidCorp!$R$51:$V$51,[1]MidCorp!$Y$51,[1]MidCorp!$AB$51,[1]MidCorp!$AU$51,[1]MidCorp!$AX$51,[1]MidCorp!$BA$51,[1]MidCorp!$BD$51)/1000/O213</f>
        <v>0.53364215982592589</v>
      </c>
      <c r="P216" s="117"/>
      <c r="Q216" s="73">
        <f>-SUM([1]MGA!$O$49,[1]MGA!$R$49:$V$49,[1]MGA!$Y$49,[1]MGA!$AB$49,[1]MGA!$AU$49,[1]MGA!$AX$49,[1]MGA!$BA$49,[1]MGA!$BD$49)/1000/Q213</f>
        <v>2.8770014937970753E-2</v>
      </c>
      <c r="R216" s="42">
        <f>-SUM([1]MGA!$O$50,[1]MGA!$R$50:$V$50,[1]MGA!$Y$50,[1]MGA!$AB$50,[1]MGA!$AU$50,[1]MGA!$AX$50,[1]MGA!$BA$50,[1]MGA!$BD$50)/1000/R213</f>
        <v>2.9387926189844739E-3</v>
      </c>
      <c r="S216" s="42">
        <f>-SUM([1]MGA!$O$51,[1]MGA!$R$51:$V$51,[1]MGA!$Y$51,[1]MGA!$AB$51,[1]MGA!$AU$51,[1]MGA!$AX$51,[1]MGA!$BA$51,[1]MGA!$BD$51)/1000/S213</f>
        <v>7.0985267525890778E-4</v>
      </c>
      <c r="T216" s="117"/>
      <c r="U216" s="73" t="e">
        <f>-SUM([1]Bancassurance!$O$49,[1]Bancassurance!$R$49:$V$49,[1]Bancassurance!$Y$49,[1]Bancassurance!$AB$49,[1]Bancassurance!$AU$49,[1]Bancassurance!$AX$49,[1]Bancassurance!$BA$49,[1]Bancassurance!$BD$49)/1000/U213</f>
        <v>#DIV/0!</v>
      </c>
      <c r="V216" s="42" t="e">
        <f>-SUM([1]Bancassurance!$O$50,[1]Bancassurance!$R$50:$V$50,[1]Bancassurance!$Y$50,[1]Bancassurance!$AB$50,[1]Bancassurance!$AU$50,[1]Bancassurance!$AX$50,[1]Bancassurance!$BA$50,[1]Bancassurance!$BD$50)/1000/V213</f>
        <v>#DIV/0!</v>
      </c>
      <c r="W216" s="42" t="e">
        <f>-SUM([1]Bancassurance!$O$51,[1]Bancassurance!$R$51:$V$51,[1]Bancassurance!$Y$51,[1]Bancassurance!$AB$51,[1]Bancassurance!$AU$51,[1]Bancassurance!$AX$51,[1]Bancassurance!$BA$51,[1]Bancassurance!$BD$51)/1000/W213</f>
        <v>#DIV/0!</v>
      </c>
      <c r="X216" s="117"/>
      <c r="Y216" s="73">
        <f>-SUM([1]Specials!$O$49,[1]Specials!$R$49:$V$49,[1]Specials!$Y$49,[1]Specials!$AB$49,[1]Specials!$AU$49,[1]Specials!$AX$49,[1]Specials!$BA$49,[1]Specials!$BD$49)/1000/Y213</f>
        <v>0</v>
      </c>
      <c r="Z216" s="42">
        <f>-SUM([1]Specials!$O$50,[1]Specials!$R$50:$V$50,[1]Specials!$Y$50,[1]Specials!$AB$50,[1]Specials!$AU$50,[1]Specials!$AX$50,[1]Specials!$BA$50,[1]Specials!$BD$50)/1000/Z213</f>
        <v>0</v>
      </c>
      <c r="AA216" s="42" t="e">
        <f>-SUM([1]Specials!$O$51,[1]Specials!$R$51:$V$51,[1]Specials!$Y$51,[1]Specials!$AB$51,[1]Specials!$AU$51,[1]Specials!$AX$51,[1]Specials!$BA$51,[1]Specials!$BD$51)/1000/AA213</f>
        <v>#DIV/0!</v>
      </c>
      <c r="AB216" s="117"/>
      <c r="AC216" s="84">
        <f>-SUM('[1]Total P&amp;C'!$O$49,'[1]Total P&amp;C'!$R$49:$V$49,'[1]Total P&amp;C'!$Y$49,'[1]Total P&amp;C'!$AB$49,'[1]Total P&amp;C'!$AU$49,'[1]Total P&amp;C'!$AX$49,'[1]Total P&amp;C'!$BA$49,'[1]Total P&amp;C'!$BD$49)/1000/AC213</f>
        <v>0.56236230127211939</v>
      </c>
      <c r="AD216" s="60">
        <f>-SUM('[1]Total P&amp;C'!$O$50,'[1]Total P&amp;C'!$R$50:$V$50,'[1]Total P&amp;C'!$Y$50,'[1]Total P&amp;C'!$AB$50,'[1]Total P&amp;C'!$AU$50,'[1]Total P&amp;C'!$AX$50,'[1]Total P&amp;C'!$BA$50,'[1]Total P&amp;C'!$BD$50)/1000/AD213</f>
        <v>0.5691837907338313</v>
      </c>
      <c r="AE216" s="60">
        <f>-SUM('[1]Total P&amp;C'!$O$51,'[1]Total P&amp;C'!$R$51:$V$51,'[1]Total P&amp;C'!$Y$51,'[1]Total P&amp;C'!$AB$51,'[1]Total P&amp;C'!$AU$51,'[1]Total P&amp;C'!$AX$51,'[1]Total P&amp;C'!$BA$51,'[1]Total P&amp;C'!$BD$51)/1000/AE213</f>
        <v>0.53292495926521888</v>
      </c>
      <c r="AG216" s="212"/>
      <c r="AH216" s="115"/>
      <c r="AI216" s="38" t="s">
        <v>23</v>
      </c>
      <c r="AJ216" s="117"/>
      <c r="AK216" s="73">
        <f>-SUM([2]Retail!$O$49,[2]Retail!$R$49:$V$49,[2]Retail!$Y$49,[2]Retail!$AB$49,[2]Retail!$AU$49,[2]Retail!$AX$49,[2]Retail!$BA$49,[2]Retail!$BD$49)/1000/AK213</f>
        <v>0</v>
      </c>
      <c r="AL216" s="42" t="e">
        <f>-SUM([2]Retail!$O$50,[2]Retail!$R$50:$V$50,[2]Retail!$Y$50,[2]Retail!$AB$50,[2]Retail!$AU$50,[2]Retail!$AX$50,[2]Retail!$BA$50,[2]Retail!$BD$50)/1000/AL213</f>
        <v>#DIV/0!</v>
      </c>
      <c r="AM216" s="42" t="e">
        <f>-SUM([2]Retail!$O$51,[2]Retail!$R$51:$V$51,[2]Retail!$Y$51,[2]Retail!$AB$51,[2]Retail!$AU$51,[2]Retail!$AX$51,[2]Retail!$BA$51,[2]Retail!$BD$51)/1000/AM213</f>
        <v>#DIV/0!</v>
      </c>
      <c r="AN216" s="117"/>
      <c r="AO216" s="73">
        <f>-SUM([2]SME!$O$49,[2]SME!$R$49:$V$49,[2]SME!$Y$49,[2]SME!$AB$49,[2]SME!$AU$49,[2]SME!$AX$49,[2]SME!$BA$49,[2]SME!$BD$49)/1000/AO213</f>
        <v>4.6516748355245304E-6</v>
      </c>
      <c r="AP216" s="42">
        <f>-SUM([2]SME!$O$50,[2]SME!$R$50:$V$50,[2]SME!$Y$50,[2]SME!$AB$50,[2]SME!$AU$50,[2]SME!$AX$50,[2]SME!$BA$50,[2]SME!$BD$50)/1000/AP213</f>
        <v>0.72786135890235593</v>
      </c>
      <c r="AQ216" s="42" t="e">
        <f>-SUM([2]SME!$O$51,[2]SME!$R$51:$V$51,[2]SME!$Y$51,[2]SME!$AB$51,[2]SME!$AU$51,[2]SME!$AX$51,[2]SME!$BA$51,[2]SME!$BD$51)/1000/AQ213</f>
        <v>#DIV/0!</v>
      </c>
      <c r="AR216" s="117"/>
      <c r="AS216" s="73">
        <f>-SUM([2]MidCorp!$O$49,[2]MidCorp!$R$49:$V$49,[2]MidCorp!$Y$49,[2]MidCorp!$AB$49,[2]MidCorp!$AU$49,[2]MidCorp!$AX$49,[2]MidCorp!$BA$49,[2]MidCorp!$BD$49)/1000/AS213</f>
        <v>0.35620667742846207</v>
      </c>
      <c r="AT216" s="42">
        <f>-SUM([2]MidCorp!$O$50,[2]MidCorp!$R$50:$V$50,[2]MidCorp!$Y$50,[2]MidCorp!$AB$50,[2]MidCorp!$AU$50,[2]MidCorp!$AX$50,[2]MidCorp!$BA$50,[2]MidCorp!$BD$50)/1000/AT213</f>
        <v>0.34759935413809012</v>
      </c>
      <c r="AU216" s="42">
        <f>-SUM([2]MidCorp!$O$51,[2]MidCorp!$R$51:$V$51,[2]MidCorp!$Y$51,[2]MidCorp!$AB$51,[2]MidCorp!$AU$51,[2]MidCorp!$AX$51,[2]MidCorp!$BA$51,[2]MidCorp!$BD$51)/1000/AU213</f>
        <v>0.29714040066303432</v>
      </c>
      <c r="AV216" s="117"/>
      <c r="AW216" s="97"/>
      <c r="AX216" s="42"/>
      <c r="AY216" s="42"/>
      <c r="AZ216" s="117"/>
      <c r="BA216" s="97"/>
      <c r="BB216" s="42"/>
      <c r="BC216" s="42"/>
      <c r="BD216" s="117"/>
      <c r="BE216" s="97"/>
      <c r="BF216" s="42"/>
      <c r="BG216" s="42"/>
      <c r="BH216" s="117"/>
      <c r="BI216" s="84">
        <f>-SUM('[2]Total P&amp;C'!$O$49,'[2]Total P&amp;C'!$R$49:$V$49,'[2]Total P&amp;C'!$Y$49,'[2]Total P&amp;C'!$AB$49,'[2]Total P&amp;C'!$AU$49,'[2]Total P&amp;C'!$AX$49,'[2]Total P&amp;C'!$BA$49,'[2]Total P&amp;C'!$BD$49)/1000/BI213</f>
        <v>0.35511832438999086</v>
      </c>
      <c r="BJ216" s="60">
        <f>-SUM('[2]Total P&amp;C'!$O$50,'[2]Total P&amp;C'!$R$50:$V$50,'[2]Total P&amp;C'!$Y$50,'[2]Total P&amp;C'!$AB$50,'[2]Total P&amp;C'!$AU$50,'[2]Total P&amp;C'!$AX$50,'[2]Total P&amp;C'!$BA$50,'[2]Total P&amp;C'!$BD$50)/1000/BJ213</f>
        <v>0.34868151408661713</v>
      </c>
      <c r="BK216" s="60">
        <f>-SUM('[2]Total P&amp;C'!$O$51,'[2]Total P&amp;C'!$R$51:$V$51,'[2]Total P&amp;C'!$Y$51,'[2]Total P&amp;C'!$AB$51,'[2]Total P&amp;C'!$AU$51,'[2]Total P&amp;C'!$AX$51,'[2]Total P&amp;C'!$BA$51,'[2]Total P&amp;C'!$BD$51)/1000/BK213</f>
        <v>0.29714040066303432</v>
      </c>
      <c r="BM216" s="84">
        <f>-SUM('[3]Total P&amp;C'!$O$49,'[3]Total P&amp;C'!$R$49:$V$49,'[3]Total P&amp;C'!$Y$49,'[3]Total P&amp;C'!$AB$49,'[3]Total P&amp;C'!$AU$49,'[3]Total P&amp;C'!$AX$49,'[3]Total P&amp;C'!$BA$49,'[3]Total P&amp;C'!$BD$49)/1000/BM213</f>
        <v>0.53070131545775945</v>
      </c>
      <c r="BN216" s="60">
        <f>-SUM('[3]Total P&amp;C'!$O$50,'[3]Total P&amp;C'!$R$50:$V$50,'[3]Total P&amp;C'!$Y$50,'[3]Total P&amp;C'!$AB$50,'[3]Total P&amp;C'!$AU$50,'[3]Total P&amp;C'!$AX$50,'[3]Total P&amp;C'!$BA$50,'[3]Total P&amp;C'!$BD$50)/1000/BN213</f>
        <v>0.53154084972981264</v>
      </c>
      <c r="BO216" s="60">
        <f>-SUM('[3]Total P&amp;C'!$O$51,'[3]Total P&amp;C'!$R$51:$V$51,'[3]Total P&amp;C'!$Y$51,'[3]Total P&amp;C'!$AB$51,'[3]Total P&amp;C'!$AU$51,'[3]Total P&amp;C'!$AX$51,'[3]Total P&amp;C'!$BA$51,'[3]Total P&amp;C'!$BD$51)/1000/BO213</f>
        <v>0.49774097485154101</v>
      </c>
    </row>
    <row r="217" spans="1:67" ht="16.5" hidden="1" customHeight="1" outlineLevel="1" x14ac:dyDescent="0.3">
      <c r="A217" s="214"/>
      <c r="B217" s="115"/>
      <c r="C217" s="38" t="s">
        <v>24</v>
      </c>
      <c r="D217" s="134"/>
      <c r="E217" s="74" t="e">
        <f>-([1]Retail!$P$49+[1]Retail!$W$49+[1]Retail!$AV$49+[1]Retail!$AY$49)/1000/E213</f>
        <v>#DIV/0!</v>
      </c>
      <c r="F217" s="42" t="e">
        <f>-([1]Retail!$P$50+[1]Retail!$W$50+[1]Retail!$AV$50+[1]Retail!$AY$50)/1000/F213</f>
        <v>#DIV/0!</v>
      </c>
      <c r="G217" s="42" t="e">
        <f>-([1]Retail!$P$51+[1]Retail!$W$51+[1]Retail!$AV$51+[1]Retail!$AY$51)/1000/G213</f>
        <v>#DIV/0!</v>
      </c>
      <c r="H217" s="134"/>
      <c r="I217" s="74" t="e">
        <f>-([1]SME!$P$49+[1]SME!$W$49+[1]SME!$AV$49+[1]SME!$AY$49)/1000/I213</f>
        <v>#DIV/0!</v>
      </c>
      <c r="J217" s="42" t="e">
        <f>-([1]SME!$P$50+[1]SME!$W$50+[1]SME!$AV$50+[1]SME!$AY$50)/1000/J213</f>
        <v>#DIV/0!</v>
      </c>
      <c r="K217" s="42" t="e">
        <f>-([1]SME!$P$51+[1]SME!$W$51+[1]SME!$AV$51+[1]SME!$AY$51)/1000/K213</f>
        <v>#DIV/0!</v>
      </c>
      <c r="L217" s="134"/>
      <c r="M217" s="97">
        <f>-([1]MidCorp!$P$49+[1]MidCorp!$W$49+[1]MidCorp!$AV$49+[1]MidCorp!$AY$49)/1000/M213</f>
        <v>0</v>
      </c>
      <c r="N217" s="42">
        <f>-([1]MidCorp!$P$50+[1]MidCorp!$W$50+[1]MidCorp!$AV$50+[1]MidCorp!$AY$50)/1000/N213</f>
        <v>0</v>
      </c>
      <c r="O217" s="42">
        <f>-([1]MidCorp!$P$51+[1]MidCorp!$W$51+[1]MidCorp!$AV$51+[1]MidCorp!$AY$51)/1000/O213</f>
        <v>0</v>
      </c>
      <c r="P217" s="134"/>
      <c r="Q217" s="97">
        <f>-([1]MGA!$P$49+[1]MGA!$W$49+[1]MGA!$AV$49+[1]MGA!$AY$49)/1000/Q213</f>
        <v>0</v>
      </c>
      <c r="R217" s="42">
        <f>-([1]MGA!$P$50+[1]MGA!$W$50+[1]MGA!$AV$50+[1]MGA!$AY$50)/1000/R213</f>
        <v>0</v>
      </c>
      <c r="S217" s="42">
        <f>-([1]MGA!$P$51+[1]MGA!$W$51+[1]MGA!$AV$51+[1]MGA!$AY$51)/1000/S213</f>
        <v>0</v>
      </c>
      <c r="T217" s="134"/>
      <c r="U217" s="74" t="e">
        <f>-([1]Bancassurance!$P$49+[1]Bancassurance!$W$49+[1]Bancassurance!$AV$49+[1]Bancassurance!$AY$49)/1000/U213</f>
        <v>#DIV/0!</v>
      </c>
      <c r="V217" s="42" t="e">
        <f>-([1]Bancassurance!$P$50+[1]Bancassurance!$W$50+[1]Bancassurance!$AV$50+[1]Bancassurance!$AY$50)/1000/V213</f>
        <v>#DIV/0!</v>
      </c>
      <c r="W217" s="42" t="e">
        <f>-([1]Bancassurance!$P$51+[1]Bancassurance!$W$51+[1]Bancassurance!$AV$51+[1]Bancassurance!$AY$51)/1000/W213</f>
        <v>#DIV/0!</v>
      </c>
      <c r="X217" s="134"/>
      <c r="Y217" s="74">
        <f>-([1]Specials!$P$49+[1]Specials!$W$49+[1]Specials!$AV$49+[1]Specials!$AY$49)/1000/Y213</f>
        <v>0</v>
      </c>
      <c r="Z217" s="42">
        <f>-([1]Specials!$P$50+[1]Specials!$W$50+[1]Specials!$AV$50+[1]Specials!$AY$50)/1000/Z213</f>
        <v>0</v>
      </c>
      <c r="AA217" s="42" t="e">
        <f>-([1]Specials!$P$51+[1]Specials!$W$51+[1]Specials!$AV$51+[1]Specials!$AY$51)/1000/AA213</f>
        <v>#DIV/0!</v>
      </c>
      <c r="AB217" s="134"/>
      <c r="AC217" s="99">
        <f>-('[1]Total P&amp;C'!$P$49+'[1]Total P&amp;C'!$W$49+'[1]Total P&amp;C'!$AV$49+'[1]Total P&amp;C'!$AY$49)/1000/AC213</f>
        <v>0</v>
      </c>
      <c r="AD217" s="60">
        <f>-('[1]Total P&amp;C'!$P$50+'[1]Total P&amp;C'!$W$50+'[1]Total P&amp;C'!$AV$50+'[1]Total P&amp;C'!$AY$50)/1000/AD213</f>
        <v>0</v>
      </c>
      <c r="AE217" s="60">
        <f>-('[1]Total P&amp;C'!$P$51+'[1]Total P&amp;C'!$W$51+'[1]Total P&amp;C'!$AV$51+'[1]Total P&amp;C'!$AY$51)/1000/AE213</f>
        <v>0</v>
      </c>
      <c r="AG217" s="212"/>
      <c r="AH217" s="115"/>
      <c r="AI217" s="38" t="s">
        <v>24</v>
      </c>
      <c r="AJ217" s="134"/>
      <c r="AK217" s="74">
        <f>-([2]Retail!$P$49+[2]Retail!$W$49+[2]Retail!$AV$49+[2]Retail!$AY$49)/1000/AK213</f>
        <v>0</v>
      </c>
      <c r="AL217" s="42" t="e">
        <f>-([2]Retail!$P$50+[2]Retail!$W$50+[2]Retail!$AV$50+[2]Retail!$AY$50)/1000/AL213</f>
        <v>#DIV/0!</v>
      </c>
      <c r="AM217" s="42" t="e">
        <f>-([2]Retail!$P$51+[2]Retail!$W$51+[2]Retail!$AV$51+[2]Retail!$AY$51)/1000/AM213</f>
        <v>#DIV/0!</v>
      </c>
      <c r="AN217" s="134"/>
      <c r="AO217" s="74">
        <f>-([2]SME!$P$49+[2]SME!$W$49+[2]SME!$AV$49+[2]SME!$AY$49)/1000/AO213</f>
        <v>0</v>
      </c>
      <c r="AP217" s="42">
        <f>-([2]SME!$P$50+[2]SME!$W$50+[2]SME!$AV$50+[2]SME!$AY$50)/1000/AP213</f>
        <v>0</v>
      </c>
      <c r="AQ217" s="42" t="e">
        <f>-([2]SME!$P$51+[2]SME!$W$51+[2]SME!$AV$51+[2]SME!$AY$51)/1000/AQ213</f>
        <v>#DIV/0!</v>
      </c>
      <c r="AR217" s="134"/>
      <c r="AS217" s="97">
        <f>-([2]MidCorp!$P$49+[2]MidCorp!$W$49+[2]MidCorp!$AV$49+[2]MidCorp!$AY$49)/1000/AS213</f>
        <v>0</v>
      </c>
      <c r="AT217" s="42">
        <f>-([2]MidCorp!$P$50+[2]MidCorp!$W$50+[2]MidCorp!$AV$50+[2]MidCorp!$AY$50)/1000/AT213</f>
        <v>0</v>
      </c>
      <c r="AU217" s="42">
        <f>-([2]MidCorp!$P$51+[2]MidCorp!$W$51+[2]MidCorp!$AV$51+[2]MidCorp!$AY$51)/1000/AU213</f>
        <v>0</v>
      </c>
      <c r="AV217" s="134"/>
      <c r="AW217" s="97"/>
      <c r="AX217" s="42"/>
      <c r="AY217" s="42"/>
      <c r="AZ217" s="134"/>
      <c r="BA217" s="97"/>
      <c r="BB217" s="42"/>
      <c r="BC217" s="42"/>
      <c r="BD217" s="134"/>
      <c r="BE217" s="97"/>
      <c r="BF217" s="42"/>
      <c r="BG217" s="42"/>
      <c r="BH217" s="134"/>
      <c r="BI217" s="99">
        <f>-('[2]Total P&amp;C'!$P$49+'[2]Total P&amp;C'!$W$49+'[2]Total P&amp;C'!$AV$49+'[2]Total P&amp;C'!$AY$49)/1000/BI213</f>
        <v>0</v>
      </c>
      <c r="BJ217" s="60">
        <f>-('[2]Total P&amp;C'!$P$50+'[2]Total P&amp;C'!$W$50+'[2]Total P&amp;C'!$AV$50+'[2]Total P&amp;C'!$AY$50)/1000/BJ213</f>
        <v>0</v>
      </c>
      <c r="BK217" s="60">
        <f>-('[2]Total P&amp;C'!$P$51+'[2]Total P&amp;C'!$W$51+'[2]Total P&amp;C'!$AV$51+'[2]Total P&amp;C'!$AY$51)/1000/BK213</f>
        <v>0</v>
      </c>
      <c r="BM217" s="99">
        <f>-('[3]Total P&amp;C'!$P$49+'[3]Total P&amp;C'!$W$49+'[3]Total P&amp;C'!$AV$49+'[3]Total P&amp;C'!$AY$49)/1000/BM213</f>
        <v>0</v>
      </c>
      <c r="BN217" s="60">
        <f>-('[3]Total P&amp;C'!$P$50+'[3]Total P&amp;C'!$W$50+'[3]Total P&amp;C'!$AV$50+'[3]Total P&amp;C'!$AY$50)/1000/BN213</f>
        <v>0</v>
      </c>
      <c r="BO217" s="60">
        <f>-('[3]Total P&amp;C'!$P$51+'[3]Total P&amp;C'!$W$51+'[3]Total P&amp;C'!$AV$51+'[3]Total P&amp;C'!$AY$51)/1000/BO213</f>
        <v>0</v>
      </c>
    </row>
    <row r="218" spans="1:67" ht="16.5" hidden="1" customHeight="1" outlineLevel="1" x14ac:dyDescent="0.3">
      <c r="A218" s="214"/>
      <c r="B218" s="115"/>
      <c r="C218" s="38" t="s">
        <v>25</v>
      </c>
      <c r="D218" s="134"/>
      <c r="E218" s="97" t="e">
        <f>-([1]Retail!$Q$49+[1]Retail!$X$49+[1]Retail!$AW$49+[1]Retail!$AZ$49)/1000/E213</f>
        <v>#DIV/0!</v>
      </c>
      <c r="F218" s="42" t="e">
        <f>-([1]Retail!$Q$50+[1]Retail!$X$50+[1]Retail!$AW$50+[1]Retail!$AZ$50)/1000/F213</f>
        <v>#DIV/0!</v>
      </c>
      <c r="G218" s="42" t="e">
        <f>-([1]Retail!$Q$51+[1]Retail!$X$51+[1]Retail!$AW$51+[1]Retail!$AZ$51)/1000/G213</f>
        <v>#DIV/0!</v>
      </c>
      <c r="H218" s="134"/>
      <c r="I218" s="74" t="e">
        <f>-([1]SME!$Q$49+[1]SME!$X$49+[1]SME!$AW$49+[1]SME!$AZ$49)/1000/I213</f>
        <v>#DIV/0!</v>
      </c>
      <c r="J218" s="42" t="e">
        <f>-([1]SME!$Q$50+[1]SME!$X$50+[1]SME!$AW$50+[1]SME!$AZ$50)/1000/J213</f>
        <v>#DIV/0!</v>
      </c>
      <c r="K218" s="42" t="e">
        <f>-([1]SME!$Q$51+[1]SME!$X$51+[1]SME!$AW$51+[1]SME!$AZ$51)/1000/K213</f>
        <v>#DIV/0!</v>
      </c>
      <c r="L218" s="134"/>
      <c r="M218" s="74">
        <f>-([1]MidCorp!$Q$49+[1]MidCorp!$X$49+[1]MidCorp!$AW$49+[1]MidCorp!$AZ$49)/1000/M213</f>
        <v>5.6105433496353177E-2</v>
      </c>
      <c r="N218" s="42">
        <f>-([1]MidCorp!$Q$50+[1]MidCorp!$X$50+[1]MidCorp!$AW$50+[1]MidCorp!$AZ$50)/1000/N213</f>
        <v>8.4468845505898199E-2</v>
      </c>
      <c r="O218" s="42">
        <f>-([1]MidCorp!$Q$51+[1]MidCorp!$X$51+[1]MidCorp!$AW$51+[1]MidCorp!$AZ$51)/1000/O213</f>
        <v>6.1886227938741808E-2</v>
      </c>
      <c r="P218" s="134"/>
      <c r="Q218" s="97">
        <f>-([1]MGA!$Q$49+[1]MGA!$X$49+[1]MGA!$AW$49+[1]MGA!$AZ$49)/1000/Q213</f>
        <v>0</v>
      </c>
      <c r="R218" s="42">
        <f>-([1]MGA!$Q$50+[1]MGA!$X$50+[1]MGA!$AW$50+[1]MGA!$AZ$50)/1000/R213</f>
        <v>0</v>
      </c>
      <c r="S218" s="42">
        <f>-([1]MGA!$Q$51+[1]MGA!$X$51+[1]MGA!$AW$51+[1]MGA!$AZ$51)/1000/S213</f>
        <v>0</v>
      </c>
      <c r="T218" s="134"/>
      <c r="U218" s="97" t="e">
        <f>-([1]Bancassurance!$Q$49+[1]Bancassurance!$X$49+[1]Bancassurance!$AW$49+[1]Bancassurance!$AZ$49)/1000/U213</f>
        <v>#DIV/0!</v>
      </c>
      <c r="V218" s="42" t="e">
        <f>-([1]Bancassurance!$Q$50+[1]Bancassurance!$X$50+[1]Bancassurance!$AW$50+[1]Bancassurance!$AZ$50)/1000/V213</f>
        <v>#DIV/0!</v>
      </c>
      <c r="W218" s="42" t="e">
        <f>-([1]Bancassurance!$Q$51+[1]Bancassurance!$X$51+[1]Bancassurance!$AW$51+[1]Bancassurance!$AZ$51)/1000/W213</f>
        <v>#DIV/0!</v>
      </c>
      <c r="X218" s="134"/>
      <c r="Y218" s="97">
        <f>-([1]Specials!$Q$49+[1]Specials!$X$49+[1]Specials!$AW$49+[1]Specials!$AZ$49)/1000/Y213</f>
        <v>0</v>
      </c>
      <c r="Z218" s="42">
        <f>-([1]Specials!$Q$50+[1]Specials!$X$50+[1]Specials!$AW$50+[1]Specials!$AZ$50)/1000/Z213</f>
        <v>0</v>
      </c>
      <c r="AA218" s="42" t="e">
        <f>-([1]Specials!$Q$51+[1]Specials!$X$51+[1]Specials!$AW$51+[1]Specials!$AZ$51)/1000/AA213</f>
        <v>#DIV/0!</v>
      </c>
      <c r="AB218" s="134"/>
      <c r="AC218" s="85">
        <f>-('[1]Total P&amp;C'!$Q$49+'[1]Total P&amp;C'!$X$49+'[1]Total P&amp;C'!$AW$49+'[1]Total P&amp;C'!$AZ$49)/1000/AC213</f>
        <v>5.5625908732658012E-2</v>
      </c>
      <c r="AD218" s="60">
        <f>-('[1]Total P&amp;C'!$Q$50+'[1]Total P&amp;C'!$X$50+'[1]Total P&amp;C'!$AW$50+'[1]Total P&amp;C'!$AZ$50)/1000/AD213</f>
        <v>8.3673318752264303E-2</v>
      </c>
      <c r="AE218" s="60">
        <f>-('[1]Total P&amp;C'!$Q$51+'[1]Total P&amp;C'!$X$51+'[1]Total P&amp;C'!$AW$51+'[1]Total P&amp;C'!$AZ$51)/1000/AE213</f>
        <v>6.1802943745267E-2</v>
      </c>
      <c r="AG218" s="212"/>
      <c r="AH218" s="115"/>
      <c r="AI218" s="38" t="s">
        <v>25</v>
      </c>
      <c r="AJ218" s="134"/>
      <c r="AK218" s="97">
        <f>-([2]Retail!$Q$49+[2]Retail!$X$49+[2]Retail!$AW$49+[2]Retail!$AZ$49)/1000/AK213</f>
        <v>0</v>
      </c>
      <c r="AL218" s="42" t="e">
        <f>-([2]Retail!$Q$50+[2]Retail!$X$50+[2]Retail!$AW$50+[2]Retail!$AZ$50)/1000/AL213</f>
        <v>#DIV/0!</v>
      </c>
      <c r="AM218" s="42" t="e">
        <f>-([2]Retail!$Q$51+[2]Retail!$X$51+[2]Retail!$AW$51+[2]Retail!$AZ$51)/1000/AM213</f>
        <v>#DIV/0!</v>
      </c>
      <c r="AN218" s="134"/>
      <c r="AO218" s="74">
        <f>-([2]SME!$Q$49+[2]SME!$X$49+[2]SME!$AW$49+[2]SME!$AZ$49)/1000/AO213</f>
        <v>0</v>
      </c>
      <c r="AP218" s="42">
        <f>-([2]SME!$Q$50+[2]SME!$X$50+[2]SME!$AW$50+[2]SME!$AZ$50)/1000/AP213</f>
        <v>0</v>
      </c>
      <c r="AQ218" s="42" t="e">
        <f>-([2]SME!$Q$51+[2]SME!$X$51+[2]SME!$AW$51+[2]SME!$AZ$51)/1000/AQ213</f>
        <v>#DIV/0!</v>
      </c>
      <c r="AR218" s="134"/>
      <c r="AS218" s="97">
        <f>-([2]MidCorp!$Q$49+[2]MidCorp!$X$49+[2]MidCorp!$AW$49+[2]MidCorp!$AZ$49)/1000/AS213</f>
        <v>0</v>
      </c>
      <c r="AT218" s="42">
        <f>-([2]MidCorp!$Q$50+[2]MidCorp!$X$50+[2]MidCorp!$AW$50+[2]MidCorp!$AZ$50)/1000/AT213</f>
        <v>0</v>
      </c>
      <c r="AU218" s="42">
        <f>-([2]MidCorp!$Q$51+[2]MidCorp!$X$51+[2]MidCorp!$AW$51+[2]MidCorp!$AZ$51)/1000/AU213</f>
        <v>0</v>
      </c>
      <c r="AV218" s="134"/>
      <c r="AW218" s="97"/>
      <c r="AX218" s="42"/>
      <c r="AY218" s="42"/>
      <c r="AZ218" s="134"/>
      <c r="BA218" s="97"/>
      <c r="BB218" s="42"/>
      <c r="BC218" s="42"/>
      <c r="BD218" s="134"/>
      <c r="BE218" s="97"/>
      <c r="BF218" s="42"/>
      <c r="BG218" s="42"/>
      <c r="BH218" s="134"/>
      <c r="BI218" s="99">
        <f>-('[2]Total P&amp;C'!$Q$49+'[2]Total P&amp;C'!$X$49+'[2]Total P&amp;C'!$AW$49+'[2]Total P&amp;C'!$AZ$49)/1000/BI213</f>
        <v>0</v>
      </c>
      <c r="BJ218" s="60">
        <f>-('[2]Total P&amp;C'!$Q$50+'[2]Total P&amp;C'!$X$50+'[2]Total P&amp;C'!$AW$50+'[2]Total P&amp;C'!$AZ$50)/1000/BJ213</f>
        <v>0</v>
      </c>
      <c r="BK218" s="60">
        <f>-('[2]Total P&amp;C'!$Q$51+'[2]Total P&amp;C'!$X$51+'[2]Total P&amp;C'!$AW$51+'[2]Total P&amp;C'!$AZ$51)/1000/BK213</f>
        <v>0</v>
      </c>
      <c r="BM218" s="85">
        <f>-('[3]Total P&amp;C'!$Q$49+'[3]Total P&amp;C'!$X$49+'[3]Total P&amp;C'!$AW$49+'[3]Total P&amp;C'!$AZ$49)/1000/BM213</f>
        <v>4.7127851834737916E-2</v>
      </c>
      <c r="BN218" s="60">
        <f>-('[3]Total P&amp;C'!$Q$50+'[3]Total P&amp;C'!$X$50+'[3]Total P&amp;C'!$AW$50+'[3]Total P&amp;C'!$AZ$50)/1000/BN213</f>
        <v>6.9389068043863619E-2</v>
      </c>
      <c r="BO218" s="60">
        <f>-('[3]Total P&amp;C'!$Q$51+'[3]Total P&amp;C'!$X$51+'[3]Total P&amp;C'!$AW$51+'[3]Total P&amp;C'!$AZ$51)/1000/BO213</f>
        <v>5.2580652759190799E-2</v>
      </c>
    </row>
    <row r="219" spans="1:67" ht="16.5" hidden="1" customHeight="1" outlineLevel="1" x14ac:dyDescent="0.3">
      <c r="A219" s="214"/>
      <c r="B219" s="115"/>
      <c r="C219" s="38" t="s">
        <v>53</v>
      </c>
      <c r="D219" s="134"/>
      <c r="E219" s="74" t="e">
        <f>-[1]Retail!$AT$49/1000/E213</f>
        <v>#DIV/0!</v>
      </c>
      <c r="F219" s="42" t="e">
        <f>-[1]Retail!$AT$50/1000/F213</f>
        <v>#DIV/0!</v>
      </c>
      <c r="G219" s="42" t="e">
        <f>-[1]Retail!$AT$51/1000/G213</f>
        <v>#DIV/0!</v>
      </c>
      <c r="H219" s="134"/>
      <c r="I219" s="74" t="e">
        <f>-[1]SME!$AT$49/1000/I213</f>
        <v>#DIV/0!</v>
      </c>
      <c r="J219" s="42" t="e">
        <f>-[1]SME!$AT$50/1000/J213</f>
        <v>#DIV/0!</v>
      </c>
      <c r="K219" s="42" t="e">
        <f>-[1]SME!$AT$51/1000/K213</f>
        <v>#DIV/0!</v>
      </c>
      <c r="L219" s="134"/>
      <c r="M219" s="74">
        <f>-[1]MidCorp!$AT$49/1000/M213</f>
        <v>4.0465609739505547E-2</v>
      </c>
      <c r="N219" s="42">
        <f>-[1]MidCorp!$AT$50/1000/N213</f>
        <v>4.4002346139980553E-2</v>
      </c>
      <c r="O219" s="42">
        <f>-[1]MidCorp!$AT$51/1000/O213</f>
        <v>4.3680920358520878E-2</v>
      </c>
      <c r="P219" s="134"/>
      <c r="Q219" s="74">
        <f>-[1]MGA!$AT$49/1000/Q213</f>
        <v>6.1049792034123859E-3</v>
      </c>
      <c r="R219" s="42">
        <f>-[1]MGA!$AT$50/1000/R213</f>
        <v>5.5507848217713651E-2</v>
      </c>
      <c r="S219" s="42">
        <f>-[1]MGA!$AT$51/1000/S213</f>
        <v>7.9327228100372099E-2</v>
      </c>
      <c r="T219" s="134"/>
      <c r="U219" s="74" t="e">
        <f>-[1]Bancassurance!$AT$49/1000/U213</f>
        <v>#DIV/0!</v>
      </c>
      <c r="V219" s="42" t="e">
        <f>-[1]Bancassurance!$AT$50/1000/V213</f>
        <v>#DIV/0!</v>
      </c>
      <c r="W219" s="42" t="e">
        <f>-[1]Bancassurance!$AT$51/1000/W213</f>
        <v>#DIV/0!</v>
      </c>
      <c r="X219" s="134"/>
      <c r="Y219" s="74">
        <f>-[1]Specials!$AT$49/1000/Y213</f>
        <v>0.80170575692963753</v>
      </c>
      <c r="Z219" s="42">
        <f>-[1]Specials!$AT$50/1000/Z213</f>
        <v>0</v>
      </c>
      <c r="AA219" s="42" t="e">
        <f>-[1]Specials!$AT$51/1000/AA213</f>
        <v>#DIV/0!</v>
      </c>
      <c r="AB219" s="134"/>
      <c r="AC219" s="85">
        <f>-'[1]Total P&amp;C'!$AT$49/1000/AC213</f>
        <v>4.0172992776481141E-2</v>
      </c>
      <c r="AD219" s="60">
        <f>-'[1]Total P&amp;C'!$AT$50/1000/AD213</f>
        <v>4.4102445132850825E-2</v>
      </c>
      <c r="AE219" s="60">
        <f>-'[1]Total P&amp;C'!$AT$51/1000/AE213</f>
        <v>4.3728891839244714E-2</v>
      </c>
      <c r="AG219" s="212"/>
      <c r="AH219" s="115"/>
      <c r="AI219" s="38" t="s">
        <v>53</v>
      </c>
      <c r="AJ219" s="134"/>
      <c r="AK219" s="74">
        <f>-[2]Retail!$AT$49/1000/AK213</f>
        <v>0</v>
      </c>
      <c r="AL219" s="42" t="e">
        <f>-[2]Retail!$AT$50/1000/AL213</f>
        <v>#DIV/0!</v>
      </c>
      <c r="AM219" s="42" t="e">
        <f>-[2]Retail!$AT$51/1000/AM213</f>
        <v>#DIV/0!</v>
      </c>
      <c r="AN219" s="134"/>
      <c r="AO219" s="74">
        <f>-[2]SME!$AT$49/1000/AO213</f>
        <v>0</v>
      </c>
      <c r="AP219" s="42">
        <f>-[2]SME!$AT$50/1000/AP213</f>
        <v>0</v>
      </c>
      <c r="AQ219" s="42" t="e">
        <f>-[2]SME!$AT$51/1000/AQ213</f>
        <v>#DIV/0!</v>
      </c>
      <c r="AR219" s="134"/>
      <c r="AS219" s="73">
        <f>-[2]MidCorp!$AT$49/1000/AS213</f>
        <v>0.26401689833369008</v>
      </c>
      <c r="AT219" s="42">
        <f>-[2]MidCorp!$AT$50/1000/AT213</f>
        <v>0.33874431621997009</v>
      </c>
      <c r="AU219" s="42">
        <f>-[2]MidCorp!$AT$51/1000/AU213</f>
        <v>0.24939979336509688</v>
      </c>
      <c r="AV219" s="134"/>
      <c r="AW219" s="97"/>
      <c r="AX219" s="42"/>
      <c r="AY219" s="42"/>
      <c r="AZ219" s="134"/>
      <c r="BA219" s="97"/>
      <c r="BB219" s="42"/>
      <c r="BC219" s="42"/>
      <c r="BD219" s="134"/>
      <c r="BE219" s="97"/>
      <c r="BF219" s="42"/>
      <c r="BG219" s="42"/>
      <c r="BH219" s="134"/>
      <c r="BI219" s="84">
        <f>-'[2]Total P&amp;C'!$AT$49/1000/BI213</f>
        <v>0.26321021117497473</v>
      </c>
      <c r="BJ219" s="60">
        <f>-'[2]Total P&amp;C'!$AT$50/1000/BJ213</f>
        <v>0.33778030843793666</v>
      </c>
      <c r="BK219" s="60">
        <f>-'[2]Total P&amp;C'!$AT$51/1000/BK213</f>
        <v>0.24939979336509688</v>
      </c>
      <c r="BM219" s="85">
        <f>-'[3]Total P&amp;C'!$AT$49/1000/BM213</f>
        <v>7.4246736747362971E-2</v>
      </c>
      <c r="BN219" s="60">
        <f>-'[3]Total P&amp;C'!$AT$50/1000/BN213</f>
        <v>9.4237521516967002E-2</v>
      </c>
      <c r="BO219" s="60">
        <f>-'[3]Total P&amp;C'!$AT$51/1000/BO213</f>
        <v>7.4419289194067983E-2</v>
      </c>
    </row>
    <row r="220" spans="1:67" ht="16.5" hidden="1" customHeight="1" outlineLevel="1" x14ac:dyDescent="0.3">
      <c r="A220" s="214"/>
      <c r="B220" s="115"/>
      <c r="C220" s="116" t="s">
        <v>27</v>
      </c>
      <c r="D220" s="134"/>
      <c r="E220" s="128" t="e">
        <f>-([1]Retail!$Z$49+[1]Retail!$AA$49+[1]Retail!$BB$49+[1]Retail!$BC$49)/1000/E213</f>
        <v>#DIV/0!</v>
      </c>
      <c r="F220" s="127" t="e">
        <f>-([1]Retail!$Z$50+[1]Retail!$AA$50+[1]Retail!$BB$50+[1]Retail!$BC$50)/1000/F213</f>
        <v>#DIV/0!</v>
      </c>
      <c r="G220" s="127" t="e">
        <f>-([1]Retail!$Z$51+[1]Retail!$AA$51+[1]Retail!$BB$51+[1]Retail!$BC$51)/1000/G213</f>
        <v>#DIV/0!</v>
      </c>
      <c r="H220" s="134"/>
      <c r="I220" s="128" t="e">
        <f>-([1]SME!$Z$49+[1]SME!$AA$49+[1]SME!$BB$49+[1]SME!$BC$49)/1000/I213</f>
        <v>#DIV/0!</v>
      </c>
      <c r="J220" s="127" t="e">
        <f>-([1]SME!$Z$50+[1]SME!$AA$50+[1]SME!$BB$50+[1]SME!$BC$50)/1000/J213</f>
        <v>#DIV/0!</v>
      </c>
      <c r="K220" s="127" t="e">
        <f>-([1]SME!$Z$51+[1]SME!$AA$51+[1]SME!$BB$51+[1]SME!$BC$51)/1000/K213</f>
        <v>#DIV/0!</v>
      </c>
      <c r="L220" s="134"/>
      <c r="M220" s="126">
        <f>-([1]MidCorp!$Z$49+[1]MidCorp!$AA$49+[1]MidCorp!$BB$49+[1]MidCorp!$BC$49)/1000/M213</f>
        <v>-2.5761407096927168E-2</v>
      </c>
      <c r="N220" s="127">
        <f>-([1]MidCorp!$Z$50+[1]MidCorp!$AA$50+[1]MidCorp!$BB$50+[1]MidCorp!$BC$50)/1000/N213</f>
        <v>-2.8391031145557598E-2</v>
      </c>
      <c r="O220" s="127">
        <f>-([1]MidCorp!$Z$51+[1]MidCorp!$AA$51+[1]MidCorp!$BB$51+[1]MidCorp!$BC$51)/1000/O213</f>
        <v>-1.6323729459004482E-2</v>
      </c>
      <c r="P220" s="134"/>
      <c r="Q220" s="128">
        <f>-([1]MGA!$Z$49+[1]MGA!$AA$49+[1]MGA!$BB$49+[1]MGA!$BC$49)/1000/Q213</f>
        <v>-8.7678958211737806E-4</v>
      </c>
      <c r="R220" s="127">
        <f>-([1]MGA!$Z$50+[1]MGA!$AA$50+[1]MGA!$BB$50+[1]MGA!$BC$50)/1000/R213</f>
        <v>-1.1591955739130489E-5</v>
      </c>
      <c r="S220" s="127">
        <f>-([1]MGA!$Z$51+[1]MGA!$AA$51+[1]MGA!$BB$51+[1]MGA!$BC$51)/1000/S213</f>
        <v>1.0397048288950021E-4</v>
      </c>
      <c r="T220" s="134"/>
      <c r="U220" s="128" t="e">
        <f>-([1]Bancassurance!$Z$49+[1]Bancassurance!$AA$49+[1]Bancassurance!$BB$49+[1]Bancassurance!$BC$49)/1000/U213</f>
        <v>#DIV/0!</v>
      </c>
      <c r="V220" s="127" t="e">
        <f>-([1]Bancassurance!$Z$50+[1]Bancassurance!$AA$50+[1]Bancassurance!$BB$50+[1]Bancassurance!$BC$50)/1000/V213</f>
        <v>#DIV/0!</v>
      </c>
      <c r="W220" s="127" t="e">
        <f>-([1]Bancassurance!$Z$51+[1]Bancassurance!$AA$51+[1]Bancassurance!$BB$51+[1]Bancassurance!$BC$51)/1000/W213</f>
        <v>#DIV/0!</v>
      </c>
      <c r="X220" s="134"/>
      <c r="Y220" s="128">
        <f>-([1]Specials!$Z$49+[1]Specials!$AA$49+[1]Specials!$BB$49+[1]Specials!$BC$49)/1000/Y213</f>
        <v>0</v>
      </c>
      <c r="Z220" s="127">
        <f>-([1]Specials!$Z$50+[1]Specials!$AA$50+[1]Specials!$BB$50+[1]Specials!$BC$50)/1000/Z213</f>
        <v>0</v>
      </c>
      <c r="AA220" s="127" t="e">
        <f>-([1]Specials!$Z$51+[1]Specials!$AA$51+[1]Specials!$BB$51+[1]Specials!$BC$51)/1000/AA213</f>
        <v>#DIV/0!</v>
      </c>
      <c r="AB220" s="134"/>
      <c r="AC220" s="132">
        <f>-('[1]Total P&amp;C'!$Z$49+'[1]Total P&amp;C'!$AA$49+'[1]Total P&amp;C'!$BB$49+'[1]Total P&amp;C'!$BC$49)/1000/AC213</f>
        <v>-2.554872057859681E-2</v>
      </c>
      <c r="AD220" s="130">
        <f>-('[1]Total P&amp;C'!$Z$50+'[1]Total P&amp;C'!$AA$50+'[1]Total P&amp;C'!$BB$50+'[1]Total P&amp;C'!$BC$50)/1000/AD213</f>
        <v>-2.8123752188310969E-2</v>
      </c>
      <c r="AE220" s="130">
        <f>-('[1]Total P&amp;C'!$Z$51+'[1]Total P&amp;C'!$AA$51+'[1]Total P&amp;C'!$BB$51+'[1]Total P&amp;C'!$BC$51)/1000/AE213</f>
        <v>-1.6301621668856712E-2</v>
      </c>
      <c r="AG220" s="212"/>
      <c r="AH220" s="115"/>
      <c r="AI220" s="116" t="s">
        <v>27</v>
      </c>
      <c r="AJ220" s="134"/>
      <c r="AK220" s="128">
        <f>-([2]Retail!$Z$49+[2]Retail!$AA$49+[2]Retail!$BB$49+[2]Retail!$BC$49)/1000/AK213</f>
        <v>0</v>
      </c>
      <c r="AL220" s="127" t="e">
        <f>-([2]Retail!$Z$50+[2]Retail!$AA$50+[2]Retail!$BB$50+[2]Retail!$BC$50)/1000/AL213</f>
        <v>#DIV/0!</v>
      </c>
      <c r="AM220" s="127" t="e">
        <f>-([2]Retail!$Z$51+[2]Retail!$AA$51+[2]Retail!$BB$51+[2]Retail!$BC$51)/1000/AM213</f>
        <v>#DIV/0!</v>
      </c>
      <c r="AN220" s="134"/>
      <c r="AO220" s="128">
        <f>-([2]SME!$Z$49+[2]SME!$AA$49+[2]SME!$BB$49+[2]SME!$BC$49)/1000/AO213</f>
        <v>0</v>
      </c>
      <c r="AP220" s="127">
        <f>-([2]SME!$Z$50+[2]SME!$AA$50+[2]SME!$BB$50+[2]SME!$BC$50)/1000/AP213</f>
        <v>0</v>
      </c>
      <c r="AQ220" s="127" t="e">
        <f>-([2]SME!$Z$51+[2]SME!$AA$51+[2]SME!$BB$51+[2]SME!$BC$51)/1000/AQ213</f>
        <v>#DIV/0!</v>
      </c>
      <c r="AR220" s="134"/>
      <c r="AS220" s="126">
        <f>-([2]MidCorp!$Z$49+[2]MidCorp!$AA$49+[2]MidCorp!$BB$49+[2]MidCorp!$BC$49)/1000/AS213</f>
        <v>-1.0743999169543749E-2</v>
      </c>
      <c r="AT220" s="127">
        <f>-([2]MidCorp!$Z$50+[2]MidCorp!$AA$50+[2]MidCorp!$BB$50+[2]MidCorp!$BC$50)/1000/AT213</f>
        <v>-1.0175203155677739E-2</v>
      </c>
      <c r="AU220" s="127">
        <f>-([2]MidCorp!$Z$51+[2]MidCorp!$AA$51+[2]MidCorp!$BB$51+[2]MidCorp!$BC$51)/1000/AU213</f>
        <v>-2.7013320046334215E-3</v>
      </c>
      <c r="AV220" s="134"/>
      <c r="AW220" s="131"/>
      <c r="AX220" s="127"/>
      <c r="AY220" s="127"/>
      <c r="AZ220" s="134"/>
      <c r="BA220" s="131"/>
      <c r="BB220" s="127"/>
      <c r="BC220" s="127"/>
      <c r="BD220" s="134"/>
      <c r="BE220" s="131"/>
      <c r="BF220" s="127"/>
      <c r="BG220" s="127"/>
      <c r="BH220" s="134"/>
      <c r="BI220" s="132">
        <f>-('[2]Total P&amp;C'!$Z$49+'[2]Total P&amp;C'!$AA$49+'[2]Total P&amp;C'!$BB$49+'[2]Total P&amp;C'!$BC$49)/1000/BI213</f>
        <v>-1.0711171550485954E-2</v>
      </c>
      <c r="BJ220" s="130">
        <f>-('[2]Total P&amp;C'!$Z$50+'[2]Total P&amp;C'!$AA$50+'[2]Total P&amp;C'!$BB$50+'[2]Total P&amp;C'!$BC$50)/1000/BJ213</f>
        <v>-1.0146246285979372E-2</v>
      </c>
      <c r="BK220" s="130">
        <f>-('[2]Total P&amp;C'!$Z$51+'[2]Total P&amp;C'!$AA$51+'[2]Total P&amp;C'!$BB$51+'[2]Total P&amp;C'!$BC$51)/1000/BK213</f>
        <v>-2.7013320046334215E-3</v>
      </c>
      <c r="BM220" s="132">
        <f>-('[3]Total P&amp;C'!$Z$49+'[3]Total P&amp;C'!$AA$49+'[3]Total P&amp;C'!$BB$49+'[3]Total P&amp;C'!$BC$49)/1000/BM213</f>
        <v>-2.3281965055148842E-2</v>
      </c>
      <c r="BN220" s="130">
        <f>-('[3]Total P&amp;C'!$Z$50+'[3]Total P&amp;C'!$AA$50+'[3]Total P&amp;C'!$BB$50+'[3]Total P&amp;C'!$BC$50)/1000/BN213</f>
        <v>-2.5054730841363282E-2</v>
      </c>
      <c r="BO220" s="130">
        <f>-('[3]Total P&amp;C'!$Z$51+'[3]Total P&amp;C'!$AA$51+'[3]Total P&amp;C'!$BB$51+'[3]Total P&amp;C'!$BC$51)/1000/BO213</f>
        <v>-1.4272174183388076E-2</v>
      </c>
    </row>
    <row r="221" spans="1:67" ht="16.5" hidden="1" customHeight="1" outlineLevel="1" x14ac:dyDescent="0.3">
      <c r="A221" s="214"/>
      <c r="B221" s="115"/>
      <c r="C221" s="116" t="s">
        <v>57</v>
      </c>
      <c r="D221" s="134"/>
      <c r="E221" s="126" t="e">
        <f>-SUM([1]Retail!$AC$49:$AI$49,[1]Retail!$BE$49:$BG$49)/1000/E213</f>
        <v>#DIV/0!</v>
      </c>
      <c r="F221" s="127" t="e">
        <f>-SUM([1]Retail!$AC$50:$AI$50,[1]Retail!$BE$50:$BG$50)/1000/F213</f>
        <v>#DIV/0!</v>
      </c>
      <c r="G221" s="127" t="e">
        <f>-SUM([1]Retail!$AC$51:$AI$51,[1]Retail!$BE$51:$BG$51)/1000/G213</f>
        <v>#DIV/0!</v>
      </c>
      <c r="H221" s="134"/>
      <c r="I221" s="126" t="e">
        <f>-SUM([1]SME!$AC$49:$AI$49,[1]SME!$BE$49:$BG$49)/1000/I213</f>
        <v>#DIV/0!</v>
      </c>
      <c r="J221" s="127" t="e">
        <f>-SUM([1]SME!$AC$50:$AI$50,[1]SME!$BE$50:$BG$50)/1000/J213</f>
        <v>#DIV/0!</v>
      </c>
      <c r="K221" s="127" t="e">
        <f>-SUM([1]SME!$AC$51:$AI$51,[1]SME!$BE$51:$BG$51)/1000/K213</f>
        <v>#DIV/0!</v>
      </c>
      <c r="L221" s="134"/>
      <c r="M221" s="126">
        <f>-SUM([1]MidCorp!$AC$49:$AI$49,[1]MidCorp!$BE$49:$BG$49)/1000/M213</f>
        <v>-0.24571569587688291</v>
      </c>
      <c r="N221" s="127">
        <f>-SUM([1]MidCorp!$AC$50:$AI$50,[1]MidCorp!$BE$50:$BG$50)/1000/N213</f>
        <v>-2.7306784530378766E-2</v>
      </c>
      <c r="O221" s="127">
        <f>-SUM([1]MidCorp!$AC$51:$AI$51,[1]MidCorp!$BE$51:$BG$51)/1000/O213</f>
        <v>-3.0156579880395797E-2</v>
      </c>
      <c r="P221" s="134"/>
      <c r="Q221" s="128">
        <f>-SUM([1]MGA!$AC$49:$AI$49,[1]MGA!$BE$49:$BG$49)/1000/Q213</f>
        <v>2.2689236328792375</v>
      </c>
      <c r="R221" s="127">
        <f>-SUM([1]MGA!$AC$50:$AI$50,[1]MGA!$BE$50:$BG$50)/1000/R213</f>
        <v>3.2160356624199928</v>
      </c>
      <c r="S221" s="127">
        <f>-SUM([1]MGA!$AC$51:$AI$51,[1]MGA!$BE$51:$BG$51)/1000/S213</f>
        <v>5.872539790502868E-5</v>
      </c>
      <c r="T221" s="134"/>
      <c r="U221" s="126" t="e">
        <f>-SUM([1]Bancassurance!$AC$49:$AI$49,[1]Bancassurance!$BE$49:$BG$49)/1000/U213</f>
        <v>#DIV/0!</v>
      </c>
      <c r="V221" s="127" t="e">
        <f>-SUM([1]Bancassurance!$AC$50:$AI$50,[1]Bancassurance!$BE$50:$BG$50)/1000/V213</f>
        <v>#DIV/0!</v>
      </c>
      <c r="W221" s="127" t="e">
        <f>-SUM([1]Bancassurance!$AC$51:$AI$51,[1]Bancassurance!$BE$51:$BG$51)/1000/W213</f>
        <v>#DIV/0!</v>
      </c>
      <c r="X221" s="134"/>
      <c r="Y221" s="126">
        <f>-SUM([1]Specials!$AC$49:$AI$49,[1]Specials!$BE$49:$BG$49)/1000/Y213</f>
        <v>-2.9957356076759054</v>
      </c>
      <c r="Z221" s="127">
        <f>-SUM([1]Specials!$AC$50:$AI$50,[1]Specials!$BE$50:$BG$50)/1000/Z213</f>
        <v>-0.36180116847955163</v>
      </c>
      <c r="AA221" s="127" t="e">
        <f>-SUM([1]Specials!$AC$51:$AI$51,[1]Specials!$BE$51:$BG$51)/1000/AA213</f>
        <v>#DIV/0!</v>
      </c>
      <c r="AB221" s="134"/>
      <c r="AC221" s="132">
        <f>-SUM('[1]Total P&amp;C'!$AC$49:$AI$49,'[1]Total P&amp;C'!$BE$49:$BG$49)/1000/AC213</f>
        <v>-0.2240301176949408</v>
      </c>
      <c r="AD221" s="130">
        <f>-SUM('[1]Total P&amp;C'!$AC$50:$AI$50,'[1]Total P&amp;C'!$BE$50:$BG$50)/1000/AD213</f>
        <v>2.8061193268277265E-3</v>
      </c>
      <c r="AE221" s="130">
        <f>-SUM('[1]Total P&amp;C'!$AC$51:$AI$51,'[1]Total P&amp;C'!$BE$51:$BG$51)/1000/AE213</f>
        <v>-3.011591724163893E-2</v>
      </c>
      <c r="AG221" s="212"/>
      <c r="AH221" s="115"/>
      <c r="AI221" s="116" t="s">
        <v>57</v>
      </c>
      <c r="AJ221" s="134"/>
      <c r="AK221" s="126">
        <f>-SUM([2]Retail!$AC$49:$AI$49,[2]Retail!$BE$49:$BG$49)/1000/AK213</f>
        <v>0</v>
      </c>
      <c r="AL221" s="127" t="e">
        <f>-SUM([2]Retail!$AC$50:$AI$50,[2]Retail!$BE$50:$BG$50)/1000/AL213</f>
        <v>#DIV/0!</v>
      </c>
      <c r="AM221" s="127" t="e">
        <f>-SUM([2]Retail!$AC$51:$AI$51,[2]Retail!$BE$51:$BG$51)/1000/AM213</f>
        <v>#DIV/0!</v>
      </c>
      <c r="AN221" s="134"/>
      <c r="AO221" s="126">
        <f>-SUM([2]SME!$AC$49:$AI$49,[2]SME!$BE$49:$BG$49)/1000/AO213</f>
        <v>0</v>
      </c>
      <c r="AP221" s="127">
        <f>-SUM([2]SME!$AC$50:$AI$50,[2]SME!$BE$50:$BG$50)/1000/AP213</f>
        <v>0.331586031962257</v>
      </c>
      <c r="AQ221" s="127" t="e">
        <f>-SUM([2]SME!$AC$51:$AI$51,[2]SME!$BE$51:$BG$51)/1000/AQ213</f>
        <v>#DIV/0!</v>
      </c>
      <c r="AR221" s="134"/>
      <c r="AS221" s="126">
        <f>-SUM([2]MidCorp!$AC$49:$AI$49,[2]MidCorp!$BE$49:$BG$49)/1000/AS213</f>
        <v>-0.19273521968249838</v>
      </c>
      <c r="AT221" s="127">
        <f>-SUM([2]MidCorp!$AC$50:$AI$50,[2]MidCorp!$BE$50:$BG$50)/1000/AT213</f>
        <v>0.18652421408222622</v>
      </c>
      <c r="AU221" s="127">
        <f>-SUM([2]MidCorp!$AC$51:$AI$51,[2]MidCorp!$BE$51:$BG$51)/1000/AU213</f>
        <v>-3.9885937637191568E-3</v>
      </c>
      <c r="AV221" s="134"/>
      <c r="AW221" s="131"/>
      <c r="AX221" s="127"/>
      <c r="AY221" s="127"/>
      <c r="AZ221" s="134"/>
      <c r="BA221" s="131"/>
      <c r="BB221" s="127"/>
      <c r="BC221" s="127"/>
      <c r="BD221" s="134"/>
      <c r="BE221" s="131"/>
      <c r="BF221" s="127"/>
      <c r="BG221" s="127"/>
      <c r="BH221" s="134"/>
      <c r="BI221" s="132">
        <f>-SUM('[2]Total P&amp;C'!$AC$49:$AI$49,'[2]Total P&amp;C'!$BE$49:$BG$49)/1000/BI213</f>
        <v>-0.19214632924506303</v>
      </c>
      <c r="BJ221" s="130">
        <f>-SUM('[2]Total P&amp;C'!$AC$50:$AI$50,'[2]Total P&amp;C'!$BE$50:$BG$50)/1000/BJ213</f>
        <v>0.18693703494627129</v>
      </c>
      <c r="BK221" s="130">
        <f>-SUM('[2]Total P&amp;C'!$AC$51:$AI$51,'[2]Total P&amp;C'!$BE$51:$BG$51)/1000/BK213</f>
        <v>-3.9885937637191568E-3</v>
      </c>
      <c r="BM221" s="132">
        <f>-SUM('[3]Total P&amp;C'!$AC$49:$AI$49,'[3]Total P&amp;C'!$BE$49:$BG$49)/1000/BM213</f>
        <v>-0.21915918156928552</v>
      </c>
      <c r="BN221" s="130">
        <f>-SUM('[3]Total P&amp;C'!$AC$50:$AI$50,'[3]Total P&amp;C'!$BE$50:$BG$50)/1000/BN213</f>
        <v>3.4239940777878015E-2</v>
      </c>
      <c r="BO221" s="130">
        <f>-SUM('[3]Total P&amp;C'!$AC$51:$AI$51,'[3]Total P&amp;C'!$BE$51:$BG$51)/1000/BO213</f>
        <v>-2.6217174476345195E-2</v>
      </c>
    </row>
    <row r="222" spans="1:67" ht="16.5" hidden="1" customHeight="1" outlineLevel="1" x14ac:dyDescent="0.3">
      <c r="A222" s="214"/>
      <c r="B222" s="115"/>
      <c r="C222" s="116" t="s">
        <v>29</v>
      </c>
      <c r="D222" s="134"/>
      <c r="E222" s="128" t="e">
        <f>-SUM([1]Retail!$AJ$49:$AK$49,[1]Retail!$BH$49:$BI$49)/1000/E213</f>
        <v>#DIV/0!</v>
      </c>
      <c r="F222" s="127" t="e">
        <f>-SUM([1]Retail!$AJ$50:$AK$50,[1]Retail!$BH$50:$BI$50)/1000/F213</f>
        <v>#DIV/0!</v>
      </c>
      <c r="G222" s="127" t="e">
        <f>-SUM([1]Retail!$AJ$51:$AK$51,[1]Retail!$BH$51:$BI$51)/1000/G213</f>
        <v>#DIV/0!</v>
      </c>
      <c r="H222" s="134"/>
      <c r="I222" s="128" t="e">
        <f>-SUM([1]SME!$AJ$49:$AK$49,[1]SME!$BH$49:$BI$49)/1000/I213</f>
        <v>#DIV/0!</v>
      </c>
      <c r="J222" s="127" t="e">
        <f>-SUM([1]SME!$AJ$50:$AK$50,[1]SME!$BH$50:$BI$50)/1000/J213</f>
        <v>#DIV/0!</v>
      </c>
      <c r="K222" s="127" t="e">
        <f>-SUM([1]SME!$AJ$51:$AK$51,[1]SME!$BH$51:$BI$51)/1000/K213</f>
        <v>#DIV/0!</v>
      </c>
      <c r="L222" s="134"/>
      <c r="M222" s="128">
        <f>-SUM([1]MidCorp!$AJ$49:$AK$49,[1]MidCorp!$BH$49:$BI$49)/1000/M213</f>
        <v>5.5407826304704172E-2</v>
      </c>
      <c r="N222" s="127">
        <f>-SUM([1]MidCorp!$AJ$50:$AK$50,[1]MidCorp!$BH$50:$BI$50)/1000/N213</f>
        <v>9.7894651962955066E-3</v>
      </c>
      <c r="O222" s="127">
        <f>-SUM([1]MidCorp!$AJ$51:$AK$51,[1]MidCorp!$BH$51:$BI$51)/1000/O213</f>
        <v>0</v>
      </c>
      <c r="P222" s="134"/>
      <c r="Q222" s="128">
        <f>-SUM([1]MGA!$AJ$49:$AK$49,[1]MGA!$BH$49:$BI$49)/1000/Q213</f>
        <v>2.6485454806930025E-2</v>
      </c>
      <c r="R222" s="127">
        <f>-SUM([1]MGA!$AJ$50:$AK$50,[1]MGA!$BH$50:$BI$50)/1000/R213</f>
        <v>-0.13355324046167519</v>
      </c>
      <c r="S222" s="127">
        <f>-SUM([1]MGA!$AJ$51:$AK$51,[1]MGA!$BH$51:$BI$51)/1000/S213</f>
        <v>0</v>
      </c>
      <c r="T222" s="134"/>
      <c r="U222" s="128" t="e">
        <f>-SUM([1]Bancassurance!$AJ$49:$AK$49,[1]Bancassurance!$BH$49:$BI$49)/1000/U213</f>
        <v>#DIV/0!</v>
      </c>
      <c r="V222" s="127" t="e">
        <f>-SUM([1]Bancassurance!$AJ$50:$AK$50,[1]Bancassurance!$BH$50:$BI$50)/1000/V213</f>
        <v>#DIV/0!</v>
      </c>
      <c r="W222" s="127" t="e">
        <f>-SUM([1]Bancassurance!$AJ$51:$AK$51,[1]Bancassurance!$BH$51:$BI$51)/1000/W213</f>
        <v>#DIV/0!</v>
      </c>
      <c r="X222" s="134"/>
      <c r="Y222" s="128">
        <f>-SUM([1]Specials!$AJ$49:$AK$49,[1]Specials!$BH$49:$BI$49)/1000/Y213</f>
        <v>-1.0660980810234541E-2</v>
      </c>
      <c r="Z222" s="127">
        <f>-SUM([1]Specials!$AJ$50:$AK$50,[1]Specials!$BH$50:$BI$50)/1000/Z213</f>
        <v>3.5624376573409962E-4</v>
      </c>
      <c r="AA222" s="127" t="e">
        <f>-SUM([1]Specials!$AJ$51:$AK$51,[1]Specials!$BH$51:$BI$51)/1000/AA213</f>
        <v>#DIV/0!</v>
      </c>
      <c r="AB222" s="134"/>
      <c r="AC222" s="129">
        <f>-SUM('[1]Total P&amp;C'!$AJ$49:$AK$49,'[1]Total P&amp;C'!$BH$49:$BI$49)/1000/AC213</f>
        <v>5.5109609586598551E-2</v>
      </c>
      <c r="AD222" s="130">
        <f>-SUM('[1]Total P&amp;C'!$AJ$50:$AK$50,'[1]Total P&amp;C'!$BH$50:$BI$50)/1000/AD213</f>
        <v>8.4598773176124721E-3</v>
      </c>
      <c r="AE222" s="130">
        <f>-SUM('[1]Total P&amp;C'!$AJ$51:$AK$51,'[1]Total P&amp;C'!$BH$51:$BI$51)/1000/AE213</f>
        <v>0</v>
      </c>
      <c r="AG222" s="212"/>
      <c r="AH222" s="115"/>
      <c r="AI222" s="116" t="s">
        <v>29</v>
      </c>
      <c r="AJ222" s="134"/>
      <c r="AK222" s="128">
        <f>-SUM([2]Retail!$AJ$49:$AK$49,[2]Retail!$BH$49:$BI$49)/1000/AK213</f>
        <v>0</v>
      </c>
      <c r="AL222" s="127" t="e">
        <f>-SUM([2]Retail!$AJ$50:$AK$50,[2]Retail!$BH$50:$BI$50)/1000/AL213</f>
        <v>#DIV/0!</v>
      </c>
      <c r="AM222" s="127" t="e">
        <f>-SUM([2]Retail!$AJ$51:$AK$51,[2]Retail!$BH$51:$BI$51)/1000/AM213</f>
        <v>#DIV/0!</v>
      </c>
      <c r="AN222" s="134"/>
      <c r="AO222" s="128">
        <f>-SUM([2]SME!$AJ$49:$AK$49,[2]SME!$BH$49:$BI$49)/1000/AO213</f>
        <v>0</v>
      </c>
      <c r="AP222" s="127">
        <f>-SUM([2]SME!$AJ$50:$AK$50,[2]SME!$BH$50:$BI$50)/1000/AP213</f>
        <v>0</v>
      </c>
      <c r="AQ222" s="127" t="e">
        <f>-SUM([2]SME!$AJ$51:$AK$51,[2]SME!$BH$51:$BI$51)/1000/AQ213</f>
        <v>#DIV/0!</v>
      </c>
      <c r="AR222" s="134"/>
      <c r="AS222" s="128">
        <f>-SUM([2]MidCorp!$AJ$49:$AK$49,[2]MidCorp!$BH$49:$BI$49)/1000/AS213</f>
        <v>7.594541637211594E-3</v>
      </c>
      <c r="AT222" s="127">
        <f>-SUM([2]MidCorp!$AJ$50:$AK$50,[2]MidCorp!$BH$50:$BI$50)/1000/AT213</f>
        <v>3.0566417811591887E-3</v>
      </c>
      <c r="AU222" s="127">
        <f>-SUM([2]MidCorp!$AJ$51:$AK$51,[2]MidCorp!$BH$51:$BI$51)/1000/AU213</f>
        <v>0</v>
      </c>
      <c r="AV222" s="134"/>
      <c r="AW222" s="131"/>
      <c r="AX222" s="127"/>
      <c r="AY222" s="127"/>
      <c r="AZ222" s="134"/>
      <c r="BA222" s="131"/>
      <c r="BB222" s="127"/>
      <c r="BC222" s="127"/>
      <c r="BD222" s="134"/>
      <c r="BE222" s="131"/>
      <c r="BF222" s="127"/>
      <c r="BG222" s="127"/>
      <c r="BH222" s="134"/>
      <c r="BI222" s="129">
        <f>-SUM('[2]Total P&amp;C'!$AJ$49:$AK$49,'[2]Total P&amp;C'!$BH$49:$BI$49)/1000/BI213</f>
        <v>7.5713369891237878E-3</v>
      </c>
      <c r="BJ222" s="130">
        <f>-SUM('[2]Total P&amp;C'!$AJ$50:$AK$50,'[2]Total P&amp;C'!$BH$50:$BI$50)/1000/BJ213</f>
        <v>3.0479431069000687E-3</v>
      </c>
      <c r="BK222" s="130">
        <f>-SUM('[2]Total P&amp;C'!$AJ$51:$AK$51,'[2]Total P&amp;C'!$BH$51:$BI$51)/1000/BK213</f>
        <v>0</v>
      </c>
      <c r="BM222" s="129">
        <f>-SUM('[3]Total P&amp;C'!$AJ$49:$AK$49,'[3]Total P&amp;C'!$BH$49:$BI$49)/1000/BM213</f>
        <v>4.7847113484220313E-2</v>
      </c>
      <c r="BN222" s="130">
        <f>-SUM('[3]Total P&amp;C'!$AJ$50:$AK$50,'[3]Total P&amp;C'!$BH$50:$BI$50)/1000/BN213</f>
        <v>7.5359815496906998E-3</v>
      </c>
      <c r="BO222" s="130">
        <f>-SUM('[3]Total P&amp;C'!$AJ$51:$AK$51,'[3]Total P&amp;C'!$BH$51:$BI$51)/1000/BO213</f>
        <v>0</v>
      </c>
    </row>
    <row r="223" spans="1:67" ht="16.5" hidden="1" customHeight="1" outlineLevel="1" x14ac:dyDescent="0.3">
      <c r="A223" s="214"/>
      <c r="B223" s="115"/>
      <c r="C223" s="116" t="s">
        <v>58</v>
      </c>
      <c r="D223" s="134"/>
      <c r="E223" s="126" t="e">
        <f>+E224+E225+E226</f>
        <v>#DIV/0!</v>
      </c>
      <c r="F223" s="127" t="e">
        <f>+F224+F225+F226</f>
        <v>#DIV/0!</v>
      </c>
      <c r="G223" s="127" t="e">
        <f>+G224+G225+G226</f>
        <v>#DIV/0!</v>
      </c>
      <c r="H223" s="134"/>
      <c r="I223" s="128" t="e">
        <f>+I224+I225+I226</f>
        <v>#DIV/0!</v>
      </c>
      <c r="J223" s="127" t="e">
        <f>+J224+J225+J226</f>
        <v>#DIV/0!</v>
      </c>
      <c r="K223" s="127" t="e">
        <f>+K224+K225+K226</f>
        <v>#DIV/0!</v>
      </c>
      <c r="L223" s="134"/>
      <c r="M223" s="131">
        <f>+M224+M225+M226</f>
        <v>0.25093649290638981</v>
      </c>
      <c r="N223" s="127">
        <f>+N224+N225+N226</f>
        <v>0.23420420956125729</v>
      </c>
      <c r="O223" s="127">
        <f>+O224+O225+O226</f>
        <v>0.25016747341295487</v>
      </c>
      <c r="P223" s="134"/>
      <c r="Q223" s="126">
        <f>+Q224+Q225+Q226</f>
        <v>0.30089355423957542</v>
      </c>
      <c r="R223" s="127">
        <f>+R224+R225+R226</f>
        <v>0.3424097728533087</v>
      </c>
      <c r="S223" s="127">
        <f>+S224+S225+S226</f>
        <v>0.43327514007291423</v>
      </c>
      <c r="T223" s="134"/>
      <c r="U223" s="126" t="e">
        <f>+U224+U225+U226</f>
        <v>#DIV/0!</v>
      </c>
      <c r="V223" s="127" t="e">
        <f>+V224+V225+V226</f>
        <v>#DIV/0!</v>
      </c>
      <c r="W223" s="127" t="e">
        <f>+W224+W225+W226</f>
        <v>#DIV/0!</v>
      </c>
      <c r="X223" s="134"/>
      <c r="Y223" s="126">
        <f>+Y224+Y225+Y226</f>
        <v>5.0106609808102338E-2</v>
      </c>
      <c r="Z223" s="127">
        <f>+Z224+Z225+Z226</f>
        <v>5.0325369306037163E-2</v>
      </c>
      <c r="AA223" s="127" t="e">
        <f>+AA224+AA225+AA226</f>
        <v>#DIV/0!</v>
      </c>
      <c r="AB223" s="134"/>
      <c r="AC223" s="133">
        <f>+AC224+AC225+AC226</f>
        <v>0.25136370509547595</v>
      </c>
      <c r="AD223" s="130">
        <f>+AD224+AD225+AD226</f>
        <v>0.23518165733766777</v>
      </c>
      <c r="AE223" s="130">
        <f>+AE224+AE225+AE226</f>
        <v>0.25041389292897259</v>
      </c>
      <c r="AG223" s="212"/>
      <c r="AH223" s="115"/>
      <c r="AI223" s="116" t="s">
        <v>58</v>
      </c>
      <c r="AJ223" s="134"/>
      <c r="AK223" s="126">
        <f>+AK224+AK225+AK226</f>
        <v>0.175531914893617</v>
      </c>
      <c r="AL223" s="127" t="e">
        <f>+AL224+AL225+AL226</f>
        <v>#DIV/0!</v>
      </c>
      <c r="AM223" s="127" t="e">
        <f>+AM224+AM225+AM226</f>
        <v>#DIV/0!</v>
      </c>
      <c r="AN223" s="134"/>
      <c r="AO223" s="128">
        <f>+AO224+AO225+AO226</f>
        <v>0.1684061346287731</v>
      </c>
      <c r="AP223" s="127">
        <f>+AP224+AP225+AP226</f>
        <v>0.16917067528231575</v>
      </c>
      <c r="AQ223" s="127" t="e">
        <f>+AQ224+AQ225+AQ226</f>
        <v>#DIV/0!</v>
      </c>
      <c r="AR223" s="134"/>
      <c r="AS223" s="126">
        <f>+AS224+AS225+AS226</f>
        <v>0.29991136652335693</v>
      </c>
      <c r="AT223" s="127">
        <f>+AT224+AT225+AT226</f>
        <v>0.31460624534826354</v>
      </c>
      <c r="AU223" s="127">
        <f>+AU224+AU225+AU226</f>
        <v>0.31886429207977884</v>
      </c>
      <c r="AV223" s="134"/>
      <c r="AW223" s="131"/>
      <c r="AX223" s="127"/>
      <c r="AY223" s="127"/>
      <c r="AZ223" s="134"/>
      <c r="BA223" s="131"/>
      <c r="BB223" s="127"/>
      <c r="BC223" s="127"/>
      <c r="BD223" s="134"/>
      <c r="BE223" s="131"/>
      <c r="BF223" s="127"/>
      <c r="BG223" s="127"/>
      <c r="BH223" s="134"/>
      <c r="BI223" s="132">
        <f>+BI224+BI225+BI226</f>
        <v>0.29950952234571937</v>
      </c>
      <c r="BJ223" s="130">
        <f>+BJ224+BJ225+BJ226</f>
        <v>0.31419236085008939</v>
      </c>
      <c r="BK223" s="130">
        <f>+BK224+BK225+BK226</f>
        <v>0.31886429207977884</v>
      </c>
      <c r="BM223" s="132">
        <f>+BM224+BM225+BM226</f>
        <v>0.25871901674271236</v>
      </c>
      <c r="BN223" s="130">
        <f>+BN224+BN225+BN226</f>
        <v>0.24866993190892109</v>
      </c>
      <c r="BO223" s="130">
        <f>+BO224+BO225+BO226</f>
        <v>0.26062812320388801</v>
      </c>
    </row>
    <row r="224" spans="1:67" ht="16.5" hidden="1" customHeight="1" outlineLevel="1" x14ac:dyDescent="0.3">
      <c r="A224" s="214"/>
      <c r="B224" s="115"/>
      <c r="C224" s="39" t="s">
        <v>59</v>
      </c>
      <c r="D224" s="135"/>
      <c r="E224" s="73" t="e">
        <f>-SUM([1]Retail!$AL$49:$AN$49,[1]Retail!$BJ$49)/1000/E213</f>
        <v>#DIV/0!</v>
      </c>
      <c r="F224" s="42" t="e">
        <f>-SUM([1]Retail!$AL$50:$AN$50,[1]Retail!$BJ$50)/1000/F213</f>
        <v>#DIV/0!</v>
      </c>
      <c r="G224" s="42" t="e">
        <f>-SUM([1]Retail!$AL$51:$AN$51,[1]Retail!$BJ$51)/1000/G213</f>
        <v>#DIV/0!</v>
      </c>
      <c r="H224" s="135"/>
      <c r="I224" s="73" t="e">
        <f>-SUM([1]SME!$AL$49:$AN$49,[1]SME!$BJ$49)/1000/I213</f>
        <v>#DIV/0!</v>
      </c>
      <c r="J224" s="42" t="e">
        <f>-SUM([1]SME!$AL$50:$AN$50,[1]SME!$BJ$50)/1000/J213</f>
        <v>#DIV/0!</v>
      </c>
      <c r="K224" s="42" t="e">
        <f>-SUM([1]SME!$AL$51:$AN$51,[1]SME!$BJ$51)/1000/K213</f>
        <v>#DIV/0!</v>
      </c>
      <c r="L224" s="135"/>
      <c r="M224" s="73">
        <f>-SUM([1]MidCorp!$AL$49:$AN$49,[1]MidCorp!$BJ$49)/1000/M213</f>
        <v>0.15000521245371998</v>
      </c>
      <c r="N224" s="42">
        <f>-SUM([1]MidCorp!$AL$50:$AN$50,[1]MidCorp!$BJ$50)/1000/N213</f>
        <v>0.14501752988114491</v>
      </c>
      <c r="O224" s="42">
        <f>-SUM([1]MidCorp!$AL$51:$AN$51,[1]MidCorp!$BJ$51)/1000/O213</f>
        <v>0.1441423546560118</v>
      </c>
      <c r="P224" s="135"/>
      <c r="Q224" s="73">
        <f>-SUM([1]MGA!$AL$49:$AN$49,[1]MGA!$BJ$49)/1000/Q213</f>
        <v>0.27388292700904476</v>
      </c>
      <c r="R224" s="42">
        <f>-SUM([1]MGA!$AL$50:$AN$50,[1]MGA!$BJ$50)/1000/R213</f>
        <v>0.25421084747397349</v>
      </c>
      <c r="S224" s="42">
        <f>-SUM([1]MGA!$AL$51:$AN$51,[1]MGA!$BJ$51)/1000/S213</f>
        <v>0.25988731019807038</v>
      </c>
      <c r="T224" s="135"/>
      <c r="U224" s="73" t="e">
        <f>-SUM([1]Bancassurance!$AL$49:$AN$49,[1]Bancassurance!$BJ$49)/1000/U213</f>
        <v>#DIV/0!</v>
      </c>
      <c r="V224" s="42" t="e">
        <f>-SUM([1]Bancassurance!$AL$50:$AN$50,[1]Bancassurance!$BJ$50)/1000/V213</f>
        <v>#DIV/0!</v>
      </c>
      <c r="W224" s="42" t="e">
        <f>-SUM([1]Bancassurance!$AL$51:$AN$51,[1]Bancassurance!$BJ$51)/1000/W213</f>
        <v>#DIV/0!</v>
      </c>
      <c r="X224" s="135"/>
      <c r="Y224" s="73">
        <f>-SUM([1]Specials!$AL$49:$AN$49,[1]Specials!$BJ$49)/1000/Y213</f>
        <v>5.0106609808102338E-2</v>
      </c>
      <c r="Z224" s="42">
        <f>-SUM([1]Specials!$AL$50:$AN$50,[1]Specials!$BJ$50)/1000/Z213</f>
        <v>5.0325369306037163E-2</v>
      </c>
      <c r="AA224" s="42" t="e">
        <f>-SUM([1]Specials!$AL$51:$AN$51,[1]Specials!$BJ$51)/1000/AA213</f>
        <v>#DIV/0!</v>
      </c>
      <c r="AB224" s="135"/>
      <c r="AC224" s="84">
        <f>-SUM('[1]Total P&amp;C'!$AL$49:$AN$49,'[1]Total P&amp;C'!$BJ$49)/1000/AC213</f>
        <v>0.15106361752386457</v>
      </c>
      <c r="AD224" s="60">
        <f>-SUM('[1]Total P&amp;C'!$AL$50:$AN$50,'[1]Total P&amp;C'!$BJ$50)/1000/AD213</f>
        <v>0.14601638140239423</v>
      </c>
      <c r="AE224" s="60">
        <f>-SUM('[1]Total P&amp;C'!$AL$51:$AN$51,'[1]Total P&amp;C'!$BJ$51)/1000/AE213</f>
        <v>0.14429811993032515</v>
      </c>
      <c r="AG224" s="212"/>
      <c r="AH224" s="115"/>
      <c r="AI224" s="39" t="s">
        <v>59</v>
      </c>
      <c r="AJ224" s="135"/>
      <c r="AK224" s="73">
        <f>-SUM([2]Retail!$AL$49:$AN$49,[2]Retail!$BJ$49)/1000/AK213</f>
        <v>0.175531914893617</v>
      </c>
      <c r="AL224" s="42" t="e">
        <f>-SUM([2]Retail!$AL$50:$AN$50,[2]Retail!$BJ$50)/1000/AL213</f>
        <v>#DIV/0!</v>
      </c>
      <c r="AM224" s="42" t="e">
        <f>-SUM([2]Retail!$AL$51:$AN$51,[2]Retail!$BJ$51)/1000/AM213</f>
        <v>#DIV/0!</v>
      </c>
      <c r="AN224" s="135"/>
      <c r="AO224" s="73">
        <f>-SUM([2]SME!$AL$49:$AN$49,[2]SME!$BJ$49)/1000/AO213</f>
        <v>0.16839838183738057</v>
      </c>
      <c r="AP224" s="42">
        <f>-SUM([2]SME!$AL$50:$AN$50,[2]SME!$BJ$50)/1000/AP213</f>
        <v>0.16917067528231575</v>
      </c>
      <c r="AQ224" s="42" t="e">
        <f>-SUM([2]SME!$AL$51:$AN$51,[2]SME!$BJ$51)/1000/AQ213</f>
        <v>#DIV/0!</v>
      </c>
      <c r="AR224" s="135"/>
      <c r="AS224" s="74">
        <f>-SUM([2]MidCorp!$AL$49:$AN$49,[2]MidCorp!$BJ$49)/1000/AS213</f>
        <v>0.1306453618293901</v>
      </c>
      <c r="AT224" s="42">
        <f>-SUM([2]MidCorp!$AL$50:$AN$50,[2]MidCorp!$BJ$50)/1000/AT213</f>
        <v>0.1426375060232212</v>
      </c>
      <c r="AU224" s="42">
        <f>-SUM([2]MidCorp!$AL$51:$AN$51,[2]MidCorp!$BJ$51)/1000/AU213</f>
        <v>0.14226267186887673</v>
      </c>
      <c r="AV224" s="135"/>
      <c r="AW224" s="97"/>
      <c r="AX224" s="42"/>
      <c r="AY224" s="42"/>
      <c r="AZ224" s="135"/>
      <c r="BA224" s="97"/>
      <c r="BB224" s="42"/>
      <c r="BC224" s="42"/>
      <c r="BD224" s="135"/>
      <c r="BE224" s="97"/>
      <c r="BF224" s="42"/>
      <c r="BG224" s="42"/>
      <c r="BH224" s="135"/>
      <c r="BI224" s="85">
        <f>-SUM('[2]Total P&amp;C'!$AL$49:$AN$49,'[2]Total P&amp;C'!$BJ$49)/1000/BI213</f>
        <v>0.13076067563754981</v>
      </c>
      <c r="BJ224" s="60">
        <f>-SUM('[2]Total P&amp;C'!$AL$50:$AN$50,'[2]Total P&amp;C'!$BJ$50)/1000/BJ213</f>
        <v>0.14271301483745966</v>
      </c>
      <c r="BK224" s="60">
        <f>-SUM('[2]Total P&amp;C'!$AL$51:$AN$51,'[2]Total P&amp;C'!$BJ$51)/1000/BK213</f>
        <v>0.14226267186887673</v>
      </c>
      <c r="BM224" s="99">
        <f>-SUM('[3]Total P&amp;C'!$AL$49:$AN$49,'[3]Total P&amp;C'!$BJ$49)/1000/BM213</f>
        <v>0.14796190540309212</v>
      </c>
      <c r="BN224" s="60">
        <f>-SUM('[3]Total P&amp;C'!$AL$50:$AN$50,'[3]Total P&amp;C'!$BJ$50)/1000/BN213</f>
        <v>0.14545244875458108</v>
      </c>
      <c r="BO224" s="60">
        <f>-SUM('[3]Total P&amp;C'!$AL$51:$AN$51,'[3]Total P&amp;C'!$BJ$51)/1000/BO213</f>
        <v>0.14399438853547297</v>
      </c>
    </row>
    <row r="225" spans="1:67" ht="16.5" hidden="1" customHeight="1" outlineLevel="1" x14ac:dyDescent="0.3">
      <c r="A225" s="214"/>
      <c r="B225" s="115"/>
      <c r="C225" s="39" t="s">
        <v>60</v>
      </c>
      <c r="D225" s="135"/>
      <c r="E225" s="74" t="e">
        <f>-SUM([1]Retail!$AO$49:$AP$49)/1000/E213</f>
        <v>#DIV/0!</v>
      </c>
      <c r="F225" s="42" t="e">
        <f>-SUM([1]Retail!$AO$50:$AP$50)/1000/F213</f>
        <v>#DIV/0!</v>
      </c>
      <c r="G225" s="42" t="e">
        <f>-SUM([1]Retail!$AO$51:$AP$51)/1000/G213</f>
        <v>#DIV/0!</v>
      </c>
      <c r="H225" s="135"/>
      <c r="I225" s="73" t="e">
        <f>-SUM([1]SME!$AO$49:$AP$49)/1000/I213</f>
        <v>#DIV/0!</v>
      </c>
      <c r="J225" s="42" t="e">
        <f>-SUM([1]SME!$AO$50:$AP$50)/1000/J213</f>
        <v>#DIV/0!</v>
      </c>
      <c r="K225" s="42" t="e">
        <f>-SUM([1]SME!$AO$51:$AP$51)/1000/K213</f>
        <v>#DIV/0!</v>
      </c>
      <c r="L225" s="135"/>
      <c r="M225" s="73">
        <f>-SUM([1]MidCorp!$AO$49:$AP$49)/1000/M213</f>
        <v>5.4051484355213932E-2</v>
      </c>
      <c r="N225" s="42">
        <f>-SUM([1]MidCorp!$AO$50:$AP$50)/1000/N213</f>
        <v>4.5563364261917996E-2</v>
      </c>
      <c r="O225" s="42">
        <f>-SUM([1]MidCorp!$AO$51:$AP$51)/1000/O213</f>
        <v>4.7670620283245813E-2</v>
      </c>
      <c r="P225" s="135"/>
      <c r="Q225" s="74">
        <f>-SUM([1]MGA!$AO$49:$AP$49)/1000/Q213</f>
        <v>1.7131797447686049E-2</v>
      </c>
      <c r="R225" s="42">
        <f>-SUM([1]MGA!$AO$50:$AP$50)/1000/R213</f>
        <v>1.960570658070691E-2</v>
      </c>
      <c r="S225" s="42">
        <f>-SUM([1]MGA!$AO$51:$AP$51)/1000/S213</f>
        <v>0.10980817136102185</v>
      </c>
      <c r="T225" s="135"/>
      <c r="U225" s="74" t="e">
        <f>-SUM([1]Bancassurance!$AO$49:$AP$49)/1000/U213</f>
        <v>#DIV/0!</v>
      </c>
      <c r="V225" s="42" t="e">
        <f>-SUM([1]Bancassurance!$AO$50:$AP$50)/1000/V213</f>
        <v>#DIV/0!</v>
      </c>
      <c r="W225" s="42" t="e">
        <f>-SUM([1]Bancassurance!$AO$51:$AP$51)/1000/W213</f>
        <v>#DIV/0!</v>
      </c>
      <c r="X225" s="135"/>
      <c r="Y225" s="74">
        <f>-SUM([1]Specials!$AO$49:$AP$49)/1000/Y213</f>
        <v>0</v>
      </c>
      <c r="Z225" s="42">
        <f>-SUM([1]Specials!$AO$50:$AP$50)/1000/Z213</f>
        <v>0</v>
      </c>
      <c r="AA225" s="42" t="e">
        <f>-SUM([1]Specials!$AO$51:$AP$51)/1000/AA213</f>
        <v>#DIV/0!</v>
      </c>
      <c r="AB225" s="135"/>
      <c r="AC225" s="84">
        <f>-SUM('[1]Total P&amp;C'!$AO$49:$AP$49)/1000/AC213</f>
        <v>5.3735909798998116E-2</v>
      </c>
      <c r="AD225" s="60">
        <f>-SUM('[1]Total P&amp;C'!$AO$50:$AP$50)/1000/AD213</f>
        <v>4.5316055675321633E-2</v>
      </c>
      <c r="AE225" s="60">
        <f>-SUM('[1]Total P&amp;C'!$AO$51:$AP$51)/1000/AE213</f>
        <v>4.7754242698092843E-2</v>
      </c>
      <c r="AG225" s="212"/>
      <c r="AH225" s="115"/>
      <c r="AI225" s="39" t="s">
        <v>60</v>
      </c>
      <c r="AJ225" s="135"/>
      <c r="AK225" s="74">
        <f>-SUM([2]Retail!$AO$49:$AP$49)/1000/AK213</f>
        <v>0</v>
      </c>
      <c r="AL225" s="42" t="e">
        <f>-SUM([2]Retail!$AO$50:$AP$50)/1000/AL213</f>
        <v>#DIV/0!</v>
      </c>
      <c r="AM225" s="42" t="e">
        <f>-SUM([2]Retail!$AO$51:$AP$51)/1000/AM213</f>
        <v>#DIV/0!</v>
      </c>
      <c r="AN225" s="135"/>
      <c r="AO225" s="73">
        <f>-SUM([2]SME!$AO$49:$AP$49)/1000/AO213</f>
        <v>6.2022331140327075E-6</v>
      </c>
      <c r="AP225" s="42">
        <f>-SUM([2]SME!$AO$50:$AP$50)/1000/AP213</f>
        <v>0</v>
      </c>
      <c r="AQ225" s="42" t="e">
        <f>-SUM([2]SME!$AO$51:$AP$51)/1000/AQ213</f>
        <v>#DIV/0!</v>
      </c>
      <c r="AR225" s="135"/>
      <c r="AS225" s="97">
        <f>-SUM([2]MidCorp!$AO$49:$AP$49)/1000/AS213</f>
        <v>6.4724226667370335E-2</v>
      </c>
      <c r="AT225" s="42">
        <f>-SUM([2]MidCorp!$AO$50:$AP$50)/1000/AT213</f>
        <v>6.7872362424014829E-2</v>
      </c>
      <c r="AU225" s="42">
        <f>-SUM([2]MidCorp!$AO$51:$AP$51)/1000/AU213</f>
        <v>6.2218571165748408E-2</v>
      </c>
      <c r="AV225" s="135"/>
      <c r="AW225" s="97"/>
      <c r="AX225" s="42"/>
      <c r="AY225" s="42"/>
      <c r="AZ225" s="135"/>
      <c r="BA225" s="97"/>
      <c r="BB225" s="42"/>
      <c r="BC225" s="42"/>
      <c r="BD225" s="135"/>
      <c r="BE225" s="97"/>
      <c r="BF225" s="42"/>
      <c r="BG225" s="42"/>
      <c r="BH225" s="135"/>
      <c r="BI225" s="99">
        <f>-SUM('[2]Total P&amp;C'!$AO$49:$AP$49)/1000/BI213</f>
        <v>6.4526484815194005E-2</v>
      </c>
      <c r="BJ225" s="60">
        <f>-SUM('[2]Total P&amp;C'!$AO$50:$AP$50)/1000/BJ213</f>
        <v>6.7679209410284977E-2</v>
      </c>
      <c r="BK225" s="60">
        <f>-SUM('[2]Total P&amp;C'!$AO$51:$AP$51)/1000/BK213</f>
        <v>6.2218571165748408E-2</v>
      </c>
      <c r="BM225" s="84">
        <f>-SUM('[3]Total P&amp;C'!$AO$49:$AP$49)/1000/BM213</f>
        <v>5.538440278613508E-2</v>
      </c>
      <c r="BN225" s="60">
        <f>-SUM('[3]Total P&amp;C'!$AO$50:$AP$50)/1000/BN213</f>
        <v>4.9133770800575696E-2</v>
      </c>
      <c r="BO225" s="60">
        <f>-SUM('[3]Total P&amp;C'!$AO$51:$AP$51)/1000/BO213</f>
        <v>4.9912622832811296E-2</v>
      </c>
    </row>
    <row r="226" spans="1:67" ht="16.5" hidden="1" customHeight="1" outlineLevel="1" x14ac:dyDescent="0.3">
      <c r="A226" s="214"/>
      <c r="B226" s="115"/>
      <c r="C226" s="39" t="s">
        <v>61</v>
      </c>
      <c r="D226" s="135"/>
      <c r="E226" s="74" t="e">
        <f>-SUM([1]Retail!$AQ$49:$AR$49)/1000/E213</f>
        <v>#DIV/0!</v>
      </c>
      <c r="F226" s="42" t="e">
        <f>-SUM([1]Retail!$AQ$50:$AR$50)/1000/F213</f>
        <v>#DIV/0!</v>
      </c>
      <c r="G226" s="42" t="e">
        <f>-SUM([1]Retail!$AQ$51:$AR$51)/1000/G213</f>
        <v>#DIV/0!</v>
      </c>
      <c r="H226" s="135"/>
      <c r="I226" s="73" t="e">
        <f>-SUM([1]SME!$AQ$49:$AR$49)/1000/I213</f>
        <v>#DIV/0!</v>
      </c>
      <c r="J226" s="42" t="e">
        <f>-SUM([1]SME!$AQ$50:$AR$50)/1000/J213</f>
        <v>#DIV/0!</v>
      </c>
      <c r="K226" s="42" t="e">
        <f>-SUM([1]SME!$AQ$51:$AR$51)/1000/K213</f>
        <v>#DIV/0!</v>
      </c>
      <c r="L226" s="135"/>
      <c r="M226" s="74">
        <f>-SUM([1]MidCorp!$AQ$49:$AR$49)/1000/M213</f>
        <v>4.6879796097455899E-2</v>
      </c>
      <c r="N226" s="42">
        <f>-SUM([1]MidCorp!$AQ$50:$AR$50)/1000/N213</f>
        <v>4.3623315418194399E-2</v>
      </c>
      <c r="O226" s="42">
        <f>-SUM([1]MidCorp!$AQ$51:$AR$51)/1000/O213</f>
        <v>5.835449847369726E-2</v>
      </c>
      <c r="P226" s="135"/>
      <c r="Q226" s="74">
        <f>-SUM([1]MGA!$AQ$49:$AR$49)/1000/Q213</f>
        <v>9.8788297828446021E-3</v>
      </c>
      <c r="R226" s="42">
        <f>-SUM([1]MGA!$AQ$50:$AR$50)/1000/R213</f>
        <v>6.8593218798628272E-2</v>
      </c>
      <c r="S226" s="42">
        <f>-SUM([1]MGA!$AQ$51:$AR$51)/1000/S213</f>
        <v>6.3579658513822024E-2</v>
      </c>
      <c r="T226" s="135"/>
      <c r="U226" s="74" t="e">
        <f>-SUM([1]Bancassurance!$AQ$49:$AR$49)/1000/U213</f>
        <v>#DIV/0!</v>
      </c>
      <c r="V226" s="42" t="e">
        <f>-SUM([1]Bancassurance!$AQ$50:$AR$50)/1000/V213</f>
        <v>#DIV/0!</v>
      </c>
      <c r="W226" s="42" t="e">
        <f>-SUM([1]Bancassurance!$AQ$51:$AR$51)/1000/W213</f>
        <v>#DIV/0!</v>
      </c>
      <c r="X226" s="135"/>
      <c r="Y226" s="74">
        <f>-SUM([1]Specials!$AQ$49:$AR$49)/1000/Y213</f>
        <v>0</v>
      </c>
      <c r="Z226" s="42">
        <f>-SUM([1]Specials!$AQ$50:$AR$50)/1000/Z213</f>
        <v>0</v>
      </c>
      <c r="AA226" s="42" t="e">
        <f>-SUM([1]Specials!$AQ$51:$AR$51)/1000/AA213</f>
        <v>#DIV/0!</v>
      </c>
      <c r="AB226" s="135"/>
      <c r="AC226" s="85">
        <f>-SUM('[1]Total P&amp;C'!$AQ$49:$AR$49)/1000/AC213</f>
        <v>4.6564177772613249E-2</v>
      </c>
      <c r="AD226" s="60">
        <f>-SUM('[1]Total P&amp;C'!$AQ$50:$AR$50)/1000/AD213</f>
        <v>4.3849220259951902E-2</v>
      </c>
      <c r="AE226" s="60">
        <f>-SUM('[1]Total P&amp;C'!$AQ$51:$AR$51)/1000/AE213</f>
        <v>5.8361530300554583E-2</v>
      </c>
      <c r="AG226" s="212"/>
      <c r="AH226" s="115"/>
      <c r="AI226" s="39" t="s">
        <v>61</v>
      </c>
      <c r="AJ226" s="135"/>
      <c r="AK226" s="74">
        <f>-SUM([2]Retail!$AQ$49:$AR$49)/1000/AK213</f>
        <v>0</v>
      </c>
      <c r="AL226" s="42" t="e">
        <f>-SUM([2]Retail!$AQ$50:$AR$50)/1000/AL213</f>
        <v>#DIV/0!</v>
      </c>
      <c r="AM226" s="42" t="e">
        <f>-SUM([2]Retail!$AQ$51:$AR$51)/1000/AM213</f>
        <v>#DIV/0!</v>
      </c>
      <c r="AN226" s="135"/>
      <c r="AO226" s="73">
        <f>-SUM([2]SME!$AQ$49:$AR$49)/1000/AO213</f>
        <v>1.5505582785081769E-6</v>
      </c>
      <c r="AP226" s="42">
        <f>-SUM([2]SME!$AQ$50:$AR$50)/1000/AP213</f>
        <v>0</v>
      </c>
      <c r="AQ226" s="42" t="e">
        <f>-SUM([2]SME!$AQ$51:$AR$51)/1000/AQ213</f>
        <v>#DIV/0!</v>
      </c>
      <c r="AR226" s="135"/>
      <c r="AS226" s="74">
        <f>-SUM([2]MidCorp!$AQ$49:$AR$49)/1000/AS213</f>
        <v>0.10454177802659645</v>
      </c>
      <c r="AT226" s="42">
        <f>-SUM([2]MidCorp!$AQ$50:$AR$50)/1000/AT213</f>
        <v>0.10409637690102749</v>
      </c>
      <c r="AU226" s="42">
        <f>-SUM([2]MidCorp!$AQ$51:$AR$51)/1000/AU213</f>
        <v>0.11438304904515369</v>
      </c>
      <c r="AV226" s="135"/>
      <c r="AW226" s="97"/>
      <c r="AX226" s="42"/>
      <c r="AY226" s="42"/>
      <c r="AZ226" s="135"/>
      <c r="BA226" s="97"/>
      <c r="BB226" s="42"/>
      <c r="BC226" s="42"/>
      <c r="BD226" s="135"/>
      <c r="BE226" s="97"/>
      <c r="BF226" s="42"/>
      <c r="BG226" s="42"/>
      <c r="BH226" s="135"/>
      <c r="BI226" s="85">
        <f>-SUM('[2]Total P&amp;C'!$AQ$49:$AR$49)/1000/BI213</f>
        <v>0.10422236189297555</v>
      </c>
      <c r="BJ226" s="60">
        <f>-SUM('[2]Total P&amp;C'!$AQ$50:$AR$50)/1000/BJ213</f>
        <v>0.10380013660234477</v>
      </c>
      <c r="BK226" s="60">
        <f>-SUM('[2]Total P&amp;C'!$AQ$51:$AR$51)/1000/BK213</f>
        <v>0.11438304904515369</v>
      </c>
      <c r="BM226" s="85">
        <f>-SUM('[3]Total P&amp;C'!$AQ$49:$AR$49)/1000/BM213</f>
        <v>5.5372708553485195E-2</v>
      </c>
      <c r="BN226" s="60">
        <f>-SUM('[3]Total P&amp;C'!$AQ$50:$AR$50)/1000/BN213</f>
        <v>5.4083712353764322E-2</v>
      </c>
      <c r="BO226" s="60">
        <f>-SUM('[3]Total P&amp;C'!$AQ$51:$AR$51)/1000/BO213</f>
        <v>6.6721111835603739E-2</v>
      </c>
    </row>
    <row r="227" spans="1:67" ht="16.5" hidden="1" customHeight="1" outlineLevel="1" x14ac:dyDescent="0.3">
      <c r="A227" s="214"/>
      <c r="B227" s="115"/>
      <c r="C227" s="116" t="s">
        <v>34</v>
      </c>
      <c r="D227" s="117"/>
      <c r="E227" s="121">
        <f>+[1]Retail!$BK$49/1000</f>
        <v>-3.7212900000000004E-3</v>
      </c>
      <c r="F227" s="119">
        <f>+[1]Retail!$BK$50/1000</f>
        <v>-6.8238000000000012E-4</v>
      </c>
      <c r="G227" s="119">
        <f>+[1]Retail!$BK$51/1000</f>
        <v>0</v>
      </c>
      <c r="H227" s="117"/>
      <c r="I227" s="118">
        <f>+[1]SME!$BK$49/1000</f>
        <v>1.9539999999999996E-3</v>
      </c>
      <c r="J227" s="119">
        <f>+[1]SME!$BK$50/1000</f>
        <v>-3.2746000000000007E-4</v>
      </c>
      <c r="K227" s="119">
        <f>+[1]SME!$BK$51/1000</f>
        <v>0</v>
      </c>
      <c r="L227" s="117"/>
      <c r="M227" s="118">
        <f>+[1]MidCorp!$BK$49/1000</f>
        <v>3.4941304599999996</v>
      </c>
      <c r="N227" s="119">
        <f>+[1]MidCorp!$BK$50/1000</f>
        <v>1.2517184199999978</v>
      </c>
      <c r="O227" s="119">
        <f>+[1]MidCorp!$BK$51/1000</f>
        <v>1.8769745780454543</v>
      </c>
      <c r="P227" s="117"/>
      <c r="Q227" s="121">
        <f>+[1]MGA!$BK$49/1000</f>
        <v>-0.16279029999999994</v>
      </c>
      <c r="R227" s="119">
        <f>+[1]MGA!$BK$50/1000</f>
        <v>-0.26778561999999995</v>
      </c>
      <c r="S227" s="119">
        <f>+[1]MGA!$BK$51/1000</f>
        <v>7.8330538406576403E-3</v>
      </c>
      <c r="T227" s="117"/>
      <c r="U227" s="121">
        <f>+[1]Bancassurance!$BK$49/1000</f>
        <v>0</v>
      </c>
      <c r="V227" s="119">
        <f>+[1]Bancassurance!$BK$50/1000</f>
        <v>0</v>
      </c>
      <c r="W227" s="119">
        <f>+[1]Bancassurance!$BK$51/1000</f>
        <v>0</v>
      </c>
      <c r="X227" s="117"/>
      <c r="Y227" s="118">
        <f>+[1]Specials!$BK$49/1000</f>
        <v>5.9179999999999999E-5</v>
      </c>
      <c r="Z227" s="119">
        <f>+[1]Specials!$BK$50/1000</f>
        <v>2.2082399999999998E-3</v>
      </c>
      <c r="AA227" s="119">
        <f>+[1]Specials!$BK$51/1000</f>
        <v>0</v>
      </c>
      <c r="AB227" s="117"/>
      <c r="AC227" s="122">
        <f>+'[1]Total P&amp;C'!$BK$49/1000</f>
        <v>3.3296320499999998</v>
      </c>
      <c r="AD227" s="123">
        <f>+'[1]Total P&amp;C'!$BK$50/1000</f>
        <v>0.98513120000000132</v>
      </c>
      <c r="AE227" s="123">
        <f>+'[1]Total P&amp;C'!$BK$51/1000</f>
        <v>1.8848076318861149</v>
      </c>
      <c r="AG227" s="212"/>
      <c r="AH227" s="115"/>
      <c r="AI227" s="116" t="s">
        <v>34</v>
      </c>
      <c r="AJ227" s="117"/>
      <c r="AK227" s="121">
        <f>+[2]Retail!$BK$49/1000</f>
        <v>-9.3000000000000024E-6</v>
      </c>
      <c r="AL227" s="119">
        <f>+[2]Retail!$BK$50/1000</f>
        <v>0</v>
      </c>
      <c r="AM227" s="119">
        <f>+[2]Retail!$BK$51/1000</f>
        <v>0</v>
      </c>
      <c r="AN227" s="117"/>
      <c r="AO227" s="118">
        <f>+[2]SME!$BK$49/1000</f>
        <v>5.3631599999999988E-3</v>
      </c>
      <c r="AP227" s="119">
        <f>+[2]SME!$BK$50/1000</f>
        <v>-1.5574399999999985E-3</v>
      </c>
      <c r="AQ227" s="119">
        <f>+[2]SME!$BK$51/1000</f>
        <v>0</v>
      </c>
      <c r="AR227" s="117"/>
      <c r="AS227" s="118">
        <f>+[2]MidCorp!$BK$49/1000</f>
        <v>0.57924772999999896</v>
      </c>
      <c r="AT227" s="119">
        <f>+[2]MidCorp!$BK$50/1000</f>
        <v>-0.43051087000000043</v>
      </c>
      <c r="AU227" s="119">
        <f>+[2]MidCorp!$BK$51/1000</f>
        <v>0.29646099336508142</v>
      </c>
      <c r="AV227" s="117"/>
      <c r="AW227" s="121"/>
      <c r="AX227" s="119"/>
      <c r="AY227" s="119"/>
      <c r="AZ227" s="117"/>
      <c r="BA227" s="121"/>
      <c r="BB227" s="119"/>
      <c r="BC227" s="119"/>
      <c r="BD227" s="117"/>
      <c r="BE227" s="121"/>
      <c r="BF227" s="119"/>
      <c r="BG227" s="119"/>
      <c r="BH227" s="117"/>
      <c r="BI227" s="122">
        <f>+'[2]Total P&amp;C'!$BK$49/1000</f>
        <v>0.58460158999999867</v>
      </c>
      <c r="BJ227" s="123">
        <f>+'[2]Total P&amp;C'!$BK$50/1000</f>
        <v>-0.43206831000000034</v>
      </c>
      <c r="BK227" s="123">
        <f>+'[2]Total P&amp;C'!$BK$51/1000</f>
        <v>0.29646099336508142</v>
      </c>
      <c r="BM227" s="122">
        <f>+'[3]Total P&amp;C'!$BK$49/1000</f>
        <v>3.9142336400000013</v>
      </c>
      <c r="BN227" s="123">
        <f>+'[3]Total P&amp;C'!$BK$50/1000</f>
        <v>0.55306289000000042</v>
      </c>
      <c r="BO227" s="123">
        <f>+'[3]Total P&amp;C'!$BK$51/1000</f>
        <v>2.1812686252511964</v>
      </c>
    </row>
    <row r="228" spans="1:67" ht="12.75" hidden="1" customHeight="1" outlineLevel="1" x14ac:dyDescent="0.35">
      <c r="AG228" s="153"/>
    </row>
    <row r="229" spans="1:67" ht="16.5" hidden="1" customHeight="1" outlineLevel="1" x14ac:dyDescent="0.3">
      <c r="A229" s="214" t="s">
        <v>45</v>
      </c>
      <c r="B229" s="115"/>
      <c r="C229" s="116" t="s">
        <v>19</v>
      </c>
      <c r="D229" s="117"/>
      <c r="E229" s="118">
        <f>+[1]Retail!$C$57/1000</f>
        <v>0.14378951999999995</v>
      </c>
      <c r="F229" s="119">
        <f>+[1]Retail!$C$58/1000</f>
        <v>0.16438716999999997</v>
      </c>
      <c r="G229" s="119">
        <f>+[1]Retail!$C$59/1000</f>
        <v>0</v>
      </c>
      <c r="H229" s="117"/>
      <c r="I229" s="118">
        <f>+[1]SME!$C$57/1000</f>
        <v>1.6063378800000003</v>
      </c>
      <c r="J229" s="119">
        <f>+[1]SME!$C$58/1000</f>
        <v>1.6000535299999998</v>
      </c>
      <c r="K229" s="119">
        <f>+[1]SME!$C$59/1000</f>
        <v>1.46513</v>
      </c>
      <c r="L229" s="117"/>
      <c r="M229" s="118">
        <f>+[1]MidCorp!$C$57/1000</f>
        <v>1.973784E-2</v>
      </c>
      <c r="N229" s="119">
        <f>+[1]MidCorp!$C$58/1000</f>
        <v>1.9352150000000002E-2</v>
      </c>
      <c r="O229" s="119">
        <f>+[1]MidCorp!$C$59/1000</f>
        <v>1.533E-2</v>
      </c>
      <c r="P229" s="117"/>
      <c r="Q229" s="118">
        <f>+[1]MGA!$C$57/1000</f>
        <v>0.10141809</v>
      </c>
      <c r="R229" s="119">
        <f>+[1]MGA!$C$58/1000</f>
        <v>7.7724169999999995E-2</v>
      </c>
      <c r="S229" s="119">
        <f>+[1]MGA!$C$59/1000</f>
        <v>0</v>
      </c>
      <c r="T229" s="117"/>
      <c r="U229" s="121">
        <f>+[1]Bancassurance!$C$57/1000</f>
        <v>0</v>
      </c>
      <c r="V229" s="119">
        <f>+[1]Bancassurance!$C$58/1000</f>
        <v>0</v>
      </c>
      <c r="W229" s="119">
        <f>+[1]Bancassurance!$C$59/1000</f>
        <v>0.21</v>
      </c>
      <c r="X229" s="117"/>
      <c r="Y229" s="121">
        <f>+[1]Specials!$C$57/1000</f>
        <v>0</v>
      </c>
      <c r="Z229" s="119">
        <f>+[1]Specials!$C$58/1000</f>
        <v>0</v>
      </c>
      <c r="AA229" s="119">
        <f>+[1]Specials!$C$59/1000</f>
        <v>0</v>
      </c>
      <c r="AB229" s="117"/>
      <c r="AC229" s="122">
        <f>+'[1]Total P&amp;C'!$C$57/1000</f>
        <v>1.8712833300000002</v>
      </c>
      <c r="AD229" s="123">
        <f>+'[1]Total P&amp;C'!$C$58/1000</f>
        <v>1.8615170199999997</v>
      </c>
      <c r="AE229" s="123">
        <f>+'[1]Total P&amp;C'!$C$59/1000</f>
        <v>1.6904600000000001</v>
      </c>
      <c r="AG229" s="212" t="s">
        <v>45</v>
      </c>
      <c r="AH229" s="115"/>
      <c r="AI229" s="116" t="s">
        <v>19</v>
      </c>
      <c r="AJ229" s="117"/>
      <c r="AK229" s="121">
        <f>+[2]Retail!$C$57/1000</f>
        <v>0.85430343999999947</v>
      </c>
      <c r="AL229" s="119">
        <f>+[2]Retail!$C$58/1000</f>
        <v>0.85419222000000061</v>
      </c>
      <c r="AM229" s="119">
        <f>+[2]Retail!$C$59/1000</f>
        <v>0.93951843763641796</v>
      </c>
      <c r="AN229" s="117"/>
      <c r="AO229" s="121">
        <f>+[2]SME!$C$57/1000</f>
        <v>0.16236426999999998</v>
      </c>
      <c r="AP229" s="119">
        <f>+[2]SME!$C$58/1000</f>
        <v>0.17219625999999988</v>
      </c>
      <c r="AQ229" s="119">
        <f>+[2]SME!$C$59/1000</f>
        <v>0.20300508586223162</v>
      </c>
      <c r="AR229" s="117"/>
      <c r="AS229" s="120">
        <f>+[2]MidCorp!$C$57/1000</f>
        <v>0.24553109000000012</v>
      </c>
      <c r="AT229" s="119">
        <f>+[2]MidCorp!$C$58/1000</f>
        <v>0.27042227000000008</v>
      </c>
      <c r="AU229" s="119">
        <f>+[2]MidCorp!$C$59/1000</f>
        <v>0.24976026194465598</v>
      </c>
      <c r="AV229" s="117"/>
      <c r="AW229" s="121"/>
      <c r="AX229" s="119"/>
      <c r="AY229" s="119"/>
      <c r="AZ229" s="117"/>
      <c r="BA229" s="121"/>
      <c r="BB229" s="119"/>
      <c r="BC229" s="119"/>
      <c r="BD229" s="117"/>
      <c r="BE229" s="121"/>
      <c r="BF229" s="119"/>
      <c r="BG229" s="119"/>
      <c r="BH229" s="117"/>
      <c r="BI229" s="124">
        <f>+'[2]Total P&amp;C'!$C$57/1000</f>
        <v>1.2621987999999997</v>
      </c>
      <c r="BJ229" s="123">
        <f>+'[2]Total P&amp;C'!$C$58/1000</f>
        <v>1.2968107500000006</v>
      </c>
      <c r="BK229" s="123">
        <f>+'[2]Total P&amp;C'!$C$59/1000</f>
        <v>1.3922837854433054</v>
      </c>
      <c r="BM229" s="122">
        <f>+'[3]Total P&amp;C'!$C$57/1000</f>
        <v>3.13348213</v>
      </c>
      <c r="BN229" s="123">
        <f>+'[3]Total P&amp;C'!$C$58/1000</f>
        <v>3.158327770000001</v>
      </c>
      <c r="BO229" s="123">
        <f>+'[3]Total P&amp;C'!$C$59/1000</f>
        <v>3.0827437854433057</v>
      </c>
    </row>
    <row r="230" spans="1:67" ht="16.5" hidden="1" customHeight="1" outlineLevel="1" x14ac:dyDescent="0.3">
      <c r="A230" s="214"/>
      <c r="B230" s="115"/>
      <c r="C230" s="116" t="s">
        <v>55</v>
      </c>
      <c r="D230" s="117"/>
      <c r="E230" s="118">
        <f>+[1]Retail!$N$57/1000</f>
        <v>0.14518900999999998</v>
      </c>
      <c r="F230" s="119">
        <f>+[1]Retail!$N$58/1000</f>
        <v>0.16634439000000006</v>
      </c>
      <c r="G230" s="119">
        <f>+[1]Retail!$N$59/1000</f>
        <v>0</v>
      </c>
      <c r="H230" s="117"/>
      <c r="I230" s="118">
        <f>+[1]SME!$N$57/1000</f>
        <v>0.97058493000000012</v>
      </c>
      <c r="J230" s="119">
        <f>+[1]SME!$N$58/1000</f>
        <v>0.95968913</v>
      </c>
      <c r="K230" s="119">
        <f>+[1]SME!$N$59/1000</f>
        <v>0.90570850502999289</v>
      </c>
      <c r="L230" s="117"/>
      <c r="M230" s="118">
        <f>+[1]MidCorp!$N$57/1000</f>
        <v>2.0557409999999998E-2</v>
      </c>
      <c r="N230" s="119">
        <f>+[1]MidCorp!$N$58/1000</f>
        <v>2.0293139999999998E-2</v>
      </c>
      <c r="O230" s="119">
        <f>+[1]MidCorp!$N$59/1000</f>
        <v>1.7489798607679127E-2</v>
      </c>
      <c r="P230" s="117"/>
      <c r="Q230" s="118">
        <f>+[1]MGA!$N$57/1000</f>
        <v>7.7954689999999993E-2</v>
      </c>
      <c r="R230" s="119">
        <f>+[1]MGA!$N$58/1000</f>
        <v>5.6675369999999975E-2</v>
      </c>
      <c r="S230" s="119">
        <f>+[1]MGA!$N$59/1000</f>
        <v>0</v>
      </c>
      <c r="T230" s="117"/>
      <c r="U230" s="121">
        <f>+[1]Bancassurance!$N$57/1000</f>
        <v>0</v>
      </c>
      <c r="V230" s="119">
        <f>+[1]Bancassurance!$N$58/1000</f>
        <v>0</v>
      </c>
      <c r="W230" s="119">
        <f>+[1]Bancassurance!$N$59/1000</f>
        <v>0.216490239375</v>
      </c>
      <c r="X230" s="117"/>
      <c r="Y230" s="121">
        <f>+[1]Specials!$N$57/1000</f>
        <v>0</v>
      </c>
      <c r="Z230" s="119">
        <f>+[1]Specials!$N$58/1000</f>
        <v>0</v>
      </c>
      <c r="AA230" s="119">
        <f>+[1]Specials!$N$59/1000</f>
        <v>0</v>
      </c>
      <c r="AB230" s="117"/>
      <c r="AC230" s="122">
        <f>+'[1]Total P&amp;C'!$N$57/1000</f>
        <v>1.21428604</v>
      </c>
      <c r="AD230" s="123">
        <f>+'[1]Total P&amp;C'!$N$58/1000</f>
        <v>1.2030020299999999</v>
      </c>
      <c r="AE230" s="123">
        <f>+'[1]Total P&amp;C'!$N$59/1000</f>
        <v>1.1396885430126722</v>
      </c>
      <c r="AG230" s="212"/>
      <c r="AH230" s="115"/>
      <c r="AI230" s="116" t="s">
        <v>55</v>
      </c>
      <c r="AJ230" s="117"/>
      <c r="AK230" s="121">
        <f>+[2]Retail!$N$57/1000</f>
        <v>0.82357932999999939</v>
      </c>
      <c r="AL230" s="119">
        <f>+[2]Retail!$N$58/1000</f>
        <v>0.80595925000000013</v>
      </c>
      <c r="AM230" s="119">
        <f>+[2]Retail!$N$59/1000</f>
        <v>0.85</v>
      </c>
      <c r="AN230" s="117"/>
      <c r="AO230" s="121">
        <f>+[2]SME!$N$57/1000</f>
        <v>0.14119945</v>
      </c>
      <c r="AP230" s="119">
        <f>+[2]SME!$N$58/1000</f>
        <v>0.14751210999999995</v>
      </c>
      <c r="AQ230" s="119">
        <f>+[2]SME!$N$59/1000</f>
        <v>0.15375</v>
      </c>
      <c r="AR230" s="117"/>
      <c r="AS230" s="118">
        <f>+[2]MidCorp!$N$57/1000</f>
        <v>0.1892058800000001</v>
      </c>
      <c r="AT230" s="119">
        <f>+[2]MidCorp!$N$58/1000</f>
        <v>0.19741176000000013</v>
      </c>
      <c r="AU230" s="119">
        <f>+[2]MidCorp!$N$59/1000</f>
        <v>0.1885</v>
      </c>
      <c r="AV230" s="117"/>
      <c r="AW230" s="121"/>
      <c r="AX230" s="119"/>
      <c r="AY230" s="119"/>
      <c r="AZ230" s="117"/>
      <c r="BA230" s="121"/>
      <c r="BB230" s="119"/>
      <c r="BC230" s="119"/>
      <c r="BD230" s="117"/>
      <c r="BE230" s="121"/>
      <c r="BF230" s="119"/>
      <c r="BG230" s="119"/>
      <c r="BH230" s="117"/>
      <c r="BI230" s="124">
        <f>+'[2]Total P&amp;C'!$N$57/1000</f>
        <v>1.1539846599999997</v>
      </c>
      <c r="BJ230" s="123">
        <f>+'[2]Total P&amp;C'!$N$58/1000</f>
        <v>1.1508831200000003</v>
      </c>
      <c r="BK230" s="123">
        <f>+'[2]Total P&amp;C'!$N$59/1000</f>
        <v>1.19225</v>
      </c>
      <c r="BM230" s="122">
        <f>+'[3]Total P&amp;C'!$N$57/1000</f>
        <v>2.3682706999999996</v>
      </c>
      <c r="BN230" s="123">
        <f>+'[3]Total P&amp;C'!$N$58/1000</f>
        <v>2.35388515</v>
      </c>
      <c r="BO230" s="123">
        <f>+'[3]Total P&amp;C'!$N$59/1000</f>
        <v>2.3319385430126718</v>
      </c>
    </row>
    <row r="231" spans="1:67" ht="16.5" hidden="1" customHeight="1" outlineLevel="1" x14ac:dyDescent="0.3">
      <c r="A231" s="214"/>
      <c r="B231" s="115"/>
      <c r="C231" s="116" t="s">
        <v>21</v>
      </c>
      <c r="D231" s="117"/>
      <c r="E231" s="128">
        <f>+E232+E237+E238+E239+E240</f>
        <v>0.94772097419770285</v>
      </c>
      <c r="F231" s="127">
        <f>+F232+F237+F238+F239+F240</f>
        <v>1.2192411177798055</v>
      </c>
      <c r="G231" s="127" t="e">
        <f>+G232+G237+G238+G239+G240</f>
        <v>#DIV/0!</v>
      </c>
      <c r="H231" s="117"/>
      <c r="I231" s="128">
        <f>+I232+I237+I238+I239+I240</f>
        <v>1.2613870380204646</v>
      </c>
      <c r="J231" s="127">
        <f>+J232+J237+J238+J239+J240</f>
        <v>1.2495530088998714</v>
      </c>
      <c r="K231" s="127">
        <f>+K232+K237+K238+K239+K240</f>
        <v>0.89553716020650542</v>
      </c>
      <c r="L231" s="117"/>
      <c r="M231" s="126">
        <f>+M232+M237+M238+M239+M240</f>
        <v>0.91021534327524733</v>
      </c>
      <c r="N231" s="127">
        <f>+N232+N237+N238+N239+N240</f>
        <v>0.85767702780348443</v>
      </c>
      <c r="O231" s="127">
        <f>+O232+O237+O238+O239+O240</f>
        <v>0.94940787981991492</v>
      </c>
      <c r="P231" s="117"/>
      <c r="Q231" s="126">
        <f>+Q232+Q237+Q238+Q239+Q240</f>
        <v>0.13668196230399993</v>
      </c>
      <c r="R231" s="127">
        <f>+R232+R237+R238+R239+R240</f>
        <v>0.30405835903673861</v>
      </c>
      <c r="S231" s="127" t="e">
        <f>+S232+S237+S238+S239+S240</f>
        <v>#DIV/0!</v>
      </c>
      <c r="T231" s="117"/>
      <c r="U231" s="126" t="e">
        <f>+U232+U237+U238+U239+U240</f>
        <v>#DIV/0!</v>
      </c>
      <c r="V231" s="127" t="e">
        <f>+V232+V237+V238+V239+V240</f>
        <v>#DIV/0!</v>
      </c>
      <c r="W231" s="127">
        <f>+W232+W237+W238+W239+W240</f>
        <v>0.8062853914047734</v>
      </c>
      <c r="X231" s="117"/>
      <c r="Y231" s="126" t="e">
        <f>+Y232+Y237+Y238+Y239+Y240</f>
        <v>#DIV/0!</v>
      </c>
      <c r="Z231" s="127" t="e">
        <f>+Z232+Z237+Z238+Z239+Z240</f>
        <v>#DIV/0!</v>
      </c>
      <c r="AA231" s="127" t="e">
        <f>+AA232+AA237+AA238+AA239+AA240</f>
        <v>#DIV/0!</v>
      </c>
      <c r="AB231" s="117"/>
      <c r="AC231" s="129">
        <f>+AC232+AC237+AC238+AC239+AC240</f>
        <v>1.173850429837767</v>
      </c>
      <c r="AD231" s="130">
        <f>+AD232+AD237+AD238+AD239+AD240</f>
        <v>1.2582194811425214</v>
      </c>
      <c r="AE231" s="130">
        <f>+AE232+AE237+AE238+AE239+AE240</f>
        <v>0.90126896919091215</v>
      </c>
      <c r="AG231" s="212"/>
      <c r="AH231" s="115"/>
      <c r="AI231" s="116" t="s">
        <v>21</v>
      </c>
      <c r="AJ231" s="117"/>
      <c r="AK231" s="126">
        <f>+AK232+AK237+AK238+AK239+AK240</f>
        <v>0.73106472936857259</v>
      </c>
      <c r="AL231" s="127">
        <f>+AL232+AL237+AL238+AL239+AL240</f>
        <v>0.49061320407948655</v>
      </c>
      <c r="AM231" s="127">
        <f>+AM232+AM237+AM238+AM239+AM240</f>
        <v>0.77642728958113461</v>
      </c>
      <c r="AN231" s="117"/>
      <c r="AO231" s="126">
        <f>+AO232+AO237+AO238+AO239+AO240</f>
        <v>0.7014938797566137</v>
      </c>
      <c r="AP231" s="127">
        <f>+AP232+AP237+AP238+AP239+AP240</f>
        <v>0.27954355747470516</v>
      </c>
      <c r="AQ231" s="127">
        <f>+AQ232+AQ237+AQ238+AQ239+AQ240</f>
        <v>0.78833170277610565</v>
      </c>
      <c r="AR231" s="117"/>
      <c r="AS231" s="126">
        <f>+AS232+AS237+AS238+AS239+AS240</f>
        <v>0.6156751048117528</v>
      </c>
      <c r="AT231" s="127">
        <f>+AT232+AT237+AT238+AT239+AT240</f>
        <v>1.0887734854296414</v>
      </c>
      <c r="AU231" s="127">
        <f>+AU232+AU237+AU238+AU239+AU240</f>
        <v>1.4394128875503838</v>
      </c>
      <c r="AV231" s="117"/>
      <c r="AW231" s="131"/>
      <c r="AX231" s="127"/>
      <c r="AY231" s="127"/>
      <c r="AZ231" s="117"/>
      <c r="BA231" s="131"/>
      <c r="BB231" s="127"/>
      <c r="BC231" s="127"/>
      <c r="BD231" s="117"/>
      <c r="BE231" s="131"/>
      <c r="BF231" s="127"/>
      <c r="BG231" s="127"/>
      <c r="BH231" s="117"/>
      <c r="BI231" s="132">
        <f>+BI232+BI237+BI238+BI239+BI240</f>
        <v>0.70852735598755712</v>
      </c>
      <c r="BJ231" s="130">
        <f>+BJ232+BJ237+BJ238+BJ239+BJ240</f>
        <v>0.56616261779910348</v>
      </c>
      <c r="BK231" s="130">
        <f>+BK232+BK237+BK238+BK239+BK240</f>
        <v>0.88278341350307232</v>
      </c>
      <c r="BM231" s="129">
        <f>+BM232+BM237+BM238+BM239+BM240</f>
        <v>0.94711296728030281</v>
      </c>
      <c r="BN231" s="130">
        <f>+BN232+BN237+BN238+BN239+BN240</f>
        <v>0.91985269119863389</v>
      </c>
      <c r="BO231" s="130">
        <f>+BO232+BO237+BO238+BO239+BO240</f>
        <v>0.89181786086952664</v>
      </c>
    </row>
    <row r="232" spans="1:67" ht="16.5" hidden="1" customHeight="1" outlineLevel="1" x14ac:dyDescent="0.3">
      <c r="A232" s="214"/>
      <c r="B232" s="115"/>
      <c r="C232" s="116" t="s">
        <v>56</v>
      </c>
      <c r="D232" s="117"/>
      <c r="E232" s="126">
        <f>+E233+E234+E235+E236</f>
        <v>0.74500556206010371</v>
      </c>
      <c r="F232" s="127">
        <f>+F233+F234+F235+F236</f>
        <v>0.76966569176153121</v>
      </c>
      <c r="G232" s="127" t="e">
        <f>+G233+G234+G235+G236</f>
        <v>#DIV/0!</v>
      </c>
      <c r="H232" s="117"/>
      <c r="I232" s="128">
        <f>+I233+I234+I235+I236</f>
        <v>0.98530212085613156</v>
      </c>
      <c r="J232" s="127">
        <f>+J233+J234+J235+J236</f>
        <v>0.99170343838321884</v>
      </c>
      <c r="K232" s="127">
        <f>+K233+K234+K235+K236</f>
        <v>0.59687030882149994</v>
      </c>
      <c r="L232" s="117"/>
      <c r="M232" s="128">
        <f>+M233+M234+M235+M236</f>
        <v>0.64730965622614922</v>
      </c>
      <c r="N232" s="127">
        <f>+N233+N234+N235+N236</f>
        <v>0.62258181828933323</v>
      </c>
      <c r="O232" s="127">
        <f>+O233+O234+O235+O236</f>
        <v>0.63325715773136015</v>
      </c>
      <c r="P232" s="117"/>
      <c r="Q232" s="126">
        <f>+Q233+Q234+Q235+Q236</f>
        <v>1.2517527810065052E-3</v>
      </c>
      <c r="R232" s="127">
        <f>+R233+R234+R235+R236</f>
        <v>3.2465601900790434E-4</v>
      </c>
      <c r="S232" s="127" t="e">
        <f>+S233+S234+S235+S236</f>
        <v>#DIV/0!</v>
      </c>
      <c r="T232" s="117"/>
      <c r="U232" s="128" t="e">
        <f>+U233+U234+U235+U236</f>
        <v>#DIV/0!</v>
      </c>
      <c r="V232" s="127" t="e">
        <f>+V233+V234+V235+V236</f>
        <v>#DIV/0!</v>
      </c>
      <c r="W232" s="127">
        <f>+W233+W234+W235+W236</f>
        <v>0.64336592295495154</v>
      </c>
      <c r="X232" s="117"/>
      <c r="Y232" s="128" t="e">
        <f>+Y233+Y234+Y235+Y236</f>
        <v>#DIV/0!</v>
      </c>
      <c r="Z232" s="127" t="e">
        <f>+Z233+Z234+Z235+Z236</f>
        <v>#DIV/0!</v>
      </c>
      <c r="AA232" s="127" t="e">
        <f>+AA233+AA234+AA235+AA236</f>
        <v>#DIV/0!</v>
      </c>
      <c r="AB232" s="117"/>
      <c r="AC232" s="129">
        <f>+AC233+AC234+AC235+AC236</f>
        <v>0.89585864793438619</v>
      </c>
      <c r="AD232" s="130">
        <f>+AD233+AD234+AD235+AD236</f>
        <v>0.92732373028497705</v>
      </c>
      <c r="AE232" s="130">
        <f>+AE233+AE234+AE235+AE236</f>
        <v>0.61361328111370528</v>
      </c>
      <c r="AG232" s="212"/>
      <c r="AH232" s="115"/>
      <c r="AI232" s="116" t="s">
        <v>56</v>
      </c>
      <c r="AJ232" s="117"/>
      <c r="AK232" s="128">
        <f>+AK233+AK234+AK235+AK236</f>
        <v>0.62462315561028015</v>
      </c>
      <c r="AL232" s="127">
        <f>+AL233+AL234+AL235+AL236</f>
        <v>0.63274762340651824</v>
      </c>
      <c r="AM232" s="127">
        <f>+AM233+AM234+AM235+AM236</f>
        <v>0.51781782716808489</v>
      </c>
      <c r="AN232" s="117"/>
      <c r="AO232" s="128">
        <f>+AO233+AO234+AO235+AO236</f>
        <v>0.52905524773644652</v>
      </c>
      <c r="AP232" s="127">
        <f>+AP233+AP234+AP235+AP236</f>
        <v>0.56039243150952167</v>
      </c>
      <c r="AQ232" s="127">
        <f>+AQ233+AQ234+AQ235+AQ236</f>
        <v>0.50558909320778911</v>
      </c>
      <c r="AR232" s="117"/>
      <c r="AS232" s="126">
        <f>+AS233+AS234+AS235+AS236</f>
        <v>1.2279847222507032</v>
      </c>
      <c r="AT232" s="127">
        <f>+AT233+AT234+AT235+AT236</f>
        <v>1.547852569674673</v>
      </c>
      <c r="AU232" s="127">
        <f>+AU233+AU234+AU235+AU236</f>
        <v>1.2665125323835278</v>
      </c>
      <c r="AV232" s="117"/>
      <c r="AW232" s="131"/>
      <c r="AX232" s="127"/>
      <c r="AY232" s="127"/>
      <c r="AZ232" s="117"/>
      <c r="BA232" s="131"/>
      <c r="BB232" s="127"/>
      <c r="BC232" s="127"/>
      <c r="BD232" s="117"/>
      <c r="BE232" s="131"/>
      <c r="BF232" s="127"/>
      <c r="BG232" s="127"/>
      <c r="BH232" s="117"/>
      <c r="BI232" s="129">
        <f>+BI233+BI234+BI235+BI236</f>
        <v>0.71185604841575645</v>
      </c>
      <c r="BJ232" s="130">
        <f>+BJ233+BJ234+BJ235+BJ236</f>
        <v>0.78044221380186707</v>
      </c>
      <c r="BK232" s="130">
        <f>+BK233+BK234+BK235+BK236</f>
        <v>0.6346127813192407</v>
      </c>
      <c r="BM232" s="129">
        <f>+BM233+BM234+BM235+BM236</f>
        <v>0.80619990358365712</v>
      </c>
      <c r="BN232" s="130">
        <f>+BN233+BN234+BN235+BN236</f>
        <v>0.85550907188483682</v>
      </c>
      <c r="BO232" s="130">
        <f>+BO233+BO234+BO235+BO236</f>
        <v>0.62434969361268333</v>
      </c>
    </row>
    <row r="233" spans="1:67" ht="16.5" hidden="1" customHeight="1" outlineLevel="1" x14ac:dyDescent="0.3">
      <c r="A233" s="214"/>
      <c r="B233" s="115"/>
      <c r="C233" s="38" t="s">
        <v>23</v>
      </c>
      <c r="D233" s="117"/>
      <c r="E233" s="73">
        <f>-SUM([1]Retail!$O$57,[1]Retail!$R$57:$V$57,[1]Retail!$Y$57,[1]Retail!$AB$57,[1]Retail!$AU$57,[1]Retail!$AX$57,[1]Retail!$BA$57,[1]Retail!$BD$57)/1000/E230</f>
        <v>2.8921610526857376E-3</v>
      </c>
      <c r="F233" s="42">
        <f>-SUM([1]Retail!$O$58,[1]Retail!$R$58:$V$58,[1]Retail!$Y$58,[1]Retail!$AB$58,[1]Retail!$AU$58,[1]Retail!$AX$58,[1]Retail!$BA$58,[1]Retail!$BD$58)/1000/F230</f>
        <v>1.5358798694683956E-2</v>
      </c>
      <c r="G233" s="42" t="e">
        <f>-SUM([1]Retail!$O$59,[1]Retail!$R$59:$V$59,[1]Retail!$Y$59,[1]Retail!$AB$59,[1]Retail!$AU$59,[1]Retail!$AX$59,[1]Retail!$BA$59,[1]Retail!$BD$59)/1000/G230</f>
        <v>#DIV/0!</v>
      </c>
      <c r="H233" s="117"/>
      <c r="I233" s="73">
        <f>-SUM([1]SME!$O$57,[1]SME!$R$57:$V$57,[1]SME!$Y$57,[1]SME!$AB$57,[1]SME!$AU$57,[1]SME!$AX$57,[1]SME!$BA$57,[1]SME!$BD$57)/1000/I230</f>
        <v>2.0287518785192759E-2</v>
      </c>
      <c r="J233" s="42">
        <f>-SUM([1]SME!$O$58,[1]SME!$R$58:$V$58,[1]SME!$Y$58,[1]SME!$AB$58,[1]SME!$AU$58,[1]SME!$AX$58,[1]SME!$BA$58,[1]SME!$BD$58)/1000/J230</f>
        <v>1.4686547507316249E-2</v>
      </c>
      <c r="K233" s="42">
        <f>-SUM([1]SME!$O$59,[1]SME!$R$59:$V$59,[1]SME!$Y$59,[1]SME!$AB$59,[1]SME!$AU$59,[1]SME!$AX$59,[1]SME!$BA$59,[1]SME!$BD$59)/1000/K230</f>
        <v>-0.22257411900034776</v>
      </c>
      <c r="L233" s="117"/>
      <c r="M233" s="73">
        <f>-SUM([1]MidCorp!$O$57,[1]MidCorp!$R$57:$V$57,[1]MidCorp!$Y$57,[1]MidCorp!$AB$57,[1]MidCorp!$AU$57,[1]MidCorp!$AX$57,[1]MidCorp!$BA$57,[1]MidCorp!$BD$57)/1000/M230</f>
        <v>8.5774423918188146E-3</v>
      </c>
      <c r="N233" s="42">
        <f>-SUM([1]MidCorp!$O$58,[1]MidCorp!$R$58:$V$58,[1]MidCorp!$Y$58,[1]MidCorp!$AB$58,[1]MidCorp!$AU$58,[1]MidCorp!$AX$58,[1]MidCorp!$BA$58,[1]MidCorp!$BD$58)/1000/N230</f>
        <v>2.0992315629813821E-4</v>
      </c>
      <c r="O233" s="42">
        <f>-SUM([1]MidCorp!$O$59,[1]MidCorp!$R$59:$V$59,[1]MidCorp!$Y$59,[1]MidCorp!$AB$59,[1]MidCorp!$AU$59,[1]MidCorp!$AX$59,[1]MidCorp!$BA$59,[1]MidCorp!$BD$59)/1000/O230</f>
        <v>-0.16732227931132659</v>
      </c>
      <c r="P233" s="117"/>
      <c r="Q233" s="74">
        <f>-SUM([1]MGA!$O$57,[1]MGA!$R$57:$V$57,[1]MGA!$Y$57,[1]MGA!$AB$57,[1]MGA!$AU$57,[1]MGA!$AX$57,[1]MGA!$BA$57,[1]MGA!$BD$57)/1000/Q230</f>
        <v>1.2517527810065052E-3</v>
      </c>
      <c r="R233" s="42">
        <f>-SUM([1]MGA!$O$58,[1]MGA!$R$58:$V$58,[1]MGA!$Y$58,[1]MGA!$AB$58,[1]MGA!$AU$58,[1]MGA!$AX$58,[1]MGA!$BA$58,[1]MGA!$BD$58)/1000/R230</f>
        <v>3.2465601900790434E-4</v>
      </c>
      <c r="S233" s="42" t="e">
        <f>-SUM([1]MGA!$O$59,[1]MGA!$R$59:$V$59,[1]MGA!$Y$59,[1]MGA!$AB$59,[1]MGA!$AU$59,[1]MGA!$AX$59,[1]MGA!$BA$59,[1]MGA!$BD$59)/1000/S230</f>
        <v>#DIV/0!</v>
      </c>
      <c r="T233" s="117"/>
      <c r="U233" s="73" t="e">
        <f>-SUM([1]Bancassurance!$O$57,[1]Bancassurance!$R$57:$V$57,[1]Bancassurance!$Y$57,[1]Bancassurance!$AB$57,[1]Bancassurance!$AU$57,[1]Bancassurance!$AX$57,[1]Bancassurance!$BA$57,[1]Bancassurance!$BD$57)/1000/U230</f>
        <v>#DIV/0!</v>
      </c>
      <c r="V233" s="42" t="e">
        <f>-SUM([1]Bancassurance!$O$58,[1]Bancassurance!$R$58:$V$58,[1]Bancassurance!$Y$58,[1]Bancassurance!$AB$58,[1]Bancassurance!$AU$58,[1]Bancassurance!$AX$58,[1]Bancassurance!$BA$58,[1]Bancassurance!$BD$58)/1000/V230</f>
        <v>#DIV/0!</v>
      </c>
      <c r="W233" s="42">
        <f>-SUM([1]Bancassurance!$O$59,[1]Bancassurance!$R$59:$V$59,[1]Bancassurance!$Y$59,[1]Bancassurance!$AB$59,[1]Bancassurance!$AU$59,[1]Bancassurance!$AX$59,[1]Bancassurance!$BA$59,[1]Bancassurance!$BD$59)/1000/W230</f>
        <v>0.64336592295495154</v>
      </c>
      <c r="X233" s="117"/>
      <c r="Y233" s="73" t="e">
        <f>-SUM([1]Specials!$O$57,[1]Specials!$R$57:$V$57,[1]Specials!$Y$57,[1]Specials!$AB$57,[1]Specials!$AU$57,[1]Specials!$AX$57,[1]Specials!$BA$57,[1]Specials!$BD$57)/1000/Y230</f>
        <v>#DIV/0!</v>
      </c>
      <c r="Z233" s="42" t="e">
        <f>-SUM([1]Specials!$O$58,[1]Specials!$R$58:$V$58,[1]Specials!$Y$58,[1]Specials!$AB$58,[1]Specials!$AU$58,[1]Specials!$AX$58,[1]Specials!$BA$58,[1]Specials!$BD$58)/1000/Z230</f>
        <v>#DIV/0!</v>
      </c>
      <c r="AA233" s="42" t="e">
        <f>-SUM([1]Specials!$O$59,[1]Specials!$R$59:$V$59,[1]Specials!$Y$59,[1]Specials!$AB$59,[1]Specials!$AU$59,[1]Specials!$AX$59,[1]Specials!$BA$59,[1]Specials!$BD$59)/1000/AA230</f>
        <v>#DIV/0!</v>
      </c>
      <c r="AB233" s="117"/>
      <c r="AC233" s="84">
        <f>-SUM('[1]Total P&amp;C'!$O$57,'[1]Total P&amp;C'!$R$57:$V$57,'[1]Total P&amp;C'!$Y$57,'[1]Total P&amp;C'!$AB$57,'[1]Total P&amp;C'!$AU$57,'[1]Total P&amp;C'!$AX$57,'[1]Total P&amp;C'!$BA$57,'[1]Total P&amp;C'!$BD$57)/1000/AC230</f>
        <v>2.497157094880215E-2</v>
      </c>
      <c r="AD233" s="60">
        <f>-SUM('[1]Total P&amp;C'!$O$58,'[1]Total P&amp;C'!$R$58:$V$58,'[1]Total P&amp;C'!$Y$58,'[1]Total P&amp;C'!$AB$58,'[1]Total P&amp;C'!$AU$58,'[1]Total P&amp;C'!$AX$58,'[1]Total P&amp;C'!$BA$58,'[1]Total P&amp;C'!$BD$58)/1000/AD230</f>
        <v>3.3113194331018711E-2</v>
      </c>
      <c r="AE233" s="60">
        <f>-SUM('[1]Total P&amp;C'!$O$59,'[1]Total P&amp;C'!$R$59:$V$59,'[1]Total P&amp;C'!$Y$59,'[1]Total P&amp;C'!$AB$59,'[1]Total P&amp;C'!$AU$59,'[1]Total P&amp;C'!$AX$59,'[1]Total P&amp;C'!$BA$59,'[1]Total P&amp;C'!$BD$59)/1000/AE230</f>
        <v>-4.9883571107087209E-2</v>
      </c>
      <c r="AG233" s="212"/>
      <c r="AH233" s="115"/>
      <c r="AI233" s="38" t="s">
        <v>23</v>
      </c>
      <c r="AJ233" s="117"/>
      <c r="AK233" s="73">
        <f>-SUM([2]Retail!$O$57,[2]Retail!$R$57:$V$57,[2]Retail!$Y$57,[2]Retail!$AB$57,[2]Retail!$AU$57,[2]Retail!$AX$57,[2]Retail!$BA$57,[2]Retail!$BD$57)/1000/AK230</f>
        <v>0.62462315561028015</v>
      </c>
      <c r="AL233" s="42">
        <f>-SUM([2]Retail!$O$58,[2]Retail!$R$58:$V$58,[2]Retail!$Y$58,[2]Retail!$AB$58,[2]Retail!$AU$58,[2]Retail!$AX$58,[2]Retail!$BA$58,[2]Retail!$BD$58)/1000/AL230</f>
        <v>0.63274762340651824</v>
      </c>
      <c r="AM233" s="42">
        <f>-SUM([2]Retail!$O$59,[2]Retail!$R$59:$V$59,[2]Retail!$Y$59,[2]Retail!$AB$59,[2]Retail!$AU$59,[2]Retail!$AX$59,[2]Retail!$BA$59,[2]Retail!$BD$59)/1000/AM230</f>
        <v>0.51781782716808489</v>
      </c>
      <c r="AN233" s="117"/>
      <c r="AO233" s="73">
        <f>-SUM([2]SME!$O$57,[2]SME!$R$57:$V$57,[2]SME!$Y$57,[2]SME!$AB$57,[2]SME!$AU$57,[2]SME!$AX$57,[2]SME!$BA$57,[2]SME!$BD$57)/1000/AO230</f>
        <v>0.52905524773644652</v>
      </c>
      <c r="AP233" s="42">
        <f>-SUM([2]SME!$O$58,[2]SME!$R$58:$V$58,[2]SME!$Y$58,[2]SME!$AB$58,[2]SME!$AU$58,[2]SME!$AX$58,[2]SME!$BA$58,[2]SME!$BD$58)/1000/AP230</f>
        <v>0.56039243150952167</v>
      </c>
      <c r="AQ233" s="42">
        <f>-SUM([2]SME!$O$59,[2]SME!$R$59:$V$59,[2]SME!$Y$59,[2]SME!$AB$59,[2]SME!$AU$59,[2]SME!$AX$59,[2]SME!$BA$59,[2]SME!$BD$59)/1000/AQ230</f>
        <v>0.50558909320778911</v>
      </c>
      <c r="AR233" s="117"/>
      <c r="AS233" s="74">
        <f>-SUM([2]MidCorp!$O$57,[2]MidCorp!$R$57:$V$57,[2]MidCorp!$Y$57,[2]MidCorp!$AB$57,[2]MidCorp!$AU$57,[2]MidCorp!$AX$57,[2]MidCorp!$BA$57,[2]MidCorp!$BD$57)/1000/AS230</f>
        <v>1.2279847222507032</v>
      </c>
      <c r="AT233" s="42">
        <f>-SUM([2]MidCorp!$O$58,[2]MidCorp!$R$58:$V$58,[2]MidCorp!$Y$58,[2]MidCorp!$AB$58,[2]MidCorp!$AU$58,[2]MidCorp!$AX$58,[2]MidCorp!$BA$58,[2]MidCorp!$BD$58)/1000/AT230</f>
        <v>1.547852569674673</v>
      </c>
      <c r="AU233" s="42">
        <f>-SUM([2]MidCorp!$O$59,[2]MidCorp!$R$59:$V$59,[2]MidCorp!$Y$59,[2]MidCorp!$AB$59,[2]MidCorp!$AU$59,[2]MidCorp!$AX$59,[2]MidCorp!$BA$59,[2]MidCorp!$BD$59)/1000/AU230</f>
        <v>1.2665125323835278</v>
      </c>
      <c r="AV233" s="117"/>
      <c r="AW233" s="97"/>
      <c r="AX233" s="42"/>
      <c r="AY233" s="42"/>
      <c r="AZ233" s="117"/>
      <c r="BA233" s="97"/>
      <c r="BB233" s="42"/>
      <c r="BC233" s="42"/>
      <c r="BD233" s="117"/>
      <c r="BE233" s="97"/>
      <c r="BF233" s="42"/>
      <c r="BG233" s="42"/>
      <c r="BH233" s="117"/>
      <c r="BI233" s="84">
        <f>-SUM('[2]Total P&amp;C'!$O$57,'[2]Total P&amp;C'!$R$57:$V$57,'[2]Total P&amp;C'!$Y$57,'[2]Total P&amp;C'!$AB$57,'[2]Total P&amp;C'!$AU$57,'[2]Total P&amp;C'!$AX$57,'[2]Total P&amp;C'!$BA$57,'[2]Total P&amp;C'!$BD$57)/1000/BI230</f>
        <v>0.71185604841575645</v>
      </c>
      <c r="BJ233" s="60">
        <f>-SUM('[2]Total P&amp;C'!$O$58,'[2]Total P&amp;C'!$R$58:$V$58,'[2]Total P&amp;C'!$Y$58,'[2]Total P&amp;C'!$AB$58,'[2]Total P&amp;C'!$AU$58,'[2]Total P&amp;C'!$AX$58,'[2]Total P&amp;C'!$BA$58,'[2]Total P&amp;C'!$BD$58)/1000/BJ230</f>
        <v>0.78044221380186707</v>
      </c>
      <c r="BK233" s="60">
        <f>-SUM('[2]Total P&amp;C'!$O$59,'[2]Total P&amp;C'!$R$59:$V$59,'[2]Total P&amp;C'!$Y$59,'[2]Total P&amp;C'!$AB$59,'[2]Total P&amp;C'!$AU$59,'[2]Total P&amp;C'!$AX$59,'[2]Total P&amp;C'!$BA$59,'[2]Total P&amp;C'!$BD$59)/1000/BK230</f>
        <v>0.6346127813192407</v>
      </c>
      <c r="BM233" s="84">
        <f>-SUM('[3]Total P&amp;C'!$O$57,'[3]Total P&amp;C'!$R$57:$V$57,'[3]Total P&amp;C'!$Y$57,'[3]Total P&amp;C'!$AB$57,'[3]Total P&amp;C'!$AU$57,'[3]Total P&amp;C'!$AX$57,'[3]Total P&amp;C'!$BA$57,'[3]Total P&amp;C'!$BD$57)/1000/BM230</f>
        <v>0.35966901503278326</v>
      </c>
      <c r="BN233" s="60">
        <f>-SUM('[3]Total P&amp;C'!$O$58,'[3]Total P&amp;C'!$R$58:$V$58,'[3]Total P&amp;C'!$Y$58,'[3]Total P&amp;C'!$AB$58,'[3]Total P&amp;C'!$AU$58,'[3]Total P&amp;C'!$AX$58,'[3]Total P&amp;C'!$BA$58,'[3]Total P&amp;C'!$BD$58)/1000/BN230</f>
        <v>0.3985041538666404</v>
      </c>
      <c r="BO233" s="60">
        <f>-SUM('[3]Total P&amp;C'!$O$59,'[3]Total P&amp;C'!$R$59:$V$59,'[3]Total P&amp;C'!$Y$59,'[3]Total P&amp;C'!$AB$59,'[3]Total P&amp;C'!$AU$59,'[3]Total P&amp;C'!$AX$59,'[3]Total P&amp;C'!$BA$59,'[3]Total P&amp;C'!$BD$59)/1000/BO230</f>
        <v>0.30007881474805959</v>
      </c>
    </row>
    <row r="234" spans="1:67" ht="16.5" hidden="1" customHeight="1" outlineLevel="1" x14ac:dyDescent="0.3">
      <c r="A234" s="214"/>
      <c r="B234" s="115"/>
      <c r="C234" s="38" t="s">
        <v>24</v>
      </c>
      <c r="D234" s="134"/>
      <c r="E234" s="97">
        <f>-([1]Retail!$P$57+[1]Retail!$W$57+[1]Retail!$AV$57+[1]Retail!$AY$57)/1000/E230</f>
        <v>0</v>
      </c>
      <c r="F234" s="42">
        <f>-([1]Retail!$P$58+[1]Retail!$W$58+[1]Retail!$AV$58+[1]Retail!$AY$58)/1000/F230</f>
        <v>0</v>
      </c>
      <c r="G234" s="42" t="e">
        <f>-([1]Retail!$P$59+[1]Retail!$W$59+[1]Retail!$AV$59+[1]Retail!$AY$59)/1000/G230</f>
        <v>#DIV/0!</v>
      </c>
      <c r="H234" s="134"/>
      <c r="I234" s="97">
        <f>-([1]SME!$P$57+[1]SME!$W$57+[1]SME!$AV$57+[1]SME!$AY$57)/1000/I230</f>
        <v>0</v>
      </c>
      <c r="J234" s="42">
        <f>-([1]SME!$P$58+[1]SME!$W$58+[1]SME!$AV$58+[1]SME!$AY$58)/1000/J230</f>
        <v>0</v>
      </c>
      <c r="K234" s="42">
        <f>-([1]SME!$P$59+[1]SME!$W$59+[1]SME!$AV$59+[1]SME!$AY$59)/1000/K230</f>
        <v>0</v>
      </c>
      <c r="L234" s="134"/>
      <c r="M234" s="97">
        <f>-([1]MidCorp!$P$57+[1]MidCorp!$W$57+[1]MidCorp!$AV$57+[1]MidCorp!$AY$57)/1000/M230</f>
        <v>0</v>
      </c>
      <c r="N234" s="42">
        <f>-([1]MidCorp!$P$58+[1]MidCorp!$W$58+[1]MidCorp!$AV$58+[1]MidCorp!$AY$58)/1000/N230</f>
        <v>0</v>
      </c>
      <c r="O234" s="42">
        <f>-([1]MidCorp!$P$59+[1]MidCorp!$W$59+[1]MidCorp!$AV$59+[1]MidCorp!$AY$59)/1000/O230</f>
        <v>0</v>
      </c>
      <c r="P234" s="134"/>
      <c r="Q234" s="97">
        <f>-([1]MGA!$P$57+[1]MGA!$W$57+[1]MGA!$AV$57+[1]MGA!$AY$57)/1000/Q230</f>
        <v>0</v>
      </c>
      <c r="R234" s="42">
        <f>-([1]MGA!$P$58+[1]MGA!$W$58+[1]MGA!$AV$58+[1]MGA!$AY$58)/1000/R230</f>
        <v>0</v>
      </c>
      <c r="S234" s="42" t="e">
        <f>-([1]MGA!$P$59+[1]MGA!$W$59+[1]MGA!$AV$59+[1]MGA!$AY$59)/1000/S230</f>
        <v>#DIV/0!</v>
      </c>
      <c r="T234" s="134"/>
      <c r="U234" s="74" t="e">
        <f>-([1]Bancassurance!$P$57+[1]Bancassurance!$W$57+[1]Bancassurance!$AV$57+[1]Bancassurance!$AY$57)/1000/U230</f>
        <v>#DIV/0!</v>
      </c>
      <c r="V234" s="42" t="e">
        <f>-([1]Bancassurance!$P$58+[1]Bancassurance!$W$58+[1]Bancassurance!$AV$58+[1]Bancassurance!$AY$58)/1000/V230</f>
        <v>#DIV/0!</v>
      </c>
      <c r="W234" s="42">
        <f>-([1]Bancassurance!$P$59+[1]Bancassurance!$W$59+[1]Bancassurance!$AV$59+[1]Bancassurance!$AY$59)/1000/W230</f>
        <v>0</v>
      </c>
      <c r="X234" s="134"/>
      <c r="Y234" s="74" t="e">
        <f>-([1]Specials!$P$57+[1]Specials!$W$57+[1]Specials!$AV$57+[1]Specials!$AY$57)/1000/Y230</f>
        <v>#DIV/0!</v>
      </c>
      <c r="Z234" s="42" t="e">
        <f>-([1]Specials!$P$58+[1]Specials!$W$58+[1]Specials!$AV$58+[1]Specials!$AY$58)/1000/Z230</f>
        <v>#DIV/0!</v>
      </c>
      <c r="AA234" s="42" t="e">
        <f>-([1]Specials!$P$59+[1]Specials!$W$59+[1]Specials!$AV$59+[1]Specials!$AY$59)/1000/AA230</f>
        <v>#DIV/0!</v>
      </c>
      <c r="AB234" s="134"/>
      <c r="AC234" s="99">
        <f>-('[1]Total P&amp;C'!$P$57+'[1]Total P&amp;C'!$W$57+'[1]Total P&amp;C'!$AV$57+'[1]Total P&amp;C'!$AY$57)/1000/AC230</f>
        <v>0</v>
      </c>
      <c r="AD234" s="60">
        <f>-('[1]Total P&amp;C'!$P$58+'[1]Total P&amp;C'!$W$58+'[1]Total P&amp;C'!$AV$58+'[1]Total P&amp;C'!$AY$58)/1000/AD230</f>
        <v>0</v>
      </c>
      <c r="AE234" s="60">
        <f>-('[1]Total P&amp;C'!$P$59+'[1]Total P&amp;C'!$W$59+'[1]Total P&amp;C'!$AV$59+'[1]Total P&amp;C'!$AY$59)/1000/AE230</f>
        <v>0</v>
      </c>
      <c r="AG234" s="212"/>
      <c r="AH234" s="115"/>
      <c r="AI234" s="38" t="s">
        <v>24</v>
      </c>
      <c r="AJ234" s="134"/>
      <c r="AK234" s="97">
        <f>-([2]Retail!$P$57+[2]Retail!$W$57+[2]Retail!$AV$57+[2]Retail!$AY$57)/1000/AK230</f>
        <v>0</v>
      </c>
      <c r="AL234" s="42">
        <f>-([2]Retail!$P$58+[2]Retail!$W$58+[2]Retail!$AV$58+[2]Retail!$AY$58)/1000/AL230</f>
        <v>0</v>
      </c>
      <c r="AM234" s="42">
        <f>-([2]Retail!$P$59+[2]Retail!$W$59+[2]Retail!$AV$59+[2]Retail!$AY$59)/1000/AM230</f>
        <v>0</v>
      </c>
      <c r="AN234" s="134"/>
      <c r="AO234" s="97">
        <f>-([2]SME!$P$57+[2]SME!$W$57+[2]SME!$AV$57+[2]SME!$AY$57)/1000/AO230</f>
        <v>0</v>
      </c>
      <c r="AP234" s="42">
        <f>-([2]SME!$P$58+[2]SME!$W$58+[2]SME!$AV$58+[2]SME!$AY$58)/1000/AP230</f>
        <v>0</v>
      </c>
      <c r="AQ234" s="42">
        <f>-([2]SME!$P$59+[2]SME!$W$59+[2]SME!$AV$59+[2]SME!$AY$59)/1000/AQ230</f>
        <v>0</v>
      </c>
      <c r="AR234" s="134"/>
      <c r="AS234" s="97">
        <f>-([2]MidCorp!$P$57+[2]MidCorp!$W$57+[2]MidCorp!$AV$57+[2]MidCorp!$AY$57)/1000/AS230</f>
        <v>0</v>
      </c>
      <c r="AT234" s="42">
        <f>-([2]MidCorp!$P$58+[2]MidCorp!$W$58+[2]MidCorp!$AV$58+[2]MidCorp!$AY$58)/1000/AT230</f>
        <v>0</v>
      </c>
      <c r="AU234" s="42">
        <f>-([2]MidCorp!$P$59+[2]MidCorp!$W$59+[2]MidCorp!$AV$59+[2]MidCorp!$AY$59)/1000/AU230</f>
        <v>0</v>
      </c>
      <c r="AV234" s="134"/>
      <c r="AW234" s="97"/>
      <c r="AX234" s="42"/>
      <c r="AY234" s="42"/>
      <c r="AZ234" s="134"/>
      <c r="BA234" s="97"/>
      <c r="BB234" s="42"/>
      <c r="BC234" s="42"/>
      <c r="BD234" s="134"/>
      <c r="BE234" s="97"/>
      <c r="BF234" s="42"/>
      <c r="BG234" s="42"/>
      <c r="BH234" s="134"/>
      <c r="BI234" s="99">
        <f>-('[2]Total P&amp;C'!$P$57+'[2]Total P&amp;C'!$W$57+'[2]Total P&amp;C'!$AV$57+'[2]Total P&amp;C'!$AY$57)/1000/BI230</f>
        <v>0</v>
      </c>
      <c r="BJ234" s="60">
        <f>-('[2]Total P&amp;C'!$P$58+'[2]Total P&amp;C'!$W$58+'[2]Total P&amp;C'!$AV$58+'[2]Total P&amp;C'!$AY$58)/1000/BJ230</f>
        <v>0</v>
      </c>
      <c r="BK234" s="60">
        <f>-('[2]Total P&amp;C'!$P$59+'[2]Total P&amp;C'!$W$59+'[2]Total P&amp;C'!$AV$59+'[2]Total P&amp;C'!$AY$59)/1000/BK230</f>
        <v>0</v>
      </c>
      <c r="BM234" s="99">
        <f>-('[3]Total P&amp;C'!$P$57+'[3]Total P&amp;C'!$W$57+'[3]Total P&amp;C'!$AV$57+'[3]Total P&amp;C'!$AY$57)/1000/BM230</f>
        <v>0</v>
      </c>
      <c r="BN234" s="60">
        <f>-('[3]Total P&amp;C'!$P$58+'[3]Total P&amp;C'!$W$58+'[3]Total P&amp;C'!$AV$58+'[3]Total P&amp;C'!$AY$58)/1000/BN230</f>
        <v>0</v>
      </c>
      <c r="BO234" s="60">
        <f>-('[3]Total P&amp;C'!$P$59+'[3]Total P&amp;C'!$W$59+'[3]Total P&amp;C'!$AV$59+'[3]Total P&amp;C'!$AY$59)/1000/BO230</f>
        <v>0</v>
      </c>
    </row>
    <row r="235" spans="1:67" ht="16.5" hidden="1" customHeight="1" outlineLevel="1" x14ac:dyDescent="0.3">
      <c r="A235" s="214"/>
      <c r="B235" s="115"/>
      <c r="C235" s="38" t="s">
        <v>25</v>
      </c>
      <c r="D235" s="134"/>
      <c r="E235" s="97">
        <f>-([1]Retail!$Q$57+[1]Retail!$X$57+[1]Retail!$AW$57+[1]Retail!$AZ$57)/1000/E230</f>
        <v>0</v>
      </c>
      <c r="F235" s="42">
        <f>-([1]Retail!$Q$58+[1]Retail!$X$58+[1]Retail!$AW$58+[1]Retail!$AZ$58)/1000/F230</f>
        <v>0</v>
      </c>
      <c r="G235" s="42" t="e">
        <f>-([1]Retail!$Q$59+[1]Retail!$X$59+[1]Retail!$AW$59+[1]Retail!$AZ$59)/1000/G230</f>
        <v>#DIV/0!</v>
      </c>
      <c r="H235" s="134"/>
      <c r="I235" s="97">
        <f>-([1]SME!$Q$57+[1]SME!$X$57+[1]SME!$AW$57+[1]SME!$AZ$57)/1000/I230</f>
        <v>0</v>
      </c>
      <c r="J235" s="42">
        <f>-([1]SME!$Q$58+[1]SME!$X$58+[1]SME!$AW$58+[1]SME!$AZ$58)/1000/J230</f>
        <v>0</v>
      </c>
      <c r="K235" s="42">
        <f>-([1]SME!$Q$59+[1]SME!$X$59+[1]SME!$AW$59+[1]SME!$AZ$59)/1000/K230</f>
        <v>0</v>
      </c>
      <c r="L235" s="134"/>
      <c r="M235" s="97">
        <f>-([1]MidCorp!$Q$57+[1]MidCorp!$X$57+[1]MidCorp!$AW$57+[1]MidCorp!$AZ$57)/1000/M230</f>
        <v>0</v>
      </c>
      <c r="N235" s="42">
        <f>-([1]MidCorp!$Q$58+[1]MidCorp!$X$58+[1]MidCorp!$AW$58+[1]MidCorp!$AZ$58)/1000/N230</f>
        <v>0</v>
      </c>
      <c r="O235" s="42">
        <f>-([1]MidCorp!$Q$59+[1]MidCorp!$X$59+[1]MidCorp!$AW$59+[1]MidCorp!$AZ$59)/1000/O230</f>
        <v>0</v>
      </c>
      <c r="P235" s="134"/>
      <c r="Q235" s="97">
        <f>-([1]MGA!$Q$57+[1]MGA!$X$57+[1]MGA!$AW$57+[1]MGA!$AZ$57)/1000/Q230</f>
        <v>0</v>
      </c>
      <c r="R235" s="42">
        <f>-([1]MGA!$Q$58+[1]MGA!$X$58+[1]MGA!$AW$58+[1]MGA!$AZ$58)/1000/R230</f>
        <v>0</v>
      </c>
      <c r="S235" s="42" t="e">
        <f>-([1]MGA!$Q$59+[1]MGA!$X$59+[1]MGA!$AW$59+[1]MGA!$AZ$59)/1000/S230</f>
        <v>#DIV/0!</v>
      </c>
      <c r="T235" s="134"/>
      <c r="U235" s="97" t="e">
        <f>-([1]Bancassurance!$Q$57+[1]Bancassurance!$X$57+[1]Bancassurance!$AW$57+[1]Bancassurance!$AZ$57)/1000/U230</f>
        <v>#DIV/0!</v>
      </c>
      <c r="V235" s="42" t="e">
        <f>-([1]Bancassurance!$Q$58+[1]Bancassurance!$X$58+[1]Bancassurance!$AW$58+[1]Bancassurance!$AZ$58)/1000/V230</f>
        <v>#DIV/0!</v>
      </c>
      <c r="W235" s="42">
        <f>-([1]Bancassurance!$Q$59+[1]Bancassurance!$X$59+[1]Bancassurance!$AW$59+[1]Bancassurance!$AZ$59)/1000/W230</f>
        <v>0</v>
      </c>
      <c r="X235" s="134"/>
      <c r="Y235" s="97" t="e">
        <f>-([1]Specials!$Q$57+[1]Specials!$X$57+[1]Specials!$AW$57+[1]Specials!$AZ$57)/1000/Y230</f>
        <v>#DIV/0!</v>
      </c>
      <c r="Z235" s="42" t="e">
        <f>-([1]Specials!$Q$58+[1]Specials!$X$58+[1]Specials!$AW$58+[1]Specials!$AZ$58)/1000/Z230</f>
        <v>#DIV/0!</v>
      </c>
      <c r="AA235" s="42" t="e">
        <f>-([1]Specials!$Q$59+[1]Specials!$X$59+[1]Specials!$AW$59+[1]Specials!$AZ$59)/1000/AA230</f>
        <v>#DIV/0!</v>
      </c>
      <c r="AB235" s="134"/>
      <c r="AC235" s="99">
        <f>-('[1]Total P&amp;C'!$Q$57+'[1]Total P&amp;C'!$X$57+'[1]Total P&amp;C'!$AW$57+'[1]Total P&amp;C'!$AZ$57)/1000/AC230</f>
        <v>0</v>
      </c>
      <c r="AD235" s="60">
        <f>-('[1]Total P&amp;C'!$Q$58+'[1]Total P&amp;C'!$X$58+'[1]Total P&amp;C'!$AW$58+'[1]Total P&amp;C'!$AZ$58)/1000/AD230</f>
        <v>0</v>
      </c>
      <c r="AE235" s="60">
        <f>-('[1]Total P&amp;C'!$Q$59+'[1]Total P&amp;C'!$X$59+'[1]Total P&amp;C'!$AW$59+'[1]Total P&amp;C'!$AZ$59)/1000/AE230</f>
        <v>0</v>
      </c>
      <c r="AG235" s="212"/>
      <c r="AH235" s="115"/>
      <c r="AI235" s="38" t="s">
        <v>25</v>
      </c>
      <c r="AJ235" s="134"/>
      <c r="AK235" s="97">
        <f>-([2]Retail!$Q$57+[2]Retail!$X$57+[2]Retail!$AW$57+[2]Retail!$AZ$57)/1000/AK230</f>
        <v>0</v>
      </c>
      <c r="AL235" s="42">
        <f>-([2]Retail!$Q$58+[2]Retail!$X$58+[2]Retail!$AW$58+[2]Retail!$AZ$58)/1000/AL230</f>
        <v>0</v>
      </c>
      <c r="AM235" s="42">
        <f>-([2]Retail!$Q$59+[2]Retail!$X$59+[2]Retail!$AW$59+[2]Retail!$AZ$59)/1000/AM230</f>
        <v>0</v>
      </c>
      <c r="AN235" s="134"/>
      <c r="AO235" s="97">
        <f>-([2]SME!$Q$57+[2]SME!$X$57+[2]SME!$AW$57+[2]SME!$AZ$57)/1000/AO230</f>
        <v>0</v>
      </c>
      <c r="AP235" s="42">
        <f>-([2]SME!$Q$58+[2]SME!$X$58+[2]SME!$AW$58+[2]SME!$AZ$58)/1000/AP230</f>
        <v>0</v>
      </c>
      <c r="AQ235" s="42">
        <f>-([2]SME!$Q$59+[2]SME!$X$59+[2]SME!$AW$59+[2]SME!$AZ$59)/1000/AQ230</f>
        <v>0</v>
      </c>
      <c r="AR235" s="134"/>
      <c r="AS235" s="97">
        <f>-([2]MidCorp!$Q$57+[2]MidCorp!$X$57+[2]MidCorp!$AW$57+[2]MidCorp!$AZ$57)/1000/AS230</f>
        <v>0</v>
      </c>
      <c r="AT235" s="42">
        <f>-([2]MidCorp!$Q$58+[2]MidCorp!$X$58+[2]MidCorp!$AW$58+[2]MidCorp!$AZ$58)/1000/AT230</f>
        <v>0</v>
      </c>
      <c r="AU235" s="42">
        <f>-([2]MidCorp!$Q$59+[2]MidCorp!$X$59+[2]MidCorp!$AW$59+[2]MidCorp!$AZ$59)/1000/AU230</f>
        <v>0</v>
      </c>
      <c r="AV235" s="134"/>
      <c r="AW235" s="97"/>
      <c r="AX235" s="42"/>
      <c r="AY235" s="42"/>
      <c r="AZ235" s="134"/>
      <c r="BA235" s="97"/>
      <c r="BB235" s="42"/>
      <c r="BC235" s="42"/>
      <c r="BD235" s="134"/>
      <c r="BE235" s="97"/>
      <c r="BF235" s="42"/>
      <c r="BG235" s="42"/>
      <c r="BH235" s="134"/>
      <c r="BI235" s="99">
        <f>-('[2]Total P&amp;C'!$Q$57+'[2]Total P&amp;C'!$X$57+'[2]Total P&amp;C'!$AW$57+'[2]Total P&amp;C'!$AZ$57)/1000/BI230</f>
        <v>0</v>
      </c>
      <c r="BJ235" s="60">
        <f>-('[2]Total P&amp;C'!$Q$58+'[2]Total P&amp;C'!$X$58+'[2]Total P&amp;C'!$AW$58+'[2]Total P&amp;C'!$AZ$58)/1000/BJ230</f>
        <v>0</v>
      </c>
      <c r="BK235" s="60">
        <f>-('[2]Total P&amp;C'!$Q$59+'[2]Total P&amp;C'!$X$59+'[2]Total P&amp;C'!$AW$59+'[2]Total P&amp;C'!$AZ$59)/1000/BK230</f>
        <v>0</v>
      </c>
      <c r="BM235" s="99">
        <f>-('[3]Total P&amp;C'!$Q$57+'[3]Total P&amp;C'!$X$57+'[3]Total P&amp;C'!$AW$57+'[3]Total P&amp;C'!$AZ$57)/1000/BM230</f>
        <v>0</v>
      </c>
      <c r="BN235" s="60">
        <f>-('[3]Total P&amp;C'!$Q$58+'[3]Total P&amp;C'!$X$58+'[3]Total P&amp;C'!$AW$58+'[3]Total P&amp;C'!$AZ$58)/1000/BN230</f>
        <v>0</v>
      </c>
      <c r="BO235" s="60">
        <f>-('[3]Total P&amp;C'!$Q$59+'[3]Total P&amp;C'!$X$59+'[3]Total P&amp;C'!$AW$59+'[3]Total P&amp;C'!$AZ$59)/1000/BO230</f>
        <v>0</v>
      </c>
    </row>
    <row r="236" spans="1:67" ht="16.5" hidden="1" customHeight="1" outlineLevel="1" x14ac:dyDescent="0.3">
      <c r="A236" s="214"/>
      <c r="B236" s="115"/>
      <c r="C236" s="38" t="s">
        <v>53</v>
      </c>
      <c r="D236" s="134"/>
      <c r="E236" s="74">
        <f>-[1]Retail!$AT$57/1000/E230</f>
        <v>0.74211340100741796</v>
      </c>
      <c r="F236" s="42">
        <f>-[1]Retail!$AT$58/1000/F230</f>
        <v>0.75430689306684728</v>
      </c>
      <c r="G236" s="42" t="e">
        <f>-[1]Retail!$AT$59/1000/G230</f>
        <v>#DIV/0!</v>
      </c>
      <c r="H236" s="134"/>
      <c r="I236" s="73">
        <f>-[1]SME!$AT$57/1000/I230</f>
        <v>0.96501460207093881</v>
      </c>
      <c r="J236" s="42">
        <f>-[1]SME!$AT$58/1000/J230</f>
        <v>0.9770168908759026</v>
      </c>
      <c r="K236" s="42">
        <f>-[1]SME!$AT$59/1000/K230</f>
        <v>0.81944442782184768</v>
      </c>
      <c r="L236" s="134"/>
      <c r="M236" s="74">
        <f>-[1]MidCorp!$AT$57/1000/M230</f>
        <v>0.63873221383433043</v>
      </c>
      <c r="N236" s="42">
        <f>-[1]MidCorp!$AT$58/1000/N230</f>
        <v>0.62237189513303515</v>
      </c>
      <c r="O236" s="42">
        <f>-[1]MidCorp!$AT$59/1000/O230</f>
        <v>0.80057943704268675</v>
      </c>
      <c r="P236" s="134"/>
      <c r="Q236" s="97">
        <f>-[1]MGA!$AT$57/1000/Q230</f>
        <v>0</v>
      </c>
      <c r="R236" s="42">
        <f>-[1]MGA!$AT$58/1000/R230</f>
        <v>0</v>
      </c>
      <c r="S236" s="42" t="e">
        <f>-[1]MGA!$AT$59/1000/S230</f>
        <v>#DIV/0!</v>
      </c>
      <c r="T236" s="134"/>
      <c r="U236" s="74" t="e">
        <f>-[1]Bancassurance!$AT$57/1000/U230</f>
        <v>#DIV/0!</v>
      </c>
      <c r="V236" s="42" t="e">
        <f>-[1]Bancassurance!$AT$58/1000/V230</f>
        <v>#DIV/0!</v>
      </c>
      <c r="W236" s="42">
        <f>-[1]Bancassurance!$AT$59/1000/W230</f>
        <v>0</v>
      </c>
      <c r="X236" s="134"/>
      <c r="Y236" s="74" t="e">
        <f>-[1]Specials!$AT$57/1000/Y230</f>
        <v>#DIV/0!</v>
      </c>
      <c r="Z236" s="42" t="e">
        <f>-[1]Specials!$AT$58/1000/Z230</f>
        <v>#DIV/0!</v>
      </c>
      <c r="AA236" s="42" t="e">
        <f>-[1]Specials!$AT$59/1000/AA230</f>
        <v>#DIV/0!</v>
      </c>
      <c r="AB236" s="134"/>
      <c r="AC236" s="84">
        <f>-'[1]Total P&amp;C'!$AT$57/1000/AC230</f>
        <v>0.87088707698558399</v>
      </c>
      <c r="AD236" s="60">
        <f>-'[1]Total P&amp;C'!$AT$58/1000/AD230</f>
        <v>0.89421053595395839</v>
      </c>
      <c r="AE236" s="60">
        <f>-'[1]Total P&amp;C'!$AT$59/1000/AE230</f>
        <v>0.66349685222079247</v>
      </c>
      <c r="AG236" s="212"/>
      <c r="AH236" s="115"/>
      <c r="AI236" s="38" t="s">
        <v>53</v>
      </c>
      <c r="AJ236" s="134"/>
      <c r="AK236" s="97">
        <f>-[2]Retail!$AT$57/1000/AK230</f>
        <v>0</v>
      </c>
      <c r="AL236" s="42">
        <f>-[2]Retail!$AT$58/1000/AL230</f>
        <v>0</v>
      </c>
      <c r="AM236" s="42">
        <f>-[2]Retail!$AT$59/1000/AM230</f>
        <v>0</v>
      </c>
      <c r="AN236" s="134"/>
      <c r="AO236" s="97">
        <f>-[2]SME!$AT$57/1000/AO230</f>
        <v>0</v>
      </c>
      <c r="AP236" s="42">
        <f>-[2]SME!$AT$58/1000/AP230</f>
        <v>0</v>
      </c>
      <c r="AQ236" s="42">
        <f>-[2]SME!$AT$59/1000/AQ230</f>
        <v>0</v>
      </c>
      <c r="AR236" s="134"/>
      <c r="AS236" s="97">
        <f>-[2]MidCorp!$AT$57/1000/AS230</f>
        <v>0</v>
      </c>
      <c r="AT236" s="42">
        <f>-[2]MidCorp!$AT$58/1000/AT230</f>
        <v>0</v>
      </c>
      <c r="AU236" s="42">
        <f>-[2]MidCorp!$AT$59/1000/AU230</f>
        <v>0</v>
      </c>
      <c r="AV236" s="134"/>
      <c r="AW236" s="97"/>
      <c r="AX236" s="42"/>
      <c r="AY236" s="42"/>
      <c r="AZ236" s="134"/>
      <c r="BA236" s="97"/>
      <c r="BB236" s="42"/>
      <c r="BC236" s="42"/>
      <c r="BD236" s="134"/>
      <c r="BE236" s="97"/>
      <c r="BF236" s="42"/>
      <c r="BG236" s="42"/>
      <c r="BH236" s="134"/>
      <c r="BI236" s="99">
        <f>-'[2]Total P&amp;C'!$AT$57/1000/BI230</f>
        <v>0</v>
      </c>
      <c r="BJ236" s="60">
        <f>-'[2]Total P&amp;C'!$AT$58/1000/BJ230</f>
        <v>0</v>
      </c>
      <c r="BK236" s="60">
        <f>-'[2]Total P&amp;C'!$AT$59/1000/BK230</f>
        <v>0</v>
      </c>
      <c r="BM236" s="84">
        <f>-'[3]Total P&amp;C'!$AT$57/1000/BM230</f>
        <v>0.44653088855087392</v>
      </c>
      <c r="BN236" s="60">
        <f>-'[3]Total P&amp;C'!$AT$58/1000/BN230</f>
        <v>0.45700491801819637</v>
      </c>
      <c r="BO236" s="60">
        <f>-'[3]Total P&amp;C'!$AT$59/1000/BO230</f>
        <v>0.32427087886462375</v>
      </c>
    </row>
    <row r="237" spans="1:67" ht="16.5" hidden="1" customHeight="1" outlineLevel="1" x14ac:dyDescent="0.3">
      <c r="A237" s="214"/>
      <c r="B237" s="115"/>
      <c r="C237" s="116" t="s">
        <v>27</v>
      </c>
      <c r="D237" s="134"/>
      <c r="E237" s="126">
        <f>-([1]Retail!$Z$57+[1]Retail!$AA$57+[1]Retail!$BB$57+[1]Retail!$BC$57)/1000/E230</f>
        <v>0</v>
      </c>
      <c r="F237" s="127">
        <f>-([1]Retail!$Z$58+[1]Retail!$AA$58+[1]Retail!$BB$58+[1]Retail!$BC$58)/1000/F230</f>
        <v>-4.5435857500213849E-4</v>
      </c>
      <c r="G237" s="127" t="e">
        <f>-([1]Retail!$Z$59+[1]Retail!$AA$59+[1]Retail!$BB$59+[1]Retail!$BC$59)/1000/G230</f>
        <v>#DIV/0!</v>
      </c>
      <c r="H237" s="134"/>
      <c r="I237" s="126">
        <f>-([1]SME!$Z$57+[1]SME!$AA$57+[1]SME!$BB$57+[1]SME!$BC$57)/1000/I230</f>
        <v>0</v>
      </c>
      <c r="J237" s="127">
        <f>-([1]SME!$Z$58+[1]SME!$AA$58+[1]SME!$BB$58+[1]SME!$BC$58)/1000/J230</f>
        <v>0</v>
      </c>
      <c r="K237" s="127">
        <f>-([1]SME!$Z$59+[1]SME!$AA$59+[1]SME!$BB$59+[1]SME!$BC$59)/1000/K230</f>
        <v>3.4214829449201144E-3</v>
      </c>
      <c r="L237" s="134"/>
      <c r="M237" s="126">
        <f>-([1]MidCorp!$Z$57+[1]MidCorp!$AA$57+[1]MidCorp!$BB$57+[1]MidCorp!$BC$57)/1000/M230</f>
        <v>0</v>
      </c>
      <c r="N237" s="127">
        <f>-([1]MidCorp!$Z$58+[1]MidCorp!$AA$58+[1]MidCorp!$BB$58+[1]MidCorp!$BC$58)/1000/N230</f>
        <v>0</v>
      </c>
      <c r="O237" s="127">
        <f>-([1]MidCorp!$Z$59+[1]MidCorp!$AA$59+[1]MidCorp!$BB$59+[1]MidCorp!$BC$59)/1000/O230</f>
        <v>2.823999586949762E-2</v>
      </c>
      <c r="P237" s="134"/>
      <c r="Q237" s="128">
        <f>-([1]MGA!$Z$57+[1]MGA!$AA$57+[1]MGA!$BB$57+[1]MGA!$BC$57)/1000/Q230</f>
        <v>0</v>
      </c>
      <c r="R237" s="127">
        <f>-([1]MGA!$Z$58+[1]MGA!$AA$58+[1]MGA!$BB$58+[1]MGA!$BC$58)/1000/R230</f>
        <v>-5.293304657737569E-7</v>
      </c>
      <c r="S237" s="127" t="e">
        <f>-([1]MGA!$Z$59+[1]MGA!$AA$59+[1]MGA!$BB$59+[1]MGA!$BC$59)/1000/S230</f>
        <v>#DIV/0!</v>
      </c>
      <c r="T237" s="134"/>
      <c r="U237" s="128" t="e">
        <f>-([1]Bancassurance!$Z$57+[1]Bancassurance!$AA$57+[1]Bancassurance!$BB$57+[1]Bancassurance!$BC$57)/1000/U230</f>
        <v>#DIV/0!</v>
      </c>
      <c r="V237" s="127" t="e">
        <f>-([1]Bancassurance!$Z$58+[1]Bancassurance!$AA$58+[1]Bancassurance!$BB$58+[1]Bancassurance!$BC$58)/1000/V230</f>
        <v>#DIV/0!</v>
      </c>
      <c r="W237" s="127">
        <f>-([1]Bancassurance!$Z$59+[1]Bancassurance!$AA$59+[1]Bancassurance!$BB$59+[1]Bancassurance!$BC$59)/1000/W230</f>
        <v>-1.5387380409313126E-2</v>
      </c>
      <c r="X237" s="134"/>
      <c r="Y237" s="128" t="e">
        <f>-([1]Specials!$Z$57+[1]Specials!$AA$57+[1]Specials!$BB$57+[1]Specials!$BC$57)/1000/Y230</f>
        <v>#DIV/0!</v>
      </c>
      <c r="Z237" s="127" t="e">
        <f>-([1]Specials!$Z$58+[1]Specials!$AA$58+[1]Specials!$BB$58+[1]Specials!$BC$58)/1000/Z230</f>
        <v>#DIV/0!</v>
      </c>
      <c r="AA237" s="127" t="e">
        <f>-([1]Specials!$Z$59+[1]Specials!$AA$59+[1]Specials!$BB$59+[1]Specials!$BC$59)/1000/AA230</f>
        <v>#DIV/0!</v>
      </c>
      <c r="AB237" s="134"/>
      <c r="AC237" s="132">
        <f>-('[1]Total P&amp;C'!$Z$57+'[1]Total P&amp;C'!$AA$57+'[1]Total P&amp;C'!$BB$57+'[1]Total P&amp;C'!$BC$57)/1000/AC230</f>
        <v>0</v>
      </c>
      <c r="AD237" s="130">
        <f>-('[1]Total P&amp;C'!$Z$58+'[1]Total P&amp;C'!$AA$58+'[1]Total P&amp;C'!$BB$58+'[1]Total P&amp;C'!$BC$58)/1000/AD230</f>
        <v>-6.2851099262068588E-5</v>
      </c>
      <c r="AE237" s="130">
        <f>-('[1]Total P&amp;C'!$Z$59+'[1]Total P&amp;C'!$AA$59+'[1]Total P&amp;C'!$BB$59+'[1]Total P&amp;C'!$BC$59)/1000/AE230</f>
        <v>2.2950162735743657E-4</v>
      </c>
      <c r="AG237" s="212"/>
      <c r="AH237" s="115"/>
      <c r="AI237" s="116" t="s">
        <v>27</v>
      </c>
      <c r="AJ237" s="134"/>
      <c r="AK237" s="128">
        <f>-([2]Retail!$Z$57+[2]Retail!$AA$57+[2]Retail!$BB$57+[2]Retail!$BC$57)/1000/AK230</f>
        <v>-2.7369846691028557E-2</v>
      </c>
      <c r="AL237" s="127">
        <f>-([2]Retail!$Z$58+[2]Retail!$AA$58+[2]Retail!$BB$58+[2]Retail!$BC$58)/1000/AL230</f>
        <v>-3.0427295176524122E-2</v>
      </c>
      <c r="AM237" s="127">
        <f>-([2]Retail!$Z$59+[2]Retail!$AA$59+[2]Retail!$BB$59+[2]Retail!$BC$59)/1000/AM230</f>
        <v>-2.0313399033802321E-2</v>
      </c>
      <c r="AN237" s="134"/>
      <c r="AO237" s="128">
        <f>-([2]SME!$Z$57+[2]SME!$AA$57+[2]SME!$BB$57+[2]SME!$BC$57)/1000/AO230</f>
        <v>-1.941473568062765E-2</v>
      </c>
      <c r="AP237" s="127">
        <f>-([2]SME!$Z$58+[2]SME!$AA$58+[2]SME!$BB$58+[2]SME!$BC$58)/1000/AP230</f>
        <v>-2.4575609419457165E-2</v>
      </c>
      <c r="AQ237" s="127">
        <f>-([2]SME!$Z$59+[2]SME!$AA$59+[2]SME!$BB$59+[2]SME!$BC$59)/1000/AQ230</f>
        <v>-1.9364818571206862E-2</v>
      </c>
      <c r="AR237" s="134"/>
      <c r="AS237" s="126">
        <f>-([2]MidCorp!$Z$57+[2]MidCorp!$AA$57+[2]MidCorp!$BB$57+[2]MidCorp!$BC$57)/1000/AS230</f>
        <v>-5.7958399601534545E-2</v>
      </c>
      <c r="AT237" s="127">
        <f>-([2]MidCorp!$Z$58+[2]MidCorp!$AA$58+[2]MidCorp!$BB$58+[2]MidCorp!$BC$58)/1000/AT230</f>
        <v>-9.2896694705523045E-2</v>
      </c>
      <c r="AU237" s="127">
        <f>-([2]MidCorp!$Z$59+[2]MidCorp!$AA$59+[2]MidCorp!$BB$59+[2]MidCorp!$BC$59)/1000/AU230</f>
        <v>-5.8113225594990353E-2</v>
      </c>
      <c r="AV237" s="134"/>
      <c r="AW237" s="131"/>
      <c r="AX237" s="127"/>
      <c r="AY237" s="127"/>
      <c r="AZ237" s="134"/>
      <c r="BA237" s="131"/>
      <c r="BB237" s="127"/>
      <c r="BC237" s="127"/>
      <c r="BD237" s="134"/>
      <c r="BE237" s="131"/>
      <c r="BF237" s="127"/>
      <c r="BG237" s="127"/>
      <c r="BH237" s="134"/>
      <c r="BI237" s="129">
        <f>-('[2]Total P&amp;C'!$Z$57+'[2]Total P&amp;C'!$AA$57+'[2]Total P&amp;C'!$BB$57+'[2]Total P&amp;C'!$BC$57)/1000/BI230</f>
        <v>-3.1411734710581E-2</v>
      </c>
      <c r="BJ237" s="130">
        <f>-('[2]Total P&amp;C'!$Z$58+'[2]Total P&amp;C'!$AA$58+'[2]Total P&amp;C'!$BB$58+'[2]Total P&amp;C'!$BC$58)/1000/BJ230</f>
        <v>-4.0392685575230257E-2</v>
      </c>
      <c r="BK237" s="130">
        <f>-('[2]Total P&amp;C'!$Z$59+'[2]Total P&amp;C'!$AA$59+'[2]Total P&amp;C'!$BB$59+'[2]Total P&amp;C'!$BC$59)/1000/BK230</f>
        <v>-2.6167391955303591E-2</v>
      </c>
      <c r="BM237" s="132">
        <f>-('[3]Total P&amp;C'!$Z$57+'[3]Total P&amp;C'!$AA$57+'[3]Total P&amp;C'!$BB$57+'[3]Total P&amp;C'!$BC$57)/1000/BM230</f>
        <v>-1.5305961434222873E-2</v>
      </c>
      <c r="BN237" s="130">
        <f>-('[3]Total P&amp;C'!$Z$58+'[3]Total P&amp;C'!$AA$58+'[3]Total P&amp;C'!$BB$58+'[3]Total P&amp;C'!$BC$58)/1000/BN230</f>
        <v>-1.9781283721510376E-2</v>
      </c>
      <c r="BO237" s="130">
        <f>-('[3]Total P&amp;C'!$Z$59+'[3]Total P&amp;C'!$AA$59+'[3]Total P&amp;C'!$BB$59+'[3]Total P&amp;C'!$BC$59)/1000/BO230</f>
        <v>-1.3266435676920227E-2</v>
      </c>
    </row>
    <row r="238" spans="1:67" ht="16.5" hidden="1" customHeight="1" outlineLevel="1" x14ac:dyDescent="0.3">
      <c r="A238" s="214"/>
      <c r="B238" s="115"/>
      <c r="C238" s="116" t="s">
        <v>57</v>
      </c>
      <c r="D238" s="134"/>
      <c r="E238" s="126">
        <f>-SUM([1]Retail!$AC$57:$AI$57,[1]Retail!$BE$57:$BG$57)/1000/E230</f>
        <v>-9.7025801057531863E-2</v>
      </c>
      <c r="F238" s="127">
        <f>-SUM([1]Retail!$AC$58:$AI$58,[1]Retail!$BE$58:$BG$58)/1000/F230</f>
        <v>-9.0734349382026028E-2</v>
      </c>
      <c r="G238" s="127" t="e">
        <f>-SUM([1]Retail!$AC$59:$AI$59,[1]Retail!$BE$59:$BG$59)/1000/G230</f>
        <v>#DIV/0!</v>
      </c>
      <c r="H238" s="134"/>
      <c r="I238" s="128">
        <f>-SUM([1]SME!$AC$57:$AI$57,[1]SME!$BE$57:$BG$57)/1000/I230</f>
        <v>7.035798505546545E-3</v>
      </c>
      <c r="J238" s="127">
        <f>-SUM([1]SME!$AC$58:$AI$58,[1]SME!$BE$58:$BG$58)/1000/J230</f>
        <v>5.392954695652331E-3</v>
      </c>
      <c r="K238" s="127">
        <f>-SUM([1]SME!$AC$59:$AI$59,[1]SME!$BE$59:$BG$59)/1000/K230</f>
        <v>1.7552923336068053E-3</v>
      </c>
      <c r="L238" s="134"/>
      <c r="M238" s="126">
        <f>-SUM([1]MidCorp!$AC$57:$AI$57,[1]MidCorp!$BE$57:$BG$57)/1000/M230</f>
        <v>7.4085208204730066E-4</v>
      </c>
      <c r="N238" s="127">
        <f>-SUM([1]MidCorp!$AC$58:$AI$58,[1]MidCorp!$BE$58:$BG$58)/1000/N230</f>
        <v>8.8207147834194231E-5</v>
      </c>
      <c r="O238" s="127">
        <f>-SUM([1]MidCorp!$AC$59:$AI$59,[1]MidCorp!$BE$59:$BG$59)/1000/O230</f>
        <v>1.4907127840095605E-2</v>
      </c>
      <c r="P238" s="134"/>
      <c r="Q238" s="126">
        <f>-SUM([1]MGA!$AC$57:$AI$57,[1]MGA!$BE$57:$BG$57)/1000/Q230</f>
        <v>-0.15659045017047724</v>
      </c>
      <c r="R238" s="127">
        <f>-SUM([1]MGA!$AC$58:$AI$58,[1]MGA!$BE$58:$BG$58)/1000/R230</f>
        <v>-3.9314079466971304E-2</v>
      </c>
      <c r="S238" s="127" t="e">
        <f>-SUM([1]MGA!$AC$59:$AI$59,[1]MGA!$BE$59:$BG$59)/1000/S230</f>
        <v>#DIV/0!</v>
      </c>
      <c r="T238" s="134"/>
      <c r="U238" s="126" t="e">
        <f>-SUM([1]Bancassurance!$AC$57:$AI$57,[1]Bancassurance!$BE$57:$BG$57)/1000/U230</f>
        <v>#DIV/0!</v>
      </c>
      <c r="V238" s="127" t="e">
        <f>-SUM([1]Bancassurance!$AC$58:$AI$58,[1]Bancassurance!$BE$58:$BG$58)/1000/V230</f>
        <v>#DIV/0!</v>
      </c>
      <c r="W238" s="127">
        <f>-SUM([1]Bancassurance!$AC$59:$AI$59,[1]Bancassurance!$BE$59:$BG$59)/1000/W230</f>
        <v>-8.1830144923878776E-3</v>
      </c>
      <c r="X238" s="134"/>
      <c r="Y238" s="126" t="e">
        <f>-SUM([1]Specials!$AC$57:$AI$57,[1]Specials!$BE$57:$BG$57)/1000/Y230</f>
        <v>#DIV/0!</v>
      </c>
      <c r="Z238" s="127" t="e">
        <f>-SUM([1]Specials!$AC$58:$AI$58,[1]Specials!$BE$58:$BG$58)/1000/Z230</f>
        <v>#DIV/0!</v>
      </c>
      <c r="AA238" s="127" t="e">
        <f>-SUM([1]Specials!$AC$59:$AI$59,[1]Specials!$BE$59:$BG$59)/1000/AA230</f>
        <v>#DIV/0!</v>
      </c>
      <c r="AB238" s="134"/>
      <c r="AC238" s="132">
        <f>-SUM('[1]Total P&amp;C'!$AC$57:$AI$57,'[1]Total P&amp;C'!$BE$57:$BG$57)/1000/AC230</f>
        <v>-1.5845862808403856E-2</v>
      </c>
      <c r="AD238" s="130">
        <f>-SUM('[1]Total P&amp;C'!$AC$58:$AI$58,'[1]Total P&amp;C'!$BE$58:$BG$58)/1000/AD230</f>
        <v>-8.6570510608365327E-3</v>
      </c>
      <c r="AE238" s="130">
        <f>-SUM('[1]Total P&amp;C'!$AC$59:$AI$59,'[1]Total P&amp;C'!$BE$59:$BG$59)/1000/AE230</f>
        <v>6.9284800063838242E-5</v>
      </c>
      <c r="AG238" s="212"/>
      <c r="AH238" s="115"/>
      <c r="AI238" s="116" t="s">
        <v>57</v>
      </c>
      <c r="AJ238" s="134"/>
      <c r="AK238" s="126">
        <f>-SUM([2]Retail!$AC$57:$AI$57,[2]Retail!$BE$57:$BG$57)/1000/AK230</f>
        <v>-0.2389106584304394</v>
      </c>
      <c r="AL238" s="127">
        <f>-SUM([2]Retail!$AC$58:$AI$58,[2]Retail!$BE$58:$BG$58)/1000/AL230</f>
        <v>-0.3653222914185798</v>
      </c>
      <c r="AM238" s="127">
        <f>-SUM([2]Retail!$AC$59:$AI$59,[2]Retail!$BE$59:$BG$59)/1000/AM230</f>
        <v>-5.8856909133332639E-3</v>
      </c>
      <c r="AN238" s="134"/>
      <c r="AO238" s="126">
        <f>-SUM([2]SME!$AC$57:$AI$57,[2]SME!$BE$57:$BG$57)/1000/AO230</f>
        <v>-0.19802357587086927</v>
      </c>
      <c r="AP238" s="127">
        <f>-SUM([2]SME!$AC$58:$AI$58,[2]SME!$BE$58:$BG$58)/1000/AP230</f>
        <v>-0.53807311142115732</v>
      </c>
      <c r="AQ238" s="127">
        <f>-SUM([2]SME!$AC$59:$AI$59,[2]SME!$BE$59:$BG$59)/1000/AQ230</f>
        <v>-5.6108451703700234E-3</v>
      </c>
      <c r="AR238" s="134"/>
      <c r="AS238" s="126">
        <f>-SUM([2]MidCorp!$AC$57:$AI$57,[2]MidCorp!$BE$57:$BG$57)/1000/AS230</f>
        <v>-0.97722285375063367</v>
      </c>
      <c r="AT238" s="127">
        <f>-SUM([2]MidCorp!$AC$58:$AI$58,[2]MidCorp!$BE$58:$BG$58)/1000/AT230</f>
        <v>-0.52093299811520877</v>
      </c>
      <c r="AU238" s="127">
        <f>-SUM([2]MidCorp!$AC$59:$AI$59,[2]MidCorp!$BE$59:$BG$59)/1000/AU230</f>
        <v>-1.6837973978390579E-2</v>
      </c>
      <c r="AV238" s="134"/>
      <c r="AW238" s="131"/>
      <c r="AX238" s="127"/>
      <c r="AY238" s="127"/>
      <c r="AZ238" s="134"/>
      <c r="BA238" s="131"/>
      <c r="BB238" s="127"/>
      <c r="BC238" s="127"/>
      <c r="BD238" s="134"/>
      <c r="BE238" s="131"/>
      <c r="BF238" s="127"/>
      <c r="BG238" s="127"/>
      <c r="BH238" s="134"/>
      <c r="BI238" s="132">
        <f>-SUM('[2]Total P&amp;C'!$AC$57:$AI$57,'[2]Total P&amp;C'!$BE$57:$BG$57)/1000/BI230</f>
        <v>-0.35496053301089836</v>
      </c>
      <c r="BJ238" s="130">
        <f>-SUM('[2]Total P&amp;C'!$AC$58:$AI$58,'[2]Total P&amp;C'!$BE$58:$BG$58)/1000/BJ230</f>
        <v>-0.41415628721707215</v>
      </c>
      <c r="BK238" s="130">
        <f>-SUM('[2]Total P&amp;C'!$AC$59:$AI$59,'[2]Total P&amp;C'!$BE$59:$BG$59)/1000/BK230</f>
        <v>-7.5818518064200355E-3</v>
      </c>
      <c r="BM238" s="132">
        <f>-SUM('[3]Total P&amp;C'!$AC$57:$AI$57,'[3]Total P&amp;C'!$BE$57:$BG$57)/1000/BM230</f>
        <v>-0.18108589529060182</v>
      </c>
      <c r="BN238" s="130">
        <f>-SUM('[3]Total P&amp;C'!$AC$58:$AI$58,'[3]Total P&amp;C'!$BE$58:$BG$58)/1000/BN230</f>
        <v>-0.20691745729395511</v>
      </c>
      <c r="BO238" s="130">
        <f>-SUM('[3]Total P&amp;C'!$AC$59:$AI$59,'[3]Total P&amp;C'!$BE$59:$BG$59)/1000/BO230</f>
        <v>-3.8425110945635751E-3</v>
      </c>
    </row>
    <row r="239" spans="1:67" ht="16.5" hidden="1" customHeight="1" outlineLevel="1" x14ac:dyDescent="0.3">
      <c r="A239" s="214"/>
      <c r="B239" s="115"/>
      <c r="C239" s="116" t="s">
        <v>29</v>
      </c>
      <c r="D239" s="134"/>
      <c r="E239" s="128">
        <f>-SUM([1]Retail!$AJ$57:$AK$57,[1]Retail!$BH$57:$BI$57)/1000/E230</f>
        <v>5.2364844970015307E-3</v>
      </c>
      <c r="F239" s="127">
        <f>-SUM([1]Retail!$AJ$58:$AK$58,[1]Retail!$BH$58:$BI$58)/1000/F230</f>
        <v>2.0061993073526526E-3</v>
      </c>
      <c r="G239" s="127" t="e">
        <f>-SUM([1]Retail!$AJ$59:$AK$59,[1]Retail!$BH$59:$BI$59)/1000/G230</f>
        <v>#DIV/0!</v>
      </c>
      <c r="H239" s="134"/>
      <c r="I239" s="131">
        <f>-SUM([1]SME!$AJ$57:$AK$57,[1]SME!$BH$57:$BI$57)/1000/I230</f>
        <v>0</v>
      </c>
      <c r="J239" s="127">
        <f>-SUM([1]SME!$AJ$58:$AK$58,[1]SME!$BH$58:$BI$58)/1000/J230</f>
        <v>0</v>
      </c>
      <c r="K239" s="127">
        <f>-SUM([1]SME!$AJ$59:$AK$59,[1]SME!$BH$59:$BI$59)/1000/K230</f>
        <v>0</v>
      </c>
      <c r="L239" s="134"/>
      <c r="M239" s="131">
        <f>-SUM([1]MidCorp!$AJ$57:$AK$57,[1]MidCorp!$BH$57:$BI$57)/1000/M230</f>
        <v>0</v>
      </c>
      <c r="N239" s="127">
        <f>-SUM([1]MidCorp!$AJ$58:$AK$58,[1]MidCorp!$BH$58:$BI$58)/1000/N230</f>
        <v>0</v>
      </c>
      <c r="O239" s="127">
        <f>-SUM([1]MidCorp!$AJ$59:$AK$59,[1]MidCorp!$BH$59:$BI$59)/1000/O230</f>
        <v>0</v>
      </c>
      <c r="P239" s="134"/>
      <c r="Q239" s="126">
        <f>-SUM([1]MGA!$AJ$57:$AK$57,[1]MGA!$BH$57:$BI$57)/1000/Q230</f>
        <v>5.513459164548022E-3</v>
      </c>
      <c r="R239" s="127">
        <f>-SUM([1]MGA!$AJ$58:$AK$58,[1]MGA!$BH$58:$BI$58)/1000/R230</f>
        <v>-8.1181649100835185E-4</v>
      </c>
      <c r="S239" s="127" t="e">
        <f>-SUM([1]MGA!$AJ$59:$AK$59,[1]MGA!$BH$59:$BI$59)/1000/S230</f>
        <v>#DIV/0!</v>
      </c>
      <c r="T239" s="134"/>
      <c r="U239" s="128" t="e">
        <f>-SUM([1]Bancassurance!$AJ$57:$AK$57,[1]Bancassurance!$BH$57:$BI$57)/1000/U230</f>
        <v>#DIV/0!</v>
      </c>
      <c r="V239" s="127" t="e">
        <f>-SUM([1]Bancassurance!$AJ$58:$AK$58,[1]Bancassurance!$BH$58:$BI$58)/1000/V230</f>
        <v>#DIV/0!</v>
      </c>
      <c r="W239" s="127">
        <f>-SUM([1]Bancassurance!$AJ$59:$AK$59,[1]Bancassurance!$BH$59:$BI$59)/1000/W230</f>
        <v>0</v>
      </c>
      <c r="X239" s="134"/>
      <c r="Y239" s="128" t="e">
        <f>-SUM([1]Specials!$AJ$57:$AK$57,[1]Specials!$BH$57:$BI$57)/1000/Y230</f>
        <v>#DIV/0!</v>
      </c>
      <c r="Z239" s="127" t="e">
        <f>-SUM([1]Specials!$AJ$58:$AK$58,[1]Specials!$BH$58:$BI$58)/1000/Z230</f>
        <v>#DIV/0!</v>
      </c>
      <c r="AA239" s="127" t="e">
        <f>-SUM([1]Specials!$AJ$59:$AK$59,[1]Specials!$BH$59:$BI$59)/1000/AA230</f>
        <v>#DIV/0!</v>
      </c>
      <c r="AB239" s="134"/>
      <c r="AC239" s="129">
        <f>-SUM('[1]Total P&amp;C'!$AJ$57:$AK$57,'[1]Total P&amp;C'!$BH$57:$BI$57)/1000/AC230</f>
        <v>9.8006561946475165E-4</v>
      </c>
      <c r="AD239" s="130">
        <f>-SUM('[1]Total P&amp;C'!$AJ$58:$AK$58,'[1]Total P&amp;C'!$BH$58:$BI$58)/1000/AD230</f>
        <v>2.3916002868257805E-4</v>
      </c>
      <c r="AE239" s="130">
        <f>-SUM('[1]Total P&amp;C'!$AJ$59:$AK$59,'[1]Total P&amp;C'!$BH$59:$BI$59)/1000/AE230</f>
        <v>0</v>
      </c>
      <c r="AG239" s="212"/>
      <c r="AH239" s="115"/>
      <c r="AI239" s="116" t="s">
        <v>29</v>
      </c>
      <c r="AJ239" s="134"/>
      <c r="AK239" s="128">
        <f>-SUM([2]Retail!$AJ$57:$AK$57,[2]Retail!$BH$57:$BI$57)/1000/AK230</f>
        <v>7.6211844704747553E-2</v>
      </c>
      <c r="AL239" s="127">
        <f>-SUM([2]Retail!$AJ$58:$AK$58,[2]Retail!$BH$58:$BI$58)/1000/AL230</f>
        <v>-2.0500577417530703E-2</v>
      </c>
      <c r="AM239" s="127">
        <f>-SUM([2]Retail!$AJ$59:$AK$59,[2]Retail!$BH$59:$BI$59)/1000/AM230</f>
        <v>0</v>
      </c>
      <c r="AN239" s="134"/>
      <c r="AO239" s="128">
        <f>-SUM([2]SME!$AJ$57:$AK$57,[2]SME!$BH$57:$BI$57)/1000/AO230</f>
        <v>8.5049693890450709E-2</v>
      </c>
      <c r="AP239" s="127">
        <f>-SUM([2]SME!$AJ$58:$AK$58,[2]SME!$BH$58:$BI$58)/1000/AP230</f>
        <v>-1.1319341849289526E-2</v>
      </c>
      <c r="AQ239" s="127">
        <f>-SUM([2]SME!$AJ$59:$AK$59,[2]SME!$BH$59:$BI$59)/1000/AQ230</f>
        <v>0</v>
      </c>
      <c r="AR239" s="134"/>
      <c r="AS239" s="128">
        <f>-SUM([2]MidCorp!$AJ$57:$AK$57,[2]MidCorp!$BH$57:$BI$57)/1000/AS230</f>
        <v>0.20699340845009667</v>
      </c>
      <c r="AT239" s="127">
        <f>-SUM([2]MidCorp!$AJ$58:$AK$58,[2]MidCorp!$BH$58:$BI$58)/1000/AT230</f>
        <v>-7.0231378313024206E-3</v>
      </c>
      <c r="AU239" s="127">
        <f>-SUM([2]MidCorp!$AJ$59:$AK$59,[2]MidCorp!$BH$59:$BI$59)/1000/AU230</f>
        <v>0</v>
      </c>
      <c r="AV239" s="134"/>
      <c r="AW239" s="131"/>
      <c r="AX239" s="127"/>
      <c r="AY239" s="127"/>
      <c r="AZ239" s="134"/>
      <c r="BA239" s="131"/>
      <c r="BB239" s="127"/>
      <c r="BC239" s="127"/>
      <c r="BD239" s="134"/>
      <c r="BE239" s="131"/>
      <c r="BF239" s="127"/>
      <c r="BG239" s="127"/>
      <c r="BH239" s="134"/>
      <c r="BI239" s="129">
        <f>-SUM('[2]Total P&amp;C'!$AJ$57:$AK$57,'[2]Total P&amp;C'!$BH$57:$BI$57)/1000/BI230</f>
        <v>9.8736009194437674E-2</v>
      </c>
      <c r="BJ239" s="130">
        <f>-SUM('[2]Total P&amp;C'!$AJ$58:$AK$58,'[2]Total P&amp;C'!$BH$58:$BI$58)/1000/BJ230</f>
        <v>-1.7011996839435769E-2</v>
      </c>
      <c r="BK239" s="130">
        <f>-SUM('[2]Total P&amp;C'!$AJ$59:$AK$59,'[2]Total P&amp;C'!$BH$59:$BI$59)/1000/BK230</f>
        <v>0</v>
      </c>
      <c r="BM239" s="129">
        <f>-SUM('[3]Total P&amp;C'!$AJ$57:$AK$57,'[3]Total P&amp;C'!$BH$57:$BI$57)/1000/BM230</f>
        <v>4.8613496759470957E-2</v>
      </c>
      <c r="BN239" s="130">
        <f>-SUM('[3]Total P&amp;C'!$AJ$58:$AK$58,'[3]Total P&amp;C'!$BH$58:$BI$58)/1000/BN230</f>
        <v>-8.1954338341443649E-3</v>
      </c>
      <c r="BO239" s="130">
        <f>-SUM('[3]Total P&amp;C'!$AJ$59:$AK$59,'[3]Total P&amp;C'!$BH$59:$BI$59)/1000/BO230</f>
        <v>0</v>
      </c>
    </row>
    <row r="240" spans="1:67" ht="16.5" hidden="1" customHeight="1" outlineLevel="1" x14ac:dyDescent="0.3">
      <c r="A240" s="214"/>
      <c r="B240" s="115"/>
      <c r="C240" s="116" t="s">
        <v>58</v>
      </c>
      <c r="D240" s="134"/>
      <c r="E240" s="128">
        <f>+E241+E242+E243</f>
        <v>0.29450472869812955</v>
      </c>
      <c r="F240" s="127">
        <f>+F241+F242+F243</f>
        <v>0.53875793466794974</v>
      </c>
      <c r="G240" s="127" t="e">
        <f>+G241+G242+G243</f>
        <v>#DIV/0!</v>
      </c>
      <c r="H240" s="134"/>
      <c r="I240" s="126">
        <f>+I241+I242+I243</f>
        <v>0.26904911865878645</v>
      </c>
      <c r="J240" s="127">
        <f>+J241+J242+J243</f>
        <v>0.25245661582100026</v>
      </c>
      <c r="K240" s="127">
        <f>+K241+K242+K243</f>
        <v>0.29349007610647859</v>
      </c>
      <c r="L240" s="134"/>
      <c r="M240" s="126">
        <f>+M241+M242+M243</f>
        <v>0.26216483496705079</v>
      </c>
      <c r="N240" s="127">
        <f>+N241+N242+N243</f>
        <v>0.23500700236631697</v>
      </c>
      <c r="O240" s="127">
        <f>+O241+O242+O243</f>
        <v>0.27300359837896149</v>
      </c>
      <c r="P240" s="134"/>
      <c r="Q240" s="128">
        <f>+Q241+Q242+Q243</f>
        <v>0.28650720052892265</v>
      </c>
      <c r="R240" s="127">
        <f>+R241+R242+R243</f>
        <v>0.34386012830617613</v>
      </c>
      <c r="S240" s="127" t="e">
        <f>+S241+S242+S243</f>
        <v>#DIV/0!</v>
      </c>
      <c r="T240" s="134"/>
      <c r="U240" s="126" t="e">
        <f>+U241+U242+U243</f>
        <v>#DIV/0!</v>
      </c>
      <c r="V240" s="127" t="e">
        <f>+V241+V242+V243</f>
        <v>#DIV/0!</v>
      </c>
      <c r="W240" s="127">
        <f>+W241+W242+W243</f>
        <v>0.18648986335152282</v>
      </c>
      <c r="X240" s="134"/>
      <c r="Y240" s="126" t="e">
        <f>+Y241+Y242+Y243</f>
        <v>#DIV/0!</v>
      </c>
      <c r="Z240" s="127" t="e">
        <f>+Z241+Z242+Z243</f>
        <v>#DIV/0!</v>
      </c>
      <c r="AA240" s="127" t="e">
        <f>+AA241+AA242+AA243</f>
        <v>#DIV/0!</v>
      </c>
      <c r="AB240" s="134"/>
      <c r="AC240" s="129">
        <f>+AC241+AC242+AC243</f>
        <v>0.29285757909232002</v>
      </c>
      <c r="AD240" s="130">
        <f>+AD241+AD242+AD243</f>
        <v>0.33937649298896033</v>
      </c>
      <c r="AE240" s="130">
        <f>+AE241+AE242+AE243</f>
        <v>0.2873569016497855</v>
      </c>
      <c r="AG240" s="212"/>
      <c r="AH240" s="115"/>
      <c r="AI240" s="116" t="s">
        <v>58</v>
      </c>
      <c r="AJ240" s="134"/>
      <c r="AK240" s="128">
        <f>+AK241+AK242+AK243</f>
        <v>0.29651023417501288</v>
      </c>
      <c r="AL240" s="127">
        <f>+AL241+AL242+AL243</f>
        <v>0.2741157446856029</v>
      </c>
      <c r="AM240" s="127">
        <f>+AM241+AM242+AM243</f>
        <v>0.28480855236018526</v>
      </c>
      <c r="AN240" s="134"/>
      <c r="AO240" s="126">
        <f>+AO241+AO242+AO243</f>
        <v>0.30482724968121339</v>
      </c>
      <c r="AP240" s="127">
        <f>+AP241+AP242+AP243</f>
        <v>0.29311918865508746</v>
      </c>
      <c r="AQ240" s="127">
        <f>+AQ241+AQ242+AQ243</f>
        <v>0.30771827330989338</v>
      </c>
      <c r="AR240" s="134"/>
      <c r="AS240" s="126">
        <f>+AS241+AS242+AS243</f>
        <v>0.21587822746312102</v>
      </c>
      <c r="AT240" s="127">
        <f>+AT241+AT242+AT243</f>
        <v>0.1617737464070024</v>
      </c>
      <c r="AU240" s="127">
        <f>+AU241+AU242+AU243</f>
        <v>0.2478515547402369</v>
      </c>
      <c r="AV240" s="134"/>
      <c r="AW240" s="131"/>
      <c r="AX240" s="127"/>
      <c r="AY240" s="127"/>
      <c r="AZ240" s="134"/>
      <c r="BA240" s="131"/>
      <c r="BB240" s="127"/>
      <c r="BC240" s="127"/>
      <c r="BD240" s="134"/>
      <c r="BE240" s="131"/>
      <c r="BF240" s="127"/>
      <c r="BG240" s="127"/>
      <c r="BH240" s="134"/>
      <c r="BI240" s="133">
        <f>+BI241+BI242+BI243</f>
        <v>0.28430756609884233</v>
      </c>
      <c r="BJ240" s="130">
        <f>+BJ241+BJ242+BJ243</f>
        <v>0.25728137362897457</v>
      </c>
      <c r="BK240" s="130">
        <f>+BK241+BK242+BK243</f>
        <v>0.28191987594555523</v>
      </c>
      <c r="BM240" s="133">
        <f>+BM241+BM242+BM243</f>
        <v>0.28869142366199951</v>
      </c>
      <c r="BN240" s="130">
        <f>+BN241+BN242+BN243</f>
        <v>0.2992377941634069</v>
      </c>
      <c r="BO240" s="130">
        <f>+BO241+BO242+BO243</f>
        <v>0.28457711402832708</v>
      </c>
    </row>
    <row r="241" spans="1:67" ht="16.5" hidden="1" customHeight="1" outlineLevel="1" x14ac:dyDescent="0.3">
      <c r="A241" s="214"/>
      <c r="B241" s="115"/>
      <c r="C241" s="39" t="s">
        <v>59</v>
      </c>
      <c r="D241" s="135"/>
      <c r="E241" s="74">
        <f>-SUM([1]Retail!$AL$57:$AN$57,[1]Retail!$BJ$57)/1000/E230</f>
        <v>0.18685153924529144</v>
      </c>
      <c r="F241" s="42">
        <f>-SUM([1]Retail!$AL$58:$AN$58,[1]Retail!$BJ$58)/1000/F230</f>
        <v>0.1877227720153351</v>
      </c>
      <c r="G241" s="42" t="e">
        <f>-SUM([1]Retail!$AL$59:$AN$59,[1]Retail!$BJ$59)/1000/G230</f>
        <v>#DIV/0!</v>
      </c>
      <c r="H241" s="135"/>
      <c r="I241" s="97">
        <f>-SUM([1]SME!$AL$57:$AN$57,[1]SME!$BJ$57)/1000/I230</f>
        <v>0.18108560576970834</v>
      </c>
      <c r="J241" s="42">
        <f>-SUM([1]SME!$AL$58:$AN$58,[1]SME!$BJ$58)/1000/J230</f>
        <v>0.18130850351509137</v>
      </c>
      <c r="K241" s="42">
        <f>-SUM([1]SME!$AL$59:$AN$59,[1]SME!$BJ$59)/1000/K230</f>
        <v>0.18055557217815249</v>
      </c>
      <c r="L241" s="135"/>
      <c r="M241" s="97">
        <f>-SUM([1]MidCorp!$AL$57:$AN$57,[1]MidCorp!$BJ$57)/1000/M230</f>
        <v>0.2000140095469225</v>
      </c>
      <c r="N241" s="42">
        <f>-SUM([1]MidCorp!$AL$58:$AN$58,[1]MidCorp!$BJ$58)/1000/N230</f>
        <v>0.20000699743854333</v>
      </c>
      <c r="O241" s="42">
        <f>-SUM([1]MidCorp!$AL$59:$AN$59,[1]MidCorp!$BJ$59)/1000/O230</f>
        <v>0.19942056295731317</v>
      </c>
      <c r="P241" s="135"/>
      <c r="Q241" s="97">
        <f>-SUM([1]MGA!$AL$57:$AN$57,[1]MGA!$BJ$57)/1000/Q230</f>
        <v>0.27112159640427025</v>
      </c>
      <c r="R241" s="42">
        <f>-SUM([1]MGA!$AL$58:$AN$58,[1]MGA!$BJ$58)/1000/R230</f>
        <v>0.27428334389347619</v>
      </c>
      <c r="S241" s="42" t="e">
        <f>-SUM([1]MGA!$AL$59:$AN$59,[1]MGA!$BJ$59)/1000/S230</f>
        <v>#DIV/0!</v>
      </c>
      <c r="T241" s="135"/>
      <c r="U241" s="73" t="e">
        <f>-SUM([1]Bancassurance!$AL$57:$AN$57,[1]Bancassurance!$BJ$57)/1000/U230</f>
        <v>#DIV/0!</v>
      </c>
      <c r="V241" s="42" t="e">
        <f>-SUM([1]Bancassurance!$AL$58:$AN$58,[1]Bancassurance!$BJ$58)/1000/V230</f>
        <v>#DIV/0!</v>
      </c>
      <c r="W241" s="42">
        <f>-SUM([1]Bancassurance!$AL$59:$AN$59,[1]Bancassurance!$BJ$59)/1000/W230</f>
        <v>0.15</v>
      </c>
      <c r="X241" s="135"/>
      <c r="Y241" s="73" t="e">
        <f>-SUM([1]Specials!$AL$57:$AN$57,[1]Specials!$BJ$57)/1000/Y230</f>
        <v>#DIV/0!</v>
      </c>
      <c r="Z241" s="42" t="e">
        <f>-SUM([1]Specials!$AL$58:$AN$58,[1]Specials!$BJ$58)/1000/Z230</f>
        <v>#DIV/0!</v>
      </c>
      <c r="AA241" s="42" t="e">
        <f>-SUM([1]Specials!$AL$59:$AN$59,[1]Specials!$BJ$59)/1000/AA230</f>
        <v>#DIV/0!</v>
      </c>
      <c r="AB241" s="135"/>
      <c r="AC241" s="84">
        <f>-SUM('[1]Total P&amp;C'!$AL$57:$AN$57,'[1]Total P&amp;C'!$BJ$57)/1000/AC230</f>
        <v>0.18787560136983872</v>
      </c>
      <c r="AD241" s="60">
        <f>-SUM('[1]Total P&amp;C'!$AL$58:$AN$58,'[1]Total P&amp;C'!$BJ$58)/1000/AD230</f>
        <v>0.18689104788958669</v>
      </c>
      <c r="AE241" s="60">
        <f>-SUM('[1]Total P&amp;C'!$AL$59:$AN$59,'[1]Total P&amp;C'!$BJ$59)/1000/AE230</f>
        <v>0.17504087407562427</v>
      </c>
      <c r="AG241" s="212"/>
      <c r="AH241" s="115"/>
      <c r="AI241" s="39" t="s">
        <v>59</v>
      </c>
      <c r="AJ241" s="135"/>
      <c r="AK241" s="74">
        <f>-SUM([2]Retail!$AL$57:$AN$57,[2]Retail!$BJ$57)/1000/AK230</f>
        <v>0.17822811313149414</v>
      </c>
      <c r="AL241" s="42">
        <f>-SUM([2]Retail!$AL$58:$AN$58,[2]Retail!$BJ$58)/1000/AL230</f>
        <v>0.17913344874446196</v>
      </c>
      <c r="AM241" s="42">
        <f>-SUM([2]Retail!$AL$59:$AN$59,[2]Retail!$BJ$59)/1000/AM230</f>
        <v>0.17877729792260658</v>
      </c>
      <c r="AN241" s="135"/>
      <c r="AO241" s="74">
        <f>-SUM([2]SME!$AL$57:$AN$57,[2]SME!$BJ$57)/1000/AO230</f>
        <v>0.20732906537525467</v>
      </c>
      <c r="AP241" s="42">
        <f>-SUM([2]SME!$AL$58:$AN$58,[2]SME!$BJ$58)/1000/AP230</f>
        <v>0.20321816290201536</v>
      </c>
      <c r="AQ241" s="42">
        <f>-SUM([2]SME!$AL$59:$AN$59,[2]SME!$BJ$59)/1000/AQ230</f>
        <v>0.2111548514466525</v>
      </c>
      <c r="AR241" s="135"/>
      <c r="AS241" s="74">
        <f>-SUM([2]MidCorp!$AL$57:$AN$57,[2]MidCorp!$BJ$57)/1000/AS230</f>
        <v>9.4095278645674213E-2</v>
      </c>
      <c r="AT241" s="42">
        <f>-SUM([2]MidCorp!$AL$58:$AN$58,[2]MidCorp!$BJ$58)/1000/AT230</f>
        <v>0.10458434695075929</v>
      </c>
      <c r="AU241" s="42">
        <f>-SUM([2]MidCorp!$AL$59:$AN$59,[2]MidCorp!$BJ$59)/1000/AU230</f>
        <v>0.11669750654634628</v>
      </c>
      <c r="AV241" s="135"/>
      <c r="AW241" s="97"/>
      <c r="AX241" s="42"/>
      <c r="AY241" s="42"/>
      <c r="AZ241" s="135"/>
      <c r="BA241" s="97"/>
      <c r="BB241" s="42"/>
      <c r="BC241" s="42"/>
      <c r="BD241" s="135"/>
      <c r="BE241" s="97"/>
      <c r="BF241" s="42"/>
      <c r="BG241" s="42"/>
      <c r="BH241" s="135"/>
      <c r="BI241" s="85">
        <f>-SUM('[2]Total P&amp;C'!$AL$57:$AN$57,'[2]Total P&amp;C'!$BJ$57)/1000/BI230</f>
        <v>0.16799453815963206</v>
      </c>
      <c r="BJ241" s="60">
        <f>-SUM('[2]Total P&amp;C'!$AL$58:$AN$58,'[2]Total P&amp;C'!$BJ$58)/1000/BJ230</f>
        <v>0.16943300028590219</v>
      </c>
      <c r="BK241" s="60">
        <f>-SUM('[2]Total P&amp;C'!$AL$59:$AN$59,'[2]Total P&amp;C'!$BJ$59)/1000/BK230</f>
        <v>0.17313754802107334</v>
      </c>
      <c r="BM241" s="99">
        <f>-SUM('[3]Total P&amp;C'!$AL$57:$AN$57,'[3]Total P&amp;C'!$BJ$57)/1000/BM230</f>
        <v>0.178188177559263</v>
      </c>
      <c r="BN241" s="60">
        <f>-SUM('[3]Total P&amp;C'!$AL$58:$AN$58,'[3]Total P&amp;C'!$BJ$58)/1000/BN230</f>
        <v>0.17835529911049405</v>
      </c>
      <c r="BO241" s="60">
        <f>-SUM('[3]Total P&amp;C'!$AL$59:$AN$59,'[3]Total P&amp;C'!$BJ$59)/1000/BO230</f>
        <v>0.17406776074236868</v>
      </c>
    </row>
    <row r="242" spans="1:67" ht="16.5" hidden="1" customHeight="1" outlineLevel="1" x14ac:dyDescent="0.3">
      <c r="A242" s="214"/>
      <c r="B242" s="115"/>
      <c r="C242" s="39" t="s">
        <v>60</v>
      </c>
      <c r="D242" s="135"/>
      <c r="E242" s="73">
        <f>-SUM([1]Retail!$AO$57:$AP$57)/1000/E230</f>
        <v>2.4548690014485259E-3</v>
      </c>
      <c r="F242" s="42">
        <f>-SUM([1]Retail!$AO$58:$AP$58)/1000/F230</f>
        <v>1.7197694493935135E-2</v>
      </c>
      <c r="G242" s="42" t="e">
        <f>-SUM([1]Retail!$AO$59:$AP$59)/1000/G230</f>
        <v>#DIV/0!</v>
      </c>
      <c r="H242" s="135"/>
      <c r="I242" s="74">
        <f>-SUM([1]SME!$AO$57:$AP$57)/1000/I230</f>
        <v>3.0999234657393654E-2</v>
      </c>
      <c r="J242" s="42">
        <f>-SUM([1]SME!$AO$58:$AP$58)/1000/J230</f>
        <v>1.8303458329261266E-2</v>
      </c>
      <c r="K242" s="42">
        <f>-SUM([1]SME!$AO$59:$AP$59)/1000/K230</f>
        <v>3.6264985200240726E-2</v>
      </c>
      <c r="L242" s="135"/>
      <c r="M242" s="73">
        <f>-SUM([1]MidCorp!$AO$57:$AP$57)/1000/M230</f>
        <v>1.4193422225854331E-2</v>
      </c>
      <c r="N242" s="42">
        <f>-SUM([1]MidCorp!$AO$58:$AP$58)/1000/N230</f>
        <v>5.1101012460368393E-4</v>
      </c>
      <c r="O242" s="42">
        <f>-SUM([1]MidCorp!$AO$59:$AP$59)/1000/O230</f>
        <v>6.0614397409239854E-3</v>
      </c>
      <c r="P242" s="135"/>
      <c r="Q242" s="73">
        <f>-SUM([1]MGA!$AO$57:$AP$57)/1000/Q230</f>
        <v>1.0807175296316361E-2</v>
      </c>
      <c r="R242" s="42">
        <f>-SUM([1]MGA!$AO$58:$AP$58)/1000/R230</f>
        <v>1.0486918744421083E-2</v>
      </c>
      <c r="S242" s="42" t="e">
        <f>-SUM([1]MGA!$AO$59:$AP$59)/1000/S230</f>
        <v>#DIV/0!</v>
      </c>
      <c r="T242" s="135"/>
      <c r="U242" s="74" t="e">
        <f>-SUM([1]Bancassurance!$AO$57:$AP$57)/1000/U230</f>
        <v>#DIV/0!</v>
      </c>
      <c r="V242" s="42" t="e">
        <f>-SUM([1]Bancassurance!$AO$58:$AP$58)/1000/V230</f>
        <v>#DIV/0!</v>
      </c>
      <c r="W242" s="42">
        <f>-SUM([1]Bancassurance!$AO$59:$AP$59)/1000/W230</f>
        <v>3.02731904088684E-3</v>
      </c>
      <c r="X242" s="135"/>
      <c r="Y242" s="74" t="e">
        <f>-SUM([1]Specials!$AO$57:$AP$57)/1000/Y230</f>
        <v>#DIV/0!</v>
      </c>
      <c r="Z242" s="42" t="e">
        <f>-SUM([1]Specials!$AO$58:$AP$58)/1000/Z230</f>
        <v>#DIV/0!</v>
      </c>
      <c r="AA242" s="42" t="e">
        <f>-SUM([1]Specials!$AO$59:$AP$59)/1000/AA230</f>
        <v>#DIV/0!</v>
      </c>
      <c r="AB242" s="135"/>
      <c r="AC242" s="85">
        <f>-SUM('[1]Total P&amp;C'!$AO$57:$AP$57)/1000/AC230</f>
        <v>2.8919882830902015E-2</v>
      </c>
      <c r="AD242" s="60">
        <f>-SUM('[1]Total P&amp;C'!$AO$58:$AP$58)/1000/AD230</f>
        <v>2.2813901652352156E-2</v>
      </c>
      <c r="AE242" s="60">
        <f>-SUM('[1]Total P&amp;C'!$AO$59:$AP$59)/1000/AE230</f>
        <v>3.03136072165891E-2</v>
      </c>
      <c r="AG242" s="212"/>
      <c r="AH242" s="115"/>
      <c r="AI242" s="39" t="s">
        <v>60</v>
      </c>
      <c r="AJ242" s="135"/>
      <c r="AK242" s="73">
        <f>-SUM([2]Retail!$AO$57:$AP$57)/1000/AK230</f>
        <v>5.8768072773268898E-2</v>
      </c>
      <c r="AL242" s="42">
        <f>-SUM([2]Retail!$AO$58:$AP$58)/1000/AL230</f>
        <v>5.1420602220273524E-2</v>
      </c>
      <c r="AM242" s="42">
        <f>-SUM([2]Retail!$AO$59:$AP$59)/1000/AM230</f>
        <v>4.6801077519779265E-2</v>
      </c>
      <c r="AN242" s="135"/>
      <c r="AO242" s="73">
        <f>-SUM([2]SME!$AO$57:$AP$57)/1000/AO230</f>
        <v>3.7780671241991387E-2</v>
      </c>
      <c r="AP242" s="42">
        <f>-SUM([2]SME!$AO$58:$AP$58)/1000/AP230</f>
        <v>3.3660761818131421E-2</v>
      </c>
      <c r="AQ242" s="42">
        <f>-SUM([2]SME!$AO$59:$AP$59)/1000/AQ230</f>
        <v>3.1376445051859894E-2</v>
      </c>
      <c r="AR242" s="135"/>
      <c r="AS242" s="97">
        <f>-SUM([2]MidCorp!$AO$57:$AP$57)/1000/AS230</f>
        <v>2.9355430180076837E-2</v>
      </c>
      <c r="AT242" s="42">
        <f>-SUM([2]MidCorp!$AO$58:$AP$58)/1000/AT230</f>
        <v>1.4472845994585115E-2</v>
      </c>
      <c r="AU242" s="42">
        <f>-SUM([2]MidCorp!$AO$59:$AP$59)/1000/AU230</f>
        <v>2.7796975229307595E-2</v>
      </c>
      <c r="AV242" s="135"/>
      <c r="AW242" s="97"/>
      <c r="AX242" s="42"/>
      <c r="AY242" s="42"/>
      <c r="AZ242" s="135"/>
      <c r="BA242" s="97"/>
      <c r="BB242" s="42"/>
      <c r="BC242" s="42"/>
      <c r="BD242" s="135"/>
      <c r="BE242" s="97"/>
      <c r="BF242" s="42"/>
      <c r="BG242" s="42"/>
      <c r="BH242" s="135"/>
      <c r="BI242" s="84">
        <f>-SUM('[2]Total P&amp;C'!$AO$57:$AP$57)/1000/BI230</f>
        <v>5.1377632697474529E-2</v>
      </c>
      <c r="BJ242" s="60">
        <f>-SUM('[2]Total P&amp;C'!$AO$58:$AP$58)/1000/BJ230</f>
        <v>4.2806597076512853E-2</v>
      </c>
      <c r="BK242" s="60">
        <f>-SUM('[2]Total P&amp;C'!$AO$59:$AP$59)/1000/BK230</f>
        <v>4.1807317382478774E-2</v>
      </c>
      <c r="BM242" s="99">
        <f>-SUM('[3]Total P&amp;C'!$AO$57:$AP$57)/1000/BM230</f>
        <v>3.9862845915376151E-2</v>
      </c>
      <c r="BN242" s="60">
        <f>-SUM('[3]Total P&amp;C'!$AO$58:$AP$58)/1000/BN230</f>
        <v>3.2588913694451056E-2</v>
      </c>
      <c r="BO242" s="60">
        <f>-SUM('[3]Total P&amp;C'!$AO$59:$AP$59)/1000/BO230</f>
        <v>3.618999533425294E-2</v>
      </c>
    </row>
    <row r="243" spans="1:67" ht="16.5" hidden="1" customHeight="1" outlineLevel="1" x14ac:dyDescent="0.3">
      <c r="A243" s="214"/>
      <c r="B243" s="115"/>
      <c r="C243" s="39" t="s">
        <v>61</v>
      </c>
      <c r="D243" s="135"/>
      <c r="E243" s="73">
        <f>-SUM([1]Retail!$AQ$57:$AR$57)/1000/E230</f>
        <v>0.10519832045138956</v>
      </c>
      <c r="F243" s="42">
        <f>-SUM([1]Retail!$AQ$58:$AR$58)/1000/F230</f>
        <v>0.33383746815867954</v>
      </c>
      <c r="G243" s="42" t="e">
        <f>-SUM([1]Retail!$AQ$59:$AR$59)/1000/G230</f>
        <v>#DIV/0!</v>
      </c>
      <c r="H243" s="135"/>
      <c r="I243" s="74">
        <f>-SUM([1]SME!$AQ$57:$AR$57)/1000/I230</f>
        <v>5.6964278231684463E-2</v>
      </c>
      <c r="J243" s="42">
        <f>-SUM([1]SME!$AQ$58:$AR$58)/1000/J230</f>
        <v>5.2844653976647622E-2</v>
      </c>
      <c r="K243" s="42">
        <f>-SUM([1]SME!$AQ$59:$AR$59)/1000/K230</f>
        <v>7.6669518728085376E-2</v>
      </c>
      <c r="L243" s="135"/>
      <c r="M243" s="74">
        <f>-SUM([1]MidCorp!$AQ$57:$AR$57)/1000/M230</f>
        <v>4.7957403194273988E-2</v>
      </c>
      <c r="N243" s="42">
        <f>-SUM([1]MidCorp!$AQ$58:$AR$58)/1000/N230</f>
        <v>3.4488994803169935E-2</v>
      </c>
      <c r="O243" s="42">
        <f>-SUM([1]MidCorp!$AQ$59:$AR$59)/1000/O230</f>
        <v>6.7521595680724314E-2</v>
      </c>
      <c r="P243" s="135"/>
      <c r="Q243" s="97">
        <f>-SUM([1]MGA!$AQ$57:$AR$57)/1000/Q230</f>
        <v>4.5784288283360498E-3</v>
      </c>
      <c r="R243" s="42">
        <f>-SUM([1]MGA!$AQ$58:$AR$58)/1000/R230</f>
        <v>5.9089865668278861E-2</v>
      </c>
      <c r="S243" s="42" t="e">
        <f>-SUM([1]MGA!$AQ$59:$AR$59)/1000/S230</f>
        <v>#DIV/0!</v>
      </c>
      <c r="T243" s="135"/>
      <c r="U243" s="74" t="e">
        <f>-SUM([1]Bancassurance!$AQ$57:$AR$57)/1000/U230</f>
        <v>#DIV/0!</v>
      </c>
      <c r="V243" s="42" t="e">
        <f>-SUM([1]Bancassurance!$AQ$58:$AR$58)/1000/V230</f>
        <v>#DIV/0!</v>
      </c>
      <c r="W243" s="42">
        <f>-SUM([1]Bancassurance!$AQ$59:$AR$59)/1000/W230</f>
        <v>3.3462544310635979E-2</v>
      </c>
      <c r="X243" s="135"/>
      <c r="Y243" s="74" t="e">
        <f>-SUM([1]Specials!$AQ$57:$AR$57)/1000/Y230</f>
        <v>#DIV/0!</v>
      </c>
      <c r="Z243" s="42" t="e">
        <f>-SUM([1]Specials!$AQ$58:$AR$58)/1000/Z230</f>
        <v>#DIV/0!</v>
      </c>
      <c r="AA243" s="42" t="e">
        <f>-SUM([1]Specials!$AQ$59:$AR$59)/1000/AA230</f>
        <v>#DIV/0!</v>
      </c>
      <c r="AB243" s="135"/>
      <c r="AC243" s="85">
        <f>-SUM('[1]Total P&amp;C'!$AQ$57:$AR$57)/1000/AC230</f>
        <v>7.6062094891579252E-2</v>
      </c>
      <c r="AD243" s="60">
        <f>-SUM('[1]Total P&amp;C'!$AQ$58:$AR$58)/1000/AD230</f>
        <v>0.12967154344702148</v>
      </c>
      <c r="AE243" s="60">
        <f>-SUM('[1]Total P&amp;C'!$AQ$59:$AR$59)/1000/AE230</f>
        <v>8.2002420357572145E-2</v>
      </c>
      <c r="AG243" s="212"/>
      <c r="AH243" s="115"/>
      <c r="AI243" s="39" t="s">
        <v>61</v>
      </c>
      <c r="AJ243" s="135"/>
      <c r="AK243" s="97">
        <f>-SUM([2]Retail!$AQ$57:$AR$57)/1000/AK230</f>
        <v>5.951404827024985E-2</v>
      </c>
      <c r="AL243" s="42">
        <f>-SUM([2]Retail!$AQ$58:$AR$58)/1000/AL230</f>
        <v>4.3561693720867392E-2</v>
      </c>
      <c r="AM243" s="42">
        <f>-SUM([2]Retail!$AQ$59:$AR$59)/1000/AM230</f>
        <v>5.9230176917799408E-2</v>
      </c>
      <c r="AN243" s="135"/>
      <c r="AO243" s="74">
        <f>-SUM([2]SME!$AQ$57:$AR$57)/1000/AO230</f>
        <v>5.971751306396731E-2</v>
      </c>
      <c r="AP243" s="42">
        <f>-SUM([2]SME!$AQ$58:$AR$58)/1000/AP230</f>
        <v>5.6240263934940686E-2</v>
      </c>
      <c r="AQ243" s="42">
        <f>-SUM([2]SME!$AQ$59:$AR$59)/1000/AQ230</f>
        <v>6.5186976811380984E-2</v>
      </c>
      <c r="AR243" s="135"/>
      <c r="AS243" s="74">
        <f>-SUM([2]MidCorp!$AQ$57:$AR$57)/1000/AS230</f>
        <v>9.242751863736999E-2</v>
      </c>
      <c r="AT243" s="42">
        <f>-SUM([2]MidCorp!$AQ$58:$AR$58)/1000/AT230</f>
        <v>4.2716553461657987E-2</v>
      </c>
      <c r="AU243" s="42">
        <f>-SUM([2]MidCorp!$AQ$59:$AR$59)/1000/AU230</f>
        <v>0.10335707296458302</v>
      </c>
      <c r="AV243" s="135"/>
      <c r="AW243" s="97"/>
      <c r="AX243" s="42"/>
      <c r="AY243" s="42"/>
      <c r="AZ243" s="135"/>
      <c r="BA243" s="97"/>
      <c r="BB243" s="42"/>
      <c r="BC243" s="42"/>
      <c r="BD243" s="135"/>
      <c r="BE243" s="97"/>
      <c r="BF243" s="42"/>
      <c r="BG243" s="42"/>
      <c r="BH243" s="135"/>
      <c r="BI243" s="85">
        <f>-SUM('[2]Total P&amp;C'!$AQ$57:$AR$57)/1000/BI230</f>
        <v>6.4935395241735722E-2</v>
      </c>
      <c r="BJ243" s="60">
        <f>-SUM('[2]Total P&amp;C'!$AQ$58:$AR$58)/1000/BJ230</f>
        <v>4.5041776266559537E-2</v>
      </c>
      <c r="BK243" s="60">
        <f>-SUM('[2]Total P&amp;C'!$AQ$59:$AR$59)/1000/BK230</f>
        <v>6.6975010542003124E-2</v>
      </c>
      <c r="BM243" s="85">
        <f>-SUM('[3]Total P&amp;C'!$AQ$57:$AR$57)/1000/BM230</f>
        <v>7.0640400187360342E-2</v>
      </c>
      <c r="BN243" s="60">
        <f>-SUM('[3]Total P&amp;C'!$AQ$58:$AR$58)/1000/BN230</f>
        <v>8.829358135846177E-2</v>
      </c>
      <c r="BO243" s="60">
        <f>-SUM('[3]Total P&amp;C'!$AQ$59:$AR$59)/1000/BO230</f>
        <v>7.4319357951705495E-2</v>
      </c>
    </row>
    <row r="244" spans="1:67" ht="24" hidden="1" customHeight="1" outlineLevel="1" x14ac:dyDescent="0.3">
      <c r="A244" s="214"/>
      <c r="B244" s="115"/>
      <c r="C244" s="116" t="s">
        <v>34</v>
      </c>
      <c r="D244" s="117"/>
      <c r="E244" s="118">
        <f>+[1]Retail!$BK$57/1000</f>
        <v>7.5903399999999671E-3</v>
      </c>
      <c r="F244" s="119">
        <f>+[1]Retail!$BK$58/1000</f>
        <v>-3.6469529999999931E-2</v>
      </c>
      <c r="G244" s="119">
        <f>+[1]Retail!$BK$59/1000</f>
        <v>-2.3003678130788085E-2</v>
      </c>
      <c r="H244" s="117"/>
      <c r="I244" s="121">
        <f>+[1]SME!$BK$57/1000</f>
        <v>-0.25369831999999998</v>
      </c>
      <c r="J244" s="119">
        <f>+[1]SME!$BK$58/1000</f>
        <v>-0.23949330999999999</v>
      </c>
      <c r="K244" s="119">
        <f>+[1]SME!$BK$59/1000</f>
        <v>9.4612882460553646E-2</v>
      </c>
      <c r="L244" s="117"/>
      <c r="M244" s="118">
        <f>+[1]MidCorp!$BK$57/1000</f>
        <v>1.8457399999999981E-3</v>
      </c>
      <c r="N244" s="119">
        <f>+[1]MidCorp!$BK$58/1000</f>
        <v>2.8881799999999976E-3</v>
      </c>
      <c r="O244" s="119">
        <f>+[1]MidCorp!$BK$59/1000</f>
        <v>8.8484599308518829E-4</v>
      </c>
      <c r="P244" s="117"/>
      <c r="Q244" s="118">
        <f>+[1]MGA!$BK$57/1000</f>
        <v>6.7299690000000009E-2</v>
      </c>
      <c r="R244" s="119">
        <f>+[1]MGA!$BK$58/1000</f>
        <v>3.9442749999999971E-2</v>
      </c>
      <c r="S244" s="119">
        <f>+[1]MGA!$BK$59/1000</f>
        <v>-1.9087476551173691E-3</v>
      </c>
      <c r="T244" s="117"/>
      <c r="U244" s="121">
        <f>+[1]Bancassurance!$BK$57/1000</f>
        <v>-3.4141599999999994E-2</v>
      </c>
      <c r="V244" s="119">
        <f>+[1]Bancassurance!$BK$58/1000</f>
        <v>-7.700665000000001E-2</v>
      </c>
      <c r="W244" s="119">
        <f>+[1]Bancassurance!$BK$59/1000</f>
        <v>4.1937321985215069E-2</v>
      </c>
      <c r="X244" s="117"/>
      <c r="Y244" s="121">
        <f>+[1]Specials!$BK$57/1000</f>
        <v>0</v>
      </c>
      <c r="Z244" s="119">
        <f>+[1]Specials!$BK$58/1000</f>
        <v>0</v>
      </c>
      <c r="AA244" s="119">
        <f>+[1]Specials!$BK$59/1000</f>
        <v>0</v>
      </c>
      <c r="AB244" s="117"/>
      <c r="AC244" s="124">
        <f>+'[1]Total P&amp;C'!$BK$57/1000</f>
        <v>-0.2111041500000001</v>
      </c>
      <c r="AD244" s="123">
        <f>+'[1]Total P&amp;C'!$BK$58/1000</f>
        <v>-0.31063856000000001</v>
      </c>
      <c r="AE244" s="123">
        <f>+'[1]Total P&amp;C'!$BK$59/1000</f>
        <v>0.11252262465294866</v>
      </c>
      <c r="AG244" s="212"/>
      <c r="AH244" s="115"/>
      <c r="AI244" s="116" t="s">
        <v>34</v>
      </c>
      <c r="AJ244" s="117"/>
      <c r="AK244" s="118">
        <f>+[2]Retail!$BK$57/1000</f>
        <v>0.22148952999999927</v>
      </c>
      <c r="AL244" s="119">
        <f>+[2]Retail!$BK$58/1000</f>
        <v>0.4105450000000001</v>
      </c>
      <c r="AM244" s="119">
        <f>+[2]Retail!$BK$59/1000</f>
        <v>0.19003680385603558</v>
      </c>
      <c r="AN244" s="117"/>
      <c r="AO244" s="118">
        <f>+[2]SME!$BK$57/1000</f>
        <v>4.2148900000000038E-2</v>
      </c>
      <c r="AP244" s="119">
        <f>+[2]SME!$BK$58/1000</f>
        <v>0.10627604999999996</v>
      </c>
      <c r="AQ244" s="119">
        <f>+[2]SME!$BK$59/1000</f>
        <v>3.2544000698173772E-2</v>
      </c>
      <c r="AR244" s="117"/>
      <c r="AS244" s="118">
        <f>+[2]MidCorp!$BK$57/1000</f>
        <v>7.271653000000014E-2</v>
      </c>
      <c r="AT244" s="119">
        <f>+[2]MidCorp!$BK$58/1000</f>
        <v>-1.7524929999999838E-2</v>
      </c>
      <c r="AU244" s="119">
        <f>+[2]MidCorp!$BK$59/1000</f>
        <v>-8.2829329303247337E-2</v>
      </c>
      <c r="AV244" s="117"/>
      <c r="AW244" s="121"/>
      <c r="AX244" s="119"/>
      <c r="AY244" s="119"/>
      <c r="AZ244" s="117"/>
      <c r="BA244" s="121"/>
      <c r="BB244" s="119"/>
      <c r="BC244" s="119"/>
      <c r="BD244" s="117"/>
      <c r="BE244" s="121"/>
      <c r="BF244" s="119"/>
      <c r="BG244" s="119"/>
      <c r="BH244" s="117"/>
      <c r="BI244" s="122">
        <f>+'[2]Total P&amp;C'!$BK$57/1000</f>
        <v>0.33635495999999954</v>
      </c>
      <c r="BJ244" s="123">
        <f>+'[2]Total P&amp;C'!$BK$58/1000</f>
        <v>0.49929612000000012</v>
      </c>
      <c r="BK244" s="123">
        <f>+'[2]Total P&amp;C'!$BK$59/1000</f>
        <v>0.13975147525096202</v>
      </c>
      <c r="BM244" s="124">
        <f>+'[3]Total P&amp;C'!$BK$57/1000</f>
        <v>0.12525080999999944</v>
      </c>
      <c r="BN244" s="123">
        <f>+'[3]Total P&amp;C'!$BK$58/1000</f>
        <v>0.18865755999999997</v>
      </c>
      <c r="BO244" s="123">
        <f>+'[3]Total P&amp;C'!$BK$59/1000</f>
        <v>0.25227409990391031</v>
      </c>
    </row>
    <row r="245" spans="1:67" ht="17.5" hidden="1" collapsed="1" x14ac:dyDescent="0.35">
      <c r="AG245" s="153"/>
    </row>
    <row r="246" spans="1:67" x14ac:dyDescent="0.3">
      <c r="A246" s="213" t="s">
        <v>46</v>
      </c>
      <c r="B246" s="115"/>
      <c r="C246" s="136" t="s">
        <v>19</v>
      </c>
      <c r="D246" s="117"/>
      <c r="E246" s="137"/>
      <c r="F246" s="138"/>
      <c r="G246" s="138"/>
      <c r="H246" s="117"/>
      <c r="I246" s="137"/>
      <c r="J246" s="138"/>
      <c r="K246" s="138"/>
      <c r="L246" s="117"/>
      <c r="M246" s="137"/>
      <c r="N246" s="138"/>
      <c r="O246" s="138"/>
      <c r="P246" s="117"/>
      <c r="Q246" s="137"/>
      <c r="R246" s="138"/>
      <c r="S246" s="138"/>
      <c r="T246" s="117"/>
      <c r="U246" s="137"/>
      <c r="V246" s="138"/>
      <c r="W246" s="138"/>
      <c r="X246" s="117"/>
      <c r="Y246" s="137"/>
      <c r="Z246" s="138"/>
      <c r="AA246" s="138"/>
      <c r="AB246" s="117"/>
      <c r="AC246" s="139"/>
      <c r="AD246" s="140"/>
      <c r="AE246" s="140"/>
      <c r="AG246" s="213" t="s">
        <v>46</v>
      </c>
      <c r="AH246" s="115"/>
      <c r="AI246" s="136" t="s">
        <v>19</v>
      </c>
      <c r="AJ246" s="117"/>
      <c r="AK246" s="137">
        <f>+[2]Retail!$C$69/1000</f>
        <v>0</v>
      </c>
      <c r="AL246" s="138">
        <f>+[2]Retail!$C$70/1000</f>
        <v>0.40710583999999977</v>
      </c>
      <c r="AM246" s="138">
        <f>+[2]Retail!$C$71/1000</f>
        <v>0</v>
      </c>
      <c r="AN246" s="117"/>
      <c r="AO246" s="137">
        <f>+[2]SME!$C$69/1000</f>
        <v>0</v>
      </c>
      <c r="AP246" s="138">
        <v>11.6</v>
      </c>
      <c r="AQ246" s="138">
        <v>11.6</v>
      </c>
      <c r="AR246" s="117"/>
      <c r="AS246" s="141">
        <v>34.9</v>
      </c>
      <c r="AT246" s="138">
        <v>24.6</v>
      </c>
      <c r="AU246" s="138">
        <v>11.4</v>
      </c>
      <c r="AV246" s="117"/>
      <c r="AW246" s="137"/>
      <c r="AX246" s="138"/>
      <c r="AY246" s="138"/>
      <c r="AZ246" s="117"/>
      <c r="BA246" s="137"/>
      <c r="BB246" s="138"/>
      <c r="BC246" s="138"/>
      <c r="BD246" s="117"/>
      <c r="BE246" s="137"/>
      <c r="BF246" s="138"/>
      <c r="BG246" s="138"/>
      <c r="BH246" s="117"/>
      <c r="BI246" s="150">
        <f>+'[2]Total P&amp;C'!$C$69/1000</f>
        <v>35.415759620000152</v>
      </c>
      <c r="BJ246" s="140">
        <v>34.6</v>
      </c>
      <c r="BK246" s="140">
        <v>28.6</v>
      </c>
      <c r="BM246" s="150">
        <v>34.659999999999997</v>
      </c>
      <c r="BN246" s="140">
        <v>34.6</v>
      </c>
      <c r="BO246" s="140">
        <v>11.22</v>
      </c>
    </row>
    <row r="247" spans="1:67" x14ac:dyDescent="0.3">
      <c r="A247" s="213"/>
      <c r="B247" s="115"/>
      <c r="C247" s="136" t="s">
        <v>55</v>
      </c>
      <c r="D247" s="117"/>
      <c r="E247" s="137"/>
      <c r="F247" s="138"/>
      <c r="G247" s="138"/>
      <c r="H247" s="117"/>
      <c r="I247" s="137"/>
      <c r="J247" s="138"/>
      <c r="K247" s="138"/>
      <c r="L247" s="117"/>
      <c r="M247" s="137"/>
      <c r="N247" s="138"/>
      <c r="O247" s="138"/>
      <c r="P247" s="117"/>
      <c r="Q247" s="137"/>
      <c r="R247" s="138"/>
      <c r="S247" s="138"/>
      <c r="T247" s="117"/>
      <c r="U247" s="137"/>
      <c r="V247" s="138"/>
      <c r="W247" s="138"/>
      <c r="X247" s="117"/>
      <c r="Y247" s="137"/>
      <c r="Z247" s="138"/>
      <c r="AA247" s="138"/>
      <c r="AB247" s="117"/>
      <c r="AC247" s="139"/>
      <c r="AD247" s="140"/>
      <c r="AE247" s="140"/>
      <c r="AG247" s="213"/>
      <c r="AH247" s="115"/>
      <c r="AI247" s="136" t="s">
        <v>55</v>
      </c>
      <c r="AJ247" s="117"/>
      <c r="AK247" s="137">
        <f>+[2]Retail!$C$69/1000</f>
        <v>0</v>
      </c>
      <c r="AL247" s="138">
        <f>+[2]Retail!$C$70/1000</f>
        <v>0.40710583999999977</v>
      </c>
      <c r="AM247" s="138">
        <f>+[2]Retail!$C$71/1000</f>
        <v>0</v>
      </c>
      <c r="AN247" s="117"/>
      <c r="AO247" s="137">
        <f>+[2]SME!$C$69/1000</f>
        <v>0</v>
      </c>
      <c r="AP247" s="138">
        <v>11.6</v>
      </c>
      <c r="AQ247" s="138">
        <v>11.6</v>
      </c>
      <c r="AR247" s="117"/>
      <c r="AS247" s="141">
        <v>34.9</v>
      </c>
      <c r="AT247" s="138">
        <v>24.6</v>
      </c>
      <c r="AU247" s="138">
        <v>11.4</v>
      </c>
      <c r="AV247" s="117"/>
      <c r="AW247" s="137"/>
      <c r="AX247" s="138"/>
      <c r="AY247" s="138"/>
      <c r="AZ247" s="117"/>
      <c r="BA247" s="137"/>
      <c r="BB247" s="138"/>
      <c r="BC247" s="138"/>
      <c r="BD247" s="117"/>
      <c r="BE247" s="137"/>
      <c r="BF247" s="138"/>
      <c r="BG247" s="138"/>
      <c r="BH247" s="117"/>
      <c r="BI247" s="150">
        <f>+'[2]Total P&amp;C'!$C$69/1000</f>
        <v>35.415759620000152</v>
      </c>
      <c r="BJ247" s="140">
        <v>34.6</v>
      </c>
      <c r="BK247" s="140">
        <v>28.6</v>
      </c>
      <c r="BM247" s="150">
        <v>34.659999999999997</v>
      </c>
      <c r="BN247" s="140">
        <v>34.6</v>
      </c>
      <c r="BO247" s="140">
        <v>11.22</v>
      </c>
    </row>
    <row r="248" spans="1:67" x14ac:dyDescent="0.3">
      <c r="A248" s="213"/>
      <c r="B248" s="115"/>
      <c r="C248" s="136" t="s">
        <v>21</v>
      </c>
      <c r="D248" s="117"/>
      <c r="E248" s="142"/>
      <c r="F248" s="143"/>
      <c r="G248" s="143"/>
      <c r="H248" s="117"/>
      <c r="I248" s="142"/>
      <c r="J248" s="143"/>
      <c r="K248" s="143"/>
      <c r="L248" s="117"/>
      <c r="M248" s="142"/>
      <c r="N248" s="143"/>
      <c r="O248" s="143"/>
      <c r="P248" s="117"/>
      <c r="Q248" s="142"/>
      <c r="R248" s="143"/>
      <c r="S248" s="143"/>
      <c r="T248" s="117"/>
      <c r="U248" s="142"/>
      <c r="V248" s="143"/>
      <c r="W248" s="143"/>
      <c r="X248" s="117"/>
      <c r="Y248" s="142"/>
      <c r="Z248" s="143"/>
      <c r="AA248" s="143"/>
      <c r="AB248" s="117"/>
      <c r="AC248" s="144"/>
      <c r="AD248" s="145"/>
      <c r="AE248" s="145"/>
      <c r="AG248" s="213"/>
      <c r="AH248" s="115"/>
      <c r="AI248" s="136" t="s">
        <v>21</v>
      </c>
      <c r="AJ248" s="117"/>
      <c r="AK248" s="137">
        <f>+[2]Retail!$C$69/1000</f>
        <v>0</v>
      </c>
      <c r="AL248" s="138">
        <f>+[2]Retail!$C$70/1000</f>
        <v>0.40710583999999977</v>
      </c>
      <c r="AM248" s="138">
        <f>+[2]Retail!$C$71/1000</f>
        <v>0</v>
      </c>
      <c r="AN248" s="117"/>
      <c r="AO248" s="137">
        <f>+[2]SME!$C$69/1000</f>
        <v>0</v>
      </c>
      <c r="AP248" s="138">
        <v>11.6</v>
      </c>
      <c r="AQ248" s="138">
        <v>11.6</v>
      </c>
      <c r="AR248" s="117"/>
      <c r="AS248" s="141">
        <v>34.9</v>
      </c>
      <c r="AT248" s="138">
        <v>24.6</v>
      </c>
      <c r="AU248" s="138">
        <v>11.4</v>
      </c>
      <c r="AV248" s="117"/>
      <c r="AW248" s="142"/>
      <c r="AX248" s="143"/>
      <c r="AY248" s="143"/>
      <c r="AZ248" s="117"/>
      <c r="BA248" s="142"/>
      <c r="BB248" s="143"/>
      <c r="BC248" s="143"/>
      <c r="BD248" s="117"/>
      <c r="BE248" s="142"/>
      <c r="BF248" s="143"/>
      <c r="BG248" s="143"/>
      <c r="BH248" s="117"/>
      <c r="BI248" s="150">
        <f>+'[2]Total P&amp;C'!$C$69/1000</f>
        <v>35.415759620000152</v>
      </c>
      <c r="BJ248" s="140">
        <v>34.6</v>
      </c>
      <c r="BK248" s="140">
        <v>28.6</v>
      </c>
      <c r="BM248" s="150">
        <v>34.659999999999997</v>
      </c>
      <c r="BN248" s="140">
        <v>34.6</v>
      </c>
      <c r="BO248" s="140">
        <v>11.22</v>
      </c>
    </row>
    <row r="249" spans="1:67" x14ac:dyDescent="0.3">
      <c r="A249" s="213"/>
      <c r="B249" s="115"/>
      <c r="C249" s="136" t="s">
        <v>56</v>
      </c>
      <c r="D249" s="117"/>
      <c r="E249" s="142"/>
      <c r="F249" s="143"/>
      <c r="G249" s="143"/>
      <c r="H249" s="117"/>
      <c r="I249" s="142"/>
      <c r="J249" s="143"/>
      <c r="K249" s="143"/>
      <c r="L249" s="117"/>
      <c r="M249" s="142"/>
      <c r="N249" s="143"/>
      <c r="O249" s="143"/>
      <c r="P249" s="117"/>
      <c r="Q249" s="142"/>
      <c r="R249" s="143"/>
      <c r="S249" s="143"/>
      <c r="T249" s="117"/>
      <c r="U249" s="142"/>
      <c r="V249" s="143"/>
      <c r="W249" s="143"/>
      <c r="X249" s="117"/>
      <c r="Y249" s="142"/>
      <c r="Z249" s="143"/>
      <c r="AA249" s="143"/>
      <c r="AB249" s="117"/>
      <c r="AC249" s="144"/>
      <c r="AD249" s="145"/>
      <c r="AE249" s="145"/>
      <c r="AG249" s="213"/>
      <c r="AH249" s="115"/>
      <c r="AI249" s="136" t="s">
        <v>56</v>
      </c>
      <c r="AJ249" s="117"/>
      <c r="AK249" s="137">
        <f>+[2]Retail!$C$69/1000</f>
        <v>0</v>
      </c>
      <c r="AL249" s="138">
        <f>+[2]Retail!$C$70/1000</f>
        <v>0.40710583999999977</v>
      </c>
      <c r="AM249" s="138">
        <f>+[2]Retail!$C$71/1000</f>
        <v>0</v>
      </c>
      <c r="AN249" s="117"/>
      <c r="AO249" s="137">
        <f>+[2]SME!$C$69/1000</f>
        <v>0</v>
      </c>
      <c r="AP249" s="138">
        <v>11.6</v>
      </c>
      <c r="AQ249" s="138">
        <v>11.6</v>
      </c>
      <c r="AR249" s="117"/>
      <c r="AS249" s="141">
        <v>34.9</v>
      </c>
      <c r="AT249" s="138">
        <v>24.6</v>
      </c>
      <c r="AU249" s="138">
        <v>11.4</v>
      </c>
      <c r="AV249" s="117"/>
      <c r="AW249" s="142"/>
      <c r="AX249" s="143"/>
      <c r="AY249" s="143"/>
      <c r="AZ249" s="117"/>
      <c r="BA249" s="142"/>
      <c r="BB249" s="143"/>
      <c r="BC249" s="143"/>
      <c r="BD249" s="117"/>
      <c r="BE249" s="142"/>
      <c r="BF249" s="143"/>
      <c r="BG249" s="143"/>
      <c r="BH249" s="117"/>
      <c r="BI249" s="150">
        <f>+'[2]Total P&amp;C'!$C$69/1000</f>
        <v>35.415759620000152</v>
      </c>
      <c r="BJ249" s="140">
        <v>34.6</v>
      </c>
      <c r="BK249" s="140">
        <v>28.6</v>
      </c>
      <c r="BM249" s="150">
        <v>34.659999999999997</v>
      </c>
      <c r="BN249" s="140">
        <v>34.6</v>
      </c>
      <c r="BO249" s="140">
        <v>11.22</v>
      </c>
    </row>
    <row r="250" spans="1:67" ht="14.5" x14ac:dyDescent="0.3">
      <c r="A250" s="213"/>
      <c r="B250" s="115"/>
      <c r="C250" s="48" t="s">
        <v>23</v>
      </c>
      <c r="D250" s="117"/>
      <c r="E250" s="105"/>
      <c r="F250" s="51"/>
      <c r="G250" s="51"/>
      <c r="H250" s="117"/>
      <c r="I250" s="105"/>
      <c r="J250" s="51"/>
      <c r="K250" s="51"/>
      <c r="L250" s="117"/>
      <c r="M250" s="105"/>
      <c r="N250" s="51"/>
      <c r="O250" s="51"/>
      <c r="P250" s="117"/>
      <c r="Q250" s="105"/>
      <c r="R250" s="51"/>
      <c r="S250" s="51"/>
      <c r="T250" s="117"/>
      <c r="U250" s="105"/>
      <c r="V250" s="51"/>
      <c r="W250" s="51"/>
      <c r="X250" s="117"/>
      <c r="Y250" s="105"/>
      <c r="Z250" s="51"/>
      <c r="AA250" s="51"/>
      <c r="AB250" s="117"/>
      <c r="AC250" s="103"/>
      <c r="AD250" s="62"/>
      <c r="AE250" s="62"/>
      <c r="AG250" s="213"/>
      <c r="AH250" s="115"/>
      <c r="AI250" s="48" t="s">
        <v>23</v>
      </c>
      <c r="AJ250" s="117"/>
      <c r="AK250" s="137">
        <f>+[2]Retail!$C$69/1000</f>
        <v>0</v>
      </c>
      <c r="AL250" s="138">
        <f>+[2]Retail!$C$70/1000</f>
        <v>0.40710583999999977</v>
      </c>
      <c r="AM250" s="138">
        <f>+[2]Retail!$C$71/1000</f>
        <v>0</v>
      </c>
      <c r="AN250" s="117"/>
      <c r="AO250" s="137">
        <f>+[2]SME!$C$69/1000</f>
        <v>0</v>
      </c>
      <c r="AP250" s="138">
        <v>11.6</v>
      </c>
      <c r="AQ250" s="138">
        <v>11.6</v>
      </c>
      <c r="AR250" s="117"/>
      <c r="AS250" s="141">
        <v>34.9</v>
      </c>
      <c r="AT250" s="138">
        <v>24.6</v>
      </c>
      <c r="AU250" s="138">
        <v>11.4</v>
      </c>
      <c r="AV250" s="117"/>
      <c r="AW250" s="105"/>
      <c r="AX250" s="51"/>
      <c r="AY250" s="51"/>
      <c r="AZ250" s="117"/>
      <c r="BA250" s="105"/>
      <c r="BB250" s="51"/>
      <c r="BC250" s="51"/>
      <c r="BD250" s="117"/>
      <c r="BE250" s="105"/>
      <c r="BF250" s="51"/>
      <c r="BG250" s="51"/>
      <c r="BH250" s="117"/>
      <c r="BI250" s="150">
        <f>+'[2]Total P&amp;C'!$C$69/1000</f>
        <v>35.415759620000152</v>
      </c>
      <c r="BJ250" s="140">
        <v>34.6</v>
      </c>
      <c r="BK250" s="140">
        <v>28.6</v>
      </c>
      <c r="BM250" s="150">
        <v>34.659999999999997</v>
      </c>
      <c r="BN250" s="140">
        <v>34.6</v>
      </c>
      <c r="BO250" s="140">
        <v>11.22</v>
      </c>
    </row>
    <row r="251" spans="1:67" ht="14.5" x14ac:dyDescent="0.3">
      <c r="A251" s="213"/>
      <c r="B251" s="115"/>
      <c r="C251" s="48" t="s">
        <v>24</v>
      </c>
      <c r="D251" s="134"/>
      <c r="E251" s="105"/>
      <c r="F251" s="51"/>
      <c r="G251" s="51"/>
      <c r="H251" s="134"/>
      <c r="I251" s="105"/>
      <c r="J251" s="51"/>
      <c r="K251" s="51"/>
      <c r="L251" s="134"/>
      <c r="M251" s="105"/>
      <c r="N251" s="51"/>
      <c r="O251" s="51"/>
      <c r="P251" s="134"/>
      <c r="Q251" s="105"/>
      <c r="R251" s="51"/>
      <c r="S251" s="51"/>
      <c r="T251" s="134"/>
      <c r="U251" s="105"/>
      <c r="V251" s="51"/>
      <c r="W251" s="51"/>
      <c r="X251" s="134"/>
      <c r="Y251" s="105"/>
      <c r="Z251" s="51"/>
      <c r="AA251" s="51"/>
      <c r="AB251" s="134"/>
      <c r="AC251" s="103"/>
      <c r="AD251" s="62"/>
      <c r="AE251" s="62"/>
      <c r="AG251" s="213"/>
      <c r="AH251" s="115"/>
      <c r="AI251" s="48" t="s">
        <v>24</v>
      </c>
      <c r="AJ251" s="134"/>
      <c r="AK251" s="137">
        <f>+[2]Retail!$C$69/1000</f>
        <v>0</v>
      </c>
      <c r="AL251" s="138">
        <f>+[2]Retail!$C$70/1000</f>
        <v>0.40710583999999977</v>
      </c>
      <c r="AM251" s="138">
        <f>+[2]Retail!$C$71/1000</f>
        <v>0</v>
      </c>
      <c r="AN251" s="134"/>
      <c r="AO251" s="137">
        <f>+[2]SME!$C$69/1000</f>
        <v>0</v>
      </c>
      <c r="AP251" s="138">
        <v>11.6</v>
      </c>
      <c r="AQ251" s="138">
        <v>11.6</v>
      </c>
      <c r="AR251" s="134"/>
      <c r="AS251" s="141">
        <v>34.9</v>
      </c>
      <c r="AT251" s="138">
        <v>24.6</v>
      </c>
      <c r="AU251" s="138">
        <v>11.4</v>
      </c>
      <c r="AV251" s="134"/>
      <c r="AW251" s="105"/>
      <c r="AX251" s="51"/>
      <c r="AY251" s="51"/>
      <c r="AZ251" s="134"/>
      <c r="BA251" s="105"/>
      <c r="BB251" s="51"/>
      <c r="BC251" s="51"/>
      <c r="BD251" s="134"/>
      <c r="BE251" s="105"/>
      <c r="BF251" s="51"/>
      <c r="BG251" s="51"/>
      <c r="BH251" s="134"/>
      <c r="BI251" s="150">
        <f>+'[2]Total P&amp;C'!$C$69/1000</f>
        <v>35.415759620000152</v>
      </c>
      <c r="BJ251" s="140">
        <v>34.6</v>
      </c>
      <c r="BK251" s="140">
        <v>28.6</v>
      </c>
      <c r="BM251" s="150">
        <v>34.659999999999997</v>
      </c>
      <c r="BN251" s="140">
        <v>34.6</v>
      </c>
      <c r="BO251" s="140">
        <v>11.22</v>
      </c>
    </row>
    <row r="252" spans="1:67" ht="14.5" x14ac:dyDescent="0.3">
      <c r="A252" s="213"/>
      <c r="B252" s="115"/>
      <c r="C252" s="48" t="s">
        <v>25</v>
      </c>
      <c r="D252" s="134"/>
      <c r="E252" s="105"/>
      <c r="F252" s="51"/>
      <c r="G252" s="51"/>
      <c r="H252" s="134"/>
      <c r="I252" s="105"/>
      <c r="J252" s="51"/>
      <c r="K252" s="51"/>
      <c r="L252" s="134"/>
      <c r="M252" s="105"/>
      <c r="N252" s="51"/>
      <c r="O252" s="51"/>
      <c r="P252" s="134"/>
      <c r="Q252" s="105"/>
      <c r="R252" s="51"/>
      <c r="S252" s="51"/>
      <c r="T252" s="134"/>
      <c r="U252" s="105"/>
      <c r="V252" s="51"/>
      <c r="W252" s="51"/>
      <c r="X252" s="134"/>
      <c r="Y252" s="105"/>
      <c r="Z252" s="51"/>
      <c r="AA252" s="51"/>
      <c r="AB252" s="134"/>
      <c r="AC252" s="103"/>
      <c r="AD252" s="62"/>
      <c r="AE252" s="62"/>
      <c r="AG252" s="213"/>
      <c r="AH252" s="115"/>
      <c r="AI252" s="48" t="s">
        <v>25</v>
      </c>
      <c r="AJ252" s="134"/>
      <c r="AK252" s="137">
        <f>+[2]Retail!$C$69/1000</f>
        <v>0</v>
      </c>
      <c r="AL252" s="138">
        <f>+[2]Retail!$C$70/1000</f>
        <v>0.40710583999999977</v>
      </c>
      <c r="AM252" s="138">
        <f>+[2]Retail!$C$71/1000</f>
        <v>0</v>
      </c>
      <c r="AN252" s="134"/>
      <c r="AO252" s="137">
        <f>+[2]SME!$C$69/1000</f>
        <v>0</v>
      </c>
      <c r="AP252" s="138">
        <v>11.6</v>
      </c>
      <c r="AQ252" s="138">
        <v>11.6</v>
      </c>
      <c r="AR252" s="134"/>
      <c r="AS252" s="141">
        <v>34.9</v>
      </c>
      <c r="AT252" s="138">
        <v>24.6</v>
      </c>
      <c r="AU252" s="138">
        <v>11.4</v>
      </c>
      <c r="AV252" s="134"/>
      <c r="AW252" s="105"/>
      <c r="AX252" s="51"/>
      <c r="AY252" s="51"/>
      <c r="AZ252" s="134"/>
      <c r="BA252" s="105"/>
      <c r="BB252" s="51"/>
      <c r="BC252" s="51"/>
      <c r="BD252" s="134"/>
      <c r="BE252" s="105"/>
      <c r="BF252" s="51"/>
      <c r="BG252" s="51"/>
      <c r="BH252" s="134"/>
      <c r="BI252" s="150">
        <f>+'[2]Total P&amp;C'!$C$69/1000</f>
        <v>35.415759620000152</v>
      </c>
      <c r="BJ252" s="140">
        <v>34.6</v>
      </c>
      <c r="BK252" s="140">
        <v>28.6</v>
      </c>
      <c r="BM252" s="150">
        <v>34.659999999999997</v>
      </c>
      <c r="BN252" s="140">
        <v>34.6</v>
      </c>
      <c r="BO252" s="140">
        <v>11.22</v>
      </c>
    </row>
    <row r="253" spans="1:67" ht="14.5" x14ac:dyDescent="0.3">
      <c r="A253" s="213"/>
      <c r="B253" s="115"/>
      <c r="C253" s="48" t="s">
        <v>53</v>
      </c>
      <c r="D253" s="134"/>
      <c r="E253" s="105"/>
      <c r="F253" s="51"/>
      <c r="G253" s="51"/>
      <c r="H253" s="134"/>
      <c r="I253" s="105"/>
      <c r="J253" s="51"/>
      <c r="K253" s="51"/>
      <c r="L253" s="134"/>
      <c r="M253" s="105"/>
      <c r="N253" s="51"/>
      <c r="O253" s="51"/>
      <c r="P253" s="134"/>
      <c r="Q253" s="105"/>
      <c r="R253" s="51"/>
      <c r="S253" s="51"/>
      <c r="T253" s="134"/>
      <c r="U253" s="105"/>
      <c r="V253" s="51"/>
      <c r="W253" s="51"/>
      <c r="X253" s="134"/>
      <c r="Y253" s="105"/>
      <c r="Z253" s="51"/>
      <c r="AA253" s="51"/>
      <c r="AB253" s="134"/>
      <c r="AC253" s="103"/>
      <c r="AD253" s="62"/>
      <c r="AE253" s="62"/>
      <c r="AG253" s="213"/>
      <c r="AH253" s="115"/>
      <c r="AI253" s="48" t="s">
        <v>53</v>
      </c>
      <c r="AJ253" s="134"/>
      <c r="AK253" s="137">
        <f>+[2]Retail!$C$69/1000</f>
        <v>0</v>
      </c>
      <c r="AL253" s="138">
        <f>+[2]Retail!$C$70/1000</f>
        <v>0.40710583999999977</v>
      </c>
      <c r="AM253" s="138">
        <f>+[2]Retail!$C$71/1000</f>
        <v>0</v>
      </c>
      <c r="AN253" s="134"/>
      <c r="AO253" s="137">
        <f>+[2]SME!$C$69/1000</f>
        <v>0</v>
      </c>
      <c r="AP253" s="138">
        <v>11.6</v>
      </c>
      <c r="AQ253" s="138">
        <v>11.6</v>
      </c>
      <c r="AR253" s="134"/>
      <c r="AS253" s="141">
        <v>34.9</v>
      </c>
      <c r="AT253" s="138">
        <v>24.6</v>
      </c>
      <c r="AU253" s="138">
        <v>11.4</v>
      </c>
      <c r="AV253" s="134"/>
      <c r="AW253" s="105"/>
      <c r="AX253" s="51"/>
      <c r="AY253" s="51"/>
      <c r="AZ253" s="134"/>
      <c r="BA253" s="105"/>
      <c r="BB253" s="51"/>
      <c r="BC253" s="51"/>
      <c r="BD253" s="134"/>
      <c r="BE253" s="105"/>
      <c r="BF253" s="51"/>
      <c r="BG253" s="51"/>
      <c r="BH253" s="134"/>
      <c r="BI253" s="150">
        <f>+'[2]Total P&amp;C'!$C$69/1000</f>
        <v>35.415759620000152</v>
      </c>
      <c r="BJ253" s="140">
        <v>34.6</v>
      </c>
      <c r="BK253" s="140">
        <v>28.6</v>
      </c>
      <c r="BM253" s="150">
        <v>34.659999999999997</v>
      </c>
      <c r="BN253" s="140">
        <v>34.6</v>
      </c>
      <c r="BO253" s="140">
        <v>11.22</v>
      </c>
    </row>
    <row r="254" spans="1:67" x14ac:dyDescent="0.3">
      <c r="A254" s="213"/>
      <c r="B254" s="115"/>
      <c r="C254" s="136" t="s">
        <v>27</v>
      </c>
      <c r="D254" s="134"/>
      <c r="E254" s="142"/>
      <c r="F254" s="143"/>
      <c r="G254" s="143"/>
      <c r="H254" s="134"/>
      <c r="I254" s="142"/>
      <c r="J254" s="143"/>
      <c r="K254" s="143"/>
      <c r="L254" s="134"/>
      <c r="M254" s="142"/>
      <c r="N254" s="143"/>
      <c r="O254" s="143"/>
      <c r="P254" s="134"/>
      <c r="Q254" s="142"/>
      <c r="R254" s="143"/>
      <c r="S254" s="143"/>
      <c r="T254" s="134"/>
      <c r="U254" s="142"/>
      <c r="V254" s="143"/>
      <c r="W254" s="143"/>
      <c r="X254" s="134"/>
      <c r="Y254" s="142"/>
      <c r="Z254" s="143"/>
      <c r="AA254" s="143"/>
      <c r="AB254" s="134"/>
      <c r="AC254" s="144"/>
      <c r="AD254" s="145"/>
      <c r="AE254" s="145"/>
      <c r="AG254" s="213"/>
      <c r="AH254" s="115"/>
      <c r="AI254" s="136" t="s">
        <v>27</v>
      </c>
      <c r="AJ254" s="134"/>
      <c r="AK254" s="137">
        <f>+[2]Retail!$C$69/1000</f>
        <v>0</v>
      </c>
      <c r="AL254" s="138">
        <f>+[2]Retail!$C$70/1000</f>
        <v>0.40710583999999977</v>
      </c>
      <c r="AM254" s="138">
        <f>+[2]Retail!$C$71/1000</f>
        <v>0</v>
      </c>
      <c r="AN254" s="134"/>
      <c r="AO254" s="137">
        <f>+[2]SME!$C$69/1000</f>
        <v>0</v>
      </c>
      <c r="AP254" s="138">
        <v>11.6</v>
      </c>
      <c r="AQ254" s="138">
        <v>11.6</v>
      </c>
      <c r="AR254" s="134"/>
      <c r="AS254" s="141">
        <v>34.9</v>
      </c>
      <c r="AT254" s="138">
        <v>24.6</v>
      </c>
      <c r="AU254" s="138">
        <v>11.4</v>
      </c>
      <c r="AV254" s="134"/>
      <c r="AW254" s="142"/>
      <c r="AX254" s="143"/>
      <c r="AY254" s="143"/>
      <c r="AZ254" s="134"/>
      <c r="BA254" s="142"/>
      <c r="BB254" s="143"/>
      <c r="BC254" s="143"/>
      <c r="BD254" s="134"/>
      <c r="BE254" s="142"/>
      <c r="BF254" s="143"/>
      <c r="BG254" s="143"/>
      <c r="BH254" s="134"/>
      <c r="BI254" s="150">
        <f>+'[2]Total P&amp;C'!$C$69/1000</f>
        <v>35.415759620000152</v>
      </c>
      <c r="BJ254" s="140">
        <v>34.6</v>
      </c>
      <c r="BK254" s="140">
        <v>28.6</v>
      </c>
      <c r="BM254" s="150">
        <v>34.659999999999997</v>
      </c>
      <c r="BN254" s="140">
        <v>34.6</v>
      </c>
      <c r="BO254" s="140">
        <v>11.22</v>
      </c>
    </row>
    <row r="255" spans="1:67" x14ac:dyDescent="0.3">
      <c r="A255" s="213"/>
      <c r="B255" s="115"/>
      <c r="C255" s="136" t="s">
        <v>57</v>
      </c>
      <c r="D255" s="134"/>
      <c r="E255" s="142"/>
      <c r="F255" s="143"/>
      <c r="G255" s="143"/>
      <c r="H255" s="134"/>
      <c r="I255" s="142"/>
      <c r="J255" s="143"/>
      <c r="K255" s="143"/>
      <c r="L255" s="134"/>
      <c r="M255" s="142"/>
      <c r="N255" s="143"/>
      <c r="O255" s="143"/>
      <c r="P255" s="134"/>
      <c r="Q255" s="142"/>
      <c r="R255" s="143"/>
      <c r="S255" s="143"/>
      <c r="T255" s="134"/>
      <c r="U255" s="142"/>
      <c r="V255" s="143"/>
      <c r="W255" s="143"/>
      <c r="X255" s="134"/>
      <c r="Y255" s="142"/>
      <c r="Z255" s="143"/>
      <c r="AA255" s="143"/>
      <c r="AB255" s="134"/>
      <c r="AC255" s="144"/>
      <c r="AD255" s="145"/>
      <c r="AE255" s="145"/>
      <c r="AG255" s="213"/>
      <c r="AH255" s="115"/>
      <c r="AI255" s="136" t="s">
        <v>57</v>
      </c>
      <c r="AJ255" s="134"/>
      <c r="AK255" s="137">
        <f>+[2]Retail!$C$69/1000</f>
        <v>0</v>
      </c>
      <c r="AL255" s="138">
        <f>+[2]Retail!$C$70/1000</f>
        <v>0.40710583999999977</v>
      </c>
      <c r="AM255" s="138">
        <f>+[2]Retail!$C$71/1000</f>
        <v>0</v>
      </c>
      <c r="AN255" s="134"/>
      <c r="AO255" s="137">
        <f>+[2]SME!$C$69/1000</f>
        <v>0</v>
      </c>
      <c r="AP255" s="138">
        <v>11.6</v>
      </c>
      <c r="AQ255" s="138">
        <v>11.6</v>
      </c>
      <c r="AR255" s="134"/>
      <c r="AS255" s="141">
        <v>34.9</v>
      </c>
      <c r="AT255" s="138">
        <v>24.6</v>
      </c>
      <c r="AU255" s="138">
        <v>11.4</v>
      </c>
      <c r="AV255" s="134"/>
      <c r="AW255" s="142"/>
      <c r="AX255" s="143"/>
      <c r="AY255" s="143"/>
      <c r="AZ255" s="134"/>
      <c r="BA255" s="142"/>
      <c r="BB255" s="143"/>
      <c r="BC255" s="143"/>
      <c r="BD255" s="134"/>
      <c r="BE255" s="142"/>
      <c r="BF255" s="143"/>
      <c r="BG255" s="143"/>
      <c r="BH255" s="134"/>
      <c r="BI255" s="150">
        <f>+'[2]Total P&amp;C'!$C$69/1000</f>
        <v>35.415759620000152</v>
      </c>
      <c r="BJ255" s="140">
        <v>34.6</v>
      </c>
      <c r="BK255" s="140">
        <v>28.6</v>
      </c>
      <c r="BM255" s="150">
        <v>34.659999999999997</v>
      </c>
      <c r="BN255" s="140">
        <v>34.6</v>
      </c>
      <c r="BO255" s="140">
        <v>11.22</v>
      </c>
    </row>
    <row r="256" spans="1:67" x14ac:dyDescent="0.3">
      <c r="A256" s="213"/>
      <c r="B256" s="115"/>
      <c r="C256" s="136" t="s">
        <v>29</v>
      </c>
      <c r="D256" s="134"/>
      <c r="E256" s="142"/>
      <c r="F256" s="143"/>
      <c r="G256" s="143"/>
      <c r="H256" s="134"/>
      <c r="I256" s="142"/>
      <c r="J256" s="143"/>
      <c r="K256" s="143"/>
      <c r="L256" s="134"/>
      <c r="M256" s="142"/>
      <c r="N256" s="143"/>
      <c r="O256" s="143"/>
      <c r="P256" s="134"/>
      <c r="Q256" s="142"/>
      <c r="R256" s="143"/>
      <c r="S256" s="143"/>
      <c r="T256" s="134"/>
      <c r="U256" s="142"/>
      <c r="V256" s="143"/>
      <c r="W256" s="143"/>
      <c r="X256" s="134"/>
      <c r="Y256" s="142"/>
      <c r="Z256" s="143"/>
      <c r="AA256" s="143"/>
      <c r="AB256" s="134"/>
      <c r="AC256" s="144"/>
      <c r="AD256" s="145"/>
      <c r="AE256" s="145"/>
      <c r="AG256" s="213"/>
      <c r="AH256" s="115"/>
      <c r="AI256" s="136" t="s">
        <v>29</v>
      </c>
      <c r="AJ256" s="134"/>
      <c r="AK256" s="137">
        <f>+[2]Retail!$C$69/1000</f>
        <v>0</v>
      </c>
      <c r="AL256" s="138">
        <f>+[2]Retail!$C$70/1000</f>
        <v>0.40710583999999977</v>
      </c>
      <c r="AM256" s="138">
        <f>+[2]Retail!$C$71/1000</f>
        <v>0</v>
      </c>
      <c r="AN256" s="134"/>
      <c r="AO256" s="137">
        <f>+[2]SME!$C$69/1000</f>
        <v>0</v>
      </c>
      <c r="AP256" s="138">
        <v>11.6</v>
      </c>
      <c r="AQ256" s="138">
        <v>11.6</v>
      </c>
      <c r="AR256" s="134"/>
      <c r="AS256" s="141">
        <v>34.9</v>
      </c>
      <c r="AT256" s="138">
        <v>24.6</v>
      </c>
      <c r="AU256" s="138">
        <v>11.4</v>
      </c>
      <c r="AV256" s="134"/>
      <c r="AW256" s="142"/>
      <c r="AX256" s="143"/>
      <c r="AY256" s="143"/>
      <c r="AZ256" s="134"/>
      <c r="BA256" s="142"/>
      <c r="BB256" s="143"/>
      <c r="BC256" s="143"/>
      <c r="BD256" s="134"/>
      <c r="BE256" s="142"/>
      <c r="BF256" s="143"/>
      <c r="BG256" s="143"/>
      <c r="BH256" s="134"/>
      <c r="BI256" s="150">
        <f>+'[2]Total P&amp;C'!$C$69/1000</f>
        <v>35.415759620000152</v>
      </c>
      <c r="BJ256" s="140">
        <v>34.6</v>
      </c>
      <c r="BK256" s="140">
        <v>28.6</v>
      </c>
      <c r="BM256" s="150">
        <v>34.659999999999997</v>
      </c>
      <c r="BN256" s="140">
        <v>34.6</v>
      </c>
      <c r="BO256" s="140">
        <v>11.22</v>
      </c>
    </row>
    <row r="257" spans="1:67" x14ac:dyDescent="0.3">
      <c r="A257" s="213"/>
      <c r="B257" s="115"/>
      <c r="C257" s="136" t="s">
        <v>58</v>
      </c>
      <c r="D257" s="134"/>
      <c r="E257" s="142"/>
      <c r="F257" s="143"/>
      <c r="G257" s="143"/>
      <c r="H257" s="134"/>
      <c r="I257" s="142"/>
      <c r="J257" s="143"/>
      <c r="K257" s="143"/>
      <c r="L257" s="134"/>
      <c r="M257" s="142"/>
      <c r="N257" s="143"/>
      <c r="O257" s="143"/>
      <c r="P257" s="134"/>
      <c r="Q257" s="142"/>
      <c r="R257" s="143"/>
      <c r="S257" s="143"/>
      <c r="T257" s="134"/>
      <c r="U257" s="142"/>
      <c r="V257" s="143"/>
      <c r="W257" s="143"/>
      <c r="X257" s="134"/>
      <c r="Y257" s="142"/>
      <c r="Z257" s="143"/>
      <c r="AA257" s="143"/>
      <c r="AB257" s="134"/>
      <c r="AC257" s="144"/>
      <c r="AD257" s="145"/>
      <c r="AE257" s="145"/>
      <c r="AG257" s="213"/>
      <c r="AH257" s="115"/>
      <c r="AI257" s="136" t="s">
        <v>58</v>
      </c>
      <c r="AJ257" s="134"/>
      <c r="AK257" s="137">
        <f>+[2]Retail!$C$69/1000</f>
        <v>0</v>
      </c>
      <c r="AL257" s="138">
        <f>+[2]Retail!$C$70/1000</f>
        <v>0.40710583999999977</v>
      </c>
      <c r="AM257" s="138">
        <f>+[2]Retail!$C$71/1000</f>
        <v>0</v>
      </c>
      <c r="AN257" s="134"/>
      <c r="AO257" s="137">
        <f>+[2]SME!$C$69/1000</f>
        <v>0</v>
      </c>
      <c r="AP257" s="138">
        <v>11.6</v>
      </c>
      <c r="AQ257" s="138">
        <v>11.6</v>
      </c>
      <c r="AR257" s="134"/>
      <c r="AS257" s="141">
        <v>34.9</v>
      </c>
      <c r="AT257" s="138">
        <v>24.6</v>
      </c>
      <c r="AU257" s="138">
        <v>11.4</v>
      </c>
      <c r="AV257" s="134"/>
      <c r="AW257" s="142"/>
      <c r="AX257" s="143"/>
      <c r="AY257" s="143"/>
      <c r="AZ257" s="134"/>
      <c r="BA257" s="142"/>
      <c r="BB257" s="143"/>
      <c r="BC257" s="143"/>
      <c r="BD257" s="134"/>
      <c r="BE257" s="142"/>
      <c r="BF257" s="143"/>
      <c r="BG257" s="143"/>
      <c r="BH257" s="134"/>
      <c r="BI257" s="150">
        <f>+'[2]Total P&amp;C'!$C$69/1000</f>
        <v>35.415759620000152</v>
      </c>
      <c r="BJ257" s="140">
        <v>34.6</v>
      </c>
      <c r="BK257" s="140">
        <v>28.6</v>
      </c>
      <c r="BM257" s="150">
        <v>34.659999999999997</v>
      </c>
      <c r="BN257" s="140">
        <v>34.6</v>
      </c>
      <c r="BO257" s="140">
        <v>11.22</v>
      </c>
    </row>
    <row r="258" spans="1:67" ht="14.5" x14ac:dyDescent="0.3">
      <c r="A258" s="213"/>
      <c r="B258" s="115"/>
      <c r="C258" s="50" t="s">
        <v>59</v>
      </c>
      <c r="D258" s="135"/>
      <c r="E258" s="105"/>
      <c r="F258" s="51"/>
      <c r="G258" s="51"/>
      <c r="H258" s="135"/>
      <c r="I258" s="105"/>
      <c r="J258" s="51"/>
      <c r="K258" s="51"/>
      <c r="L258" s="135"/>
      <c r="M258" s="105"/>
      <c r="N258" s="51"/>
      <c r="O258" s="51"/>
      <c r="P258" s="135"/>
      <c r="Q258" s="105"/>
      <c r="R258" s="51"/>
      <c r="S258" s="51"/>
      <c r="T258" s="135"/>
      <c r="U258" s="105"/>
      <c r="V258" s="51"/>
      <c r="W258" s="51"/>
      <c r="X258" s="135"/>
      <c r="Y258" s="105"/>
      <c r="Z258" s="51"/>
      <c r="AA258" s="51"/>
      <c r="AB258" s="135"/>
      <c r="AC258" s="103"/>
      <c r="AD258" s="62"/>
      <c r="AE258" s="62"/>
      <c r="AG258" s="213"/>
      <c r="AH258" s="115"/>
      <c r="AI258" s="50" t="s">
        <v>59</v>
      </c>
      <c r="AJ258" s="135"/>
      <c r="AK258" s="137">
        <f>+[2]Retail!$C$69/1000</f>
        <v>0</v>
      </c>
      <c r="AL258" s="138">
        <f>+[2]Retail!$C$70/1000</f>
        <v>0.40710583999999977</v>
      </c>
      <c r="AM258" s="138">
        <f>+[2]Retail!$C$71/1000</f>
        <v>0</v>
      </c>
      <c r="AN258" s="135"/>
      <c r="AO258" s="137">
        <f>+[2]SME!$C$69/1000</f>
        <v>0</v>
      </c>
      <c r="AP258" s="138">
        <v>11.6</v>
      </c>
      <c r="AQ258" s="138">
        <v>11.6</v>
      </c>
      <c r="AR258" s="135"/>
      <c r="AS258" s="141">
        <v>34.9</v>
      </c>
      <c r="AT258" s="138">
        <v>24.6</v>
      </c>
      <c r="AU258" s="138">
        <v>11.4</v>
      </c>
      <c r="AV258" s="135"/>
      <c r="AW258" s="105"/>
      <c r="AX258" s="51"/>
      <c r="AY258" s="51"/>
      <c r="AZ258" s="135"/>
      <c r="BA258" s="105"/>
      <c r="BB258" s="51"/>
      <c r="BC258" s="51"/>
      <c r="BD258" s="135"/>
      <c r="BE258" s="105"/>
      <c r="BF258" s="51"/>
      <c r="BG258" s="51"/>
      <c r="BH258" s="135"/>
      <c r="BI258" s="150">
        <f>+'[2]Total P&amp;C'!$C$69/1000</f>
        <v>35.415759620000152</v>
      </c>
      <c r="BJ258" s="140">
        <v>34.6</v>
      </c>
      <c r="BK258" s="140">
        <v>28.6</v>
      </c>
      <c r="BM258" s="150">
        <v>34.659999999999997</v>
      </c>
      <c r="BN258" s="140">
        <v>34.6</v>
      </c>
      <c r="BO258" s="140">
        <v>11.22</v>
      </c>
    </row>
    <row r="259" spans="1:67" ht="14.5" x14ac:dyDescent="0.3">
      <c r="A259" s="213"/>
      <c r="B259" s="115"/>
      <c r="C259" s="50" t="s">
        <v>60</v>
      </c>
      <c r="D259" s="135"/>
      <c r="E259" s="105"/>
      <c r="F259" s="51"/>
      <c r="G259" s="51"/>
      <c r="H259" s="135"/>
      <c r="I259" s="105"/>
      <c r="J259" s="51"/>
      <c r="K259" s="51"/>
      <c r="L259" s="135"/>
      <c r="M259" s="105"/>
      <c r="N259" s="51"/>
      <c r="O259" s="51"/>
      <c r="P259" s="135"/>
      <c r="Q259" s="105"/>
      <c r="R259" s="51"/>
      <c r="S259" s="51"/>
      <c r="T259" s="135"/>
      <c r="U259" s="105"/>
      <c r="V259" s="51"/>
      <c r="W259" s="51"/>
      <c r="X259" s="135"/>
      <c r="Y259" s="105"/>
      <c r="Z259" s="51"/>
      <c r="AA259" s="51"/>
      <c r="AB259" s="135"/>
      <c r="AC259" s="103"/>
      <c r="AD259" s="62"/>
      <c r="AE259" s="62"/>
      <c r="AG259" s="213"/>
      <c r="AH259" s="115"/>
      <c r="AI259" s="50" t="s">
        <v>60</v>
      </c>
      <c r="AJ259" s="135"/>
      <c r="AK259" s="137">
        <f>+[2]Retail!$C$69/1000</f>
        <v>0</v>
      </c>
      <c r="AL259" s="138">
        <f>+[2]Retail!$C$70/1000</f>
        <v>0.40710583999999977</v>
      </c>
      <c r="AM259" s="138">
        <f>+[2]Retail!$C$71/1000</f>
        <v>0</v>
      </c>
      <c r="AN259" s="135"/>
      <c r="AO259" s="137">
        <f>+[2]SME!$C$69/1000</f>
        <v>0</v>
      </c>
      <c r="AP259" s="138">
        <v>11.6</v>
      </c>
      <c r="AQ259" s="138">
        <v>11.6</v>
      </c>
      <c r="AR259" s="135"/>
      <c r="AS259" s="141">
        <v>34.9</v>
      </c>
      <c r="AT259" s="138">
        <v>24.6</v>
      </c>
      <c r="AU259" s="138">
        <v>11.4</v>
      </c>
      <c r="AV259" s="135"/>
      <c r="AW259" s="105"/>
      <c r="AX259" s="51"/>
      <c r="AY259" s="51"/>
      <c r="AZ259" s="135"/>
      <c r="BA259" s="105"/>
      <c r="BB259" s="51"/>
      <c r="BC259" s="51"/>
      <c r="BD259" s="135"/>
      <c r="BE259" s="105"/>
      <c r="BF259" s="51"/>
      <c r="BG259" s="51"/>
      <c r="BH259" s="135"/>
      <c r="BI259" s="150">
        <f>+'[2]Total P&amp;C'!$C$69/1000</f>
        <v>35.415759620000152</v>
      </c>
      <c r="BJ259" s="140">
        <v>34.6</v>
      </c>
      <c r="BK259" s="140">
        <v>28.6</v>
      </c>
      <c r="BM259" s="150">
        <v>34.659999999999997</v>
      </c>
      <c r="BN259" s="140">
        <v>34.6</v>
      </c>
      <c r="BO259" s="140">
        <v>11.22</v>
      </c>
    </row>
    <row r="260" spans="1:67" ht="14.5" x14ac:dyDescent="0.3">
      <c r="A260" s="213"/>
      <c r="B260" s="115"/>
      <c r="C260" s="50" t="s">
        <v>61</v>
      </c>
      <c r="D260" s="135"/>
      <c r="E260" s="105"/>
      <c r="F260" s="51"/>
      <c r="G260" s="51"/>
      <c r="H260" s="135"/>
      <c r="I260" s="105"/>
      <c r="J260" s="51"/>
      <c r="K260" s="51"/>
      <c r="L260" s="135"/>
      <c r="M260" s="105"/>
      <c r="N260" s="51"/>
      <c r="O260" s="51"/>
      <c r="P260" s="135"/>
      <c r="Q260" s="105"/>
      <c r="R260" s="51"/>
      <c r="S260" s="51"/>
      <c r="T260" s="135"/>
      <c r="U260" s="105"/>
      <c r="V260" s="51"/>
      <c r="W260" s="51"/>
      <c r="X260" s="135"/>
      <c r="Y260" s="105"/>
      <c r="Z260" s="51"/>
      <c r="AA260" s="51"/>
      <c r="AB260" s="135"/>
      <c r="AC260" s="103"/>
      <c r="AD260" s="62"/>
      <c r="AE260" s="62"/>
      <c r="AG260" s="213"/>
      <c r="AH260" s="115"/>
      <c r="AI260" s="50" t="s">
        <v>61</v>
      </c>
      <c r="AJ260" s="135"/>
      <c r="AK260" s="137">
        <f>+[2]Retail!$C$69/1000</f>
        <v>0</v>
      </c>
      <c r="AL260" s="138">
        <f>+[2]Retail!$C$70/1000</f>
        <v>0.40710583999999977</v>
      </c>
      <c r="AM260" s="138">
        <f>+[2]Retail!$C$71/1000</f>
        <v>0</v>
      </c>
      <c r="AN260" s="135"/>
      <c r="AO260" s="137">
        <f>+[2]SME!$C$69/1000</f>
        <v>0</v>
      </c>
      <c r="AP260" s="138">
        <v>11.6</v>
      </c>
      <c r="AQ260" s="138">
        <v>11.6</v>
      </c>
      <c r="AR260" s="135"/>
      <c r="AS260" s="141">
        <v>34.9</v>
      </c>
      <c r="AT260" s="138">
        <v>24.6</v>
      </c>
      <c r="AU260" s="138">
        <v>11.4</v>
      </c>
      <c r="AV260" s="135"/>
      <c r="AW260" s="105"/>
      <c r="AX260" s="51"/>
      <c r="AY260" s="51"/>
      <c r="AZ260" s="135"/>
      <c r="BA260" s="105"/>
      <c r="BB260" s="51"/>
      <c r="BC260" s="51"/>
      <c r="BD260" s="135"/>
      <c r="BE260" s="105"/>
      <c r="BF260" s="51"/>
      <c r="BG260" s="51"/>
      <c r="BH260" s="135"/>
      <c r="BI260" s="150">
        <f>+'[2]Total P&amp;C'!$C$69/1000</f>
        <v>35.415759620000152</v>
      </c>
      <c r="BJ260" s="140">
        <v>34.6</v>
      </c>
      <c r="BK260" s="140">
        <v>28.6</v>
      </c>
      <c r="BM260" s="150">
        <v>34.659999999999997</v>
      </c>
      <c r="BN260" s="140">
        <v>34.6</v>
      </c>
      <c r="BO260" s="140">
        <v>11.22</v>
      </c>
    </row>
    <row r="261" spans="1:67" x14ac:dyDescent="0.3">
      <c r="A261" s="213"/>
      <c r="B261" s="115"/>
      <c r="C261" s="136" t="s">
        <v>34</v>
      </c>
      <c r="D261" s="117"/>
      <c r="E261" s="137"/>
      <c r="F261" s="138"/>
      <c r="G261" s="138"/>
      <c r="H261" s="117"/>
      <c r="I261" s="137"/>
      <c r="J261" s="138"/>
      <c r="K261" s="138"/>
      <c r="L261" s="117"/>
      <c r="M261" s="137"/>
      <c r="N261" s="138"/>
      <c r="O261" s="138"/>
      <c r="P261" s="117"/>
      <c r="Q261" s="137"/>
      <c r="R261" s="138"/>
      <c r="S261" s="138"/>
      <c r="T261" s="117"/>
      <c r="U261" s="137"/>
      <c r="V261" s="138"/>
      <c r="W261" s="138"/>
      <c r="X261" s="117"/>
      <c r="Y261" s="137"/>
      <c r="Z261" s="138"/>
      <c r="AA261" s="138"/>
      <c r="AB261" s="117"/>
      <c r="AC261" s="139"/>
      <c r="AD261" s="140"/>
      <c r="AE261" s="140"/>
      <c r="AG261" s="213"/>
      <c r="AH261" s="115"/>
      <c r="AI261" s="136" t="s">
        <v>34</v>
      </c>
      <c r="AJ261" s="117"/>
      <c r="AK261" s="137">
        <f>+[2]Retail!$C$69/1000</f>
        <v>0</v>
      </c>
      <c r="AL261" s="138">
        <f>+[2]Retail!$C$70/1000</f>
        <v>0.40710583999999977</v>
      </c>
      <c r="AM261" s="138">
        <f>+[2]Retail!$C$71/1000</f>
        <v>0</v>
      </c>
      <c r="AN261" s="117"/>
      <c r="AO261" s="137">
        <f>+[2]SME!$C$69/1000</f>
        <v>0</v>
      </c>
      <c r="AP261" s="138">
        <v>11.6</v>
      </c>
      <c r="AQ261" s="138">
        <v>11.6</v>
      </c>
      <c r="AR261" s="117"/>
      <c r="AS261" s="141">
        <v>34.9</v>
      </c>
      <c r="AT261" s="138">
        <v>24.6</v>
      </c>
      <c r="AU261" s="138">
        <v>11.4</v>
      </c>
      <c r="AV261" s="117"/>
      <c r="AW261" s="137"/>
      <c r="AX261" s="138"/>
      <c r="AY261" s="138"/>
      <c r="AZ261" s="117"/>
      <c r="BA261" s="137"/>
      <c r="BB261" s="138"/>
      <c r="BC261" s="138"/>
      <c r="BD261" s="117"/>
      <c r="BE261" s="137"/>
      <c r="BF261" s="138"/>
      <c r="BG261" s="138"/>
      <c r="BH261" s="117"/>
      <c r="BI261" s="150">
        <f>+'[2]Total P&amp;C'!$C$69/1000</f>
        <v>35.415759620000152</v>
      </c>
      <c r="BJ261" s="140">
        <v>34.6</v>
      </c>
      <c r="BK261" s="140">
        <v>28.6</v>
      </c>
      <c r="BM261" s="150">
        <v>34.659999999999997</v>
      </c>
      <c r="BN261" s="140">
        <v>34.6</v>
      </c>
      <c r="BO261" s="140">
        <v>11.22</v>
      </c>
    </row>
    <row r="262" spans="1:67" ht="17.5" x14ac:dyDescent="0.35">
      <c r="AG262" s="153"/>
    </row>
    <row r="263" spans="1:67" x14ac:dyDescent="0.3">
      <c r="A263" s="215" t="s">
        <v>47</v>
      </c>
      <c r="B263" s="115"/>
      <c r="C263" s="151" t="s">
        <v>19</v>
      </c>
      <c r="D263" s="117"/>
      <c r="E263" s="118">
        <f>+[1]Retail!$C$90/1000</f>
        <v>3.3283639900000002</v>
      </c>
      <c r="F263" s="119">
        <f>+[1]Retail!$C$91/1000</f>
        <v>4.0606202500000013</v>
      </c>
      <c r="G263" s="119">
        <f>+[1]Retail!$C$92/1000</f>
        <v>0</v>
      </c>
      <c r="H263" s="117"/>
      <c r="I263" s="118">
        <f>+[1]SME!$C$90/1000</f>
        <v>55.109905680000004</v>
      </c>
      <c r="J263" s="118">
        <f>+[1]SME!$C$90/1000</f>
        <v>55.109905680000004</v>
      </c>
      <c r="K263" s="118">
        <f>+[1]SME!$C$90/1000</f>
        <v>55.109905680000004</v>
      </c>
      <c r="L263" s="117"/>
      <c r="M263" s="120">
        <v>25.6</v>
      </c>
      <c r="N263" s="119">
        <f>+[1]MidCorp!$C$91/1000</f>
        <v>260.56084752999999</v>
      </c>
      <c r="O263" s="119">
        <v>233.5</v>
      </c>
      <c r="P263" s="117"/>
      <c r="Q263" s="120">
        <v>11.2</v>
      </c>
      <c r="R263" s="119">
        <v>22.3</v>
      </c>
      <c r="S263" s="119">
        <v>11.2</v>
      </c>
      <c r="T263" s="117"/>
      <c r="U263" s="121">
        <f>+[1]Bancassurance!$C$90/1000</f>
        <v>0.65832045000000106</v>
      </c>
      <c r="V263" s="119">
        <f>+[1]Bancassurance!$C$91/1000</f>
        <v>0.22720669999999982</v>
      </c>
      <c r="W263" s="119">
        <f>+[1]Bancassurance!$C$92/1000</f>
        <v>0.94816000000000011</v>
      </c>
      <c r="X263" s="117"/>
      <c r="Y263" s="118">
        <f>+[1]Specials!$C$90/1000</f>
        <v>0.22837774000000002</v>
      </c>
      <c r="Z263" s="119">
        <f>+[1]Specials!$C$91/1000</f>
        <v>0.15682135000000003</v>
      </c>
      <c r="AA263" s="119">
        <f>+[1]Specials!$C$92/1000</f>
        <v>0</v>
      </c>
      <c r="AB263" s="117"/>
      <c r="AC263" s="122">
        <f>+'[1]Total P&amp;C'!$C$90/1000</f>
        <v>364.47485934999997</v>
      </c>
      <c r="AD263" s="123">
        <f>+'[1]Total P&amp;C'!$C$91/1000</f>
        <v>357.45420706000004</v>
      </c>
      <c r="AE263" s="123">
        <v>1</v>
      </c>
      <c r="AG263" s="215" t="s">
        <v>47</v>
      </c>
      <c r="AH263" s="115"/>
      <c r="AI263" s="151" t="s">
        <v>19</v>
      </c>
      <c r="AJ263" s="117"/>
      <c r="AK263" s="121">
        <v>23.5</v>
      </c>
      <c r="AL263" s="119">
        <v>11</v>
      </c>
      <c r="AM263" s="119">
        <v>22</v>
      </c>
      <c r="AN263" s="117"/>
      <c r="AO263" s="121">
        <v>23.5</v>
      </c>
      <c r="AP263" s="119">
        <v>11</v>
      </c>
      <c r="AQ263" s="119">
        <v>22</v>
      </c>
      <c r="AR263" s="117"/>
      <c r="AS263" s="121">
        <v>23.5</v>
      </c>
      <c r="AT263" s="119">
        <v>11</v>
      </c>
      <c r="AU263" s="119">
        <v>22</v>
      </c>
      <c r="AV263" s="117"/>
      <c r="AW263" s="121"/>
      <c r="AX263" s="119"/>
      <c r="AY263" s="119"/>
      <c r="AZ263" s="117"/>
      <c r="BA263" s="121"/>
      <c r="BB263" s="119"/>
      <c r="BC263" s="119"/>
      <c r="BD263" s="117"/>
      <c r="BE263" s="121"/>
      <c r="BF263" s="119"/>
      <c r="BG263" s="119"/>
      <c r="BH263" s="117"/>
      <c r="BI263" s="122">
        <v>121</v>
      </c>
      <c r="BJ263" s="123">
        <v>123</v>
      </c>
      <c r="BK263" s="123">
        <v>112</v>
      </c>
      <c r="BM263" s="122">
        <v>121</v>
      </c>
      <c r="BN263" s="123">
        <v>123</v>
      </c>
      <c r="BO263" s="123">
        <v>112</v>
      </c>
    </row>
    <row r="264" spans="1:67" x14ac:dyDescent="0.3">
      <c r="A264" s="215"/>
      <c r="B264" s="115"/>
      <c r="C264" s="151" t="s">
        <v>55</v>
      </c>
      <c r="D264" s="117"/>
      <c r="E264" s="118">
        <f>+[1]Retail!$C$90/1000</f>
        <v>3.3283639900000002</v>
      </c>
      <c r="F264" s="119">
        <v>4.2</v>
      </c>
      <c r="G264" s="119">
        <f>+[1]Retail!$N$92/1000</f>
        <v>0</v>
      </c>
      <c r="H264" s="117"/>
      <c r="I264" s="121">
        <v>42.1</v>
      </c>
      <c r="J264" s="119">
        <v>23.1</v>
      </c>
      <c r="K264" s="119">
        <v>11.1</v>
      </c>
      <c r="L264" s="117"/>
      <c r="M264" s="121">
        <v>11.2</v>
      </c>
      <c r="N264" s="119">
        <v>123.5</v>
      </c>
      <c r="O264" s="119">
        <v>145</v>
      </c>
      <c r="P264" s="117"/>
      <c r="Q264" s="121">
        <v>23.6</v>
      </c>
      <c r="R264" s="119">
        <v>22.5</v>
      </c>
      <c r="S264" s="119">
        <v>11.2</v>
      </c>
      <c r="T264" s="117"/>
      <c r="U264" s="121">
        <f>+[1]Bancassurance!$N$90/1000</f>
        <v>0.45416076999999949</v>
      </c>
      <c r="V264" s="119">
        <f>+[1]Bancassurance!$N$91/1000</f>
        <v>0.15421565999999981</v>
      </c>
      <c r="W264" s="119">
        <f>+[1]Bancassurance!$N$92/1000</f>
        <v>1.0513133004794781</v>
      </c>
      <c r="X264" s="117"/>
      <c r="Y264" s="118">
        <f>+[1]Specials!$N$90/1000</f>
        <v>9.5219389999999987E-2</v>
      </c>
      <c r="Z264" s="119">
        <f>+[1]Specials!$N$91/1000</f>
        <v>3.6744110000000003E-2</v>
      </c>
      <c r="AA264" s="119">
        <f>+[1]Specials!$N$92/1000</f>
        <v>0</v>
      </c>
      <c r="AB264" s="117"/>
      <c r="AC264" s="122">
        <f>+'[1]Total P&amp;C'!$C$90/1000</f>
        <v>364.47485934999997</v>
      </c>
      <c r="AD264" s="123">
        <v>11.4</v>
      </c>
      <c r="AE264" s="123">
        <v>2</v>
      </c>
      <c r="AG264" s="215"/>
      <c r="AH264" s="115"/>
      <c r="AI264" s="151" t="s">
        <v>55</v>
      </c>
      <c r="AJ264" s="117"/>
      <c r="AK264" s="121">
        <v>11.4</v>
      </c>
      <c r="AL264" s="119">
        <v>21</v>
      </c>
      <c r="AM264" s="119">
        <v>44</v>
      </c>
      <c r="AN264" s="117"/>
      <c r="AO264" s="121">
        <v>11.4</v>
      </c>
      <c r="AP264" s="119">
        <v>21</v>
      </c>
      <c r="AQ264" s="119">
        <v>44</v>
      </c>
      <c r="AR264" s="117"/>
      <c r="AS264" s="121">
        <v>11.4</v>
      </c>
      <c r="AT264" s="119">
        <v>21</v>
      </c>
      <c r="AU264" s="119">
        <v>44</v>
      </c>
      <c r="AV264" s="117"/>
      <c r="AW264" s="121"/>
      <c r="AX264" s="119"/>
      <c r="AY264" s="119"/>
      <c r="AZ264" s="117"/>
      <c r="BA264" s="121"/>
      <c r="BB264" s="119"/>
      <c r="BC264" s="119"/>
      <c r="BD264" s="117"/>
      <c r="BE264" s="121"/>
      <c r="BF264" s="119"/>
      <c r="BG264" s="119"/>
      <c r="BH264" s="117"/>
      <c r="BI264" s="124">
        <v>99</v>
      </c>
      <c r="BJ264" s="123">
        <v>11</v>
      </c>
      <c r="BK264" s="123">
        <v>54</v>
      </c>
      <c r="BM264" s="124">
        <v>99</v>
      </c>
      <c r="BN264" s="123">
        <v>11</v>
      </c>
      <c r="BO264" s="123">
        <v>54</v>
      </c>
    </row>
    <row r="265" spans="1:67" x14ac:dyDescent="0.3">
      <c r="A265" s="215"/>
      <c r="B265" s="115"/>
      <c r="C265" s="151" t="s">
        <v>21</v>
      </c>
      <c r="D265" s="117"/>
      <c r="E265" s="118">
        <f>+[1]Retail!$C$90/1000</f>
        <v>3.3283639900000002</v>
      </c>
      <c r="F265" s="119">
        <f>+[1]Retail!$C$91/1000</f>
        <v>4.0606202500000013</v>
      </c>
      <c r="G265" s="127" t="e">
        <f>+G266+G271+G272+G273+G274</f>
        <v>#DIV/0!</v>
      </c>
      <c r="H265" s="117"/>
      <c r="I265" s="118">
        <f>+[1]SME!$C$90/1000</f>
        <v>55.109905680000004</v>
      </c>
      <c r="J265" s="118">
        <f>+[1]SME!$C$90/1000</f>
        <v>55.109905680000004</v>
      </c>
      <c r="K265" s="118">
        <f>+[1]SME!$C$90/1000</f>
        <v>55.109905680000004</v>
      </c>
      <c r="L265" s="117"/>
      <c r="M265" s="126">
        <v>1.325</v>
      </c>
      <c r="N265" s="127">
        <v>1.0009999999999999</v>
      </c>
      <c r="O265" s="127">
        <f>+O266+O271+O272+O273+O274</f>
        <v>-5748.5</v>
      </c>
      <c r="P265" s="117"/>
      <c r="Q265" s="126">
        <v>0.10100000000000001</v>
      </c>
      <c r="R265" s="127">
        <v>0.11899999999999999</v>
      </c>
      <c r="S265" s="119">
        <v>11.2</v>
      </c>
      <c r="T265" s="117"/>
      <c r="U265" s="128">
        <f>+U266+U271+U272+U273+U274</f>
        <v>1.7583184694706258</v>
      </c>
      <c r="V265" s="127"/>
      <c r="W265" s="127">
        <f>+W266+W271+W272+W273+W274</f>
        <v>1.0695081650076332</v>
      </c>
      <c r="X265" s="117"/>
      <c r="Y265" s="131"/>
      <c r="Z265" s="127"/>
      <c r="AA265" s="127"/>
      <c r="AB265" s="117"/>
      <c r="AC265" s="122">
        <f>+'[1]Total P&amp;C'!$C$90/1000</f>
        <v>364.47485934999997</v>
      </c>
      <c r="AD265" s="130">
        <v>0.112</v>
      </c>
      <c r="AE265" s="130">
        <v>3.3000000000000002E-2</v>
      </c>
      <c r="AG265" s="215"/>
      <c r="AH265" s="115"/>
      <c r="AI265" s="151" t="s">
        <v>21</v>
      </c>
      <c r="AJ265" s="117"/>
      <c r="AK265" s="126">
        <v>0.245</v>
      </c>
      <c r="AL265" s="127">
        <v>0.111</v>
      </c>
      <c r="AM265" s="127">
        <v>0.91</v>
      </c>
      <c r="AN265" s="117"/>
      <c r="AO265" s="126">
        <v>0.245</v>
      </c>
      <c r="AP265" s="127">
        <v>0.111</v>
      </c>
      <c r="AQ265" s="127">
        <v>0.91</v>
      </c>
      <c r="AR265" s="117"/>
      <c r="AS265" s="126">
        <v>0.245</v>
      </c>
      <c r="AT265" s="127">
        <v>0.111</v>
      </c>
      <c r="AU265" s="127">
        <v>0.91</v>
      </c>
      <c r="AV265" s="117"/>
      <c r="AW265" s="131"/>
      <c r="AX265" s="127"/>
      <c r="AY265" s="127"/>
      <c r="AZ265" s="117"/>
      <c r="BA265" s="131"/>
      <c r="BB265" s="127"/>
      <c r="BC265" s="127"/>
      <c r="BD265" s="117"/>
      <c r="BE265" s="131"/>
      <c r="BF265" s="127"/>
      <c r="BG265" s="127"/>
      <c r="BH265" s="117"/>
      <c r="BI265" s="132">
        <v>0.67</v>
      </c>
      <c r="BJ265" s="130">
        <v>0.28000000000000003</v>
      </c>
      <c r="BK265" s="130">
        <v>0.17</v>
      </c>
      <c r="BM265" s="132">
        <v>0.67</v>
      </c>
      <c r="BN265" s="130">
        <v>0.28000000000000003</v>
      </c>
      <c r="BO265" s="130">
        <v>0.17</v>
      </c>
    </row>
    <row r="266" spans="1:67" x14ac:dyDescent="0.3">
      <c r="A266" s="215"/>
      <c r="B266" s="115"/>
      <c r="C266" s="151" t="s">
        <v>56</v>
      </c>
      <c r="D266" s="117"/>
      <c r="E266" s="118">
        <f>+[1]Retail!$C$90/1000</f>
        <v>3.3283639900000002</v>
      </c>
      <c r="F266" s="119">
        <v>5.2</v>
      </c>
      <c r="G266" s="127" t="e">
        <f>+G267+G268+G269+G270</f>
        <v>#DIV/0!</v>
      </c>
      <c r="H266" s="117"/>
      <c r="I266" s="121">
        <v>43.1</v>
      </c>
      <c r="J266" s="119">
        <v>24.1</v>
      </c>
      <c r="K266" s="119">
        <v>12.1</v>
      </c>
      <c r="L266" s="117"/>
      <c r="M266" s="120">
        <v>-3.2</v>
      </c>
      <c r="N266" s="119">
        <f>+[1]MidCorp!$C$91/1000</f>
        <v>260.56084752999999</v>
      </c>
      <c r="O266" s="127">
        <f>+O267+O268+O269+O270</f>
        <v>-4052</v>
      </c>
      <c r="P266" s="117"/>
      <c r="Q266" s="120">
        <v>36</v>
      </c>
      <c r="R266" s="119">
        <v>22.7</v>
      </c>
      <c r="S266" s="119">
        <v>11.2</v>
      </c>
      <c r="T266" s="117"/>
      <c r="U266" s="128">
        <f>+U267+U268+U269+U270</f>
        <v>0.8620293866420925</v>
      </c>
      <c r="V266" s="127"/>
      <c r="W266" s="127">
        <f>+W267+W268+W269+W270</f>
        <v>0.49976271167668496</v>
      </c>
      <c r="X266" s="117"/>
      <c r="Y266" s="131"/>
      <c r="Z266" s="127"/>
      <c r="AA266" s="127"/>
      <c r="AB266" s="117"/>
      <c r="AC266" s="122">
        <f>+'[1]Total P&amp;C'!$C$90/1000</f>
        <v>364.47485934999997</v>
      </c>
      <c r="AD266" s="123">
        <f>+'[1]Total P&amp;C'!$C$91/1000</f>
        <v>357.45420706000004</v>
      </c>
      <c r="AE266" s="123">
        <v>3</v>
      </c>
      <c r="AG266" s="215"/>
      <c r="AH266" s="115"/>
      <c r="AI266" s="151" t="s">
        <v>56</v>
      </c>
      <c r="AJ266" s="117"/>
      <c r="AK266" s="121">
        <v>-0.69999999999999896</v>
      </c>
      <c r="AL266" s="119">
        <v>31</v>
      </c>
      <c r="AM266" s="119">
        <v>66</v>
      </c>
      <c r="AN266" s="117"/>
      <c r="AO266" s="121">
        <v>-0.69999999999999896</v>
      </c>
      <c r="AP266" s="119">
        <v>31</v>
      </c>
      <c r="AQ266" s="119">
        <v>66</v>
      </c>
      <c r="AR266" s="117"/>
      <c r="AS266" s="121">
        <v>-0.69999999999999896</v>
      </c>
      <c r="AT266" s="119">
        <v>31</v>
      </c>
      <c r="AU266" s="119">
        <v>66</v>
      </c>
      <c r="AV266" s="117"/>
      <c r="AW266" s="131"/>
      <c r="AX266" s="127"/>
      <c r="AY266" s="127"/>
      <c r="AZ266" s="117"/>
      <c r="BA266" s="131"/>
      <c r="BB266" s="127"/>
      <c r="BC266" s="127"/>
      <c r="BD266" s="117"/>
      <c r="BE266" s="131"/>
      <c r="BF266" s="127"/>
      <c r="BG266" s="127"/>
      <c r="BH266" s="117"/>
      <c r="BI266" s="122">
        <v>77</v>
      </c>
      <c r="BJ266" s="123">
        <v>-101</v>
      </c>
      <c r="BK266" s="123">
        <v>-4</v>
      </c>
      <c r="BM266" s="122">
        <v>77</v>
      </c>
      <c r="BN266" s="123">
        <v>-101</v>
      </c>
      <c r="BO266" s="123">
        <v>-4</v>
      </c>
    </row>
    <row r="267" spans="1:67" ht="14.5" x14ac:dyDescent="0.3">
      <c r="A267" s="215"/>
      <c r="B267" s="115"/>
      <c r="C267" s="64" t="s">
        <v>23</v>
      </c>
      <c r="D267" s="117"/>
      <c r="E267" s="118">
        <f>+[1]Retail!$C$90/1000</f>
        <v>3.3283639900000002</v>
      </c>
      <c r="F267" s="119">
        <f>+[1]Retail!$C$91/1000</f>
        <v>4.0606202500000013</v>
      </c>
      <c r="G267" s="42" t="e">
        <f>-SUM([1]Retail!$O$92,[1]Retail!$R$92:$V$92,[1]Retail!$Y$92,[1]Retail!$AB$92,[1]Retail!$AU$92,[1]Retail!$AX$92,[1]Retail!$BA$92,[1]Retail!$BD$92)/1000/G264</f>
        <v>#DIV/0!</v>
      </c>
      <c r="H267" s="117"/>
      <c r="I267" s="118">
        <f>+[1]SME!$C$90/1000</f>
        <v>55.109905680000004</v>
      </c>
      <c r="J267" s="118">
        <f>+[1]SME!$C$90/1000</f>
        <v>55.109905680000004</v>
      </c>
      <c r="K267" s="118">
        <f>+[1]SME!$C$90/1000</f>
        <v>55.109905680000004</v>
      </c>
      <c r="L267" s="117"/>
      <c r="M267" s="121">
        <v>-17.600000000000001</v>
      </c>
      <c r="N267" s="119">
        <v>124.5</v>
      </c>
      <c r="O267" s="119">
        <v>56.5</v>
      </c>
      <c r="P267" s="117"/>
      <c r="Q267" s="121">
        <v>48.4</v>
      </c>
      <c r="R267" s="119">
        <v>22.9</v>
      </c>
      <c r="S267" s="119">
        <v>11.2</v>
      </c>
      <c r="T267" s="117"/>
      <c r="U267" s="73">
        <f>-SUM([1]Bancassurance!$O$90,[1]Bancassurance!$R$90:$V$90,[1]Bancassurance!$Y$90,[1]Bancassurance!$AB$90,[1]Bancassurance!$AU$90,[1]Bancassurance!$AX$90,[1]Bancassurance!$BA$90,[1]Bancassurance!$BD$90)/1000/U264</f>
        <v>0.78810184331861244</v>
      </c>
      <c r="V267" s="42"/>
      <c r="W267" s="42">
        <f>-SUM([1]Bancassurance!$O$92,[1]Bancassurance!$R$92:$V$92,[1]Bancassurance!$Y$92,[1]Bancassurance!$AB$92,[1]Bancassurance!$AU$92,[1]Bancassurance!$AX$92,[1]Bancassurance!$BA$92,[1]Bancassurance!$BD$92)/1000/W264</f>
        <v>0.36178617337367458</v>
      </c>
      <c r="X267" s="117"/>
      <c r="Y267" s="97"/>
      <c r="Z267" s="42"/>
      <c r="AA267" s="42"/>
      <c r="AB267" s="117"/>
      <c r="AC267" s="122">
        <f>+'[1]Total P&amp;C'!$C$90/1000</f>
        <v>364.47485934999997</v>
      </c>
      <c r="AD267" s="123">
        <v>12.4</v>
      </c>
      <c r="AE267" s="123">
        <v>4</v>
      </c>
      <c r="AG267" s="215"/>
      <c r="AH267" s="115"/>
      <c r="AI267" s="64" t="s">
        <v>23</v>
      </c>
      <c r="AJ267" s="117"/>
      <c r="AK267" s="121">
        <v>-12.8</v>
      </c>
      <c r="AL267" s="119">
        <v>41</v>
      </c>
      <c r="AM267" s="119">
        <v>88</v>
      </c>
      <c r="AN267" s="117"/>
      <c r="AO267" s="121">
        <v>-12.8</v>
      </c>
      <c r="AP267" s="119">
        <v>41</v>
      </c>
      <c r="AQ267" s="119">
        <v>88</v>
      </c>
      <c r="AR267" s="117"/>
      <c r="AS267" s="121">
        <v>-12.8</v>
      </c>
      <c r="AT267" s="119">
        <v>41</v>
      </c>
      <c r="AU267" s="119">
        <v>88</v>
      </c>
      <c r="AV267" s="117"/>
      <c r="AW267" s="97"/>
      <c r="AX267" s="42"/>
      <c r="AY267" s="42"/>
      <c r="AZ267" s="117"/>
      <c r="BA267" s="97"/>
      <c r="BB267" s="42"/>
      <c r="BC267" s="42"/>
      <c r="BD267" s="117"/>
      <c r="BE267" s="97"/>
      <c r="BF267" s="42"/>
      <c r="BG267" s="42"/>
      <c r="BH267" s="117"/>
      <c r="BI267" s="124">
        <v>55</v>
      </c>
      <c r="BJ267" s="123">
        <v>-213</v>
      </c>
      <c r="BK267" s="123">
        <v>-62</v>
      </c>
      <c r="BM267" s="124">
        <v>55</v>
      </c>
      <c r="BN267" s="123">
        <v>-213</v>
      </c>
      <c r="BO267" s="123">
        <v>-62</v>
      </c>
    </row>
    <row r="268" spans="1:67" ht="14.5" x14ac:dyDescent="0.3">
      <c r="A268" s="215"/>
      <c r="B268" s="115"/>
      <c r="C268" s="64" t="s">
        <v>24</v>
      </c>
      <c r="D268" s="134"/>
      <c r="E268" s="118">
        <f>+[1]Retail!$C$90/1000</f>
        <v>3.3283639900000002</v>
      </c>
      <c r="F268" s="119">
        <v>6.2</v>
      </c>
      <c r="G268" s="42" t="e">
        <f>-([1]Retail!$P$92+[1]Retail!$W$92+[1]Retail!$AV$92+[1]Retail!$AY$92)/1000/G264</f>
        <v>#DIV/0!</v>
      </c>
      <c r="H268" s="134"/>
      <c r="I268" s="121">
        <v>44.1</v>
      </c>
      <c r="J268" s="119">
        <v>25.1</v>
      </c>
      <c r="K268" s="119">
        <v>13.1</v>
      </c>
      <c r="L268" s="134"/>
      <c r="M268" s="126">
        <v>2.3250000000000002</v>
      </c>
      <c r="N268" s="127">
        <v>2.0009999999999999</v>
      </c>
      <c r="O268" s="119">
        <v>-32</v>
      </c>
      <c r="P268" s="134"/>
      <c r="Q268" s="126">
        <v>1.101</v>
      </c>
      <c r="R268" s="127">
        <v>1.119</v>
      </c>
      <c r="S268" s="119">
        <v>11.2</v>
      </c>
      <c r="T268" s="134"/>
      <c r="U268" s="74">
        <f>-([1]Bancassurance!$P$90+[1]Bancassurance!$W$90+[1]Bancassurance!$AV$90+[1]Bancassurance!$AY$90)/1000/U264</f>
        <v>0</v>
      </c>
      <c r="V268" s="42"/>
      <c r="W268" s="42">
        <f>-([1]Bancassurance!$P$92+[1]Bancassurance!$W$92+[1]Bancassurance!$AV$92+[1]Bancassurance!$AY$92)/1000/W264</f>
        <v>5.1830121150913677E-2</v>
      </c>
      <c r="X268" s="134"/>
      <c r="Y268" s="97"/>
      <c r="Z268" s="42"/>
      <c r="AA268" s="42"/>
      <c r="AB268" s="134"/>
      <c r="AC268" s="122">
        <f>+'[1]Total P&amp;C'!$C$90/1000</f>
        <v>364.47485934999997</v>
      </c>
      <c r="AD268" s="130">
        <v>1.1120000000000001</v>
      </c>
      <c r="AE268" s="130">
        <v>1.0329999999999999</v>
      </c>
      <c r="AG268" s="215"/>
      <c r="AH268" s="115"/>
      <c r="AI268" s="64" t="s">
        <v>24</v>
      </c>
      <c r="AJ268" s="134"/>
      <c r="AK268" s="126">
        <v>1.2450000000000001</v>
      </c>
      <c r="AL268" s="127">
        <v>1.111</v>
      </c>
      <c r="AM268" s="127">
        <v>1.91</v>
      </c>
      <c r="AN268" s="134"/>
      <c r="AO268" s="126">
        <v>1.2450000000000001</v>
      </c>
      <c r="AP268" s="127">
        <v>1.111</v>
      </c>
      <c r="AQ268" s="127">
        <v>1.91</v>
      </c>
      <c r="AR268" s="134"/>
      <c r="AS268" s="126">
        <v>1.2450000000000001</v>
      </c>
      <c r="AT268" s="127">
        <v>1.111</v>
      </c>
      <c r="AU268" s="127">
        <v>1.91</v>
      </c>
      <c r="AV268" s="134"/>
      <c r="AW268" s="97"/>
      <c r="AX268" s="42"/>
      <c r="AY268" s="42"/>
      <c r="AZ268" s="134"/>
      <c r="BA268" s="97"/>
      <c r="BB268" s="42"/>
      <c r="BC268" s="42"/>
      <c r="BD268" s="134"/>
      <c r="BE268" s="97"/>
      <c r="BF268" s="42"/>
      <c r="BG268" s="42"/>
      <c r="BH268" s="134"/>
      <c r="BI268" s="132">
        <v>1.67</v>
      </c>
      <c r="BJ268" s="130">
        <v>1.28</v>
      </c>
      <c r="BK268" s="130">
        <v>1.17</v>
      </c>
      <c r="BM268" s="132">
        <v>1.67</v>
      </c>
      <c r="BN268" s="130">
        <v>1.28</v>
      </c>
      <c r="BO268" s="130">
        <v>1.17</v>
      </c>
    </row>
    <row r="269" spans="1:67" ht="14.5" x14ac:dyDescent="0.3">
      <c r="A269" s="215"/>
      <c r="B269" s="115"/>
      <c r="C269" s="64" t="s">
        <v>25</v>
      </c>
      <c r="D269" s="134"/>
      <c r="E269" s="118">
        <f>+[1]Retail!$C$90/1000</f>
        <v>3.3283639900000002</v>
      </c>
      <c r="F269" s="119">
        <f>+[1]Retail!$C$91/1000</f>
        <v>4.0606202500000013</v>
      </c>
      <c r="G269" s="42" t="e">
        <f>-([1]Retail!$Q$92+[1]Retail!$X$92+[1]Retail!$AW$92+[1]Retail!$AZ$92)/1000/G264</f>
        <v>#DIV/0!</v>
      </c>
      <c r="H269" s="134"/>
      <c r="I269" s="118">
        <f>+[1]SME!$C$90/1000</f>
        <v>55.109905680000004</v>
      </c>
      <c r="J269" s="118">
        <f>+[1]SME!$C$90/1000</f>
        <v>55.109905680000004</v>
      </c>
      <c r="K269" s="118">
        <f>+[1]SME!$C$90/1000</f>
        <v>55.109905680000004</v>
      </c>
      <c r="L269" s="134"/>
      <c r="M269" s="120">
        <v>-32</v>
      </c>
      <c r="N269" s="119">
        <f>+[1]MidCorp!$C$91/1000</f>
        <v>260.56084752999999</v>
      </c>
      <c r="O269" s="127">
        <f t="shared" ref="O269" si="0">+O270+O275+O276+O277+O278</f>
        <v>-2380</v>
      </c>
      <c r="P269" s="134"/>
      <c r="Q269" s="120">
        <v>60.8</v>
      </c>
      <c r="R269" s="119">
        <v>23.1</v>
      </c>
      <c r="S269" s="119">
        <v>11.2</v>
      </c>
      <c r="T269" s="134"/>
      <c r="U269" s="74">
        <f>-([1]Bancassurance!$Q$90+[1]Bancassurance!$X$90+[1]Bancassurance!$AW$90+[1]Bancassurance!$AZ$90)/1000/U264</f>
        <v>0</v>
      </c>
      <c r="V269" s="42"/>
      <c r="W269" s="42">
        <f>-([1]Bancassurance!$Q$92+[1]Bancassurance!$X$92+[1]Bancassurance!$AW$92+[1]Bancassurance!$AZ$92)/1000/W264</f>
        <v>4.9605089560555482E-2</v>
      </c>
      <c r="X269" s="134"/>
      <c r="Y269" s="97"/>
      <c r="Z269" s="42"/>
      <c r="AA269" s="42"/>
      <c r="AB269" s="134"/>
      <c r="AC269" s="122">
        <f>+'[1]Total P&amp;C'!$C$90/1000</f>
        <v>364.47485934999997</v>
      </c>
      <c r="AD269" s="123">
        <f>+'[1]Total P&amp;C'!$C$91/1000</f>
        <v>357.45420706000004</v>
      </c>
      <c r="AE269" s="123">
        <v>5</v>
      </c>
      <c r="AG269" s="215"/>
      <c r="AH269" s="115"/>
      <c r="AI269" s="64" t="s">
        <v>25</v>
      </c>
      <c r="AJ269" s="134"/>
      <c r="AK269" s="121">
        <v>-24.9</v>
      </c>
      <c r="AL269" s="119">
        <v>51</v>
      </c>
      <c r="AM269" s="119">
        <v>110</v>
      </c>
      <c r="AN269" s="134"/>
      <c r="AO269" s="121">
        <v>-24.9</v>
      </c>
      <c r="AP269" s="119">
        <v>51</v>
      </c>
      <c r="AQ269" s="119">
        <v>110</v>
      </c>
      <c r="AR269" s="134"/>
      <c r="AS269" s="121">
        <v>-24.9</v>
      </c>
      <c r="AT269" s="119">
        <v>51</v>
      </c>
      <c r="AU269" s="119">
        <v>110</v>
      </c>
      <c r="AV269" s="134"/>
      <c r="AW269" s="97"/>
      <c r="AX269" s="42"/>
      <c r="AY269" s="42"/>
      <c r="AZ269" s="134"/>
      <c r="BA269" s="97"/>
      <c r="BB269" s="42"/>
      <c r="BC269" s="42"/>
      <c r="BD269" s="134"/>
      <c r="BE269" s="97"/>
      <c r="BF269" s="42"/>
      <c r="BG269" s="42"/>
      <c r="BH269" s="134"/>
      <c r="BI269" s="122">
        <v>33</v>
      </c>
      <c r="BJ269" s="123">
        <v>-325</v>
      </c>
      <c r="BK269" s="123">
        <v>-120</v>
      </c>
      <c r="BM269" s="122">
        <v>33</v>
      </c>
      <c r="BN269" s="123">
        <v>-325</v>
      </c>
      <c r="BO269" s="123">
        <v>-120</v>
      </c>
    </row>
    <row r="270" spans="1:67" ht="14.5" x14ac:dyDescent="0.3">
      <c r="A270" s="215"/>
      <c r="B270" s="115"/>
      <c r="C270" s="64" t="s">
        <v>53</v>
      </c>
      <c r="D270" s="134"/>
      <c r="E270" s="118">
        <f>+[1]Retail!$C$90/1000</f>
        <v>3.3283639900000002</v>
      </c>
      <c r="F270" s="119">
        <v>7.2</v>
      </c>
      <c r="G270" s="42" t="e">
        <f>-[1]Retail!$AT$92/1000/G264</f>
        <v>#DIV/0!</v>
      </c>
      <c r="H270" s="134"/>
      <c r="I270" s="121">
        <v>45.1</v>
      </c>
      <c r="J270" s="119">
        <v>26.1</v>
      </c>
      <c r="K270" s="119">
        <v>14.1</v>
      </c>
      <c r="L270" s="134"/>
      <c r="M270" s="121">
        <v>-46.4</v>
      </c>
      <c r="N270" s="119">
        <v>125.5</v>
      </c>
      <c r="O270" s="127">
        <f t="shared" ref="O270" si="1">+O271+O272+O273+O274</f>
        <v>-1696.5</v>
      </c>
      <c r="P270" s="134"/>
      <c r="Q270" s="121">
        <v>73.2</v>
      </c>
      <c r="R270" s="119">
        <v>23.3</v>
      </c>
      <c r="S270" s="119">
        <v>11.2</v>
      </c>
      <c r="T270" s="134"/>
      <c r="U270" s="73">
        <f>-[1]Bancassurance!$AT$90/1000/U264</f>
        <v>7.3927543323480005E-2</v>
      </c>
      <c r="V270" s="42"/>
      <c r="W270" s="42">
        <f>-[1]Bancassurance!$AT$92/1000/W264</f>
        <v>3.6541327591541189E-2</v>
      </c>
      <c r="X270" s="134"/>
      <c r="Y270" s="97"/>
      <c r="Z270" s="42"/>
      <c r="AA270" s="42"/>
      <c r="AB270" s="134"/>
      <c r="AC270" s="122">
        <f>+'[1]Total P&amp;C'!$C$90/1000</f>
        <v>364.47485934999997</v>
      </c>
      <c r="AD270" s="123">
        <v>13.4</v>
      </c>
      <c r="AE270" s="123">
        <v>6</v>
      </c>
      <c r="AG270" s="215"/>
      <c r="AH270" s="115"/>
      <c r="AI270" s="64" t="s">
        <v>53</v>
      </c>
      <c r="AJ270" s="134"/>
      <c r="AK270" s="121">
        <v>-37</v>
      </c>
      <c r="AL270" s="119">
        <v>61</v>
      </c>
      <c r="AM270" s="119">
        <v>132</v>
      </c>
      <c r="AN270" s="134"/>
      <c r="AO270" s="121">
        <v>-37</v>
      </c>
      <c r="AP270" s="119">
        <v>61</v>
      </c>
      <c r="AQ270" s="119">
        <v>132</v>
      </c>
      <c r="AR270" s="134"/>
      <c r="AS270" s="121">
        <v>-37</v>
      </c>
      <c r="AT270" s="119">
        <v>61</v>
      </c>
      <c r="AU270" s="119">
        <v>132</v>
      </c>
      <c r="AV270" s="134"/>
      <c r="AW270" s="97"/>
      <c r="AX270" s="42"/>
      <c r="AY270" s="42"/>
      <c r="AZ270" s="134"/>
      <c r="BA270" s="97"/>
      <c r="BB270" s="42"/>
      <c r="BC270" s="42"/>
      <c r="BD270" s="134"/>
      <c r="BE270" s="97"/>
      <c r="BF270" s="42"/>
      <c r="BG270" s="42"/>
      <c r="BH270" s="134"/>
      <c r="BI270" s="124">
        <v>11</v>
      </c>
      <c r="BJ270" s="123">
        <v>-437</v>
      </c>
      <c r="BK270" s="123">
        <v>-178</v>
      </c>
      <c r="BM270" s="124">
        <v>11</v>
      </c>
      <c r="BN270" s="123">
        <v>-437</v>
      </c>
      <c r="BO270" s="123">
        <v>-178</v>
      </c>
    </row>
    <row r="271" spans="1:67" x14ac:dyDescent="0.3">
      <c r="A271" s="215"/>
      <c r="B271" s="115"/>
      <c r="C271" s="151" t="s">
        <v>27</v>
      </c>
      <c r="D271" s="134"/>
      <c r="E271" s="118">
        <f>+[1]Retail!$C$90/1000</f>
        <v>3.3283639900000002</v>
      </c>
      <c r="F271" s="119">
        <f>+[1]Retail!$C$91/1000</f>
        <v>4.0606202500000013</v>
      </c>
      <c r="G271" s="127" t="e">
        <f>-([1]Retail!$Z$92+[1]Retail!$AA$92+[1]Retail!$BB$92+[1]Retail!$BC$92)/1000/G264</f>
        <v>#DIV/0!</v>
      </c>
      <c r="H271" s="134"/>
      <c r="I271" s="118">
        <f>+[1]SME!$C$90/1000</f>
        <v>55.109905680000004</v>
      </c>
      <c r="J271" s="118">
        <f>+[1]SME!$C$90/1000</f>
        <v>55.109905680000004</v>
      </c>
      <c r="K271" s="118">
        <f>+[1]SME!$C$90/1000</f>
        <v>55.109905680000004</v>
      </c>
      <c r="L271" s="134"/>
      <c r="M271" s="126">
        <v>3.3250000000000002</v>
      </c>
      <c r="N271" s="127">
        <v>3.0009999999999999</v>
      </c>
      <c r="O271" s="119">
        <v>-120.5</v>
      </c>
      <c r="P271" s="134"/>
      <c r="Q271" s="126">
        <v>2.101</v>
      </c>
      <c r="R271" s="127">
        <v>2.1190000000000002</v>
      </c>
      <c r="S271" s="119">
        <v>11.2</v>
      </c>
      <c r="T271" s="134"/>
      <c r="U271" s="128">
        <f>-([1]Bancassurance!$Z$90+[1]Bancassurance!$AA$90+[1]Bancassurance!$BB$90+[1]Bancassurance!$BC$90)/1000/U264</f>
        <v>-5.1104171767191661E-2</v>
      </c>
      <c r="V271" s="127"/>
      <c r="W271" s="127">
        <f>-([1]Bancassurance!$Z$92+[1]Bancassurance!$AA$92+[1]Bancassurance!$BB$92+[1]Bancassurance!$BC$92)/1000/W264</f>
        <v>-4.3423011863461161E-2</v>
      </c>
      <c r="X271" s="134"/>
      <c r="Y271" s="128"/>
      <c r="Z271" s="127"/>
      <c r="AA271" s="127"/>
      <c r="AB271" s="134"/>
      <c r="AC271" s="122">
        <f>+'[1]Total P&amp;C'!$C$90/1000</f>
        <v>364.47485934999997</v>
      </c>
      <c r="AD271" s="130">
        <v>2.1120000000000001</v>
      </c>
      <c r="AE271" s="130">
        <v>2.0329999999999999</v>
      </c>
      <c r="AG271" s="215"/>
      <c r="AH271" s="115"/>
      <c r="AI271" s="151" t="s">
        <v>27</v>
      </c>
      <c r="AJ271" s="134"/>
      <c r="AK271" s="126">
        <v>2.2450000000000001</v>
      </c>
      <c r="AL271" s="127">
        <v>2.1110000000000002</v>
      </c>
      <c r="AM271" s="127">
        <v>2.91</v>
      </c>
      <c r="AN271" s="134"/>
      <c r="AO271" s="126">
        <v>2.2450000000000001</v>
      </c>
      <c r="AP271" s="127">
        <v>2.1110000000000002</v>
      </c>
      <c r="AQ271" s="127">
        <v>2.91</v>
      </c>
      <c r="AR271" s="134"/>
      <c r="AS271" s="126">
        <v>2.2450000000000001</v>
      </c>
      <c r="AT271" s="127">
        <v>2.1110000000000002</v>
      </c>
      <c r="AU271" s="127">
        <v>2.91</v>
      </c>
      <c r="AV271" s="134"/>
      <c r="AW271" s="131"/>
      <c r="AX271" s="127"/>
      <c r="AY271" s="127"/>
      <c r="AZ271" s="134"/>
      <c r="BA271" s="131"/>
      <c r="BB271" s="127"/>
      <c r="BC271" s="127"/>
      <c r="BD271" s="134"/>
      <c r="BE271" s="131"/>
      <c r="BF271" s="127"/>
      <c r="BG271" s="127"/>
      <c r="BH271" s="134"/>
      <c r="BI271" s="132">
        <v>2.67</v>
      </c>
      <c r="BJ271" s="130">
        <v>2.2799999999999998</v>
      </c>
      <c r="BK271" s="130">
        <v>2.17</v>
      </c>
      <c r="BM271" s="132">
        <v>2.67</v>
      </c>
      <c r="BN271" s="130">
        <v>2.2799999999999998</v>
      </c>
      <c r="BO271" s="130">
        <v>2.17</v>
      </c>
    </row>
    <row r="272" spans="1:67" x14ac:dyDescent="0.3">
      <c r="A272" s="215"/>
      <c r="B272" s="115"/>
      <c r="C272" s="151" t="s">
        <v>57</v>
      </c>
      <c r="D272" s="134"/>
      <c r="E272" s="118">
        <f>+[1]Retail!$C$90/1000</f>
        <v>3.3283639900000002</v>
      </c>
      <c r="F272" s="119">
        <v>8.1999999999999993</v>
      </c>
      <c r="G272" s="127" t="e">
        <f>-SUM([1]Retail!$AC$92:$AI$92,[1]Retail!$BE$92:$BG$92)/1000/G264</f>
        <v>#DIV/0!</v>
      </c>
      <c r="H272" s="134"/>
      <c r="I272" s="121">
        <v>46.1</v>
      </c>
      <c r="J272" s="119">
        <v>27.1</v>
      </c>
      <c r="K272" s="119">
        <v>15.1</v>
      </c>
      <c r="L272" s="134"/>
      <c r="M272" s="120">
        <v>-60.8</v>
      </c>
      <c r="N272" s="119">
        <f>+[1]MidCorp!$C$91/1000</f>
        <v>260.56084752999999</v>
      </c>
      <c r="O272" s="119">
        <v>-209</v>
      </c>
      <c r="P272" s="134"/>
      <c r="Q272" s="120">
        <v>85.6</v>
      </c>
      <c r="R272" s="119">
        <v>23.5</v>
      </c>
      <c r="S272" s="119">
        <v>11.2</v>
      </c>
      <c r="T272" s="134"/>
      <c r="U272" s="126">
        <f>-SUM([1]Bancassurance!$AC$90:$AI$90,[1]Bancassurance!$BE$90:$BG$90)/1000/U264</f>
        <v>-0.65309178950000535</v>
      </c>
      <c r="V272" s="127"/>
      <c r="W272" s="127">
        <f>-SUM([1]Bancassurance!$AC$92:$AI$92,[1]Bancassurance!$BE$92:$BG$92)/1000/W264</f>
        <v>-1.2599230764021897E-2</v>
      </c>
      <c r="X272" s="134"/>
      <c r="Y272" s="131"/>
      <c r="Z272" s="127"/>
      <c r="AA272" s="127"/>
      <c r="AB272" s="134"/>
      <c r="AC272" s="122">
        <f>+'[1]Total P&amp;C'!$C$90/1000</f>
        <v>364.47485934999997</v>
      </c>
      <c r="AD272" s="123">
        <f>+'[1]Total P&amp;C'!$C$91/1000</f>
        <v>357.45420706000004</v>
      </c>
      <c r="AE272" s="123">
        <v>7</v>
      </c>
      <c r="AG272" s="215"/>
      <c r="AH272" s="115"/>
      <c r="AI272" s="151" t="s">
        <v>57</v>
      </c>
      <c r="AJ272" s="134"/>
      <c r="AK272" s="121">
        <v>-49.1</v>
      </c>
      <c r="AL272" s="119">
        <v>71</v>
      </c>
      <c r="AM272" s="119">
        <v>154</v>
      </c>
      <c r="AN272" s="134"/>
      <c r="AO272" s="121">
        <v>-49.1</v>
      </c>
      <c r="AP272" s="119">
        <v>71</v>
      </c>
      <c r="AQ272" s="119">
        <v>154</v>
      </c>
      <c r="AR272" s="134"/>
      <c r="AS272" s="121">
        <v>-49.1</v>
      </c>
      <c r="AT272" s="119">
        <v>71</v>
      </c>
      <c r="AU272" s="119">
        <v>154</v>
      </c>
      <c r="AV272" s="134"/>
      <c r="AW272" s="131"/>
      <c r="AX272" s="127"/>
      <c r="AY272" s="127"/>
      <c r="AZ272" s="134"/>
      <c r="BA272" s="131"/>
      <c r="BB272" s="127"/>
      <c r="BC272" s="127"/>
      <c r="BD272" s="134"/>
      <c r="BE272" s="131"/>
      <c r="BF272" s="127"/>
      <c r="BG272" s="127"/>
      <c r="BH272" s="134"/>
      <c r="BI272" s="122">
        <v>-11</v>
      </c>
      <c r="BJ272" s="123">
        <v>-549</v>
      </c>
      <c r="BK272" s="123">
        <v>-236</v>
      </c>
      <c r="BM272" s="122">
        <v>-11</v>
      </c>
      <c r="BN272" s="123">
        <v>-549</v>
      </c>
      <c r="BO272" s="123">
        <v>-236</v>
      </c>
    </row>
    <row r="273" spans="1:67" x14ac:dyDescent="0.3">
      <c r="A273" s="215"/>
      <c r="B273" s="115"/>
      <c r="C273" s="151" t="s">
        <v>29</v>
      </c>
      <c r="D273" s="134"/>
      <c r="E273" s="118">
        <f>+[1]Retail!$C$90/1000</f>
        <v>3.3283639900000002</v>
      </c>
      <c r="F273" s="119">
        <f>+[1]Retail!$C$91/1000</f>
        <v>4.0606202500000013</v>
      </c>
      <c r="G273" s="127" t="e">
        <f>-SUM([1]Retail!$AJ$92:$AK$92,[1]Retail!$BH$92:$BI$92)/1000/G264</f>
        <v>#DIV/0!</v>
      </c>
      <c r="H273" s="134"/>
      <c r="I273" s="118">
        <f>+[1]SME!$C$90/1000</f>
        <v>55.109905680000004</v>
      </c>
      <c r="J273" s="118">
        <f>+[1]SME!$C$90/1000</f>
        <v>55.109905680000004</v>
      </c>
      <c r="K273" s="118">
        <f>+[1]SME!$C$90/1000</f>
        <v>55.109905680000004</v>
      </c>
      <c r="L273" s="134"/>
      <c r="M273" s="121">
        <v>-75.2</v>
      </c>
      <c r="N273" s="119">
        <v>126.5</v>
      </c>
      <c r="O273" s="127">
        <f t="shared" ref="O273" si="2">+O274+O279+O280+O281+O282</f>
        <v>-683.5</v>
      </c>
      <c r="P273" s="134"/>
      <c r="Q273" s="121">
        <v>98</v>
      </c>
      <c r="R273" s="119">
        <v>23.7</v>
      </c>
      <c r="S273" s="119">
        <v>11.2</v>
      </c>
      <c r="T273" s="134"/>
      <c r="U273" s="128">
        <f>-SUM([1]Bancassurance!$AJ$90:$AK$90,[1]Bancassurance!$BH$90:$BI$90)/1000/U264</f>
        <v>8.2846191228714075E-2</v>
      </c>
      <c r="V273" s="127"/>
      <c r="W273" s="127">
        <f>-SUM([1]Bancassurance!$AJ$92:$AK$92,[1]Bancassurance!$BH$92:$BI$92)/1000/W264</f>
        <v>0</v>
      </c>
      <c r="X273" s="134"/>
      <c r="Y273" s="131"/>
      <c r="Z273" s="127"/>
      <c r="AA273" s="127"/>
      <c r="AB273" s="134"/>
      <c r="AC273" s="122">
        <f>+'[1]Total P&amp;C'!$C$90/1000</f>
        <v>364.47485934999997</v>
      </c>
      <c r="AD273" s="123">
        <v>14.4</v>
      </c>
      <c r="AE273" s="123">
        <v>8</v>
      </c>
      <c r="AG273" s="215"/>
      <c r="AH273" s="115"/>
      <c r="AI273" s="151" t="s">
        <v>29</v>
      </c>
      <c r="AJ273" s="134"/>
      <c r="AK273" s="121">
        <v>-61.2</v>
      </c>
      <c r="AL273" s="119">
        <v>81</v>
      </c>
      <c r="AM273" s="119">
        <v>176</v>
      </c>
      <c r="AN273" s="134"/>
      <c r="AO273" s="121">
        <v>-61.2</v>
      </c>
      <c r="AP273" s="119">
        <v>81</v>
      </c>
      <c r="AQ273" s="119">
        <v>176</v>
      </c>
      <c r="AR273" s="134"/>
      <c r="AS273" s="121">
        <v>-61.2</v>
      </c>
      <c r="AT273" s="119">
        <v>81</v>
      </c>
      <c r="AU273" s="119">
        <v>176</v>
      </c>
      <c r="AV273" s="134"/>
      <c r="AW273" s="131"/>
      <c r="AX273" s="127"/>
      <c r="AY273" s="127"/>
      <c r="AZ273" s="134"/>
      <c r="BA273" s="131"/>
      <c r="BB273" s="127"/>
      <c r="BC273" s="127"/>
      <c r="BD273" s="134"/>
      <c r="BE273" s="131"/>
      <c r="BF273" s="127"/>
      <c r="BG273" s="127"/>
      <c r="BH273" s="134"/>
      <c r="BI273" s="124">
        <v>-33</v>
      </c>
      <c r="BJ273" s="123">
        <v>-661</v>
      </c>
      <c r="BK273" s="123">
        <v>-294</v>
      </c>
      <c r="BM273" s="124">
        <v>-33</v>
      </c>
      <c r="BN273" s="123">
        <v>-661</v>
      </c>
      <c r="BO273" s="123">
        <v>-294</v>
      </c>
    </row>
    <row r="274" spans="1:67" x14ac:dyDescent="0.3">
      <c r="A274" s="215"/>
      <c r="B274" s="115"/>
      <c r="C274" s="151" t="s">
        <v>58</v>
      </c>
      <c r="D274" s="134"/>
      <c r="E274" s="118">
        <f>+[1]Retail!$C$90/1000</f>
        <v>3.3283639900000002</v>
      </c>
      <c r="F274" s="119">
        <v>9.1999999999999993</v>
      </c>
      <c r="G274" s="127" t="e">
        <f>+G275+G276+G277</f>
        <v>#DIV/0!</v>
      </c>
      <c r="H274" s="134"/>
      <c r="I274" s="121">
        <v>47.1</v>
      </c>
      <c r="J274" s="119">
        <v>28.1</v>
      </c>
      <c r="K274" s="119">
        <v>16.100000000000001</v>
      </c>
      <c r="L274" s="134"/>
      <c r="M274" s="126">
        <v>4.3250000000000002</v>
      </c>
      <c r="N274" s="127">
        <v>4.0010000000000003</v>
      </c>
      <c r="O274" s="127">
        <f t="shared" ref="O274" si="3">+O275+O276+O277+O278</f>
        <v>-683.5</v>
      </c>
      <c r="P274" s="134"/>
      <c r="Q274" s="126">
        <v>3.101</v>
      </c>
      <c r="R274" s="127">
        <v>3.1190000000000002</v>
      </c>
      <c r="S274" s="119">
        <v>11.2</v>
      </c>
      <c r="T274" s="134"/>
      <c r="U274" s="128">
        <f>+U275+U276+U277</f>
        <v>1.5176388528670162</v>
      </c>
      <c r="V274" s="127"/>
      <c r="W274" s="127">
        <f>+W275+W276+W277</f>
        <v>0.62576769595843129</v>
      </c>
      <c r="X274" s="134"/>
      <c r="Y274" s="131"/>
      <c r="Z274" s="127"/>
      <c r="AA274" s="127"/>
      <c r="AB274" s="134"/>
      <c r="AC274" s="122">
        <f>+'[1]Total P&amp;C'!$C$90/1000</f>
        <v>364.47485934999997</v>
      </c>
      <c r="AD274" s="130">
        <v>3.1120000000000001</v>
      </c>
      <c r="AE274" s="130">
        <v>3.0329999999999999</v>
      </c>
      <c r="AG274" s="215"/>
      <c r="AH274" s="115"/>
      <c r="AI274" s="151" t="s">
        <v>58</v>
      </c>
      <c r="AJ274" s="134"/>
      <c r="AK274" s="126">
        <v>3.2450000000000001</v>
      </c>
      <c r="AL274" s="127">
        <v>3.1110000000000002</v>
      </c>
      <c r="AM274" s="127">
        <v>3.91</v>
      </c>
      <c r="AN274" s="134"/>
      <c r="AO274" s="126">
        <v>3.2450000000000001</v>
      </c>
      <c r="AP274" s="127">
        <v>3.1110000000000002</v>
      </c>
      <c r="AQ274" s="127">
        <v>3.91</v>
      </c>
      <c r="AR274" s="134"/>
      <c r="AS274" s="126">
        <v>3.2450000000000001</v>
      </c>
      <c r="AT274" s="127">
        <v>3.1110000000000002</v>
      </c>
      <c r="AU274" s="127">
        <v>3.91</v>
      </c>
      <c r="AV274" s="134"/>
      <c r="AW274" s="131"/>
      <c r="AX274" s="127"/>
      <c r="AY274" s="127"/>
      <c r="AZ274" s="134"/>
      <c r="BA274" s="131"/>
      <c r="BB274" s="127"/>
      <c r="BC274" s="127"/>
      <c r="BD274" s="134"/>
      <c r="BE274" s="131"/>
      <c r="BF274" s="127"/>
      <c r="BG274" s="127"/>
      <c r="BH274" s="134"/>
      <c r="BI274" s="132">
        <v>3.67</v>
      </c>
      <c r="BJ274" s="130">
        <v>3.28</v>
      </c>
      <c r="BK274" s="130">
        <v>3.17</v>
      </c>
      <c r="BM274" s="132">
        <v>3.67</v>
      </c>
      <c r="BN274" s="130">
        <v>3.28</v>
      </c>
      <c r="BO274" s="130">
        <v>3.17</v>
      </c>
    </row>
    <row r="275" spans="1:67" ht="14.5" x14ac:dyDescent="0.3">
      <c r="A275" s="215"/>
      <c r="B275" s="115"/>
      <c r="C275" s="65" t="s">
        <v>59</v>
      </c>
      <c r="D275" s="135"/>
      <c r="E275" s="118">
        <f>+[1]Retail!$C$90/1000</f>
        <v>3.3283639900000002</v>
      </c>
      <c r="F275" s="119">
        <f>+[1]Retail!$C$91/1000</f>
        <v>4.0606202500000013</v>
      </c>
      <c r="G275" s="42" t="e">
        <f>-SUM([1]Retail!$AL$92:$AN$92,[1]Retail!$BJ$92)/1000/G264</f>
        <v>#DIV/0!</v>
      </c>
      <c r="H275" s="135"/>
      <c r="I275" s="118">
        <f>+[1]SME!$C$90/1000</f>
        <v>55.109905680000004</v>
      </c>
      <c r="J275" s="118">
        <f>+[1]SME!$C$90/1000</f>
        <v>55.109905680000004</v>
      </c>
      <c r="K275" s="118">
        <f>+[1]SME!$C$90/1000</f>
        <v>55.109905680000004</v>
      </c>
      <c r="L275" s="135"/>
      <c r="M275" s="120">
        <v>-89.6</v>
      </c>
      <c r="N275" s="119">
        <f>+[1]MidCorp!$C$91/1000</f>
        <v>260.56084752999999</v>
      </c>
      <c r="O275" s="119">
        <v>-297.5</v>
      </c>
      <c r="P275" s="135"/>
      <c r="Q275" s="120">
        <v>110.4</v>
      </c>
      <c r="R275" s="119">
        <v>23.9</v>
      </c>
      <c r="S275" s="119">
        <v>11.2</v>
      </c>
      <c r="T275" s="135"/>
      <c r="U275" s="74">
        <f>-SUM([1]Bancassurance!$AL$90:$AN$90,[1]Bancassurance!$BJ$90)/1000/U264</f>
        <v>0.14759385756722238</v>
      </c>
      <c r="V275" s="42"/>
      <c r="W275" s="42">
        <f>-SUM([1]Bancassurance!$AL$92:$AN$92,[1]Bancassurance!$BJ$92)/1000/W264</f>
        <v>0.14999999999999997</v>
      </c>
      <c r="X275" s="135"/>
      <c r="Y275" s="97"/>
      <c r="Z275" s="42"/>
      <c r="AA275" s="42"/>
      <c r="AB275" s="135"/>
      <c r="AC275" s="122">
        <f>+'[1]Total P&amp;C'!$C$90/1000</f>
        <v>364.47485934999997</v>
      </c>
      <c r="AD275" s="123">
        <f>+'[1]Total P&amp;C'!$C$91/1000</f>
        <v>357.45420706000004</v>
      </c>
      <c r="AE275" s="123">
        <v>9</v>
      </c>
      <c r="AG275" s="215"/>
      <c r="AH275" s="115"/>
      <c r="AI275" s="65" t="s">
        <v>59</v>
      </c>
      <c r="AJ275" s="135"/>
      <c r="AK275" s="121">
        <v>-73.3</v>
      </c>
      <c r="AL275" s="119">
        <v>91</v>
      </c>
      <c r="AM275" s="119">
        <v>198</v>
      </c>
      <c r="AN275" s="135"/>
      <c r="AO275" s="121">
        <v>-73.3</v>
      </c>
      <c r="AP275" s="119">
        <v>91</v>
      </c>
      <c r="AQ275" s="119">
        <v>198</v>
      </c>
      <c r="AR275" s="135"/>
      <c r="AS275" s="121">
        <v>-73.3</v>
      </c>
      <c r="AT275" s="119">
        <v>91</v>
      </c>
      <c r="AU275" s="119">
        <v>198</v>
      </c>
      <c r="AV275" s="135"/>
      <c r="AW275" s="97"/>
      <c r="AX275" s="42"/>
      <c r="AY275" s="42"/>
      <c r="AZ275" s="135"/>
      <c r="BA275" s="97"/>
      <c r="BB275" s="42"/>
      <c r="BC275" s="42"/>
      <c r="BD275" s="135"/>
      <c r="BE275" s="97"/>
      <c r="BF275" s="42"/>
      <c r="BG275" s="42"/>
      <c r="BH275" s="135"/>
      <c r="BI275" s="122">
        <v>-55</v>
      </c>
      <c r="BJ275" s="123">
        <v>-773</v>
      </c>
      <c r="BK275" s="123">
        <v>-352</v>
      </c>
      <c r="BM275" s="122">
        <v>-55</v>
      </c>
      <c r="BN275" s="123">
        <v>-773</v>
      </c>
      <c r="BO275" s="123">
        <v>-352</v>
      </c>
    </row>
    <row r="276" spans="1:67" ht="14.5" x14ac:dyDescent="0.3">
      <c r="A276" s="215"/>
      <c r="B276" s="115"/>
      <c r="C276" s="65" t="s">
        <v>60</v>
      </c>
      <c r="D276" s="135"/>
      <c r="E276" s="118">
        <f>+[1]Retail!$C$90/1000</f>
        <v>3.3283639900000002</v>
      </c>
      <c r="F276" s="119">
        <v>10.199999999999999</v>
      </c>
      <c r="G276" s="42" t="e">
        <f>-SUM([1]Retail!$AO$92:$AP$92)/1000/G264</f>
        <v>#DIV/0!</v>
      </c>
      <c r="H276" s="135"/>
      <c r="I276" s="121">
        <v>48.1</v>
      </c>
      <c r="J276" s="119">
        <v>29.1</v>
      </c>
      <c r="K276" s="119">
        <v>17.100000000000001</v>
      </c>
      <c r="L276" s="135"/>
      <c r="M276" s="121">
        <v>-104</v>
      </c>
      <c r="N276" s="119">
        <v>127.5</v>
      </c>
      <c r="O276" s="119">
        <v>-386</v>
      </c>
      <c r="P276" s="135"/>
      <c r="Q276" s="121">
        <v>122.8</v>
      </c>
      <c r="R276" s="119">
        <v>24.1</v>
      </c>
      <c r="S276" s="119">
        <v>11.2</v>
      </c>
      <c r="T276" s="135"/>
      <c r="U276" s="73">
        <f>-SUM([1]Bancassurance!$AO$90:$AP$90)/1000/U264</f>
        <v>0.33358561550791843</v>
      </c>
      <c r="V276" s="42"/>
      <c r="W276" s="42">
        <f>-SUM([1]Bancassurance!$AO$92:$AP$92)/1000/W264</f>
        <v>0.1510730052109614</v>
      </c>
      <c r="X276" s="135"/>
      <c r="Y276" s="97"/>
      <c r="Z276" s="42"/>
      <c r="AA276" s="42"/>
      <c r="AB276" s="135"/>
      <c r="AC276" s="122">
        <f>+'[1]Total P&amp;C'!$C$90/1000</f>
        <v>364.47485934999997</v>
      </c>
      <c r="AD276" s="123">
        <v>15.4</v>
      </c>
      <c r="AE276" s="123">
        <v>10</v>
      </c>
      <c r="AG276" s="215"/>
      <c r="AH276" s="115"/>
      <c r="AI276" s="65" t="s">
        <v>60</v>
      </c>
      <c r="AJ276" s="135"/>
      <c r="AK276" s="121">
        <v>-85.4</v>
      </c>
      <c r="AL276" s="119">
        <v>101</v>
      </c>
      <c r="AM276" s="119">
        <v>220</v>
      </c>
      <c r="AN276" s="135"/>
      <c r="AO276" s="121">
        <v>-85.4</v>
      </c>
      <c r="AP276" s="119">
        <v>101</v>
      </c>
      <c r="AQ276" s="119">
        <v>220</v>
      </c>
      <c r="AR276" s="135"/>
      <c r="AS276" s="121">
        <v>-85.4</v>
      </c>
      <c r="AT276" s="119">
        <v>101</v>
      </c>
      <c r="AU276" s="119">
        <v>220</v>
      </c>
      <c r="AV276" s="135"/>
      <c r="AW276" s="97"/>
      <c r="AX276" s="42"/>
      <c r="AY276" s="42"/>
      <c r="AZ276" s="135"/>
      <c r="BA276" s="97"/>
      <c r="BB276" s="42"/>
      <c r="BC276" s="42"/>
      <c r="BD276" s="135"/>
      <c r="BE276" s="97"/>
      <c r="BF276" s="42"/>
      <c r="BG276" s="42"/>
      <c r="BH276" s="135"/>
      <c r="BI276" s="124">
        <v>-77</v>
      </c>
      <c r="BJ276" s="123">
        <v>-885</v>
      </c>
      <c r="BK276" s="123">
        <v>-410</v>
      </c>
      <c r="BM276" s="124">
        <v>-77</v>
      </c>
      <c r="BN276" s="123">
        <v>-885</v>
      </c>
      <c r="BO276" s="123">
        <v>-410</v>
      </c>
    </row>
    <row r="277" spans="1:67" ht="14.5" x14ac:dyDescent="0.3">
      <c r="A277" s="215"/>
      <c r="B277" s="115"/>
      <c r="C277" s="65" t="s">
        <v>61</v>
      </c>
      <c r="D277" s="135"/>
      <c r="E277" s="118">
        <f>+[1]Retail!$C$90/1000</f>
        <v>3.3283639900000002</v>
      </c>
      <c r="F277" s="119">
        <f>+[1]Retail!$C$91/1000</f>
        <v>4.0606202500000013</v>
      </c>
      <c r="G277" s="42" t="e">
        <f>-SUM([1]Retail!$AQ$92:$AR$92)/1000/G264</f>
        <v>#DIV/0!</v>
      </c>
      <c r="H277" s="135"/>
      <c r="I277" s="118">
        <f>+[1]SME!$C$90/1000</f>
        <v>55.109905680000004</v>
      </c>
      <c r="J277" s="118">
        <f>+[1]SME!$C$90/1000</f>
        <v>55.109905680000004</v>
      </c>
      <c r="K277" s="118">
        <f>+[1]SME!$C$90/1000</f>
        <v>55.109905680000004</v>
      </c>
      <c r="L277" s="135"/>
      <c r="M277" s="126">
        <v>5.3250000000000002</v>
      </c>
      <c r="N277" s="127">
        <v>5.0010000000000003</v>
      </c>
      <c r="O277" s="127">
        <f t="shared" ref="O277" si="4">+O278+O283+O284+O285+O286</f>
        <v>0</v>
      </c>
      <c r="P277" s="135"/>
      <c r="Q277" s="126">
        <v>4.101</v>
      </c>
      <c r="R277" s="127">
        <v>4.1189999999999998</v>
      </c>
      <c r="S277" s="119">
        <v>11.2</v>
      </c>
      <c r="T277" s="135"/>
      <c r="U277" s="73">
        <f>-SUM([1]Bancassurance!$AQ$90:$AR$90)/1000/U264</f>
        <v>1.0364593797918753</v>
      </c>
      <c r="V277" s="42"/>
      <c r="W277" s="42">
        <f>-SUM([1]Bancassurance!$AQ$92:$AR$92)/1000/W264</f>
        <v>0.32469469074746998</v>
      </c>
      <c r="X277" s="135"/>
      <c r="Y277" s="97"/>
      <c r="Z277" s="42"/>
      <c r="AA277" s="42"/>
      <c r="AB277" s="135"/>
      <c r="AC277" s="122">
        <f>+'[1]Total P&amp;C'!$C$90/1000</f>
        <v>364.47485934999997</v>
      </c>
      <c r="AD277" s="130">
        <v>4.1120000000000001</v>
      </c>
      <c r="AE277" s="130">
        <v>4.0330000000000004</v>
      </c>
      <c r="AG277" s="215"/>
      <c r="AH277" s="115"/>
      <c r="AI277" s="65" t="s">
        <v>61</v>
      </c>
      <c r="AJ277" s="135"/>
      <c r="AK277" s="126">
        <v>4.2450000000000001</v>
      </c>
      <c r="AL277" s="127">
        <v>4.1109999999999998</v>
      </c>
      <c r="AM277" s="127">
        <v>4.91</v>
      </c>
      <c r="AN277" s="135"/>
      <c r="AO277" s="126">
        <v>4.2450000000000001</v>
      </c>
      <c r="AP277" s="127">
        <v>4.1109999999999998</v>
      </c>
      <c r="AQ277" s="127">
        <v>4.91</v>
      </c>
      <c r="AR277" s="135"/>
      <c r="AS277" s="126">
        <v>4.2450000000000001</v>
      </c>
      <c r="AT277" s="127">
        <v>4.1109999999999998</v>
      </c>
      <c r="AU277" s="127">
        <v>4.91</v>
      </c>
      <c r="AV277" s="135"/>
      <c r="AW277" s="97"/>
      <c r="AX277" s="42"/>
      <c r="AY277" s="42"/>
      <c r="AZ277" s="135"/>
      <c r="BA277" s="97"/>
      <c r="BB277" s="42"/>
      <c r="BC277" s="42"/>
      <c r="BD277" s="135"/>
      <c r="BE277" s="97"/>
      <c r="BF277" s="42"/>
      <c r="BG277" s="42"/>
      <c r="BH277" s="135"/>
      <c r="BI277" s="132">
        <v>4.67</v>
      </c>
      <c r="BJ277" s="130">
        <v>4.28</v>
      </c>
      <c r="BK277" s="130">
        <v>4.17</v>
      </c>
      <c r="BM277" s="132">
        <v>4.67</v>
      </c>
      <c r="BN277" s="130">
        <v>4.28</v>
      </c>
      <c r="BO277" s="130">
        <v>4.17</v>
      </c>
    </row>
    <row r="278" spans="1:67" x14ac:dyDescent="0.3">
      <c r="A278" s="215"/>
      <c r="B278" s="115"/>
      <c r="C278" s="151" t="s">
        <v>34</v>
      </c>
      <c r="D278" s="117"/>
      <c r="E278" s="118">
        <f>+[1]Retail!$C$90/1000</f>
        <v>3.3283639900000002</v>
      </c>
      <c r="F278" s="119">
        <v>11.2</v>
      </c>
      <c r="G278" s="119">
        <f>+[1]Retail!$BK$92/1000</f>
        <v>-0.1493369177976652</v>
      </c>
      <c r="H278" s="117"/>
      <c r="I278" s="121">
        <v>49.1</v>
      </c>
      <c r="J278" s="119">
        <v>30.1</v>
      </c>
      <c r="K278" s="119">
        <v>18.100000000000001</v>
      </c>
      <c r="L278" s="117"/>
      <c r="M278" s="120">
        <v>-118.4</v>
      </c>
      <c r="N278" s="119">
        <f>+[1]MidCorp!$C$91/1000</f>
        <v>260.56084752999999</v>
      </c>
      <c r="O278" s="127">
        <f t="shared" ref="O278" si="5">+O279+O280+O281+O282</f>
        <v>0</v>
      </c>
      <c r="P278" s="117"/>
      <c r="Q278" s="120">
        <v>135.19999999999999</v>
      </c>
      <c r="R278" s="119">
        <v>24.3</v>
      </c>
      <c r="S278" s="119">
        <v>11.2</v>
      </c>
      <c r="T278" s="117"/>
      <c r="U278" s="120">
        <f>+[1]Bancassurance!$BK$90/1000</f>
        <v>-0.34439850000000027</v>
      </c>
      <c r="V278" s="119">
        <f>+[1]Bancassurance!$BK$91/1000</f>
        <v>-0.91491610000000012</v>
      </c>
      <c r="W278" s="119">
        <f>+[1]Bancassurance!$BK$92/1000</f>
        <v>-7.3074858364447187E-2</v>
      </c>
      <c r="X278" s="117"/>
      <c r="Y278" s="118">
        <f>+[1]Specials!$BK$90/1000</f>
        <v>0.64328092999999997</v>
      </c>
      <c r="Z278" s="119">
        <f>+[1]Specials!$BK$91/1000</f>
        <v>0.56014069999999716</v>
      </c>
      <c r="AA278" s="119">
        <f>+[1]Specials!$BK$92/1000</f>
        <v>0</v>
      </c>
      <c r="AB278" s="117"/>
      <c r="AC278" s="122">
        <f>+'[1]Total P&amp;C'!$C$90/1000</f>
        <v>364.47485934999997</v>
      </c>
      <c r="AD278" s="123">
        <f>+'[1]Total P&amp;C'!$C$91/1000</f>
        <v>357.45420706000004</v>
      </c>
      <c r="AE278" s="123">
        <v>11</v>
      </c>
      <c r="AG278" s="215"/>
      <c r="AH278" s="115"/>
      <c r="AI278" s="151" t="s">
        <v>34</v>
      </c>
      <c r="AJ278" s="117"/>
      <c r="AK278" s="121">
        <v>-97.5</v>
      </c>
      <c r="AL278" s="119">
        <v>111</v>
      </c>
      <c r="AM278" s="119">
        <v>242</v>
      </c>
      <c r="AN278" s="117"/>
      <c r="AO278" s="121">
        <v>-97.5</v>
      </c>
      <c r="AP278" s="119">
        <v>111</v>
      </c>
      <c r="AQ278" s="119">
        <v>242</v>
      </c>
      <c r="AR278" s="117"/>
      <c r="AS278" s="121">
        <v>-97.5</v>
      </c>
      <c r="AT278" s="119">
        <v>111</v>
      </c>
      <c r="AU278" s="119">
        <v>242</v>
      </c>
      <c r="AV278" s="117"/>
      <c r="AW278" s="121"/>
      <c r="AX278" s="119"/>
      <c r="AY278" s="119"/>
      <c r="AZ278" s="117"/>
      <c r="BA278" s="121"/>
      <c r="BB278" s="119"/>
      <c r="BC278" s="119"/>
      <c r="BD278" s="117"/>
      <c r="BE278" s="121"/>
      <c r="BF278" s="119"/>
      <c r="BG278" s="119"/>
      <c r="BH278" s="117"/>
      <c r="BI278" s="122">
        <v>-99</v>
      </c>
      <c r="BJ278" s="123">
        <f>+'[2]Total P&amp;C'!$BK$91/1000</f>
        <v>6.6810850899999572</v>
      </c>
      <c r="BK278" s="123">
        <v>-468</v>
      </c>
      <c r="BM278" s="122">
        <v>-99</v>
      </c>
      <c r="BN278" s="123">
        <f>+'[2]Total P&amp;C'!$BK$91/1000</f>
        <v>6.6810850899999572</v>
      </c>
      <c r="BO278" s="123">
        <v>-468</v>
      </c>
    </row>
    <row r="279" spans="1:67" ht="17.5" x14ac:dyDescent="0.35">
      <c r="AG279" s="153"/>
    </row>
    <row r="280" spans="1:67" x14ac:dyDescent="0.3">
      <c r="A280" s="213" t="s">
        <v>48</v>
      </c>
      <c r="B280" s="115"/>
      <c r="C280" s="136" t="s">
        <v>19</v>
      </c>
      <c r="D280" s="117"/>
      <c r="E280" s="137"/>
      <c r="F280" s="138"/>
      <c r="G280" s="138"/>
      <c r="H280" s="117"/>
      <c r="I280" s="141">
        <v>43.1</v>
      </c>
      <c r="J280" s="138">
        <v>121</v>
      </c>
      <c r="K280" s="138">
        <v>12</v>
      </c>
      <c r="L280" s="117"/>
      <c r="M280" s="137"/>
      <c r="N280" s="138"/>
      <c r="O280" s="138"/>
      <c r="P280" s="117"/>
      <c r="Q280" s="141" t="s">
        <v>198</v>
      </c>
      <c r="R280" s="138">
        <f>+[1]MGA!$C$70/1000</f>
        <v>0</v>
      </c>
      <c r="S280" s="138" t="s">
        <v>199</v>
      </c>
      <c r="T280" s="117"/>
      <c r="U280" s="137">
        <f>+[1]Bancassurance!$C$69/1000</f>
        <v>0</v>
      </c>
      <c r="V280" s="138">
        <f>+[1]Bancassurance!$C$70/1000</f>
        <v>0</v>
      </c>
      <c r="W280" s="138">
        <f>+[1]Bancassurance!$C$71/1000</f>
        <v>0.13463</v>
      </c>
      <c r="X280" s="117"/>
      <c r="Y280" s="137">
        <f>+[1]Specials!$C$69/1000</f>
        <v>0</v>
      </c>
      <c r="Z280" s="138">
        <f>+[1]Specials!$C$70/1000</f>
        <v>0</v>
      </c>
      <c r="AA280" s="138">
        <f>+[1]Specials!$C$71/1000</f>
        <v>0</v>
      </c>
      <c r="AB280" s="117"/>
      <c r="AC280" s="190">
        <v>23</v>
      </c>
      <c r="AD280" s="190">
        <v>23</v>
      </c>
      <c r="AE280" s="190">
        <v>23</v>
      </c>
      <c r="AG280" s="213" t="s">
        <v>48</v>
      </c>
      <c r="AH280" s="115"/>
      <c r="AI280" s="136" t="s">
        <v>19</v>
      </c>
      <c r="AJ280" s="117"/>
      <c r="AK280" s="137"/>
      <c r="AL280" s="138"/>
      <c r="AM280" s="138"/>
      <c r="AN280" s="117"/>
      <c r="AO280" s="137"/>
      <c r="AP280" s="138"/>
      <c r="AQ280" s="138"/>
      <c r="AR280" s="117"/>
      <c r="AS280" s="137"/>
      <c r="AT280" s="138"/>
      <c r="AU280" s="138"/>
      <c r="AV280" s="117"/>
      <c r="AW280" s="137"/>
      <c r="AX280" s="138"/>
      <c r="AY280" s="138"/>
      <c r="AZ280" s="117"/>
      <c r="BA280" s="137"/>
      <c r="BB280" s="138"/>
      <c r="BC280" s="138"/>
      <c r="BD280" s="117"/>
      <c r="BE280" s="137"/>
      <c r="BF280" s="138"/>
      <c r="BG280" s="138"/>
      <c r="BH280" s="117"/>
      <c r="BI280" s="139"/>
      <c r="BJ280" s="140"/>
      <c r="BK280" s="140"/>
      <c r="BM280" s="190">
        <v>23</v>
      </c>
      <c r="BN280" s="190">
        <v>23</v>
      </c>
      <c r="BO280" s="190">
        <v>23</v>
      </c>
    </row>
    <row r="281" spans="1:67" x14ac:dyDescent="0.3">
      <c r="A281" s="213"/>
      <c r="B281" s="115"/>
      <c r="C281" s="136" t="s">
        <v>55</v>
      </c>
      <c r="D281" s="117"/>
      <c r="E281" s="137"/>
      <c r="F281" s="138"/>
      <c r="G281" s="138"/>
      <c r="H281" s="117"/>
      <c r="I281" s="141">
        <v>33.5</v>
      </c>
      <c r="J281" s="138">
        <v>31</v>
      </c>
      <c r="K281" s="138">
        <v>33.1</v>
      </c>
      <c r="L281" s="117"/>
      <c r="M281" s="137"/>
      <c r="N281" s="138"/>
      <c r="O281" s="138"/>
      <c r="P281" s="117"/>
      <c r="Q281" s="137">
        <v>0.1</v>
      </c>
      <c r="R281" s="138">
        <f>+[1]MGA!$N$70/1000</f>
        <v>0</v>
      </c>
      <c r="S281" s="138">
        <v>0.7</v>
      </c>
      <c r="T281" s="117"/>
      <c r="U281" s="137">
        <f>+[1]Bancassurance!$N$69/1000</f>
        <v>0</v>
      </c>
      <c r="V281" s="138">
        <f>+[1]Bancassurance!$N$70/1000</f>
        <v>0</v>
      </c>
      <c r="W281" s="138">
        <f>+[1]Bancassurance!$N$71/1000</f>
        <v>0.31973437500000002</v>
      </c>
      <c r="X281" s="117"/>
      <c r="Y281" s="137">
        <f>+[1]Specials!$N$69/1000</f>
        <v>0</v>
      </c>
      <c r="Z281" s="138">
        <f>+[1]Specials!$N$70/1000</f>
        <v>0</v>
      </c>
      <c r="AA281" s="138">
        <f>+[1]Specials!$N$71/1000</f>
        <v>0</v>
      </c>
      <c r="AB281" s="117"/>
      <c r="AC281" s="190">
        <v>23</v>
      </c>
      <c r="AD281" s="190">
        <v>23</v>
      </c>
      <c r="AE281" s="190">
        <v>23</v>
      </c>
      <c r="AG281" s="213"/>
      <c r="AH281" s="115"/>
      <c r="AI281" s="136" t="s">
        <v>55</v>
      </c>
      <c r="AJ281" s="117"/>
      <c r="AK281" s="137"/>
      <c r="AL281" s="138"/>
      <c r="AM281" s="138"/>
      <c r="AN281" s="117"/>
      <c r="AO281" s="137"/>
      <c r="AP281" s="138"/>
      <c r="AQ281" s="138"/>
      <c r="AR281" s="117"/>
      <c r="AS281" s="137"/>
      <c r="AT281" s="138"/>
      <c r="AU281" s="138"/>
      <c r="AV281" s="117"/>
      <c r="AW281" s="137"/>
      <c r="AX281" s="138"/>
      <c r="AY281" s="138"/>
      <c r="AZ281" s="117"/>
      <c r="BA281" s="137"/>
      <c r="BB281" s="138"/>
      <c r="BC281" s="138"/>
      <c r="BD281" s="117"/>
      <c r="BE281" s="137"/>
      <c r="BF281" s="138"/>
      <c r="BG281" s="138"/>
      <c r="BH281" s="117"/>
      <c r="BI281" s="139"/>
      <c r="BJ281" s="140"/>
      <c r="BK281" s="140"/>
      <c r="BM281" s="190">
        <v>23</v>
      </c>
      <c r="BN281" s="190">
        <v>23</v>
      </c>
      <c r="BO281" s="190">
        <v>23</v>
      </c>
    </row>
    <row r="282" spans="1:67" x14ac:dyDescent="0.3">
      <c r="A282" s="213"/>
      <c r="B282" s="115"/>
      <c r="C282" s="136" t="s">
        <v>21</v>
      </c>
      <c r="D282" s="117"/>
      <c r="E282" s="142"/>
      <c r="F282" s="143"/>
      <c r="G282" s="143"/>
      <c r="H282" s="117"/>
      <c r="I282" s="146">
        <v>0.34</v>
      </c>
      <c r="J282" s="143">
        <v>0.19</v>
      </c>
      <c r="K282" s="143">
        <v>0.43</v>
      </c>
      <c r="L282" s="117"/>
      <c r="M282" s="142"/>
      <c r="N282" s="143"/>
      <c r="O282" s="143"/>
      <c r="P282" s="117"/>
      <c r="Q282" s="146"/>
      <c r="R282" s="143"/>
      <c r="S282" s="138" t="s">
        <v>200</v>
      </c>
      <c r="T282" s="117"/>
      <c r="U282" s="146"/>
      <c r="V282" s="143"/>
      <c r="W282" s="143">
        <f>+W283+W288+W289+W290+W291</f>
        <v>1.2363562663428054</v>
      </c>
      <c r="X282" s="117"/>
      <c r="Y282" s="142"/>
      <c r="Z282" s="143"/>
      <c r="AA282" s="143"/>
      <c r="AB282" s="117"/>
      <c r="AC282" s="190">
        <v>23</v>
      </c>
      <c r="AD282" s="190">
        <v>23</v>
      </c>
      <c r="AE282" s="190">
        <v>23</v>
      </c>
      <c r="AG282" s="213"/>
      <c r="AH282" s="115"/>
      <c r="AI282" s="136" t="s">
        <v>21</v>
      </c>
      <c r="AJ282" s="117"/>
      <c r="AK282" s="142"/>
      <c r="AL282" s="143"/>
      <c r="AM282" s="143"/>
      <c r="AN282" s="117"/>
      <c r="AO282" s="142"/>
      <c r="AP282" s="143"/>
      <c r="AQ282" s="143"/>
      <c r="AR282" s="117"/>
      <c r="AS282" s="142"/>
      <c r="AT282" s="143"/>
      <c r="AU282" s="143"/>
      <c r="AV282" s="117"/>
      <c r="AW282" s="142"/>
      <c r="AX282" s="143"/>
      <c r="AY282" s="143"/>
      <c r="AZ282" s="117"/>
      <c r="BA282" s="142"/>
      <c r="BB282" s="143"/>
      <c r="BC282" s="143"/>
      <c r="BD282" s="117"/>
      <c r="BE282" s="142"/>
      <c r="BF282" s="143"/>
      <c r="BG282" s="143"/>
      <c r="BH282" s="117"/>
      <c r="BI282" s="144"/>
      <c r="BJ282" s="145"/>
      <c r="BK282" s="145"/>
      <c r="BM282" s="190">
        <v>23</v>
      </c>
      <c r="BN282" s="190">
        <v>23</v>
      </c>
      <c r="BO282" s="190">
        <v>23</v>
      </c>
    </row>
    <row r="283" spans="1:67" x14ac:dyDescent="0.3">
      <c r="A283" s="213"/>
      <c r="B283" s="115"/>
      <c r="C283" s="136" t="s">
        <v>56</v>
      </c>
      <c r="D283" s="117"/>
      <c r="E283" s="142"/>
      <c r="F283" s="143"/>
      <c r="G283" s="143"/>
      <c r="H283" s="117"/>
      <c r="I283" s="148">
        <f>+I284+I285+I286+I287</f>
        <v>6.4200000000000017</v>
      </c>
      <c r="J283" s="138">
        <v>-59</v>
      </c>
      <c r="K283" s="138">
        <v>54.2</v>
      </c>
      <c r="L283" s="117"/>
      <c r="M283" s="142"/>
      <c r="N283" s="143"/>
      <c r="O283" s="143"/>
      <c r="P283" s="117"/>
      <c r="Q283" s="146"/>
      <c r="R283" s="143"/>
      <c r="S283" s="138">
        <v>1.7</v>
      </c>
      <c r="T283" s="117"/>
      <c r="U283" s="146"/>
      <c r="V283" s="143"/>
      <c r="W283" s="143">
        <f>+W284+W285+W286+W287</f>
        <v>0.79840777267650764</v>
      </c>
      <c r="X283" s="117"/>
      <c r="Y283" s="142"/>
      <c r="Z283" s="143"/>
      <c r="AA283" s="143"/>
      <c r="AB283" s="117"/>
      <c r="AC283" s="190">
        <v>23</v>
      </c>
      <c r="AD283" s="190">
        <v>23</v>
      </c>
      <c r="AE283" s="190">
        <v>23</v>
      </c>
      <c r="AG283" s="213"/>
      <c r="AH283" s="115"/>
      <c r="AI283" s="136" t="s">
        <v>56</v>
      </c>
      <c r="AJ283" s="117"/>
      <c r="AK283" s="142"/>
      <c r="AL283" s="143"/>
      <c r="AM283" s="143"/>
      <c r="AN283" s="117"/>
      <c r="AO283" s="142"/>
      <c r="AP283" s="143"/>
      <c r="AQ283" s="143"/>
      <c r="AR283" s="117"/>
      <c r="AS283" s="142"/>
      <c r="AT283" s="143"/>
      <c r="AU283" s="143"/>
      <c r="AV283" s="117"/>
      <c r="AW283" s="142"/>
      <c r="AX283" s="143"/>
      <c r="AY283" s="143"/>
      <c r="AZ283" s="117"/>
      <c r="BA283" s="142"/>
      <c r="BB283" s="143"/>
      <c r="BC283" s="143"/>
      <c r="BD283" s="117"/>
      <c r="BE283" s="142"/>
      <c r="BF283" s="143"/>
      <c r="BG283" s="143"/>
      <c r="BH283" s="117"/>
      <c r="BI283" s="144"/>
      <c r="BJ283" s="145"/>
      <c r="BK283" s="145"/>
      <c r="BM283" s="190">
        <v>23</v>
      </c>
      <c r="BN283" s="190">
        <v>23</v>
      </c>
      <c r="BO283" s="190">
        <v>23</v>
      </c>
    </row>
    <row r="284" spans="1:67" ht="14.5" x14ac:dyDescent="0.3">
      <c r="A284" s="213"/>
      <c r="B284" s="115"/>
      <c r="C284" s="48" t="s">
        <v>23</v>
      </c>
      <c r="D284" s="117"/>
      <c r="E284" s="105"/>
      <c r="F284" s="51"/>
      <c r="G284" s="51"/>
      <c r="H284" s="117"/>
      <c r="I284" s="141">
        <v>23.9</v>
      </c>
      <c r="J284" s="138">
        <v>-149</v>
      </c>
      <c r="K284" s="138">
        <v>75.3</v>
      </c>
      <c r="L284" s="117"/>
      <c r="M284" s="105"/>
      <c r="N284" s="51"/>
      <c r="O284" s="51"/>
      <c r="P284" s="117"/>
      <c r="Q284" s="78"/>
      <c r="R284" s="51"/>
      <c r="S284" s="138" t="s">
        <v>201</v>
      </c>
      <c r="T284" s="117"/>
      <c r="U284" s="78"/>
      <c r="V284" s="51"/>
      <c r="W284" s="51">
        <f>-SUM([1]Bancassurance!$O$71,[1]Bancassurance!$R$71:$V$71,[1]Bancassurance!$Y$71,[1]Bancassurance!$AB$71,[1]Bancassurance!$AU$71,[1]Bancassurance!$AX$71,[1]Bancassurance!$BA$71,[1]Bancassurance!$BD$71)/1000/W281</f>
        <v>0.76154670693267845</v>
      </c>
      <c r="X284" s="117"/>
      <c r="Y284" s="105"/>
      <c r="Z284" s="51"/>
      <c r="AA284" s="51"/>
      <c r="AB284" s="117"/>
      <c r="AC284" s="190">
        <v>23</v>
      </c>
      <c r="AD284" s="190">
        <v>23</v>
      </c>
      <c r="AE284" s="190">
        <v>23</v>
      </c>
      <c r="AG284" s="213"/>
      <c r="AH284" s="115"/>
      <c r="AI284" s="48" t="s">
        <v>23</v>
      </c>
      <c r="AJ284" s="117"/>
      <c r="AK284" s="105"/>
      <c r="AL284" s="51"/>
      <c r="AM284" s="51"/>
      <c r="AN284" s="117"/>
      <c r="AO284" s="105"/>
      <c r="AP284" s="51"/>
      <c r="AQ284" s="51"/>
      <c r="AR284" s="117"/>
      <c r="AS284" s="105"/>
      <c r="AT284" s="51"/>
      <c r="AU284" s="51"/>
      <c r="AV284" s="117"/>
      <c r="AW284" s="105"/>
      <c r="AX284" s="51"/>
      <c r="AY284" s="51"/>
      <c r="AZ284" s="117"/>
      <c r="BA284" s="105"/>
      <c r="BB284" s="51"/>
      <c r="BC284" s="51"/>
      <c r="BD284" s="117"/>
      <c r="BE284" s="105"/>
      <c r="BF284" s="51"/>
      <c r="BG284" s="51"/>
      <c r="BH284" s="117"/>
      <c r="BI284" s="103"/>
      <c r="BJ284" s="62"/>
      <c r="BK284" s="62"/>
      <c r="BM284" s="190">
        <v>23</v>
      </c>
      <c r="BN284" s="190">
        <v>23</v>
      </c>
      <c r="BO284" s="190">
        <v>23</v>
      </c>
    </row>
    <row r="285" spans="1:67" ht="14.5" x14ac:dyDescent="0.3">
      <c r="A285" s="213"/>
      <c r="B285" s="115"/>
      <c r="C285" s="48" t="s">
        <v>24</v>
      </c>
      <c r="D285" s="134"/>
      <c r="E285" s="105"/>
      <c r="F285" s="51"/>
      <c r="G285" s="51"/>
      <c r="H285" s="134"/>
      <c r="I285" s="141">
        <v>14.3</v>
      </c>
      <c r="J285" s="143">
        <v>1.19</v>
      </c>
      <c r="K285" s="143">
        <v>1.43</v>
      </c>
      <c r="L285" s="134"/>
      <c r="M285" s="105"/>
      <c r="N285" s="51"/>
      <c r="O285" s="51"/>
      <c r="P285" s="134"/>
      <c r="Q285" s="105"/>
      <c r="R285" s="51"/>
      <c r="S285" s="138">
        <v>2.7</v>
      </c>
      <c r="T285" s="134"/>
      <c r="U285" s="105"/>
      <c r="V285" s="51"/>
      <c r="W285" s="51">
        <f>-([1]Bancassurance!$P$71+[1]Bancassurance!$W$71+[1]Bancassurance!$AV$71+[1]Bancassurance!$AY$71)/1000/W281</f>
        <v>0</v>
      </c>
      <c r="X285" s="134"/>
      <c r="Y285" s="105"/>
      <c r="Z285" s="51"/>
      <c r="AA285" s="51"/>
      <c r="AB285" s="134"/>
      <c r="AC285" s="190">
        <v>23</v>
      </c>
      <c r="AD285" s="190">
        <v>23</v>
      </c>
      <c r="AE285" s="190">
        <v>23</v>
      </c>
      <c r="AG285" s="213"/>
      <c r="AH285" s="115"/>
      <c r="AI285" s="48" t="s">
        <v>24</v>
      </c>
      <c r="AJ285" s="134"/>
      <c r="AK285" s="105"/>
      <c r="AL285" s="51"/>
      <c r="AM285" s="51"/>
      <c r="AN285" s="134"/>
      <c r="AO285" s="105"/>
      <c r="AP285" s="51"/>
      <c r="AQ285" s="51"/>
      <c r="AR285" s="134"/>
      <c r="AS285" s="105"/>
      <c r="AT285" s="51"/>
      <c r="AU285" s="51"/>
      <c r="AV285" s="134"/>
      <c r="AW285" s="105"/>
      <c r="AX285" s="51"/>
      <c r="AY285" s="51"/>
      <c r="AZ285" s="134"/>
      <c r="BA285" s="105"/>
      <c r="BB285" s="51"/>
      <c r="BC285" s="51"/>
      <c r="BD285" s="134"/>
      <c r="BE285" s="105"/>
      <c r="BF285" s="51"/>
      <c r="BG285" s="51"/>
      <c r="BH285" s="134"/>
      <c r="BI285" s="103"/>
      <c r="BJ285" s="62"/>
      <c r="BK285" s="62"/>
      <c r="BM285" s="190">
        <v>23</v>
      </c>
      <c r="BN285" s="190">
        <v>23</v>
      </c>
      <c r="BO285" s="190">
        <v>23</v>
      </c>
    </row>
    <row r="286" spans="1:67" ht="14.5" x14ac:dyDescent="0.3">
      <c r="A286" s="213"/>
      <c r="B286" s="115"/>
      <c r="C286" s="48" t="s">
        <v>25</v>
      </c>
      <c r="D286" s="134"/>
      <c r="E286" s="105"/>
      <c r="F286" s="51"/>
      <c r="G286" s="51"/>
      <c r="H286" s="134"/>
      <c r="I286" s="146">
        <v>1.34</v>
      </c>
      <c r="J286" s="138">
        <v>-239</v>
      </c>
      <c r="K286" s="138">
        <v>96.4</v>
      </c>
      <c r="L286" s="134"/>
      <c r="M286" s="105"/>
      <c r="N286" s="51"/>
      <c r="O286" s="51"/>
      <c r="P286" s="134"/>
      <c r="Q286" s="78"/>
      <c r="R286" s="51"/>
      <c r="S286" s="138" t="s">
        <v>202</v>
      </c>
      <c r="T286" s="134"/>
      <c r="U286" s="78"/>
      <c r="V286" s="51"/>
      <c r="W286" s="51">
        <f>-([1]Bancassurance!$Q$71+[1]Bancassurance!$X$71+[1]Bancassurance!$AW$71+[1]Bancassurance!$AZ$71)/1000/W281</f>
        <v>5.9848107940823642E-3</v>
      </c>
      <c r="X286" s="134"/>
      <c r="Y286" s="105"/>
      <c r="Z286" s="51"/>
      <c r="AA286" s="51"/>
      <c r="AB286" s="134"/>
      <c r="AC286" s="190">
        <v>23</v>
      </c>
      <c r="AD286" s="190">
        <v>23</v>
      </c>
      <c r="AE286" s="190">
        <v>23</v>
      </c>
      <c r="AG286" s="213"/>
      <c r="AH286" s="115"/>
      <c r="AI286" s="48" t="s">
        <v>25</v>
      </c>
      <c r="AJ286" s="134"/>
      <c r="AK286" s="105"/>
      <c r="AL286" s="51"/>
      <c r="AM286" s="51"/>
      <c r="AN286" s="134"/>
      <c r="AO286" s="105"/>
      <c r="AP286" s="51"/>
      <c r="AQ286" s="51"/>
      <c r="AR286" s="134"/>
      <c r="AS286" s="105"/>
      <c r="AT286" s="51"/>
      <c r="AU286" s="51"/>
      <c r="AV286" s="134"/>
      <c r="AW286" s="105"/>
      <c r="AX286" s="51"/>
      <c r="AY286" s="51"/>
      <c r="AZ286" s="134"/>
      <c r="BA286" s="105"/>
      <c r="BB286" s="51"/>
      <c r="BC286" s="51"/>
      <c r="BD286" s="134"/>
      <c r="BE286" s="105"/>
      <c r="BF286" s="51"/>
      <c r="BG286" s="51"/>
      <c r="BH286" s="134"/>
      <c r="BI286" s="103"/>
      <c r="BJ286" s="62"/>
      <c r="BK286" s="62"/>
      <c r="BM286" s="190">
        <v>23</v>
      </c>
      <c r="BN286" s="190">
        <v>23</v>
      </c>
      <c r="BO286" s="190">
        <v>23</v>
      </c>
    </row>
    <row r="287" spans="1:67" ht="14.5" x14ac:dyDescent="0.3">
      <c r="A287" s="213"/>
      <c r="B287" s="115"/>
      <c r="C287" s="48" t="s">
        <v>53</v>
      </c>
      <c r="D287" s="134"/>
      <c r="E287" s="105"/>
      <c r="F287" s="51"/>
      <c r="G287" s="51"/>
      <c r="H287" s="134"/>
      <c r="I287" s="148">
        <f t="shared" ref="I287" si="6">+I288+I289+I290+I291</f>
        <v>-33.120000000000005</v>
      </c>
      <c r="J287" s="138">
        <v>-329</v>
      </c>
      <c r="K287" s="138">
        <v>117.5</v>
      </c>
      <c r="L287" s="134"/>
      <c r="M287" s="105"/>
      <c r="N287" s="51"/>
      <c r="O287" s="51"/>
      <c r="P287" s="134"/>
      <c r="Q287" s="105"/>
      <c r="R287" s="51"/>
      <c r="S287" s="138">
        <v>3.7</v>
      </c>
      <c r="T287" s="134"/>
      <c r="U287" s="78"/>
      <c r="V287" s="51"/>
      <c r="W287" s="51">
        <f>-[1]Bancassurance!$AT$71/1000/W281</f>
        <v>3.0876254949746745E-2</v>
      </c>
      <c r="X287" s="134"/>
      <c r="Y287" s="105"/>
      <c r="Z287" s="51"/>
      <c r="AA287" s="51"/>
      <c r="AB287" s="134"/>
      <c r="AC287" s="190">
        <v>23</v>
      </c>
      <c r="AD287" s="190">
        <v>23</v>
      </c>
      <c r="AE287" s="190">
        <v>23</v>
      </c>
      <c r="AG287" s="213"/>
      <c r="AH287" s="115"/>
      <c r="AI287" s="48" t="s">
        <v>53</v>
      </c>
      <c r="AJ287" s="134"/>
      <c r="AK287" s="105"/>
      <c r="AL287" s="51"/>
      <c r="AM287" s="51"/>
      <c r="AN287" s="134"/>
      <c r="AO287" s="105"/>
      <c r="AP287" s="51"/>
      <c r="AQ287" s="51"/>
      <c r="AR287" s="134"/>
      <c r="AS287" s="105"/>
      <c r="AT287" s="51"/>
      <c r="AU287" s="51"/>
      <c r="AV287" s="134"/>
      <c r="AW287" s="105"/>
      <c r="AX287" s="51"/>
      <c r="AY287" s="51"/>
      <c r="AZ287" s="134"/>
      <c r="BA287" s="105"/>
      <c r="BB287" s="51"/>
      <c r="BC287" s="51"/>
      <c r="BD287" s="134"/>
      <c r="BE287" s="105"/>
      <c r="BF287" s="51"/>
      <c r="BG287" s="51"/>
      <c r="BH287" s="134"/>
      <c r="BI287" s="103"/>
      <c r="BJ287" s="62"/>
      <c r="BK287" s="62"/>
      <c r="BM287" s="190">
        <v>23</v>
      </c>
      <c r="BN287" s="190">
        <v>23</v>
      </c>
      <c r="BO287" s="190">
        <v>23</v>
      </c>
    </row>
    <row r="288" spans="1:67" x14ac:dyDescent="0.3">
      <c r="A288" s="213"/>
      <c r="B288" s="115"/>
      <c r="C288" s="136" t="s">
        <v>27</v>
      </c>
      <c r="D288" s="134"/>
      <c r="E288" s="148"/>
      <c r="F288" s="143"/>
      <c r="G288" s="143"/>
      <c r="H288" s="134"/>
      <c r="I288" s="141">
        <v>4.7</v>
      </c>
      <c r="J288" s="143">
        <v>2.19</v>
      </c>
      <c r="K288" s="143">
        <v>2.4300000000000002</v>
      </c>
      <c r="L288" s="134"/>
      <c r="M288" s="143"/>
      <c r="N288" s="143"/>
      <c r="O288" s="143"/>
      <c r="P288" s="134"/>
      <c r="Q288" s="143"/>
      <c r="R288" s="143"/>
      <c r="S288" s="138" t="s">
        <v>203</v>
      </c>
      <c r="T288" s="134"/>
      <c r="U288" s="143"/>
      <c r="V288" s="143"/>
      <c r="W288" s="143">
        <f>-([1]Bancassurance!$Z$71+[1]Bancassurance!$AA$71+[1]Bancassurance!$BB$71+[1]Bancassurance!$BC$71)/1000/W281</f>
        <v>-4.2011054276499602E-11</v>
      </c>
      <c r="X288" s="134"/>
      <c r="Y288" s="143"/>
      <c r="Z288" s="143"/>
      <c r="AA288" s="143"/>
      <c r="AB288" s="134"/>
      <c r="AC288" s="190">
        <v>23</v>
      </c>
      <c r="AD288" s="190">
        <v>23</v>
      </c>
      <c r="AE288" s="190">
        <v>23</v>
      </c>
      <c r="AG288" s="213"/>
      <c r="AH288" s="115"/>
      <c r="AI288" s="136" t="s">
        <v>27</v>
      </c>
      <c r="AJ288" s="134"/>
      <c r="AK288" s="142"/>
      <c r="AL288" s="143"/>
      <c r="AM288" s="143"/>
      <c r="AN288" s="134"/>
      <c r="AO288" s="142"/>
      <c r="AP288" s="143"/>
      <c r="AQ288" s="143"/>
      <c r="AR288" s="134"/>
      <c r="AS288" s="142"/>
      <c r="AT288" s="143"/>
      <c r="AU288" s="143"/>
      <c r="AV288" s="134"/>
      <c r="AW288" s="142"/>
      <c r="AX288" s="143"/>
      <c r="AY288" s="143"/>
      <c r="AZ288" s="134"/>
      <c r="BA288" s="142"/>
      <c r="BB288" s="143"/>
      <c r="BC288" s="143"/>
      <c r="BD288" s="134"/>
      <c r="BE288" s="142"/>
      <c r="BF288" s="143"/>
      <c r="BG288" s="143"/>
      <c r="BH288" s="134"/>
      <c r="BI288" s="144"/>
      <c r="BJ288" s="145"/>
      <c r="BK288" s="145"/>
      <c r="BM288" s="190">
        <v>23</v>
      </c>
      <c r="BN288" s="190">
        <v>23</v>
      </c>
      <c r="BO288" s="190">
        <v>23</v>
      </c>
    </row>
    <row r="289" spans="1:67" x14ac:dyDescent="0.3">
      <c r="A289" s="213"/>
      <c r="B289" s="115"/>
      <c r="C289" s="136" t="s">
        <v>57</v>
      </c>
      <c r="D289" s="134"/>
      <c r="E289" s="142"/>
      <c r="F289" s="143"/>
      <c r="G289" s="143"/>
      <c r="H289" s="134"/>
      <c r="I289" s="141">
        <v>-4.9000000000000004</v>
      </c>
      <c r="J289" s="138">
        <v>-419</v>
      </c>
      <c r="K289" s="138">
        <v>138.6</v>
      </c>
      <c r="L289" s="134"/>
      <c r="M289" s="142"/>
      <c r="N289" s="143"/>
      <c r="O289" s="143"/>
      <c r="P289" s="134"/>
      <c r="Q289" s="148"/>
      <c r="R289" s="143"/>
      <c r="S289" s="138">
        <v>4.7</v>
      </c>
      <c r="T289" s="134"/>
      <c r="U289" s="148"/>
      <c r="V289" s="143"/>
      <c r="W289" s="143">
        <f>-SUM([1]Bancassurance!$AC$71:$AI$71,[1]Bancassurance!$BE$71:$BG$71)/1000/W281</f>
        <v>-1.6744064499358079E-2</v>
      </c>
      <c r="X289" s="134"/>
      <c r="Y289" s="142"/>
      <c r="Z289" s="143"/>
      <c r="AA289" s="143"/>
      <c r="AB289" s="134"/>
      <c r="AC289" s="190">
        <v>23</v>
      </c>
      <c r="AD289" s="190">
        <v>23</v>
      </c>
      <c r="AE289" s="190">
        <v>23</v>
      </c>
      <c r="AG289" s="213"/>
      <c r="AH289" s="115"/>
      <c r="AI289" s="136" t="s">
        <v>57</v>
      </c>
      <c r="AJ289" s="134"/>
      <c r="AK289" s="142"/>
      <c r="AL289" s="143"/>
      <c r="AM289" s="143"/>
      <c r="AN289" s="134"/>
      <c r="AO289" s="142"/>
      <c r="AP289" s="143"/>
      <c r="AQ289" s="143"/>
      <c r="AR289" s="134"/>
      <c r="AS289" s="142"/>
      <c r="AT289" s="143"/>
      <c r="AU289" s="143"/>
      <c r="AV289" s="134"/>
      <c r="AW289" s="142"/>
      <c r="AX289" s="143"/>
      <c r="AY289" s="143"/>
      <c r="AZ289" s="134"/>
      <c r="BA289" s="142"/>
      <c r="BB289" s="143"/>
      <c r="BC289" s="143"/>
      <c r="BD289" s="134"/>
      <c r="BE289" s="142"/>
      <c r="BF289" s="143"/>
      <c r="BG289" s="143"/>
      <c r="BH289" s="134"/>
      <c r="BI289" s="144"/>
      <c r="BJ289" s="145"/>
      <c r="BK289" s="145"/>
      <c r="BM289" s="190">
        <v>23</v>
      </c>
      <c r="BN289" s="190">
        <v>23</v>
      </c>
      <c r="BO289" s="190">
        <v>23</v>
      </c>
    </row>
    <row r="290" spans="1:67" x14ac:dyDescent="0.3">
      <c r="A290" s="213"/>
      <c r="B290" s="115"/>
      <c r="C290" s="136" t="s">
        <v>29</v>
      </c>
      <c r="D290" s="134"/>
      <c r="E290" s="142"/>
      <c r="F290" s="143"/>
      <c r="G290" s="143"/>
      <c r="H290" s="134"/>
      <c r="I290" s="146">
        <v>2.34</v>
      </c>
      <c r="J290" s="138">
        <v>-509</v>
      </c>
      <c r="K290" s="138">
        <v>159.69999999999999</v>
      </c>
      <c r="L290" s="134"/>
      <c r="M290" s="142"/>
      <c r="N290" s="143"/>
      <c r="O290" s="143"/>
      <c r="P290" s="134"/>
      <c r="Q290" s="142"/>
      <c r="R290" s="143"/>
      <c r="S290" s="138" t="s">
        <v>204</v>
      </c>
      <c r="T290" s="134"/>
      <c r="U290" s="142"/>
      <c r="V290" s="143"/>
      <c r="W290" s="143">
        <f>-SUM([1]Bancassurance!$AJ$71:$AK$71,[1]Bancassurance!$BH$71:$BI$71)/1000/W281</f>
        <v>0</v>
      </c>
      <c r="X290" s="134"/>
      <c r="Y290" s="142"/>
      <c r="Z290" s="143"/>
      <c r="AA290" s="143"/>
      <c r="AB290" s="134"/>
      <c r="AC290" s="190">
        <v>23</v>
      </c>
      <c r="AD290" s="190">
        <v>23</v>
      </c>
      <c r="AE290" s="190">
        <v>23</v>
      </c>
      <c r="AG290" s="213"/>
      <c r="AH290" s="115"/>
      <c r="AI290" s="136" t="s">
        <v>29</v>
      </c>
      <c r="AJ290" s="134"/>
      <c r="AK290" s="142"/>
      <c r="AL290" s="143"/>
      <c r="AM290" s="143"/>
      <c r="AN290" s="134"/>
      <c r="AO290" s="142"/>
      <c r="AP290" s="143"/>
      <c r="AQ290" s="143"/>
      <c r="AR290" s="134"/>
      <c r="AS290" s="142"/>
      <c r="AT290" s="143"/>
      <c r="AU290" s="143"/>
      <c r="AV290" s="134"/>
      <c r="AW290" s="142"/>
      <c r="AX290" s="143"/>
      <c r="AY290" s="143"/>
      <c r="AZ290" s="134"/>
      <c r="BA290" s="142"/>
      <c r="BB290" s="143"/>
      <c r="BC290" s="143"/>
      <c r="BD290" s="134"/>
      <c r="BE290" s="142"/>
      <c r="BF290" s="143"/>
      <c r="BG290" s="143"/>
      <c r="BH290" s="134"/>
      <c r="BI290" s="144"/>
      <c r="BJ290" s="145"/>
      <c r="BK290" s="145"/>
      <c r="BM290" s="190">
        <v>23</v>
      </c>
      <c r="BN290" s="190">
        <v>23</v>
      </c>
      <c r="BO290" s="190">
        <v>23</v>
      </c>
    </row>
    <row r="291" spans="1:67" x14ac:dyDescent="0.3">
      <c r="A291" s="213"/>
      <c r="B291" s="115"/>
      <c r="C291" s="136" t="s">
        <v>58</v>
      </c>
      <c r="D291" s="134"/>
      <c r="E291" s="142"/>
      <c r="F291" s="143"/>
      <c r="G291" s="143"/>
      <c r="H291" s="134"/>
      <c r="I291" s="148">
        <f t="shared" ref="I291" si="7">+I292+I293+I294+I295</f>
        <v>-35.260000000000005</v>
      </c>
      <c r="J291" s="143">
        <v>3.19</v>
      </c>
      <c r="K291" s="143">
        <v>3.43</v>
      </c>
      <c r="L291" s="134"/>
      <c r="M291" s="142"/>
      <c r="N291" s="143"/>
      <c r="O291" s="143"/>
      <c r="P291" s="134"/>
      <c r="Q291" s="146"/>
      <c r="R291" s="143"/>
      <c r="S291" s="138">
        <v>5.7</v>
      </c>
      <c r="T291" s="134"/>
      <c r="U291" s="146"/>
      <c r="V291" s="143"/>
      <c r="W291" s="143">
        <f>+W292+W293+W294</f>
        <v>0.45469255820766691</v>
      </c>
      <c r="X291" s="134"/>
      <c r="Y291" s="142"/>
      <c r="Z291" s="143"/>
      <c r="AA291" s="143"/>
      <c r="AB291" s="134"/>
      <c r="AC291" s="190">
        <v>23</v>
      </c>
      <c r="AD291" s="190">
        <v>23</v>
      </c>
      <c r="AE291" s="190">
        <v>23</v>
      </c>
      <c r="AG291" s="213"/>
      <c r="AH291" s="115"/>
      <c r="AI291" s="136" t="s">
        <v>58</v>
      </c>
      <c r="AJ291" s="134"/>
      <c r="AK291" s="142"/>
      <c r="AL291" s="143"/>
      <c r="AM291" s="143"/>
      <c r="AN291" s="134"/>
      <c r="AO291" s="142"/>
      <c r="AP291" s="143"/>
      <c r="AQ291" s="143"/>
      <c r="AR291" s="134"/>
      <c r="AS291" s="142"/>
      <c r="AT291" s="143"/>
      <c r="AU291" s="143"/>
      <c r="AV291" s="134"/>
      <c r="AW291" s="142"/>
      <c r="AX291" s="143"/>
      <c r="AY291" s="143"/>
      <c r="AZ291" s="134"/>
      <c r="BA291" s="142"/>
      <c r="BB291" s="143"/>
      <c r="BC291" s="143"/>
      <c r="BD291" s="134"/>
      <c r="BE291" s="142"/>
      <c r="BF291" s="143"/>
      <c r="BG291" s="143"/>
      <c r="BH291" s="134"/>
      <c r="BI291" s="144"/>
      <c r="BJ291" s="145"/>
      <c r="BK291" s="145"/>
      <c r="BM291" s="190">
        <v>23</v>
      </c>
      <c r="BN291" s="190">
        <v>23</v>
      </c>
      <c r="BO291" s="190">
        <v>23</v>
      </c>
    </row>
    <row r="292" spans="1:67" ht="14.5" x14ac:dyDescent="0.3">
      <c r="A292" s="213"/>
      <c r="B292" s="115"/>
      <c r="C292" s="50" t="s">
        <v>59</v>
      </c>
      <c r="D292" s="135"/>
      <c r="E292" s="105"/>
      <c r="F292" s="51"/>
      <c r="G292" s="51"/>
      <c r="H292" s="135"/>
      <c r="I292" s="141">
        <v>-14.5</v>
      </c>
      <c r="J292" s="138">
        <v>-599</v>
      </c>
      <c r="K292" s="138">
        <v>180.8</v>
      </c>
      <c r="L292" s="135"/>
      <c r="M292" s="105"/>
      <c r="N292" s="51"/>
      <c r="O292" s="51"/>
      <c r="P292" s="135"/>
      <c r="Q292" s="78"/>
      <c r="R292" s="51"/>
      <c r="S292" s="138" t="s">
        <v>205</v>
      </c>
      <c r="T292" s="135"/>
      <c r="U292" s="105"/>
      <c r="V292" s="51"/>
      <c r="W292" s="51">
        <f>-SUM([1]Bancassurance!$AL$71:$AN$71,[1]Bancassurance!$BJ$71)/1000/W281</f>
        <v>0</v>
      </c>
      <c r="X292" s="135"/>
      <c r="Y292" s="105"/>
      <c r="Z292" s="51"/>
      <c r="AA292" s="51"/>
      <c r="AB292" s="135"/>
      <c r="AC292" s="190">
        <v>23</v>
      </c>
      <c r="AD292" s="190">
        <v>23</v>
      </c>
      <c r="AE292" s="190">
        <v>23</v>
      </c>
      <c r="AG292" s="213"/>
      <c r="AH292" s="115"/>
      <c r="AI292" s="50" t="s">
        <v>59</v>
      </c>
      <c r="AJ292" s="135"/>
      <c r="AK292" s="105"/>
      <c r="AL292" s="51"/>
      <c r="AM292" s="51"/>
      <c r="AN292" s="135"/>
      <c r="AO292" s="105"/>
      <c r="AP292" s="51"/>
      <c r="AQ292" s="51"/>
      <c r="AR292" s="135"/>
      <c r="AS292" s="105"/>
      <c r="AT292" s="51"/>
      <c r="AU292" s="51"/>
      <c r="AV292" s="135"/>
      <c r="AW292" s="105"/>
      <c r="AX292" s="51"/>
      <c r="AY292" s="51"/>
      <c r="AZ292" s="135"/>
      <c r="BA292" s="105"/>
      <c r="BB292" s="51"/>
      <c r="BC292" s="51"/>
      <c r="BD292" s="135"/>
      <c r="BE292" s="105"/>
      <c r="BF292" s="51"/>
      <c r="BG292" s="51"/>
      <c r="BH292" s="135"/>
      <c r="BI292" s="103"/>
      <c r="BJ292" s="62"/>
      <c r="BK292" s="62"/>
      <c r="BM292" s="190">
        <v>23</v>
      </c>
      <c r="BN292" s="190">
        <v>23</v>
      </c>
      <c r="BO292" s="190">
        <v>23</v>
      </c>
    </row>
    <row r="293" spans="1:67" ht="14.5" x14ac:dyDescent="0.3">
      <c r="A293" s="213"/>
      <c r="B293" s="115"/>
      <c r="C293" s="50" t="s">
        <v>60</v>
      </c>
      <c r="D293" s="135"/>
      <c r="E293" s="105"/>
      <c r="F293" s="51"/>
      <c r="G293" s="51"/>
      <c r="H293" s="135"/>
      <c r="I293" s="141">
        <v>-24.1</v>
      </c>
      <c r="J293" s="138">
        <v>-689</v>
      </c>
      <c r="K293" s="138">
        <v>201.9</v>
      </c>
      <c r="L293" s="135"/>
      <c r="M293" s="105"/>
      <c r="N293" s="51"/>
      <c r="O293" s="51"/>
      <c r="P293" s="135"/>
      <c r="Q293" s="78"/>
      <c r="R293" s="51"/>
      <c r="S293" s="138">
        <v>6.7</v>
      </c>
      <c r="T293" s="135"/>
      <c r="U293" s="78"/>
      <c r="V293" s="51"/>
      <c r="W293" s="51">
        <f>-SUM([1]Bancassurance!$AO$71:$AP$71)/1000/W281</f>
        <v>0.17918299453706032</v>
      </c>
      <c r="X293" s="135"/>
      <c r="Y293" s="105"/>
      <c r="Z293" s="51"/>
      <c r="AA293" s="51"/>
      <c r="AB293" s="135"/>
      <c r="AC293" s="190">
        <v>23</v>
      </c>
      <c r="AD293" s="190">
        <v>23</v>
      </c>
      <c r="AE293" s="190">
        <v>23</v>
      </c>
      <c r="AG293" s="213"/>
      <c r="AH293" s="115"/>
      <c r="AI293" s="50" t="s">
        <v>60</v>
      </c>
      <c r="AJ293" s="135"/>
      <c r="AK293" s="105"/>
      <c r="AL293" s="51"/>
      <c r="AM293" s="51"/>
      <c r="AN293" s="135"/>
      <c r="AO293" s="105"/>
      <c r="AP293" s="51"/>
      <c r="AQ293" s="51"/>
      <c r="AR293" s="135"/>
      <c r="AS293" s="105"/>
      <c r="AT293" s="51"/>
      <c r="AU293" s="51"/>
      <c r="AV293" s="135"/>
      <c r="AW293" s="105"/>
      <c r="AX293" s="51"/>
      <c r="AY293" s="51"/>
      <c r="AZ293" s="135"/>
      <c r="BA293" s="105"/>
      <c r="BB293" s="51"/>
      <c r="BC293" s="51"/>
      <c r="BD293" s="135"/>
      <c r="BE293" s="105"/>
      <c r="BF293" s="51"/>
      <c r="BG293" s="51"/>
      <c r="BH293" s="135"/>
      <c r="BI293" s="103"/>
      <c r="BJ293" s="62"/>
      <c r="BK293" s="62"/>
      <c r="BM293" s="190">
        <v>23</v>
      </c>
      <c r="BN293" s="190">
        <v>23</v>
      </c>
      <c r="BO293" s="190">
        <v>23</v>
      </c>
    </row>
    <row r="294" spans="1:67" ht="14.5" x14ac:dyDescent="0.3">
      <c r="A294" s="213"/>
      <c r="B294" s="115"/>
      <c r="C294" s="50" t="s">
        <v>61</v>
      </c>
      <c r="D294" s="135"/>
      <c r="E294" s="105"/>
      <c r="F294" s="51"/>
      <c r="G294" s="51"/>
      <c r="H294" s="135"/>
      <c r="I294" s="146">
        <v>3.34</v>
      </c>
      <c r="J294" s="143">
        <v>4.1900000000000004</v>
      </c>
      <c r="K294" s="143">
        <v>4.43</v>
      </c>
      <c r="L294" s="135"/>
      <c r="M294" s="105"/>
      <c r="N294" s="51"/>
      <c r="O294" s="51"/>
      <c r="P294" s="135"/>
      <c r="Q294" s="78"/>
      <c r="R294" s="51"/>
      <c r="S294" s="138" t="s">
        <v>206</v>
      </c>
      <c r="T294" s="135"/>
      <c r="U294" s="78"/>
      <c r="V294" s="51"/>
      <c r="W294" s="51">
        <f>-SUM([1]Bancassurance!$AQ$71:$AR$71)/1000/W281</f>
        <v>0.27550956367060658</v>
      </c>
      <c r="X294" s="135"/>
      <c r="Y294" s="105"/>
      <c r="Z294" s="51"/>
      <c r="AA294" s="51"/>
      <c r="AB294" s="135"/>
      <c r="AC294" s="190">
        <v>23</v>
      </c>
      <c r="AD294" s="190">
        <v>23</v>
      </c>
      <c r="AE294" s="190">
        <v>23</v>
      </c>
      <c r="AG294" s="213"/>
      <c r="AH294" s="115"/>
      <c r="AI294" s="50" t="s">
        <v>61</v>
      </c>
      <c r="AJ294" s="135"/>
      <c r="AK294" s="105"/>
      <c r="AL294" s="51"/>
      <c r="AM294" s="51"/>
      <c r="AN294" s="135"/>
      <c r="AO294" s="105"/>
      <c r="AP294" s="51"/>
      <c r="AQ294" s="51"/>
      <c r="AR294" s="135"/>
      <c r="AS294" s="105"/>
      <c r="AT294" s="51"/>
      <c r="AU294" s="51"/>
      <c r="AV294" s="135"/>
      <c r="AW294" s="105"/>
      <c r="AX294" s="51"/>
      <c r="AY294" s="51"/>
      <c r="AZ294" s="135"/>
      <c r="BA294" s="105"/>
      <c r="BB294" s="51"/>
      <c r="BC294" s="51"/>
      <c r="BD294" s="135"/>
      <c r="BE294" s="105"/>
      <c r="BF294" s="51"/>
      <c r="BG294" s="51"/>
      <c r="BH294" s="135"/>
      <c r="BI294" s="103"/>
      <c r="BJ294" s="62"/>
      <c r="BK294" s="62"/>
      <c r="BM294" s="190">
        <v>23</v>
      </c>
      <c r="BN294" s="190">
        <v>23</v>
      </c>
      <c r="BO294" s="190">
        <v>23</v>
      </c>
    </row>
    <row r="295" spans="1:67" x14ac:dyDescent="0.3">
      <c r="A295" s="213"/>
      <c r="B295" s="115"/>
      <c r="C295" s="136" t="s">
        <v>34</v>
      </c>
      <c r="D295" s="117"/>
      <c r="E295" s="137"/>
      <c r="F295" s="138"/>
      <c r="G295" s="138"/>
      <c r="H295" s="117"/>
      <c r="I295" s="148">
        <f t="shared" ref="I295" si="8">+I296+I297+I298+I299</f>
        <v>0</v>
      </c>
      <c r="J295" s="138">
        <v>-779</v>
      </c>
      <c r="K295" s="138">
        <v>223</v>
      </c>
      <c r="L295" s="117"/>
      <c r="M295" s="137"/>
      <c r="N295" s="138"/>
      <c r="O295" s="138"/>
      <c r="P295" s="117"/>
      <c r="Q295" s="141">
        <v>-6</v>
      </c>
      <c r="R295" s="138">
        <v>-1</v>
      </c>
      <c r="S295" s="138">
        <v>7.7</v>
      </c>
      <c r="T295" s="117"/>
      <c r="U295" s="186">
        <f>+[1]Bancassurance!$BK$69/1000</f>
        <v>-8.5218940000000007E-2</v>
      </c>
      <c r="V295" s="138">
        <f>+[1]Bancassurance!$BK$70/1000</f>
        <v>-8.4157549999999984E-2</v>
      </c>
      <c r="W295" s="138">
        <f>+[1]Bancassurance!$BK$71/1000</f>
        <v>-7.5571223096450396E-2</v>
      </c>
      <c r="X295" s="117"/>
      <c r="Y295" s="137">
        <f>+[1]Specials!$BK$69/1000</f>
        <v>-0.30267144999999995</v>
      </c>
      <c r="Z295" s="138">
        <f>+[1]Specials!$BK$70/1000</f>
        <v>-1.7061000000000002E-4</v>
      </c>
      <c r="AA295" s="138">
        <f>+[1]Specials!$BK$71/1000</f>
        <v>0</v>
      </c>
      <c r="AB295" s="117"/>
      <c r="AC295" s="190">
        <v>23</v>
      </c>
      <c r="AD295" s="190">
        <v>23</v>
      </c>
      <c r="AE295" s="190">
        <v>23</v>
      </c>
      <c r="AG295" s="213"/>
      <c r="AH295" s="115"/>
      <c r="AI295" s="136" t="s">
        <v>34</v>
      </c>
      <c r="AJ295" s="117"/>
      <c r="AK295" s="137"/>
      <c r="AL295" s="138"/>
      <c r="AM295" s="138"/>
      <c r="AN295" s="117"/>
      <c r="AO295" s="137"/>
      <c r="AP295" s="138"/>
      <c r="AQ295" s="138"/>
      <c r="AR295" s="117"/>
      <c r="AS295" s="137"/>
      <c r="AT295" s="138"/>
      <c r="AU295" s="138"/>
      <c r="AV295" s="117"/>
      <c r="AW295" s="137"/>
      <c r="AX295" s="138"/>
      <c r="AY295" s="138"/>
      <c r="AZ295" s="117"/>
      <c r="BA295" s="137"/>
      <c r="BB295" s="138"/>
      <c r="BC295" s="138"/>
      <c r="BD295" s="117"/>
      <c r="BE295" s="137"/>
      <c r="BF295" s="138"/>
      <c r="BG295" s="138"/>
      <c r="BH295" s="117"/>
      <c r="BI295" s="139"/>
      <c r="BJ295" s="140"/>
      <c r="BK295" s="140"/>
      <c r="BM295" s="190">
        <v>23</v>
      </c>
      <c r="BN295" s="190">
        <v>23</v>
      </c>
      <c r="BO295" s="190">
        <v>23</v>
      </c>
    </row>
    <row r="296" spans="1:67" ht="17.5" x14ac:dyDescent="0.35">
      <c r="AG296" s="153"/>
    </row>
    <row r="297" spans="1:67" x14ac:dyDescent="0.3">
      <c r="A297" s="213" t="s">
        <v>49</v>
      </c>
      <c r="B297" s="115"/>
      <c r="C297" s="136" t="s">
        <v>19</v>
      </c>
      <c r="D297" s="117"/>
      <c r="E297" s="137"/>
      <c r="F297" s="138"/>
      <c r="G297" s="138"/>
      <c r="H297" s="117"/>
      <c r="I297" s="137"/>
      <c r="J297" s="138"/>
      <c r="K297" s="138"/>
      <c r="L297" s="117"/>
      <c r="M297" s="137"/>
      <c r="N297" s="138"/>
      <c r="O297" s="138"/>
      <c r="P297" s="117"/>
      <c r="Q297" s="137"/>
      <c r="R297" s="138"/>
      <c r="S297" s="138"/>
      <c r="T297" s="117"/>
      <c r="U297" s="137"/>
      <c r="V297" s="138"/>
      <c r="W297" s="138"/>
      <c r="X297" s="117"/>
      <c r="Y297" s="137"/>
      <c r="Z297" s="138"/>
      <c r="AA297" s="138"/>
      <c r="AB297" s="117"/>
      <c r="AC297" s="139"/>
      <c r="AD297" s="140"/>
      <c r="AE297" s="140"/>
      <c r="AG297" s="213" t="s">
        <v>49</v>
      </c>
      <c r="AH297" s="115"/>
      <c r="AI297" s="136" t="s">
        <v>19</v>
      </c>
      <c r="AJ297" s="117"/>
      <c r="AK297" s="141">
        <v>43.1</v>
      </c>
      <c r="AL297" s="138">
        <v>121</v>
      </c>
      <c r="AM297" s="138">
        <v>12</v>
      </c>
      <c r="AN297" s="117"/>
      <c r="AO297" s="137">
        <f>+[2]SME!$C$69/1000</f>
        <v>0</v>
      </c>
      <c r="AP297" s="138">
        <v>11.6</v>
      </c>
      <c r="AQ297" s="138">
        <v>11.6</v>
      </c>
      <c r="AR297" s="117"/>
      <c r="AS297" s="137"/>
      <c r="AT297" s="138"/>
      <c r="AU297" s="138"/>
      <c r="AV297" s="117"/>
      <c r="AW297" s="137"/>
      <c r="AX297" s="138"/>
      <c r="AY297" s="138"/>
      <c r="AZ297" s="117"/>
      <c r="BA297" s="137"/>
      <c r="BB297" s="138"/>
      <c r="BC297" s="138"/>
      <c r="BD297" s="117"/>
      <c r="BE297" s="137"/>
      <c r="BF297" s="138"/>
      <c r="BG297" s="138"/>
      <c r="BH297" s="117"/>
      <c r="BI297" s="190">
        <v>23</v>
      </c>
      <c r="BJ297" s="190">
        <v>23</v>
      </c>
      <c r="BK297" s="190">
        <v>23</v>
      </c>
      <c r="BM297" s="139"/>
      <c r="BN297" s="140"/>
      <c r="BO297" s="140"/>
    </row>
    <row r="298" spans="1:67" x14ac:dyDescent="0.3">
      <c r="A298" s="213"/>
      <c r="B298" s="115"/>
      <c r="C298" s="136" t="s">
        <v>55</v>
      </c>
      <c r="D298" s="117"/>
      <c r="E298" s="137"/>
      <c r="F298" s="138"/>
      <c r="G298" s="138"/>
      <c r="H298" s="117"/>
      <c r="I298" s="137"/>
      <c r="J298" s="138"/>
      <c r="K298" s="138"/>
      <c r="L298" s="117"/>
      <c r="M298" s="137"/>
      <c r="N298" s="138"/>
      <c r="O298" s="138"/>
      <c r="P298" s="117"/>
      <c r="Q298" s="137"/>
      <c r="R298" s="138"/>
      <c r="S298" s="138"/>
      <c r="T298" s="117"/>
      <c r="U298" s="137"/>
      <c r="V298" s="138"/>
      <c r="W298" s="138"/>
      <c r="X298" s="117"/>
      <c r="Y298" s="137"/>
      <c r="Z298" s="138"/>
      <c r="AA298" s="138"/>
      <c r="AB298" s="117"/>
      <c r="AC298" s="139"/>
      <c r="AD298" s="140"/>
      <c r="AE298" s="140"/>
      <c r="AG298" s="213"/>
      <c r="AH298" s="115"/>
      <c r="AI298" s="136" t="s">
        <v>55</v>
      </c>
      <c r="AJ298" s="117"/>
      <c r="AK298" s="141">
        <v>33.5</v>
      </c>
      <c r="AL298" s="138">
        <v>31</v>
      </c>
      <c r="AM298" s="138">
        <v>33.1</v>
      </c>
      <c r="AN298" s="117"/>
      <c r="AO298" s="137">
        <f>+[2]SME!$C$69/1000</f>
        <v>0</v>
      </c>
      <c r="AP298" s="138">
        <v>11.6</v>
      </c>
      <c r="AQ298" s="138">
        <v>11.6</v>
      </c>
      <c r="AR298" s="117"/>
      <c r="AS298" s="137"/>
      <c r="AT298" s="138"/>
      <c r="AU298" s="138"/>
      <c r="AV298" s="117"/>
      <c r="AW298" s="137"/>
      <c r="AX298" s="138"/>
      <c r="AY298" s="138"/>
      <c r="AZ298" s="117"/>
      <c r="BA298" s="137"/>
      <c r="BB298" s="138"/>
      <c r="BC298" s="138"/>
      <c r="BD298" s="117"/>
      <c r="BE298" s="137"/>
      <c r="BF298" s="138"/>
      <c r="BG298" s="138"/>
      <c r="BH298" s="117"/>
      <c r="BI298" s="190">
        <v>23</v>
      </c>
      <c r="BJ298" s="190">
        <v>23</v>
      </c>
      <c r="BK298" s="190">
        <v>23</v>
      </c>
      <c r="BM298" s="139"/>
      <c r="BN298" s="140"/>
      <c r="BO298" s="140"/>
    </row>
    <row r="299" spans="1:67" x14ac:dyDescent="0.3">
      <c r="A299" s="213"/>
      <c r="B299" s="115"/>
      <c r="C299" s="136" t="s">
        <v>21</v>
      </c>
      <c r="D299" s="117"/>
      <c r="E299" s="142"/>
      <c r="F299" s="143"/>
      <c r="G299" s="143"/>
      <c r="H299" s="117"/>
      <c r="I299" s="142"/>
      <c r="J299" s="143"/>
      <c r="K299" s="143"/>
      <c r="L299" s="117"/>
      <c r="M299" s="142"/>
      <c r="N299" s="143"/>
      <c r="O299" s="143"/>
      <c r="P299" s="117"/>
      <c r="Q299" s="142"/>
      <c r="R299" s="143"/>
      <c r="S299" s="143"/>
      <c r="T299" s="117"/>
      <c r="U299" s="142"/>
      <c r="V299" s="143"/>
      <c r="W299" s="143"/>
      <c r="X299" s="117"/>
      <c r="Y299" s="142"/>
      <c r="Z299" s="143"/>
      <c r="AA299" s="143"/>
      <c r="AB299" s="117"/>
      <c r="AC299" s="144"/>
      <c r="AD299" s="145"/>
      <c r="AE299" s="145"/>
      <c r="AG299" s="213"/>
      <c r="AH299" s="115"/>
      <c r="AI299" s="136" t="s">
        <v>21</v>
      </c>
      <c r="AJ299" s="117"/>
      <c r="AK299" s="146">
        <v>0.34</v>
      </c>
      <c r="AL299" s="143">
        <v>0.19</v>
      </c>
      <c r="AM299" s="143">
        <v>0.43</v>
      </c>
      <c r="AN299" s="117"/>
      <c r="AO299" s="137">
        <f>+[2]SME!$C$69/1000</f>
        <v>0</v>
      </c>
      <c r="AP299" s="138">
        <v>11.6</v>
      </c>
      <c r="AQ299" s="138">
        <v>11.6</v>
      </c>
      <c r="AR299" s="117"/>
      <c r="AS299" s="142"/>
      <c r="AT299" s="143"/>
      <c r="AU299" s="143"/>
      <c r="AV299" s="117"/>
      <c r="AW299" s="142"/>
      <c r="AX299" s="143"/>
      <c r="AY299" s="143"/>
      <c r="AZ299" s="117"/>
      <c r="BA299" s="142"/>
      <c r="BB299" s="143"/>
      <c r="BC299" s="143"/>
      <c r="BD299" s="117"/>
      <c r="BE299" s="142"/>
      <c r="BF299" s="143"/>
      <c r="BG299" s="143"/>
      <c r="BH299" s="117"/>
      <c r="BI299" s="190">
        <v>23</v>
      </c>
      <c r="BJ299" s="190">
        <v>23</v>
      </c>
      <c r="BK299" s="190">
        <v>23</v>
      </c>
      <c r="BM299" s="144"/>
      <c r="BN299" s="145"/>
      <c r="BO299" s="145"/>
    </row>
    <row r="300" spans="1:67" x14ac:dyDescent="0.3">
      <c r="A300" s="213"/>
      <c r="B300" s="115"/>
      <c r="C300" s="136" t="s">
        <v>56</v>
      </c>
      <c r="D300" s="117"/>
      <c r="E300" s="142"/>
      <c r="F300" s="143"/>
      <c r="G300" s="143"/>
      <c r="H300" s="117"/>
      <c r="I300" s="142"/>
      <c r="J300" s="143"/>
      <c r="K300" s="143"/>
      <c r="L300" s="117"/>
      <c r="M300" s="142"/>
      <c r="N300" s="143"/>
      <c r="O300" s="143"/>
      <c r="P300" s="117"/>
      <c r="Q300" s="142"/>
      <c r="R300" s="143"/>
      <c r="S300" s="143"/>
      <c r="T300" s="117"/>
      <c r="U300" s="142"/>
      <c r="V300" s="143"/>
      <c r="W300" s="143"/>
      <c r="X300" s="117"/>
      <c r="Y300" s="142"/>
      <c r="Z300" s="143"/>
      <c r="AA300" s="143"/>
      <c r="AB300" s="117"/>
      <c r="AC300" s="144"/>
      <c r="AD300" s="145"/>
      <c r="AE300" s="145"/>
      <c r="AG300" s="213"/>
      <c r="AH300" s="115"/>
      <c r="AI300" s="136" t="s">
        <v>56</v>
      </c>
      <c r="AJ300" s="117"/>
      <c r="AK300" s="148">
        <f>+AK301+AK302+AK303+AK304</f>
        <v>9.210620346934185</v>
      </c>
      <c r="AL300" s="138">
        <v>-59</v>
      </c>
      <c r="AM300" s="138">
        <v>54.2</v>
      </c>
      <c r="AN300" s="117"/>
      <c r="AO300" s="137">
        <f>+[2]SME!$C$69/1000</f>
        <v>0</v>
      </c>
      <c r="AP300" s="138">
        <v>11.6</v>
      </c>
      <c r="AQ300" s="138">
        <v>11.6</v>
      </c>
      <c r="AR300" s="117"/>
      <c r="AS300" s="142"/>
      <c r="AT300" s="143"/>
      <c r="AU300" s="143"/>
      <c r="AV300" s="117"/>
      <c r="AW300" s="142"/>
      <c r="AX300" s="143"/>
      <c r="AY300" s="143"/>
      <c r="AZ300" s="117"/>
      <c r="BA300" s="142"/>
      <c r="BB300" s="143"/>
      <c r="BC300" s="143"/>
      <c r="BD300" s="117"/>
      <c r="BE300" s="142"/>
      <c r="BF300" s="143"/>
      <c r="BG300" s="143"/>
      <c r="BH300" s="117"/>
      <c r="BI300" s="190">
        <v>23</v>
      </c>
      <c r="BJ300" s="190">
        <v>23</v>
      </c>
      <c r="BK300" s="190">
        <v>23</v>
      </c>
      <c r="BM300" s="144"/>
      <c r="BN300" s="145"/>
      <c r="BO300" s="145"/>
    </row>
    <row r="301" spans="1:67" ht="14.5" x14ac:dyDescent="0.3">
      <c r="A301" s="213"/>
      <c r="B301" s="115"/>
      <c r="C301" s="48" t="s">
        <v>23</v>
      </c>
      <c r="D301" s="117"/>
      <c r="E301" s="105"/>
      <c r="F301" s="51"/>
      <c r="G301" s="51"/>
      <c r="H301" s="117"/>
      <c r="I301" s="105"/>
      <c r="J301" s="51"/>
      <c r="K301" s="51"/>
      <c r="L301" s="117"/>
      <c r="M301" s="105"/>
      <c r="N301" s="51"/>
      <c r="O301" s="51"/>
      <c r="P301" s="117"/>
      <c r="Q301" s="105"/>
      <c r="R301" s="51"/>
      <c r="S301" s="51"/>
      <c r="T301" s="117"/>
      <c r="U301" s="105"/>
      <c r="V301" s="51"/>
      <c r="W301" s="51"/>
      <c r="X301" s="117"/>
      <c r="Y301" s="105"/>
      <c r="Z301" s="51"/>
      <c r="AA301" s="51"/>
      <c r="AB301" s="117"/>
      <c r="AC301" s="103"/>
      <c r="AD301" s="62"/>
      <c r="AE301" s="62"/>
      <c r="AG301" s="213"/>
      <c r="AH301" s="115"/>
      <c r="AI301" s="48" t="s">
        <v>23</v>
      </c>
      <c r="AJ301" s="117"/>
      <c r="AK301" s="141">
        <v>23.9</v>
      </c>
      <c r="AL301" s="138">
        <v>-149</v>
      </c>
      <c r="AM301" s="138">
        <v>75.3</v>
      </c>
      <c r="AN301" s="117"/>
      <c r="AO301" s="137">
        <f>+[2]SME!$C$69/1000</f>
        <v>0</v>
      </c>
      <c r="AP301" s="138">
        <v>11.6</v>
      </c>
      <c r="AQ301" s="138">
        <v>11.6</v>
      </c>
      <c r="AR301" s="117"/>
      <c r="AS301" s="105"/>
      <c r="AT301" s="51"/>
      <c r="AU301" s="51"/>
      <c r="AV301" s="117"/>
      <c r="AW301" s="105"/>
      <c r="AX301" s="51"/>
      <c r="AY301" s="51"/>
      <c r="AZ301" s="117"/>
      <c r="BA301" s="105"/>
      <c r="BB301" s="51"/>
      <c r="BC301" s="51"/>
      <c r="BD301" s="117"/>
      <c r="BE301" s="105"/>
      <c r="BF301" s="51"/>
      <c r="BG301" s="51"/>
      <c r="BH301" s="117"/>
      <c r="BI301" s="190">
        <v>23</v>
      </c>
      <c r="BJ301" s="190">
        <v>23</v>
      </c>
      <c r="BK301" s="190">
        <v>23</v>
      </c>
      <c r="BM301" s="103"/>
      <c r="BN301" s="62"/>
      <c r="BO301" s="62"/>
    </row>
    <row r="302" spans="1:67" ht="14.5" x14ac:dyDescent="0.3">
      <c r="A302" s="213"/>
      <c r="B302" s="115"/>
      <c r="C302" s="48" t="s">
        <v>24</v>
      </c>
      <c r="D302" s="134"/>
      <c r="E302" s="105"/>
      <c r="F302" s="51"/>
      <c r="G302" s="51"/>
      <c r="H302" s="134"/>
      <c r="I302" s="105"/>
      <c r="J302" s="51"/>
      <c r="K302" s="51"/>
      <c r="L302" s="134"/>
      <c r="M302" s="105"/>
      <c r="N302" s="51"/>
      <c r="O302" s="51"/>
      <c r="P302" s="134"/>
      <c r="Q302" s="105"/>
      <c r="R302" s="51"/>
      <c r="S302" s="51"/>
      <c r="T302" s="134"/>
      <c r="U302" s="105"/>
      <c r="V302" s="51"/>
      <c r="W302" s="51"/>
      <c r="X302" s="134"/>
      <c r="Y302" s="105"/>
      <c r="Z302" s="51"/>
      <c r="AA302" s="51"/>
      <c r="AB302" s="134"/>
      <c r="AC302" s="103"/>
      <c r="AD302" s="62"/>
      <c r="AE302" s="62"/>
      <c r="AG302" s="213"/>
      <c r="AH302" s="115"/>
      <c r="AI302" s="48" t="s">
        <v>24</v>
      </c>
      <c r="AJ302" s="134"/>
      <c r="AK302" s="141">
        <v>14.3</v>
      </c>
      <c r="AL302" s="143">
        <v>1.19</v>
      </c>
      <c r="AM302" s="143">
        <v>1.43</v>
      </c>
      <c r="AN302" s="134"/>
      <c r="AO302" s="137">
        <f>+[2]SME!$C$69/1000</f>
        <v>0</v>
      </c>
      <c r="AP302" s="138">
        <v>11.6</v>
      </c>
      <c r="AQ302" s="138">
        <v>11.6</v>
      </c>
      <c r="AR302" s="134"/>
      <c r="AS302" s="105"/>
      <c r="AT302" s="51"/>
      <c r="AU302" s="51"/>
      <c r="AV302" s="134"/>
      <c r="AW302" s="105"/>
      <c r="AX302" s="51"/>
      <c r="AY302" s="51"/>
      <c r="AZ302" s="134"/>
      <c r="BA302" s="105"/>
      <c r="BB302" s="51"/>
      <c r="BC302" s="51"/>
      <c r="BD302" s="134"/>
      <c r="BE302" s="105"/>
      <c r="BF302" s="51"/>
      <c r="BG302" s="51"/>
      <c r="BH302" s="134"/>
      <c r="BI302" s="190">
        <v>23</v>
      </c>
      <c r="BJ302" s="190">
        <v>23</v>
      </c>
      <c r="BK302" s="190">
        <v>23</v>
      </c>
      <c r="BM302" s="103"/>
      <c r="BN302" s="62"/>
      <c r="BO302" s="62"/>
    </row>
    <row r="303" spans="1:67" ht="14.5" x14ac:dyDescent="0.3">
      <c r="A303" s="213"/>
      <c r="B303" s="115"/>
      <c r="C303" s="48" t="s">
        <v>25</v>
      </c>
      <c r="D303" s="134"/>
      <c r="E303" s="105"/>
      <c r="F303" s="51"/>
      <c r="G303" s="51"/>
      <c r="H303" s="134"/>
      <c r="I303" s="105"/>
      <c r="J303" s="51"/>
      <c r="K303" s="51"/>
      <c r="L303" s="134"/>
      <c r="M303" s="105"/>
      <c r="N303" s="51"/>
      <c r="O303" s="51"/>
      <c r="P303" s="134"/>
      <c r="Q303" s="105"/>
      <c r="R303" s="51"/>
      <c r="S303" s="51"/>
      <c r="T303" s="134"/>
      <c r="U303" s="105"/>
      <c r="V303" s="51"/>
      <c r="W303" s="51"/>
      <c r="X303" s="134"/>
      <c r="Y303" s="105"/>
      <c r="Z303" s="51"/>
      <c r="AA303" s="51"/>
      <c r="AB303" s="134"/>
      <c r="AC303" s="103"/>
      <c r="AD303" s="62"/>
      <c r="AE303" s="62"/>
      <c r="AG303" s="213"/>
      <c r="AH303" s="115"/>
      <c r="AI303" s="48" t="s">
        <v>25</v>
      </c>
      <c r="AJ303" s="134"/>
      <c r="AK303" s="146">
        <v>1.34</v>
      </c>
      <c r="AL303" s="138">
        <v>-239</v>
      </c>
      <c r="AM303" s="138">
        <v>96.4</v>
      </c>
      <c r="AN303" s="134"/>
      <c r="AO303" s="137">
        <f>+[2]SME!$C$69/1000</f>
        <v>0</v>
      </c>
      <c r="AP303" s="138">
        <v>11.6</v>
      </c>
      <c r="AQ303" s="138">
        <v>11.6</v>
      </c>
      <c r="AR303" s="134"/>
      <c r="AS303" s="105"/>
      <c r="AT303" s="51"/>
      <c r="AU303" s="51"/>
      <c r="AV303" s="134"/>
      <c r="AW303" s="105"/>
      <c r="AX303" s="51"/>
      <c r="AY303" s="51"/>
      <c r="AZ303" s="134"/>
      <c r="BA303" s="105"/>
      <c r="BB303" s="51"/>
      <c r="BC303" s="51"/>
      <c r="BD303" s="134"/>
      <c r="BE303" s="105"/>
      <c r="BF303" s="51"/>
      <c r="BG303" s="51"/>
      <c r="BH303" s="134"/>
      <c r="BI303" s="190">
        <v>23</v>
      </c>
      <c r="BJ303" s="190">
        <v>23</v>
      </c>
      <c r="BK303" s="190">
        <v>23</v>
      </c>
      <c r="BM303" s="103"/>
      <c r="BN303" s="62"/>
      <c r="BO303" s="62"/>
    </row>
    <row r="304" spans="1:67" ht="14.5" x14ac:dyDescent="0.3">
      <c r="A304" s="213"/>
      <c r="B304" s="115"/>
      <c r="C304" s="48" t="s">
        <v>53</v>
      </c>
      <c r="D304" s="134"/>
      <c r="E304" s="105"/>
      <c r="F304" s="51"/>
      <c r="G304" s="51"/>
      <c r="H304" s="134"/>
      <c r="I304" s="105"/>
      <c r="J304" s="51"/>
      <c r="K304" s="51"/>
      <c r="L304" s="134"/>
      <c r="M304" s="105"/>
      <c r="N304" s="51"/>
      <c r="O304" s="51"/>
      <c r="P304" s="134"/>
      <c r="Q304" s="105"/>
      <c r="R304" s="51"/>
      <c r="S304" s="51"/>
      <c r="T304" s="134"/>
      <c r="U304" s="105"/>
      <c r="V304" s="51"/>
      <c r="W304" s="51"/>
      <c r="X304" s="134"/>
      <c r="Y304" s="105"/>
      <c r="Z304" s="51"/>
      <c r="AA304" s="51"/>
      <c r="AB304" s="134"/>
      <c r="AC304" s="103"/>
      <c r="AD304" s="62"/>
      <c r="AE304" s="62"/>
      <c r="AG304" s="213"/>
      <c r="AH304" s="115"/>
      <c r="AI304" s="48" t="s">
        <v>53</v>
      </c>
      <c r="AJ304" s="134"/>
      <c r="AK304" s="148">
        <f t="shared" ref="AK304" si="9">+AK305+AK306+AK307+AK308</f>
        <v>-30.329379653065821</v>
      </c>
      <c r="AL304" s="138">
        <v>-329</v>
      </c>
      <c r="AM304" s="138">
        <v>117.5</v>
      </c>
      <c r="AN304" s="134"/>
      <c r="AO304" s="137">
        <f>+[2]SME!$C$69/1000</f>
        <v>0</v>
      </c>
      <c r="AP304" s="138">
        <v>11.6</v>
      </c>
      <c r="AQ304" s="138">
        <v>11.6</v>
      </c>
      <c r="AR304" s="134"/>
      <c r="AS304" s="105"/>
      <c r="AT304" s="51"/>
      <c r="AU304" s="51"/>
      <c r="AV304" s="134"/>
      <c r="AW304" s="105"/>
      <c r="AX304" s="51"/>
      <c r="AY304" s="51"/>
      <c r="AZ304" s="134"/>
      <c r="BA304" s="105"/>
      <c r="BB304" s="51"/>
      <c r="BC304" s="51"/>
      <c r="BD304" s="134"/>
      <c r="BE304" s="105"/>
      <c r="BF304" s="51"/>
      <c r="BG304" s="51"/>
      <c r="BH304" s="134"/>
      <c r="BI304" s="190">
        <v>23</v>
      </c>
      <c r="BJ304" s="190">
        <v>23</v>
      </c>
      <c r="BK304" s="190">
        <v>23</v>
      </c>
      <c r="BM304" s="103"/>
      <c r="BN304" s="62"/>
      <c r="BO304" s="62"/>
    </row>
    <row r="305" spans="1:67" x14ac:dyDescent="0.3">
      <c r="A305" s="213"/>
      <c r="B305" s="115"/>
      <c r="C305" s="136" t="s">
        <v>27</v>
      </c>
      <c r="D305" s="134"/>
      <c r="E305" s="142"/>
      <c r="F305" s="143"/>
      <c r="G305" s="143"/>
      <c r="H305" s="134"/>
      <c r="I305" s="142"/>
      <c r="J305" s="143"/>
      <c r="K305" s="143"/>
      <c r="L305" s="134"/>
      <c r="M305" s="142"/>
      <c r="N305" s="143"/>
      <c r="O305" s="143"/>
      <c r="P305" s="134"/>
      <c r="Q305" s="142"/>
      <c r="R305" s="143"/>
      <c r="S305" s="143"/>
      <c r="T305" s="134"/>
      <c r="U305" s="142"/>
      <c r="V305" s="143"/>
      <c r="W305" s="143"/>
      <c r="X305" s="134"/>
      <c r="Y305" s="142"/>
      <c r="Z305" s="143"/>
      <c r="AA305" s="143"/>
      <c r="AB305" s="134"/>
      <c r="AC305" s="144"/>
      <c r="AD305" s="145"/>
      <c r="AE305" s="145"/>
      <c r="AG305" s="213"/>
      <c r="AH305" s="115"/>
      <c r="AI305" s="136" t="s">
        <v>27</v>
      </c>
      <c r="AJ305" s="134"/>
      <c r="AK305" s="141">
        <v>4.7</v>
      </c>
      <c r="AL305" s="143">
        <v>2.19</v>
      </c>
      <c r="AM305" s="143">
        <v>2.4300000000000002</v>
      </c>
      <c r="AN305" s="134"/>
      <c r="AO305" s="137">
        <f>+[2]SME!$C$69/1000</f>
        <v>0</v>
      </c>
      <c r="AP305" s="138">
        <v>11.6</v>
      </c>
      <c r="AQ305" s="138">
        <v>11.6</v>
      </c>
      <c r="AR305" s="134"/>
      <c r="AS305" s="142"/>
      <c r="AT305" s="143"/>
      <c r="AU305" s="143"/>
      <c r="AV305" s="134"/>
      <c r="AW305" s="142"/>
      <c r="AX305" s="143"/>
      <c r="AY305" s="143"/>
      <c r="AZ305" s="134"/>
      <c r="BA305" s="142"/>
      <c r="BB305" s="143"/>
      <c r="BC305" s="143"/>
      <c r="BD305" s="134"/>
      <c r="BE305" s="142"/>
      <c r="BF305" s="143"/>
      <c r="BG305" s="143"/>
      <c r="BH305" s="134"/>
      <c r="BI305" s="190">
        <v>23</v>
      </c>
      <c r="BJ305" s="190">
        <v>23</v>
      </c>
      <c r="BK305" s="190">
        <v>23</v>
      </c>
      <c r="BM305" s="144"/>
      <c r="BN305" s="145"/>
      <c r="BO305" s="145"/>
    </row>
    <row r="306" spans="1:67" x14ac:dyDescent="0.3">
      <c r="A306" s="213"/>
      <c r="B306" s="115"/>
      <c r="C306" s="136" t="s">
        <v>57</v>
      </c>
      <c r="D306" s="134"/>
      <c r="E306" s="142"/>
      <c r="F306" s="143"/>
      <c r="G306" s="143"/>
      <c r="H306" s="134"/>
      <c r="I306" s="142"/>
      <c r="J306" s="143"/>
      <c r="K306" s="143"/>
      <c r="L306" s="134"/>
      <c r="M306" s="142"/>
      <c r="N306" s="143"/>
      <c r="O306" s="143"/>
      <c r="P306" s="134"/>
      <c r="Q306" s="142"/>
      <c r="R306" s="143"/>
      <c r="S306" s="143"/>
      <c r="T306" s="134"/>
      <c r="U306" s="142"/>
      <c r="V306" s="143"/>
      <c r="W306" s="143"/>
      <c r="X306" s="134"/>
      <c r="Y306" s="142"/>
      <c r="Z306" s="143"/>
      <c r="AA306" s="143"/>
      <c r="AB306" s="134"/>
      <c r="AC306" s="144"/>
      <c r="AD306" s="145"/>
      <c r="AE306" s="145"/>
      <c r="AG306" s="213"/>
      <c r="AH306" s="115"/>
      <c r="AI306" s="136" t="s">
        <v>57</v>
      </c>
      <c r="AJ306" s="134"/>
      <c r="AK306" s="141">
        <v>-4.9000000000000004</v>
      </c>
      <c r="AL306" s="138">
        <v>-419</v>
      </c>
      <c r="AM306" s="138">
        <v>138.6</v>
      </c>
      <c r="AN306" s="134"/>
      <c r="AO306" s="137">
        <f>+[2]SME!$C$69/1000</f>
        <v>0</v>
      </c>
      <c r="AP306" s="138">
        <v>11.6</v>
      </c>
      <c r="AQ306" s="138">
        <v>11.6</v>
      </c>
      <c r="AR306" s="134"/>
      <c r="AS306" s="142"/>
      <c r="AT306" s="143"/>
      <c r="AU306" s="143"/>
      <c r="AV306" s="134"/>
      <c r="AW306" s="142"/>
      <c r="AX306" s="143"/>
      <c r="AY306" s="143"/>
      <c r="AZ306" s="134"/>
      <c r="BA306" s="142"/>
      <c r="BB306" s="143"/>
      <c r="BC306" s="143"/>
      <c r="BD306" s="134"/>
      <c r="BE306" s="142"/>
      <c r="BF306" s="143"/>
      <c r="BG306" s="143"/>
      <c r="BH306" s="134"/>
      <c r="BI306" s="190">
        <v>23</v>
      </c>
      <c r="BJ306" s="190">
        <v>23</v>
      </c>
      <c r="BK306" s="190">
        <v>23</v>
      </c>
      <c r="BM306" s="144"/>
      <c r="BN306" s="145"/>
      <c r="BO306" s="145"/>
    </row>
    <row r="307" spans="1:67" x14ac:dyDescent="0.3">
      <c r="A307" s="213"/>
      <c r="B307" s="115"/>
      <c r="C307" s="136" t="s">
        <v>29</v>
      </c>
      <c r="D307" s="134"/>
      <c r="E307" s="142"/>
      <c r="F307" s="143"/>
      <c r="G307" s="143"/>
      <c r="H307" s="134"/>
      <c r="I307" s="142"/>
      <c r="J307" s="143"/>
      <c r="K307" s="143"/>
      <c r="L307" s="134"/>
      <c r="M307" s="142"/>
      <c r="N307" s="143"/>
      <c r="O307" s="143"/>
      <c r="P307" s="134"/>
      <c r="Q307" s="142"/>
      <c r="R307" s="143"/>
      <c r="S307" s="143"/>
      <c r="T307" s="134"/>
      <c r="U307" s="142"/>
      <c r="V307" s="143"/>
      <c r="W307" s="143"/>
      <c r="X307" s="134"/>
      <c r="Y307" s="142"/>
      <c r="Z307" s="143"/>
      <c r="AA307" s="143"/>
      <c r="AB307" s="134"/>
      <c r="AC307" s="144"/>
      <c r="AD307" s="145"/>
      <c r="AE307" s="145"/>
      <c r="AG307" s="213"/>
      <c r="AH307" s="115"/>
      <c r="AI307" s="136" t="s">
        <v>29</v>
      </c>
      <c r="AJ307" s="134"/>
      <c r="AK307" s="146">
        <v>2.34</v>
      </c>
      <c r="AL307" s="138">
        <v>-509</v>
      </c>
      <c r="AM307" s="138">
        <v>159.69999999999999</v>
      </c>
      <c r="AN307" s="134"/>
      <c r="AO307" s="137">
        <f>+[2]SME!$C$69/1000</f>
        <v>0</v>
      </c>
      <c r="AP307" s="138">
        <v>11.6</v>
      </c>
      <c r="AQ307" s="138">
        <v>11.6</v>
      </c>
      <c r="AR307" s="134"/>
      <c r="AS307" s="142"/>
      <c r="AT307" s="143"/>
      <c r="AU307" s="143"/>
      <c r="AV307" s="134"/>
      <c r="AW307" s="142"/>
      <c r="AX307" s="143"/>
      <c r="AY307" s="143"/>
      <c r="AZ307" s="134"/>
      <c r="BA307" s="142"/>
      <c r="BB307" s="143"/>
      <c r="BC307" s="143"/>
      <c r="BD307" s="134"/>
      <c r="BE307" s="142"/>
      <c r="BF307" s="143"/>
      <c r="BG307" s="143"/>
      <c r="BH307" s="134"/>
      <c r="BI307" s="190">
        <v>23</v>
      </c>
      <c r="BJ307" s="190">
        <v>23</v>
      </c>
      <c r="BK307" s="190">
        <v>23</v>
      </c>
      <c r="BM307" s="144"/>
      <c r="BN307" s="145"/>
      <c r="BO307" s="145"/>
    </row>
    <row r="308" spans="1:67" x14ac:dyDescent="0.3">
      <c r="A308" s="213"/>
      <c r="B308" s="115"/>
      <c r="C308" s="136" t="s">
        <v>58</v>
      </c>
      <c r="D308" s="134"/>
      <c r="E308" s="142"/>
      <c r="F308" s="143"/>
      <c r="G308" s="143"/>
      <c r="H308" s="134"/>
      <c r="I308" s="142"/>
      <c r="J308" s="143"/>
      <c r="K308" s="143"/>
      <c r="L308" s="134"/>
      <c r="M308" s="142"/>
      <c r="N308" s="143"/>
      <c r="O308" s="143"/>
      <c r="P308" s="134"/>
      <c r="Q308" s="142"/>
      <c r="R308" s="143"/>
      <c r="S308" s="143"/>
      <c r="T308" s="134"/>
      <c r="U308" s="142"/>
      <c r="V308" s="143"/>
      <c r="W308" s="143"/>
      <c r="X308" s="134"/>
      <c r="Y308" s="142"/>
      <c r="Z308" s="143"/>
      <c r="AA308" s="143"/>
      <c r="AB308" s="134"/>
      <c r="AC308" s="144"/>
      <c r="AD308" s="145"/>
      <c r="AE308" s="145"/>
      <c r="AG308" s="213"/>
      <c r="AH308" s="115"/>
      <c r="AI308" s="136" t="s">
        <v>58</v>
      </c>
      <c r="AJ308" s="134"/>
      <c r="AK308" s="148">
        <f t="shared" ref="AK308" si="10">+AK309+AK310+AK311+AK312</f>
        <v>-32.469379653065822</v>
      </c>
      <c r="AL308" s="143">
        <v>3.19</v>
      </c>
      <c r="AM308" s="143">
        <v>3.43</v>
      </c>
      <c r="AN308" s="134"/>
      <c r="AO308" s="137">
        <f>+[2]SME!$C$69/1000</f>
        <v>0</v>
      </c>
      <c r="AP308" s="138">
        <v>11.6</v>
      </c>
      <c r="AQ308" s="138">
        <v>11.6</v>
      </c>
      <c r="AR308" s="134"/>
      <c r="AS308" s="142"/>
      <c r="AT308" s="143"/>
      <c r="AU308" s="143"/>
      <c r="AV308" s="134"/>
      <c r="AW308" s="142"/>
      <c r="AX308" s="143"/>
      <c r="AY308" s="143"/>
      <c r="AZ308" s="134"/>
      <c r="BA308" s="142"/>
      <c r="BB308" s="143"/>
      <c r="BC308" s="143"/>
      <c r="BD308" s="134"/>
      <c r="BE308" s="142"/>
      <c r="BF308" s="143"/>
      <c r="BG308" s="143"/>
      <c r="BH308" s="134"/>
      <c r="BI308" s="190">
        <v>23</v>
      </c>
      <c r="BJ308" s="190">
        <v>23</v>
      </c>
      <c r="BK308" s="190">
        <v>23</v>
      </c>
      <c r="BM308" s="144"/>
      <c r="BN308" s="145"/>
      <c r="BO308" s="145"/>
    </row>
    <row r="309" spans="1:67" ht="14.5" x14ac:dyDescent="0.3">
      <c r="A309" s="213"/>
      <c r="B309" s="115"/>
      <c r="C309" s="50" t="s">
        <v>59</v>
      </c>
      <c r="D309" s="135"/>
      <c r="E309" s="105"/>
      <c r="F309" s="51"/>
      <c r="G309" s="51"/>
      <c r="H309" s="135"/>
      <c r="I309" s="105"/>
      <c r="J309" s="51"/>
      <c r="K309" s="51"/>
      <c r="L309" s="135"/>
      <c r="M309" s="105"/>
      <c r="N309" s="51"/>
      <c r="O309" s="51"/>
      <c r="P309" s="135"/>
      <c r="Q309" s="105"/>
      <c r="R309" s="51"/>
      <c r="S309" s="51"/>
      <c r="T309" s="135"/>
      <c r="U309" s="105"/>
      <c r="V309" s="51"/>
      <c r="W309" s="51"/>
      <c r="X309" s="135"/>
      <c r="Y309" s="105"/>
      <c r="Z309" s="51"/>
      <c r="AA309" s="51"/>
      <c r="AB309" s="135"/>
      <c r="AC309" s="103"/>
      <c r="AD309" s="62"/>
      <c r="AE309" s="62"/>
      <c r="AG309" s="213"/>
      <c r="AH309" s="115"/>
      <c r="AI309" s="50" t="s">
        <v>59</v>
      </c>
      <c r="AJ309" s="135"/>
      <c r="AK309" s="141">
        <v>-14.5</v>
      </c>
      <c r="AL309" s="138">
        <v>-599</v>
      </c>
      <c r="AM309" s="138">
        <v>180.8</v>
      </c>
      <c r="AN309" s="135"/>
      <c r="AO309" s="137">
        <f>+[2]SME!$C$69/1000</f>
        <v>0</v>
      </c>
      <c r="AP309" s="138">
        <v>11.6</v>
      </c>
      <c r="AQ309" s="138">
        <v>11.6</v>
      </c>
      <c r="AR309" s="135"/>
      <c r="AS309" s="105"/>
      <c r="AT309" s="51"/>
      <c r="AU309" s="51"/>
      <c r="AV309" s="135"/>
      <c r="AW309" s="105"/>
      <c r="AX309" s="51"/>
      <c r="AY309" s="51"/>
      <c r="AZ309" s="135"/>
      <c r="BA309" s="105"/>
      <c r="BB309" s="51"/>
      <c r="BC309" s="51"/>
      <c r="BD309" s="135"/>
      <c r="BE309" s="105"/>
      <c r="BF309" s="51"/>
      <c r="BG309" s="51"/>
      <c r="BH309" s="135"/>
      <c r="BI309" s="190">
        <v>23</v>
      </c>
      <c r="BJ309" s="190">
        <v>23</v>
      </c>
      <c r="BK309" s="190">
        <v>23</v>
      </c>
      <c r="BM309" s="103"/>
      <c r="BN309" s="62"/>
      <c r="BO309" s="62"/>
    </row>
    <row r="310" spans="1:67" ht="14.5" x14ac:dyDescent="0.3">
      <c r="A310" s="213"/>
      <c r="B310" s="115"/>
      <c r="C310" s="50" t="s">
        <v>60</v>
      </c>
      <c r="D310" s="135"/>
      <c r="E310" s="105"/>
      <c r="F310" s="51"/>
      <c r="G310" s="51"/>
      <c r="H310" s="135"/>
      <c r="I310" s="105"/>
      <c r="J310" s="51"/>
      <c r="K310" s="51"/>
      <c r="L310" s="135"/>
      <c r="M310" s="105"/>
      <c r="N310" s="51"/>
      <c r="O310" s="51"/>
      <c r="P310" s="135"/>
      <c r="Q310" s="105"/>
      <c r="R310" s="51"/>
      <c r="S310" s="51"/>
      <c r="T310" s="135"/>
      <c r="U310" s="105"/>
      <c r="V310" s="51"/>
      <c r="W310" s="51"/>
      <c r="X310" s="135"/>
      <c r="Y310" s="105"/>
      <c r="Z310" s="51"/>
      <c r="AA310" s="51"/>
      <c r="AB310" s="135"/>
      <c r="AC310" s="103"/>
      <c r="AD310" s="62"/>
      <c r="AE310" s="62"/>
      <c r="AG310" s="213"/>
      <c r="AH310" s="115"/>
      <c r="AI310" s="50" t="s">
        <v>60</v>
      </c>
      <c r="AJ310" s="135"/>
      <c r="AK310" s="141">
        <v>-24.1</v>
      </c>
      <c r="AL310" s="138">
        <v>-689</v>
      </c>
      <c r="AM310" s="138">
        <v>201.9</v>
      </c>
      <c r="AN310" s="135"/>
      <c r="AO310" s="137">
        <f>+[2]SME!$C$69/1000</f>
        <v>0</v>
      </c>
      <c r="AP310" s="138">
        <v>11.6</v>
      </c>
      <c r="AQ310" s="138">
        <v>11.6</v>
      </c>
      <c r="AR310" s="135"/>
      <c r="AS310" s="105"/>
      <c r="AT310" s="51"/>
      <c r="AU310" s="51"/>
      <c r="AV310" s="135"/>
      <c r="AW310" s="105"/>
      <c r="AX310" s="51"/>
      <c r="AY310" s="51"/>
      <c r="AZ310" s="135"/>
      <c r="BA310" s="105"/>
      <c r="BB310" s="51"/>
      <c r="BC310" s="51"/>
      <c r="BD310" s="135"/>
      <c r="BE310" s="105"/>
      <c r="BF310" s="51"/>
      <c r="BG310" s="51"/>
      <c r="BH310" s="135"/>
      <c r="BI310" s="190">
        <v>23</v>
      </c>
      <c r="BJ310" s="190">
        <v>23</v>
      </c>
      <c r="BK310" s="190">
        <v>23</v>
      </c>
      <c r="BM310" s="103"/>
      <c r="BN310" s="62"/>
      <c r="BO310" s="62"/>
    </row>
    <row r="311" spans="1:67" ht="14.5" x14ac:dyDescent="0.3">
      <c r="A311" s="213"/>
      <c r="B311" s="115"/>
      <c r="C311" s="50" t="s">
        <v>61</v>
      </c>
      <c r="D311" s="135"/>
      <c r="E311" s="105"/>
      <c r="F311" s="51"/>
      <c r="G311" s="51"/>
      <c r="H311" s="135"/>
      <c r="I311" s="105"/>
      <c r="J311" s="51"/>
      <c r="K311" s="51"/>
      <c r="L311" s="135"/>
      <c r="M311" s="105"/>
      <c r="N311" s="51"/>
      <c r="O311" s="51"/>
      <c r="P311" s="135"/>
      <c r="Q311" s="105"/>
      <c r="R311" s="51"/>
      <c r="S311" s="51"/>
      <c r="T311" s="135"/>
      <c r="U311" s="105"/>
      <c r="V311" s="51"/>
      <c r="W311" s="51"/>
      <c r="X311" s="135"/>
      <c r="Y311" s="105"/>
      <c r="Z311" s="51"/>
      <c r="AA311" s="51"/>
      <c r="AB311" s="135"/>
      <c r="AC311" s="103"/>
      <c r="AD311" s="62"/>
      <c r="AE311" s="62"/>
      <c r="AG311" s="213"/>
      <c r="AH311" s="115"/>
      <c r="AI311" s="50" t="s">
        <v>61</v>
      </c>
      <c r="AJ311" s="135"/>
      <c r="AK311" s="146">
        <v>3.34</v>
      </c>
      <c r="AL311" s="143">
        <v>4.1900000000000004</v>
      </c>
      <c r="AM311" s="143">
        <v>4.43</v>
      </c>
      <c r="AN311" s="135"/>
      <c r="AO311" s="137">
        <f>+[2]SME!$C$69/1000</f>
        <v>0</v>
      </c>
      <c r="AP311" s="138">
        <v>11.6</v>
      </c>
      <c r="AQ311" s="138">
        <v>11.6</v>
      </c>
      <c r="AR311" s="135"/>
      <c r="AS311" s="105"/>
      <c r="AT311" s="51"/>
      <c r="AU311" s="51"/>
      <c r="AV311" s="135"/>
      <c r="AW311" s="105"/>
      <c r="AX311" s="51"/>
      <c r="AY311" s="51"/>
      <c r="AZ311" s="135"/>
      <c r="BA311" s="105"/>
      <c r="BB311" s="51"/>
      <c r="BC311" s="51"/>
      <c r="BD311" s="135"/>
      <c r="BE311" s="105"/>
      <c r="BF311" s="51"/>
      <c r="BG311" s="51"/>
      <c r="BH311" s="135"/>
      <c r="BI311" s="190">
        <v>23</v>
      </c>
      <c r="BJ311" s="190">
        <v>23</v>
      </c>
      <c r="BK311" s="190">
        <v>23</v>
      </c>
      <c r="BM311" s="103"/>
      <c r="BN311" s="62"/>
      <c r="BO311" s="62"/>
    </row>
    <row r="312" spans="1:67" x14ac:dyDescent="0.3">
      <c r="A312" s="213"/>
      <c r="B312" s="115"/>
      <c r="C312" s="136" t="s">
        <v>34</v>
      </c>
      <c r="D312" s="117"/>
      <c r="E312" s="137"/>
      <c r="F312" s="138"/>
      <c r="G312" s="138"/>
      <c r="H312" s="117"/>
      <c r="I312" s="137"/>
      <c r="J312" s="138"/>
      <c r="K312" s="138"/>
      <c r="L312" s="117"/>
      <c r="M312" s="137"/>
      <c r="N312" s="138"/>
      <c r="O312" s="138"/>
      <c r="P312" s="117"/>
      <c r="Q312" s="137"/>
      <c r="R312" s="138"/>
      <c r="S312" s="138"/>
      <c r="T312" s="117"/>
      <c r="U312" s="137"/>
      <c r="V312" s="138"/>
      <c r="W312" s="138"/>
      <c r="X312" s="117"/>
      <c r="Y312" s="137"/>
      <c r="Z312" s="138"/>
      <c r="AA312" s="138"/>
      <c r="AB312" s="117"/>
      <c r="AC312" s="139"/>
      <c r="AD312" s="140"/>
      <c r="AE312" s="140"/>
      <c r="AG312" s="213"/>
      <c r="AH312" s="115"/>
      <c r="AI312" s="136" t="s">
        <v>34</v>
      </c>
      <c r="AJ312" s="117"/>
      <c r="AK312" s="148">
        <f t="shared" ref="AK312" si="11">+AK313+AK314+AK315+AK316</f>
        <v>2.7906203469341815</v>
      </c>
      <c r="AL312" s="138">
        <v>-779</v>
      </c>
      <c r="AM312" s="138">
        <v>223</v>
      </c>
      <c r="AN312" s="117"/>
      <c r="AO312" s="137">
        <f>+[2]SME!$C$69/1000</f>
        <v>0</v>
      </c>
      <c r="AP312" s="138">
        <v>11.6</v>
      </c>
      <c r="AQ312" s="138">
        <v>11.6</v>
      </c>
      <c r="AR312" s="117"/>
      <c r="AS312" s="137"/>
      <c r="AT312" s="138"/>
      <c r="AU312" s="138"/>
      <c r="AV312" s="117"/>
      <c r="AW312" s="137"/>
      <c r="AX312" s="138"/>
      <c r="AY312" s="138"/>
      <c r="AZ312" s="117"/>
      <c r="BA312" s="137"/>
      <c r="BB312" s="138"/>
      <c r="BC312" s="138"/>
      <c r="BD312" s="117"/>
      <c r="BE312" s="137"/>
      <c r="BF312" s="138"/>
      <c r="BG312" s="138"/>
      <c r="BH312" s="117"/>
      <c r="BI312" s="190">
        <v>23</v>
      </c>
      <c r="BJ312" s="190">
        <v>23</v>
      </c>
      <c r="BK312" s="190">
        <v>23</v>
      </c>
      <c r="BM312" s="139"/>
      <c r="BN312" s="140"/>
      <c r="BO312" s="140"/>
    </row>
    <row r="313" spans="1:67" ht="17.5" x14ac:dyDescent="0.35">
      <c r="AG313" s="153"/>
    </row>
    <row r="314" spans="1:67" ht="16.5" hidden="1" customHeight="1" outlineLevel="1" x14ac:dyDescent="0.3">
      <c r="A314" s="210" t="s">
        <v>50</v>
      </c>
      <c r="B314" s="115"/>
      <c r="C314" s="136" t="s">
        <v>19</v>
      </c>
      <c r="D314" s="117"/>
      <c r="E314" s="137"/>
      <c r="F314" s="138"/>
      <c r="G314" s="138"/>
      <c r="H314" s="117"/>
      <c r="I314" s="137"/>
      <c r="J314" s="138"/>
      <c r="K314" s="138"/>
      <c r="L314" s="117"/>
      <c r="M314" s="137"/>
      <c r="N314" s="138"/>
      <c r="O314" s="138"/>
      <c r="P314" s="117"/>
      <c r="Q314" s="137"/>
      <c r="R314" s="138"/>
      <c r="S314" s="138"/>
      <c r="T314" s="117"/>
      <c r="U314" s="137"/>
      <c r="V314" s="138"/>
      <c r="W314" s="138"/>
      <c r="X314" s="117"/>
      <c r="Y314" s="137"/>
      <c r="Z314" s="138"/>
      <c r="AA314" s="138"/>
      <c r="AB314" s="117"/>
      <c r="AC314" s="139"/>
      <c r="AD314" s="140"/>
      <c r="AE314" s="140"/>
      <c r="AG314" s="211" t="s">
        <v>50</v>
      </c>
      <c r="AH314" s="115"/>
      <c r="AI314" s="136" t="s">
        <v>19</v>
      </c>
      <c r="AJ314" s="117"/>
      <c r="AK314" s="141">
        <f>+[2]Retail!$C$73/1000</f>
        <v>0.31993052999999999</v>
      </c>
      <c r="AL314" s="138">
        <f>+[2]Retail!$C$74/1000</f>
        <v>0.31100812</v>
      </c>
      <c r="AM314" s="138">
        <f>+[2]Retail!$C$75/1000</f>
        <v>0.28447131946747772</v>
      </c>
      <c r="AN314" s="117"/>
      <c r="AO314" s="137">
        <f>+[2]SME!$C$73/1000</f>
        <v>16.443049369999997</v>
      </c>
      <c r="AP314" s="138">
        <f>+[2]SME!$C$74/1000</f>
        <v>15.563839490000003</v>
      </c>
      <c r="AQ314" s="138">
        <f>+[2]SME!$C$75/1000</f>
        <v>17.132217704845431</v>
      </c>
      <c r="AR314" s="117"/>
      <c r="AS314" s="137"/>
      <c r="AT314" s="138"/>
      <c r="AU314" s="138"/>
      <c r="AV314" s="117"/>
      <c r="AW314" s="137"/>
      <c r="AX314" s="138"/>
      <c r="AY314" s="138"/>
      <c r="AZ314" s="117"/>
      <c r="BA314" s="137"/>
      <c r="BB314" s="138"/>
      <c r="BC314" s="138"/>
      <c r="BD314" s="117"/>
      <c r="BE314" s="137"/>
      <c r="BF314" s="138"/>
      <c r="BG314" s="138"/>
      <c r="BH314" s="117"/>
      <c r="BI314" s="139">
        <f>+'[2]Total P&amp;C'!$C$73/1000</f>
        <v>16.762979899999998</v>
      </c>
      <c r="BJ314" s="140">
        <f>+'[2]Total P&amp;C'!$C$74/1000</f>
        <v>15.874847610000003</v>
      </c>
      <c r="BK314" s="140">
        <f>+'[2]Total P&amp;C'!$C$75/1000</f>
        <v>17.416689024312909</v>
      </c>
      <c r="BM314" s="139">
        <f>+'[3]Total P&amp;C'!$C$73/1000</f>
        <v>16.762979899999998</v>
      </c>
      <c r="BN314" s="140">
        <f>+'[3]Total P&amp;C'!$C$74/1000</f>
        <v>15.874847610000003</v>
      </c>
      <c r="BO314" s="140">
        <f>+'[3]Total P&amp;C'!$C$75/1000</f>
        <v>17.416689024312909</v>
      </c>
    </row>
    <row r="315" spans="1:67" ht="16.5" hidden="1" customHeight="1" outlineLevel="1" x14ac:dyDescent="0.3">
      <c r="A315" s="210"/>
      <c r="B315" s="115"/>
      <c r="C315" s="136" t="s">
        <v>55</v>
      </c>
      <c r="D315" s="117"/>
      <c r="E315" s="137"/>
      <c r="F315" s="138"/>
      <c r="G315" s="138"/>
      <c r="H315" s="117"/>
      <c r="I315" s="137"/>
      <c r="J315" s="138"/>
      <c r="K315" s="138"/>
      <c r="L315" s="117"/>
      <c r="M315" s="137"/>
      <c r="N315" s="138"/>
      <c r="O315" s="138"/>
      <c r="P315" s="117"/>
      <c r="Q315" s="137"/>
      <c r="R315" s="138"/>
      <c r="S315" s="138"/>
      <c r="T315" s="117"/>
      <c r="U315" s="137"/>
      <c r="V315" s="138"/>
      <c r="W315" s="138"/>
      <c r="X315" s="117"/>
      <c r="Y315" s="137"/>
      <c r="Z315" s="138"/>
      <c r="AA315" s="138"/>
      <c r="AB315" s="117"/>
      <c r="AC315" s="139"/>
      <c r="AD315" s="140"/>
      <c r="AE315" s="140"/>
      <c r="AG315" s="211"/>
      <c r="AH315" s="115"/>
      <c r="AI315" s="136" t="s">
        <v>55</v>
      </c>
      <c r="AJ315" s="117"/>
      <c r="AK315" s="137">
        <f>+[2]Retail!$N$73/1000</f>
        <v>0.5139912900000001</v>
      </c>
      <c r="AL315" s="138">
        <f>+[2]Retail!$N$74/1000</f>
        <v>0.74947302999999987</v>
      </c>
      <c r="AM315" s="138">
        <f>+[2]Retail!$N$75/1000</f>
        <v>0.551915745228028</v>
      </c>
      <c r="AN315" s="117"/>
      <c r="AO315" s="137">
        <f>+[2]SME!$N$73/1000</f>
        <v>16.313422059999997</v>
      </c>
      <c r="AP315" s="138">
        <f>+[2]SME!$N$74/1000</f>
        <v>14.926091420000001</v>
      </c>
      <c r="AQ315" s="138">
        <f>+[2]SME!$N$75/1000</f>
        <v>16.701720702876649</v>
      </c>
      <c r="AR315" s="117"/>
      <c r="AS315" s="137"/>
      <c r="AT315" s="138"/>
      <c r="AU315" s="138"/>
      <c r="AV315" s="117"/>
      <c r="AW315" s="137"/>
      <c r="AX315" s="138"/>
      <c r="AY315" s="138"/>
      <c r="AZ315" s="117"/>
      <c r="BA315" s="137"/>
      <c r="BB315" s="138"/>
      <c r="BC315" s="138"/>
      <c r="BD315" s="117"/>
      <c r="BE315" s="137"/>
      <c r="BF315" s="138"/>
      <c r="BG315" s="138"/>
      <c r="BH315" s="117"/>
      <c r="BI315" s="139">
        <f>+'[2]Total P&amp;C'!$N$73/1000</f>
        <v>16.82741335</v>
      </c>
      <c r="BJ315" s="140">
        <f>+'[2]Total P&amp;C'!$N$74/1000</f>
        <v>15.675564450000001</v>
      </c>
      <c r="BK315" s="140">
        <f>+'[2]Total P&amp;C'!$N$75/1000</f>
        <v>17.253636448104675</v>
      </c>
      <c r="BM315" s="139">
        <f>+'[3]Total P&amp;C'!$N$73/1000</f>
        <v>16.82741335</v>
      </c>
      <c r="BN315" s="140">
        <f>+'[3]Total P&amp;C'!$N$74/1000</f>
        <v>15.675564450000001</v>
      </c>
      <c r="BO315" s="140">
        <f>+'[3]Total P&amp;C'!$N$75/1000</f>
        <v>17.253636448104675</v>
      </c>
    </row>
    <row r="316" spans="1:67" ht="16.5" hidden="1" customHeight="1" outlineLevel="1" x14ac:dyDescent="0.3">
      <c r="A316" s="210"/>
      <c r="B316" s="115"/>
      <c r="C316" s="136" t="s">
        <v>21</v>
      </c>
      <c r="D316" s="117"/>
      <c r="E316" s="142"/>
      <c r="F316" s="143"/>
      <c r="G316" s="143"/>
      <c r="H316" s="117"/>
      <c r="I316" s="142"/>
      <c r="J316" s="143"/>
      <c r="K316" s="143"/>
      <c r="L316" s="117"/>
      <c r="M316" s="142"/>
      <c r="N316" s="143"/>
      <c r="O316" s="143"/>
      <c r="P316" s="117"/>
      <c r="Q316" s="142"/>
      <c r="R316" s="143"/>
      <c r="S316" s="143"/>
      <c r="T316" s="117"/>
      <c r="U316" s="142"/>
      <c r="V316" s="143"/>
      <c r="W316" s="143"/>
      <c r="X316" s="117"/>
      <c r="Y316" s="142"/>
      <c r="Z316" s="143"/>
      <c r="AA316" s="143"/>
      <c r="AB316" s="117"/>
      <c r="AC316" s="144"/>
      <c r="AD316" s="145"/>
      <c r="AE316" s="145"/>
      <c r="AG316" s="211"/>
      <c r="AH316" s="115"/>
      <c r="AI316" s="136" t="s">
        <v>21</v>
      </c>
      <c r="AJ316" s="117"/>
      <c r="AK316" s="148">
        <f>+AK317+AK322+AK323+AK324+AK325</f>
        <v>1.9566985269341812</v>
      </c>
      <c r="AL316" s="143">
        <f>+AL317+AL322+AL323+AL324+AL325</f>
        <v>0.77995711199907947</v>
      </c>
      <c r="AM316" s="143">
        <f>+AM317+AM322+AM323+AM324+AM325</f>
        <v>0.53194800204828596</v>
      </c>
      <c r="AN316" s="117"/>
      <c r="AO316" s="146">
        <f>+AO317+AO322+AO323+AO324+AO325</f>
        <v>0.9148704836488486</v>
      </c>
      <c r="AP316" s="143">
        <f>+AP317+AP322+AP323+AP324+AP325</f>
        <v>1.0863783561095213</v>
      </c>
      <c r="AQ316" s="143">
        <f>+AQ317+AQ322+AQ323+AQ324+AQ325</f>
        <v>0.96930461459360029</v>
      </c>
      <c r="AR316" s="117"/>
      <c r="AS316" s="142"/>
      <c r="AT316" s="143"/>
      <c r="AU316" s="143"/>
      <c r="AV316" s="117"/>
      <c r="AW316" s="142"/>
      <c r="AX316" s="143"/>
      <c r="AY316" s="143"/>
      <c r="AZ316" s="117"/>
      <c r="BA316" s="142"/>
      <c r="BB316" s="143"/>
      <c r="BC316" s="143"/>
      <c r="BD316" s="117"/>
      <c r="BE316" s="142"/>
      <c r="BF316" s="143"/>
      <c r="BG316" s="143"/>
      <c r="BH316" s="117"/>
      <c r="BI316" s="147">
        <f>+BI317+BI322+BI323+BI324+BI325</f>
        <v>0.94669299426224574</v>
      </c>
      <c r="BJ316" s="145">
        <f>+BJ317+BJ322+BJ323+BJ324+BJ325</f>
        <v>1.071727881543687</v>
      </c>
      <c r="BK316" s="145">
        <f>+BK317+BK322+BK323+BK324+BK325</f>
        <v>0.9553142884690532</v>
      </c>
      <c r="BM316" s="147">
        <f>+BM317+BM322+BM323+BM324+BM325</f>
        <v>0.94669299426224574</v>
      </c>
      <c r="BN316" s="145">
        <f>+BN317+BN322+BN323+BN324+BN325</f>
        <v>1.071727881543687</v>
      </c>
      <c r="BO316" s="145">
        <f>+BO317+BO322+BO323+BO324+BO325</f>
        <v>0.9553142884690532</v>
      </c>
    </row>
    <row r="317" spans="1:67" ht="16.5" hidden="1" customHeight="1" outlineLevel="1" x14ac:dyDescent="0.3">
      <c r="A317" s="210"/>
      <c r="B317" s="115"/>
      <c r="C317" s="136" t="s">
        <v>56</v>
      </c>
      <c r="D317" s="117"/>
      <c r="E317" s="142"/>
      <c r="F317" s="143"/>
      <c r="G317" s="143"/>
      <c r="H317" s="117"/>
      <c r="I317" s="142"/>
      <c r="J317" s="143"/>
      <c r="K317" s="143"/>
      <c r="L317" s="117"/>
      <c r="M317" s="142"/>
      <c r="N317" s="143"/>
      <c r="O317" s="143"/>
      <c r="P317" s="117"/>
      <c r="Q317" s="142"/>
      <c r="R317" s="143"/>
      <c r="S317" s="143"/>
      <c r="T317" s="117"/>
      <c r="U317" s="142"/>
      <c r="V317" s="143"/>
      <c r="W317" s="143"/>
      <c r="X317" s="117"/>
      <c r="Y317" s="142"/>
      <c r="Z317" s="143"/>
      <c r="AA317" s="143"/>
      <c r="AB317" s="117"/>
      <c r="AC317" s="144"/>
      <c r="AD317" s="145"/>
      <c r="AE317" s="145"/>
      <c r="AG317" s="211"/>
      <c r="AH317" s="115"/>
      <c r="AI317" s="136" t="s">
        <v>56</v>
      </c>
      <c r="AJ317" s="117"/>
      <c r="AK317" s="148">
        <f>+AK318+AK319+AK320+AK321</f>
        <v>1.3916899253292787</v>
      </c>
      <c r="AL317" s="143">
        <f>+AL318+AL319+AL320+AL321</f>
        <v>0.75389865596631289</v>
      </c>
      <c r="AM317" s="143">
        <f>+AM318+AM319+AM320+AM321</f>
        <v>0.58252849326433287</v>
      </c>
      <c r="AN317" s="117"/>
      <c r="AO317" s="146">
        <f>+AO318+AO319+AO320+AO321</f>
        <v>0.7979552660455107</v>
      </c>
      <c r="AP317" s="143">
        <f>+AP318+AP319+AP320+AP321</f>
        <v>1.0070657050819536</v>
      </c>
      <c r="AQ317" s="143">
        <f>+AQ318+AQ319+AQ320+AQ321</f>
        <v>0.92318253737229639</v>
      </c>
      <c r="AR317" s="117"/>
      <c r="AS317" s="142"/>
      <c r="AT317" s="143"/>
      <c r="AU317" s="143"/>
      <c r="AV317" s="117"/>
      <c r="AW317" s="142"/>
      <c r="AX317" s="143"/>
      <c r="AY317" s="143"/>
      <c r="AZ317" s="117"/>
      <c r="BA317" s="142"/>
      <c r="BB317" s="143"/>
      <c r="BC317" s="143"/>
      <c r="BD317" s="117"/>
      <c r="BE317" s="142"/>
      <c r="BF317" s="143"/>
      <c r="BG317" s="143"/>
      <c r="BH317" s="117"/>
      <c r="BI317" s="147">
        <f>+BI318+BI319+BI320+BI321</f>
        <v>0.81609081885422385</v>
      </c>
      <c r="BJ317" s="145">
        <f>+BJ318+BJ319+BJ320+BJ321</f>
        <v>0.99496139611100243</v>
      </c>
      <c r="BK317" s="145">
        <f>+BK318+BK319+BK320+BK321</f>
        <v>0.91228556900366919</v>
      </c>
      <c r="BM317" s="147">
        <f>+BM318+BM319+BM320+BM321</f>
        <v>0.81609081885422385</v>
      </c>
      <c r="BN317" s="145">
        <f>+BN318+BN319+BN320+BN321</f>
        <v>0.99496139611100243</v>
      </c>
      <c r="BO317" s="145">
        <f>+BO318+BO319+BO320+BO321</f>
        <v>0.91228556900366919</v>
      </c>
    </row>
    <row r="318" spans="1:67" ht="16.5" hidden="1" customHeight="1" outlineLevel="1" x14ac:dyDescent="0.3">
      <c r="A318" s="210"/>
      <c r="B318" s="115"/>
      <c r="C318" s="48" t="s">
        <v>23</v>
      </c>
      <c r="D318" s="117"/>
      <c r="E318" s="105"/>
      <c r="F318" s="51"/>
      <c r="G318" s="51"/>
      <c r="H318" s="117"/>
      <c r="I318" s="105"/>
      <c r="J318" s="51"/>
      <c r="K318" s="51"/>
      <c r="L318" s="117"/>
      <c r="M318" s="105"/>
      <c r="N318" s="51"/>
      <c r="O318" s="51"/>
      <c r="P318" s="117"/>
      <c r="Q318" s="105"/>
      <c r="R318" s="51"/>
      <c r="S318" s="51"/>
      <c r="T318" s="117"/>
      <c r="U318" s="105"/>
      <c r="V318" s="51"/>
      <c r="W318" s="51"/>
      <c r="X318" s="117"/>
      <c r="Y318" s="105"/>
      <c r="Z318" s="51"/>
      <c r="AA318" s="51"/>
      <c r="AB318" s="117"/>
      <c r="AC318" s="103"/>
      <c r="AD318" s="62"/>
      <c r="AE318" s="62"/>
      <c r="AG318" s="211"/>
      <c r="AH318" s="115"/>
      <c r="AI318" s="48" t="s">
        <v>23</v>
      </c>
      <c r="AJ318" s="117"/>
      <c r="AK318" s="77">
        <f>-SUM([2]Retail!$O$73,[2]Retail!$R$73:$V$73,[2]Retail!$Y$73,[2]Retail!$AB$73,[2]Retail!$AU$73,[2]Retail!$AX$73,[2]Retail!$BA$73,[2]Retail!$BD$73)/1000/AK315</f>
        <v>1.3420178190179053</v>
      </c>
      <c r="AL318" s="51">
        <f>-SUM([2]Retail!$O$74,[2]Retail!$R$74:$V$74,[2]Retail!$Y$74,[2]Retail!$AB$74,[2]Retail!$AU$74,[2]Retail!$AX$74,[2]Retail!$BA$74,[2]Retail!$BD$74)/1000/AL315</f>
        <v>0.73235672002767083</v>
      </c>
      <c r="AM318" s="51">
        <f>-SUM([2]Retail!$O$75,[2]Retail!$R$75:$V$75,[2]Retail!$Y$75,[2]Retail!$AB$75,[2]Retail!$AU$75,[2]Retail!$AX$75,[2]Retail!$BA$75,[2]Retail!$BD$75)/1000/AM315</f>
        <v>0.54235440032223137</v>
      </c>
      <c r="AN318" s="117"/>
      <c r="AO318" s="78">
        <f>-SUM([2]SME!$O$73,[2]SME!$R$73:$V$73,[2]SME!$Y$73,[2]SME!$AB$73,[2]SME!$AU$73,[2]SME!$AX$73,[2]SME!$BA$73,[2]SME!$BD$73)/1000/AO315</f>
        <v>0.71693029071302061</v>
      </c>
      <c r="AP318" s="51">
        <f>-SUM([2]SME!$O$74,[2]SME!$R$74:$V$74,[2]SME!$Y$74,[2]SME!$AB$74,[2]SME!$AU$74,[2]SME!$AX$74,[2]SME!$BA$74,[2]SME!$BD$74)/1000/AP315</f>
        <v>0.85855134002656397</v>
      </c>
      <c r="AQ318" s="51">
        <f>-SUM([2]SME!$O$75,[2]SME!$R$75:$V$75,[2]SME!$Y$75,[2]SME!$AB$75,[2]SME!$AU$75,[2]SME!$AX$75,[2]SME!$BA$75,[2]SME!$BD$75)/1000/AQ315</f>
        <v>0.82253899556322296</v>
      </c>
      <c r="AR318" s="117"/>
      <c r="AS318" s="105"/>
      <c r="AT318" s="51"/>
      <c r="AU318" s="51"/>
      <c r="AV318" s="117"/>
      <c r="AW318" s="105"/>
      <c r="AX318" s="51"/>
      <c r="AY318" s="51"/>
      <c r="AZ318" s="117"/>
      <c r="BA318" s="105"/>
      <c r="BB318" s="51"/>
      <c r="BC318" s="51"/>
      <c r="BD318" s="117"/>
      <c r="BE318" s="105"/>
      <c r="BF318" s="51"/>
      <c r="BG318" s="51"/>
      <c r="BH318" s="117"/>
      <c r="BI318" s="89">
        <f>-SUM('[2]Total P&amp;C'!$O$73,'[2]Total P&amp;C'!$R$73:$V$73,'[2]Total P&amp;C'!$Y$73,'[2]Total P&amp;C'!$AB$73,'[2]Total P&amp;C'!$AU$73,'[2]Total P&amp;C'!$AX$73,'[2]Total P&amp;C'!$BA$73,'[2]Total P&amp;C'!$BD$73)/1000/BI315</f>
        <v>0.73602351308497438</v>
      </c>
      <c r="BJ318" s="62">
        <f>-SUM('[2]Total P&amp;C'!$O$74,'[2]Total P&amp;C'!$R$74:$V$74,'[2]Total P&amp;C'!$Y$74,'[2]Total P&amp;C'!$AB$74,'[2]Total P&amp;C'!$AU$74,'[2]Total P&amp;C'!$AX$74,'[2]Total P&amp;C'!$BA$74,'[2]Total P&amp;C'!$BD$74)/1000/BJ315</f>
        <v>0.85251777967076636</v>
      </c>
      <c r="BK318" s="62">
        <f>-SUM('[2]Total P&amp;C'!$O$75,'[2]Total P&amp;C'!$R$75:$V$75,'[2]Total P&amp;C'!$Y$75,'[2]Total P&amp;C'!$AB$75,'[2]Total P&amp;C'!$AU$75,'[2]Total P&amp;C'!$AX$75,'[2]Total P&amp;C'!$BA$75,'[2]Total P&amp;C'!$BD$75)/1000/BK315</f>
        <v>0.81357634643421373</v>
      </c>
      <c r="BM318" s="89">
        <f>-SUM('[3]Total P&amp;C'!$O$73,'[3]Total P&amp;C'!$R$73:$V$73,'[3]Total P&amp;C'!$Y$73,'[3]Total P&amp;C'!$AB$73,'[3]Total P&amp;C'!$AU$73,'[3]Total P&amp;C'!$AX$73,'[3]Total P&amp;C'!$BA$73,'[3]Total P&amp;C'!$BD$73)/1000/BM315</f>
        <v>0.73602351308497438</v>
      </c>
      <c r="BN318" s="62">
        <f>-SUM('[3]Total P&amp;C'!$O$74,'[3]Total P&amp;C'!$R$74:$V$74,'[3]Total P&amp;C'!$Y$74,'[3]Total P&amp;C'!$AB$74,'[3]Total P&amp;C'!$AU$74,'[3]Total P&amp;C'!$AX$74,'[3]Total P&amp;C'!$BA$74,'[3]Total P&amp;C'!$BD$74)/1000/BN315</f>
        <v>0.85251777967076636</v>
      </c>
      <c r="BO318" s="62">
        <f>-SUM('[3]Total P&amp;C'!$O$75,'[3]Total P&amp;C'!$R$75:$V$75,'[3]Total P&amp;C'!$Y$75,'[3]Total P&amp;C'!$AB$75,'[3]Total P&amp;C'!$AU$75,'[3]Total P&amp;C'!$AX$75,'[3]Total P&amp;C'!$BA$75,'[3]Total P&amp;C'!$BD$75)/1000/BO315</f>
        <v>0.81357634643421373</v>
      </c>
    </row>
    <row r="319" spans="1:67" ht="16.5" hidden="1" customHeight="1" outlineLevel="1" x14ac:dyDescent="0.3">
      <c r="A319" s="210"/>
      <c r="B319" s="115"/>
      <c r="C319" s="48" t="s">
        <v>24</v>
      </c>
      <c r="D319" s="134"/>
      <c r="E319" s="105"/>
      <c r="F319" s="51"/>
      <c r="G319" s="51"/>
      <c r="H319" s="134"/>
      <c r="I319" s="105"/>
      <c r="J319" s="51"/>
      <c r="K319" s="51"/>
      <c r="L319" s="134"/>
      <c r="M319" s="105"/>
      <c r="N319" s="51"/>
      <c r="O319" s="51"/>
      <c r="P319" s="134"/>
      <c r="Q319" s="105"/>
      <c r="R319" s="51"/>
      <c r="S319" s="51"/>
      <c r="T319" s="134"/>
      <c r="U319" s="105"/>
      <c r="V319" s="51"/>
      <c r="W319" s="51"/>
      <c r="X319" s="134"/>
      <c r="Y319" s="105"/>
      <c r="Z319" s="51"/>
      <c r="AA319" s="51"/>
      <c r="AB319" s="134"/>
      <c r="AC319" s="103"/>
      <c r="AD319" s="62"/>
      <c r="AE319" s="62"/>
      <c r="AG319" s="211"/>
      <c r="AH319" s="115"/>
      <c r="AI319" s="48" t="s">
        <v>24</v>
      </c>
      <c r="AJ319" s="134"/>
      <c r="AK319" s="105">
        <f>-([2]Retail!$P$73+[2]Retail!$W$73+[2]Retail!$AV$73+[2]Retail!$AY$73)/1000/AK315</f>
        <v>0</v>
      </c>
      <c r="AL319" s="51">
        <f>-([2]Retail!$P$74+[2]Retail!$W$74+[2]Retail!$AV$74+[2]Retail!$AY$74)/1000/AL315</f>
        <v>0</v>
      </c>
      <c r="AM319" s="51">
        <f>-([2]Retail!$P$75+[2]Retail!$W$75+[2]Retail!$AV$75+[2]Retail!$AY$75)/1000/AM315</f>
        <v>0</v>
      </c>
      <c r="AN319" s="134"/>
      <c r="AO319" s="105">
        <f>-([2]SME!$P$73+[2]SME!$W$73+[2]SME!$AV$73+[2]SME!$AY$73)/1000/AO315</f>
        <v>0</v>
      </c>
      <c r="AP319" s="51">
        <f>-([2]SME!$P$74+[2]SME!$W$74+[2]SME!$AV$74+[2]SME!$AY$74)/1000/AP315</f>
        <v>0</v>
      </c>
      <c r="AQ319" s="51">
        <f>-([2]SME!$P$75+[2]SME!$W$75+[2]SME!$AV$75+[2]SME!$AY$75)/1000/AQ315</f>
        <v>0</v>
      </c>
      <c r="AR319" s="134"/>
      <c r="AS319" s="105"/>
      <c r="AT319" s="51"/>
      <c r="AU319" s="51"/>
      <c r="AV319" s="134"/>
      <c r="AW319" s="105"/>
      <c r="AX319" s="51"/>
      <c r="AY319" s="51"/>
      <c r="AZ319" s="134"/>
      <c r="BA319" s="105"/>
      <c r="BB319" s="51"/>
      <c r="BC319" s="51"/>
      <c r="BD319" s="134"/>
      <c r="BE319" s="105"/>
      <c r="BF319" s="51"/>
      <c r="BG319" s="51"/>
      <c r="BH319" s="134"/>
      <c r="BI319" s="103">
        <f>-('[2]Total P&amp;C'!$P$73+'[2]Total P&amp;C'!$W$73+'[2]Total P&amp;C'!$AV$73+'[2]Total P&amp;C'!$AY$73)/1000/BI315</f>
        <v>0</v>
      </c>
      <c r="BJ319" s="62">
        <f>-('[2]Total P&amp;C'!$P$74+'[2]Total P&amp;C'!$W$74+'[2]Total P&amp;C'!$AV$74+'[2]Total P&amp;C'!$AY$74)/1000/BJ315</f>
        <v>0</v>
      </c>
      <c r="BK319" s="62">
        <f>-('[2]Total P&amp;C'!$P$75+'[2]Total P&amp;C'!$W$75+'[2]Total P&amp;C'!$AV$75+'[2]Total P&amp;C'!$AY$75)/1000/BK315</f>
        <v>0</v>
      </c>
      <c r="BM319" s="103">
        <f>-('[3]Total P&amp;C'!$P$73+'[3]Total P&amp;C'!$W$73+'[3]Total P&amp;C'!$AV$73+'[3]Total P&amp;C'!$AY$73)/1000/BM315</f>
        <v>0</v>
      </c>
      <c r="BN319" s="62">
        <f>-('[3]Total P&amp;C'!$P$74+'[3]Total P&amp;C'!$W$74+'[3]Total P&amp;C'!$AV$74+'[3]Total P&amp;C'!$AY$74)/1000/BN315</f>
        <v>0</v>
      </c>
      <c r="BO319" s="62">
        <f>-('[3]Total P&amp;C'!$P$75+'[3]Total P&amp;C'!$W$75+'[3]Total P&amp;C'!$AV$75+'[3]Total P&amp;C'!$AY$75)/1000/BO315</f>
        <v>0</v>
      </c>
    </row>
    <row r="320" spans="1:67" ht="16.5" hidden="1" customHeight="1" outlineLevel="1" x14ac:dyDescent="0.3">
      <c r="A320" s="210"/>
      <c r="B320" s="115"/>
      <c r="C320" s="48" t="s">
        <v>25</v>
      </c>
      <c r="D320" s="134"/>
      <c r="E320" s="105"/>
      <c r="F320" s="51"/>
      <c r="G320" s="51"/>
      <c r="H320" s="134"/>
      <c r="I320" s="105"/>
      <c r="J320" s="51"/>
      <c r="K320" s="51"/>
      <c r="L320" s="134"/>
      <c r="M320" s="105"/>
      <c r="N320" s="51"/>
      <c r="O320" s="51"/>
      <c r="P320" s="134"/>
      <c r="Q320" s="105"/>
      <c r="R320" s="51"/>
      <c r="S320" s="51"/>
      <c r="T320" s="134"/>
      <c r="U320" s="105"/>
      <c r="V320" s="51"/>
      <c r="W320" s="51"/>
      <c r="X320" s="134"/>
      <c r="Y320" s="105"/>
      <c r="Z320" s="51"/>
      <c r="AA320" s="51"/>
      <c r="AB320" s="134"/>
      <c r="AC320" s="103"/>
      <c r="AD320" s="62"/>
      <c r="AE320" s="62"/>
      <c r="AG320" s="211"/>
      <c r="AH320" s="115"/>
      <c r="AI320" s="48" t="s">
        <v>25</v>
      </c>
      <c r="AJ320" s="134"/>
      <c r="AK320" s="105">
        <f>-([2]Retail!$Q$73+[2]Retail!$X$73+[2]Retail!$AW$73+[2]Retail!$AZ$73)/1000/AK315</f>
        <v>0</v>
      </c>
      <c r="AL320" s="51">
        <f>-([2]Retail!$Q$74+[2]Retail!$X$74+[2]Retail!$AW$74+[2]Retail!$AZ$74)/1000/AL315</f>
        <v>0</v>
      </c>
      <c r="AM320" s="51">
        <f>-([2]Retail!$Q$75+[2]Retail!$X$75+[2]Retail!$AW$75+[2]Retail!$AZ$75)/1000/AM315</f>
        <v>0</v>
      </c>
      <c r="AN320" s="134"/>
      <c r="AO320" s="105">
        <f>-([2]SME!$Q$73+[2]SME!$X$73+[2]SME!$AW$73+[2]SME!$AZ$73)/1000/AO315</f>
        <v>0</v>
      </c>
      <c r="AP320" s="51">
        <f>-([2]SME!$Q$74+[2]SME!$X$74+[2]SME!$AW$74+[2]SME!$AZ$74)/1000/AP315</f>
        <v>0</v>
      </c>
      <c r="AQ320" s="51">
        <f>-([2]SME!$Q$75+[2]SME!$X$75+[2]SME!$AW$75+[2]SME!$AZ$75)/1000/AQ315</f>
        <v>0</v>
      </c>
      <c r="AR320" s="134"/>
      <c r="AS320" s="105"/>
      <c r="AT320" s="51"/>
      <c r="AU320" s="51"/>
      <c r="AV320" s="134"/>
      <c r="AW320" s="105"/>
      <c r="AX320" s="51"/>
      <c r="AY320" s="51"/>
      <c r="AZ320" s="134"/>
      <c r="BA320" s="105"/>
      <c r="BB320" s="51"/>
      <c r="BC320" s="51"/>
      <c r="BD320" s="134"/>
      <c r="BE320" s="105"/>
      <c r="BF320" s="51"/>
      <c r="BG320" s="51"/>
      <c r="BH320" s="134"/>
      <c r="BI320" s="103">
        <f>-('[2]Total P&amp;C'!$Q$73+'[2]Total P&amp;C'!$X$73+'[2]Total P&amp;C'!$AW$73+'[2]Total P&amp;C'!$AZ$73)/1000/BI315</f>
        <v>0</v>
      </c>
      <c r="BJ320" s="62">
        <f>-('[2]Total P&amp;C'!$Q$74+'[2]Total P&amp;C'!$X$74+'[2]Total P&amp;C'!$AW$74+'[2]Total P&amp;C'!$AZ$74)/1000/BJ315</f>
        <v>0</v>
      </c>
      <c r="BK320" s="62">
        <f>-('[2]Total P&amp;C'!$Q$75+'[2]Total P&amp;C'!$X$75+'[2]Total P&amp;C'!$AW$75+'[2]Total P&amp;C'!$AZ$75)/1000/BK315</f>
        <v>0</v>
      </c>
      <c r="BM320" s="103">
        <f>-('[3]Total P&amp;C'!$Q$73+'[3]Total P&amp;C'!$X$73+'[3]Total P&amp;C'!$AW$73+'[3]Total P&amp;C'!$AZ$73)/1000/BM315</f>
        <v>0</v>
      </c>
      <c r="BN320" s="62">
        <f>-('[3]Total P&amp;C'!$Q$74+'[3]Total P&amp;C'!$X$74+'[3]Total P&amp;C'!$AW$74+'[3]Total P&amp;C'!$AZ$74)/1000/BN315</f>
        <v>0</v>
      </c>
      <c r="BO320" s="62">
        <f>-('[3]Total P&amp;C'!$Q$75+'[3]Total P&amp;C'!$X$75+'[3]Total P&amp;C'!$AW$75+'[3]Total P&amp;C'!$AZ$75)/1000/BO315</f>
        <v>0</v>
      </c>
    </row>
    <row r="321" spans="1:67" ht="16.5" hidden="1" customHeight="1" outlineLevel="1" x14ac:dyDescent="0.3">
      <c r="A321" s="210"/>
      <c r="B321" s="115"/>
      <c r="C321" s="48" t="s">
        <v>53</v>
      </c>
      <c r="D321" s="134"/>
      <c r="E321" s="105"/>
      <c r="F321" s="51"/>
      <c r="G321" s="51"/>
      <c r="H321" s="134"/>
      <c r="I321" s="105"/>
      <c r="J321" s="51"/>
      <c r="K321" s="51"/>
      <c r="L321" s="134"/>
      <c r="M321" s="105"/>
      <c r="N321" s="51"/>
      <c r="O321" s="51"/>
      <c r="P321" s="134"/>
      <c r="Q321" s="105"/>
      <c r="R321" s="51"/>
      <c r="S321" s="51"/>
      <c r="T321" s="134"/>
      <c r="U321" s="105"/>
      <c r="V321" s="51"/>
      <c r="W321" s="51"/>
      <c r="X321" s="134"/>
      <c r="Y321" s="105"/>
      <c r="Z321" s="51"/>
      <c r="AA321" s="51"/>
      <c r="AB321" s="134"/>
      <c r="AC321" s="103"/>
      <c r="AD321" s="62"/>
      <c r="AE321" s="62"/>
      <c r="AG321" s="211"/>
      <c r="AH321" s="115"/>
      <c r="AI321" s="48" t="s">
        <v>53</v>
      </c>
      <c r="AJ321" s="134"/>
      <c r="AK321" s="77">
        <f>-[2]Retail!$AT$73/1000/AK315</f>
        <v>4.9672106311373469E-2</v>
      </c>
      <c r="AL321" s="51">
        <f>-[2]Retail!$AT$74/1000/AL315</f>
        <v>2.1541935938642117E-2</v>
      </c>
      <c r="AM321" s="51">
        <f>-[2]Retail!$AT$75/1000/AM315</f>
        <v>4.017409294210153E-2</v>
      </c>
      <c r="AN321" s="134"/>
      <c r="AO321" s="78">
        <f>-[2]SME!$AT$73/1000/AO315</f>
        <v>8.1024975332490132E-2</v>
      </c>
      <c r="AP321" s="51">
        <f>-[2]SME!$AT$74/1000/AP315</f>
        <v>0.1485143650553897</v>
      </c>
      <c r="AQ321" s="51">
        <f>-[2]SME!$AT$75/1000/AQ315</f>
        <v>0.10064354180907345</v>
      </c>
      <c r="AR321" s="134"/>
      <c r="AS321" s="105"/>
      <c r="AT321" s="51"/>
      <c r="AU321" s="51"/>
      <c r="AV321" s="134"/>
      <c r="AW321" s="105"/>
      <c r="AX321" s="51"/>
      <c r="AY321" s="51"/>
      <c r="AZ321" s="134"/>
      <c r="BA321" s="105"/>
      <c r="BB321" s="51"/>
      <c r="BC321" s="51"/>
      <c r="BD321" s="134"/>
      <c r="BE321" s="105"/>
      <c r="BF321" s="51"/>
      <c r="BG321" s="51"/>
      <c r="BH321" s="134"/>
      <c r="BI321" s="89">
        <f>-'[2]Total P&amp;C'!$AT$73/1000/BI315</f>
        <v>8.0067305769249447E-2</v>
      </c>
      <c r="BJ321" s="62">
        <f>-'[2]Total P&amp;C'!$AT$74/1000/BJ315</f>
        <v>0.14244361644023609</v>
      </c>
      <c r="BK321" s="62">
        <f>-'[2]Total P&amp;C'!$AT$75/1000/BK315</f>
        <v>9.8709222569455496E-2</v>
      </c>
      <c r="BM321" s="89">
        <f>-'[3]Total P&amp;C'!$AT$73/1000/BM315</f>
        <v>8.0067305769249447E-2</v>
      </c>
      <c r="BN321" s="62">
        <f>-'[3]Total P&amp;C'!$AT$74/1000/BN315</f>
        <v>0.14244361644023609</v>
      </c>
      <c r="BO321" s="62">
        <f>-'[3]Total P&amp;C'!$AT$75/1000/BO315</f>
        <v>9.8709222569455496E-2</v>
      </c>
    </row>
    <row r="322" spans="1:67" ht="16.5" hidden="1" customHeight="1" outlineLevel="1" x14ac:dyDescent="0.3">
      <c r="A322" s="210"/>
      <c r="B322" s="115"/>
      <c r="C322" s="136" t="s">
        <v>27</v>
      </c>
      <c r="D322" s="134"/>
      <c r="E322" s="142"/>
      <c r="F322" s="143"/>
      <c r="G322" s="143"/>
      <c r="H322" s="134"/>
      <c r="I322" s="142"/>
      <c r="J322" s="143"/>
      <c r="K322" s="143"/>
      <c r="L322" s="134"/>
      <c r="M322" s="142"/>
      <c r="N322" s="143"/>
      <c r="O322" s="143"/>
      <c r="P322" s="134"/>
      <c r="Q322" s="142"/>
      <c r="R322" s="143"/>
      <c r="S322" s="143"/>
      <c r="T322" s="134"/>
      <c r="U322" s="142"/>
      <c r="V322" s="143"/>
      <c r="W322" s="143"/>
      <c r="X322" s="134"/>
      <c r="Y322" s="142"/>
      <c r="Z322" s="143"/>
      <c r="AA322" s="143"/>
      <c r="AB322" s="134"/>
      <c r="AC322" s="144"/>
      <c r="AD322" s="145"/>
      <c r="AE322" s="145"/>
      <c r="AG322" s="211"/>
      <c r="AH322" s="115"/>
      <c r="AI322" s="136" t="s">
        <v>27</v>
      </c>
      <c r="AJ322" s="134"/>
      <c r="AK322" s="146">
        <f>-([2]Retail!$Z$73+[2]Retail!$AA$73+[2]Retail!$BB$73+[2]Retail!$BC$73)/1000/AK315</f>
        <v>-0.12769838959722449</v>
      </c>
      <c r="AL322" s="143">
        <f>-([2]Retail!$Z$74+[2]Retail!$AA$74+[2]Retail!$BB$74+[2]Retail!$BC$74)/1000/AL315</f>
        <v>-4.5056017559431068E-2</v>
      </c>
      <c r="AM322" s="143">
        <f>-([2]Retail!$Z$75+[2]Retail!$AA$75+[2]Retail!$BB$75+[2]Retail!$BC$75)/1000/AM315</f>
        <v>-9.2552048256216296E-2</v>
      </c>
      <c r="AN322" s="134"/>
      <c r="AO322" s="146">
        <f>-([2]SME!$Z$73+[2]SME!$AA$73+[2]SME!$BB$73+[2]SME!$BC$73)/1000/AO315</f>
        <v>-1.7585759685788457E-2</v>
      </c>
      <c r="AP322" s="143">
        <f>-([2]SME!$Z$74+[2]SME!$AA$74+[2]SME!$BB$74+[2]SME!$BC$74)/1000/AP315</f>
        <v>-0.16345155549100879</v>
      </c>
      <c r="AQ322" s="143">
        <f>-([2]SME!$Z$75+[2]SME!$AA$75+[2]SME!$BB$75+[2]SME!$BC$75)/1000/AQ315</f>
        <v>-0.14511092400565945</v>
      </c>
      <c r="AR322" s="134"/>
      <c r="AS322" s="142"/>
      <c r="AT322" s="143"/>
      <c r="AU322" s="143"/>
      <c r="AV322" s="134"/>
      <c r="AW322" s="142"/>
      <c r="AX322" s="143"/>
      <c r="AY322" s="143"/>
      <c r="AZ322" s="134"/>
      <c r="BA322" s="142"/>
      <c r="BB322" s="143"/>
      <c r="BC322" s="143"/>
      <c r="BD322" s="134"/>
      <c r="BE322" s="142"/>
      <c r="BF322" s="143"/>
      <c r="BG322" s="143"/>
      <c r="BH322" s="134"/>
      <c r="BI322" s="147">
        <f>-('[2]Total P&amp;C'!$Z$73+'[2]Total P&amp;C'!$AA$73+'[2]Total P&amp;C'!$BB$73+'[2]Total P&amp;C'!$BC$73)/1000/BI315</f>
        <v>-2.094913654688348E-2</v>
      </c>
      <c r="BJ322" s="145">
        <f>-('[2]Total P&amp;C'!$Z$74+'[2]Total P&amp;C'!$AA$74+'[2]Total P&amp;C'!$BB$74+'[2]Total P&amp;C'!$BC$74)/1000/BJ315</f>
        <v>-0.15779088133569566</v>
      </c>
      <c r="BK322" s="145">
        <f>-('[2]Total P&amp;C'!$Z$75+'[2]Total P&amp;C'!$AA$75+'[2]Total P&amp;C'!$BB$75+'[2]Total P&amp;C'!$BC$75)/1000/BK315</f>
        <v>-0.14342965112357159</v>
      </c>
      <c r="BM322" s="147">
        <f>-('[3]Total P&amp;C'!$Z$73+'[3]Total P&amp;C'!$AA$73+'[3]Total P&amp;C'!$BB$73+'[3]Total P&amp;C'!$BC$73)/1000/BM315</f>
        <v>-2.094913654688348E-2</v>
      </c>
      <c r="BN322" s="145">
        <f>-('[3]Total P&amp;C'!$Z$74+'[3]Total P&amp;C'!$AA$74+'[3]Total P&amp;C'!$BB$74+'[3]Total P&amp;C'!$BC$74)/1000/BN315</f>
        <v>-0.15779088133569566</v>
      </c>
      <c r="BO322" s="145">
        <f>-('[3]Total P&amp;C'!$Z$75+'[3]Total P&amp;C'!$AA$75+'[3]Total P&amp;C'!$BB$75+'[3]Total P&amp;C'!$BC$75)/1000/BO315</f>
        <v>-0.14342965112357159</v>
      </c>
    </row>
    <row r="323" spans="1:67" ht="16.5" hidden="1" customHeight="1" outlineLevel="1" x14ac:dyDescent="0.3">
      <c r="A323" s="210"/>
      <c r="B323" s="115"/>
      <c r="C323" s="136" t="s">
        <v>57</v>
      </c>
      <c r="D323" s="134"/>
      <c r="E323" s="142"/>
      <c r="F323" s="143"/>
      <c r="G323" s="143"/>
      <c r="H323" s="134"/>
      <c r="I323" s="142"/>
      <c r="J323" s="143"/>
      <c r="K323" s="143"/>
      <c r="L323" s="134"/>
      <c r="M323" s="142"/>
      <c r="N323" s="143"/>
      <c r="O323" s="143"/>
      <c r="P323" s="134"/>
      <c r="Q323" s="142"/>
      <c r="R323" s="143"/>
      <c r="S323" s="143"/>
      <c r="T323" s="134"/>
      <c r="U323" s="142"/>
      <c r="V323" s="143"/>
      <c r="W323" s="143"/>
      <c r="X323" s="134"/>
      <c r="Y323" s="142"/>
      <c r="Z323" s="143"/>
      <c r="AA323" s="143"/>
      <c r="AB323" s="134"/>
      <c r="AC323" s="144"/>
      <c r="AD323" s="145"/>
      <c r="AE323" s="145"/>
      <c r="AG323" s="211"/>
      <c r="AH323" s="115"/>
      <c r="AI323" s="136" t="s">
        <v>57</v>
      </c>
      <c r="AJ323" s="134"/>
      <c r="AK323" s="148">
        <f>-SUM([2]Retail!$AC$73:$AI$73,[2]Retail!$BE$73:$BG$73)/1000/AK315</f>
        <v>0.58445385329389521</v>
      </c>
      <c r="AL323" s="143">
        <f>-SUM([2]Retail!$AC$74:$AI$74,[2]Retail!$BE$74:$BG$74)/1000/AL315</f>
        <v>-8.604771275091852E-2</v>
      </c>
      <c r="AM323" s="143">
        <f>-SUM([2]Retail!$AC$75:$AI$75,[2]Retail!$BE$75:$BG$75)/1000/AM315</f>
        <v>-0.11381819064519301</v>
      </c>
      <c r="AN323" s="134"/>
      <c r="AO323" s="146">
        <f>-SUM([2]SME!$AC$73:$AI$73,[2]SME!$BE$73:$BG$73)/1000/AO315</f>
        <v>-2.3929528002416468E-2</v>
      </c>
      <c r="AP323" s="143">
        <f>-SUM([2]SME!$AC$74:$AI$74,[2]SME!$BE$74:$BG$74)/1000/AP315</f>
        <v>5.1130887418886849E-2</v>
      </c>
      <c r="AQ323" s="143">
        <f>-SUM([2]SME!$AC$75:$AI$75,[2]SME!$BE$75:$BG$75)/1000/AQ315</f>
        <v>-2.0762242214711409E-2</v>
      </c>
      <c r="AR323" s="134"/>
      <c r="AS323" s="142"/>
      <c r="AT323" s="143"/>
      <c r="AU323" s="143"/>
      <c r="AV323" s="134"/>
      <c r="AW323" s="142"/>
      <c r="AX323" s="143"/>
      <c r="AY323" s="143"/>
      <c r="AZ323" s="134"/>
      <c r="BA323" s="142"/>
      <c r="BB323" s="143"/>
      <c r="BC323" s="143"/>
      <c r="BD323" s="134"/>
      <c r="BE323" s="142"/>
      <c r="BF323" s="143"/>
      <c r="BG323" s="143"/>
      <c r="BH323" s="134"/>
      <c r="BI323" s="149">
        <f>-SUM('[2]Total P&amp;C'!$AC$73:$AI$73,'[2]Total P&amp;C'!$BE$73:$BG$73)/1000/BI315</f>
        <v>-5.3465317650861002E-3</v>
      </c>
      <c r="BJ323" s="145">
        <f>-SUM('[2]Total P&amp;C'!$AC$74:$AI$74,'[2]Total P&amp;C'!$BE$74:$BG$74)/1000/BJ315</f>
        <v>4.457216594838679E-2</v>
      </c>
      <c r="BK323" s="145">
        <f>-SUM('[2]Total P&amp;C'!$AC$75:$AI$75,'[2]Total P&amp;C'!$BE$75:$BG$75)/1000/BK315</f>
        <v>-2.3738950532426785E-2</v>
      </c>
      <c r="BM323" s="149">
        <f>-SUM('[3]Total P&amp;C'!$AC$73:$AI$73,'[3]Total P&amp;C'!$BE$73:$BG$73)/1000/BM315</f>
        <v>-5.3465317650861002E-3</v>
      </c>
      <c r="BN323" s="145">
        <f>-SUM('[3]Total P&amp;C'!$AC$74:$AI$74,'[3]Total P&amp;C'!$BE$74:$BG$74)/1000/BN315</f>
        <v>4.457216594838679E-2</v>
      </c>
      <c r="BO323" s="145">
        <f>-SUM('[3]Total P&amp;C'!$AC$75:$AI$75,'[3]Total P&amp;C'!$BE$75:$BG$75)/1000/BO315</f>
        <v>-2.3738950532426785E-2</v>
      </c>
    </row>
    <row r="324" spans="1:67" ht="16.5" hidden="1" customHeight="1" outlineLevel="1" x14ac:dyDescent="0.3">
      <c r="A324" s="210"/>
      <c r="B324" s="115"/>
      <c r="C324" s="136" t="s">
        <v>29</v>
      </c>
      <c r="D324" s="134"/>
      <c r="E324" s="142"/>
      <c r="F324" s="143"/>
      <c r="G324" s="143"/>
      <c r="H324" s="134"/>
      <c r="I324" s="142"/>
      <c r="J324" s="143"/>
      <c r="K324" s="143"/>
      <c r="L324" s="134"/>
      <c r="M324" s="142"/>
      <c r="N324" s="143"/>
      <c r="O324" s="143"/>
      <c r="P324" s="134"/>
      <c r="Q324" s="142"/>
      <c r="R324" s="143"/>
      <c r="S324" s="143"/>
      <c r="T324" s="134"/>
      <c r="U324" s="142"/>
      <c r="V324" s="143"/>
      <c r="W324" s="143"/>
      <c r="X324" s="134"/>
      <c r="Y324" s="142"/>
      <c r="Z324" s="143"/>
      <c r="AA324" s="143"/>
      <c r="AB324" s="134"/>
      <c r="AC324" s="144"/>
      <c r="AD324" s="145"/>
      <c r="AE324" s="145"/>
      <c r="AG324" s="211"/>
      <c r="AH324" s="115"/>
      <c r="AI324" s="136" t="s">
        <v>29</v>
      </c>
      <c r="AJ324" s="134"/>
      <c r="AK324" s="146">
        <f>-SUM([2]Retail!$AJ$73:$AK$73,[2]Retail!$BH$73:$BI$73)/1000/AK315</f>
        <v>-2.4047450298233655E-2</v>
      </c>
      <c r="AL324" s="143">
        <f>-SUM([2]Retail!$AJ$74:$AK$74,[2]Retail!$BH$74:$BI$74)/1000/AL315</f>
        <v>4.1283593620440241E-2</v>
      </c>
      <c r="AM324" s="143">
        <f>-SUM([2]Retail!$AJ$75:$AK$75,[2]Retail!$BH$75:$BI$75)/1000/AM315</f>
        <v>0</v>
      </c>
      <c r="AN324" s="134"/>
      <c r="AO324" s="146">
        <f>-SUM([2]SME!$AJ$73:$AK$73,[2]SME!$BH$73:$BI$73)/1000/AO315</f>
        <v>-4.3745873635540576E-2</v>
      </c>
      <c r="AP324" s="143">
        <f>-SUM([2]SME!$AJ$74:$AK$74,[2]SME!$BH$74:$BI$74)/1000/AP315</f>
        <v>2.4349941975633494E-2</v>
      </c>
      <c r="AQ324" s="143">
        <f>-SUM([2]SME!$AJ$75:$AK$75,[2]SME!$BH$75:$BI$75)/1000/AQ315</f>
        <v>0</v>
      </c>
      <c r="AR324" s="134"/>
      <c r="AS324" s="142"/>
      <c r="AT324" s="143"/>
      <c r="AU324" s="143"/>
      <c r="AV324" s="134"/>
      <c r="AW324" s="142"/>
      <c r="AX324" s="143"/>
      <c r="AY324" s="143"/>
      <c r="AZ324" s="134"/>
      <c r="BA324" s="142"/>
      <c r="BB324" s="143"/>
      <c r="BC324" s="143"/>
      <c r="BD324" s="134"/>
      <c r="BE324" s="142"/>
      <c r="BF324" s="143"/>
      <c r="BG324" s="143"/>
      <c r="BH324" s="134"/>
      <c r="BI324" s="147">
        <f>-SUM('[2]Total P&amp;C'!$AJ$73:$AK$73,'[2]Total P&amp;C'!$BH$73:$BI$73)/1000/BI315</f>
        <v>-4.3144187695371518E-2</v>
      </c>
      <c r="BJ324" s="145">
        <f>-SUM('[2]Total P&amp;C'!$AJ$74:$AK$74,'[2]Total P&amp;C'!$BH$74:$BI$74)/1000/BJ315</f>
        <v>2.5159566104173105E-2</v>
      </c>
      <c r="BK324" s="145">
        <f>-SUM('[2]Total P&amp;C'!$AJ$75:$AK$75,'[2]Total P&amp;C'!$BH$75:$BI$75)/1000/BK315</f>
        <v>0</v>
      </c>
      <c r="BM324" s="147">
        <f>-SUM('[3]Total P&amp;C'!$AJ$73:$AK$73,'[3]Total P&amp;C'!$BH$73:$BI$73)/1000/BM315</f>
        <v>-4.3144187695371518E-2</v>
      </c>
      <c r="BN324" s="145">
        <f>-SUM('[3]Total P&amp;C'!$AJ$74:$AK$74,'[3]Total P&amp;C'!$BH$74:$BI$74)/1000/BN315</f>
        <v>2.5159566104173105E-2</v>
      </c>
      <c r="BO324" s="145">
        <f>-SUM('[3]Total P&amp;C'!$AJ$75:$AK$75,'[3]Total P&amp;C'!$BH$75:$BI$75)/1000/BO315</f>
        <v>0</v>
      </c>
    </row>
    <row r="325" spans="1:67" ht="16.5" hidden="1" customHeight="1" outlineLevel="1" x14ac:dyDescent="0.3">
      <c r="A325" s="210"/>
      <c r="B325" s="115"/>
      <c r="C325" s="136" t="s">
        <v>58</v>
      </c>
      <c r="D325" s="134"/>
      <c r="E325" s="142"/>
      <c r="F325" s="143"/>
      <c r="G325" s="143"/>
      <c r="H325" s="134"/>
      <c r="I325" s="142"/>
      <c r="J325" s="143"/>
      <c r="K325" s="143"/>
      <c r="L325" s="134"/>
      <c r="M325" s="142"/>
      <c r="N325" s="143"/>
      <c r="O325" s="143"/>
      <c r="P325" s="134"/>
      <c r="Q325" s="142"/>
      <c r="R325" s="143"/>
      <c r="S325" s="143"/>
      <c r="T325" s="134"/>
      <c r="U325" s="142"/>
      <c r="V325" s="143"/>
      <c r="W325" s="143"/>
      <c r="X325" s="134"/>
      <c r="Y325" s="142"/>
      <c r="Z325" s="143"/>
      <c r="AA325" s="143"/>
      <c r="AB325" s="134"/>
      <c r="AC325" s="144"/>
      <c r="AD325" s="145"/>
      <c r="AE325" s="145"/>
      <c r="AG325" s="211"/>
      <c r="AH325" s="115"/>
      <c r="AI325" s="136" t="s">
        <v>58</v>
      </c>
      <c r="AJ325" s="134"/>
      <c r="AK325" s="146">
        <f>+AK326+AK327+AK328</f>
        <v>0.13230058820646554</v>
      </c>
      <c r="AL325" s="143">
        <f>+AL326+AL327+AL328</f>
        <v>0.115878592722676</v>
      </c>
      <c r="AM325" s="143">
        <f>+AM326+AM327+AM328</f>
        <v>0.15578974768536244</v>
      </c>
      <c r="AN325" s="134"/>
      <c r="AO325" s="146">
        <f>+AO326+AO327+AO328</f>
        <v>0.20217637892708334</v>
      </c>
      <c r="AP325" s="143">
        <f>+AP326+AP327+AP328</f>
        <v>0.16728337712405622</v>
      </c>
      <c r="AQ325" s="143">
        <f>+AQ326+AQ327+AQ328</f>
        <v>0.21199524344167475</v>
      </c>
      <c r="AR325" s="134"/>
      <c r="AS325" s="142"/>
      <c r="AT325" s="143"/>
      <c r="AU325" s="143"/>
      <c r="AV325" s="134"/>
      <c r="AW325" s="142"/>
      <c r="AX325" s="143"/>
      <c r="AY325" s="143"/>
      <c r="AZ325" s="134"/>
      <c r="BA325" s="142"/>
      <c r="BB325" s="143"/>
      <c r="BC325" s="143"/>
      <c r="BD325" s="134"/>
      <c r="BE325" s="142"/>
      <c r="BF325" s="143"/>
      <c r="BG325" s="143"/>
      <c r="BH325" s="134"/>
      <c r="BI325" s="147">
        <f>+BI326+BI327+BI328</f>
        <v>0.20004203141536306</v>
      </c>
      <c r="BJ325" s="145">
        <f>+BJ326+BJ327+BJ328</f>
        <v>0.16482563471582037</v>
      </c>
      <c r="BK325" s="145">
        <f>+BK326+BK327+BK328</f>
        <v>0.21019732112138248</v>
      </c>
      <c r="BM325" s="147">
        <f>+BM326+BM327+BM328</f>
        <v>0.20004203141536306</v>
      </c>
      <c r="BN325" s="145">
        <f>+BN326+BN327+BN328</f>
        <v>0.16482563471582037</v>
      </c>
      <c r="BO325" s="145">
        <f>+BO326+BO327+BO328</f>
        <v>0.21019732112138248</v>
      </c>
    </row>
    <row r="326" spans="1:67" ht="16.5" hidden="1" customHeight="1" outlineLevel="1" x14ac:dyDescent="0.3">
      <c r="A326" s="210"/>
      <c r="B326" s="115"/>
      <c r="C326" s="50" t="s">
        <v>59</v>
      </c>
      <c r="D326" s="135"/>
      <c r="E326" s="105"/>
      <c r="F326" s="51"/>
      <c r="G326" s="51"/>
      <c r="H326" s="135"/>
      <c r="I326" s="105"/>
      <c r="J326" s="51"/>
      <c r="K326" s="51"/>
      <c r="L326" s="135"/>
      <c r="M326" s="105"/>
      <c r="N326" s="51"/>
      <c r="O326" s="51"/>
      <c r="P326" s="135"/>
      <c r="Q326" s="105"/>
      <c r="R326" s="51"/>
      <c r="S326" s="51"/>
      <c r="T326" s="135"/>
      <c r="U326" s="105"/>
      <c r="V326" s="51"/>
      <c r="W326" s="51"/>
      <c r="X326" s="135"/>
      <c r="Y326" s="105"/>
      <c r="Z326" s="51"/>
      <c r="AA326" s="51"/>
      <c r="AB326" s="135"/>
      <c r="AC326" s="103"/>
      <c r="AD326" s="62"/>
      <c r="AE326" s="62"/>
      <c r="AG326" s="211"/>
      <c r="AH326" s="115"/>
      <c r="AI326" s="50" t="s">
        <v>59</v>
      </c>
      <c r="AJ326" s="135"/>
      <c r="AK326" s="78">
        <f>-SUM([2]Retail!$AL$73:$AN$73,[2]Retail!$BJ$73)/1000/AK315</f>
        <v>6.5272215021386859E-2</v>
      </c>
      <c r="AL326" s="51">
        <f>-SUM([2]Retail!$AL$74:$AN$74,[2]Retail!$BJ$74)/1000/AL315</f>
        <v>6.5672102970803267E-2</v>
      </c>
      <c r="AM326" s="51">
        <f>-SUM([2]Retail!$AL$75:$AN$75,[2]Retail!$BJ$75)/1000/AM315</f>
        <v>9.1930776473132178E-2</v>
      </c>
      <c r="AN326" s="135"/>
      <c r="AO326" s="78">
        <f>-SUM([2]SME!$AL$73:$AN$73,[2]SME!$BJ$73)/1000/AO315</f>
        <v>6.6431381840923204E-2</v>
      </c>
      <c r="AP326" s="51">
        <f>-SUM([2]SME!$AL$74:$AN$74,[2]SME!$BJ$74)/1000/AP315</f>
        <v>7.2976623909757593E-2</v>
      </c>
      <c r="AQ326" s="51">
        <f>-SUM([2]SME!$AL$75:$AN$75,[2]SME!$BJ$75)/1000/AQ315</f>
        <v>7.2171313712339216E-2</v>
      </c>
      <c r="AR326" s="135"/>
      <c r="AS326" s="105"/>
      <c r="AT326" s="51"/>
      <c r="AU326" s="51"/>
      <c r="AV326" s="135"/>
      <c r="AW326" s="105"/>
      <c r="AX326" s="51"/>
      <c r="AY326" s="51"/>
      <c r="AZ326" s="135"/>
      <c r="BA326" s="105"/>
      <c r="BB326" s="51"/>
      <c r="BC326" s="51"/>
      <c r="BD326" s="135"/>
      <c r="BE326" s="105"/>
      <c r="BF326" s="51"/>
      <c r="BG326" s="51"/>
      <c r="BH326" s="135"/>
      <c r="BI326" s="89">
        <f>-SUM('[2]Total P&amp;C'!$AL$73:$AN$73,'[2]Total P&amp;C'!$BJ$73)/1000/BI315</f>
        <v>6.6395975231689414E-2</v>
      </c>
      <c r="BJ326" s="62">
        <f>-SUM('[2]Total P&amp;C'!$AL$74:$AN$74,'[2]Total P&amp;C'!$BJ$74)/1000/BJ315</f>
        <v>7.2627383443280069E-2</v>
      </c>
      <c r="BK326" s="62">
        <f>-SUM('[2]Total P&amp;C'!$AL$75:$AN$75,'[2]Total P&amp;C'!$BJ$75)/1000/BK315</f>
        <v>7.2803386762431019E-2</v>
      </c>
      <c r="BM326" s="89">
        <f>-SUM('[3]Total P&amp;C'!$AL$73:$AN$73,'[3]Total P&amp;C'!$BJ$73)/1000/BM315</f>
        <v>6.6395975231689414E-2</v>
      </c>
      <c r="BN326" s="62">
        <f>-SUM('[3]Total P&amp;C'!$AL$74:$AN$74,'[3]Total P&amp;C'!$BJ$74)/1000/BN315</f>
        <v>7.2627383443280069E-2</v>
      </c>
      <c r="BO326" s="62">
        <f>-SUM('[3]Total P&amp;C'!$AL$75:$AN$75,'[3]Total P&amp;C'!$BJ$75)/1000/BO315</f>
        <v>7.2803386762431019E-2</v>
      </c>
    </row>
    <row r="327" spans="1:67" ht="16.5" hidden="1" customHeight="1" outlineLevel="1" x14ac:dyDescent="0.3">
      <c r="A327" s="210"/>
      <c r="B327" s="115"/>
      <c r="C327" s="50" t="s">
        <v>60</v>
      </c>
      <c r="D327" s="135"/>
      <c r="E327" s="105"/>
      <c r="F327" s="51"/>
      <c r="G327" s="51"/>
      <c r="H327" s="135"/>
      <c r="I327" s="105"/>
      <c r="J327" s="51"/>
      <c r="K327" s="51"/>
      <c r="L327" s="135"/>
      <c r="M327" s="105"/>
      <c r="N327" s="51"/>
      <c r="O327" s="51"/>
      <c r="P327" s="135"/>
      <c r="Q327" s="105"/>
      <c r="R327" s="51"/>
      <c r="S327" s="51"/>
      <c r="T327" s="135"/>
      <c r="U327" s="105"/>
      <c r="V327" s="51"/>
      <c r="W327" s="51"/>
      <c r="X327" s="135"/>
      <c r="Y327" s="105"/>
      <c r="Z327" s="51"/>
      <c r="AA327" s="51"/>
      <c r="AB327" s="135"/>
      <c r="AC327" s="103"/>
      <c r="AD327" s="62"/>
      <c r="AE327" s="62"/>
      <c r="AG327" s="211"/>
      <c r="AH327" s="115"/>
      <c r="AI327" s="50" t="s">
        <v>60</v>
      </c>
      <c r="AJ327" s="135"/>
      <c r="AK327" s="105">
        <f>-SUM([2]Retail!$AO$73:$AP$73)/1000/AK315</f>
        <v>1.3455850584549785E-2</v>
      </c>
      <c r="AL327" s="51">
        <f>-SUM([2]Retail!$AO$74:$AP$74)/1000/AL315</f>
        <v>1.3529733017877908E-2</v>
      </c>
      <c r="AM327" s="51">
        <f>-SUM([2]Retail!$AO$75:$AP$75)/1000/AM315</f>
        <v>1.2476608806371596E-2</v>
      </c>
      <c r="AN327" s="135"/>
      <c r="AO327" s="105">
        <f>-SUM([2]SME!$AO$73:$AP$73)/1000/AO315</f>
        <v>3.5213091887601182E-2</v>
      </c>
      <c r="AP327" s="51">
        <f>-SUM([2]SME!$AO$74:$AP$74)/1000/AP315</f>
        <v>3.2963347614281192E-2</v>
      </c>
      <c r="AQ327" s="51">
        <f>-SUM([2]SME!$AO$75:$AP$75)/1000/AQ315</f>
        <v>3.3538140562265867E-2</v>
      </c>
      <c r="AR327" s="135"/>
      <c r="AS327" s="105"/>
      <c r="AT327" s="51"/>
      <c r="AU327" s="51"/>
      <c r="AV327" s="135"/>
      <c r="AW327" s="105"/>
      <c r="AX327" s="51"/>
      <c r="AY327" s="51"/>
      <c r="AZ327" s="135"/>
      <c r="BA327" s="105"/>
      <c r="BB327" s="51"/>
      <c r="BC327" s="51"/>
      <c r="BD327" s="135"/>
      <c r="BE327" s="105"/>
      <c r="BF327" s="51"/>
      <c r="BG327" s="51"/>
      <c r="BH327" s="135"/>
      <c r="BI327" s="103">
        <f>-SUM('[2]Total P&amp;C'!$AO$73:$AP$73)/1000/BI315</f>
        <v>3.4548519603578881E-2</v>
      </c>
      <c r="BJ327" s="62">
        <f>-SUM('[2]Total P&amp;C'!$AO$74:$AP$74)/1000/BJ315</f>
        <v>3.2034196382638068E-2</v>
      </c>
      <c r="BK327" s="62">
        <f>-SUM('[2]Total P&amp;C'!$AO$75:$AP$75)/1000/BK315</f>
        <v>3.2864416444474166E-2</v>
      </c>
      <c r="BM327" s="103">
        <f>-SUM('[3]Total P&amp;C'!$AO$73:$AP$73)/1000/BM315</f>
        <v>3.4548519603578881E-2</v>
      </c>
      <c r="BN327" s="62">
        <f>-SUM('[3]Total P&amp;C'!$AO$74:$AP$74)/1000/BN315</f>
        <v>3.2034196382638068E-2</v>
      </c>
      <c r="BO327" s="62">
        <f>-SUM('[3]Total P&amp;C'!$AO$75:$AP$75)/1000/BO315</f>
        <v>3.2864416444474166E-2</v>
      </c>
    </row>
    <row r="328" spans="1:67" ht="16.5" hidden="1" customHeight="1" outlineLevel="1" x14ac:dyDescent="0.3">
      <c r="A328" s="210"/>
      <c r="B328" s="115"/>
      <c r="C328" s="50" t="s">
        <v>61</v>
      </c>
      <c r="D328" s="135"/>
      <c r="E328" s="105"/>
      <c r="F328" s="51"/>
      <c r="G328" s="51"/>
      <c r="H328" s="135"/>
      <c r="I328" s="105"/>
      <c r="J328" s="51"/>
      <c r="K328" s="51"/>
      <c r="L328" s="135"/>
      <c r="M328" s="105"/>
      <c r="N328" s="51"/>
      <c r="O328" s="51"/>
      <c r="P328" s="135"/>
      <c r="Q328" s="105"/>
      <c r="R328" s="51"/>
      <c r="S328" s="51"/>
      <c r="T328" s="135"/>
      <c r="U328" s="105"/>
      <c r="V328" s="51"/>
      <c r="W328" s="51"/>
      <c r="X328" s="135"/>
      <c r="Y328" s="105"/>
      <c r="Z328" s="51"/>
      <c r="AA328" s="51"/>
      <c r="AB328" s="135"/>
      <c r="AC328" s="103"/>
      <c r="AD328" s="62"/>
      <c r="AE328" s="62"/>
      <c r="AG328" s="211"/>
      <c r="AH328" s="115"/>
      <c r="AI328" s="50" t="s">
        <v>61</v>
      </c>
      <c r="AJ328" s="135"/>
      <c r="AK328" s="105">
        <f>-SUM([2]Retail!$AQ$73:$AR$73)/1000/AK315</f>
        <v>5.3572522600528888E-2</v>
      </c>
      <c r="AL328" s="51">
        <f>-SUM([2]Retail!$AQ$74:$AR$74)/1000/AL315</f>
        <v>3.6676756733994828E-2</v>
      </c>
      <c r="AM328" s="51">
        <f>-SUM([2]Retail!$AQ$75:$AR$75)/1000/AM315</f>
        <v>5.1382362405858674E-2</v>
      </c>
      <c r="AN328" s="135"/>
      <c r="AO328" s="78">
        <f>-SUM([2]SME!$AQ$73:$AR$73)/1000/AO315</f>
        <v>0.10053190519855895</v>
      </c>
      <c r="AP328" s="51">
        <f>-SUM([2]SME!$AQ$74:$AR$74)/1000/AP315</f>
        <v>6.1343405600017428E-2</v>
      </c>
      <c r="AQ328" s="51">
        <f>-SUM([2]SME!$AQ$75:$AR$75)/1000/AQ315</f>
        <v>0.10628578916706966</v>
      </c>
      <c r="AR328" s="135"/>
      <c r="AS328" s="105"/>
      <c r="AT328" s="51"/>
      <c r="AU328" s="51"/>
      <c r="AV328" s="135"/>
      <c r="AW328" s="105"/>
      <c r="AX328" s="51"/>
      <c r="AY328" s="51"/>
      <c r="AZ328" s="135"/>
      <c r="BA328" s="105"/>
      <c r="BB328" s="51"/>
      <c r="BC328" s="51"/>
      <c r="BD328" s="135"/>
      <c r="BE328" s="105"/>
      <c r="BF328" s="51"/>
      <c r="BG328" s="51"/>
      <c r="BH328" s="135"/>
      <c r="BI328" s="89">
        <f>-SUM('[2]Total P&amp;C'!$AQ$73:$AR$73)/1000/BI315</f>
        <v>9.9097536580094764E-2</v>
      </c>
      <c r="BJ328" s="62">
        <f>-SUM('[2]Total P&amp;C'!$AQ$74:$AR$74)/1000/BJ315</f>
        <v>6.0164054889902223E-2</v>
      </c>
      <c r="BK328" s="62">
        <f>-SUM('[2]Total P&amp;C'!$AQ$75:$AR$75)/1000/BK315</f>
        <v>0.10452951791447729</v>
      </c>
      <c r="BM328" s="89">
        <f>-SUM('[3]Total P&amp;C'!$AQ$73:$AR$73)/1000/BM315</f>
        <v>9.9097536580094764E-2</v>
      </c>
      <c r="BN328" s="62">
        <f>-SUM('[3]Total P&amp;C'!$AQ$74:$AR$74)/1000/BN315</f>
        <v>6.0164054889902223E-2</v>
      </c>
      <c r="BO328" s="62">
        <f>-SUM('[3]Total P&amp;C'!$AQ$75:$AR$75)/1000/BO315</f>
        <v>0.10452951791447729</v>
      </c>
    </row>
    <row r="329" spans="1:67" ht="16.5" hidden="1" customHeight="1" outlineLevel="1" x14ac:dyDescent="0.3">
      <c r="A329" s="210"/>
      <c r="B329" s="115"/>
      <c r="C329" s="136" t="s">
        <v>34</v>
      </c>
      <c r="D329" s="117"/>
      <c r="E329" s="137"/>
      <c r="F329" s="138"/>
      <c r="G329" s="138"/>
      <c r="H329" s="117"/>
      <c r="I329" s="137"/>
      <c r="J329" s="138"/>
      <c r="K329" s="138"/>
      <c r="L329" s="117"/>
      <c r="M329" s="137"/>
      <c r="N329" s="138"/>
      <c r="O329" s="138"/>
      <c r="P329" s="117"/>
      <c r="Q329" s="137"/>
      <c r="R329" s="138"/>
      <c r="S329" s="138"/>
      <c r="T329" s="117"/>
      <c r="U329" s="137"/>
      <c r="V329" s="138"/>
      <c r="W329" s="138"/>
      <c r="X329" s="117"/>
      <c r="Y329" s="137"/>
      <c r="Z329" s="138"/>
      <c r="AA329" s="138"/>
      <c r="AB329" s="117"/>
      <c r="AC329" s="139"/>
      <c r="AD329" s="140"/>
      <c r="AE329" s="140"/>
      <c r="AG329" s="211"/>
      <c r="AH329" s="115"/>
      <c r="AI329" s="136" t="s">
        <v>34</v>
      </c>
      <c r="AJ329" s="117"/>
      <c r="AK329" s="137">
        <f>+[2]Retail!$BK$73/1000</f>
        <v>-0.49173470999999985</v>
      </c>
      <c r="AL329" s="138">
        <f>+[2]Retail!$BK$74/1000</f>
        <v>0.16491621000000042</v>
      </c>
      <c r="AM329" s="138">
        <f>+[2]Retail!$BK$75/1000</f>
        <v>0.25832526725498761</v>
      </c>
      <c r="AN329" s="117"/>
      <c r="AO329" s="141">
        <f>+[2]SME!$BK$73/1000</f>
        <v>1.3887537300000066</v>
      </c>
      <c r="AP329" s="138">
        <f>+[2]SME!$BK$74/1000</f>
        <v>-1.2892912400000331</v>
      </c>
      <c r="AQ329" s="138">
        <f>+[2]SME!$BK$75/1000</f>
        <v>0.51266575392484681</v>
      </c>
      <c r="AR329" s="117"/>
      <c r="AS329" s="137"/>
      <c r="AT329" s="138"/>
      <c r="AU329" s="138"/>
      <c r="AV329" s="117"/>
      <c r="AW329" s="137"/>
      <c r="AX329" s="138"/>
      <c r="AY329" s="138"/>
      <c r="AZ329" s="117"/>
      <c r="BA329" s="137"/>
      <c r="BB329" s="138"/>
      <c r="BC329" s="138"/>
      <c r="BD329" s="117"/>
      <c r="BE329" s="137"/>
      <c r="BF329" s="138"/>
      <c r="BG329" s="138"/>
      <c r="BH329" s="117"/>
      <c r="BI329" s="150">
        <f>+'[2]Total P&amp;C'!$BK$73/1000</f>
        <v>0.89701902000000788</v>
      </c>
      <c r="BJ329" s="140">
        <f>+'[2]Total P&amp;C'!$BK$74/1000</f>
        <v>-1.1243750300000337</v>
      </c>
      <c r="BK329" s="140">
        <f>+'[2]Total P&amp;C'!$BK$75/1000</f>
        <v>0.77099102117983453</v>
      </c>
      <c r="BM329" s="150">
        <f>+'[3]Total P&amp;C'!$BK$73/1000</f>
        <v>0.89701902000000788</v>
      </c>
      <c r="BN329" s="140">
        <f>+'[3]Total P&amp;C'!$BK$74/1000</f>
        <v>-1.1243750300000337</v>
      </c>
      <c r="BO329" s="140">
        <f>+'[3]Total P&amp;C'!$BK$75/1000</f>
        <v>0.77099102117983453</v>
      </c>
    </row>
    <row r="330" spans="1:67" ht="12.75" hidden="1" customHeight="1" outlineLevel="1" x14ac:dyDescent="0.35">
      <c r="AG330" s="153"/>
    </row>
    <row r="331" spans="1:67" ht="16.5" hidden="1" customHeight="1" outlineLevel="1" x14ac:dyDescent="0.3">
      <c r="A331" s="210" t="s">
        <v>51</v>
      </c>
      <c r="B331" s="115"/>
      <c r="C331" s="136" t="s">
        <v>19</v>
      </c>
      <c r="D331" s="117"/>
      <c r="E331" s="137"/>
      <c r="F331" s="138"/>
      <c r="G331" s="138"/>
      <c r="H331" s="117"/>
      <c r="I331" s="137"/>
      <c r="J331" s="138"/>
      <c r="K331" s="138"/>
      <c r="L331" s="117"/>
      <c r="M331" s="137"/>
      <c r="N331" s="138"/>
      <c r="O331" s="138"/>
      <c r="P331" s="117"/>
      <c r="Q331" s="137"/>
      <c r="R331" s="138"/>
      <c r="S331" s="138"/>
      <c r="T331" s="117"/>
      <c r="U331" s="137"/>
      <c r="V331" s="138"/>
      <c r="W331" s="138"/>
      <c r="X331" s="117"/>
      <c r="Y331" s="137"/>
      <c r="Z331" s="138"/>
      <c r="AA331" s="138"/>
      <c r="AB331" s="117"/>
      <c r="AC331" s="139"/>
      <c r="AD331" s="140"/>
      <c r="AE331" s="140"/>
      <c r="AG331" s="211" t="s">
        <v>51</v>
      </c>
      <c r="AH331" s="115"/>
      <c r="AI331" s="136" t="s">
        <v>19</v>
      </c>
      <c r="AJ331" s="117"/>
      <c r="AK331" s="137">
        <f>+[2]Retail!$C$77/1000</f>
        <v>3.8637226200000003</v>
      </c>
      <c r="AL331" s="138">
        <f>+[2]Retail!$C$78/1000</f>
        <v>3.6689516100000001</v>
      </c>
      <c r="AM331" s="138">
        <f>+[2]Retail!$C$79/1000</f>
        <v>3.9625162647887628</v>
      </c>
      <c r="AN331" s="117"/>
      <c r="AO331" s="141">
        <f>+[2]SME!$C$77/1000</f>
        <v>17.574788609999999</v>
      </c>
      <c r="AP331" s="138">
        <f>+[2]SME!$C$78/1000</f>
        <v>16.557492950000004</v>
      </c>
      <c r="AQ331" s="138">
        <f>+[2]SME!$C$79/1000</f>
        <v>14.872965496271323</v>
      </c>
      <c r="AR331" s="117"/>
      <c r="AS331" s="137"/>
      <c r="AT331" s="138"/>
      <c r="AU331" s="138"/>
      <c r="AV331" s="117"/>
      <c r="AW331" s="137"/>
      <c r="AX331" s="138"/>
      <c r="AY331" s="138"/>
      <c r="AZ331" s="117"/>
      <c r="BA331" s="137"/>
      <c r="BB331" s="138"/>
      <c r="BC331" s="138"/>
      <c r="BD331" s="117"/>
      <c r="BE331" s="137"/>
      <c r="BF331" s="138"/>
      <c r="BG331" s="138"/>
      <c r="BH331" s="117"/>
      <c r="BI331" s="150">
        <f>+'[2]Total P&amp;C'!$C$77/1000</f>
        <v>21.43851123</v>
      </c>
      <c r="BJ331" s="140">
        <f>+'[2]Total P&amp;C'!$C$78/1000</f>
        <v>20.226444560000004</v>
      </c>
      <c r="BK331" s="140">
        <f>+'[2]Total P&amp;C'!$C$79/1000</f>
        <v>18.835481761060088</v>
      </c>
      <c r="BM331" s="150">
        <f>+'[3]Total P&amp;C'!$C$77/1000</f>
        <v>21.43851123</v>
      </c>
      <c r="BN331" s="140">
        <f>+'[3]Total P&amp;C'!$C$78/1000</f>
        <v>20.226444560000004</v>
      </c>
      <c r="BO331" s="140">
        <f>+'[3]Total P&amp;C'!$C$79/1000</f>
        <v>18.835481761060088</v>
      </c>
    </row>
    <row r="332" spans="1:67" ht="16.5" hidden="1" customHeight="1" outlineLevel="1" x14ac:dyDescent="0.3">
      <c r="A332" s="210"/>
      <c r="B332" s="115"/>
      <c r="C332" s="136" t="s">
        <v>55</v>
      </c>
      <c r="D332" s="117"/>
      <c r="E332" s="137"/>
      <c r="F332" s="138"/>
      <c r="G332" s="138"/>
      <c r="H332" s="117"/>
      <c r="I332" s="137"/>
      <c r="J332" s="138"/>
      <c r="K332" s="138"/>
      <c r="L332" s="117"/>
      <c r="M332" s="137"/>
      <c r="N332" s="138"/>
      <c r="O332" s="138"/>
      <c r="P332" s="117"/>
      <c r="Q332" s="137"/>
      <c r="R332" s="138"/>
      <c r="S332" s="138"/>
      <c r="T332" s="117"/>
      <c r="U332" s="137"/>
      <c r="V332" s="138"/>
      <c r="W332" s="138"/>
      <c r="X332" s="117"/>
      <c r="Y332" s="137"/>
      <c r="Z332" s="138"/>
      <c r="AA332" s="138"/>
      <c r="AB332" s="117"/>
      <c r="AC332" s="139"/>
      <c r="AD332" s="140"/>
      <c r="AE332" s="140"/>
      <c r="AG332" s="211"/>
      <c r="AH332" s="115"/>
      <c r="AI332" s="136" t="s">
        <v>55</v>
      </c>
      <c r="AJ332" s="117"/>
      <c r="AK332" s="141">
        <f>+[2]Retail!$N$77/1000</f>
        <v>3.5768861600000008</v>
      </c>
      <c r="AL332" s="138">
        <f>+[2]Retail!$N$78/1000</f>
        <v>5.1956650899999994</v>
      </c>
      <c r="AM332" s="138">
        <f>+[2]Retail!$N$79/1000</f>
        <v>3.402875463948333</v>
      </c>
      <c r="AN332" s="117"/>
      <c r="AO332" s="141">
        <f>+[2]SME!$N$77/1000</f>
        <v>13.333753890000001</v>
      </c>
      <c r="AP332" s="138">
        <f>+[2]SME!$N$78/1000</f>
        <v>12.501159609999998</v>
      </c>
      <c r="AQ332" s="138">
        <f>+[2]SME!$N$79/1000</f>
        <v>11.955311947137714</v>
      </c>
      <c r="AR332" s="117"/>
      <c r="AS332" s="137"/>
      <c r="AT332" s="138"/>
      <c r="AU332" s="138"/>
      <c r="AV332" s="117"/>
      <c r="AW332" s="137"/>
      <c r="AX332" s="138"/>
      <c r="AY332" s="138"/>
      <c r="AZ332" s="117"/>
      <c r="BA332" s="137"/>
      <c r="BB332" s="138"/>
      <c r="BC332" s="138"/>
      <c r="BD332" s="117"/>
      <c r="BE332" s="137"/>
      <c r="BF332" s="138"/>
      <c r="BG332" s="138"/>
      <c r="BH332" s="117"/>
      <c r="BI332" s="150">
        <f>+'[2]Total P&amp;C'!$N$77/1000</f>
        <v>16.910640050000001</v>
      </c>
      <c r="BJ332" s="140">
        <f>+'[2]Total P&amp;C'!$N$78/1000</f>
        <v>17.696824699999997</v>
      </c>
      <c r="BK332" s="140">
        <f>+'[2]Total P&amp;C'!$N$79/1000</f>
        <v>15.358187411086048</v>
      </c>
      <c r="BM332" s="150">
        <f>+'[3]Total P&amp;C'!$N$77/1000</f>
        <v>16.910640050000001</v>
      </c>
      <c r="BN332" s="140">
        <f>+'[3]Total P&amp;C'!$N$78/1000</f>
        <v>17.696824699999997</v>
      </c>
      <c r="BO332" s="140">
        <f>+'[3]Total P&amp;C'!$N$79/1000</f>
        <v>15.358187411086048</v>
      </c>
    </row>
    <row r="333" spans="1:67" ht="16.5" hidden="1" customHeight="1" outlineLevel="1" x14ac:dyDescent="0.3">
      <c r="A333" s="210"/>
      <c r="B333" s="115"/>
      <c r="C333" s="136" t="s">
        <v>21</v>
      </c>
      <c r="D333" s="117"/>
      <c r="E333" s="142"/>
      <c r="F333" s="143"/>
      <c r="G333" s="143"/>
      <c r="H333" s="117"/>
      <c r="I333" s="142"/>
      <c r="J333" s="143"/>
      <c r="K333" s="143"/>
      <c r="L333" s="117"/>
      <c r="M333" s="142"/>
      <c r="N333" s="143"/>
      <c r="O333" s="143"/>
      <c r="P333" s="117"/>
      <c r="Q333" s="142"/>
      <c r="R333" s="143"/>
      <c r="S333" s="143"/>
      <c r="T333" s="117"/>
      <c r="U333" s="142"/>
      <c r="V333" s="143"/>
      <c r="W333" s="143"/>
      <c r="X333" s="117"/>
      <c r="Y333" s="142"/>
      <c r="Z333" s="143"/>
      <c r="AA333" s="143"/>
      <c r="AB333" s="117"/>
      <c r="AC333" s="144"/>
      <c r="AD333" s="145"/>
      <c r="AE333" s="145"/>
      <c r="AG333" s="211"/>
      <c r="AH333" s="115"/>
      <c r="AI333" s="136" t="s">
        <v>21</v>
      </c>
      <c r="AJ333" s="117"/>
      <c r="AK333" s="146">
        <f>+AK334+AK339+AK340+AK341+AK342</f>
        <v>0.75722922364406564</v>
      </c>
      <c r="AL333" s="143">
        <f>+AL334+AL339+AL340+AL341+AL342</f>
        <v>0.39982684295765469</v>
      </c>
      <c r="AM333" s="143">
        <f>+AM334+AM339+AM340+AM341+AM342</f>
        <v>0.83007591002005265</v>
      </c>
      <c r="AN333" s="117"/>
      <c r="AO333" s="146">
        <f>+AO334+AO339+AO340+AO341+AO342</f>
        <v>0.88359152097714311</v>
      </c>
      <c r="AP333" s="143">
        <f>+AP334+AP339+AP340+AP341+AP342</f>
        <v>1.0257294747075074</v>
      </c>
      <c r="AQ333" s="143">
        <f>+AQ334+AQ339+AQ340+AQ341+AQ342</f>
        <v>1.008413951123271</v>
      </c>
      <c r="AR333" s="117"/>
      <c r="AS333" s="142"/>
      <c r="AT333" s="143"/>
      <c r="AU333" s="143"/>
      <c r="AV333" s="117"/>
      <c r="AW333" s="142"/>
      <c r="AX333" s="143"/>
      <c r="AY333" s="143"/>
      <c r="AZ333" s="117"/>
      <c r="BA333" s="142"/>
      <c r="BB333" s="143"/>
      <c r="BC333" s="143"/>
      <c r="BD333" s="117"/>
      <c r="BE333" s="142"/>
      <c r="BF333" s="143"/>
      <c r="BG333" s="143"/>
      <c r="BH333" s="117"/>
      <c r="BI333" s="147">
        <f>+BI334+BI339+BI340+BI341+BI342</f>
        <v>0.85686375957130023</v>
      </c>
      <c r="BJ333" s="145">
        <f>+BJ334+BJ339+BJ340+BJ341+BJ342</f>
        <v>0.84196879963443383</v>
      </c>
      <c r="BK333" s="145">
        <f>+BK334+BK339+BK340+BK341+BK342</f>
        <v>0.96890003401084535</v>
      </c>
      <c r="BM333" s="147">
        <f>+BM334+BM339+BM340+BM341+BM342</f>
        <v>0.85686375957130023</v>
      </c>
      <c r="BN333" s="145">
        <f>+BN334+BN339+BN340+BN341+BN342</f>
        <v>0.84196879963443383</v>
      </c>
      <c r="BO333" s="145">
        <f>+BO334+BO339+BO340+BO341+BO342</f>
        <v>0.96890003401084535</v>
      </c>
    </row>
    <row r="334" spans="1:67" ht="16.5" hidden="1" customHeight="1" outlineLevel="1" x14ac:dyDescent="0.3">
      <c r="A334" s="210"/>
      <c r="B334" s="115"/>
      <c r="C334" s="136" t="s">
        <v>56</v>
      </c>
      <c r="D334" s="117"/>
      <c r="E334" s="142"/>
      <c r="F334" s="143"/>
      <c r="G334" s="143"/>
      <c r="H334" s="117"/>
      <c r="I334" s="142"/>
      <c r="J334" s="143"/>
      <c r="K334" s="143"/>
      <c r="L334" s="117"/>
      <c r="M334" s="142"/>
      <c r="N334" s="143"/>
      <c r="O334" s="143"/>
      <c r="P334" s="117"/>
      <c r="Q334" s="142"/>
      <c r="R334" s="143"/>
      <c r="S334" s="143"/>
      <c r="T334" s="117"/>
      <c r="U334" s="142"/>
      <c r="V334" s="143"/>
      <c r="W334" s="143"/>
      <c r="X334" s="117"/>
      <c r="Y334" s="142"/>
      <c r="Z334" s="143"/>
      <c r="AA334" s="143"/>
      <c r="AB334" s="117"/>
      <c r="AC334" s="144"/>
      <c r="AD334" s="145"/>
      <c r="AE334" s="145"/>
      <c r="AG334" s="211"/>
      <c r="AH334" s="115"/>
      <c r="AI334" s="136" t="s">
        <v>56</v>
      </c>
      <c r="AJ334" s="117"/>
      <c r="AK334" s="146">
        <f>+AK335+AK336+AK337+AK338</f>
        <v>0.7251928839692241</v>
      </c>
      <c r="AL334" s="143">
        <f>+AL335+AL336+AL337+AL338</f>
        <v>0.45572023003507312</v>
      </c>
      <c r="AM334" s="143">
        <f>+AM335+AM336+AM337+AM338</f>
        <v>0.77227068142447053</v>
      </c>
      <c r="AN334" s="117"/>
      <c r="AO334" s="148">
        <f>+AO335+AO336+AO337+AO338</f>
        <v>0.90662308002146552</v>
      </c>
      <c r="AP334" s="143">
        <f>+AP335+AP336+AP337+AP338</f>
        <v>0.96901756540327899</v>
      </c>
      <c r="AQ334" s="143">
        <f>+AQ335+AQ336+AQ337+AQ338</f>
        <v>0.84673548024308321</v>
      </c>
      <c r="AR334" s="117"/>
      <c r="AS334" s="142"/>
      <c r="AT334" s="143"/>
      <c r="AU334" s="143"/>
      <c r="AV334" s="117"/>
      <c r="AW334" s="142"/>
      <c r="AX334" s="143"/>
      <c r="AY334" s="143"/>
      <c r="AZ334" s="117"/>
      <c r="BA334" s="142"/>
      <c r="BB334" s="143"/>
      <c r="BC334" s="143"/>
      <c r="BD334" s="117"/>
      <c r="BE334" s="142"/>
      <c r="BF334" s="143"/>
      <c r="BG334" s="143"/>
      <c r="BH334" s="117"/>
      <c r="BI334" s="149">
        <f>+BI335+BI336+BI337+BI338</f>
        <v>0.86824752739030719</v>
      </c>
      <c r="BJ334" s="145">
        <f>+BJ335+BJ336+BJ337+BJ338</f>
        <v>0.8183170249745424</v>
      </c>
      <c r="BK334" s="145">
        <f>+BK335+BK336+BK337+BK338</f>
        <v>0.8302364995987398</v>
      </c>
      <c r="BM334" s="149">
        <f>+BM335+BM336+BM337+BM338</f>
        <v>0.86824752739030719</v>
      </c>
      <c r="BN334" s="145">
        <f>+BN335+BN336+BN337+BN338</f>
        <v>0.8183170249745424</v>
      </c>
      <c r="BO334" s="145">
        <f>+BO335+BO336+BO337+BO338</f>
        <v>0.8302364995987398</v>
      </c>
    </row>
    <row r="335" spans="1:67" ht="16.5" hidden="1" customHeight="1" outlineLevel="1" x14ac:dyDescent="0.3">
      <c r="A335" s="210"/>
      <c r="B335" s="115"/>
      <c r="C335" s="48" t="s">
        <v>23</v>
      </c>
      <c r="D335" s="117"/>
      <c r="E335" s="105"/>
      <c r="F335" s="51"/>
      <c r="G335" s="51"/>
      <c r="H335" s="117"/>
      <c r="I335" s="105"/>
      <c r="J335" s="51"/>
      <c r="K335" s="51"/>
      <c r="L335" s="117"/>
      <c r="M335" s="105"/>
      <c r="N335" s="51"/>
      <c r="O335" s="51"/>
      <c r="P335" s="117"/>
      <c r="Q335" s="105"/>
      <c r="R335" s="51"/>
      <c r="S335" s="51"/>
      <c r="T335" s="117"/>
      <c r="U335" s="105"/>
      <c r="V335" s="51"/>
      <c r="W335" s="51"/>
      <c r="X335" s="117"/>
      <c r="Y335" s="105"/>
      <c r="Z335" s="51"/>
      <c r="AA335" s="51"/>
      <c r="AB335" s="117"/>
      <c r="AC335" s="103"/>
      <c r="AD335" s="62"/>
      <c r="AE335" s="62"/>
      <c r="AG335" s="211"/>
      <c r="AH335" s="115"/>
      <c r="AI335" s="48" t="s">
        <v>23</v>
      </c>
      <c r="AJ335" s="117"/>
      <c r="AK335" s="78">
        <f>-SUM([2]Retail!$O$77,[2]Retail!$R$77:$V$77,[2]Retail!$Y$77,[2]Retail!$AB$77,[2]Retail!$AU$77,[2]Retail!$AX$77,[2]Retail!$BA$77,[2]Retail!$BD$77)/1000/AK332</f>
        <v>0.7251928839692241</v>
      </c>
      <c r="AL335" s="51">
        <f>-SUM([2]Retail!$O$78,[2]Retail!$R$78:$V$78,[2]Retail!$Y$78,[2]Retail!$AB$78,[2]Retail!$AU$78,[2]Retail!$AX$78,[2]Retail!$BA$78,[2]Retail!$BD$78)/1000/AL332</f>
        <v>0.45572023003507312</v>
      </c>
      <c r="AM335" s="51">
        <f>-SUM([2]Retail!$O$79,[2]Retail!$R$79:$V$79,[2]Retail!$Y$79,[2]Retail!$AB$79,[2]Retail!$AU$79,[2]Retail!$AX$79,[2]Retail!$BA$79,[2]Retail!$BD$79)/1000/AM332</f>
        <v>0.77227068142447053</v>
      </c>
      <c r="AN335" s="117"/>
      <c r="AO335" s="77">
        <f>-SUM([2]SME!$O$77,[2]SME!$R$77:$V$77,[2]SME!$Y$77,[2]SME!$AB$77,[2]SME!$AU$77,[2]SME!$AX$77,[2]SME!$BA$77,[2]SME!$BD$77)/1000/AO332</f>
        <v>0.84055760759208054</v>
      </c>
      <c r="AP335" s="51">
        <f>-SUM([2]SME!$O$78,[2]SME!$R$78:$V$78,[2]SME!$Y$78,[2]SME!$AB$78,[2]SME!$AU$78,[2]SME!$AX$78,[2]SME!$BA$78,[2]SME!$BD$78)/1000/AP332</f>
        <v>0.8752502784819659</v>
      </c>
      <c r="AQ335" s="51">
        <f>-SUM([2]SME!$O$79,[2]SME!$R$79:$V$79,[2]SME!$Y$79,[2]SME!$AB$79,[2]SME!$AU$79,[2]SME!$AX$79,[2]SME!$BA$79,[2]SME!$BD$79)/1000/AQ332</f>
        <v>0.76343459759748811</v>
      </c>
      <c r="AR335" s="117"/>
      <c r="AS335" s="105"/>
      <c r="AT335" s="51"/>
      <c r="AU335" s="51"/>
      <c r="AV335" s="117"/>
      <c r="AW335" s="105"/>
      <c r="AX335" s="51"/>
      <c r="AY335" s="51"/>
      <c r="AZ335" s="117"/>
      <c r="BA335" s="105"/>
      <c r="BB335" s="51"/>
      <c r="BC335" s="51"/>
      <c r="BD335" s="117"/>
      <c r="BE335" s="105"/>
      <c r="BF335" s="51"/>
      <c r="BG335" s="51"/>
      <c r="BH335" s="117"/>
      <c r="BI335" s="90">
        <f>-SUM('[2]Total P&amp;C'!$O$77,'[2]Total P&amp;C'!$R$77:$V$77,'[2]Total P&amp;C'!$Y$77,'[2]Total P&amp;C'!$AB$77,'[2]Total P&amp;C'!$AU$77,'[2]Total P&amp;C'!$AX$77,'[2]Total P&amp;C'!$BA$77,'[2]Total P&amp;C'!$BD$77)/1000/BI332</f>
        <v>0.81615601888469036</v>
      </c>
      <c r="BJ335" s="62">
        <f>-SUM('[2]Total P&amp;C'!$O$78,'[2]Total P&amp;C'!$R$78:$V$78,'[2]Total P&amp;C'!$Y$78,'[2]Total P&amp;C'!$AB$78,'[2]Total P&amp;C'!$AU$78,'[2]Total P&amp;C'!$AX$78,'[2]Total P&amp;C'!$BA$78,'[2]Total P&amp;C'!$BD$78)/1000/BJ332</f>
        <v>0.75207916367053118</v>
      </c>
      <c r="BK335" s="62">
        <f>-SUM('[2]Total P&amp;C'!$O$79,'[2]Total P&amp;C'!$R$79:$V$79,'[2]Total P&amp;C'!$Y$79,'[2]Total P&amp;C'!$AB$79,'[2]Total P&amp;C'!$AU$79,'[2]Total P&amp;C'!$AX$79,'[2]Total P&amp;C'!$BA$79,'[2]Total P&amp;C'!$BD$79)/1000/BK332</f>
        <v>0.76539238675889165</v>
      </c>
      <c r="BM335" s="90">
        <f>-SUM('[3]Total P&amp;C'!$O$77,'[3]Total P&amp;C'!$R$77:$V$77,'[3]Total P&amp;C'!$Y$77,'[3]Total P&amp;C'!$AB$77,'[3]Total P&amp;C'!$AU$77,'[3]Total P&amp;C'!$AX$77,'[3]Total P&amp;C'!$BA$77,'[3]Total P&amp;C'!$BD$77)/1000/BM332</f>
        <v>0.81615601888469036</v>
      </c>
      <c r="BN335" s="62">
        <f>-SUM('[3]Total P&amp;C'!$O$78,'[3]Total P&amp;C'!$R$78:$V$78,'[3]Total P&amp;C'!$Y$78,'[3]Total P&amp;C'!$AB$78,'[3]Total P&amp;C'!$AU$78,'[3]Total P&amp;C'!$AX$78,'[3]Total P&amp;C'!$BA$78,'[3]Total P&amp;C'!$BD$78)/1000/BN332</f>
        <v>0.75207916367053118</v>
      </c>
      <c r="BO335" s="62">
        <f>-SUM('[3]Total P&amp;C'!$O$79,'[3]Total P&amp;C'!$R$79:$V$79,'[3]Total P&amp;C'!$Y$79,'[3]Total P&amp;C'!$AB$79,'[3]Total P&amp;C'!$AU$79,'[3]Total P&amp;C'!$AX$79,'[3]Total P&amp;C'!$BA$79,'[3]Total P&amp;C'!$BD$79)/1000/BO332</f>
        <v>0.76539238675889165</v>
      </c>
    </row>
    <row r="336" spans="1:67" ht="16.5" hidden="1" customHeight="1" outlineLevel="1" x14ac:dyDescent="0.3">
      <c r="A336" s="210"/>
      <c r="B336" s="115"/>
      <c r="C336" s="48" t="s">
        <v>24</v>
      </c>
      <c r="D336" s="134"/>
      <c r="E336" s="105"/>
      <c r="F336" s="51"/>
      <c r="G336" s="51"/>
      <c r="H336" s="134"/>
      <c r="I336" s="105"/>
      <c r="J336" s="51"/>
      <c r="K336" s="51"/>
      <c r="L336" s="134"/>
      <c r="M336" s="105"/>
      <c r="N336" s="51"/>
      <c r="O336" s="51"/>
      <c r="P336" s="134"/>
      <c r="Q336" s="105"/>
      <c r="R336" s="51"/>
      <c r="S336" s="51"/>
      <c r="T336" s="134"/>
      <c r="U336" s="105"/>
      <c r="V336" s="51"/>
      <c r="W336" s="51"/>
      <c r="X336" s="134"/>
      <c r="Y336" s="105"/>
      <c r="Z336" s="51"/>
      <c r="AA336" s="51"/>
      <c r="AB336" s="134"/>
      <c r="AC336" s="103"/>
      <c r="AD336" s="62"/>
      <c r="AE336" s="62"/>
      <c r="AG336" s="211"/>
      <c r="AH336" s="115"/>
      <c r="AI336" s="48" t="s">
        <v>24</v>
      </c>
      <c r="AJ336" s="134"/>
      <c r="AK336" s="105">
        <f>-([2]Retail!$P$77+[2]Retail!$W$77+[2]Retail!$AV$77+[2]Retail!$AY$77)/1000/AK332</f>
        <v>0</v>
      </c>
      <c r="AL336" s="51">
        <f>-([2]Retail!$P$78+[2]Retail!$W$78+[2]Retail!$AV$78+[2]Retail!$AY$78)/1000/AL332</f>
        <v>0</v>
      </c>
      <c r="AM336" s="51">
        <f>-([2]Retail!$P$79+[2]Retail!$W$79+[2]Retail!$AV$79+[2]Retail!$AY$79)/1000/AM332</f>
        <v>0</v>
      </c>
      <c r="AN336" s="134"/>
      <c r="AO336" s="105">
        <f>-([2]SME!$P$77+[2]SME!$W$77+[2]SME!$AV$77+[2]SME!$AY$77)/1000/AO332</f>
        <v>0</v>
      </c>
      <c r="AP336" s="51">
        <f>-([2]SME!$P$78+[2]SME!$W$78+[2]SME!$AV$78+[2]SME!$AY$78)/1000/AP332</f>
        <v>0</v>
      </c>
      <c r="AQ336" s="51">
        <f>-([2]SME!$P$79+[2]SME!$W$79+[2]SME!$AV$79+[2]SME!$AY$79)/1000/AQ332</f>
        <v>0</v>
      </c>
      <c r="AR336" s="134"/>
      <c r="AS336" s="105"/>
      <c r="AT336" s="51"/>
      <c r="AU336" s="51"/>
      <c r="AV336" s="134"/>
      <c r="AW336" s="105"/>
      <c r="AX336" s="51"/>
      <c r="AY336" s="51"/>
      <c r="AZ336" s="134"/>
      <c r="BA336" s="105"/>
      <c r="BB336" s="51"/>
      <c r="BC336" s="51"/>
      <c r="BD336" s="134"/>
      <c r="BE336" s="105"/>
      <c r="BF336" s="51"/>
      <c r="BG336" s="51"/>
      <c r="BH336" s="134"/>
      <c r="BI336" s="103">
        <f>-('[2]Total P&amp;C'!$P$77+'[2]Total P&amp;C'!$W$77+'[2]Total P&amp;C'!$AV$77+'[2]Total P&amp;C'!$AY$77)/1000/BI332</f>
        <v>0</v>
      </c>
      <c r="BJ336" s="62">
        <f>-('[2]Total P&amp;C'!$P$78+'[2]Total P&amp;C'!$W$78+'[2]Total P&amp;C'!$AV$78+'[2]Total P&amp;C'!$AY$78)/1000/BJ332</f>
        <v>0</v>
      </c>
      <c r="BK336" s="62">
        <f>-('[2]Total P&amp;C'!$P$79+'[2]Total P&amp;C'!$W$79+'[2]Total P&amp;C'!$AV$79+'[2]Total P&amp;C'!$AY$79)/1000/BK332</f>
        <v>0</v>
      </c>
      <c r="BM336" s="103">
        <f>-('[3]Total P&amp;C'!$P$77+'[3]Total P&amp;C'!$W$77+'[3]Total P&amp;C'!$AV$77+'[3]Total P&amp;C'!$AY$77)/1000/BM332</f>
        <v>0</v>
      </c>
      <c r="BN336" s="62">
        <f>-('[3]Total P&amp;C'!$P$78+'[3]Total P&amp;C'!$W$78+'[3]Total P&amp;C'!$AV$78+'[3]Total P&amp;C'!$AY$78)/1000/BN332</f>
        <v>0</v>
      </c>
      <c r="BO336" s="62">
        <f>-('[3]Total P&amp;C'!$P$79+'[3]Total P&amp;C'!$W$79+'[3]Total P&amp;C'!$AV$79+'[3]Total P&amp;C'!$AY$79)/1000/BO332</f>
        <v>0</v>
      </c>
    </row>
    <row r="337" spans="1:67" ht="16.5" hidden="1" customHeight="1" outlineLevel="1" x14ac:dyDescent="0.3">
      <c r="A337" s="210"/>
      <c r="B337" s="115"/>
      <c r="C337" s="48" t="s">
        <v>25</v>
      </c>
      <c r="D337" s="134"/>
      <c r="E337" s="105"/>
      <c r="F337" s="51"/>
      <c r="G337" s="51"/>
      <c r="H337" s="134"/>
      <c r="I337" s="105"/>
      <c r="J337" s="51"/>
      <c r="K337" s="51"/>
      <c r="L337" s="134"/>
      <c r="M337" s="105"/>
      <c r="N337" s="51"/>
      <c r="O337" s="51"/>
      <c r="P337" s="134"/>
      <c r="Q337" s="105"/>
      <c r="R337" s="51"/>
      <c r="S337" s="51"/>
      <c r="T337" s="134"/>
      <c r="U337" s="105"/>
      <c r="V337" s="51"/>
      <c r="W337" s="51"/>
      <c r="X337" s="134"/>
      <c r="Y337" s="105"/>
      <c r="Z337" s="51"/>
      <c r="AA337" s="51"/>
      <c r="AB337" s="134"/>
      <c r="AC337" s="103"/>
      <c r="AD337" s="62"/>
      <c r="AE337" s="62"/>
      <c r="AG337" s="211"/>
      <c r="AH337" s="115"/>
      <c r="AI337" s="48" t="s">
        <v>25</v>
      </c>
      <c r="AJ337" s="134"/>
      <c r="AK337" s="105">
        <f>-([2]Retail!$Q$77+[2]Retail!$X$77+[2]Retail!$AW$77+[2]Retail!$AZ$77)/1000/AK332</f>
        <v>0</v>
      </c>
      <c r="AL337" s="51">
        <f>-([2]Retail!$Q$78+[2]Retail!$X$78+[2]Retail!$AW$78+[2]Retail!$AZ$78)/1000/AL332</f>
        <v>0</v>
      </c>
      <c r="AM337" s="51">
        <f>-([2]Retail!$Q$79+[2]Retail!$X$79+[2]Retail!$AW$79+[2]Retail!$AZ$79)/1000/AM332</f>
        <v>0</v>
      </c>
      <c r="AN337" s="134"/>
      <c r="AO337" s="105">
        <f>-([2]SME!$Q$77+[2]SME!$X$77+[2]SME!$AW$77+[2]SME!$AZ$77)/1000/AO332</f>
        <v>0</v>
      </c>
      <c r="AP337" s="51">
        <f>-([2]SME!$Q$78+[2]SME!$X$78+[2]SME!$AW$78+[2]SME!$AZ$78)/1000/AP332</f>
        <v>0</v>
      </c>
      <c r="AQ337" s="51">
        <f>-([2]SME!$Q$79+[2]SME!$X$79+[2]SME!$AW$79+[2]SME!$AZ$79)/1000/AQ332</f>
        <v>0</v>
      </c>
      <c r="AR337" s="134"/>
      <c r="AS337" s="105"/>
      <c r="AT337" s="51"/>
      <c r="AU337" s="51"/>
      <c r="AV337" s="134"/>
      <c r="AW337" s="105"/>
      <c r="AX337" s="51"/>
      <c r="AY337" s="51"/>
      <c r="AZ337" s="134"/>
      <c r="BA337" s="105"/>
      <c r="BB337" s="51"/>
      <c r="BC337" s="51"/>
      <c r="BD337" s="134"/>
      <c r="BE337" s="105"/>
      <c r="BF337" s="51"/>
      <c r="BG337" s="51"/>
      <c r="BH337" s="134"/>
      <c r="BI337" s="103">
        <f>-('[2]Total P&amp;C'!$Q$77+'[2]Total P&amp;C'!$X$77+'[2]Total P&amp;C'!$AW$77+'[2]Total P&amp;C'!$AZ$77)/1000/BI332</f>
        <v>0</v>
      </c>
      <c r="BJ337" s="62">
        <f>-('[2]Total P&amp;C'!$Q$78+'[2]Total P&amp;C'!$X$78+'[2]Total P&amp;C'!$AW$78+'[2]Total P&amp;C'!$AZ$78)/1000/BJ332</f>
        <v>0</v>
      </c>
      <c r="BK337" s="62">
        <f>-('[2]Total P&amp;C'!$Q$79+'[2]Total P&amp;C'!$X$79+'[2]Total P&amp;C'!$AW$79+'[2]Total P&amp;C'!$AZ$79)/1000/BK332</f>
        <v>0</v>
      </c>
      <c r="BM337" s="103">
        <f>-('[3]Total P&amp;C'!$Q$77+'[3]Total P&amp;C'!$X$77+'[3]Total P&amp;C'!$AW$77+'[3]Total P&amp;C'!$AZ$77)/1000/BM332</f>
        <v>0</v>
      </c>
      <c r="BN337" s="62">
        <f>-('[3]Total P&amp;C'!$Q$78+'[3]Total P&amp;C'!$X$78+'[3]Total P&amp;C'!$AW$78+'[3]Total P&amp;C'!$AZ$78)/1000/BN332</f>
        <v>0</v>
      </c>
      <c r="BO337" s="62">
        <f>-('[3]Total P&amp;C'!$Q$79+'[3]Total P&amp;C'!$X$79+'[3]Total P&amp;C'!$AW$79+'[3]Total P&amp;C'!$AZ$79)/1000/BO332</f>
        <v>0</v>
      </c>
    </row>
    <row r="338" spans="1:67" ht="16.5" hidden="1" customHeight="1" outlineLevel="1" x14ac:dyDescent="0.3">
      <c r="A338" s="210"/>
      <c r="B338" s="115"/>
      <c r="C338" s="48" t="s">
        <v>53</v>
      </c>
      <c r="D338" s="134"/>
      <c r="E338" s="105"/>
      <c r="F338" s="51"/>
      <c r="G338" s="51"/>
      <c r="H338" s="134"/>
      <c r="I338" s="105"/>
      <c r="J338" s="51"/>
      <c r="K338" s="51"/>
      <c r="L338" s="134"/>
      <c r="M338" s="105"/>
      <c r="N338" s="51"/>
      <c r="O338" s="51"/>
      <c r="P338" s="134"/>
      <c r="Q338" s="105"/>
      <c r="R338" s="51"/>
      <c r="S338" s="51"/>
      <c r="T338" s="134"/>
      <c r="U338" s="105"/>
      <c r="V338" s="51"/>
      <c r="W338" s="51"/>
      <c r="X338" s="134"/>
      <c r="Y338" s="105"/>
      <c r="Z338" s="51"/>
      <c r="AA338" s="51"/>
      <c r="AB338" s="134"/>
      <c r="AC338" s="103"/>
      <c r="AD338" s="62"/>
      <c r="AE338" s="62"/>
      <c r="AG338" s="211"/>
      <c r="AH338" s="115"/>
      <c r="AI338" s="48" t="s">
        <v>53</v>
      </c>
      <c r="AJ338" s="134"/>
      <c r="AK338" s="105">
        <f>-[2]Retail!$AT$77/1000/AK332</f>
        <v>0</v>
      </c>
      <c r="AL338" s="51">
        <f>-[2]Retail!$AT$78/1000/AL332</f>
        <v>0</v>
      </c>
      <c r="AM338" s="51">
        <f>-[2]Retail!$AT$79/1000/AM332</f>
        <v>0</v>
      </c>
      <c r="AN338" s="134"/>
      <c r="AO338" s="78">
        <f>-[2]SME!$AT$77/1000/AO332</f>
        <v>6.6065472429385E-2</v>
      </c>
      <c r="AP338" s="51">
        <f>-[2]SME!$AT$78/1000/AP332</f>
        <v>9.3767286921313073E-2</v>
      </c>
      <c r="AQ338" s="51">
        <f>-[2]SME!$AT$79/1000/AQ332</f>
        <v>8.330088264559507E-2</v>
      </c>
      <c r="AR338" s="134"/>
      <c r="AS338" s="105"/>
      <c r="AT338" s="51"/>
      <c r="AU338" s="51"/>
      <c r="AV338" s="134"/>
      <c r="AW338" s="105"/>
      <c r="AX338" s="51"/>
      <c r="AY338" s="51"/>
      <c r="AZ338" s="134"/>
      <c r="BA338" s="105"/>
      <c r="BB338" s="51"/>
      <c r="BC338" s="51"/>
      <c r="BD338" s="134"/>
      <c r="BE338" s="105"/>
      <c r="BF338" s="51"/>
      <c r="BG338" s="51"/>
      <c r="BH338" s="134"/>
      <c r="BI338" s="89">
        <f>-'[2]Total P&amp;C'!$AT$77/1000/BI332</f>
        <v>5.2091508505616849E-2</v>
      </c>
      <c r="BJ338" s="62">
        <f>-'[2]Total P&amp;C'!$AT$78/1000/BJ332</f>
        <v>6.6237861304011242E-2</v>
      </c>
      <c r="BK338" s="62">
        <f>-'[2]Total P&amp;C'!$AT$79/1000/BK332</f>
        <v>6.4844112839848173E-2</v>
      </c>
      <c r="BM338" s="89">
        <f>-'[3]Total P&amp;C'!$AT$77/1000/BM332</f>
        <v>5.2091508505616849E-2</v>
      </c>
      <c r="BN338" s="62">
        <f>-'[3]Total P&amp;C'!$AT$78/1000/BN332</f>
        <v>6.6237861304011242E-2</v>
      </c>
      <c r="BO338" s="62">
        <f>-'[3]Total P&amp;C'!$AT$79/1000/BO332</f>
        <v>6.4844112839848173E-2</v>
      </c>
    </row>
    <row r="339" spans="1:67" ht="16.5" hidden="1" customHeight="1" outlineLevel="1" x14ac:dyDescent="0.3">
      <c r="A339" s="210"/>
      <c r="B339" s="115"/>
      <c r="C339" s="136" t="s">
        <v>27</v>
      </c>
      <c r="D339" s="134"/>
      <c r="E339" s="142"/>
      <c r="F339" s="143"/>
      <c r="G339" s="143"/>
      <c r="H339" s="134"/>
      <c r="I339" s="142"/>
      <c r="J339" s="143"/>
      <c r="K339" s="143"/>
      <c r="L339" s="134"/>
      <c r="M339" s="142"/>
      <c r="N339" s="143"/>
      <c r="O339" s="143"/>
      <c r="P339" s="134"/>
      <c r="Q339" s="142"/>
      <c r="R339" s="143"/>
      <c r="S339" s="143"/>
      <c r="T339" s="134"/>
      <c r="U339" s="142"/>
      <c r="V339" s="143"/>
      <c r="W339" s="143"/>
      <c r="X339" s="134"/>
      <c r="Y339" s="142"/>
      <c r="Z339" s="143"/>
      <c r="AA339" s="143"/>
      <c r="AB339" s="134"/>
      <c r="AC339" s="144"/>
      <c r="AD339" s="145"/>
      <c r="AE339" s="145"/>
      <c r="AG339" s="211"/>
      <c r="AH339" s="115"/>
      <c r="AI339" s="136" t="s">
        <v>27</v>
      </c>
      <c r="AJ339" s="134"/>
      <c r="AK339" s="148">
        <f>-([2]Retail!$Z$77+[2]Retail!$AA$77+[2]Retail!$BB$77+[2]Retail!$BC$77)/1000/AK332</f>
        <v>-9.5748727994183613E-3</v>
      </c>
      <c r="AL339" s="143">
        <f>-([2]Retail!$Z$78+[2]Retail!$AA$78+[2]Retail!$BB$78+[2]Retail!$BC$78)/1000/AL332</f>
        <v>-6.6349907861362935E-3</v>
      </c>
      <c r="AM339" s="143">
        <f>-([2]Retail!$Z$79+[2]Retail!$AA$79+[2]Retail!$BB$79+[2]Retail!$BC$79)/1000/AM332</f>
        <v>-4.6728810020786778E-3</v>
      </c>
      <c r="AN339" s="134"/>
      <c r="AO339" s="146">
        <f>-([2]SME!$Z$77+[2]SME!$AA$77+[2]SME!$BB$77+[2]SME!$BC$77)/1000/AO332</f>
        <v>-1.2226006370363569E-2</v>
      </c>
      <c r="AP339" s="143">
        <f>-([2]SME!$Z$78+[2]SME!$AA$78+[2]SME!$BB$78+[2]SME!$BC$78)/1000/AP332</f>
        <v>-1.4278521798666963E-2</v>
      </c>
      <c r="AQ339" s="143">
        <f>-([2]SME!$Z$79+[2]SME!$AA$79+[2]SME!$BB$79+[2]SME!$BC$79)/1000/AQ332</f>
        <v>-3.9941969824467622E-3</v>
      </c>
      <c r="AR339" s="134"/>
      <c r="AS339" s="142"/>
      <c r="AT339" s="143"/>
      <c r="AU339" s="143"/>
      <c r="AV339" s="134"/>
      <c r="AW339" s="142"/>
      <c r="AX339" s="143"/>
      <c r="AY339" s="143"/>
      <c r="AZ339" s="134"/>
      <c r="BA339" s="142"/>
      <c r="BB339" s="143"/>
      <c r="BC339" s="143"/>
      <c r="BD339" s="134"/>
      <c r="BE339" s="142"/>
      <c r="BF339" s="143"/>
      <c r="BG339" s="143"/>
      <c r="BH339" s="134"/>
      <c r="BI339" s="147">
        <f>-('[2]Total P&amp;C'!$Z$77+'[2]Total P&amp;C'!$AA$77+'[2]Total P&amp;C'!$BB$77+'[2]Total P&amp;C'!$BC$77)/1000/BI332</f>
        <v>-1.1665246816012741E-2</v>
      </c>
      <c r="BJ339" s="145">
        <f>-('[2]Total P&amp;C'!$Z$78+'[2]Total P&amp;C'!$AA$78+'[2]Total P&amp;C'!$BB$78+'[2]Total P&amp;C'!$BC$78)/1000/BJ332</f>
        <v>-1.2034434064321154E-2</v>
      </c>
      <c r="BK339" s="145">
        <f>-('[2]Total P&amp;C'!$Z$79+'[2]Total P&amp;C'!$AA$79+'[2]Total P&amp;C'!$BB$79+'[2]Total P&amp;C'!$BC$79)/1000/BK332</f>
        <v>-4.1445713161075313E-3</v>
      </c>
      <c r="BM339" s="147">
        <f>-('[3]Total P&amp;C'!$Z$77+'[3]Total P&amp;C'!$AA$77+'[3]Total P&amp;C'!$BB$77+'[3]Total P&amp;C'!$BC$77)/1000/BM332</f>
        <v>-1.1665246816012741E-2</v>
      </c>
      <c r="BN339" s="145">
        <f>-('[3]Total P&amp;C'!$Z$78+'[3]Total P&amp;C'!$AA$78+'[3]Total P&amp;C'!$BB$78+'[3]Total P&amp;C'!$BC$78)/1000/BN332</f>
        <v>-1.2034434064321154E-2</v>
      </c>
      <c r="BO339" s="145">
        <f>-('[3]Total P&amp;C'!$Z$79+'[3]Total P&amp;C'!$AA$79+'[3]Total P&amp;C'!$BB$79+'[3]Total P&amp;C'!$BC$79)/1000/BO332</f>
        <v>-4.1445713161075313E-3</v>
      </c>
    </row>
    <row r="340" spans="1:67" ht="16.5" hidden="1" customHeight="1" outlineLevel="1" x14ac:dyDescent="0.3">
      <c r="A340" s="210"/>
      <c r="B340" s="115"/>
      <c r="C340" s="136" t="s">
        <v>57</v>
      </c>
      <c r="D340" s="134"/>
      <c r="E340" s="142"/>
      <c r="F340" s="143"/>
      <c r="G340" s="143"/>
      <c r="H340" s="134"/>
      <c r="I340" s="142"/>
      <c r="J340" s="143"/>
      <c r="K340" s="143"/>
      <c r="L340" s="134"/>
      <c r="M340" s="142"/>
      <c r="N340" s="143"/>
      <c r="O340" s="143"/>
      <c r="P340" s="134"/>
      <c r="Q340" s="142"/>
      <c r="R340" s="143"/>
      <c r="S340" s="143"/>
      <c r="T340" s="134"/>
      <c r="U340" s="142"/>
      <c r="V340" s="143"/>
      <c r="W340" s="143"/>
      <c r="X340" s="134"/>
      <c r="Y340" s="142"/>
      <c r="Z340" s="143"/>
      <c r="AA340" s="143"/>
      <c r="AB340" s="134"/>
      <c r="AC340" s="144"/>
      <c r="AD340" s="145"/>
      <c r="AE340" s="145"/>
      <c r="AG340" s="211"/>
      <c r="AH340" s="115"/>
      <c r="AI340" s="136" t="s">
        <v>57</v>
      </c>
      <c r="AJ340" s="134"/>
      <c r="AK340" s="146">
        <f>-SUM([2]Retail!$AC$77:$AI$77,[2]Retail!$BE$77:$BG$77)/1000/AK332</f>
        <v>-0.12611069511924308</v>
      </c>
      <c r="AL340" s="143">
        <f>-SUM([2]Retail!$AC$78:$AI$78,[2]Retail!$BE$78:$BG$78)/1000/AL332</f>
        <v>-0.15058266582767757</v>
      </c>
      <c r="AM340" s="143">
        <f>-SUM([2]Retail!$AC$79:$AI$79,[2]Retail!$BE$79:$BG$79)/1000/AM332</f>
        <v>-0.11533771643643247</v>
      </c>
      <c r="AN340" s="134"/>
      <c r="AO340" s="146">
        <f>-SUM([2]SME!$AC$77:$AI$77,[2]SME!$BE$77:$BG$77)/1000/AO332</f>
        <v>-0.22198815835500621</v>
      </c>
      <c r="AP340" s="143">
        <f>-SUM([2]SME!$AC$78:$AI$78,[2]SME!$BE$78:$BG$78)/1000/AP332</f>
        <v>-0.13949213628190751</v>
      </c>
      <c r="AQ340" s="143">
        <f>-SUM([2]SME!$AC$79:$AI$79,[2]SME!$BE$79:$BG$79)/1000/AQ332</f>
        <v>-3.057695795204942E-2</v>
      </c>
      <c r="AR340" s="134"/>
      <c r="AS340" s="142"/>
      <c r="AT340" s="143"/>
      <c r="AU340" s="143"/>
      <c r="AV340" s="134"/>
      <c r="AW340" s="142"/>
      <c r="AX340" s="143"/>
      <c r="AY340" s="143"/>
      <c r="AZ340" s="134"/>
      <c r="BA340" s="142"/>
      <c r="BB340" s="143"/>
      <c r="BC340" s="143"/>
      <c r="BD340" s="134"/>
      <c r="BE340" s="142"/>
      <c r="BF340" s="143"/>
      <c r="BG340" s="143"/>
      <c r="BH340" s="134"/>
      <c r="BI340" s="147">
        <f>-SUM('[2]Total P&amp;C'!$AC$77:$AI$77,'[2]Total P&amp;C'!$BE$77:$BG$77)/1000/BI332</f>
        <v>-0.20170845455373515</v>
      </c>
      <c r="BJ340" s="145">
        <f>-SUM('[2]Total P&amp;C'!$AC$78:$AI$78,'[2]Total P&amp;C'!$BE$78:$BG$78)/1000/BJ332</f>
        <v>-0.14274823889734306</v>
      </c>
      <c r="BK340" s="145">
        <f>-SUM('[2]Total P&amp;C'!$AC$79:$AI$79,'[2]Total P&amp;C'!$BE$79:$BG$79)/1000/BK332</f>
        <v>-4.9357188823822701E-2</v>
      </c>
      <c r="BM340" s="147">
        <f>-SUM('[3]Total P&amp;C'!$AC$77:$AI$77,'[3]Total P&amp;C'!$BE$77:$BG$77)/1000/BM332</f>
        <v>-0.20170845455373515</v>
      </c>
      <c r="BN340" s="145">
        <f>-SUM('[3]Total P&amp;C'!$AC$78:$AI$78,'[3]Total P&amp;C'!$BE$78:$BG$78)/1000/BN332</f>
        <v>-0.14274823889734306</v>
      </c>
      <c r="BO340" s="145">
        <f>-SUM('[3]Total P&amp;C'!$AC$79:$AI$79,'[3]Total P&amp;C'!$BE$79:$BG$79)/1000/BO332</f>
        <v>-4.9357188823822701E-2</v>
      </c>
    </row>
    <row r="341" spans="1:67" ht="16.5" hidden="1" customHeight="1" outlineLevel="1" x14ac:dyDescent="0.3">
      <c r="A341" s="210"/>
      <c r="B341" s="115"/>
      <c r="C341" s="136" t="s">
        <v>29</v>
      </c>
      <c r="D341" s="134"/>
      <c r="E341" s="142"/>
      <c r="F341" s="143"/>
      <c r="G341" s="143"/>
      <c r="H341" s="134"/>
      <c r="I341" s="142"/>
      <c r="J341" s="143"/>
      <c r="K341" s="143"/>
      <c r="L341" s="134"/>
      <c r="M341" s="142"/>
      <c r="N341" s="143"/>
      <c r="O341" s="143"/>
      <c r="P341" s="134"/>
      <c r="Q341" s="142"/>
      <c r="R341" s="143"/>
      <c r="S341" s="143"/>
      <c r="T341" s="134"/>
      <c r="U341" s="142"/>
      <c r="V341" s="143"/>
      <c r="W341" s="143"/>
      <c r="X341" s="134"/>
      <c r="Y341" s="142"/>
      <c r="Z341" s="143"/>
      <c r="AA341" s="143"/>
      <c r="AB341" s="134"/>
      <c r="AC341" s="144"/>
      <c r="AD341" s="145"/>
      <c r="AE341" s="145"/>
      <c r="AG341" s="211"/>
      <c r="AH341" s="115"/>
      <c r="AI341" s="136" t="s">
        <v>29</v>
      </c>
      <c r="AJ341" s="134"/>
      <c r="AK341" s="148">
        <f>-SUM([2]Retail!$AJ$77:$AK$77,[2]Retail!$BH$77:$BI$77)/1000/AK332</f>
        <v>7.3745623483862828E-3</v>
      </c>
      <c r="AL341" s="143">
        <f>-SUM([2]Retail!$AJ$78:$AK$78,[2]Retail!$BH$78:$BI$78)/1000/AL332</f>
        <v>-5.1009889091985358E-3</v>
      </c>
      <c r="AM341" s="143">
        <f>-SUM([2]Retail!$AJ$79:$AK$79,[2]Retail!$BH$79:$BI$79)/1000/AM332</f>
        <v>0</v>
      </c>
      <c r="AN341" s="134"/>
      <c r="AO341" s="148">
        <f>-SUM([2]SME!$AJ$77:$AK$77,[2]SME!$BH$77:$BI$77)/1000/AO332</f>
        <v>5.9401801363231487E-4</v>
      </c>
      <c r="AP341" s="143">
        <f>-SUM([2]SME!$AJ$78:$AK$78,[2]SME!$BH$78:$BI$78)/1000/AP332</f>
        <v>1.6576046260079332E-3</v>
      </c>
      <c r="AQ341" s="143">
        <f>-SUM([2]SME!$AJ$79:$AK$79,[2]SME!$BH$79:$BI$79)/1000/AQ332</f>
        <v>0</v>
      </c>
      <c r="AR341" s="134"/>
      <c r="AS341" s="142"/>
      <c r="AT341" s="143"/>
      <c r="AU341" s="143"/>
      <c r="AV341" s="134"/>
      <c r="AW341" s="142"/>
      <c r="AX341" s="143"/>
      <c r="AY341" s="143"/>
      <c r="AZ341" s="134"/>
      <c r="BA341" s="142"/>
      <c r="BB341" s="143"/>
      <c r="BC341" s="143"/>
      <c r="BD341" s="134"/>
      <c r="BE341" s="142"/>
      <c r="BF341" s="143"/>
      <c r="BG341" s="143"/>
      <c r="BH341" s="134"/>
      <c r="BI341" s="149">
        <f>-SUM('[2]Total P&amp;C'!$AJ$77:$AK$77,'[2]Total P&amp;C'!$BH$77:$BI$77)/1000/BI332</f>
        <v>2.0282177314749216E-3</v>
      </c>
      <c r="BJ341" s="145">
        <f>-SUM('[2]Total P&amp;C'!$AJ$78:$AK$78,'[2]Total P&amp;C'!$BH$78:$BI$78)/1000/BJ332</f>
        <v>-3.2667159775846561E-4</v>
      </c>
      <c r="BK341" s="145">
        <f>-SUM('[2]Total P&amp;C'!$AJ$79:$AK$79,'[2]Total P&amp;C'!$BH$79:$BI$79)/1000/BK332</f>
        <v>0</v>
      </c>
      <c r="BM341" s="149">
        <f>-SUM('[3]Total P&amp;C'!$AJ$77:$AK$77,'[3]Total P&amp;C'!$BH$77:$BI$77)/1000/BM332</f>
        <v>2.0282177314749216E-3</v>
      </c>
      <c r="BN341" s="145">
        <f>-SUM('[3]Total P&amp;C'!$AJ$78:$AK$78,'[3]Total P&amp;C'!$BH$78:$BI$78)/1000/BN332</f>
        <v>-3.2667159775846561E-4</v>
      </c>
      <c r="BO341" s="145">
        <f>-SUM('[3]Total P&amp;C'!$AJ$79:$AK$79,'[3]Total P&amp;C'!$BH$79:$BI$79)/1000/BO332</f>
        <v>0</v>
      </c>
    </row>
    <row r="342" spans="1:67" ht="16.5" hidden="1" customHeight="1" outlineLevel="1" x14ac:dyDescent="0.3">
      <c r="A342" s="210"/>
      <c r="B342" s="115"/>
      <c r="C342" s="136" t="s">
        <v>58</v>
      </c>
      <c r="D342" s="134"/>
      <c r="E342" s="142"/>
      <c r="F342" s="143"/>
      <c r="G342" s="143"/>
      <c r="H342" s="134"/>
      <c r="I342" s="142"/>
      <c r="J342" s="143"/>
      <c r="K342" s="143"/>
      <c r="L342" s="134"/>
      <c r="M342" s="142"/>
      <c r="N342" s="143"/>
      <c r="O342" s="143"/>
      <c r="P342" s="134"/>
      <c r="Q342" s="142"/>
      <c r="R342" s="143"/>
      <c r="S342" s="143"/>
      <c r="T342" s="134"/>
      <c r="U342" s="142"/>
      <c r="V342" s="143"/>
      <c r="W342" s="143"/>
      <c r="X342" s="134"/>
      <c r="Y342" s="142"/>
      <c r="Z342" s="143"/>
      <c r="AA342" s="143"/>
      <c r="AB342" s="134"/>
      <c r="AC342" s="144"/>
      <c r="AD342" s="145"/>
      <c r="AE342" s="145"/>
      <c r="AG342" s="211"/>
      <c r="AH342" s="115"/>
      <c r="AI342" s="136" t="s">
        <v>58</v>
      </c>
      <c r="AJ342" s="134"/>
      <c r="AK342" s="146">
        <f>+AK343+AK344+AK345</f>
        <v>0.16034734524511673</v>
      </c>
      <c r="AL342" s="143">
        <f>+AL343+AL344+AL345</f>
        <v>0.10642525844559392</v>
      </c>
      <c r="AM342" s="143">
        <f>+AM343+AM344+AM345</f>
        <v>0.17781582603409318</v>
      </c>
      <c r="AN342" s="134"/>
      <c r="AO342" s="148">
        <f>+AO343+AO344+AO345</f>
        <v>0.21058858766741495</v>
      </c>
      <c r="AP342" s="143">
        <f>+AP343+AP344+AP345</f>
        <v>0.20882496275879484</v>
      </c>
      <c r="AQ342" s="143">
        <f>+AQ343+AQ344+AQ345</f>
        <v>0.19624962581468397</v>
      </c>
      <c r="AR342" s="134"/>
      <c r="AS342" s="142"/>
      <c r="AT342" s="143"/>
      <c r="AU342" s="143"/>
      <c r="AV342" s="134"/>
      <c r="AW342" s="142"/>
      <c r="AX342" s="143"/>
      <c r="AY342" s="143"/>
      <c r="AZ342" s="134"/>
      <c r="BA342" s="142"/>
      <c r="BB342" s="143"/>
      <c r="BC342" s="143"/>
      <c r="BD342" s="134"/>
      <c r="BE342" s="142"/>
      <c r="BF342" s="143"/>
      <c r="BG342" s="143"/>
      <c r="BH342" s="134"/>
      <c r="BI342" s="149">
        <f>+BI343+BI344+BI345</f>
        <v>0.19996171581926608</v>
      </c>
      <c r="BJ342" s="145">
        <f>+BJ343+BJ344+BJ345</f>
        <v>0.17876111921931401</v>
      </c>
      <c r="BK342" s="145">
        <f>+BK343+BK344+BK345</f>
        <v>0.19216529455203576</v>
      </c>
      <c r="BM342" s="149">
        <f>+BM343+BM344+BM345</f>
        <v>0.19996171581926608</v>
      </c>
      <c r="BN342" s="145">
        <f>+BN343+BN344+BN345</f>
        <v>0.17876111921931401</v>
      </c>
      <c r="BO342" s="145">
        <f>+BO343+BO344+BO345</f>
        <v>0.19216529455203576</v>
      </c>
    </row>
    <row r="343" spans="1:67" ht="16.5" hidden="1" customHeight="1" outlineLevel="1" x14ac:dyDescent="0.3">
      <c r="A343" s="210"/>
      <c r="B343" s="115"/>
      <c r="C343" s="50" t="s">
        <v>59</v>
      </c>
      <c r="D343" s="135"/>
      <c r="E343" s="105"/>
      <c r="F343" s="51"/>
      <c r="G343" s="51"/>
      <c r="H343" s="135"/>
      <c r="I343" s="105"/>
      <c r="J343" s="51"/>
      <c r="K343" s="51"/>
      <c r="L343" s="135"/>
      <c r="M343" s="105"/>
      <c r="N343" s="51"/>
      <c r="O343" s="51"/>
      <c r="P343" s="135"/>
      <c r="Q343" s="105"/>
      <c r="R343" s="51"/>
      <c r="S343" s="51"/>
      <c r="T343" s="135"/>
      <c r="U343" s="105"/>
      <c r="V343" s="51"/>
      <c r="W343" s="51"/>
      <c r="X343" s="135"/>
      <c r="Y343" s="105"/>
      <c r="Z343" s="51"/>
      <c r="AA343" s="51"/>
      <c r="AB343" s="135"/>
      <c r="AC343" s="103"/>
      <c r="AD343" s="62"/>
      <c r="AE343" s="62"/>
      <c r="AG343" s="211"/>
      <c r="AH343" s="115"/>
      <c r="AI343" s="50" t="s">
        <v>59</v>
      </c>
      <c r="AJ343" s="135"/>
      <c r="AK343" s="78">
        <f>-SUM([2]Retail!$AL$77:$AN$77,[2]Retail!$BJ$77)/1000/AK332</f>
        <v>8.0526102066385011E-2</v>
      </c>
      <c r="AL343" s="51">
        <f>-SUM([2]Retail!$AL$78:$AN$78,[2]Retail!$BJ$78)/1000/AL332</f>
        <v>6.4283598772144873E-2</v>
      </c>
      <c r="AM343" s="51">
        <f>-SUM([2]Retail!$AL$79:$AN$79,[2]Retail!$BJ$79)/1000/AM332</f>
        <v>8.9815978388959924E-2</v>
      </c>
      <c r="AN343" s="135"/>
      <c r="AO343" s="77">
        <f>-SUM([2]SME!$AL$77:$AN$77,[2]SME!$BJ$77)/1000/AO332</f>
        <v>0.13726305848292511</v>
      </c>
      <c r="AP343" s="51">
        <f>-SUM([2]SME!$AL$78:$AN$78,[2]SME!$BJ$78)/1000/AP332</f>
        <v>0.1416937808379842</v>
      </c>
      <c r="AQ343" s="51">
        <f>-SUM([2]SME!$AL$79:$AN$79,[2]SME!$BJ$79)/1000/AQ332</f>
        <v>0.10951588846157746</v>
      </c>
      <c r="AR343" s="135"/>
      <c r="AS343" s="105"/>
      <c r="AT343" s="51"/>
      <c r="AU343" s="51"/>
      <c r="AV343" s="135"/>
      <c r="AW343" s="105"/>
      <c r="AX343" s="51"/>
      <c r="AY343" s="51"/>
      <c r="AZ343" s="135"/>
      <c r="BA343" s="105"/>
      <c r="BB343" s="51"/>
      <c r="BC343" s="51"/>
      <c r="BD343" s="135"/>
      <c r="BE343" s="105"/>
      <c r="BF343" s="51"/>
      <c r="BG343" s="51"/>
      <c r="BH343" s="135"/>
      <c r="BI343" s="90">
        <f>-SUM('[2]Total P&amp;C'!$AL$77:$AN$77,'[2]Total P&amp;C'!$BJ$77)/1000/BI332</f>
        <v>0.12526223334757811</v>
      </c>
      <c r="BJ343" s="62">
        <f>-SUM('[2]Total P&amp;C'!$AL$78:$AN$78,'[2]Total P&amp;C'!$BJ$78)/1000/BJ332</f>
        <v>0.11896668784880941</v>
      </c>
      <c r="BK343" s="62">
        <f>-SUM('[2]Total P&amp;C'!$AL$79:$AN$79,'[2]Total P&amp;C'!$BJ$79)/1000/BK332</f>
        <v>0.10515102828415118</v>
      </c>
      <c r="BM343" s="90">
        <f>-SUM('[3]Total P&amp;C'!$AL$77:$AN$77,'[3]Total P&amp;C'!$BJ$77)/1000/BM332</f>
        <v>0.12526223334757811</v>
      </c>
      <c r="BN343" s="62">
        <f>-SUM('[3]Total P&amp;C'!$AL$78:$AN$78,'[3]Total P&amp;C'!$BJ$78)/1000/BN332</f>
        <v>0.11896668784880941</v>
      </c>
      <c r="BO343" s="62">
        <f>-SUM('[3]Total P&amp;C'!$AL$79:$AN$79,'[3]Total P&amp;C'!$BJ$79)/1000/BO332</f>
        <v>0.10515102828415118</v>
      </c>
    </row>
    <row r="344" spans="1:67" ht="16.5" hidden="1" customHeight="1" outlineLevel="1" x14ac:dyDescent="0.3">
      <c r="A344" s="210"/>
      <c r="B344" s="115"/>
      <c r="C344" s="50" t="s">
        <v>60</v>
      </c>
      <c r="D344" s="135"/>
      <c r="E344" s="105"/>
      <c r="F344" s="51"/>
      <c r="G344" s="51"/>
      <c r="H344" s="135"/>
      <c r="I344" s="105"/>
      <c r="J344" s="51"/>
      <c r="K344" s="51"/>
      <c r="L344" s="135"/>
      <c r="M344" s="105"/>
      <c r="N344" s="51"/>
      <c r="O344" s="51"/>
      <c r="P344" s="135"/>
      <c r="Q344" s="105"/>
      <c r="R344" s="51"/>
      <c r="S344" s="51"/>
      <c r="T344" s="135"/>
      <c r="U344" s="105"/>
      <c r="V344" s="51"/>
      <c r="W344" s="51"/>
      <c r="X344" s="135"/>
      <c r="Y344" s="105"/>
      <c r="Z344" s="51"/>
      <c r="AA344" s="51"/>
      <c r="AB344" s="135"/>
      <c r="AC344" s="103"/>
      <c r="AD344" s="62"/>
      <c r="AE344" s="62"/>
      <c r="AG344" s="211"/>
      <c r="AH344" s="115"/>
      <c r="AI344" s="50" t="s">
        <v>60</v>
      </c>
      <c r="AJ344" s="135"/>
      <c r="AK344" s="78">
        <f>-SUM([2]Retail!$AO$77:$AP$77)/1000/AK332</f>
        <v>7.1940226355987798E-3</v>
      </c>
      <c r="AL344" s="51">
        <f>-SUM([2]Retail!$AO$78:$AP$78)/1000/AL332</f>
        <v>7.1939933295431108E-3</v>
      </c>
      <c r="AM344" s="51">
        <f>-SUM([2]Retail!$AO$79:$AP$79)/1000/AM332</f>
        <v>7.9683246311456988E-3</v>
      </c>
      <c r="AN344" s="135"/>
      <c r="AO344" s="78">
        <f>-SUM([2]SME!$AO$77:$AP$77)/1000/AO332</f>
        <v>2.0389954865141131E-2</v>
      </c>
      <c r="AP344" s="51">
        <f>-SUM([2]SME!$AO$78:$AP$78)/1000/AP332</f>
        <v>2.5062196610095119E-2</v>
      </c>
      <c r="AQ344" s="51">
        <f>-SUM([2]SME!$AO$79:$AP$79)/1000/AQ332</f>
        <v>2.5153944549287929E-2</v>
      </c>
      <c r="AR344" s="135"/>
      <c r="AS344" s="105"/>
      <c r="AT344" s="51"/>
      <c r="AU344" s="51"/>
      <c r="AV344" s="135"/>
      <c r="AW344" s="105"/>
      <c r="AX344" s="51"/>
      <c r="AY344" s="51"/>
      <c r="AZ344" s="135"/>
      <c r="BA344" s="105"/>
      <c r="BB344" s="51"/>
      <c r="BC344" s="51"/>
      <c r="BD344" s="135"/>
      <c r="BE344" s="105"/>
      <c r="BF344" s="51"/>
      <c r="BG344" s="51"/>
      <c r="BH344" s="135"/>
      <c r="BI344" s="89">
        <f>-SUM('[2]Total P&amp;C'!$AO$77:$AP$77)/1000/BI332</f>
        <v>1.7598792187644013E-2</v>
      </c>
      <c r="BJ344" s="62">
        <f>-SUM('[2]Total P&amp;C'!$AO$78:$AP$78)/1000/BJ332</f>
        <v>1.9816215956526939E-2</v>
      </c>
      <c r="BK344" s="62">
        <f>-SUM('[2]Total P&amp;C'!$AO$79:$AP$79)/1000/BK332</f>
        <v>2.1346169400641497E-2</v>
      </c>
      <c r="BM344" s="89">
        <f>-SUM('[3]Total P&amp;C'!$AO$77:$AP$77)/1000/BM332</f>
        <v>1.7598792187644013E-2</v>
      </c>
      <c r="BN344" s="62">
        <f>-SUM('[3]Total P&amp;C'!$AO$78:$AP$78)/1000/BN332</f>
        <v>1.9816215956526939E-2</v>
      </c>
      <c r="BO344" s="62">
        <f>-SUM('[3]Total P&amp;C'!$AO$79:$AP$79)/1000/BO332</f>
        <v>2.1346169400641497E-2</v>
      </c>
    </row>
    <row r="345" spans="1:67" ht="16.5" hidden="1" customHeight="1" outlineLevel="1" x14ac:dyDescent="0.3">
      <c r="A345" s="210"/>
      <c r="B345" s="115"/>
      <c r="C345" s="50" t="s">
        <v>61</v>
      </c>
      <c r="D345" s="135"/>
      <c r="E345" s="105"/>
      <c r="F345" s="51"/>
      <c r="G345" s="51"/>
      <c r="H345" s="135"/>
      <c r="I345" s="105"/>
      <c r="J345" s="51"/>
      <c r="K345" s="51"/>
      <c r="L345" s="135"/>
      <c r="M345" s="105"/>
      <c r="N345" s="51"/>
      <c r="O345" s="51"/>
      <c r="P345" s="135"/>
      <c r="Q345" s="105"/>
      <c r="R345" s="51"/>
      <c r="S345" s="51"/>
      <c r="T345" s="135"/>
      <c r="U345" s="105"/>
      <c r="V345" s="51"/>
      <c r="W345" s="51"/>
      <c r="X345" s="135"/>
      <c r="Y345" s="105"/>
      <c r="Z345" s="51"/>
      <c r="AA345" s="51"/>
      <c r="AB345" s="135"/>
      <c r="AC345" s="103"/>
      <c r="AD345" s="62"/>
      <c r="AE345" s="62"/>
      <c r="AG345" s="211"/>
      <c r="AH345" s="115"/>
      <c r="AI345" s="50" t="s">
        <v>61</v>
      </c>
      <c r="AJ345" s="135"/>
      <c r="AK345" s="78">
        <f>-SUM([2]Retail!$AQ$77:$AR$77)/1000/AK332</f>
        <v>7.2627220543132948E-2</v>
      </c>
      <c r="AL345" s="51">
        <f>-SUM([2]Retail!$AQ$78:$AR$78)/1000/AL332</f>
        <v>3.4947666343905934E-2</v>
      </c>
      <c r="AM345" s="51">
        <f>-SUM([2]Retail!$AQ$79:$AR$79)/1000/AM332</f>
        <v>8.0031523013987541E-2</v>
      </c>
      <c r="AN345" s="135"/>
      <c r="AO345" s="78">
        <f>-SUM([2]SME!$AQ$77:$AR$77)/1000/AO332</f>
        <v>5.2935574319348699E-2</v>
      </c>
      <c r="AP345" s="51">
        <f>-SUM([2]SME!$AQ$78:$AR$78)/1000/AP332</f>
        <v>4.2068985310715519E-2</v>
      </c>
      <c r="AQ345" s="51">
        <f>-SUM([2]SME!$AQ$79:$AR$79)/1000/AQ332</f>
        <v>6.1579792803818596E-2</v>
      </c>
      <c r="AR345" s="135"/>
      <c r="AS345" s="105"/>
      <c r="AT345" s="51"/>
      <c r="AU345" s="51"/>
      <c r="AV345" s="135"/>
      <c r="AW345" s="105"/>
      <c r="AX345" s="51"/>
      <c r="AY345" s="51"/>
      <c r="AZ345" s="135"/>
      <c r="BA345" s="105"/>
      <c r="BB345" s="51"/>
      <c r="BC345" s="51"/>
      <c r="BD345" s="135"/>
      <c r="BE345" s="105"/>
      <c r="BF345" s="51"/>
      <c r="BG345" s="51"/>
      <c r="BH345" s="135"/>
      <c r="BI345" s="89">
        <f>-SUM('[2]Total P&amp;C'!$AQ$77:$AR$77)/1000/BI332</f>
        <v>5.7100690284043965E-2</v>
      </c>
      <c r="BJ345" s="62">
        <f>-SUM('[2]Total P&amp;C'!$AQ$78:$AR$78)/1000/BJ332</f>
        <v>3.9978215413977634E-2</v>
      </c>
      <c r="BK345" s="62">
        <f>-SUM('[2]Total P&amp;C'!$AQ$79:$AR$79)/1000/BK332</f>
        <v>6.5668096867243092E-2</v>
      </c>
      <c r="BM345" s="89">
        <f>-SUM('[3]Total P&amp;C'!$AQ$77:$AR$77)/1000/BM332</f>
        <v>5.7100690284043965E-2</v>
      </c>
      <c r="BN345" s="62">
        <f>-SUM('[3]Total P&amp;C'!$AQ$78:$AR$78)/1000/BN332</f>
        <v>3.9978215413977634E-2</v>
      </c>
      <c r="BO345" s="62">
        <f>-SUM('[3]Total P&amp;C'!$AQ$79:$AR$79)/1000/BO332</f>
        <v>6.5668096867243092E-2</v>
      </c>
    </row>
    <row r="346" spans="1:67" ht="16.5" hidden="1" customHeight="1" outlineLevel="1" x14ac:dyDescent="0.3">
      <c r="A346" s="210"/>
      <c r="B346" s="115"/>
      <c r="C346" s="136" t="s">
        <v>34</v>
      </c>
      <c r="D346" s="117"/>
      <c r="E346" s="137"/>
      <c r="F346" s="138"/>
      <c r="G346" s="138"/>
      <c r="H346" s="117"/>
      <c r="I346" s="137"/>
      <c r="J346" s="138"/>
      <c r="K346" s="138"/>
      <c r="L346" s="117"/>
      <c r="M346" s="137"/>
      <c r="N346" s="138"/>
      <c r="O346" s="138"/>
      <c r="P346" s="117"/>
      <c r="Q346" s="137"/>
      <c r="R346" s="138"/>
      <c r="S346" s="138"/>
      <c r="T346" s="117"/>
      <c r="U346" s="137"/>
      <c r="V346" s="138"/>
      <c r="W346" s="138"/>
      <c r="X346" s="117"/>
      <c r="Y346" s="137"/>
      <c r="Z346" s="138"/>
      <c r="AA346" s="138"/>
      <c r="AB346" s="117"/>
      <c r="AC346" s="139"/>
      <c r="AD346" s="140"/>
      <c r="AE346" s="140"/>
      <c r="AG346" s="211"/>
      <c r="AH346" s="115"/>
      <c r="AI346" s="136" t="s">
        <v>34</v>
      </c>
      <c r="AJ346" s="117"/>
      <c r="AK346" s="141">
        <f>+[2]Retail!$BK$77/1000</f>
        <v>0.86836342999999616</v>
      </c>
      <c r="AL346" s="138">
        <f>+[2]Retail!$BK$78/1000</f>
        <v>3.1182987200000016</v>
      </c>
      <c r="AM346" s="138">
        <f>+[2]Retail!$BK$79/1000</f>
        <v>0.57823051652651236</v>
      </c>
      <c r="AN346" s="117"/>
      <c r="AO346" s="141">
        <f>+[2]SME!$BK$77/1000</f>
        <v>1.5521620099999991</v>
      </c>
      <c r="AP346" s="138">
        <f>+[2]SME!$BK$78/1000</f>
        <v>-0.32164827000000279</v>
      </c>
      <c r="AQ346" s="138">
        <f>+[2]SME!$BK$79/1000</f>
        <v>-0.100591410386674</v>
      </c>
      <c r="AR346" s="117"/>
      <c r="AS346" s="137"/>
      <c r="AT346" s="138"/>
      <c r="AU346" s="138"/>
      <c r="AV346" s="117"/>
      <c r="AW346" s="137"/>
      <c r="AX346" s="138"/>
      <c r="AY346" s="138"/>
      <c r="AZ346" s="117"/>
      <c r="BA346" s="137"/>
      <c r="BB346" s="138"/>
      <c r="BC346" s="138"/>
      <c r="BD346" s="117"/>
      <c r="BE346" s="137"/>
      <c r="BF346" s="138"/>
      <c r="BG346" s="138"/>
      <c r="BH346" s="117"/>
      <c r="BI346" s="150">
        <f>+'[2]Total P&amp;C'!$BK$77/1000</f>
        <v>2.4205254399999956</v>
      </c>
      <c r="BJ346" s="140">
        <f>+'[2]Total P&amp;C'!$BK$78/1000</f>
        <v>2.7966504499999973</v>
      </c>
      <c r="BK346" s="140">
        <f>+'[2]Total P&amp;C'!$BK$79/1000</f>
        <v>0.47763910613983945</v>
      </c>
      <c r="BM346" s="150">
        <f>+'[3]Total P&amp;C'!$BK$77/1000</f>
        <v>2.4205254399999956</v>
      </c>
      <c r="BN346" s="140">
        <f>+'[3]Total P&amp;C'!$BK$78/1000</f>
        <v>2.7966504499999973</v>
      </c>
      <c r="BO346" s="140">
        <f>+'[3]Total P&amp;C'!$BK$79/1000</f>
        <v>0.47763910613983945</v>
      </c>
    </row>
    <row r="347" spans="1:67" ht="17.5" hidden="1" collapsed="1" x14ac:dyDescent="0.35">
      <c r="AG347" s="153"/>
    </row>
    <row r="348" spans="1:67" x14ac:dyDescent="0.3">
      <c r="A348" s="212" t="s">
        <v>52</v>
      </c>
      <c r="B348" s="115"/>
      <c r="C348" s="151" t="s">
        <v>19</v>
      </c>
      <c r="D348" s="117"/>
      <c r="E348" s="118">
        <v>3.5</v>
      </c>
      <c r="F348" s="119">
        <v>3.4</v>
      </c>
      <c r="G348" s="119">
        <f>+[1]Retail!$C$87/1000</f>
        <v>0</v>
      </c>
      <c r="H348" s="117"/>
      <c r="I348" s="118">
        <v>12</v>
      </c>
      <c r="J348" s="119">
        <v>114</v>
      </c>
      <c r="K348" s="119">
        <v>19.600000000000001</v>
      </c>
      <c r="L348" s="117"/>
      <c r="M348" s="118">
        <v>12</v>
      </c>
      <c r="N348" s="119">
        <v>114</v>
      </c>
      <c r="O348" s="119">
        <v>19.600000000000001</v>
      </c>
      <c r="P348" s="117"/>
      <c r="Q348" s="118">
        <v>12</v>
      </c>
      <c r="R348" s="119">
        <v>114</v>
      </c>
      <c r="S348" s="119">
        <v>19.600000000000001</v>
      </c>
      <c r="T348" s="117"/>
      <c r="U348" s="121">
        <f>+[1]Bancassurance!$C$85/1000</f>
        <v>0.65832045000000106</v>
      </c>
      <c r="V348" s="119">
        <f>+[1]Bancassurance!$C$86/1000</f>
        <v>0.22720669999999982</v>
      </c>
      <c r="W348" s="119">
        <f>+[1]Bancassurance!$C$87/1000</f>
        <v>1.0827899999999999</v>
      </c>
      <c r="X348" s="117"/>
      <c r="Y348" s="118">
        <f>+[1]Specials!$C$85/1000</f>
        <v>0.22837774000000002</v>
      </c>
      <c r="Z348" s="119">
        <f>+[1]Specials!$C$86/1000</f>
        <v>0.15682135000000003</v>
      </c>
      <c r="AA348" s="119">
        <f>+[1]Specials!$C$87/1000</f>
        <v>0</v>
      </c>
      <c r="AB348" s="117"/>
      <c r="AC348" s="122">
        <f>+'[1]Total P&amp;C'!$C$85/1000</f>
        <v>428.88113831999999</v>
      </c>
      <c r="AD348" s="123">
        <f>+'[1]Total P&amp;C'!$C$86/1000</f>
        <v>417.08503745000007</v>
      </c>
      <c r="AE348" s="123">
        <f>+'[1]Total P&amp;C'!$C$87/1000</f>
        <v>419.47337000000005</v>
      </c>
      <c r="AG348" s="212" t="s">
        <v>52</v>
      </c>
      <c r="AH348" s="115"/>
      <c r="AI348" s="151" t="s">
        <v>19</v>
      </c>
      <c r="AJ348" s="117"/>
      <c r="AK348" s="118">
        <v>12</v>
      </c>
      <c r="AL348" s="119">
        <v>114</v>
      </c>
      <c r="AM348" s="119">
        <v>19.600000000000001</v>
      </c>
      <c r="AN348" s="117"/>
      <c r="AO348" s="118">
        <v>12</v>
      </c>
      <c r="AP348" s="119">
        <v>114</v>
      </c>
      <c r="AQ348" s="119">
        <v>19.600000000000001</v>
      </c>
      <c r="AR348" s="117"/>
      <c r="AS348" s="118">
        <v>12</v>
      </c>
      <c r="AT348" s="119">
        <v>114</v>
      </c>
      <c r="AU348" s="119">
        <v>19.600000000000001</v>
      </c>
      <c r="AV348" s="117"/>
      <c r="AW348" s="121"/>
      <c r="AX348" s="119"/>
      <c r="AY348" s="119"/>
      <c r="AZ348" s="117"/>
      <c r="BA348" s="121"/>
      <c r="BB348" s="119"/>
      <c r="BC348" s="119"/>
      <c r="BD348" s="117"/>
      <c r="BE348" s="121"/>
      <c r="BF348" s="119"/>
      <c r="BG348" s="119"/>
      <c r="BH348" s="117"/>
      <c r="BI348" s="122">
        <v>121</v>
      </c>
      <c r="BJ348" s="123">
        <v>123</v>
      </c>
      <c r="BK348" s="123">
        <v>112</v>
      </c>
      <c r="BM348" s="122">
        <v>121</v>
      </c>
      <c r="BN348" s="123">
        <v>123</v>
      </c>
      <c r="BO348" s="123">
        <v>112</v>
      </c>
    </row>
    <row r="349" spans="1:67" x14ac:dyDescent="0.3">
      <c r="A349" s="212"/>
      <c r="B349" s="115"/>
      <c r="C349" s="151" t="s">
        <v>55</v>
      </c>
      <c r="D349" s="117"/>
      <c r="E349" s="118">
        <v>1</v>
      </c>
      <c r="F349" s="119">
        <v>4</v>
      </c>
      <c r="G349" s="119">
        <f>+[1]Retail!$N$87/1000</f>
        <v>0</v>
      </c>
      <c r="H349" s="117"/>
      <c r="I349" s="118">
        <v>6</v>
      </c>
      <c r="J349" s="119">
        <v>56</v>
      </c>
      <c r="K349" s="119">
        <v>34</v>
      </c>
      <c r="L349" s="117"/>
      <c r="M349" s="118">
        <v>6</v>
      </c>
      <c r="N349" s="119">
        <v>56</v>
      </c>
      <c r="O349" s="119">
        <v>34</v>
      </c>
      <c r="P349" s="117"/>
      <c r="Q349" s="118">
        <v>6</v>
      </c>
      <c r="R349" s="119">
        <v>56</v>
      </c>
      <c r="S349" s="119">
        <v>34</v>
      </c>
      <c r="T349" s="117"/>
      <c r="U349" s="121">
        <f>+[1]Bancassurance!$N$85/1000</f>
        <v>0.45416076999999949</v>
      </c>
      <c r="V349" s="119">
        <f>+[1]Bancassurance!$N$86/1000</f>
        <v>0.15421565999999981</v>
      </c>
      <c r="W349" s="119">
        <f>+[1]Bancassurance!$N$87/1000</f>
        <v>1.371047675479478</v>
      </c>
      <c r="X349" s="117"/>
      <c r="Y349" s="118">
        <f>+[1]Specials!$N$85/1000</f>
        <v>9.5219389999999987E-2</v>
      </c>
      <c r="Z349" s="119">
        <f>+[1]Specials!$N$86/1000</f>
        <v>3.6744110000000003E-2</v>
      </c>
      <c r="AA349" s="119">
        <f>+[1]Specials!$N$87/1000</f>
        <v>0</v>
      </c>
      <c r="AB349" s="117"/>
      <c r="AC349" s="124">
        <f>+'[1]Total P&amp;C'!$N$85/1000</f>
        <v>247.86694893000006</v>
      </c>
      <c r="AD349" s="123">
        <f>+'[1]Total P&amp;C'!$N$86/1000</f>
        <v>236.88628619000002</v>
      </c>
      <c r="AE349" s="123">
        <f>+'[1]Total P&amp;C'!$N$87/1000</f>
        <v>260.86028640955368</v>
      </c>
      <c r="AG349" s="212"/>
      <c r="AH349" s="115"/>
      <c r="AI349" s="151" t="s">
        <v>55</v>
      </c>
      <c r="AJ349" s="117"/>
      <c r="AK349" s="118">
        <v>6</v>
      </c>
      <c r="AL349" s="119">
        <v>56</v>
      </c>
      <c r="AM349" s="119">
        <v>34</v>
      </c>
      <c r="AN349" s="117"/>
      <c r="AO349" s="118">
        <v>6</v>
      </c>
      <c r="AP349" s="119">
        <v>56</v>
      </c>
      <c r="AQ349" s="119">
        <v>34</v>
      </c>
      <c r="AR349" s="117"/>
      <c r="AS349" s="118">
        <v>6</v>
      </c>
      <c r="AT349" s="119">
        <v>56</v>
      </c>
      <c r="AU349" s="119">
        <v>34</v>
      </c>
      <c r="AV349" s="117"/>
      <c r="AW349" s="121"/>
      <c r="AX349" s="119"/>
      <c r="AY349" s="119"/>
      <c r="AZ349" s="117"/>
      <c r="BA349" s="121"/>
      <c r="BB349" s="119"/>
      <c r="BC349" s="119"/>
      <c r="BD349" s="117"/>
      <c r="BE349" s="121"/>
      <c r="BF349" s="119"/>
      <c r="BG349" s="119"/>
      <c r="BH349" s="117"/>
      <c r="BI349" s="124">
        <v>99</v>
      </c>
      <c r="BJ349" s="123">
        <v>11</v>
      </c>
      <c r="BK349" s="123">
        <v>54</v>
      </c>
      <c r="BM349" s="124">
        <v>99</v>
      </c>
      <c r="BN349" s="123">
        <v>11</v>
      </c>
      <c r="BO349" s="123">
        <v>54</v>
      </c>
    </row>
    <row r="350" spans="1:67" x14ac:dyDescent="0.3">
      <c r="A350" s="212"/>
      <c r="B350" s="115"/>
      <c r="C350" s="151" t="s">
        <v>21</v>
      </c>
      <c r="D350" s="117"/>
      <c r="E350" s="126">
        <v>0.33</v>
      </c>
      <c r="F350" s="127">
        <v>8.5699999999999998E-2</v>
      </c>
      <c r="G350" s="127" t="e">
        <f>+G351+G356+G357+G358+G359</f>
        <v>#DIV/0!</v>
      </c>
      <c r="H350" s="117"/>
      <c r="I350" s="128">
        <v>0.19</v>
      </c>
      <c r="J350" s="127">
        <v>0.04</v>
      </c>
      <c r="K350" s="127">
        <v>0.11</v>
      </c>
      <c r="L350" s="117"/>
      <c r="M350" s="128">
        <v>0.19</v>
      </c>
      <c r="N350" s="127">
        <v>0.04</v>
      </c>
      <c r="O350" s="127">
        <v>0.11</v>
      </c>
      <c r="P350" s="117"/>
      <c r="Q350" s="128">
        <v>0.19</v>
      </c>
      <c r="R350" s="127">
        <v>0.04</v>
      </c>
      <c r="S350" s="127">
        <v>0.11</v>
      </c>
      <c r="T350" s="117"/>
      <c r="U350" s="128">
        <f>+U351+U356+U357+U358+U359</f>
        <v>1.9459589387255991</v>
      </c>
      <c r="V350" s="127"/>
      <c r="W350" s="127">
        <f>+W351+W356+W357+W358+W359</f>
        <v>1.1084178793482975</v>
      </c>
      <c r="X350" s="117"/>
      <c r="Y350" s="131"/>
      <c r="Z350" s="127"/>
      <c r="AA350" s="127"/>
      <c r="AB350" s="117"/>
      <c r="AC350" s="132">
        <f>+AC351+AC356+AC357+AC358+AC359</f>
        <v>0.91466870358753138</v>
      </c>
      <c r="AD350" s="130">
        <f>+AD351+AD356+AD357+AD358+AD359</f>
        <v>0.91306859813960284</v>
      </c>
      <c r="AE350" s="130">
        <f>+AE351+AE356+AE357+AE358+AE359</f>
        <v>0.92702312733583481</v>
      </c>
      <c r="AG350" s="212"/>
      <c r="AH350" s="115"/>
      <c r="AI350" s="151" t="s">
        <v>21</v>
      </c>
      <c r="AJ350" s="117"/>
      <c r="AK350" s="128">
        <v>0.19</v>
      </c>
      <c r="AL350" s="127">
        <v>0.04</v>
      </c>
      <c r="AM350" s="127">
        <v>0.11</v>
      </c>
      <c r="AN350" s="117"/>
      <c r="AO350" s="128">
        <v>0.19</v>
      </c>
      <c r="AP350" s="127">
        <v>0.04</v>
      </c>
      <c r="AQ350" s="127">
        <v>0.11</v>
      </c>
      <c r="AR350" s="117"/>
      <c r="AS350" s="128">
        <v>0.19</v>
      </c>
      <c r="AT350" s="127">
        <v>0.04</v>
      </c>
      <c r="AU350" s="127">
        <v>0.11</v>
      </c>
      <c r="AV350" s="117"/>
      <c r="AW350" s="131"/>
      <c r="AX350" s="127"/>
      <c r="AY350" s="127"/>
      <c r="AZ350" s="117"/>
      <c r="BA350" s="131"/>
      <c r="BB350" s="127"/>
      <c r="BC350" s="127"/>
      <c r="BD350" s="117"/>
      <c r="BE350" s="131"/>
      <c r="BF350" s="127"/>
      <c r="BG350" s="127"/>
      <c r="BH350" s="117"/>
      <c r="BI350" s="132">
        <v>0.67</v>
      </c>
      <c r="BJ350" s="130">
        <v>0.28000000000000003</v>
      </c>
      <c r="BK350" s="130">
        <v>0.17</v>
      </c>
      <c r="BM350" s="132">
        <v>0.67</v>
      </c>
      <c r="BN350" s="130">
        <v>0.28000000000000003</v>
      </c>
      <c r="BO350" s="130">
        <v>0.17</v>
      </c>
    </row>
    <row r="351" spans="1:67" x14ac:dyDescent="0.3">
      <c r="A351" s="212"/>
      <c r="B351" s="115"/>
      <c r="C351" s="151" t="s">
        <v>56</v>
      </c>
      <c r="D351" s="117"/>
      <c r="E351" s="118">
        <v>-1.5</v>
      </c>
      <c r="F351" s="119">
        <v>4.5999999999999996</v>
      </c>
      <c r="G351" s="127" t="e">
        <f>+G352+G353+G354+G355</f>
        <v>#DIV/0!</v>
      </c>
      <c r="H351" s="117"/>
      <c r="I351" s="118">
        <v>0</v>
      </c>
      <c r="J351" s="119">
        <v>-2</v>
      </c>
      <c r="K351" s="119">
        <v>48.4</v>
      </c>
      <c r="L351" s="117"/>
      <c r="M351" s="118">
        <v>0</v>
      </c>
      <c r="N351" s="119">
        <v>-2</v>
      </c>
      <c r="O351" s="119">
        <v>48.4</v>
      </c>
      <c r="P351" s="117"/>
      <c r="Q351" s="118">
        <v>0</v>
      </c>
      <c r="R351" s="119">
        <v>-2</v>
      </c>
      <c r="S351" s="119">
        <v>48.4</v>
      </c>
      <c r="T351" s="117"/>
      <c r="U351" s="128">
        <f>+U352+U353+U354+U355</f>
        <v>0.86237285532169694</v>
      </c>
      <c r="V351" s="127"/>
      <c r="W351" s="127">
        <f>+W352+W353+W354+W355</f>
        <v>0.56940805926988358</v>
      </c>
      <c r="X351" s="117"/>
      <c r="Y351" s="131"/>
      <c r="Z351" s="127"/>
      <c r="AA351" s="127"/>
      <c r="AB351" s="117"/>
      <c r="AC351" s="133">
        <f>+AC352+AC353+AC354+AC355</f>
        <v>0.73640342424817684</v>
      </c>
      <c r="AD351" s="130">
        <f>+AD352+AD353+AD354+AD355</f>
        <v>0.72738716876078013</v>
      </c>
      <c r="AE351" s="130">
        <f>+AE352+AE353+AE354+AE355</f>
        <v>0.72922920753122511</v>
      </c>
      <c r="AG351" s="212"/>
      <c r="AH351" s="115"/>
      <c r="AI351" s="151" t="s">
        <v>56</v>
      </c>
      <c r="AJ351" s="117"/>
      <c r="AK351" s="118">
        <v>0</v>
      </c>
      <c r="AL351" s="119">
        <v>-2</v>
      </c>
      <c r="AM351" s="119">
        <v>48.4</v>
      </c>
      <c r="AN351" s="117"/>
      <c r="AO351" s="118">
        <v>0</v>
      </c>
      <c r="AP351" s="119">
        <v>-2</v>
      </c>
      <c r="AQ351" s="119">
        <v>48.4</v>
      </c>
      <c r="AR351" s="117"/>
      <c r="AS351" s="118">
        <v>0</v>
      </c>
      <c r="AT351" s="119">
        <v>-2</v>
      </c>
      <c r="AU351" s="119">
        <v>48.4</v>
      </c>
      <c r="AV351" s="117"/>
      <c r="AW351" s="131"/>
      <c r="AX351" s="127"/>
      <c r="AY351" s="127"/>
      <c r="AZ351" s="117"/>
      <c r="BA351" s="131"/>
      <c r="BB351" s="127"/>
      <c r="BC351" s="127"/>
      <c r="BD351" s="117"/>
      <c r="BE351" s="131"/>
      <c r="BF351" s="127"/>
      <c r="BG351" s="127"/>
      <c r="BH351" s="117"/>
      <c r="BI351" s="122">
        <v>77</v>
      </c>
      <c r="BJ351" s="123">
        <v>-101</v>
      </c>
      <c r="BK351" s="123">
        <v>-4</v>
      </c>
      <c r="BM351" s="122">
        <v>77</v>
      </c>
      <c r="BN351" s="123">
        <v>-101</v>
      </c>
      <c r="BO351" s="123">
        <v>-4</v>
      </c>
    </row>
    <row r="352" spans="1:67" ht="14.5" x14ac:dyDescent="0.3">
      <c r="A352" s="212"/>
      <c r="B352" s="115"/>
      <c r="C352" s="64" t="s">
        <v>23</v>
      </c>
      <c r="D352" s="117"/>
      <c r="E352" s="118">
        <v>-4</v>
      </c>
      <c r="F352" s="119">
        <v>5.2</v>
      </c>
      <c r="G352" s="42" t="e">
        <f>-SUM([1]Retail!$O$87,[1]Retail!$R$87:$V$87,[1]Retail!$Y$87,[1]Retail!$AB$87,[1]Retail!$AU$87,[1]Retail!$AX$87,[1]Retail!$BA$87,[1]Retail!$BD$87)/1000/G349</f>
        <v>#DIV/0!</v>
      </c>
      <c r="H352" s="117"/>
      <c r="I352" s="118">
        <v>-6</v>
      </c>
      <c r="J352" s="119">
        <v>-60</v>
      </c>
      <c r="K352" s="119">
        <v>62.8</v>
      </c>
      <c r="L352" s="117"/>
      <c r="M352" s="118">
        <v>-6</v>
      </c>
      <c r="N352" s="119">
        <v>-60</v>
      </c>
      <c r="O352" s="119">
        <v>62.8</v>
      </c>
      <c r="P352" s="117"/>
      <c r="Q352" s="118">
        <v>-6</v>
      </c>
      <c r="R352" s="119">
        <v>-60</v>
      </c>
      <c r="S352" s="119">
        <v>62.8</v>
      </c>
      <c r="T352" s="117"/>
      <c r="U352" s="73">
        <f>-SUM([1]Bancassurance!$O$85,[1]Bancassurance!$R$85:$V$85,[1]Bancassurance!$Y$85,[1]Bancassurance!$AB$85,[1]Bancassurance!$AU$85,[1]Bancassurance!$AX$85,[1]Bancassurance!$BA$85,[1]Bancassurance!$BD$85)/1000/U349</f>
        <v>0.78844531199821688</v>
      </c>
      <c r="V352" s="42"/>
      <c r="W352" s="42">
        <f>-SUM([1]Bancassurance!$O$87,[1]Bancassurance!$R$87:$V$87,[1]Bancassurance!$Y$87,[1]Bancassurance!$AB$87,[1]Bancassurance!$AU$87,[1]Bancassurance!$AX$87,[1]Bancassurance!$BA$87,[1]Bancassurance!$BD$87)/1000/W349</f>
        <v>0.45501209588031172</v>
      </c>
      <c r="X352" s="117"/>
      <c r="Y352" s="97"/>
      <c r="Z352" s="42"/>
      <c r="AA352" s="42"/>
      <c r="AB352" s="117"/>
      <c r="AC352" s="84">
        <f>-SUM('[1]Total P&amp;C'!$O$85,'[1]Total P&amp;C'!$R$85:$V$85,'[1]Total P&amp;C'!$Y$85,'[1]Total P&amp;C'!$AB$85,'[1]Total P&amp;C'!$AU$85,'[1]Total P&amp;C'!$AX$85,'[1]Total P&amp;C'!$BA$85,'[1]Total P&amp;C'!$BD$85)/1000/AC349</f>
        <v>0.58508277187401592</v>
      </c>
      <c r="AD352" s="60">
        <f>-SUM('[1]Total P&amp;C'!$O$86,'[1]Total P&amp;C'!$R$86:$V$86,'[1]Total P&amp;C'!$Y$86,'[1]Total P&amp;C'!$AB$86,'[1]Total P&amp;C'!$AU$86,'[1]Total P&amp;C'!$AX$86,'[1]Total P&amp;C'!$BA$86,'[1]Total P&amp;C'!$BD$86)/1000/AD349</f>
        <v>0.55326554227574931</v>
      </c>
      <c r="AE352" s="60">
        <f>-SUM('[1]Total P&amp;C'!$O$87,'[1]Total P&amp;C'!$R$87:$V$87,'[1]Total P&amp;C'!$Y$87,'[1]Total P&amp;C'!$AB$87,'[1]Total P&amp;C'!$AU$87,'[1]Total P&amp;C'!$AX$87,'[1]Total P&amp;C'!$BA$87,'[1]Total P&amp;C'!$BD$87)/1000/AE349</f>
        <v>0.52960104037305888</v>
      </c>
      <c r="AG352" s="212"/>
      <c r="AH352" s="115"/>
      <c r="AI352" s="64" t="s">
        <v>23</v>
      </c>
      <c r="AJ352" s="117"/>
      <c r="AK352" s="118">
        <v>-6</v>
      </c>
      <c r="AL352" s="119">
        <v>-60</v>
      </c>
      <c r="AM352" s="119">
        <v>62.8</v>
      </c>
      <c r="AN352" s="117"/>
      <c r="AO352" s="118">
        <v>-6</v>
      </c>
      <c r="AP352" s="119">
        <v>-60</v>
      </c>
      <c r="AQ352" s="119">
        <v>62.8</v>
      </c>
      <c r="AR352" s="117"/>
      <c r="AS352" s="118">
        <v>-6</v>
      </c>
      <c r="AT352" s="119">
        <v>-60</v>
      </c>
      <c r="AU352" s="119">
        <v>62.8</v>
      </c>
      <c r="AV352" s="117"/>
      <c r="AW352" s="97"/>
      <c r="AX352" s="42"/>
      <c r="AY352" s="42"/>
      <c r="AZ352" s="117"/>
      <c r="BA352" s="97"/>
      <c r="BB352" s="42"/>
      <c r="BC352" s="42"/>
      <c r="BD352" s="117"/>
      <c r="BE352" s="97"/>
      <c r="BF352" s="42"/>
      <c r="BG352" s="42"/>
      <c r="BH352" s="117"/>
      <c r="BI352" s="124">
        <v>55</v>
      </c>
      <c r="BJ352" s="123">
        <v>-213</v>
      </c>
      <c r="BK352" s="123">
        <v>-62</v>
      </c>
      <c r="BM352" s="124">
        <v>55</v>
      </c>
      <c r="BN352" s="123">
        <v>-213</v>
      </c>
      <c r="BO352" s="123">
        <v>-62</v>
      </c>
    </row>
    <row r="353" spans="1:67" ht="14.5" x14ac:dyDescent="0.3">
      <c r="A353" s="212"/>
      <c r="B353" s="115"/>
      <c r="C353" s="64" t="s">
        <v>24</v>
      </c>
      <c r="D353" s="134"/>
      <c r="E353" s="126">
        <v>1.33</v>
      </c>
      <c r="F353" s="127">
        <v>1.0857000000000001</v>
      </c>
      <c r="G353" s="42" t="e">
        <f>-([1]Retail!$P$87+[1]Retail!$W$87+[1]Retail!$AV$87+[1]Retail!$AY$87)/1000/G349</f>
        <v>#DIV/0!</v>
      </c>
      <c r="H353" s="134"/>
      <c r="I353" s="128">
        <v>1.19</v>
      </c>
      <c r="J353" s="127">
        <v>1.04</v>
      </c>
      <c r="K353" s="127">
        <v>1.1100000000000001</v>
      </c>
      <c r="L353" s="134"/>
      <c r="M353" s="128">
        <v>1.19</v>
      </c>
      <c r="N353" s="127">
        <v>1.04</v>
      </c>
      <c r="O353" s="127">
        <v>1.1100000000000001</v>
      </c>
      <c r="P353" s="134"/>
      <c r="Q353" s="128">
        <v>1.19</v>
      </c>
      <c r="R353" s="127">
        <v>1.04</v>
      </c>
      <c r="S353" s="127">
        <v>1.1100000000000001</v>
      </c>
      <c r="T353" s="134"/>
      <c r="U353" s="74">
        <f>-([1]Bancassurance!$P$85+[1]Bancassurance!$W$85+[1]Bancassurance!$AV$85+[1]Bancassurance!$AY$85)/1000/U349</f>
        <v>0</v>
      </c>
      <c r="V353" s="42"/>
      <c r="W353" s="42">
        <f>-([1]Bancassurance!$P$87+[1]Bancassurance!$W$87+[1]Bancassurance!$AV$87+[1]Bancassurance!$AY$87)/1000/W349</f>
        <v>3.9743107921000866E-2</v>
      </c>
      <c r="X353" s="134"/>
      <c r="Y353" s="97"/>
      <c r="Z353" s="42"/>
      <c r="AA353" s="42"/>
      <c r="AB353" s="134"/>
      <c r="AC353" s="85">
        <f>-('[1]Total P&amp;C'!$P$85+'[1]Total P&amp;C'!$W$85+'[1]Total P&amp;C'!$AV$85+'[1]Total P&amp;C'!$AY$85)/1000/AC349</f>
        <v>2.4409691675789649E-3</v>
      </c>
      <c r="AD353" s="60">
        <f>-('[1]Total P&amp;C'!$P$86+'[1]Total P&amp;C'!$W$86+'[1]Total P&amp;C'!$AV$86+'[1]Total P&amp;C'!$AY$86)/1000/AD349</f>
        <v>0</v>
      </c>
      <c r="AE353" s="60">
        <f>-('[1]Total P&amp;C'!$P$87+'[1]Total P&amp;C'!$W$87+'[1]Total P&amp;C'!$AV$87+'[1]Total P&amp;C'!$AY$87)/1000/AE349</f>
        <v>2.2396726618786712E-2</v>
      </c>
      <c r="AG353" s="212"/>
      <c r="AH353" s="115"/>
      <c r="AI353" s="64" t="s">
        <v>24</v>
      </c>
      <c r="AJ353" s="134"/>
      <c r="AK353" s="128">
        <v>1.19</v>
      </c>
      <c r="AL353" s="127">
        <v>1.04</v>
      </c>
      <c r="AM353" s="127">
        <v>1.1100000000000001</v>
      </c>
      <c r="AN353" s="134"/>
      <c r="AO353" s="128">
        <v>1.19</v>
      </c>
      <c r="AP353" s="127">
        <v>1.04</v>
      </c>
      <c r="AQ353" s="127">
        <v>1.1100000000000001</v>
      </c>
      <c r="AR353" s="134"/>
      <c r="AS353" s="128">
        <v>1.19</v>
      </c>
      <c r="AT353" s="127">
        <v>1.04</v>
      </c>
      <c r="AU353" s="127">
        <v>1.1100000000000001</v>
      </c>
      <c r="AV353" s="134"/>
      <c r="AW353" s="97"/>
      <c r="AX353" s="42"/>
      <c r="AY353" s="42"/>
      <c r="AZ353" s="134"/>
      <c r="BA353" s="97"/>
      <c r="BB353" s="42"/>
      <c r="BC353" s="42"/>
      <c r="BD353" s="134"/>
      <c r="BE353" s="97"/>
      <c r="BF353" s="42"/>
      <c r="BG353" s="42"/>
      <c r="BH353" s="134"/>
      <c r="BI353" s="132">
        <v>1.67</v>
      </c>
      <c r="BJ353" s="130">
        <v>1.28</v>
      </c>
      <c r="BK353" s="130">
        <v>1.17</v>
      </c>
      <c r="BM353" s="132">
        <v>1.67</v>
      </c>
      <c r="BN353" s="130">
        <v>1.28</v>
      </c>
      <c r="BO353" s="130">
        <v>1.17</v>
      </c>
    </row>
    <row r="354" spans="1:67" ht="14.5" x14ac:dyDescent="0.3">
      <c r="A354" s="212"/>
      <c r="B354" s="115"/>
      <c r="C354" s="64" t="s">
        <v>25</v>
      </c>
      <c r="D354" s="134"/>
      <c r="E354" s="118">
        <v>-6.5</v>
      </c>
      <c r="F354" s="119">
        <v>5.8</v>
      </c>
      <c r="G354" s="42" t="e">
        <f>-([1]Retail!$Q$87+[1]Retail!$X$87+[1]Retail!$AW$87+[1]Retail!$AZ$87)/1000/G349</f>
        <v>#DIV/0!</v>
      </c>
      <c r="H354" s="134"/>
      <c r="I354" s="118">
        <v>-12</v>
      </c>
      <c r="J354" s="119">
        <v>-118</v>
      </c>
      <c r="K354" s="119">
        <v>77.2</v>
      </c>
      <c r="L354" s="134"/>
      <c r="M354" s="118">
        <v>-12</v>
      </c>
      <c r="N354" s="119">
        <v>-118</v>
      </c>
      <c r="O354" s="119">
        <v>77.2</v>
      </c>
      <c r="P354" s="134"/>
      <c r="Q354" s="118">
        <v>-12</v>
      </c>
      <c r="R354" s="119">
        <v>-118</v>
      </c>
      <c r="S354" s="119">
        <v>77.2</v>
      </c>
      <c r="T354" s="134"/>
      <c r="U354" s="74">
        <f>-([1]Bancassurance!$Q$85+[1]Bancassurance!$X$85+[1]Bancassurance!$AW$85+[1]Bancassurance!$AZ$85)/1000/U349</f>
        <v>0</v>
      </c>
      <c r="V354" s="42"/>
      <c r="W354" s="42">
        <f>-([1]Bancassurance!$Q$87+[1]Bancassurance!$X$87+[1]Bancassurance!$AW$87+[1]Bancassurance!$AZ$87)/1000/W349</f>
        <v>3.9432647844517721E-2</v>
      </c>
      <c r="X354" s="134"/>
      <c r="Y354" s="97"/>
      <c r="Z354" s="42"/>
      <c r="AA354" s="42"/>
      <c r="AB354" s="134"/>
      <c r="AC354" s="85">
        <f>-('[1]Total P&amp;C'!$Q$85+'[1]Total P&amp;C'!$X$85+'[1]Total P&amp;C'!$AW$85+'[1]Total P&amp;C'!$AZ$85)/1000/AC349</f>
        <v>0.10340685514840019</v>
      </c>
      <c r="AD354" s="60">
        <f>-('[1]Total P&amp;C'!$Q$86+'[1]Total P&amp;C'!$X$86+'[1]Total P&amp;C'!$AW$86+'[1]Total P&amp;C'!$AZ$86)/1000/AD349</f>
        <v>0.10811699488951866</v>
      </c>
      <c r="AE354" s="60">
        <f>-('[1]Total P&amp;C'!$Q$87+'[1]Total P&amp;C'!$X$87+'[1]Total P&amp;C'!$AW$87+'[1]Total P&amp;C'!$AZ$87)/1000/AE349</f>
        <v>0.1083352895448355</v>
      </c>
      <c r="AG354" s="212"/>
      <c r="AH354" s="115"/>
      <c r="AI354" s="64" t="s">
        <v>25</v>
      </c>
      <c r="AJ354" s="134"/>
      <c r="AK354" s="118">
        <v>-12</v>
      </c>
      <c r="AL354" s="119">
        <v>-118</v>
      </c>
      <c r="AM354" s="119">
        <v>77.2</v>
      </c>
      <c r="AN354" s="134"/>
      <c r="AO354" s="118">
        <v>-12</v>
      </c>
      <c r="AP354" s="119">
        <v>-118</v>
      </c>
      <c r="AQ354" s="119">
        <v>77.2</v>
      </c>
      <c r="AR354" s="134"/>
      <c r="AS354" s="118">
        <v>-12</v>
      </c>
      <c r="AT354" s="119">
        <v>-118</v>
      </c>
      <c r="AU354" s="119">
        <v>77.2</v>
      </c>
      <c r="AV354" s="134"/>
      <c r="AW354" s="97"/>
      <c r="AX354" s="42"/>
      <c r="AY354" s="42"/>
      <c r="AZ354" s="134"/>
      <c r="BA354" s="97"/>
      <c r="BB354" s="42"/>
      <c r="BC354" s="42"/>
      <c r="BD354" s="134"/>
      <c r="BE354" s="97"/>
      <c r="BF354" s="42"/>
      <c r="BG354" s="42"/>
      <c r="BH354" s="134"/>
      <c r="BI354" s="122">
        <v>33</v>
      </c>
      <c r="BJ354" s="123">
        <v>-325</v>
      </c>
      <c r="BK354" s="123">
        <v>-120</v>
      </c>
      <c r="BM354" s="122">
        <v>33</v>
      </c>
      <c r="BN354" s="123">
        <v>-325</v>
      </c>
      <c r="BO354" s="123">
        <v>-120</v>
      </c>
    </row>
    <row r="355" spans="1:67" ht="14.5" x14ac:dyDescent="0.3">
      <c r="A355" s="212"/>
      <c r="B355" s="115"/>
      <c r="C355" s="64" t="s">
        <v>53</v>
      </c>
      <c r="D355" s="134"/>
      <c r="E355" s="118">
        <v>-9</v>
      </c>
      <c r="F355" s="119">
        <v>6.4</v>
      </c>
      <c r="G355" s="42" t="e">
        <f>-[1]Retail!$AT$87/1000/G349</f>
        <v>#DIV/0!</v>
      </c>
      <c r="H355" s="134"/>
      <c r="I355" s="118">
        <v>-18</v>
      </c>
      <c r="J355" s="119">
        <v>-176</v>
      </c>
      <c r="K355" s="119">
        <v>91.6</v>
      </c>
      <c r="L355" s="134"/>
      <c r="M355" s="118">
        <v>-18</v>
      </c>
      <c r="N355" s="119">
        <v>-176</v>
      </c>
      <c r="O355" s="119">
        <v>91.6</v>
      </c>
      <c r="P355" s="134"/>
      <c r="Q355" s="118">
        <v>-18</v>
      </c>
      <c r="R355" s="119">
        <v>-176</v>
      </c>
      <c r="S355" s="119">
        <v>91.6</v>
      </c>
      <c r="T355" s="134"/>
      <c r="U355" s="73">
        <f>-[1]Bancassurance!$AT$85/1000/U349</f>
        <v>7.3927543323480005E-2</v>
      </c>
      <c r="V355" s="42"/>
      <c r="W355" s="42">
        <f>-[1]Bancassurance!$AT$87/1000/W349</f>
        <v>3.522020762405334E-2</v>
      </c>
      <c r="X355" s="134"/>
      <c r="Y355" s="97"/>
      <c r="Z355" s="42"/>
      <c r="AA355" s="42"/>
      <c r="AB355" s="134"/>
      <c r="AC355" s="85">
        <f>-'[1]Total P&amp;C'!$AT$85/1000/AC349</f>
        <v>4.5472828058181723E-2</v>
      </c>
      <c r="AD355" s="60">
        <f>-'[1]Total P&amp;C'!$AT$86/1000/AD349</f>
        <v>6.6004631595512148E-2</v>
      </c>
      <c r="AE355" s="60">
        <f>-'[1]Total P&amp;C'!$AT$87/1000/AE349</f>
        <v>6.8896150994544061E-2</v>
      </c>
      <c r="AG355" s="212"/>
      <c r="AH355" s="115"/>
      <c r="AI355" s="64" t="s">
        <v>53</v>
      </c>
      <c r="AJ355" s="134"/>
      <c r="AK355" s="118">
        <v>-18</v>
      </c>
      <c r="AL355" s="119">
        <v>-176</v>
      </c>
      <c r="AM355" s="119">
        <v>91.6</v>
      </c>
      <c r="AN355" s="134"/>
      <c r="AO355" s="118">
        <v>-18</v>
      </c>
      <c r="AP355" s="119">
        <v>-176</v>
      </c>
      <c r="AQ355" s="119">
        <v>91.6</v>
      </c>
      <c r="AR355" s="134"/>
      <c r="AS355" s="118">
        <v>-18</v>
      </c>
      <c r="AT355" s="119">
        <v>-176</v>
      </c>
      <c r="AU355" s="119">
        <v>91.6</v>
      </c>
      <c r="AV355" s="134"/>
      <c r="AW355" s="97"/>
      <c r="AX355" s="42"/>
      <c r="AY355" s="42"/>
      <c r="AZ355" s="134"/>
      <c r="BA355" s="97"/>
      <c r="BB355" s="42"/>
      <c r="BC355" s="42"/>
      <c r="BD355" s="134"/>
      <c r="BE355" s="97"/>
      <c r="BF355" s="42"/>
      <c r="BG355" s="42"/>
      <c r="BH355" s="134"/>
      <c r="BI355" s="124">
        <v>11</v>
      </c>
      <c r="BJ355" s="123">
        <v>-437</v>
      </c>
      <c r="BK355" s="123">
        <v>-178</v>
      </c>
      <c r="BM355" s="124">
        <v>11</v>
      </c>
      <c r="BN355" s="123">
        <v>-437</v>
      </c>
      <c r="BO355" s="123">
        <v>-178</v>
      </c>
    </row>
    <row r="356" spans="1:67" x14ac:dyDescent="0.3">
      <c r="A356" s="212"/>
      <c r="B356" s="115"/>
      <c r="C356" s="151" t="s">
        <v>27</v>
      </c>
      <c r="D356" s="134"/>
      <c r="E356" s="126">
        <v>2.33</v>
      </c>
      <c r="F356" s="127">
        <v>2.0857000000000001</v>
      </c>
      <c r="G356" s="127" t="e">
        <f>-([1]Retail!$Z$87+[1]Retail!$AA$87+[1]Retail!$BB$87+[1]Retail!$BC$87)/1000/G349</f>
        <v>#DIV/0!</v>
      </c>
      <c r="H356" s="134"/>
      <c r="I356" s="128">
        <v>2.19</v>
      </c>
      <c r="J356" s="127">
        <v>2.04</v>
      </c>
      <c r="K356" s="127">
        <v>2.11</v>
      </c>
      <c r="L356" s="134"/>
      <c r="M356" s="128">
        <v>2.19</v>
      </c>
      <c r="N356" s="127">
        <v>2.04</v>
      </c>
      <c r="O356" s="127">
        <v>2.11</v>
      </c>
      <c r="P356" s="134"/>
      <c r="Q356" s="128">
        <v>2.19</v>
      </c>
      <c r="R356" s="127">
        <v>2.04</v>
      </c>
      <c r="S356" s="127">
        <v>2.11</v>
      </c>
      <c r="T356" s="134"/>
      <c r="U356" s="128">
        <f>-([1]Bancassurance!$Z$85+[1]Bancassurance!$AA$85+[1]Bancassurance!$BB$85+[1]Bancassurance!$BC$85)/1000/U349</f>
        <v>-5.1104171767191661E-2</v>
      </c>
      <c r="V356" s="127"/>
      <c r="W356" s="127">
        <f>-([1]Bancassurance!$Z$87+[1]Bancassurance!$AA$87+[1]Bancassurance!$BB$87+[1]Bancassurance!$BC$87)/1000/W349</f>
        <v>-3.3296573670497848E-2</v>
      </c>
      <c r="X356" s="134"/>
      <c r="Y356" s="128"/>
      <c r="Z356" s="127"/>
      <c r="AA356" s="127"/>
      <c r="AB356" s="134"/>
      <c r="AC356" s="132">
        <f>-('[1]Total P&amp;C'!$Z$85+'[1]Total P&amp;C'!$AA$85+'[1]Total P&amp;C'!$BB$85+'[1]Total P&amp;C'!$BC$85)/1000/AC349</f>
        <v>-6.272167570994111E-2</v>
      </c>
      <c r="AD356" s="130">
        <f>-('[1]Total P&amp;C'!$Z$86+'[1]Total P&amp;C'!$AA$86+'[1]Total P&amp;C'!$BB$86+'[1]Total P&amp;C'!$BC$86)/1000/AD349</f>
        <v>-5.0817024799589987E-2</v>
      </c>
      <c r="AE356" s="130">
        <f>-('[1]Total P&amp;C'!$Z$87+'[1]Total P&amp;C'!$AA$87+'[1]Total P&amp;C'!$BB$87+'[1]Total P&amp;C'!$BC$87)/1000/AE349</f>
        <v>-3.9631139839386667E-2</v>
      </c>
      <c r="AG356" s="212"/>
      <c r="AH356" s="115"/>
      <c r="AI356" s="151" t="s">
        <v>27</v>
      </c>
      <c r="AJ356" s="134"/>
      <c r="AK356" s="128">
        <v>2.19</v>
      </c>
      <c r="AL356" s="127">
        <v>2.04</v>
      </c>
      <c r="AM356" s="127">
        <v>2.11</v>
      </c>
      <c r="AN356" s="134"/>
      <c r="AO356" s="128">
        <v>2.19</v>
      </c>
      <c r="AP356" s="127">
        <v>2.04</v>
      </c>
      <c r="AQ356" s="127">
        <v>2.11</v>
      </c>
      <c r="AR356" s="134"/>
      <c r="AS356" s="128">
        <v>2.19</v>
      </c>
      <c r="AT356" s="127">
        <v>2.04</v>
      </c>
      <c r="AU356" s="127">
        <v>2.11</v>
      </c>
      <c r="AV356" s="134"/>
      <c r="AW356" s="131"/>
      <c r="AX356" s="127"/>
      <c r="AY356" s="127"/>
      <c r="AZ356" s="134"/>
      <c r="BA356" s="131"/>
      <c r="BB356" s="127"/>
      <c r="BC356" s="127"/>
      <c r="BD356" s="134"/>
      <c r="BE356" s="131"/>
      <c r="BF356" s="127"/>
      <c r="BG356" s="127"/>
      <c r="BH356" s="134"/>
      <c r="BI356" s="132">
        <v>2.67</v>
      </c>
      <c r="BJ356" s="130">
        <v>2.2799999999999998</v>
      </c>
      <c r="BK356" s="130">
        <v>2.17</v>
      </c>
      <c r="BM356" s="132">
        <v>2.67</v>
      </c>
      <c r="BN356" s="130">
        <v>2.2799999999999998</v>
      </c>
      <c r="BO356" s="130">
        <v>2.17</v>
      </c>
    </row>
    <row r="357" spans="1:67" x14ac:dyDescent="0.3">
      <c r="A357" s="212"/>
      <c r="B357" s="115"/>
      <c r="C357" s="151" t="s">
        <v>57</v>
      </c>
      <c r="D357" s="134"/>
      <c r="E357" s="118">
        <v>-11.5</v>
      </c>
      <c r="F357" s="119">
        <v>7</v>
      </c>
      <c r="G357" s="127" t="e">
        <f>-SUM([1]Retail!$AC$87:$AI$87,[1]Retail!$BE$87:$BG$87)/1000/G349</f>
        <v>#DIV/0!</v>
      </c>
      <c r="H357" s="134"/>
      <c r="I357" s="118">
        <v>-24</v>
      </c>
      <c r="J357" s="119">
        <v>-234</v>
      </c>
      <c r="K357" s="119">
        <v>106</v>
      </c>
      <c r="L357" s="134"/>
      <c r="M357" s="118">
        <v>-24</v>
      </c>
      <c r="N357" s="119">
        <v>-234</v>
      </c>
      <c r="O357" s="119">
        <v>106</v>
      </c>
      <c r="P357" s="134"/>
      <c r="Q357" s="118">
        <v>-24</v>
      </c>
      <c r="R357" s="119">
        <v>-234</v>
      </c>
      <c r="S357" s="119">
        <v>106</v>
      </c>
      <c r="T357" s="134"/>
      <c r="U357" s="126">
        <f>-SUM([1]Bancassurance!$AC$85:$AI$85,[1]Bancassurance!$BE$85:$BG$85)/1000/U349</f>
        <v>-0.65306853782197072</v>
      </c>
      <c r="V357" s="127"/>
      <c r="W357" s="127">
        <f>-SUM([1]Bancassurance!$AC$87:$AI$87,[1]Bancassurance!$BE$87:$BG$87)/1000/W349</f>
        <v>-1.3565824302341541E-2</v>
      </c>
      <c r="X357" s="134"/>
      <c r="Y357" s="131"/>
      <c r="Z357" s="127"/>
      <c r="AA357" s="127"/>
      <c r="AB357" s="134"/>
      <c r="AC357" s="133">
        <f>-SUM('[1]Total P&amp;C'!$AC$85:$AI$85,'[1]Total P&amp;C'!$BE$85:$BG$85)/1000/AC349</f>
        <v>-1.4719027953300599E-2</v>
      </c>
      <c r="AD357" s="130">
        <f>-SUM('[1]Total P&amp;C'!$AC$86:$AI$86,'[1]Total P&amp;C'!$BE$86:$BG$86)/1000/AD349</f>
        <v>1.9784323801003104E-2</v>
      </c>
      <c r="AE357" s="130">
        <f>-SUM('[1]Total P&amp;C'!$AC$87:$AI$87,'[1]Total P&amp;C'!$BE$87:$BG$87)/1000/AE349</f>
        <v>-1.8281149292670665E-2</v>
      </c>
      <c r="AG357" s="212"/>
      <c r="AH357" s="115"/>
      <c r="AI357" s="151" t="s">
        <v>57</v>
      </c>
      <c r="AJ357" s="134"/>
      <c r="AK357" s="118">
        <v>-24</v>
      </c>
      <c r="AL357" s="119">
        <v>-234</v>
      </c>
      <c r="AM357" s="119">
        <v>106</v>
      </c>
      <c r="AN357" s="134"/>
      <c r="AO357" s="118">
        <v>-24</v>
      </c>
      <c r="AP357" s="119">
        <v>-234</v>
      </c>
      <c r="AQ357" s="119">
        <v>106</v>
      </c>
      <c r="AR357" s="134"/>
      <c r="AS357" s="118">
        <v>-24</v>
      </c>
      <c r="AT357" s="119">
        <v>-234</v>
      </c>
      <c r="AU357" s="119">
        <v>106</v>
      </c>
      <c r="AV357" s="134"/>
      <c r="AW357" s="131"/>
      <c r="AX357" s="127"/>
      <c r="AY357" s="127"/>
      <c r="AZ357" s="134"/>
      <c r="BA357" s="131"/>
      <c r="BB357" s="127"/>
      <c r="BC357" s="127"/>
      <c r="BD357" s="134"/>
      <c r="BE357" s="131"/>
      <c r="BF357" s="127"/>
      <c r="BG357" s="127"/>
      <c r="BH357" s="134"/>
      <c r="BI357" s="122">
        <v>-11</v>
      </c>
      <c r="BJ357" s="123">
        <v>-549</v>
      </c>
      <c r="BK357" s="123">
        <v>-236</v>
      </c>
      <c r="BM357" s="122">
        <v>-11</v>
      </c>
      <c r="BN357" s="123">
        <v>-549</v>
      </c>
      <c r="BO357" s="123">
        <v>-236</v>
      </c>
    </row>
    <row r="358" spans="1:67" x14ac:dyDescent="0.3">
      <c r="A358" s="212"/>
      <c r="B358" s="115"/>
      <c r="C358" s="151" t="s">
        <v>29</v>
      </c>
      <c r="D358" s="134"/>
      <c r="E358" s="118">
        <v>-14</v>
      </c>
      <c r="F358" s="119">
        <v>7.6</v>
      </c>
      <c r="G358" s="127" t="e">
        <f>-SUM([1]Retail!$AJ$87:$AK$87,[1]Retail!$BH$87:$BI$87)/1000/G349</f>
        <v>#DIV/0!</v>
      </c>
      <c r="H358" s="134"/>
      <c r="I358" s="118">
        <v>-30</v>
      </c>
      <c r="J358" s="119">
        <v>-292</v>
      </c>
      <c r="K358" s="119">
        <v>120.4</v>
      </c>
      <c r="L358" s="134"/>
      <c r="M358" s="118">
        <v>-30</v>
      </c>
      <c r="N358" s="119">
        <v>-292</v>
      </c>
      <c r="O358" s="119">
        <v>120.4</v>
      </c>
      <c r="P358" s="134"/>
      <c r="Q358" s="118">
        <v>-30</v>
      </c>
      <c r="R358" s="119">
        <v>-292</v>
      </c>
      <c r="S358" s="119">
        <v>120.4</v>
      </c>
      <c r="T358" s="134"/>
      <c r="U358" s="128">
        <f>-SUM([1]Bancassurance!$AJ$85:$AK$85,[1]Bancassurance!$BH$85:$BI$85)/1000/U349</f>
        <v>8.2846191228714075E-2</v>
      </c>
      <c r="V358" s="127"/>
      <c r="W358" s="127">
        <f>-SUM([1]Bancassurance!$AJ$87:$AK$87,[1]Bancassurance!$BH$87:$BI$87)/1000/W349</f>
        <v>0</v>
      </c>
      <c r="X358" s="134"/>
      <c r="Y358" s="131"/>
      <c r="Z358" s="127"/>
      <c r="AA358" s="127"/>
      <c r="AB358" s="134"/>
      <c r="AC358" s="129">
        <f>-SUM('[1]Total P&amp;C'!$AJ$85:$AK$85,'[1]Total P&amp;C'!$BH$85:$BI$85)/1000/AC349</f>
        <v>1.4287406551327334E-2</v>
      </c>
      <c r="AD358" s="130">
        <f>-SUM('[1]Total P&amp;C'!$AJ$86:$AK$86,'[1]Total P&amp;C'!$BH$86:$BI$86)/1000/AD349</f>
        <v>-2.7999439421664565E-2</v>
      </c>
      <c r="AE358" s="130">
        <f>-SUM('[1]Total P&amp;C'!$AJ$87:$AK$87,'[1]Total P&amp;C'!$BH$87:$BI$87)/1000/AE349</f>
        <v>0</v>
      </c>
      <c r="AG358" s="212"/>
      <c r="AH358" s="115"/>
      <c r="AI358" s="151" t="s">
        <v>29</v>
      </c>
      <c r="AJ358" s="134"/>
      <c r="AK358" s="118">
        <v>-30</v>
      </c>
      <c r="AL358" s="119">
        <v>-292</v>
      </c>
      <c r="AM358" s="119">
        <v>120.4</v>
      </c>
      <c r="AN358" s="134"/>
      <c r="AO358" s="118">
        <v>-30</v>
      </c>
      <c r="AP358" s="119">
        <v>-292</v>
      </c>
      <c r="AQ358" s="119">
        <v>120.4</v>
      </c>
      <c r="AR358" s="134"/>
      <c r="AS358" s="118">
        <v>-30</v>
      </c>
      <c r="AT358" s="119">
        <v>-292</v>
      </c>
      <c r="AU358" s="119">
        <v>120.4</v>
      </c>
      <c r="AV358" s="134"/>
      <c r="AW358" s="131"/>
      <c r="AX358" s="127"/>
      <c r="AY358" s="127"/>
      <c r="AZ358" s="134"/>
      <c r="BA358" s="131"/>
      <c r="BB358" s="127"/>
      <c r="BC358" s="127"/>
      <c r="BD358" s="134"/>
      <c r="BE358" s="131"/>
      <c r="BF358" s="127"/>
      <c r="BG358" s="127"/>
      <c r="BH358" s="134"/>
      <c r="BI358" s="124">
        <v>-33</v>
      </c>
      <c r="BJ358" s="123">
        <v>-661</v>
      </c>
      <c r="BK358" s="123">
        <v>-294</v>
      </c>
      <c r="BM358" s="124">
        <v>-33</v>
      </c>
      <c r="BN358" s="123">
        <v>-661</v>
      </c>
      <c r="BO358" s="123">
        <v>-294</v>
      </c>
    </row>
    <row r="359" spans="1:67" x14ac:dyDescent="0.3">
      <c r="A359" s="212"/>
      <c r="B359" s="115"/>
      <c r="C359" s="151" t="s">
        <v>58</v>
      </c>
      <c r="D359" s="134"/>
      <c r="E359" s="126">
        <v>3.33</v>
      </c>
      <c r="F359" s="127">
        <v>3.0857000000000001</v>
      </c>
      <c r="G359" s="127" t="e">
        <f>+G360+G361+G362</f>
        <v>#DIV/0!</v>
      </c>
      <c r="H359" s="134"/>
      <c r="I359" s="128">
        <v>3.19</v>
      </c>
      <c r="J359" s="127">
        <v>3.04</v>
      </c>
      <c r="K359" s="127">
        <v>3.11</v>
      </c>
      <c r="L359" s="134"/>
      <c r="M359" s="128">
        <v>3.19</v>
      </c>
      <c r="N359" s="127">
        <v>3.04</v>
      </c>
      <c r="O359" s="127">
        <v>3.11</v>
      </c>
      <c r="P359" s="134"/>
      <c r="Q359" s="128">
        <v>3.19</v>
      </c>
      <c r="R359" s="127">
        <v>3.04</v>
      </c>
      <c r="S359" s="127">
        <v>3.11</v>
      </c>
      <c r="T359" s="134"/>
      <c r="U359" s="128">
        <f>+U360+U361+U362</f>
        <v>1.7049126017643503</v>
      </c>
      <c r="V359" s="127"/>
      <c r="W359" s="127">
        <f>+W360+W361+W362</f>
        <v>0.58587221805125322</v>
      </c>
      <c r="X359" s="134"/>
      <c r="Y359" s="131"/>
      <c r="Z359" s="127"/>
      <c r="AA359" s="127"/>
      <c r="AB359" s="134"/>
      <c r="AC359" s="132">
        <f>+AC360+AC361+AC362</f>
        <v>0.24141857645126893</v>
      </c>
      <c r="AD359" s="130">
        <f>+AD360+AD361+AD362</f>
        <v>0.2447135697990741</v>
      </c>
      <c r="AE359" s="130">
        <f>+AE360+AE361+AE362</f>
        <v>0.25570620893666707</v>
      </c>
      <c r="AG359" s="212"/>
      <c r="AH359" s="115"/>
      <c r="AI359" s="151" t="s">
        <v>58</v>
      </c>
      <c r="AJ359" s="134"/>
      <c r="AK359" s="128">
        <v>3.19</v>
      </c>
      <c r="AL359" s="127">
        <v>3.04</v>
      </c>
      <c r="AM359" s="127">
        <v>3.11</v>
      </c>
      <c r="AN359" s="134"/>
      <c r="AO359" s="128">
        <v>3.19</v>
      </c>
      <c r="AP359" s="127">
        <v>3.04</v>
      </c>
      <c r="AQ359" s="127">
        <v>3.11</v>
      </c>
      <c r="AR359" s="134"/>
      <c r="AS359" s="128">
        <v>3.19</v>
      </c>
      <c r="AT359" s="127">
        <v>3.04</v>
      </c>
      <c r="AU359" s="127">
        <v>3.11</v>
      </c>
      <c r="AV359" s="134"/>
      <c r="AW359" s="131"/>
      <c r="AX359" s="127"/>
      <c r="AY359" s="127"/>
      <c r="AZ359" s="134"/>
      <c r="BA359" s="131"/>
      <c r="BB359" s="127"/>
      <c r="BC359" s="127"/>
      <c r="BD359" s="134"/>
      <c r="BE359" s="131"/>
      <c r="BF359" s="127"/>
      <c r="BG359" s="127"/>
      <c r="BH359" s="134"/>
      <c r="BI359" s="132">
        <v>3.67</v>
      </c>
      <c r="BJ359" s="130">
        <v>3.28</v>
      </c>
      <c r="BK359" s="130">
        <v>3.17</v>
      </c>
      <c r="BM359" s="132">
        <v>3.67</v>
      </c>
      <c r="BN359" s="130">
        <v>3.28</v>
      </c>
      <c r="BO359" s="130">
        <v>3.17</v>
      </c>
    </row>
    <row r="360" spans="1:67" ht="14.5" x14ac:dyDescent="0.3">
      <c r="A360" s="212"/>
      <c r="B360" s="115"/>
      <c r="C360" s="65" t="s">
        <v>59</v>
      </c>
      <c r="D360" s="135"/>
      <c r="E360" s="118">
        <v>-16.5</v>
      </c>
      <c r="F360" s="119">
        <v>8.1999999999999993</v>
      </c>
      <c r="G360" s="42" t="e">
        <f>-SUM([1]Retail!$AL$87:$AN$87,[1]Retail!$BJ$87)/1000/G349</f>
        <v>#DIV/0!</v>
      </c>
      <c r="H360" s="135"/>
      <c r="I360" s="118">
        <v>-36</v>
      </c>
      <c r="J360" s="119">
        <v>-350</v>
      </c>
      <c r="K360" s="119">
        <v>134.80000000000001</v>
      </c>
      <c r="L360" s="135"/>
      <c r="M360" s="118">
        <v>-36</v>
      </c>
      <c r="N360" s="119">
        <v>-350</v>
      </c>
      <c r="O360" s="119">
        <v>134.80000000000001</v>
      </c>
      <c r="P360" s="135"/>
      <c r="Q360" s="118">
        <v>-36</v>
      </c>
      <c r="R360" s="119">
        <v>-350</v>
      </c>
      <c r="S360" s="119">
        <v>134.80000000000001</v>
      </c>
      <c r="T360" s="135"/>
      <c r="U360" s="73">
        <f>-SUM([1]Bancassurance!$AL$85:$AN$85,[1]Bancassurance!$BJ$85)/1000/U349</f>
        <v>0.14759385756722238</v>
      </c>
      <c r="V360" s="42"/>
      <c r="W360" s="42">
        <f>-SUM([1]Bancassurance!$AL$87:$AN$87,[1]Bancassurance!$BJ$87)/1000/W349</f>
        <v>0.11501933732302376</v>
      </c>
      <c r="X360" s="135"/>
      <c r="Y360" s="97"/>
      <c r="Z360" s="42"/>
      <c r="AA360" s="42"/>
      <c r="AB360" s="135"/>
      <c r="AC360" s="85">
        <f>-SUM('[1]Total P&amp;C'!$AL$85:$AN$85,'[1]Total P&amp;C'!$BJ$85)/1000/AC349</f>
        <v>0.14376076436904558</v>
      </c>
      <c r="AD360" s="60">
        <f>-SUM('[1]Total P&amp;C'!$AL$86:$AN$86,'[1]Total P&amp;C'!$BJ$86)/1000/AD349</f>
        <v>0.14422817977143959</v>
      </c>
      <c r="AE360" s="60">
        <f>-SUM('[1]Total P&amp;C'!$AL$87:$AN$87,'[1]Total P&amp;C'!$BJ$87)/1000/AE349</f>
        <v>0.14541914759870841</v>
      </c>
      <c r="AG360" s="212"/>
      <c r="AH360" s="115"/>
      <c r="AI360" s="65" t="s">
        <v>59</v>
      </c>
      <c r="AJ360" s="135"/>
      <c r="AK360" s="118">
        <v>-36</v>
      </c>
      <c r="AL360" s="119">
        <v>-350</v>
      </c>
      <c r="AM360" s="119">
        <v>134.80000000000001</v>
      </c>
      <c r="AN360" s="135"/>
      <c r="AO360" s="118">
        <v>-36</v>
      </c>
      <c r="AP360" s="119">
        <v>-350</v>
      </c>
      <c r="AQ360" s="119">
        <v>134.80000000000001</v>
      </c>
      <c r="AR360" s="135"/>
      <c r="AS360" s="118">
        <v>-36</v>
      </c>
      <c r="AT360" s="119">
        <v>-350</v>
      </c>
      <c r="AU360" s="119">
        <v>134.80000000000001</v>
      </c>
      <c r="AV360" s="135"/>
      <c r="AW360" s="97"/>
      <c r="AX360" s="42"/>
      <c r="AY360" s="42"/>
      <c r="AZ360" s="135"/>
      <c r="BA360" s="97"/>
      <c r="BB360" s="42"/>
      <c r="BC360" s="42"/>
      <c r="BD360" s="135"/>
      <c r="BE360" s="97"/>
      <c r="BF360" s="42"/>
      <c r="BG360" s="42"/>
      <c r="BH360" s="135"/>
      <c r="BI360" s="122">
        <v>-55</v>
      </c>
      <c r="BJ360" s="123">
        <v>-773</v>
      </c>
      <c r="BK360" s="123">
        <v>-352</v>
      </c>
      <c r="BM360" s="122">
        <v>-55</v>
      </c>
      <c r="BN360" s="123">
        <v>-773</v>
      </c>
      <c r="BO360" s="123">
        <v>-352</v>
      </c>
    </row>
    <row r="361" spans="1:67" ht="14.5" x14ac:dyDescent="0.3">
      <c r="A361" s="212"/>
      <c r="B361" s="115"/>
      <c r="C361" s="65" t="s">
        <v>60</v>
      </c>
      <c r="D361" s="135"/>
      <c r="E361" s="118">
        <v>-19</v>
      </c>
      <c r="F361" s="119">
        <v>8.8000000000000007</v>
      </c>
      <c r="G361" s="42" t="e">
        <f>-SUM([1]Retail!$AO$87:$AP$87)/1000/G349</f>
        <v>#DIV/0!</v>
      </c>
      <c r="H361" s="135"/>
      <c r="I361" s="118">
        <v>-42</v>
      </c>
      <c r="J361" s="119">
        <v>-408</v>
      </c>
      <c r="K361" s="119">
        <v>149.19999999999999</v>
      </c>
      <c r="L361" s="135"/>
      <c r="M361" s="118">
        <v>-42</v>
      </c>
      <c r="N361" s="119">
        <v>-408</v>
      </c>
      <c r="O361" s="119">
        <v>149.19999999999999</v>
      </c>
      <c r="P361" s="135"/>
      <c r="Q361" s="118">
        <v>-42</v>
      </c>
      <c r="R361" s="119">
        <v>-408</v>
      </c>
      <c r="S361" s="119">
        <v>149.19999999999999</v>
      </c>
      <c r="T361" s="135"/>
      <c r="U361" s="73">
        <f>-SUM([1]Bancassurance!$AO$85:$AP$85)/1000/U349</f>
        <v>0.40678471634615254</v>
      </c>
      <c r="V361" s="42"/>
      <c r="W361" s="42">
        <f>-SUM([1]Bancassurance!$AO$87:$AP$87)/1000/W349</f>
        <v>0.1576283789074259</v>
      </c>
      <c r="X361" s="135"/>
      <c r="Y361" s="97"/>
      <c r="Z361" s="42"/>
      <c r="AA361" s="42"/>
      <c r="AB361" s="135"/>
      <c r="AC361" s="85">
        <f>-SUM('[1]Total P&amp;C'!$AO$85:$AP$85)/1000/AC349</f>
        <v>3.5217210433591134E-2</v>
      </c>
      <c r="AD361" s="60">
        <f>-SUM('[1]Total P&amp;C'!$AO$86:$AP$86)/1000/AD349</f>
        <v>3.6264895271774698E-2</v>
      </c>
      <c r="AE361" s="60">
        <f>-SUM('[1]Total P&amp;C'!$AO$87:$AP$87)/1000/AE349</f>
        <v>3.5772521648382384E-2</v>
      </c>
      <c r="AG361" s="212"/>
      <c r="AH361" s="115"/>
      <c r="AI361" s="65" t="s">
        <v>60</v>
      </c>
      <c r="AJ361" s="135"/>
      <c r="AK361" s="118">
        <v>-42</v>
      </c>
      <c r="AL361" s="119">
        <v>-408</v>
      </c>
      <c r="AM361" s="119">
        <v>149.19999999999999</v>
      </c>
      <c r="AN361" s="135"/>
      <c r="AO361" s="118">
        <v>-42</v>
      </c>
      <c r="AP361" s="119">
        <v>-408</v>
      </c>
      <c r="AQ361" s="119">
        <v>149.19999999999999</v>
      </c>
      <c r="AR361" s="135"/>
      <c r="AS361" s="118">
        <v>-42</v>
      </c>
      <c r="AT361" s="119">
        <v>-408</v>
      </c>
      <c r="AU361" s="119">
        <v>149.19999999999999</v>
      </c>
      <c r="AV361" s="135"/>
      <c r="AW361" s="97"/>
      <c r="AX361" s="42"/>
      <c r="AY361" s="42"/>
      <c r="AZ361" s="135"/>
      <c r="BA361" s="97"/>
      <c r="BB361" s="42"/>
      <c r="BC361" s="42"/>
      <c r="BD361" s="135"/>
      <c r="BE361" s="97"/>
      <c r="BF361" s="42"/>
      <c r="BG361" s="42"/>
      <c r="BH361" s="135"/>
      <c r="BI361" s="124">
        <v>-77</v>
      </c>
      <c r="BJ361" s="123">
        <v>-885</v>
      </c>
      <c r="BK361" s="123">
        <v>-410</v>
      </c>
      <c r="BM361" s="124">
        <v>-77</v>
      </c>
      <c r="BN361" s="123">
        <v>-885</v>
      </c>
      <c r="BO361" s="123">
        <v>-410</v>
      </c>
    </row>
    <row r="362" spans="1:67" ht="14.5" x14ac:dyDescent="0.3">
      <c r="A362" s="212"/>
      <c r="B362" s="115"/>
      <c r="C362" s="65" t="s">
        <v>61</v>
      </c>
      <c r="D362" s="135"/>
      <c r="E362" s="126">
        <v>4.33</v>
      </c>
      <c r="F362" s="127">
        <v>4.0857000000000001</v>
      </c>
      <c r="G362" s="42" t="e">
        <f>-SUM([1]Retail!$AQ$87:$AR$87)/1000/G349</f>
        <v>#DIV/0!</v>
      </c>
      <c r="H362" s="135"/>
      <c r="I362" s="128">
        <v>4.1900000000000004</v>
      </c>
      <c r="J362" s="127">
        <v>4.04</v>
      </c>
      <c r="K362" s="127">
        <v>4.1100000000000003</v>
      </c>
      <c r="L362" s="135"/>
      <c r="M362" s="128">
        <v>4.1900000000000004</v>
      </c>
      <c r="N362" s="127">
        <v>4.04</v>
      </c>
      <c r="O362" s="127">
        <v>4.1100000000000003</v>
      </c>
      <c r="P362" s="135"/>
      <c r="Q362" s="128">
        <v>4.1900000000000004</v>
      </c>
      <c r="R362" s="127">
        <v>4.04</v>
      </c>
      <c r="S362" s="127">
        <v>4.1100000000000003</v>
      </c>
      <c r="T362" s="135"/>
      <c r="U362" s="73">
        <f>-SUM([1]Bancassurance!$AQ$85:$AR$85)/1000/U349</f>
        <v>1.1505340278509755</v>
      </c>
      <c r="V362" s="42"/>
      <c r="W362" s="42">
        <f>-SUM([1]Bancassurance!$AQ$87:$AR$87)/1000/W349</f>
        <v>0.31322450182080358</v>
      </c>
      <c r="X362" s="135"/>
      <c r="Y362" s="97"/>
      <c r="Z362" s="42"/>
      <c r="AA362" s="42"/>
      <c r="AB362" s="135"/>
      <c r="AC362" s="85">
        <f>-SUM('[1]Total P&amp;C'!$AQ$85:$AR$85)/1000/AC349</f>
        <v>6.2440601648632209E-2</v>
      </c>
      <c r="AD362" s="60">
        <f>-SUM('[1]Total P&amp;C'!$AQ$86:$AR$86)/1000/AD349</f>
        <v>6.4220494755859794E-2</v>
      </c>
      <c r="AE362" s="60">
        <f>-SUM('[1]Total P&amp;C'!$AQ$87:$AR$87)/1000/AE349</f>
        <v>7.4514539689576248E-2</v>
      </c>
      <c r="AG362" s="212"/>
      <c r="AH362" s="115"/>
      <c r="AI362" s="65" t="s">
        <v>61</v>
      </c>
      <c r="AJ362" s="135"/>
      <c r="AK362" s="128">
        <v>4.1900000000000004</v>
      </c>
      <c r="AL362" s="127">
        <v>4.04</v>
      </c>
      <c r="AM362" s="127">
        <v>4.1100000000000003</v>
      </c>
      <c r="AN362" s="135"/>
      <c r="AO362" s="128">
        <v>4.1900000000000004</v>
      </c>
      <c r="AP362" s="127">
        <v>4.04</v>
      </c>
      <c r="AQ362" s="127">
        <v>4.1100000000000003</v>
      </c>
      <c r="AR362" s="135"/>
      <c r="AS362" s="128">
        <v>4.1900000000000004</v>
      </c>
      <c r="AT362" s="127">
        <v>4.04</v>
      </c>
      <c r="AU362" s="127">
        <v>4.1100000000000003</v>
      </c>
      <c r="AV362" s="135"/>
      <c r="AW362" s="97"/>
      <c r="AX362" s="42"/>
      <c r="AY362" s="42"/>
      <c r="AZ362" s="135"/>
      <c r="BA362" s="97"/>
      <c r="BB362" s="42"/>
      <c r="BC362" s="42"/>
      <c r="BD362" s="135"/>
      <c r="BE362" s="97"/>
      <c r="BF362" s="42"/>
      <c r="BG362" s="42"/>
      <c r="BH362" s="135"/>
      <c r="BI362" s="132">
        <v>4.67</v>
      </c>
      <c r="BJ362" s="130">
        <v>4.28</v>
      </c>
      <c r="BK362" s="130">
        <v>4.17</v>
      </c>
      <c r="BM362" s="132">
        <v>4.67</v>
      </c>
      <c r="BN362" s="130">
        <v>4.28</v>
      </c>
      <c r="BO362" s="130">
        <v>4.17</v>
      </c>
    </row>
    <row r="363" spans="1:67" x14ac:dyDescent="0.3">
      <c r="A363" s="212"/>
      <c r="B363" s="115"/>
      <c r="C363" s="151" t="s">
        <v>34</v>
      </c>
      <c r="D363" s="117"/>
      <c r="E363" s="118">
        <v>-21.5</v>
      </c>
      <c r="F363" s="119">
        <v>9.4</v>
      </c>
      <c r="G363" s="119">
        <f>+[1]Retail!$BK$87/1000</f>
        <v>-0.1493369177976652</v>
      </c>
      <c r="H363" s="117"/>
      <c r="I363" s="118">
        <v>-48</v>
      </c>
      <c r="J363" s="119">
        <v>-466</v>
      </c>
      <c r="K363" s="119">
        <v>163.6</v>
      </c>
      <c r="L363" s="117"/>
      <c r="M363" s="118">
        <v>-48</v>
      </c>
      <c r="N363" s="119">
        <v>-466</v>
      </c>
      <c r="O363" s="119">
        <v>163.6</v>
      </c>
      <c r="P363" s="117"/>
      <c r="Q363" s="118">
        <v>-48</v>
      </c>
      <c r="R363" s="119">
        <v>-466</v>
      </c>
      <c r="S363" s="119">
        <v>163.6</v>
      </c>
      <c r="T363" s="117"/>
      <c r="U363" s="120">
        <f>+[1]Bancassurance!$BK$85/1000</f>
        <v>-0.42961744000000035</v>
      </c>
      <c r="V363" s="119">
        <f>+[1]Bancassurance!$BK$86/1000</f>
        <v>-0.99907365000000015</v>
      </c>
      <c r="W363" s="119">
        <f>+[1]Bancassurance!$BK$87/1000</f>
        <v>-0.14864608146089756</v>
      </c>
      <c r="X363" s="117"/>
      <c r="Y363" s="118">
        <f>+[1]Specials!$BK$85/1000</f>
        <v>0.34060948000000008</v>
      </c>
      <c r="Z363" s="119">
        <f>+[1]Specials!$BK$86/1000</f>
        <v>0.5599700899999972</v>
      </c>
      <c r="AA363" s="119">
        <f>+[1]Specials!$BK$87/1000</f>
        <v>0</v>
      </c>
      <c r="AB363" s="117"/>
      <c r="AC363" s="122">
        <f>+'[1]Total P&amp;C'!$BK$85/1000</f>
        <v>21.150808090000002</v>
      </c>
      <c r="AD363" s="123">
        <f>+'[1]Total P&amp;C'!$BK$86/1000</f>
        <v>20.59285693999999</v>
      </c>
      <c r="AE363" s="123">
        <f>+'[1]Total P&amp;C'!$BK$87/1000</f>
        <v>19.036767904447661</v>
      </c>
      <c r="AG363" s="212"/>
      <c r="AH363" s="115"/>
      <c r="AI363" s="151" t="s">
        <v>34</v>
      </c>
      <c r="AJ363" s="117"/>
      <c r="AK363" s="118">
        <v>-48</v>
      </c>
      <c r="AL363" s="119">
        <v>-466</v>
      </c>
      <c r="AM363" s="119">
        <v>163.6</v>
      </c>
      <c r="AN363" s="117"/>
      <c r="AO363" s="118">
        <v>-48</v>
      </c>
      <c r="AP363" s="119">
        <v>-466</v>
      </c>
      <c r="AQ363" s="119">
        <v>163.6</v>
      </c>
      <c r="AR363" s="117"/>
      <c r="AS363" s="118">
        <v>-48</v>
      </c>
      <c r="AT363" s="119">
        <v>-466</v>
      </c>
      <c r="AU363" s="119">
        <v>163.6</v>
      </c>
      <c r="AV363" s="117"/>
      <c r="AW363" s="121"/>
      <c r="AX363" s="119"/>
      <c r="AY363" s="119"/>
      <c r="AZ363" s="117"/>
      <c r="BA363" s="121"/>
      <c r="BB363" s="119"/>
      <c r="BC363" s="119"/>
      <c r="BD363" s="117"/>
      <c r="BE363" s="121"/>
      <c r="BF363" s="119"/>
      <c r="BG363" s="119"/>
      <c r="BH363" s="117"/>
      <c r="BI363" s="122">
        <v>-99</v>
      </c>
      <c r="BJ363" s="123">
        <f>+'[2]Total P&amp;C'!$BK$91/1000</f>
        <v>6.6810850899999572</v>
      </c>
      <c r="BK363" s="123">
        <v>-468</v>
      </c>
      <c r="BM363" s="122">
        <v>-99</v>
      </c>
      <c r="BN363" s="123">
        <f>+'[2]Total P&amp;C'!$BK$91/1000</f>
        <v>6.6810850899999572</v>
      </c>
      <c r="BO363" s="123">
        <v>-468</v>
      </c>
    </row>
  </sheetData>
  <mergeCells count="59">
    <mergeCell ref="A59:A74"/>
    <mergeCell ref="AG59:AG74"/>
    <mergeCell ref="A76:A91"/>
    <mergeCell ref="AG76:AG91"/>
    <mergeCell ref="A93:A108"/>
    <mergeCell ref="AG93:AG108"/>
    <mergeCell ref="A8:A23"/>
    <mergeCell ref="AG8:AG23"/>
    <mergeCell ref="A25:A40"/>
    <mergeCell ref="AG25:AG40"/>
    <mergeCell ref="A42:A57"/>
    <mergeCell ref="AG42:AG57"/>
    <mergeCell ref="AO4:AQ4"/>
    <mergeCell ref="AS4:AU4"/>
    <mergeCell ref="A4:C7"/>
    <mergeCell ref="E4:G4"/>
    <mergeCell ref="I4:K4"/>
    <mergeCell ref="M4:O4"/>
    <mergeCell ref="Q4:S4"/>
    <mergeCell ref="U4:W4"/>
    <mergeCell ref="Y4:AA4"/>
    <mergeCell ref="AC4:AE4"/>
    <mergeCell ref="AG4:AI7"/>
    <mergeCell ref="AK4:AM4"/>
    <mergeCell ref="AW4:AY4"/>
    <mergeCell ref="BA4:BC4"/>
    <mergeCell ref="BE4:BG4"/>
    <mergeCell ref="BI4:BK4"/>
    <mergeCell ref="BM4:BO4"/>
    <mergeCell ref="A110:A125"/>
    <mergeCell ref="AG110:AG125"/>
    <mergeCell ref="A161:A176"/>
    <mergeCell ref="AG161:AG176"/>
    <mergeCell ref="A127:A142"/>
    <mergeCell ref="AG127:AG142"/>
    <mergeCell ref="A144:A159"/>
    <mergeCell ref="AG144:AG159"/>
    <mergeCell ref="A178:A193"/>
    <mergeCell ref="AG178:AG193"/>
    <mergeCell ref="A195:A210"/>
    <mergeCell ref="AG195:AG210"/>
    <mergeCell ref="A212:A227"/>
    <mergeCell ref="AG212:AG227"/>
    <mergeCell ref="A229:A244"/>
    <mergeCell ref="AG229:AG244"/>
    <mergeCell ref="A246:A261"/>
    <mergeCell ref="AG246:AG261"/>
    <mergeCell ref="A263:A278"/>
    <mergeCell ref="AG263:AG278"/>
    <mergeCell ref="A331:A346"/>
    <mergeCell ref="AG331:AG346"/>
    <mergeCell ref="A348:A363"/>
    <mergeCell ref="AG348:AG363"/>
    <mergeCell ref="A280:A295"/>
    <mergeCell ref="AG280:AG295"/>
    <mergeCell ref="A297:A312"/>
    <mergeCell ref="AG297:AG312"/>
    <mergeCell ref="A314:A329"/>
    <mergeCell ref="AG314:AG329"/>
  </mergeCells>
  <phoneticPr fontId="33" type="noConversion"/>
  <conditionalFormatting sqref="E18:E22">
    <cfRule type="expression" dxfId="2367" priority="2300">
      <formula>E18&gt;G18+#REF!</formula>
    </cfRule>
  </conditionalFormatting>
  <conditionalFormatting sqref="E8:G9">
    <cfRule type="expression" dxfId="2366" priority="2302">
      <formula>E8&lt;G8*#REF!</formula>
    </cfRule>
    <cfRule type="expression" dxfId="2365" priority="2303">
      <formula>E8&gt;G8*#REF!</formula>
    </cfRule>
  </conditionalFormatting>
  <conditionalFormatting sqref="E10:G12">
    <cfRule type="expression" dxfId="2364" priority="2304">
      <formula>E10&lt;G10-#REF!</formula>
    </cfRule>
  </conditionalFormatting>
  <conditionalFormatting sqref="E10:G17">
    <cfRule type="expression" dxfId="2363" priority="2298">
      <formula>E10&gt;G10+#REF!</formula>
    </cfRule>
  </conditionalFormatting>
  <conditionalFormatting sqref="E23:G23">
    <cfRule type="expression" dxfId="2362" priority="2301">
      <formula>E23&gt;G23*#REF!</formula>
    </cfRule>
  </conditionalFormatting>
  <conditionalFormatting sqref="E25:G26">
    <cfRule type="expression" dxfId="2361" priority="2271">
      <formula>E25&gt;G25*#REF!</formula>
    </cfRule>
    <cfRule type="expression" dxfId="2360" priority="2270">
      <formula>E25&lt;G25*#REF!</formula>
    </cfRule>
  </conditionalFormatting>
  <conditionalFormatting sqref="E27:G29">
    <cfRule type="expression" dxfId="2359" priority="2272">
      <formula>E27&lt;G27-#REF!</formula>
    </cfRule>
  </conditionalFormatting>
  <conditionalFormatting sqref="E27:G39">
    <cfRule type="expression" dxfId="2358" priority="2265">
      <formula>E27&gt;G27+#REF!</formula>
    </cfRule>
  </conditionalFormatting>
  <conditionalFormatting sqref="E40:G40">
    <cfRule type="expression" dxfId="2357" priority="2269">
      <formula>E40&gt;G40*#REF!</formula>
    </cfRule>
  </conditionalFormatting>
  <conditionalFormatting sqref="E42:G43">
    <cfRule type="expression" dxfId="2356" priority="2214">
      <formula>E42&lt;G42*#REF!</formula>
    </cfRule>
    <cfRule type="expression" dxfId="2355" priority="2215">
      <formula>E42&gt;G42*#REF!</formula>
    </cfRule>
  </conditionalFormatting>
  <conditionalFormatting sqref="E44:G46">
    <cfRule type="expression" dxfId="2354" priority="2216">
      <formula>E44&lt;G44-#REF!</formula>
    </cfRule>
  </conditionalFormatting>
  <conditionalFormatting sqref="E44:G56">
    <cfRule type="expression" dxfId="2353" priority="2209">
      <formula>E44&gt;G44+#REF!</formula>
    </cfRule>
  </conditionalFormatting>
  <conditionalFormatting sqref="E57:G57">
    <cfRule type="expression" dxfId="2352" priority="2213">
      <formula>E57&gt;G57*#REF!</formula>
    </cfRule>
  </conditionalFormatting>
  <conditionalFormatting sqref="E59:G60">
    <cfRule type="expression" dxfId="2351" priority="2158">
      <formula>E59&lt;G59*#REF!</formula>
    </cfRule>
    <cfRule type="expression" dxfId="2350" priority="2159">
      <formula>E59&gt;G59*#REF!</formula>
    </cfRule>
  </conditionalFormatting>
  <conditionalFormatting sqref="E61:G63">
    <cfRule type="expression" dxfId="2349" priority="2160">
      <formula>E61&lt;G61-#REF!</formula>
    </cfRule>
  </conditionalFormatting>
  <conditionalFormatting sqref="E61:G73">
    <cfRule type="expression" dxfId="2348" priority="2153">
      <formula>E61&gt;G61+#REF!</formula>
    </cfRule>
  </conditionalFormatting>
  <conditionalFormatting sqref="E74:G74">
    <cfRule type="expression" dxfId="2347" priority="2157">
      <formula>E74&gt;G74*#REF!</formula>
    </cfRule>
  </conditionalFormatting>
  <conditionalFormatting sqref="E76:G77">
    <cfRule type="expression" dxfId="2346" priority="2102">
      <formula>E76&lt;G76*#REF!</formula>
    </cfRule>
    <cfRule type="expression" dxfId="2345" priority="2103">
      <formula>E76&gt;G76*#REF!</formula>
    </cfRule>
  </conditionalFormatting>
  <conditionalFormatting sqref="E78:G80">
    <cfRule type="expression" dxfId="2344" priority="2104">
      <formula>E78&lt;G78-#REF!</formula>
    </cfRule>
  </conditionalFormatting>
  <conditionalFormatting sqref="E78:G90">
    <cfRule type="expression" dxfId="2343" priority="2097">
      <formula>E78&gt;G78+#REF!</formula>
    </cfRule>
  </conditionalFormatting>
  <conditionalFormatting sqref="E91:G91">
    <cfRule type="expression" dxfId="2342" priority="2101">
      <formula>E91&gt;G91*#REF!</formula>
    </cfRule>
  </conditionalFormatting>
  <conditionalFormatting sqref="E93:G94">
    <cfRule type="expression" dxfId="2341" priority="2030">
      <formula>E93&lt;G93*#REF!</formula>
    </cfRule>
    <cfRule type="expression" dxfId="2340" priority="2031">
      <formula>E93&gt;G93*#REF!</formula>
    </cfRule>
  </conditionalFormatting>
  <conditionalFormatting sqref="E95:G97">
    <cfRule type="expression" dxfId="2339" priority="2032">
      <formula>E95&lt;G95-#REF!</formula>
    </cfRule>
  </conditionalFormatting>
  <conditionalFormatting sqref="E95:G107">
    <cfRule type="expression" dxfId="2338" priority="2025">
      <formula>E95&gt;G95+#REF!</formula>
    </cfRule>
  </conditionalFormatting>
  <conditionalFormatting sqref="E108:G108">
    <cfRule type="expression" dxfId="2337" priority="2029">
      <formula>E108&gt;G108*#REF!</formula>
    </cfRule>
  </conditionalFormatting>
  <conditionalFormatting sqref="E110:G111">
    <cfRule type="expression" dxfId="2336" priority="1991">
      <formula>E110&gt;G110*#REF!</formula>
    </cfRule>
    <cfRule type="expression" dxfId="2335" priority="1990">
      <formula>E110&lt;G110*#REF!</formula>
    </cfRule>
  </conditionalFormatting>
  <conditionalFormatting sqref="E112:G114">
    <cfRule type="expression" dxfId="2334" priority="1992">
      <formula>E112&lt;G112-#REF!</formula>
    </cfRule>
  </conditionalFormatting>
  <conditionalFormatting sqref="E112:G124">
    <cfRule type="expression" dxfId="2333" priority="1985">
      <formula>E112&gt;G112+#REF!</formula>
    </cfRule>
  </conditionalFormatting>
  <conditionalFormatting sqref="E125:G125">
    <cfRule type="expression" dxfId="2332" priority="1989">
      <formula>E125&gt;G125*#REF!</formula>
    </cfRule>
  </conditionalFormatting>
  <conditionalFormatting sqref="E127:G128">
    <cfRule type="expression" dxfId="2331" priority="1935">
      <formula>E127&gt;G127*#REF!</formula>
    </cfRule>
    <cfRule type="expression" dxfId="2330" priority="1934">
      <formula>E127&lt;G127*#REF!</formula>
    </cfRule>
  </conditionalFormatting>
  <conditionalFormatting sqref="E129:G131">
    <cfRule type="expression" dxfId="2329" priority="1936">
      <formula>E129&lt;G129-#REF!</formula>
    </cfRule>
  </conditionalFormatting>
  <conditionalFormatting sqref="E129:G141">
    <cfRule type="expression" dxfId="2328" priority="1929">
      <formula>E129&gt;G129+#REF!</formula>
    </cfRule>
  </conditionalFormatting>
  <conditionalFormatting sqref="E142:G142">
    <cfRule type="expression" dxfId="2327" priority="1933">
      <formula>E142&gt;G142*#REF!</formula>
    </cfRule>
  </conditionalFormatting>
  <conditionalFormatting sqref="E144:G145">
    <cfRule type="expression" dxfId="2326" priority="1878">
      <formula>E144&lt;G144*#REF!</formula>
    </cfRule>
    <cfRule type="expression" dxfId="2325" priority="1879">
      <formula>E144&gt;G144*#REF!</formula>
    </cfRule>
  </conditionalFormatting>
  <conditionalFormatting sqref="E146:G148">
    <cfRule type="expression" dxfId="2324" priority="1880">
      <formula>E146&lt;G146-#REF!</formula>
    </cfRule>
  </conditionalFormatting>
  <conditionalFormatting sqref="E146:G158">
    <cfRule type="expression" dxfId="2323" priority="1873">
      <formula>E146&gt;G146+#REF!</formula>
    </cfRule>
  </conditionalFormatting>
  <conditionalFormatting sqref="E159:G159">
    <cfRule type="expression" dxfId="2322" priority="1877">
      <formula>E159&gt;G159*#REF!</formula>
    </cfRule>
  </conditionalFormatting>
  <conditionalFormatting sqref="E161:G162">
    <cfRule type="expression" dxfId="2321" priority="1822">
      <formula>E161&lt;G161*#REF!</formula>
    </cfRule>
    <cfRule type="expression" dxfId="2320" priority="1823">
      <formula>E161&gt;G161*#REF!</formula>
    </cfRule>
  </conditionalFormatting>
  <conditionalFormatting sqref="E163:G165">
    <cfRule type="expression" dxfId="2319" priority="1824">
      <formula>E163&lt;G163-#REF!</formula>
    </cfRule>
  </conditionalFormatting>
  <conditionalFormatting sqref="E163:G175">
    <cfRule type="expression" dxfId="2318" priority="1817">
      <formula>E163&gt;G163+#REF!</formula>
    </cfRule>
  </conditionalFormatting>
  <conditionalFormatting sqref="E176:G176">
    <cfRule type="expression" dxfId="2317" priority="1821">
      <formula>E176&gt;G176*#REF!</formula>
    </cfRule>
  </conditionalFormatting>
  <conditionalFormatting sqref="E178:G179">
    <cfRule type="expression" dxfId="2316" priority="1767">
      <formula>E178&gt;G178*#REF!</formula>
    </cfRule>
    <cfRule type="expression" dxfId="2315" priority="1766">
      <formula>E178&lt;G178*#REF!</formula>
    </cfRule>
  </conditionalFormatting>
  <conditionalFormatting sqref="E180:G182">
    <cfRule type="expression" dxfId="2314" priority="1768">
      <formula>E180&lt;G180-#REF!</formula>
    </cfRule>
  </conditionalFormatting>
  <conditionalFormatting sqref="E180:G192">
    <cfRule type="expression" dxfId="2313" priority="1761">
      <formula>E180&gt;G180+#REF!</formula>
    </cfRule>
  </conditionalFormatting>
  <conditionalFormatting sqref="E193:G193">
    <cfRule type="expression" dxfId="2312" priority="1765">
      <formula>E193&gt;G193*#REF!</formula>
    </cfRule>
  </conditionalFormatting>
  <conditionalFormatting sqref="E195:G196">
    <cfRule type="expression" dxfId="2311" priority="1711">
      <formula>E195&gt;G195*#REF!</formula>
    </cfRule>
    <cfRule type="expression" dxfId="2310" priority="1710">
      <formula>E195&lt;G195*#REF!</formula>
    </cfRule>
  </conditionalFormatting>
  <conditionalFormatting sqref="E197:G199">
    <cfRule type="expression" dxfId="2309" priority="1712">
      <formula>E197&lt;G197-#REF!</formula>
    </cfRule>
  </conditionalFormatting>
  <conditionalFormatting sqref="E197:G209">
    <cfRule type="expression" dxfId="2308" priority="1705">
      <formula>E197&gt;G197+#REF!</formula>
    </cfRule>
  </conditionalFormatting>
  <conditionalFormatting sqref="E210:G210">
    <cfRule type="expression" dxfId="2307" priority="1709">
      <formula>E210&gt;G210*#REF!</formula>
    </cfRule>
  </conditionalFormatting>
  <conditionalFormatting sqref="E212:G213">
    <cfRule type="expression" dxfId="2306" priority="1654">
      <formula>E212&lt;G212*#REF!</formula>
    </cfRule>
    <cfRule type="expression" dxfId="2305" priority="1655">
      <formula>E212&gt;G212*#REF!</formula>
    </cfRule>
  </conditionalFormatting>
  <conditionalFormatting sqref="E214:G216">
    <cfRule type="expression" dxfId="2304" priority="1656">
      <formula>E214&lt;G214-#REF!</formula>
    </cfRule>
  </conditionalFormatting>
  <conditionalFormatting sqref="E214:G226">
    <cfRule type="expression" dxfId="2303" priority="1649">
      <formula>E214&gt;G214+#REF!</formula>
    </cfRule>
  </conditionalFormatting>
  <conditionalFormatting sqref="E227:G227">
    <cfRule type="expression" dxfId="2302" priority="1653">
      <formula>E227&gt;G227*#REF!</formula>
    </cfRule>
  </conditionalFormatting>
  <conditionalFormatting sqref="E229:G230">
    <cfRule type="expression" dxfId="2301" priority="1599">
      <formula>E229&gt;G229*#REF!</formula>
    </cfRule>
    <cfRule type="expression" dxfId="2300" priority="1598">
      <formula>E229&lt;G229*#REF!</formula>
    </cfRule>
  </conditionalFormatting>
  <conditionalFormatting sqref="E231:G233">
    <cfRule type="expression" dxfId="2299" priority="1600">
      <formula>E231&lt;G231-#REF!</formula>
    </cfRule>
  </conditionalFormatting>
  <conditionalFormatting sqref="E231:G243">
    <cfRule type="expression" dxfId="2298" priority="1593">
      <formula>E231&gt;G231+#REF!</formula>
    </cfRule>
  </conditionalFormatting>
  <conditionalFormatting sqref="E244:G244">
    <cfRule type="expression" dxfId="2297" priority="1597">
      <formula>E244&gt;G244*#REF!</formula>
    </cfRule>
  </conditionalFormatting>
  <conditionalFormatting sqref="E246:G247">
    <cfRule type="expression" dxfId="2296" priority="5480">
      <formula>E246&lt;G246*#REF!</formula>
    </cfRule>
    <cfRule type="expression" dxfId="2295" priority="5481">
      <formula>E246&gt;G246*#REF!</formula>
    </cfRule>
  </conditionalFormatting>
  <conditionalFormatting sqref="E248:G250">
    <cfRule type="expression" dxfId="2294" priority="5482">
      <formula>E248&lt;G248-#REF!</formula>
    </cfRule>
  </conditionalFormatting>
  <conditionalFormatting sqref="E248:G260">
    <cfRule type="expression" dxfId="2293" priority="5475">
      <formula>E248&gt;G248+#REF!</formula>
    </cfRule>
  </conditionalFormatting>
  <conditionalFormatting sqref="E261:G261">
    <cfRule type="expression" dxfId="2292" priority="5479">
      <formula>E261&gt;G261*#REF!</formula>
    </cfRule>
  </conditionalFormatting>
  <conditionalFormatting sqref="E263:G263 E264:E278 F264:G264 F265:F278">
    <cfRule type="expression" dxfId="2291" priority="1543">
      <formula>E263&gt;G263*#REF!</formula>
    </cfRule>
  </conditionalFormatting>
  <conditionalFormatting sqref="E263:G263 F264:G264 E264:E278 F265:F278">
    <cfRule type="expression" dxfId="2290" priority="1542">
      <formula>E263&lt;G263*#REF!</formula>
    </cfRule>
  </conditionalFormatting>
  <conditionalFormatting sqref="E280:G281">
    <cfRule type="expression" dxfId="2289" priority="1486">
      <formula>E280&lt;G280*#REF!</formula>
    </cfRule>
    <cfRule type="expression" dxfId="2288" priority="1487">
      <formula>E280&gt;G280*#REF!</formula>
    </cfRule>
  </conditionalFormatting>
  <conditionalFormatting sqref="E282:G284">
    <cfRule type="expression" dxfId="2287" priority="1488">
      <formula>E282&lt;G282-#REF!</formula>
    </cfRule>
  </conditionalFormatting>
  <conditionalFormatting sqref="E282:G294">
    <cfRule type="expression" dxfId="2286" priority="1481">
      <formula>E282&gt;G282+#REF!</formula>
    </cfRule>
  </conditionalFormatting>
  <conditionalFormatting sqref="E295:G295">
    <cfRule type="expression" dxfId="2285" priority="1485">
      <formula>E295&gt;G295*#REF!</formula>
    </cfRule>
  </conditionalFormatting>
  <conditionalFormatting sqref="E297:G298">
    <cfRule type="expression" dxfId="2284" priority="4627">
      <formula>E297&gt;G297*#REF!</formula>
    </cfRule>
    <cfRule type="expression" dxfId="2283" priority="4626">
      <formula>E297&lt;G297*#REF!</formula>
    </cfRule>
  </conditionalFormatting>
  <conditionalFormatting sqref="E299:G301">
    <cfRule type="expression" dxfId="2282" priority="4628">
      <formula>E299&lt;G299-#REF!</formula>
    </cfRule>
  </conditionalFormatting>
  <conditionalFormatting sqref="E299:G311">
    <cfRule type="expression" dxfId="2281" priority="4621">
      <formula>E299&gt;G299+#REF!</formula>
    </cfRule>
  </conditionalFormatting>
  <conditionalFormatting sqref="E312:G312">
    <cfRule type="expression" dxfId="2280" priority="4625">
      <formula>E312&gt;G312*#REF!</formula>
    </cfRule>
  </conditionalFormatting>
  <conditionalFormatting sqref="E314:G315">
    <cfRule type="expression" dxfId="2279" priority="4571">
      <formula>E314&gt;G314*#REF!</formula>
    </cfRule>
    <cfRule type="expression" dxfId="2278" priority="4570">
      <formula>E314&lt;G314*#REF!</formula>
    </cfRule>
  </conditionalFormatting>
  <conditionalFormatting sqref="E316:G318">
    <cfRule type="expression" dxfId="2277" priority="4572">
      <formula>E316&lt;G316-#REF!</formula>
    </cfRule>
  </conditionalFormatting>
  <conditionalFormatting sqref="E316:G328">
    <cfRule type="expression" dxfId="2276" priority="4565">
      <formula>E316&gt;G316+#REF!</formula>
    </cfRule>
  </conditionalFormatting>
  <conditionalFormatting sqref="E329:G329">
    <cfRule type="expression" dxfId="2275" priority="4569">
      <formula>E329&gt;G329*#REF!</formula>
    </cfRule>
  </conditionalFormatting>
  <conditionalFormatting sqref="E331:G332">
    <cfRule type="expression" dxfId="2274" priority="4514">
      <formula>E331&lt;G331*#REF!</formula>
    </cfRule>
    <cfRule type="expression" dxfId="2273" priority="4515">
      <formula>E331&gt;G331*#REF!</formula>
    </cfRule>
  </conditionalFormatting>
  <conditionalFormatting sqref="E333:G335">
    <cfRule type="expression" dxfId="2272" priority="4516">
      <formula>E333&lt;G333-#REF!</formula>
    </cfRule>
  </conditionalFormatting>
  <conditionalFormatting sqref="E333:G345">
    <cfRule type="expression" dxfId="2271" priority="4509">
      <formula>E333&gt;G333+#REF!</formula>
    </cfRule>
  </conditionalFormatting>
  <conditionalFormatting sqref="E346:G346">
    <cfRule type="expression" dxfId="2270" priority="4513">
      <formula>E346&gt;G346*#REF!</formula>
    </cfRule>
  </conditionalFormatting>
  <conditionalFormatting sqref="E348:G349 E351:F352 E354:F355 E357:F358 E360:F361 E363:F363">
    <cfRule type="expression" dxfId="2269" priority="1431">
      <formula>E348&gt;G348*#REF!</formula>
    </cfRule>
    <cfRule type="expression" dxfId="2268" priority="1430">
      <formula>E348&lt;G348*#REF!</formula>
    </cfRule>
  </conditionalFormatting>
  <conditionalFormatting sqref="E350:G350 G351:G352 E353:F353 E356:F356 E359:F359 E362:F362">
    <cfRule type="expression" dxfId="2267" priority="1432">
      <formula>E350&lt;G350-#REF!</formula>
    </cfRule>
  </conditionalFormatting>
  <conditionalFormatting sqref="E350:G350 G351:G362 E353:F353 E356:F356 E359:F359 E362:F362">
    <cfRule type="expression" dxfId="2266" priority="1425">
      <formula>E350&gt;G350+#REF!</formula>
    </cfRule>
  </conditionalFormatting>
  <conditionalFormatting sqref="F35:F39">
    <cfRule type="expression" dxfId="2265" priority="2268">
      <formula>F35&lt;H35-#REF!</formula>
    </cfRule>
  </conditionalFormatting>
  <conditionalFormatting sqref="F52:F56">
    <cfRule type="expression" dxfId="2264" priority="2212">
      <formula>F52&lt;H52-#REF!</formula>
    </cfRule>
  </conditionalFormatting>
  <conditionalFormatting sqref="F69:F73">
    <cfRule type="expression" dxfId="2263" priority="2156">
      <formula>F69&lt;H69-#REF!</formula>
    </cfRule>
  </conditionalFormatting>
  <conditionalFormatting sqref="F86:F90">
    <cfRule type="expression" dxfId="2262" priority="2100">
      <formula>F86&lt;H86-#REF!</formula>
    </cfRule>
  </conditionalFormatting>
  <conditionalFormatting sqref="F103:F107">
    <cfRule type="expression" dxfId="2261" priority="2028">
      <formula>F103&lt;H103-#REF!</formula>
    </cfRule>
  </conditionalFormatting>
  <conditionalFormatting sqref="F120:F124">
    <cfRule type="expression" dxfId="2260" priority="1988">
      <formula>F120&lt;H120-#REF!</formula>
    </cfRule>
  </conditionalFormatting>
  <conditionalFormatting sqref="F137:F141">
    <cfRule type="expression" dxfId="2259" priority="1932">
      <formula>F137&lt;H137-#REF!</formula>
    </cfRule>
  </conditionalFormatting>
  <conditionalFormatting sqref="F154:F158">
    <cfRule type="expression" dxfId="2258" priority="1876">
      <formula>F154&lt;H154-#REF!</formula>
    </cfRule>
  </conditionalFormatting>
  <conditionalFormatting sqref="F171:F175">
    <cfRule type="expression" dxfId="2257" priority="1820">
      <formula>F171&lt;H171-#REF!</formula>
    </cfRule>
  </conditionalFormatting>
  <conditionalFormatting sqref="F188:F192">
    <cfRule type="expression" dxfId="2256" priority="1764">
      <formula>F188&lt;H188-#REF!</formula>
    </cfRule>
  </conditionalFormatting>
  <conditionalFormatting sqref="F205:F209">
    <cfRule type="expression" dxfId="2255" priority="1708">
      <formula>F205&lt;H205-#REF!</formula>
    </cfRule>
  </conditionalFormatting>
  <conditionalFormatting sqref="F222:F226">
    <cfRule type="expression" dxfId="2254" priority="1652">
      <formula>F222&lt;H222-#REF!</formula>
    </cfRule>
  </conditionalFormatting>
  <conditionalFormatting sqref="F239:F243">
    <cfRule type="expression" dxfId="2253" priority="1596">
      <formula>F239&lt;H239-#REF!</formula>
    </cfRule>
  </conditionalFormatting>
  <conditionalFormatting sqref="F256:F260">
    <cfRule type="expression" dxfId="2252" priority="5478">
      <formula>F256&lt;H256-#REF!</formula>
    </cfRule>
  </conditionalFormatting>
  <conditionalFormatting sqref="F290:F294">
    <cfRule type="expression" dxfId="2251" priority="1484">
      <formula>F290&lt;H290-#REF!</formula>
    </cfRule>
  </conditionalFormatting>
  <conditionalFormatting sqref="F307:F311">
    <cfRule type="expression" dxfId="2250" priority="4624">
      <formula>F307&lt;H307-#REF!</formula>
    </cfRule>
  </conditionalFormatting>
  <conditionalFormatting sqref="F324:F328">
    <cfRule type="expression" dxfId="2249" priority="4568">
      <formula>F324&lt;H324-#REF!</formula>
    </cfRule>
  </conditionalFormatting>
  <conditionalFormatting sqref="F341:F345">
    <cfRule type="expression" dxfId="2248" priority="4512">
      <formula>F341&lt;H341-#REF!</formula>
    </cfRule>
  </conditionalFormatting>
  <conditionalFormatting sqref="F14:G15">
    <cfRule type="expression" dxfId="2247" priority="2299">
      <formula>F14&lt;H14-#REF!</formula>
    </cfRule>
  </conditionalFormatting>
  <conditionalFormatting sqref="F18:G22">
    <cfRule type="expression" dxfId="2246" priority="2297">
      <formula>F18&lt;H18-#REF!</formula>
    </cfRule>
  </conditionalFormatting>
  <conditionalFormatting sqref="F31:G32">
    <cfRule type="expression" dxfId="2245" priority="2267">
      <formula>F31&lt;H31-#REF!</formula>
    </cfRule>
  </conditionalFormatting>
  <conditionalFormatting sqref="F48:G49">
    <cfRule type="expression" dxfId="2244" priority="2211">
      <formula>F48&lt;H48-#REF!</formula>
    </cfRule>
  </conditionalFormatting>
  <conditionalFormatting sqref="F65:G66">
    <cfRule type="expression" dxfId="2243" priority="2155">
      <formula>F65&lt;H65-#REF!</formula>
    </cfRule>
  </conditionalFormatting>
  <conditionalFormatting sqref="F82:G83">
    <cfRule type="expression" dxfId="2242" priority="2099">
      <formula>F82&lt;H82-#REF!</formula>
    </cfRule>
  </conditionalFormatting>
  <conditionalFormatting sqref="F99:G100">
    <cfRule type="expression" dxfId="2241" priority="2027">
      <formula>F99&lt;H99-#REF!</formula>
    </cfRule>
  </conditionalFormatting>
  <conditionalFormatting sqref="F116:G117">
    <cfRule type="expression" dxfId="2240" priority="1987">
      <formula>F116&lt;H116-#REF!</formula>
    </cfRule>
  </conditionalFormatting>
  <conditionalFormatting sqref="F133:G134">
    <cfRule type="expression" dxfId="2239" priority="1931">
      <formula>F133&lt;H133-#REF!</formula>
    </cfRule>
  </conditionalFormatting>
  <conditionalFormatting sqref="F150:G151">
    <cfRule type="expression" dxfId="2238" priority="1875">
      <formula>F150&lt;H150-#REF!</formula>
    </cfRule>
  </conditionalFormatting>
  <conditionalFormatting sqref="F167:G168">
    <cfRule type="expression" dxfId="2237" priority="1819">
      <formula>F167&lt;H167-#REF!</formula>
    </cfRule>
  </conditionalFormatting>
  <conditionalFormatting sqref="F184:G185">
    <cfRule type="expression" dxfId="2236" priority="1763">
      <formula>F184&lt;H184-#REF!</formula>
    </cfRule>
  </conditionalFormatting>
  <conditionalFormatting sqref="F201:G202">
    <cfRule type="expression" dxfId="2235" priority="1707">
      <formula>F201&lt;H201-#REF!</formula>
    </cfRule>
  </conditionalFormatting>
  <conditionalFormatting sqref="F218:G219">
    <cfRule type="expression" dxfId="2234" priority="1651">
      <formula>F218&lt;H218-#REF!</formula>
    </cfRule>
  </conditionalFormatting>
  <conditionalFormatting sqref="F235:G236">
    <cfRule type="expression" dxfId="2233" priority="1595">
      <formula>F235&lt;H235-#REF!</formula>
    </cfRule>
  </conditionalFormatting>
  <conditionalFormatting sqref="F252:G253">
    <cfRule type="expression" dxfId="2232" priority="5477">
      <formula>F252&lt;H252-#REF!</formula>
    </cfRule>
  </conditionalFormatting>
  <conditionalFormatting sqref="F286:G287">
    <cfRule type="expression" dxfId="2231" priority="1483">
      <formula>F286&lt;H286-#REF!</formula>
    </cfRule>
  </conditionalFormatting>
  <conditionalFormatting sqref="F303:G304">
    <cfRule type="expression" dxfId="2230" priority="4623">
      <formula>F303&lt;H303-#REF!</formula>
    </cfRule>
  </conditionalFormatting>
  <conditionalFormatting sqref="F320:G321">
    <cfRule type="expression" dxfId="2229" priority="4567">
      <formula>F320&lt;H320-#REF!</formula>
    </cfRule>
  </conditionalFormatting>
  <conditionalFormatting sqref="F337:G338">
    <cfRule type="expression" dxfId="2228" priority="4511">
      <formula>F337&lt;H337-#REF!</formula>
    </cfRule>
  </conditionalFormatting>
  <conditionalFormatting sqref="G35:G36">
    <cfRule type="expression" dxfId="2227" priority="2266">
      <formula>G35&lt;I35-#REF!</formula>
    </cfRule>
  </conditionalFormatting>
  <conditionalFormatting sqref="G52:G53">
    <cfRule type="expression" dxfId="2226" priority="2210">
      <formula>G52&lt;I52-#REF!</formula>
    </cfRule>
  </conditionalFormatting>
  <conditionalFormatting sqref="G69:G70">
    <cfRule type="expression" dxfId="2225" priority="2154">
      <formula>G69&lt;I69-#REF!</formula>
    </cfRule>
  </conditionalFormatting>
  <conditionalFormatting sqref="G86:G87">
    <cfRule type="expression" dxfId="2224" priority="2098">
      <formula>G86&lt;I86-#REF!</formula>
    </cfRule>
  </conditionalFormatting>
  <conditionalFormatting sqref="G103:G104">
    <cfRule type="expression" dxfId="2223" priority="2026">
      <formula>G103&lt;I103-#REF!</formula>
    </cfRule>
  </conditionalFormatting>
  <conditionalFormatting sqref="G120:G121">
    <cfRule type="expression" dxfId="2222" priority="1986">
      <formula>G120&lt;I120-#REF!</formula>
    </cfRule>
  </conditionalFormatting>
  <conditionalFormatting sqref="G137:G138">
    <cfRule type="expression" dxfId="2221" priority="1930">
      <formula>G137&lt;I137-#REF!</formula>
    </cfRule>
  </conditionalFormatting>
  <conditionalFormatting sqref="G154:G155">
    <cfRule type="expression" dxfId="2220" priority="1874">
      <formula>G154&lt;I154-#REF!</formula>
    </cfRule>
  </conditionalFormatting>
  <conditionalFormatting sqref="G171:G172">
    <cfRule type="expression" dxfId="2219" priority="1818">
      <formula>G171&lt;I171-#REF!</formula>
    </cfRule>
  </conditionalFormatting>
  <conditionalFormatting sqref="G188:G189">
    <cfRule type="expression" dxfId="2218" priority="1762">
      <formula>G188&lt;I188-#REF!</formula>
    </cfRule>
  </conditionalFormatting>
  <conditionalFormatting sqref="G205:G206">
    <cfRule type="expression" dxfId="2217" priority="1706">
      <formula>G205&lt;I205-#REF!</formula>
    </cfRule>
  </conditionalFormatting>
  <conditionalFormatting sqref="G222:G223">
    <cfRule type="expression" dxfId="2216" priority="1650">
      <formula>G222&lt;I222-#REF!</formula>
    </cfRule>
  </conditionalFormatting>
  <conditionalFormatting sqref="G239:G240">
    <cfRule type="expression" dxfId="2215" priority="1594">
      <formula>G239&lt;I239-#REF!</formula>
    </cfRule>
  </conditionalFormatting>
  <conditionalFormatting sqref="G256:G257">
    <cfRule type="expression" dxfId="2214" priority="5476">
      <formula>G256&lt;I256-#REF!</formula>
    </cfRule>
  </conditionalFormatting>
  <conditionalFormatting sqref="G265:G267">
    <cfRule type="expression" dxfId="2213" priority="1544">
      <formula>G265&lt;I265-#REF!</formula>
    </cfRule>
  </conditionalFormatting>
  <conditionalFormatting sqref="G265:G277">
    <cfRule type="expression" dxfId="2212" priority="1537">
      <formula>G265&gt;I265+#REF!</formula>
    </cfRule>
  </conditionalFormatting>
  <conditionalFormatting sqref="G269:G270">
    <cfRule type="expression" dxfId="2211" priority="1539">
      <formula>G269&lt;I269-#REF!</formula>
    </cfRule>
  </conditionalFormatting>
  <conditionalFormatting sqref="G273:G274">
    <cfRule type="expression" dxfId="2210" priority="1538">
      <formula>G273&lt;I273-#REF!</formula>
    </cfRule>
  </conditionalFormatting>
  <conditionalFormatting sqref="G278">
    <cfRule type="expression" dxfId="2209" priority="1541">
      <formula>G278&gt;I278*#REF!</formula>
    </cfRule>
  </conditionalFormatting>
  <conditionalFormatting sqref="G290:G291">
    <cfRule type="expression" dxfId="2208" priority="1482">
      <formula>G290&lt;I290-#REF!</formula>
    </cfRule>
  </conditionalFormatting>
  <conditionalFormatting sqref="G307:G308">
    <cfRule type="expression" dxfId="2207" priority="4622">
      <formula>G307&lt;I307-#REF!</formula>
    </cfRule>
  </conditionalFormatting>
  <conditionalFormatting sqref="G324:G325">
    <cfRule type="expression" dxfId="2206" priority="4566">
      <formula>G324&lt;I324-#REF!</formula>
    </cfRule>
  </conditionalFormatting>
  <conditionalFormatting sqref="G341:G342">
    <cfRule type="expression" dxfId="2205" priority="4510">
      <formula>G341&lt;I341-#REF!</formula>
    </cfRule>
  </conditionalFormatting>
  <conditionalFormatting sqref="G354:G355">
    <cfRule type="expression" dxfId="2204" priority="1427">
      <formula>G354&lt;I354-#REF!</formula>
    </cfRule>
  </conditionalFormatting>
  <conditionalFormatting sqref="G358:G359">
    <cfRule type="expression" dxfId="2203" priority="1426">
      <formula>G358&lt;I358-#REF!</formula>
    </cfRule>
  </conditionalFormatting>
  <conditionalFormatting sqref="G363">
    <cfRule type="expression" dxfId="2202" priority="1429">
      <formula>G363&gt;I363*#REF!</formula>
    </cfRule>
  </conditionalFormatting>
  <conditionalFormatting sqref="I8:K9">
    <cfRule type="expression" dxfId="2201" priority="2327">
      <formula>I8&gt;K8*#REF!</formula>
    </cfRule>
    <cfRule type="expression" dxfId="2200" priority="2326">
      <formula>I8&lt;K8*#REF!</formula>
    </cfRule>
  </conditionalFormatting>
  <conditionalFormatting sqref="I10:K12">
    <cfRule type="expression" dxfId="2199" priority="2328">
      <formula>I10&lt;K10-#REF!</formula>
    </cfRule>
  </conditionalFormatting>
  <conditionalFormatting sqref="I10:K22">
    <cfRule type="expression" dxfId="2198" priority="2321">
      <formula>I10&gt;K10+#REF!</formula>
    </cfRule>
  </conditionalFormatting>
  <conditionalFormatting sqref="I23:K23">
    <cfRule type="expression" dxfId="2197" priority="2325">
      <formula>I23&gt;K23*#REF!</formula>
    </cfRule>
  </conditionalFormatting>
  <conditionalFormatting sqref="I25:K26">
    <cfRule type="expression" dxfId="2196" priority="2263">
      <formula>I25&gt;K25*#REF!</formula>
    </cfRule>
    <cfRule type="expression" dxfId="2195" priority="2262">
      <formula>I25&lt;K25*#REF!</formula>
    </cfRule>
  </conditionalFormatting>
  <conditionalFormatting sqref="I27:K29">
    <cfRule type="expression" dxfId="2194" priority="2264">
      <formula>I27&lt;K27-#REF!</formula>
    </cfRule>
  </conditionalFormatting>
  <conditionalFormatting sqref="I27:K39">
    <cfRule type="expression" dxfId="2193" priority="2257">
      <formula>I27&gt;K27+#REF!</formula>
    </cfRule>
  </conditionalFormatting>
  <conditionalFormatting sqref="I40:K40">
    <cfRule type="expression" dxfId="2192" priority="2261">
      <formula>I40&gt;K40*#REF!</formula>
    </cfRule>
  </conditionalFormatting>
  <conditionalFormatting sqref="I42:K43">
    <cfRule type="expression" dxfId="2191" priority="2206">
      <formula>I42&lt;K42*#REF!</formula>
    </cfRule>
    <cfRule type="expression" dxfId="2190" priority="2207">
      <formula>I42&gt;K42*#REF!</formula>
    </cfRule>
  </conditionalFormatting>
  <conditionalFormatting sqref="I44:K46">
    <cfRule type="expression" dxfId="2189" priority="2208">
      <formula>I44&lt;K44-#REF!</formula>
    </cfRule>
  </conditionalFormatting>
  <conditionalFormatting sqref="I44:K56">
    <cfRule type="expression" dxfId="2188" priority="2201">
      <formula>I44&gt;K44+#REF!</formula>
    </cfRule>
  </conditionalFormatting>
  <conditionalFormatting sqref="I57:K57">
    <cfRule type="expression" dxfId="2187" priority="2205">
      <formula>I57&gt;K57*#REF!</formula>
    </cfRule>
  </conditionalFormatting>
  <conditionalFormatting sqref="I59:K60">
    <cfRule type="expression" dxfId="2186" priority="2150">
      <formula>I59&lt;K59*#REF!</formula>
    </cfRule>
    <cfRule type="expression" dxfId="2185" priority="2151">
      <formula>I59&gt;K59*#REF!</formula>
    </cfRule>
  </conditionalFormatting>
  <conditionalFormatting sqref="I61:K63">
    <cfRule type="expression" dxfId="2184" priority="2152">
      <formula>I61&lt;K61-#REF!</formula>
    </cfRule>
  </conditionalFormatting>
  <conditionalFormatting sqref="I61:K73">
    <cfRule type="expression" dxfId="2183" priority="2145">
      <formula>I61&gt;K61+#REF!</formula>
    </cfRule>
  </conditionalFormatting>
  <conditionalFormatting sqref="I74:K74">
    <cfRule type="expression" dxfId="2182" priority="2149">
      <formula>I74&gt;K74*#REF!</formula>
    </cfRule>
  </conditionalFormatting>
  <conditionalFormatting sqref="I76:K77">
    <cfRule type="expression" dxfId="2181" priority="2094">
      <formula>I76&lt;K76*#REF!</formula>
    </cfRule>
    <cfRule type="expression" dxfId="2180" priority="2095">
      <formula>I76&gt;K76*#REF!</formula>
    </cfRule>
  </conditionalFormatting>
  <conditionalFormatting sqref="I78:K80">
    <cfRule type="expression" dxfId="2179" priority="2096">
      <formula>I78&lt;K78-#REF!</formula>
    </cfRule>
  </conditionalFormatting>
  <conditionalFormatting sqref="I78:K90">
    <cfRule type="expression" dxfId="2178" priority="2089">
      <formula>I78&gt;K78+#REF!</formula>
    </cfRule>
  </conditionalFormatting>
  <conditionalFormatting sqref="I91:K91">
    <cfRule type="expression" dxfId="2177" priority="2093">
      <formula>I91&gt;K91*#REF!</formula>
    </cfRule>
  </conditionalFormatting>
  <conditionalFormatting sqref="I93:K94">
    <cfRule type="expression" dxfId="2176" priority="2023">
      <formula>I93&gt;K93*#REF!</formula>
    </cfRule>
    <cfRule type="expression" dxfId="2175" priority="2022">
      <formula>I93&lt;K93*#REF!</formula>
    </cfRule>
  </conditionalFormatting>
  <conditionalFormatting sqref="I95:K97">
    <cfRule type="expression" dxfId="2174" priority="2024">
      <formula>I95&lt;K95-#REF!</formula>
    </cfRule>
  </conditionalFormatting>
  <conditionalFormatting sqref="I95:K107">
    <cfRule type="expression" dxfId="2173" priority="2017">
      <formula>I95&gt;K95+#REF!</formula>
    </cfRule>
  </conditionalFormatting>
  <conditionalFormatting sqref="I108:K108">
    <cfRule type="expression" dxfId="2172" priority="2021">
      <formula>I108&gt;K108*#REF!</formula>
    </cfRule>
  </conditionalFormatting>
  <conditionalFormatting sqref="I110:K111">
    <cfRule type="expression" dxfId="2171" priority="1983">
      <formula>I110&gt;K110*#REF!</formula>
    </cfRule>
    <cfRule type="expression" dxfId="2170" priority="1982">
      <formula>I110&lt;K110*#REF!</formula>
    </cfRule>
  </conditionalFormatting>
  <conditionalFormatting sqref="I112:K114">
    <cfRule type="expression" dxfId="2169" priority="1984">
      <formula>I112&lt;K112-#REF!</formula>
    </cfRule>
  </conditionalFormatting>
  <conditionalFormatting sqref="I112:K124">
    <cfRule type="expression" dxfId="2168" priority="1977">
      <formula>I112&gt;K112+#REF!</formula>
    </cfRule>
  </conditionalFormatting>
  <conditionalFormatting sqref="I125:K125">
    <cfRule type="expression" dxfId="2167" priority="1981">
      <formula>I125&gt;K125*#REF!</formula>
    </cfRule>
  </conditionalFormatting>
  <conditionalFormatting sqref="I127:K128">
    <cfRule type="expression" dxfId="2166" priority="1927">
      <formula>I127&gt;K127*#REF!</formula>
    </cfRule>
    <cfRule type="expression" dxfId="2165" priority="1926">
      <formula>I127&lt;K127*#REF!</formula>
    </cfRule>
  </conditionalFormatting>
  <conditionalFormatting sqref="I129:K131">
    <cfRule type="expression" dxfId="2164" priority="1928">
      <formula>I129&lt;K129-#REF!</formula>
    </cfRule>
  </conditionalFormatting>
  <conditionalFormatting sqref="I129:K141">
    <cfRule type="expression" dxfId="2163" priority="1921">
      <formula>I129&gt;K129+#REF!</formula>
    </cfRule>
  </conditionalFormatting>
  <conditionalFormatting sqref="I142:K142">
    <cfRule type="expression" dxfId="2162" priority="1925">
      <formula>I142&gt;K142*#REF!</formula>
    </cfRule>
  </conditionalFormatting>
  <conditionalFormatting sqref="I144:K145">
    <cfRule type="expression" dxfId="2161" priority="1870">
      <formula>I144&lt;K144*#REF!</formula>
    </cfRule>
    <cfRule type="expression" dxfId="2160" priority="1871">
      <formula>I144&gt;K144*#REF!</formula>
    </cfRule>
  </conditionalFormatting>
  <conditionalFormatting sqref="I146:K148">
    <cfRule type="expression" dxfId="2159" priority="1872">
      <formula>I146&lt;K146-#REF!</formula>
    </cfRule>
  </conditionalFormatting>
  <conditionalFormatting sqref="I146:K158">
    <cfRule type="expression" dxfId="2158" priority="1865">
      <formula>I146&gt;K146+#REF!</formula>
    </cfRule>
  </conditionalFormatting>
  <conditionalFormatting sqref="I159:K159">
    <cfRule type="expression" dxfId="2157" priority="1869">
      <formula>I159&gt;K159*#REF!</formula>
    </cfRule>
  </conditionalFormatting>
  <conditionalFormatting sqref="I161:K162">
    <cfRule type="expression" dxfId="2156" priority="1815">
      <formula>I161&gt;K161*#REF!</formula>
    </cfRule>
    <cfRule type="expression" dxfId="2155" priority="1814">
      <formula>I161&lt;K161*#REF!</formula>
    </cfRule>
  </conditionalFormatting>
  <conditionalFormatting sqref="I163:K165">
    <cfRule type="expression" dxfId="2154" priority="1816">
      <formula>I163&lt;K163-#REF!</formula>
    </cfRule>
  </conditionalFormatting>
  <conditionalFormatting sqref="I163:K175">
    <cfRule type="expression" dxfId="2153" priority="1809">
      <formula>I163&gt;K163+#REF!</formula>
    </cfRule>
  </conditionalFormatting>
  <conditionalFormatting sqref="I176:K176">
    <cfRule type="expression" dxfId="2152" priority="1813">
      <formula>I176&gt;K176*#REF!</formula>
    </cfRule>
  </conditionalFormatting>
  <conditionalFormatting sqref="I178:K179">
    <cfRule type="expression" dxfId="2151" priority="1759">
      <formula>I178&gt;K178*#REF!</formula>
    </cfRule>
    <cfRule type="expression" dxfId="2150" priority="1758">
      <formula>I178&lt;K178*#REF!</formula>
    </cfRule>
  </conditionalFormatting>
  <conditionalFormatting sqref="I180:K182">
    <cfRule type="expression" dxfId="2149" priority="1760">
      <formula>I180&lt;K180-#REF!</formula>
    </cfRule>
  </conditionalFormatting>
  <conditionalFormatting sqref="I180:K192">
    <cfRule type="expression" dxfId="2148" priority="1753">
      <formula>I180&gt;K180+#REF!</formula>
    </cfRule>
  </conditionalFormatting>
  <conditionalFormatting sqref="I193:K193">
    <cfRule type="expression" dxfId="2147" priority="1757">
      <formula>I193&gt;K193*#REF!</formula>
    </cfRule>
  </conditionalFormatting>
  <conditionalFormatting sqref="I195:K196">
    <cfRule type="expression" dxfId="2146" priority="1702">
      <formula>I195&lt;K195*#REF!</formula>
    </cfRule>
    <cfRule type="expression" dxfId="2145" priority="1703">
      <formula>I195&gt;K195*#REF!</formula>
    </cfRule>
  </conditionalFormatting>
  <conditionalFormatting sqref="I197:K199">
    <cfRule type="expression" dxfId="2144" priority="1704">
      <formula>I197&lt;K197-#REF!</formula>
    </cfRule>
  </conditionalFormatting>
  <conditionalFormatting sqref="I197:K209">
    <cfRule type="expression" dxfId="2143" priority="1697">
      <formula>I197&gt;K197+#REF!</formula>
    </cfRule>
  </conditionalFormatting>
  <conditionalFormatting sqref="I210:K210">
    <cfRule type="expression" dxfId="2142" priority="1701">
      <formula>I210&gt;K210*#REF!</formula>
    </cfRule>
  </conditionalFormatting>
  <conditionalFormatting sqref="I212:K213">
    <cfRule type="expression" dxfId="2141" priority="1647">
      <formula>I212&gt;K212*#REF!</formula>
    </cfRule>
    <cfRule type="expression" dxfId="2140" priority="1646">
      <formula>I212&lt;K212*#REF!</formula>
    </cfRule>
  </conditionalFormatting>
  <conditionalFormatting sqref="I214:K216">
    <cfRule type="expression" dxfId="2139" priority="1648">
      <formula>I214&lt;K214-#REF!</formula>
    </cfRule>
  </conditionalFormatting>
  <conditionalFormatting sqref="I214:K226">
    <cfRule type="expression" dxfId="2138" priority="1641">
      <formula>I214&gt;K214+#REF!</formula>
    </cfRule>
  </conditionalFormatting>
  <conditionalFormatting sqref="I227:K227">
    <cfRule type="expression" dxfId="2137" priority="1645">
      <formula>I227&gt;K227*#REF!</formula>
    </cfRule>
  </conditionalFormatting>
  <conditionalFormatting sqref="I229:K230">
    <cfRule type="expression" dxfId="2136" priority="1591">
      <formula>I229&gt;K229*#REF!</formula>
    </cfRule>
    <cfRule type="expression" dxfId="2135" priority="1590">
      <formula>I229&lt;K229*#REF!</formula>
    </cfRule>
  </conditionalFormatting>
  <conditionalFormatting sqref="I231:K233">
    <cfRule type="expression" dxfId="2134" priority="1592">
      <formula>I231&lt;K231-#REF!</formula>
    </cfRule>
  </conditionalFormatting>
  <conditionalFormatting sqref="I231:K243">
    <cfRule type="expression" dxfId="2133" priority="1585">
      <formula>I231&gt;K231+#REF!</formula>
    </cfRule>
  </conditionalFormatting>
  <conditionalFormatting sqref="I244:K244">
    <cfRule type="expression" dxfId="2132" priority="1589">
      <formula>I244&gt;K244*#REF!</formula>
    </cfRule>
  </conditionalFormatting>
  <conditionalFormatting sqref="I246:K247">
    <cfRule type="expression" dxfId="2131" priority="4730">
      <formula>I246&lt;K246*#REF!</formula>
    </cfRule>
    <cfRule type="expression" dxfId="2130" priority="4731">
      <formula>I246&gt;K246*#REF!</formula>
    </cfRule>
  </conditionalFormatting>
  <conditionalFormatting sqref="I248:K250">
    <cfRule type="expression" dxfId="2129" priority="4732">
      <formula>I248&lt;K248-#REF!</formula>
    </cfRule>
  </conditionalFormatting>
  <conditionalFormatting sqref="I248:K260">
    <cfRule type="expression" dxfId="2128" priority="4725">
      <formula>I248&gt;K248+#REF!</formula>
    </cfRule>
  </conditionalFormatting>
  <conditionalFormatting sqref="I261:K261">
    <cfRule type="expression" dxfId="2127" priority="4729">
      <formula>I261&gt;K261*#REF!</formula>
    </cfRule>
  </conditionalFormatting>
  <conditionalFormatting sqref="I263:K278">
    <cfRule type="expression" dxfId="2126" priority="1534">
      <formula>I263&lt;K263*#REF!</formula>
    </cfRule>
    <cfRule type="expression" dxfId="2125" priority="1535">
      <formula>I263&gt;K263*#REF!</formula>
    </cfRule>
  </conditionalFormatting>
  <conditionalFormatting sqref="I280:K281 I284:I285 I288:I289 J283:K284 J286:K287 J289:K290 I292:K293 J295:K295">
    <cfRule type="expression" dxfId="2124" priority="1479">
      <formula>I280&gt;K280*#REF!</formula>
    </cfRule>
  </conditionalFormatting>
  <conditionalFormatting sqref="I280:K281 J283:K284 I284:I285 J286:K287 I288:I289 J289:K290 I292:K293 J295:K295">
    <cfRule type="expression" dxfId="2123" priority="1478">
      <formula>I280&lt;K280*#REF!</formula>
    </cfRule>
  </conditionalFormatting>
  <conditionalFormatting sqref="I282:K282 I286:I287 I290:I291 I294:I295 I283 J285:K285 J288:K288 J291:K291 J294:K294">
    <cfRule type="expression" dxfId="2122" priority="1480">
      <formula>I282&lt;K282-#REF!</formula>
    </cfRule>
    <cfRule type="expression" dxfId="2121" priority="1473">
      <formula>I282&gt;K282+#REF!</formula>
    </cfRule>
  </conditionalFormatting>
  <conditionalFormatting sqref="I297:K298">
    <cfRule type="expression" dxfId="2120" priority="4619">
      <formula>I297&gt;K297*#REF!</formula>
    </cfRule>
    <cfRule type="expression" dxfId="2119" priority="4618">
      <formula>I297&lt;K297*#REF!</formula>
    </cfRule>
  </conditionalFormatting>
  <conditionalFormatting sqref="I299:K301">
    <cfRule type="expression" dxfId="2118" priority="4620">
      <formula>I299&lt;K299-#REF!</formula>
    </cfRule>
  </conditionalFormatting>
  <conditionalFormatting sqref="I299:K311">
    <cfRule type="expression" dxfId="2117" priority="4613">
      <formula>I299&gt;K299+#REF!</formula>
    </cfRule>
  </conditionalFormatting>
  <conditionalFormatting sqref="I312:K312">
    <cfRule type="expression" dxfId="2116" priority="4617">
      <formula>I312&gt;K312*#REF!</formula>
    </cfRule>
  </conditionalFormatting>
  <conditionalFormatting sqref="I314:K315">
    <cfRule type="expression" dxfId="2115" priority="4562">
      <formula>I314&lt;K314*#REF!</formula>
    </cfRule>
    <cfRule type="expression" dxfId="2114" priority="4563">
      <formula>I314&gt;K314*#REF!</formula>
    </cfRule>
  </conditionalFormatting>
  <conditionalFormatting sqref="I316:K318">
    <cfRule type="expression" dxfId="2113" priority="4564">
      <formula>I316&lt;K316-#REF!</formula>
    </cfRule>
  </conditionalFormatting>
  <conditionalFormatting sqref="I316:K328">
    <cfRule type="expression" dxfId="2112" priority="4557">
      <formula>I316&gt;K316+#REF!</formula>
    </cfRule>
  </conditionalFormatting>
  <conditionalFormatting sqref="I329:K329">
    <cfRule type="expression" dxfId="2111" priority="4561">
      <formula>I329&gt;K329*#REF!</formula>
    </cfRule>
  </conditionalFormatting>
  <conditionalFormatting sqref="I331:K332">
    <cfRule type="expression" dxfId="2110" priority="4507">
      <formula>I331&gt;K331*#REF!</formula>
    </cfRule>
    <cfRule type="expression" dxfId="2109" priority="4506">
      <formula>I331&lt;K331*#REF!</formula>
    </cfRule>
  </conditionalFormatting>
  <conditionalFormatting sqref="I333:K335">
    <cfRule type="expression" dxfId="2108" priority="4508">
      <formula>I333&lt;K333-#REF!</formula>
    </cfRule>
  </conditionalFormatting>
  <conditionalFormatting sqref="I333:K345">
    <cfRule type="expression" dxfId="2107" priority="4501">
      <formula>I333&gt;K333+#REF!</formula>
    </cfRule>
  </conditionalFormatting>
  <conditionalFormatting sqref="I346:K346">
    <cfRule type="expression" dxfId="2106" priority="4505">
      <formula>I346&gt;K346*#REF!</formula>
    </cfRule>
  </conditionalFormatting>
  <conditionalFormatting sqref="I348:K349 I351:K352 I354:K355 I357:K358 I360:K361 I363:K363">
    <cfRule type="expression" dxfId="2105" priority="1422">
      <formula>I348&lt;K348*#REF!</formula>
    </cfRule>
    <cfRule type="expression" dxfId="2104" priority="1423">
      <formula>I348&gt;K348*#REF!</formula>
    </cfRule>
  </conditionalFormatting>
  <conditionalFormatting sqref="I350:K350 I353:K353 I356:K356 I359:K359 I362:K362">
    <cfRule type="expression" dxfId="2103" priority="1417">
      <formula>I350&gt;K350+#REF!</formula>
    </cfRule>
    <cfRule type="expression" dxfId="2102" priority="1424">
      <formula>I350&lt;K350-#REF!</formula>
    </cfRule>
  </conditionalFormatting>
  <conditionalFormatting sqref="J18:J22">
    <cfRule type="expression" dxfId="2101" priority="2324">
      <formula>J18&lt;L18-#REF!</formula>
    </cfRule>
  </conditionalFormatting>
  <conditionalFormatting sqref="J35:J39">
    <cfRule type="expression" dxfId="2100" priority="2260">
      <formula>J35&lt;L35-#REF!</formula>
    </cfRule>
  </conditionalFormatting>
  <conditionalFormatting sqref="J52:J56">
    <cfRule type="expression" dxfId="2099" priority="2204">
      <formula>J52&lt;L52-#REF!</formula>
    </cfRule>
  </conditionalFormatting>
  <conditionalFormatting sqref="J69:J73">
    <cfRule type="expression" dxfId="2098" priority="2148">
      <formula>J69&lt;L69-#REF!</formula>
    </cfRule>
  </conditionalFormatting>
  <conditionalFormatting sqref="J86:J90">
    <cfRule type="expression" dxfId="2097" priority="2092">
      <formula>J86&lt;L86-#REF!</formula>
    </cfRule>
  </conditionalFormatting>
  <conditionalFormatting sqref="J103:J107">
    <cfRule type="expression" dxfId="2096" priority="2020">
      <formula>J103&lt;L103-#REF!</formula>
    </cfRule>
  </conditionalFormatting>
  <conditionalFormatting sqref="J120:J124">
    <cfRule type="expression" dxfId="2095" priority="1980">
      <formula>J120&lt;L120-#REF!</formula>
    </cfRule>
  </conditionalFormatting>
  <conditionalFormatting sqref="J137:J141">
    <cfRule type="expression" dxfId="2094" priority="1924">
      <formula>J137&lt;L137-#REF!</formula>
    </cfRule>
  </conditionalFormatting>
  <conditionalFormatting sqref="J154:J158">
    <cfRule type="expression" dxfId="2093" priority="1868">
      <formula>J154&lt;L154-#REF!</formula>
    </cfRule>
  </conditionalFormatting>
  <conditionalFormatting sqref="J171:J175">
    <cfRule type="expression" dxfId="2092" priority="1812">
      <formula>J171&lt;L171-#REF!</formula>
    </cfRule>
  </conditionalFormatting>
  <conditionalFormatting sqref="J188:J192">
    <cfRule type="expression" dxfId="2091" priority="1756">
      <formula>J188&lt;L188-#REF!</formula>
    </cfRule>
  </conditionalFormatting>
  <conditionalFormatting sqref="J205:J209">
    <cfRule type="expression" dxfId="2090" priority="1700">
      <formula>J205&lt;L205-#REF!</formula>
    </cfRule>
  </conditionalFormatting>
  <conditionalFormatting sqref="J222:J226">
    <cfRule type="expression" dxfId="2089" priority="1644">
      <formula>J222&lt;L222-#REF!</formula>
    </cfRule>
  </conditionalFormatting>
  <conditionalFormatting sqref="J239:J243">
    <cfRule type="expression" dxfId="2088" priority="1588">
      <formula>J239&lt;L239-#REF!</formula>
    </cfRule>
  </conditionalFormatting>
  <conditionalFormatting sqref="J256:J260">
    <cfRule type="expression" dxfId="2087" priority="4728">
      <formula>J256&lt;L256-#REF!</formula>
    </cfRule>
  </conditionalFormatting>
  <conditionalFormatting sqref="J307:J311">
    <cfRule type="expression" dxfId="2086" priority="4616">
      <formula>J307&lt;L307-#REF!</formula>
    </cfRule>
  </conditionalFormatting>
  <conditionalFormatting sqref="J324:J328">
    <cfRule type="expression" dxfId="2085" priority="4560">
      <formula>J324&lt;L324-#REF!</formula>
    </cfRule>
  </conditionalFormatting>
  <conditionalFormatting sqref="J341:J345">
    <cfRule type="expression" dxfId="2084" priority="4504">
      <formula>J341&lt;L341-#REF!</formula>
    </cfRule>
  </conditionalFormatting>
  <conditionalFormatting sqref="J14:K15">
    <cfRule type="expression" dxfId="2083" priority="2323">
      <formula>J14&lt;L14-#REF!</formula>
    </cfRule>
  </conditionalFormatting>
  <conditionalFormatting sqref="J31:K32">
    <cfRule type="expression" dxfId="2082" priority="2259">
      <formula>J31&lt;L31-#REF!</formula>
    </cfRule>
  </conditionalFormatting>
  <conditionalFormatting sqref="J48:K49">
    <cfRule type="expression" dxfId="2081" priority="2203">
      <formula>J48&lt;L48-#REF!</formula>
    </cfRule>
  </conditionalFormatting>
  <conditionalFormatting sqref="J65:K66">
    <cfRule type="expression" dxfId="2080" priority="2147">
      <formula>J65&lt;L65-#REF!</formula>
    </cfRule>
  </conditionalFormatting>
  <conditionalFormatting sqref="J82:K83">
    <cfRule type="expression" dxfId="2079" priority="2091">
      <formula>J82&lt;L82-#REF!</formula>
    </cfRule>
  </conditionalFormatting>
  <conditionalFormatting sqref="J99:K100">
    <cfRule type="expression" dxfId="2078" priority="2019">
      <formula>J99&lt;L99-#REF!</formula>
    </cfRule>
  </conditionalFormatting>
  <conditionalFormatting sqref="J116:K117">
    <cfRule type="expression" dxfId="2077" priority="1979">
      <formula>J116&lt;L116-#REF!</formula>
    </cfRule>
  </conditionalFormatting>
  <conditionalFormatting sqref="J133:K134">
    <cfRule type="expression" dxfId="2076" priority="1923">
      <formula>J133&lt;L133-#REF!</formula>
    </cfRule>
  </conditionalFormatting>
  <conditionalFormatting sqref="J150:K151">
    <cfRule type="expression" dxfId="2075" priority="1867">
      <formula>J150&lt;L150-#REF!</formula>
    </cfRule>
  </conditionalFormatting>
  <conditionalFormatting sqref="J167:K168">
    <cfRule type="expression" dxfId="2074" priority="1811">
      <formula>J167&lt;L167-#REF!</formula>
    </cfRule>
  </conditionalFormatting>
  <conditionalFormatting sqref="J184:K185">
    <cfRule type="expression" dxfId="2073" priority="1755">
      <formula>J184&lt;L184-#REF!</formula>
    </cfRule>
  </conditionalFormatting>
  <conditionalFormatting sqref="J201:K202">
    <cfRule type="expression" dxfId="2072" priority="1699">
      <formula>J201&lt;L201-#REF!</formula>
    </cfRule>
  </conditionalFormatting>
  <conditionalFormatting sqref="J218:K219">
    <cfRule type="expression" dxfId="2071" priority="1643">
      <formula>J218&lt;L218-#REF!</formula>
    </cfRule>
  </conditionalFormatting>
  <conditionalFormatting sqref="J235:K236">
    <cfRule type="expression" dxfId="2070" priority="1587">
      <formula>J235&lt;L235-#REF!</formula>
    </cfRule>
  </conditionalFormatting>
  <conditionalFormatting sqref="J252:K253">
    <cfRule type="expression" dxfId="2069" priority="4727">
      <formula>J252&lt;L252-#REF!</formula>
    </cfRule>
  </conditionalFormatting>
  <conditionalFormatting sqref="J303:K304">
    <cfRule type="expression" dxfId="2068" priority="4615">
      <formula>J303&lt;L303-#REF!</formula>
    </cfRule>
  </conditionalFormatting>
  <conditionalFormatting sqref="J320:K321">
    <cfRule type="expression" dxfId="2067" priority="4559">
      <formula>J320&lt;L320-#REF!</formula>
    </cfRule>
  </conditionalFormatting>
  <conditionalFormatting sqref="J337:K338">
    <cfRule type="expression" dxfId="2066" priority="4503">
      <formula>J337&lt;L337-#REF!</formula>
    </cfRule>
  </conditionalFormatting>
  <conditionalFormatting sqref="K18:K19">
    <cfRule type="expression" dxfId="2065" priority="2322">
      <formula>K18&lt;M18-#REF!</formula>
    </cfRule>
  </conditionalFormatting>
  <conditionalFormatting sqref="K35:K36">
    <cfRule type="expression" dxfId="2064" priority="2258">
      <formula>K35&lt;M35-#REF!</formula>
    </cfRule>
  </conditionalFormatting>
  <conditionalFormatting sqref="K52:K53">
    <cfRule type="expression" dxfId="2063" priority="2202">
      <formula>K52&lt;M52-#REF!</formula>
    </cfRule>
  </conditionalFormatting>
  <conditionalFormatting sqref="K69:K70">
    <cfRule type="expression" dxfId="2062" priority="2146">
      <formula>K69&lt;M69-#REF!</formula>
    </cfRule>
  </conditionalFormatting>
  <conditionalFormatting sqref="K86:K87">
    <cfRule type="expression" dxfId="2061" priority="2090">
      <formula>K86&lt;M86-#REF!</formula>
    </cfRule>
  </conditionalFormatting>
  <conditionalFormatting sqref="K103:K104">
    <cfRule type="expression" dxfId="2060" priority="2018">
      <formula>K103&lt;M103-#REF!</formula>
    </cfRule>
  </conditionalFormatting>
  <conditionalFormatting sqref="K120:K121">
    <cfRule type="expression" dxfId="2059" priority="1978">
      <formula>K120&lt;M120-#REF!</formula>
    </cfRule>
  </conditionalFormatting>
  <conditionalFormatting sqref="K137:K138">
    <cfRule type="expression" dxfId="2058" priority="1922">
      <formula>K137&lt;M137-#REF!</formula>
    </cfRule>
  </conditionalFormatting>
  <conditionalFormatting sqref="K154:K155">
    <cfRule type="expression" dxfId="2057" priority="1866">
      <formula>K154&lt;M154-#REF!</formula>
    </cfRule>
  </conditionalFormatting>
  <conditionalFormatting sqref="K171:K172">
    <cfRule type="expression" dxfId="2056" priority="1810">
      <formula>K171&lt;M171-#REF!</formula>
    </cfRule>
  </conditionalFormatting>
  <conditionalFormatting sqref="K188:K189">
    <cfRule type="expression" dxfId="2055" priority="1754">
      <formula>K188&lt;M188-#REF!</formula>
    </cfRule>
  </conditionalFormatting>
  <conditionalFormatting sqref="K205:K206">
    <cfRule type="expression" dxfId="2054" priority="1698">
      <formula>K205&lt;M205-#REF!</formula>
    </cfRule>
  </conditionalFormatting>
  <conditionalFormatting sqref="K222:K223">
    <cfRule type="expression" dxfId="2053" priority="1642">
      <formula>K222&lt;M222-#REF!</formula>
    </cfRule>
  </conditionalFormatting>
  <conditionalFormatting sqref="K239:K240">
    <cfRule type="expression" dxfId="2052" priority="1586">
      <formula>K239&lt;M239-#REF!</formula>
    </cfRule>
  </conditionalFormatting>
  <conditionalFormatting sqref="K256:K257">
    <cfRule type="expression" dxfId="2051" priority="4726">
      <formula>K256&lt;M256-#REF!</formula>
    </cfRule>
  </conditionalFormatting>
  <conditionalFormatting sqref="K307:K308">
    <cfRule type="expression" dxfId="2050" priority="4614">
      <formula>K307&lt;M307-#REF!</formula>
    </cfRule>
  </conditionalFormatting>
  <conditionalFormatting sqref="K324:K325">
    <cfRule type="expression" dxfId="2049" priority="4558">
      <formula>K324&lt;M324-#REF!</formula>
    </cfRule>
  </conditionalFormatting>
  <conditionalFormatting sqref="K341:K342">
    <cfRule type="expression" dxfId="2048" priority="4502">
      <formula>K341&lt;M341-#REF!</formula>
    </cfRule>
  </conditionalFormatting>
  <conditionalFormatting sqref="M8:O9">
    <cfRule type="expression" dxfId="2047" priority="2319">
      <formula>M8&gt;O8*#REF!</formula>
    </cfRule>
    <cfRule type="expression" dxfId="2046" priority="2318">
      <formula>M8&lt;O8*#REF!</formula>
    </cfRule>
  </conditionalFormatting>
  <conditionalFormatting sqref="M10:O12">
    <cfRule type="expression" dxfId="2045" priority="2320">
      <formula>M10&lt;O10-#REF!</formula>
    </cfRule>
  </conditionalFormatting>
  <conditionalFormatting sqref="M10:O22">
    <cfRule type="expression" dxfId="2044" priority="2313">
      <formula>M10&gt;O10+#REF!</formula>
    </cfRule>
  </conditionalFormatting>
  <conditionalFormatting sqref="M23:O23">
    <cfRule type="expression" dxfId="2043" priority="2317">
      <formula>M23&gt;O23*#REF!</formula>
    </cfRule>
  </conditionalFormatting>
  <conditionalFormatting sqref="M25:O26">
    <cfRule type="expression" dxfId="2042" priority="2254">
      <formula>M25&lt;O25*#REF!</formula>
    </cfRule>
    <cfRule type="expression" dxfId="2041" priority="2255">
      <formula>M25&gt;O25*#REF!</formula>
    </cfRule>
  </conditionalFormatting>
  <conditionalFormatting sqref="M27:O29">
    <cfRule type="expression" dxfId="2040" priority="2256">
      <formula>M27&lt;O27-#REF!</formula>
    </cfRule>
  </conditionalFormatting>
  <conditionalFormatting sqref="M27:O39">
    <cfRule type="expression" dxfId="2039" priority="2249">
      <formula>M27&gt;O27+#REF!</formula>
    </cfRule>
  </conditionalFormatting>
  <conditionalFormatting sqref="M40:O40">
    <cfRule type="expression" dxfId="2038" priority="2253">
      <formula>M40&gt;O40*#REF!</formula>
    </cfRule>
  </conditionalFormatting>
  <conditionalFormatting sqref="M42:O43">
    <cfRule type="expression" dxfId="2037" priority="2199">
      <formula>M42&gt;O42*#REF!</formula>
    </cfRule>
    <cfRule type="expression" dxfId="2036" priority="2198">
      <formula>M42&lt;O42*#REF!</formula>
    </cfRule>
  </conditionalFormatting>
  <conditionalFormatting sqref="M44:O46">
    <cfRule type="expression" dxfId="2035" priority="2200">
      <formula>M44&lt;O44-#REF!</formula>
    </cfRule>
  </conditionalFormatting>
  <conditionalFormatting sqref="M44:O56">
    <cfRule type="expression" dxfId="2034" priority="2193">
      <formula>M44&gt;O44+#REF!</formula>
    </cfRule>
  </conditionalFormatting>
  <conditionalFormatting sqref="M57:O57">
    <cfRule type="expression" dxfId="2033" priority="2197">
      <formula>M57&gt;O57*#REF!</formula>
    </cfRule>
  </conditionalFormatting>
  <conditionalFormatting sqref="M59:O60">
    <cfRule type="expression" dxfId="2032" priority="2142">
      <formula>M59&lt;O59*#REF!</formula>
    </cfRule>
    <cfRule type="expression" dxfId="2031" priority="2143">
      <formula>M59&gt;O59*#REF!</formula>
    </cfRule>
  </conditionalFormatting>
  <conditionalFormatting sqref="M61:O63">
    <cfRule type="expression" dxfId="2030" priority="2144">
      <formula>M61&lt;O61-#REF!</formula>
    </cfRule>
  </conditionalFormatting>
  <conditionalFormatting sqref="M61:O73">
    <cfRule type="expression" dxfId="2029" priority="2137">
      <formula>M61&gt;O61+#REF!</formula>
    </cfRule>
  </conditionalFormatting>
  <conditionalFormatting sqref="M74:O74">
    <cfRule type="expression" dxfId="2028" priority="2141">
      <formula>M74&gt;O74*#REF!</formula>
    </cfRule>
  </conditionalFormatting>
  <conditionalFormatting sqref="M76:O77">
    <cfRule type="expression" dxfId="2027" priority="2087">
      <formula>M76&gt;O76*#REF!</formula>
    </cfRule>
    <cfRule type="expression" dxfId="2026" priority="2086">
      <formula>M76&lt;O76*#REF!</formula>
    </cfRule>
  </conditionalFormatting>
  <conditionalFormatting sqref="M78:O80">
    <cfRule type="expression" dxfId="2025" priority="2088">
      <formula>M78&lt;O78-#REF!</formula>
    </cfRule>
  </conditionalFormatting>
  <conditionalFormatting sqref="M78:O90">
    <cfRule type="expression" dxfId="2024" priority="2081">
      <formula>M78&gt;O78+#REF!</formula>
    </cfRule>
  </conditionalFormatting>
  <conditionalFormatting sqref="M91:O91">
    <cfRule type="expression" dxfId="2023" priority="2085">
      <formula>M91&gt;O91*#REF!</formula>
    </cfRule>
  </conditionalFormatting>
  <conditionalFormatting sqref="M93:O94">
    <cfRule type="expression" dxfId="2022" priority="2046">
      <formula>M93&lt;O93*#REF!</formula>
    </cfRule>
    <cfRule type="expression" dxfId="2021" priority="2047">
      <formula>M93&gt;O93*#REF!</formula>
    </cfRule>
  </conditionalFormatting>
  <conditionalFormatting sqref="M95:O97">
    <cfRule type="expression" dxfId="2020" priority="2048">
      <formula>M95&lt;O95-#REF!</formula>
    </cfRule>
  </conditionalFormatting>
  <conditionalFormatting sqref="M95:O107">
    <cfRule type="expression" dxfId="2019" priority="2041">
      <formula>M95&gt;O95+#REF!</formula>
    </cfRule>
  </conditionalFormatting>
  <conditionalFormatting sqref="M108:O108">
    <cfRule type="expression" dxfId="2018" priority="2045">
      <formula>M108&gt;O108*#REF!</formula>
    </cfRule>
  </conditionalFormatting>
  <conditionalFormatting sqref="M110:O111">
    <cfRule type="expression" dxfId="2017" priority="1975">
      <formula>M110&gt;O110*#REF!</formula>
    </cfRule>
    <cfRule type="expression" dxfId="2016" priority="1974">
      <formula>M110&lt;O110*#REF!</formula>
    </cfRule>
  </conditionalFormatting>
  <conditionalFormatting sqref="M112:O114">
    <cfRule type="expression" dxfId="2015" priority="1976">
      <formula>M112&lt;O112-#REF!</formula>
    </cfRule>
  </conditionalFormatting>
  <conditionalFormatting sqref="M112:O124">
    <cfRule type="expression" dxfId="2014" priority="1969">
      <formula>M112&gt;O112+#REF!</formula>
    </cfRule>
  </conditionalFormatting>
  <conditionalFormatting sqref="M125:O125">
    <cfRule type="expression" dxfId="2013" priority="1973">
      <formula>M125&gt;O125*#REF!</formula>
    </cfRule>
  </conditionalFormatting>
  <conditionalFormatting sqref="M127:O128">
    <cfRule type="expression" dxfId="2012" priority="1919">
      <formula>M127&gt;O127*#REF!</formula>
    </cfRule>
    <cfRule type="expression" dxfId="2011" priority="1918">
      <formula>M127&lt;O127*#REF!</formula>
    </cfRule>
  </conditionalFormatting>
  <conditionalFormatting sqref="M129:O131">
    <cfRule type="expression" dxfId="2010" priority="1920">
      <formula>M129&lt;O129-#REF!</formula>
    </cfRule>
  </conditionalFormatting>
  <conditionalFormatting sqref="M129:O141">
    <cfRule type="expression" dxfId="2009" priority="1913">
      <formula>M129&gt;O129+#REF!</formula>
    </cfRule>
  </conditionalFormatting>
  <conditionalFormatting sqref="M142:O142">
    <cfRule type="expression" dxfId="2008" priority="1917">
      <formula>M142&gt;O142*#REF!</formula>
    </cfRule>
  </conditionalFormatting>
  <conditionalFormatting sqref="M144:O145">
    <cfRule type="expression" dxfId="2007" priority="1863">
      <formula>M144&gt;O144*#REF!</formula>
    </cfRule>
    <cfRule type="expression" dxfId="2006" priority="1862">
      <formula>M144&lt;O144*#REF!</formula>
    </cfRule>
  </conditionalFormatting>
  <conditionalFormatting sqref="M146:O148">
    <cfRule type="expression" dxfId="2005" priority="1864">
      <formula>M146&lt;O146-#REF!</formula>
    </cfRule>
  </conditionalFormatting>
  <conditionalFormatting sqref="M146:O158">
    <cfRule type="expression" dxfId="2004" priority="1857">
      <formula>M146&gt;O146+#REF!</formula>
    </cfRule>
  </conditionalFormatting>
  <conditionalFormatting sqref="M159:O159">
    <cfRule type="expression" dxfId="2003" priority="1861">
      <formula>M159&gt;O159*#REF!</formula>
    </cfRule>
  </conditionalFormatting>
  <conditionalFormatting sqref="M161:O162">
    <cfRule type="expression" dxfId="2002" priority="1807">
      <formula>M161&gt;O161*#REF!</formula>
    </cfRule>
    <cfRule type="expression" dxfId="2001" priority="1806">
      <formula>M161&lt;O161*#REF!</formula>
    </cfRule>
  </conditionalFormatting>
  <conditionalFormatting sqref="M163:O165">
    <cfRule type="expression" dxfId="2000" priority="1808">
      <formula>M163&lt;O163-#REF!</formula>
    </cfRule>
  </conditionalFormatting>
  <conditionalFormatting sqref="M163:O175">
    <cfRule type="expression" dxfId="1999" priority="1801">
      <formula>M163&gt;O163+#REF!</formula>
    </cfRule>
  </conditionalFormatting>
  <conditionalFormatting sqref="M176:O176">
    <cfRule type="expression" dxfId="1998" priority="1805">
      <formula>M176&gt;O176*#REF!</formula>
    </cfRule>
  </conditionalFormatting>
  <conditionalFormatting sqref="M178:O179">
    <cfRule type="expression" dxfId="1997" priority="1750">
      <formula>M178&lt;O178*#REF!</formula>
    </cfRule>
    <cfRule type="expression" dxfId="1996" priority="1751">
      <formula>M178&gt;O178*#REF!</formula>
    </cfRule>
  </conditionalFormatting>
  <conditionalFormatting sqref="M180:O182">
    <cfRule type="expression" dxfId="1995" priority="1752">
      <formula>M180&lt;O180-#REF!</formula>
    </cfRule>
  </conditionalFormatting>
  <conditionalFormatting sqref="M180:O192">
    <cfRule type="expression" dxfId="1994" priority="1745">
      <formula>M180&gt;O180+#REF!</formula>
    </cfRule>
  </conditionalFormatting>
  <conditionalFormatting sqref="M193:O193">
    <cfRule type="expression" dxfId="1993" priority="1749">
      <formula>M193&gt;O193*#REF!</formula>
    </cfRule>
  </conditionalFormatting>
  <conditionalFormatting sqref="M195:O196">
    <cfRule type="expression" dxfId="1992" priority="1695">
      <formula>M195&gt;O195*#REF!</formula>
    </cfRule>
    <cfRule type="expression" dxfId="1991" priority="1694">
      <formula>M195&lt;O195*#REF!</formula>
    </cfRule>
  </conditionalFormatting>
  <conditionalFormatting sqref="M197:O199">
    <cfRule type="expression" dxfId="1990" priority="1696">
      <formula>M197&lt;O197-#REF!</formula>
    </cfRule>
  </conditionalFormatting>
  <conditionalFormatting sqref="M197:O209">
    <cfRule type="expression" dxfId="1989" priority="1689">
      <formula>M197&gt;O197+#REF!</formula>
    </cfRule>
  </conditionalFormatting>
  <conditionalFormatting sqref="M210:O210">
    <cfRule type="expression" dxfId="1988" priority="1693">
      <formula>M210&gt;O210*#REF!</formula>
    </cfRule>
  </conditionalFormatting>
  <conditionalFormatting sqref="M212:O213">
    <cfRule type="expression" dxfId="1987" priority="1638">
      <formula>M212&lt;O212*#REF!</formula>
    </cfRule>
    <cfRule type="expression" dxfId="1986" priority="1639">
      <formula>M212&gt;O212*#REF!</formula>
    </cfRule>
  </conditionalFormatting>
  <conditionalFormatting sqref="M214:O216">
    <cfRule type="expression" dxfId="1985" priority="1640">
      <formula>M214&lt;O214-#REF!</formula>
    </cfRule>
  </conditionalFormatting>
  <conditionalFormatting sqref="M214:O226">
    <cfRule type="expression" dxfId="1984" priority="1633">
      <formula>M214&gt;O214+#REF!</formula>
    </cfRule>
  </conditionalFormatting>
  <conditionalFormatting sqref="M227:O227">
    <cfRule type="expression" dxfId="1983" priority="1637">
      <formula>M227&gt;O227*#REF!</formula>
    </cfRule>
  </conditionalFormatting>
  <conditionalFormatting sqref="M229:O230">
    <cfRule type="expression" dxfId="1982" priority="1583">
      <formula>M229&gt;O229*#REF!</formula>
    </cfRule>
    <cfRule type="expression" dxfId="1981" priority="1582">
      <formula>M229&lt;O229*#REF!</formula>
    </cfRule>
  </conditionalFormatting>
  <conditionalFormatting sqref="M231:O233">
    <cfRule type="expression" dxfId="1980" priority="1584">
      <formula>M231&lt;O231-#REF!</formula>
    </cfRule>
  </conditionalFormatting>
  <conditionalFormatting sqref="M231:O243">
    <cfRule type="expression" dxfId="1979" priority="1577">
      <formula>M231&gt;O231+#REF!</formula>
    </cfRule>
  </conditionalFormatting>
  <conditionalFormatting sqref="M244:O244">
    <cfRule type="expression" dxfId="1978" priority="1581">
      <formula>M244&gt;O244*#REF!</formula>
    </cfRule>
  </conditionalFormatting>
  <conditionalFormatting sqref="M246:O247">
    <cfRule type="expression" dxfId="1977" priority="4723">
      <formula>M246&gt;O246*#REF!</formula>
    </cfRule>
    <cfRule type="expression" dxfId="1976" priority="4722">
      <formula>M246&lt;O246*#REF!</formula>
    </cfRule>
  </conditionalFormatting>
  <conditionalFormatting sqref="M248:O250">
    <cfRule type="expression" dxfId="1975" priority="4724">
      <formula>M248&lt;O248-#REF!</formula>
    </cfRule>
  </conditionalFormatting>
  <conditionalFormatting sqref="M248:O260">
    <cfRule type="expression" dxfId="1974" priority="4717">
      <formula>M248&gt;O248+#REF!</formula>
    </cfRule>
  </conditionalFormatting>
  <conditionalFormatting sqref="M261:O261">
    <cfRule type="expression" dxfId="1973" priority="4721">
      <formula>M261&gt;O261*#REF!</formula>
    </cfRule>
  </conditionalFormatting>
  <conditionalFormatting sqref="M263:O264 M266:N267 M269:N270 M272:N273 M278:N278 O267:O268 O271:O272 M275:O276">
    <cfRule type="expression" dxfId="1972" priority="1527">
      <formula>M263&gt;O263*#REF!</formula>
    </cfRule>
  </conditionalFormatting>
  <conditionalFormatting sqref="M263:O264 M266:N267 O267:O268 M269:N270 O271:O272 M272:N273 M275:O276 M278:N278">
    <cfRule type="expression" dxfId="1971" priority="1526">
      <formula>M263&lt;O263*#REF!</formula>
    </cfRule>
  </conditionalFormatting>
  <conditionalFormatting sqref="M265:O265 O266 M268:N268 M271:N271 M274:N274 M277:N277 O269:O270 O273:O274 O277:O278">
    <cfRule type="expression" dxfId="1970" priority="1528">
      <formula>M265&lt;O265-#REF!</formula>
    </cfRule>
    <cfRule type="expression" dxfId="1969" priority="1521">
      <formula>M265&gt;O265+#REF!</formula>
    </cfRule>
  </conditionalFormatting>
  <conditionalFormatting sqref="M280:O281">
    <cfRule type="expression" dxfId="1968" priority="1471">
      <formula>M280&gt;O280*#REF!</formula>
    </cfRule>
    <cfRule type="expression" dxfId="1967" priority="1470">
      <formula>M280&lt;O280*#REF!</formula>
    </cfRule>
  </conditionalFormatting>
  <conditionalFormatting sqref="M282:O284">
    <cfRule type="expression" dxfId="1966" priority="1472">
      <formula>M282&lt;O282-#REF!</formula>
    </cfRule>
  </conditionalFormatting>
  <conditionalFormatting sqref="M282:O294">
    <cfRule type="expression" dxfId="1965" priority="1465">
      <formula>M282&gt;O282+#REF!</formula>
    </cfRule>
  </conditionalFormatting>
  <conditionalFormatting sqref="M295:O295">
    <cfRule type="expression" dxfId="1964" priority="1469">
      <formula>M295&gt;O295*#REF!</formula>
    </cfRule>
  </conditionalFormatting>
  <conditionalFormatting sqref="M297:O298">
    <cfRule type="expression" dxfId="1963" priority="4610">
      <formula>M297&lt;O297*#REF!</formula>
    </cfRule>
    <cfRule type="expression" dxfId="1962" priority="4611">
      <formula>M297&gt;O297*#REF!</formula>
    </cfRule>
  </conditionalFormatting>
  <conditionalFormatting sqref="M299:O301">
    <cfRule type="expression" dxfId="1961" priority="4612">
      <formula>M299&lt;O299-#REF!</formula>
    </cfRule>
  </conditionalFormatting>
  <conditionalFormatting sqref="M299:O311">
    <cfRule type="expression" dxfId="1960" priority="4605">
      <formula>M299&gt;O299+#REF!</formula>
    </cfRule>
  </conditionalFormatting>
  <conditionalFormatting sqref="M312:O312">
    <cfRule type="expression" dxfId="1959" priority="4609">
      <formula>M312&gt;O312*#REF!</formula>
    </cfRule>
  </conditionalFormatting>
  <conditionalFormatting sqref="M314:O315">
    <cfRule type="expression" dxfId="1958" priority="4554">
      <formula>M314&lt;O314*#REF!</formula>
    </cfRule>
    <cfRule type="expression" dxfId="1957" priority="4555">
      <formula>M314&gt;O314*#REF!</formula>
    </cfRule>
  </conditionalFormatting>
  <conditionalFormatting sqref="M316:O318">
    <cfRule type="expression" dxfId="1956" priority="4556">
      <formula>M316&lt;O316-#REF!</formula>
    </cfRule>
  </conditionalFormatting>
  <conditionalFormatting sqref="M316:O328">
    <cfRule type="expression" dxfId="1955" priority="4549">
      <formula>M316&gt;O316+#REF!</formula>
    </cfRule>
  </conditionalFormatting>
  <conditionalFormatting sqref="M329:O329">
    <cfRule type="expression" dxfId="1954" priority="4553">
      <formula>M329&gt;O329*#REF!</formula>
    </cfRule>
  </conditionalFormatting>
  <conditionalFormatting sqref="M331:O332">
    <cfRule type="expression" dxfId="1953" priority="4498">
      <formula>M331&lt;O331*#REF!</formula>
    </cfRule>
    <cfRule type="expression" dxfId="1952" priority="4499">
      <formula>M331&gt;O331*#REF!</formula>
    </cfRule>
  </conditionalFormatting>
  <conditionalFormatting sqref="M333:O335">
    <cfRule type="expression" dxfId="1951" priority="4500">
      <formula>M333&lt;O333-#REF!</formula>
    </cfRule>
  </conditionalFormatting>
  <conditionalFormatting sqref="M333:O345">
    <cfRule type="expression" dxfId="1950" priority="4493">
      <formula>M333&gt;O333+#REF!</formula>
    </cfRule>
  </conditionalFormatting>
  <conditionalFormatting sqref="M346:O346">
    <cfRule type="expression" dxfId="1949" priority="4497">
      <formula>M346&gt;O346*#REF!</formula>
    </cfRule>
  </conditionalFormatting>
  <conditionalFormatting sqref="M348:O349 M351:O352 M354:O355 M357:O358 M360:O361 M363:O363">
    <cfRule type="expression" dxfId="1948" priority="29">
      <formula>M348&gt;O348*#REF!</formula>
    </cfRule>
    <cfRule type="expression" dxfId="1947" priority="28">
      <formula>M348&lt;O348*#REF!</formula>
    </cfRule>
  </conditionalFormatting>
  <conditionalFormatting sqref="M350:O350 M353:O353 M356:O356 M359:O359 M362:O362">
    <cfRule type="expression" dxfId="1946" priority="30">
      <formula>M350&lt;O350-#REF!</formula>
    </cfRule>
    <cfRule type="expression" dxfId="1945" priority="27">
      <formula>M350&gt;O350+#REF!</formula>
    </cfRule>
  </conditionalFormatting>
  <conditionalFormatting sqref="N18:N22">
    <cfRule type="expression" dxfId="1944" priority="2316">
      <formula>N18&lt;P18-#REF!</formula>
    </cfRule>
  </conditionalFormatting>
  <conditionalFormatting sqref="N35:N39">
    <cfRule type="expression" dxfId="1943" priority="2252">
      <formula>N35&lt;P35-#REF!</formula>
    </cfRule>
  </conditionalFormatting>
  <conditionalFormatting sqref="N52:N56">
    <cfRule type="expression" dxfId="1942" priority="2196">
      <formula>N52&lt;P52-#REF!</formula>
    </cfRule>
  </conditionalFormatting>
  <conditionalFormatting sqref="N69:N73">
    <cfRule type="expression" dxfId="1941" priority="2140">
      <formula>N69&lt;P69-#REF!</formula>
    </cfRule>
  </conditionalFormatting>
  <conditionalFormatting sqref="N86:N90">
    <cfRule type="expression" dxfId="1940" priority="2084">
      <formula>N86&lt;P86-#REF!</formula>
    </cfRule>
  </conditionalFormatting>
  <conditionalFormatting sqref="N103:N107">
    <cfRule type="expression" dxfId="1939" priority="2044">
      <formula>N103&lt;P103-#REF!</formula>
    </cfRule>
  </conditionalFormatting>
  <conditionalFormatting sqref="N120:N124">
    <cfRule type="expression" dxfId="1938" priority="1972">
      <formula>N120&lt;P120-#REF!</formula>
    </cfRule>
  </conditionalFormatting>
  <conditionalFormatting sqref="N137:N141">
    <cfRule type="expression" dxfId="1937" priority="1916">
      <formula>N137&lt;P137-#REF!</formula>
    </cfRule>
  </conditionalFormatting>
  <conditionalFormatting sqref="N154:N158">
    <cfRule type="expression" dxfId="1936" priority="1860">
      <formula>N154&lt;P154-#REF!</formula>
    </cfRule>
  </conditionalFormatting>
  <conditionalFormatting sqref="N171:N175">
    <cfRule type="expression" dxfId="1935" priority="1804">
      <formula>N171&lt;P171-#REF!</formula>
    </cfRule>
  </conditionalFormatting>
  <conditionalFormatting sqref="N188:N192">
    <cfRule type="expression" dxfId="1934" priority="1748">
      <formula>N188&lt;P188-#REF!</formula>
    </cfRule>
  </conditionalFormatting>
  <conditionalFormatting sqref="N205:N209">
    <cfRule type="expression" dxfId="1933" priority="1692">
      <formula>N205&lt;P205-#REF!</formula>
    </cfRule>
  </conditionalFormatting>
  <conditionalFormatting sqref="N222:N226">
    <cfRule type="expression" dxfId="1932" priority="1636">
      <formula>N222&lt;P222-#REF!</formula>
    </cfRule>
  </conditionalFormatting>
  <conditionalFormatting sqref="N239:N243">
    <cfRule type="expression" dxfId="1931" priority="1580">
      <formula>N239&lt;P239-#REF!</formula>
    </cfRule>
  </conditionalFormatting>
  <conditionalFormatting sqref="N256:N260">
    <cfRule type="expression" dxfId="1930" priority="4720">
      <formula>N256&lt;P256-#REF!</formula>
    </cfRule>
  </conditionalFormatting>
  <conditionalFormatting sqref="N290:N294">
    <cfRule type="expression" dxfId="1929" priority="1468">
      <formula>N290&lt;P290-#REF!</formula>
    </cfRule>
  </conditionalFormatting>
  <conditionalFormatting sqref="N307:N311">
    <cfRule type="expression" dxfId="1928" priority="4608">
      <formula>N307&lt;P307-#REF!</formula>
    </cfRule>
  </conditionalFormatting>
  <conditionalFormatting sqref="N324:N328">
    <cfRule type="expression" dxfId="1927" priority="4552">
      <formula>N324&lt;P324-#REF!</formula>
    </cfRule>
  </conditionalFormatting>
  <conditionalFormatting sqref="N341:N345">
    <cfRule type="expression" dxfId="1926" priority="4496">
      <formula>N341&lt;P341-#REF!</formula>
    </cfRule>
  </conditionalFormatting>
  <conditionalFormatting sqref="N14:O15">
    <cfRule type="expression" dxfId="1925" priority="2315">
      <formula>N14&lt;P14-#REF!</formula>
    </cfRule>
  </conditionalFormatting>
  <conditionalFormatting sqref="N31:O32">
    <cfRule type="expression" dxfId="1924" priority="2251">
      <formula>N31&lt;P31-#REF!</formula>
    </cfRule>
  </conditionalFormatting>
  <conditionalFormatting sqref="N48:O49">
    <cfRule type="expression" dxfId="1923" priority="2195">
      <formula>N48&lt;P48-#REF!</formula>
    </cfRule>
  </conditionalFormatting>
  <conditionalFormatting sqref="N65:O66">
    <cfRule type="expression" dxfId="1922" priority="2139">
      <formula>N65&lt;P65-#REF!</formula>
    </cfRule>
  </conditionalFormatting>
  <conditionalFormatting sqref="N82:O83">
    <cfRule type="expression" dxfId="1921" priority="2083">
      <formula>N82&lt;P82-#REF!</formula>
    </cfRule>
  </conditionalFormatting>
  <conditionalFormatting sqref="N99:O100">
    <cfRule type="expression" dxfId="1920" priority="2043">
      <formula>N99&lt;P99-#REF!</formula>
    </cfRule>
  </conditionalFormatting>
  <conditionalFormatting sqref="N116:O117">
    <cfRule type="expression" dxfId="1919" priority="1971">
      <formula>N116&lt;P116-#REF!</formula>
    </cfRule>
  </conditionalFormatting>
  <conditionalFormatting sqref="N133:O134">
    <cfRule type="expression" dxfId="1918" priority="1915">
      <formula>N133&lt;P133-#REF!</formula>
    </cfRule>
  </conditionalFormatting>
  <conditionalFormatting sqref="N150:O151">
    <cfRule type="expression" dxfId="1917" priority="1859">
      <formula>N150&lt;P150-#REF!</formula>
    </cfRule>
  </conditionalFormatting>
  <conditionalFormatting sqref="N167:O168">
    <cfRule type="expression" dxfId="1916" priority="1803">
      <formula>N167&lt;P167-#REF!</formula>
    </cfRule>
  </conditionalFormatting>
  <conditionalFormatting sqref="N184:O185">
    <cfRule type="expression" dxfId="1915" priority="1747">
      <formula>N184&lt;P184-#REF!</formula>
    </cfRule>
  </conditionalFormatting>
  <conditionalFormatting sqref="N201:O202">
    <cfRule type="expression" dxfId="1914" priority="1691">
      <formula>N201&lt;P201-#REF!</formula>
    </cfRule>
  </conditionalFormatting>
  <conditionalFormatting sqref="N218:O219">
    <cfRule type="expression" dxfId="1913" priority="1635">
      <formula>N218&lt;P218-#REF!</formula>
    </cfRule>
  </conditionalFormatting>
  <conditionalFormatting sqref="N235:O236">
    <cfRule type="expression" dxfId="1912" priority="1579">
      <formula>N235&lt;P235-#REF!</formula>
    </cfRule>
  </conditionalFormatting>
  <conditionalFormatting sqref="N252:O253">
    <cfRule type="expression" dxfId="1911" priority="4719">
      <formula>N252&lt;P252-#REF!</formula>
    </cfRule>
  </conditionalFormatting>
  <conditionalFormatting sqref="N286:O287">
    <cfRule type="expression" dxfId="1910" priority="1467">
      <formula>N286&lt;P286-#REF!</formula>
    </cfRule>
  </conditionalFormatting>
  <conditionalFormatting sqref="N303:O304">
    <cfRule type="expression" dxfId="1909" priority="4607">
      <formula>N303&lt;P303-#REF!</formula>
    </cfRule>
  </conditionalFormatting>
  <conditionalFormatting sqref="N320:O321">
    <cfRule type="expression" dxfId="1908" priority="4551">
      <formula>N320&lt;P320-#REF!</formula>
    </cfRule>
  </conditionalFormatting>
  <conditionalFormatting sqref="N337:O338">
    <cfRule type="expression" dxfId="1907" priority="4495">
      <formula>N337&lt;P337-#REF!</formula>
    </cfRule>
  </conditionalFormatting>
  <conditionalFormatting sqref="O18:O19">
    <cfRule type="expression" dxfId="1906" priority="2314">
      <formula>O18&lt;Q18-#REF!</formula>
    </cfRule>
  </conditionalFormatting>
  <conditionalFormatting sqref="O35:O36">
    <cfRule type="expression" dxfId="1905" priority="2250">
      <formula>O35&lt;Q35-#REF!</formula>
    </cfRule>
  </conditionalFormatting>
  <conditionalFormatting sqref="O52:O53">
    <cfRule type="expression" dxfId="1904" priority="2194">
      <formula>O52&lt;Q52-#REF!</formula>
    </cfRule>
  </conditionalFormatting>
  <conditionalFormatting sqref="O69:O70">
    <cfRule type="expression" dxfId="1903" priority="2138">
      <formula>O69&lt;Q69-#REF!</formula>
    </cfRule>
  </conditionalFormatting>
  <conditionalFormatting sqref="O86:O87">
    <cfRule type="expression" dxfId="1902" priority="2082">
      <formula>O86&lt;Q86-#REF!</formula>
    </cfRule>
  </conditionalFormatting>
  <conditionalFormatting sqref="O103:O104">
    <cfRule type="expression" dxfId="1901" priority="2042">
      <formula>O103&lt;Q103-#REF!</formula>
    </cfRule>
  </conditionalFormatting>
  <conditionalFormatting sqref="O120:O121">
    <cfRule type="expression" dxfId="1900" priority="1970">
      <formula>O120&lt;Q120-#REF!</formula>
    </cfRule>
  </conditionalFormatting>
  <conditionalFormatting sqref="O137:O138">
    <cfRule type="expression" dxfId="1899" priority="1914">
      <formula>O137&lt;Q137-#REF!</formula>
    </cfRule>
  </conditionalFormatting>
  <conditionalFormatting sqref="O154:O155">
    <cfRule type="expression" dxfId="1898" priority="1858">
      <formula>O154&lt;Q154-#REF!</formula>
    </cfRule>
  </conditionalFormatting>
  <conditionalFormatting sqref="O171:O172">
    <cfRule type="expression" dxfId="1897" priority="1802">
      <formula>O171&lt;Q171-#REF!</formula>
    </cfRule>
  </conditionalFormatting>
  <conditionalFormatting sqref="O188:O189">
    <cfRule type="expression" dxfId="1896" priority="1746">
      <formula>O188&lt;Q188-#REF!</formula>
    </cfRule>
  </conditionalFormatting>
  <conditionalFormatting sqref="O205:O206">
    <cfRule type="expression" dxfId="1895" priority="1690">
      <formula>O205&lt;Q205-#REF!</formula>
    </cfRule>
  </conditionalFormatting>
  <conditionalFormatting sqref="O222:O223">
    <cfRule type="expression" dxfId="1894" priority="1634">
      <formula>O222&lt;Q222-#REF!</formula>
    </cfRule>
  </conditionalFormatting>
  <conditionalFormatting sqref="O239:O240">
    <cfRule type="expression" dxfId="1893" priority="1578">
      <formula>O239&lt;Q239-#REF!</formula>
    </cfRule>
  </conditionalFormatting>
  <conditionalFormatting sqref="O256:O257">
    <cfRule type="expression" dxfId="1892" priority="4718">
      <formula>O256&lt;Q256-#REF!</formula>
    </cfRule>
  </conditionalFormatting>
  <conditionalFormatting sqref="O290:O291">
    <cfRule type="expression" dxfId="1891" priority="1466">
      <formula>O290&lt;Q290-#REF!</formula>
    </cfRule>
  </conditionalFormatting>
  <conditionalFormatting sqref="O307:O308">
    <cfRule type="expression" dxfId="1890" priority="4606">
      <formula>O307&lt;Q307-#REF!</formula>
    </cfRule>
  </conditionalFormatting>
  <conditionalFormatting sqref="O324:O325">
    <cfRule type="expression" dxfId="1889" priority="4550">
      <formula>O324&lt;Q324-#REF!</formula>
    </cfRule>
  </conditionalFormatting>
  <conditionalFormatting sqref="O341:O342">
    <cfRule type="expression" dxfId="1888" priority="4494">
      <formula>O341&lt;Q341-#REF!</formula>
    </cfRule>
  </conditionalFormatting>
  <conditionalFormatting sqref="Q18:Q22">
    <cfRule type="expression" dxfId="1887" priority="2276">
      <formula>Q18&gt;S18+#REF!</formula>
    </cfRule>
  </conditionalFormatting>
  <conditionalFormatting sqref="Q265:R265 Q268:R268 Q271:R271 Q274:R274 Q277:R277">
    <cfRule type="expression" dxfId="1886" priority="1505">
      <formula>Q265&gt;S265+#REF!</formula>
    </cfRule>
    <cfRule type="expression" dxfId="1885" priority="1512">
      <formula>Q265&lt;S265-#REF!</formula>
    </cfRule>
  </conditionalFormatting>
  <conditionalFormatting sqref="Q282:R284">
    <cfRule type="expression" dxfId="1884" priority="1464">
      <formula>Q282&lt;S282-#REF!</formula>
    </cfRule>
  </conditionalFormatting>
  <conditionalFormatting sqref="Q282:R294">
    <cfRule type="expression" dxfId="1883" priority="1457">
      <formula>Q282&gt;S282+#REF!</formula>
    </cfRule>
  </conditionalFormatting>
  <conditionalFormatting sqref="Q295:R295">
    <cfRule type="expression" dxfId="1882" priority="1461">
      <formula>Q295&gt;S295*#REF!</formula>
    </cfRule>
  </conditionalFormatting>
  <conditionalFormatting sqref="Q8:S9">
    <cfRule type="expression" dxfId="1881" priority="2278">
      <formula>Q8&lt;S8*#REF!</formula>
    </cfRule>
    <cfRule type="expression" dxfId="1880" priority="2279">
      <formula>Q8&gt;S8*#REF!</formula>
    </cfRule>
  </conditionalFormatting>
  <conditionalFormatting sqref="Q10:S12">
    <cfRule type="expression" dxfId="1879" priority="2280">
      <formula>Q10&lt;S10-#REF!</formula>
    </cfRule>
  </conditionalFormatting>
  <conditionalFormatting sqref="Q10:S17">
    <cfRule type="expression" dxfId="1878" priority="2274">
      <formula>Q10&gt;S10+#REF!</formula>
    </cfRule>
  </conditionalFormatting>
  <conditionalFormatting sqref="Q23:S23">
    <cfRule type="expression" dxfId="1877" priority="2277">
      <formula>Q23&gt;S23*#REF!</formula>
    </cfRule>
  </conditionalFormatting>
  <conditionalFormatting sqref="Q25:S26">
    <cfRule type="expression" dxfId="1876" priority="2239">
      <formula>Q25&gt;S25*#REF!</formula>
    </cfRule>
    <cfRule type="expression" dxfId="1875" priority="2238">
      <formula>Q25&lt;S25*#REF!</formula>
    </cfRule>
  </conditionalFormatting>
  <conditionalFormatting sqref="Q27:S29">
    <cfRule type="expression" dxfId="1874" priority="2240">
      <formula>Q27&lt;S27-#REF!</formula>
    </cfRule>
  </conditionalFormatting>
  <conditionalFormatting sqref="Q27:S39">
    <cfRule type="expression" dxfId="1873" priority="2233">
      <formula>Q27&gt;S27+#REF!</formula>
    </cfRule>
  </conditionalFormatting>
  <conditionalFormatting sqref="Q40:S40">
    <cfRule type="expression" dxfId="1872" priority="2237">
      <formula>Q40&gt;S40*#REF!</formula>
    </cfRule>
  </conditionalFormatting>
  <conditionalFormatting sqref="Q42:S43">
    <cfRule type="expression" dxfId="1871" priority="2183">
      <formula>Q42&gt;S42*#REF!</formula>
    </cfRule>
    <cfRule type="expression" dxfId="1870" priority="2182">
      <formula>Q42&lt;S42*#REF!</formula>
    </cfRule>
  </conditionalFormatting>
  <conditionalFormatting sqref="Q44:S46">
    <cfRule type="expression" dxfId="1869" priority="2184">
      <formula>Q44&lt;S44-#REF!</formula>
    </cfRule>
  </conditionalFormatting>
  <conditionalFormatting sqref="Q44:S56">
    <cfRule type="expression" dxfId="1868" priority="2177">
      <formula>Q44&gt;S44+#REF!</formula>
    </cfRule>
  </conditionalFormatting>
  <conditionalFormatting sqref="Q57:S57">
    <cfRule type="expression" dxfId="1867" priority="2181">
      <formula>Q57&gt;S57*#REF!</formula>
    </cfRule>
  </conditionalFormatting>
  <conditionalFormatting sqref="Q59:S60">
    <cfRule type="expression" dxfId="1866" priority="2127">
      <formula>Q59&gt;S59*#REF!</formula>
    </cfRule>
    <cfRule type="expression" dxfId="1865" priority="2126">
      <formula>Q59&lt;S59*#REF!</formula>
    </cfRule>
  </conditionalFormatting>
  <conditionalFormatting sqref="Q61:S63">
    <cfRule type="expression" dxfId="1864" priority="2128">
      <formula>Q61&lt;S61-#REF!</formula>
    </cfRule>
  </conditionalFormatting>
  <conditionalFormatting sqref="Q61:S73">
    <cfRule type="expression" dxfId="1863" priority="2121">
      <formula>Q61&gt;S61+#REF!</formula>
    </cfRule>
  </conditionalFormatting>
  <conditionalFormatting sqref="Q74:S74">
    <cfRule type="expression" dxfId="1862" priority="2125">
      <formula>Q74&gt;S74*#REF!</formula>
    </cfRule>
  </conditionalFormatting>
  <conditionalFormatting sqref="Q76:S77">
    <cfRule type="expression" dxfId="1861" priority="2071">
      <formula>Q76&gt;S76*#REF!</formula>
    </cfRule>
    <cfRule type="expression" dxfId="1860" priority="2070">
      <formula>Q76&lt;S76*#REF!</formula>
    </cfRule>
  </conditionalFormatting>
  <conditionalFormatting sqref="Q78:S80">
    <cfRule type="expression" dxfId="1859" priority="2072">
      <formula>Q78&lt;S78-#REF!</formula>
    </cfRule>
  </conditionalFormatting>
  <conditionalFormatting sqref="Q78:S90">
    <cfRule type="expression" dxfId="1858" priority="2065">
      <formula>Q78&gt;S78+#REF!</formula>
    </cfRule>
  </conditionalFormatting>
  <conditionalFormatting sqref="Q91:S91">
    <cfRule type="expression" dxfId="1857" priority="2069">
      <formula>Q91&gt;S91*#REF!</formula>
    </cfRule>
  </conditionalFormatting>
  <conditionalFormatting sqref="Q93:S94">
    <cfRule type="expression" dxfId="1856" priority="2015">
      <formula>Q93&gt;S93*#REF!</formula>
    </cfRule>
    <cfRule type="expression" dxfId="1855" priority="2014">
      <formula>Q93&lt;S93*#REF!</formula>
    </cfRule>
  </conditionalFormatting>
  <conditionalFormatting sqref="Q95:S97">
    <cfRule type="expression" dxfId="1854" priority="2016">
      <formula>Q95&lt;S95-#REF!</formula>
    </cfRule>
  </conditionalFormatting>
  <conditionalFormatting sqref="Q95:S107">
    <cfRule type="expression" dxfId="1853" priority="2009">
      <formula>Q95&gt;S95+#REF!</formula>
    </cfRule>
  </conditionalFormatting>
  <conditionalFormatting sqref="Q108:S108">
    <cfRule type="expression" dxfId="1852" priority="2013">
      <formula>Q108&gt;S108*#REF!</formula>
    </cfRule>
  </conditionalFormatting>
  <conditionalFormatting sqref="Q110:S111">
    <cfRule type="expression" dxfId="1851" priority="1958">
      <formula>Q110&lt;S110*#REF!</formula>
    </cfRule>
    <cfRule type="expression" dxfId="1850" priority="1959">
      <formula>Q110&gt;S110*#REF!</formula>
    </cfRule>
  </conditionalFormatting>
  <conditionalFormatting sqref="Q112:S114">
    <cfRule type="expression" dxfId="1849" priority="1960">
      <formula>Q112&lt;S112-#REF!</formula>
    </cfRule>
  </conditionalFormatting>
  <conditionalFormatting sqref="Q112:S124">
    <cfRule type="expression" dxfId="1848" priority="1953">
      <formula>Q112&gt;S112+#REF!</formula>
    </cfRule>
  </conditionalFormatting>
  <conditionalFormatting sqref="Q125:S125">
    <cfRule type="expression" dxfId="1847" priority="1957">
      <formula>Q125&gt;S125*#REF!</formula>
    </cfRule>
  </conditionalFormatting>
  <conditionalFormatting sqref="Q127:S128">
    <cfRule type="expression" dxfId="1846" priority="1903">
      <formula>Q127&gt;S127*#REF!</formula>
    </cfRule>
    <cfRule type="expression" dxfId="1845" priority="1902">
      <formula>Q127&lt;S127*#REF!</formula>
    </cfRule>
  </conditionalFormatting>
  <conditionalFormatting sqref="Q129:S131">
    <cfRule type="expression" dxfId="1844" priority="1904">
      <formula>Q129&lt;S129-#REF!</formula>
    </cfRule>
  </conditionalFormatting>
  <conditionalFormatting sqref="Q129:S141">
    <cfRule type="expression" dxfId="1843" priority="1897">
      <formula>Q129&gt;S129+#REF!</formula>
    </cfRule>
  </conditionalFormatting>
  <conditionalFormatting sqref="Q142:S142">
    <cfRule type="expression" dxfId="1842" priority="1901">
      <formula>Q142&gt;S142*#REF!</formula>
    </cfRule>
  </conditionalFormatting>
  <conditionalFormatting sqref="Q144:S145">
    <cfRule type="expression" dxfId="1841" priority="1847">
      <formula>Q144&gt;S144*#REF!</formula>
    </cfRule>
    <cfRule type="expression" dxfId="1840" priority="1846">
      <formula>Q144&lt;S144*#REF!</formula>
    </cfRule>
  </conditionalFormatting>
  <conditionalFormatting sqref="Q146:S148">
    <cfRule type="expression" dxfId="1839" priority="1848">
      <formula>Q146&lt;S146-#REF!</formula>
    </cfRule>
  </conditionalFormatting>
  <conditionalFormatting sqref="Q146:S158">
    <cfRule type="expression" dxfId="1838" priority="1841">
      <formula>Q146&gt;S146+#REF!</formula>
    </cfRule>
  </conditionalFormatting>
  <conditionalFormatting sqref="Q159:S159">
    <cfRule type="expression" dxfId="1837" priority="1845">
      <formula>Q159&gt;S159*#REF!</formula>
    </cfRule>
  </conditionalFormatting>
  <conditionalFormatting sqref="Q161:S162">
    <cfRule type="expression" dxfId="1836" priority="1791">
      <formula>Q161&gt;S161*#REF!</formula>
    </cfRule>
    <cfRule type="expression" dxfId="1835" priority="1790">
      <formula>Q161&lt;S161*#REF!</formula>
    </cfRule>
  </conditionalFormatting>
  <conditionalFormatting sqref="Q163:S165">
    <cfRule type="expression" dxfId="1834" priority="1792">
      <formula>Q163&lt;S163-#REF!</formula>
    </cfRule>
  </conditionalFormatting>
  <conditionalFormatting sqref="Q163:S175">
    <cfRule type="expression" dxfId="1833" priority="1785">
      <formula>Q163&gt;S163+#REF!</formula>
    </cfRule>
  </conditionalFormatting>
  <conditionalFormatting sqref="Q176:S176">
    <cfRule type="expression" dxfId="1832" priority="1789">
      <formula>Q176&gt;S176*#REF!</formula>
    </cfRule>
  </conditionalFormatting>
  <conditionalFormatting sqref="Q178:S179">
    <cfRule type="expression" dxfId="1831" priority="1735">
      <formula>Q178&gt;S178*#REF!</formula>
    </cfRule>
    <cfRule type="expression" dxfId="1830" priority="1734">
      <formula>Q178&lt;S178*#REF!</formula>
    </cfRule>
  </conditionalFormatting>
  <conditionalFormatting sqref="Q180:S182">
    <cfRule type="expression" dxfId="1829" priority="1736">
      <formula>Q180&lt;S180-#REF!</formula>
    </cfRule>
  </conditionalFormatting>
  <conditionalFormatting sqref="Q180:S192">
    <cfRule type="expression" dxfId="1828" priority="1729">
      <formula>Q180&gt;S180+#REF!</formula>
    </cfRule>
  </conditionalFormatting>
  <conditionalFormatting sqref="Q193:S193">
    <cfRule type="expression" dxfId="1827" priority="1733">
      <formula>Q193&gt;S193*#REF!</formula>
    </cfRule>
  </conditionalFormatting>
  <conditionalFormatting sqref="Q195:S196">
    <cfRule type="expression" dxfId="1826" priority="1686">
      <formula>Q195&lt;S195*#REF!</formula>
    </cfRule>
    <cfRule type="expression" dxfId="1825" priority="1687">
      <formula>Q195&gt;S195*#REF!</formula>
    </cfRule>
  </conditionalFormatting>
  <conditionalFormatting sqref="Q197:S199">
    <cfRule type="expression" dxfId="1824" priority="1688">
      <formula>Q197&lt;S197-#REF!</formula>
    </cfRule>
  </conditionalFormatting>
  <conditionalFormatting sqref="Q197:S209">
    <cfRule type="expression" dxfId="1823" priority="1681">
      <formula>Q197&gt;S197+#REF!</formula>
    </cfRule>
  </conditionalFormatting>
  <conditionalFormatting sqref="Q210:S210">
    <cfRule type="expression" dxfId="1822" priority="1685">
      <formula>Q210&gt;S210*#REF!</formula>
    </cfRule>
  </conditionalFormatting>
  <conditionalFormatting sqref="Q212:S213">
    <cfRule type="expression" dxfId="1821" priority="1622">
      <formula>Q212&lt;S212*#REF!</formula>
    </cfRule>
    <cfRule type="expression" dxfId="1820" priority="1623">
      <formula>Q212&gt;S212*#REF!</formula>
    </cfRule>
  </conditionalFormatting>
  <conditionalFormatting sqref="Q214:S216">
    <cfRule type="expression" dxfId="1819" priority="1624">
      <formula>Q214&lt;S214-#REF!</formula>
    </cfRule>
  </conditionalFormatting>
  <conditionalFormatting sqref="Q214:S226">
    <cfRule type="expression" dxfId="1818" priority="1617">
      <formula>Q214&gt;S214+#REF!</formula>
    </cfRule>
  </conditionalFormatting>
  <conditionalFormatting sqref="Q227:S227">
    <cfRule type="expression" dxfId="1817" priority="1621">
      <formula>Q227&gt;S227*#REF!</formula>
    </cfRule>
  </conditionalFormatting>
  <conditionalFormatting sqref="Q229:S230">
    <cfRule type="expression" dxfId="1816" priority="1566">
      <formula>Q229&lt;S229*#REF!</formula>
    </cfRule>
    <cfRule type="expression" dxfId="1815" priority="1567">
      <formula>Q229&gt;S229*#REF!</formula>
    </cfRule>
  </conditionalFormatting>
  <conditionalFormatting sqref="Q231:S233">
    <cfRule type="expression" dxfId="1814" priority="1568">
      <formula>Q231&lt;S231-#REF!</formula>
    </cfRule>
  </conditionalFormatting>
  <conditionalFormatting sqref="Q231:S243">
    <cfRule type="expression" dxfId="1813" priority="1561">
      <formula>Q231&gt;S231+#REF!</formula>
    </cfRule>
  </conditionalFormatting>
  <conditionalFormatting sqref="Q244:S244">
    <cfRule type="expression" dxfId="1812" priority="1565">
      <formula>Q244&gt;S244*#REF!</formula>
    </cfRule>
  </conditionalFormatting>
  <conditionalFormatting sqref="Q246:S247">
    <cfRule type="expression" dxfId="1811" priority="4714">
      <formula>Q246&lt;S246*#REF!</formula>
    </cfRule>
    <cfRule type="expression" dxfId="1810" priority="4715">
      <formula>Q246&gt;S246*#REF!</formula>
    </cfRule>
  </conditionalFormatting>
  <conditionalFormatting sqref="Q248:S250">
    <cfRule type="expression" dxfId="1809" priority="4716">
      <formula>Q248&lt;S248-#REF!</formula>
    </cfRule>
  </conditionalFormatting>
  <conditionalFormatting sqref="Q248:S260">
    <cfRule type="expression" dxfId="1808" priority="4709">
      <formula>Q248&gt;S248+#REF!</formula>
    </cfRule>
  </conditionalFormatting>
  <conditionalFormatting sqref="Q261:S261">
    <cfRule type="expression" dxfId="1807" priority="4713">
      <formula>Q261&gt;S261*#REF!</formula>
    </cfRule>
  </conditionalFormatting>
  <conditionalFormatting sqref="Q263:S263 Q264:R264 S264:S278 Q266:R267 Q269:R270 Q272:R273 Q275:R276 Q278:R278">
    <cfRule type="expression" dxfId="1806" priority="1510">
      <formula>Q263&lt;S263*#REF!</formula>
    </cfRule>
  </conditionalFormatting>
  <conditionalFormatting sqref="Q263:S263 Q266:R267 Q269:R270 Q272:R273 Q275:R276 Q278:R278 Q264:R264 S264:S278">
    <cfRule type="expression" dxfId="1805" priority="1511">
      <formula>Q263&gt;S263*#REF!</formula>
    </cfRule>
  </conditionalFormatting>
  <conditionalFormatting sqref="Q280:S281 S282:S295">
    <cfRule type="expression" dxfId="1804" priority="1462">
      <formula>Q280&lt;S280*#REF!</formula>
    </cfRule>
    <cfRule type="expression" dxfId="1803" priority="1463">
      <formula>Q280&gt;S280*#REF!</formula>
    </cfRule>
  </conditionalFormatting>
  <conditionalFormatting sqref="Q297:S298">
    <cfRule type="expression" dxfId="1802" priority="4602">
      <formula>Q297&lt;S297*#REF!</formula>
    </cfRule>
    <cfRule type="expression" dxfId="1801" priority="4603">
      <formula>Q297&gt;S297*#REF!</formula>
    </cfRule>
  </conditionalFormatting>
  <conditionalFormatting sqref="Q299:S301">
    <cfRule type="expression" dxfId="1800" priority="4604">
      <formula>Q299&lt;S299-#REF!</formula>
    </cfRule>
  </conditionalFormatting>
  <conditionalFormatting sqref="Q299:S311">
    <cfRule type="expression" dxfId="1799" priority="4597">
      <formula>Q299&gt;S299+#REF!</formula>
    </cfRule>
  </conditionalFormatting>
  <conditionalFormatting sqref="Q312:S312">
    <cfRule type="expression" dxfId="1798" priority="4601">
      <formula>Q312&gt;S312*#REF!</formula>
    </cfRule>
  </conditionalFormatting>
  <conditionalFormatting sqref="Q314:S315">
    <cfRule type="expression" dxfId="1797" priority="4546">
      <formula>Q314&lt;S314*#REF!</formula>
    </cfRule>
    <cfRule type="expression" dxfId="1796" priority="4547">
      <formula>Q314&gt;S314*#REF!</formula>
    </cfRule>
  </conditionalFormatting>
  <conditionalFormatting sqref="Q316:S318">
    <cfRule type="expression" dxfId="1795" priority="4548">
      <formula>Q316&lt;S316-#REF!</formula>
    </cfRule>
  </conditionalFormatting>
  <conditionalFormatting sqref="Q316:S328">
    <cfRule type="expression" dxfId="1794" priority="4541">
      <formula>Q316&gt;S316+#REF!</formula>
    </cfRule>
  </conditionalFormatting>
  <conditionalFormatting sqref="Q329:S329">
    <cfRule type="expression" dxfId="1793" priority="4545">
      <formula>Q329&gt;S329*#REF!</formula>
    </cfRule>
  </conditionalFormatting>
  <conditionalFormatting sqref="Q331:S332">
    <cfRule type="expression" dxfId="1792" priority="4491">
      <formula>Q331&gt;S331*#REF!</formula>
    </cfRule>
    <cfRule type="expression" dxfId="1791" priority="4490">
      <formula>Q331&lt;S331*#REF!</formula>
    </cfRule>
  </conditionalFormatting>
  <conditionalFormatting sqref="Q333:S335">
    <cfRule type="expression" dxfId="1790" priority="4492">
      <formula>Q333&lt;S333-#REF!</formula>
    </cfRule>
  </conditionalFormatting>
  <conditionalFormatting sqref="Q333:S345">
    <cfRule type="expression" dxfId="1789" priority="4485">
      <formula>Q333&gt;S333+#REF!</formula>
    </cfRule>
  </conditionalFormatting>
  <conditionalFormatting sqref="Q346:S346">
    <cfRule type="expression" dxfId="1788" priority="4489">
      <formula>Q346&gt;S346*#REF!</formula>
    </cfRule>
  </conditionalFormatting>
  <conditionalFormatting sqref="Q348:S349 Q351:S352 Q354:S355 Q357:S358 Q360:S361 Q363:S363">
    <cfRule type="expression" dxfId="1787" priority="25">
      <formula>Q348&gt;S348*#REF!</formula>
    </cfRule>
    <cfRule type="expression" dxfId="1786" priority="24">
      <formula>Q348&lt;S348*#REF!</formula>
    </cfRule>
  </conditionalFormatting>
  <conditionalFormatting sqref="Q350:S350 Q353:S353 Q356:S356 Q359:S359 Q362:S362">
    <cfRule type="expression" dxfId="1785" priority="23">
      <formula>Q350&gt;S350+#REF!</formula>
    </cfRule>
    <cfRule type="expression" dxfId="1784" priority="26">
      <formula>Q350&lt;S350-#REF!</formula>
    </cfRule>
  </conditionalFormatting>
  <conditionalFormatting sqref="R35:R39">
    <cfRule type="expression" dxfId="1783" priority="2236">
      <formula>R35&lt;T35-#REF!</formula>
    </cfRule>
  </conditionalFormatting>
  <conditionalFormatting sqref="R52:R56">
    <cfRule type="expression" dxfId="1782" priority="2180">
      <formula>R52&lt;T52-#REF!</formula>
    </cfRule>
  </conditionalFormatting>
  <conditionalFormatting sqref="R69:R73">
    <cfRule type="expression" dxfId="1781" priority="2124">
      <formula>R69&lt;T69-#REF!</formula>
    </cfRule>
  </conditionalFormatting>
  <conditionalFormatting sqref="R86:R90">
    <cfRule type="expression" dxfId="1780" priority="2068">
      <formula>R86&lt;T86-#REF!</formula>
    </cfRule>
  </conditionalFormatting>
  <conditionalFormatting sqref="R103:R107">
    <cfRule type="expression" dxfId="1779" priority="2012">
      <formula>R103&lt;T103-#REF!</formula>
    </cfRule>
  </conditionalFormatting>
  <conditionalFormatting sqref="R120:R124">
    <cfRule type="expression" dxfId="1778" priority="1956">
      <formula>R120&lt;T120-#REF!</formula>
    </cfRule>
  </conditionalFormatting>
  <conditionalFormatting sqref="R137:R141">
    <cfRule type="expression" dxfId="1777" priority="1900">
      <formula>R137&lt;T137-#REF!</formula>
    </cfRule>
  </conditionalFormatting>
  <conditionalFormatting sqref="R154:R158">
    <cfRule type="expression" dxfId="1776" priority="1844">
      <formula>R154&lt;T154-#REF!</formula>
    </cfRule>
  </conditionalFormatting>
  <conditionalFormatting sqref="R171:R175">
    <cfRule type="expression" dxfId="1775" priority="1788">
      <formula>R171&lt;T171-#REF!</formula>
    </cfRule>
  </conditionalFormatting>
  <conditionalFormatting sqref="R188:R192">
    <cfRule type="expression" dxfId="1774" priority="1732">
      <formula>R188&lt;T188-#REF!</formula>
    </cfRule>
  </conditionalFormatting>
  <conditionalFormatting sqref="R205:R209">
    <cfRule type="expression" dxfId="1773" priority="1684">
      <formula>R205&lt;T205-#REF!</formula>
    </cfRule>
  </conditionalFormatting>
  <conditionalFormatting sqref="R222:R226">
    <cfRule type="expression" dxfId="1772" priority="1620">
      <formula>R222&lt;T222-#REF!</formula>
    </cfRule>
  </conditionalFormatting>
  <conditionalFormatting sqref="R239:R243">
    <cfRule type="expression" dxfId="1771" priority="1564">
      <formula>R239&lt;T239-#REF!</formula>
    </cfRule>
  </conditionalFormatting>
  <conditionalFormatting sqref="R256:R260">
    <cfRule type="expression" dxfId="1770" priority="4712">
      <formula>R256&lt;T256-#REF!</formula>
    </cfRule>
  </conditionalFormatting>
  <conditionalFormatting sqref="R286:R287">
    <cfRule type="expression" dxfId="1769" priority="1459">
      <formula>R286&lt;T286-#REF!</formula>
    </cfRule>
  </conditionalFormatting>
  <conditionalFormatting sqref="R290:R294">
    <cfRule type="expression" dxfId="1768" priority="1460">
      <formula>R290&lt;T290-#REF!</formula>
    </cfRule>
  </conditionalFormatting>
  <conditionalFormatting sqref="R307:R311">
    <cfRule type="expression" dxfId="1767" priority="4600">
      <formula>R307&lt;T307-#REF!</formula>
    </cfRule>
  </conditionalFormatting>
  <conditionalFormatting sqref="R324:R328">
    <cfRule type="expression" dxfId="1766" priority="4544">
      <formula>R324&lt;T324-#REF!</formula>
    </cfRule>
  </conditionalFormatting>
  <conditionalFormatting sqref="R341:R345">
    <cfRule type="expression" dxfId="1765" priority="4488">
      <formula>R341&lt;T341-#REF!</formula>
    </cfRule>
  </conditionalFormatting>
  <conditionalFormatting sqref="R14:S15">
    <cfRule type="expression" dxfId="1764" priority="2275">
      <formula>R14&lt;T14-#REF!</formula>
    </cfRule>
  </conditionalFormatting>
  <conditionalFormatting sqref="R18:S22">
    <cfRule type="expression" dxfId="1763" priority="2273">
      <formula>R18&lt;T18-#REF!</formula>
    </cfRule>
  </conditionalFormatting>
  <conditionalFormatting sqref="R31:S32">
    <cfRule type="expression" dxfId="1762" priority="2235">
      <formula>R31&lt;T31-#REF!</formula>
    </cfRule>
  </conditionalFormatting>
  <conditionalFormatting sqref="R48:S49">
    <cfRule type="expression" dxfId="1761" priority="2179">
      <formula>R48&lt;T48-#REF!</formula>
    </cfRule>
  </conditionalFormatting>
  <conditionalFormatting sqref="R65:S66">
    <cfRule type="expression" dxfId="1760" priority="2123">
      <formula>R65&lt;T65-#REF!</formula>
    </cfRule>
  </conditionalFormatting>
  <conditionalFormatting sqref="R82:S83">
    <cfRule type="expression" dxfId="1759" priority="2067">
      <formula>R82&lt;T82-#REF!</formula>
    </cfRule>
  </conditionalFormatting>
  <conditionalFormatting sqref="R99:S100">
    <cfRule type="expression" dxfId="1758" priority="2011">
      <formula>R99&lt;T99-#REF!</formula>
    </cfRule>
  </conditionalFormatting>
  <conditionalFormatting sqref="R116:S117">
    <cfRule type="expression" dxfId="1757" priority="1955">
      <formula>R116&lt;T116-#REF!</formula>
    </cfRule>
  </conditionalFormatting>
  <conditionalFormatting sqref="R133:S134">
    <cfRule type="expression" dxfId="1756" priority="1899">
      <formula>R133&lt;T133-#REF!</formula>
    </cfRule>
  </conditionalFormatting>
  <conditionalFormatting sqref="R150:S151">
    <cfRule type="expression" dxfId="1755" priority="1843">
      <formula>R150&lt;T150-#REF!</formula>
    </cfRule>
  </conditionalFormatting>
  <conditionalFormatting sqref="R167:S168">
    <cfRule type="expression" dxfId="1754" priority="1787">
      <formula>R167&lt;T167-#REF!</formula>
    </cfRule>
  </conditionalFormatting>
  <conditionalFormatting sqref="R184:S185">
    <cfRule type="expression" dxfId="1753" priority="1731">
      <formula>R184&lt;T184-#REF!</formula>
    </cfRule>
  </conditionalFormatting>
  <conditionalFormatting sqref="R201:S202">
    <cfRule type="expression" dxfId="1752" priority="1683">
      <formula>R201&lt;T201-#REF!</formula>
    </cfRule>
  </conditionalFormatting>
  <conditionalFormatting sqref="R218:S219">
    <cfRule type="expression" dxfId="1751" priority="1619">
      <formula>R218&lt;T218-#REF!</formula>
    </cfRule>
  </conditionalFormatting>
  <conditionalFormatting sqref="R235:S236">
    <cfRule type="expression" dxfId="1750" priority="1563">
      <formula>R235&lt;T235-#REF!</formula>
    </cfRule>
  </conditionalFormatting>
  <conditionalFormatting sqref="R252:S253">
    <cfRule type="expression" dxfId="1749" priority="4711">
      <formula>R252&lt;T252-#REF!</formula>
    </cfRule>
  </conditionalFormatting>
  <conditionalFormatting sqref="R303:S304">
    <cfRule type="expression" dxfId="1748" priority="4599">
      <formula>R303&lt;T303-#REF!</formula>
    </cfRule>
  </conditionalFormatting>
  <conditionalFormatting sqref="R320:S321">
    <cfRule type="expression" dxfId="1747" priority="4543">
      <formula>R320&lt;T320-#REF!</formula>
    </cfRule>
  </conditionalFormatting>
  <conditionalFormatting sqref="R337:S338">
    <cfRule type="expression" dxfId="1746" priority="4487">
      <formula>R337&lt;T337-#REF!</formula>
    </cfRule>
  </conditionalFormatting>
  <conditionalFormatting sqref="S35:S36">
    <cfRule type="expression" dxfId="1745" priority="2234">
      <formula>S35&lt;U35-#REF!</formula>
    </cfRule>
  </conditionalFormatting>
  <conditionalFormatting sqref="S52:S53">
    <cfRule type="expression" dxfId="1744" priority="2178">
      <formula>S52&lt;U52-#REF!</formula>
    </cfRule>
  </conditionalFormatting>
  <conditionalFormatting sqref="S69:S70">
    <cfRule type="expression" dxfId="1743" priority="2122">
      <formula>S69&lt;U69-#REF!</formula>
    </cfRule>
  </conditionalFormatting>
  <conditionalFormatting sqref="S86:S87">
    <cfRule type="expression" dxfId="1742" priority="2066">
      <formula>S86&lt;U86-#REF!</formula>
    </cfRule>
  </conditionalFormatting>
  <conditionalFormatting sqref="S103:S104">
    <cfRule type="expression" dxfId="1741" priority="2010">
      <formula>S103&lt;U103-#REF!</formula>
    </cfRule>
  </conditionalFormatting>
  <conditionalFormatting sqref="S120:S121">
    <cfRule type="expression" dxfId="1740" priority="1954">
      <formula>S120&lt;U120-#REF!</formula>
    </cfRule>
  </conditionalFormatting>
  <conditionalFormatting sqref="S137:S138">
    <cfRule type="expression" dxfId="1739" priority="1898">
      <formula>S137&lt;U137-#REF!</formula>
    </cfRule>
  </conditionalFormatting>
  <conditionalFormatting sqref="S154:S155">
    <cfRule type="expression" dxfId="1738" priority="1842">
      <formula>S154&lt;U154-#REF!</formula>
    </cfRule>
  </conditionalFormatting>
  <conditionalFormatting sqref="S171:S172">
    <cfRule type="expression" dxfId="1737" priority="1786">
      <formula>S171&lt;U171-#REF!</formula>
    </cfRule>
  </conditionalFormatting>
  <conditionalFormatting sqref="S188:S189">
    <cfRule type="expression" dxfId="1736" priority="1730">
      <formula>S188&lt;U188-#REF!</formula>
    </cfRule>
  </conditionalFormatting>
  <conditionalFormatting sqref="S205:S206">
    <cfRule type="expression" dxfId="1735" priority="1682">
      <formula>S205&lt;U205-#REF!</formula>
    </cfRule>
  </conditionalFormatting>
  <conditionalFormatting sqref="S222:S223">
    <cfRule type="expression" dxfId="1734" priority="1618">
      <formula>S222&lt;U222-#REF!</formula>
    </cfRule>
  </conditionalFormatting>
  <conditionalFormatting sqref="S239:S240">
    <cfRule type="expression" dxfId="1733" priority="1562">
      <formula>S239&lt;U239-#REF!</formula>
    </cfRule>
  </conditionalFormatting>
  <conditionalFormatting sqref="S256:S257">
    <cfRule type="expression" dxfId="1732" priority="4710">
      <formula>S256&lt;U256-#REF!</formula>
    </cfRule>
  </conditionalFormatting>
  <conditionalFormatting sqref="S307:S308">
    <cfRule type="expression" dxfId="1731" priority="4598">
      <formula>S307&lt;U307-#REF!</formula>
    </cfRule>
  </conditionalFormatting>
  <conditionalFormatting sqref="S324:S325">
    <cfRule type="expression" dxfId="1730" priority="4542">
      <formula>S324&lt;U324-#REF!</formula>
    </cfRule>
  </conditionalFormatting>
  <conditionalFormatting sqref="S341:S342">
    <cfRule type="expression" dxfId="1729" priority="4486">
      <formula>S341&lt;U341-#REF!</formula>
    </cfRule>
  </conditionalFormatting>
  <conditionalFormatting sqref="U8:W9">
    <cfRule type="expression" dxfId="1728" priority="2295">
      <formula>U8&gt;W8*#REF!</formula>
    </cfRule>
    <cfRule type="expression" dxfId="1727" priority="2294">
      <formula>U8&lt;W8*#REF!</formula>
    </cfRule>
  </conditionalFormatting>
  <conditionalFormatting sqref="U10:W12">
    <cfRule type="expression" dxfId="1726" priority="2296">
      <formula>U10&lt;W10-#REF!</formula>
    </cfRule>
  </conditionalFormatting>
  <conditionalFormatting sqref="U10:W22">
    <cfRule type="expression" dxfId="1725" priority="2289">
      <formula>U10&gt;W10+#REF!</formula>
    </cfRule>
  </conditionalFormatting>
  <conditionalFormatting sqref="U23:W23">
    <cfRule type="expression" dxfId="1724" priority="2293">
      <formula>U23&gt;W23*#REF!</formula>
    </cfRule>
  </conditionalFormatting>
  <conditionalFormatting sqref="U25:W26">
    <cfRule type="expression" dxfId="1723" priority="2231">
      <formula>U25&gt;W25*#REF!</formula>
    </cfRule>
    <cfRule type="expression" dxfId="1722" priority="2230">
      <formula>U25&lt;W25*#REF!</formula>
    </cfRule>
  </conditionalFormatting>
  <conditionalFormatting sqref="U27:W29">
    <cfRule type="expression" dxfId="1721" priority="2232">
      <formula>U27&lt;W27-#REF!</formula>
    </cfRule>
  </conditionalFormatting>
  <conditionalFormatting sqref="U27:W39">
    <cfRule type="expression" dxfId="1720" priority="2225">
      <formula>U27&gt;W27+#REF!</formula>
    </cfRule>
  </conditionalFormatting>
  <conditionalFormatting sqref="U40:W40">
    <cfRule type="expression" dxfId="1719" priority="2229">
      <formula>U40&gt;W40*#REF!</formula>
    </cfRule>
  </conditionalFormatting>
  <conditionalFormatting sqref="U42:W43">
    <cfRule type="expression" dxfId="1718" priority="2174">
      <formula>U42&lt;W42*#REF!</formula>
    </cfRule>
    <cfRule type="expression" dxfId="1717" priority="2175">
      <formula>U42&gt;W42*#REF!</formula>
    </cfRule>
  </conditionalFormatting>
  <conditionalFormatting sqref="U44:W46">
    <cfRule type="expression" dxfId="1716" priority="2176">
      <formula>U44&lt;W44-#REF!</formula>
    </cfRule>
  </conditionalFormatting>
  <conditionalFormatting sqref="U44:W56">
    <cfRule type="expression" dxfId="1715" priority="2169">
      <formula>U44&gt;W44+#REF!</formula>
    </cfRule>
  </conditionalFormatting>
  <conditionalFormatting sqref="U57:W57">
    <cfRule type="expression" dxfId="1714" priority="2173">
      <formula>U57&gt;W57*#REF!</formula>
    </cfRule>
  </conditionalFormatting>
  <conditionalFormatting sqref="U59:W60">
    <cfRule type="expression" dxfId="1713" priority="2118">
      <formula>U59&lt;W59*#REF!</formula>
    </cfRule>
    <cfRule type="expression" dxfId="1712" priority="2119">
      <formula>U59&gt;W59*#REF!</formula>
    </cfRule>
  </conditionalFormatting>
  <conditionalFormatting sqref="U61:W63">
    <cfRule type="expression" dxfId="1711" priority="2120">
      <formula>U61&lt;W61-#REF!</formula>
    </cfRule>
  </conditionalFormatting>
  <conditionalFormatting sqref="U61:W73">
    <cfRule type="expression" dxfId="1710" priority="2113">
      <formula>U61&gt;W61+#REF!</formula>
    </cfRule>
  </conditionalFormatting>
  <conditionalFormatting sqref="U74:W74">
    <cfRule type="expression" dxfId="1709" priority="2117">
      <formula>U74&gt;W74*#REF!</formula>
    </cfRule>
  </conditionalFormatting>
  <conditionalFormatting sqref="U76:W77">
    <cfRule type="expression" dxfId="1708" priority="2062">
      <formula>U76&lt;W76*#REF!</formula>
    </cfRule>
    <cfRule type="expression" dxfId="1707" priority="2063">
      <formula>U76&gt;W76*#REF!</formula>
    </cfRule>
  </conditionalFormatting>
  <conditionalFormatting sqref="U78:W80">
    <cfRule type="expression" dxfId="1706" priority="2064">
      <formula>U78&lt;W78-#REF!</formula>
    </cfRule>
  </conditionalFormatting>
  <conditionalFormatting sqref="U78:W90">
    <cfRule type="expression" dxfId="1705" priority="2057">
      <formula>U78&gt;W78+#REF!</formula>
    </cfRule>
  </conditionalFormatting>
  <conditionalFormatting sqref="U91:W91">
    <cfRule type="expression" dxfId="1704" priority="2061">
      <formula>U91&gt;W91*#REF!</formula>
    </cfRule>
  </conditionalFormatting>
  <conditionalFormatting sqref="U93:W94">
    <cfRule type="expression" dxfId="1703" priority="2006">
      <formula>U93&lt;W93*#REF!</formula>
    </cfRule>
    <cfRule type="expression" dxfId="1702" priority="2007">
      <formula>U93&gt;W93*#REF!</formula>
    </cfRule>
  </conditionalFormatting>
  <conditionalFormatting sqref="U95:W97">
    <cfRule type="expression" dxfId="1701" priority="2008">
      <formula>U95&lt;W95-#REF!</formula>
    </cfRule>
  </conditionalFormatting>
  <conditionalFormatting sqref="U95:W107">
    <cfRule type="expression" dxfId="1700" priority="2001">
      <formula>U95&gt;W95+#REF!</formula>
    </cfRule>
  </conditionalFormatting>
  <conditionalFormatting sqref="U108:W108">
    <cfRule type="expression" dxfId="1699" priority="2005">
      <formula>U108&gt;W108*#REF!</formula>
    </cfRule>
  </conditionalFormatting>
  <conditionalFormatting sqref="U110:W111">
    <cfRule type="expression" dxfId="1698" priority="1951">
      <formula>U110&gt;W110*#REF!</formula>
    </cfRule>
    <cfRule type="expression" dxfId="1697" priority="1950">
      <formula>U110&lt;W110*#REF!</formula>
    </cfRule>
  </conditionalFormatting>
  <conditionalFormatting sqref="U112:W114">
    <cfRule type="expression" dxfId="1696" priority="1952">
      <formula>U112&lt;W112-#REF!</formula>
    </cfRule>
  </conditionalFormatting>
  <conditionalFormatting sqref="U112:W124">
    <cfRule type="expression" dxfId="1695" priority="1945">
      <formula>U112&gt;W112+#REF!</formula>
    </cfRule>
  </conditionalFormatting>
  <conditionalFormatting sqref="U125:W125">
    <cfRule type="expression" dxfId="1694" priority="1949">
      <formula>U125&gt;W125*#REF!</formula>
    </cfRule>
  </conditionalFormatting>
  <conditionalFormatting sqref="U127:W128">
    <cfRule type="expression" dxfId="1693" priority="1894">
      <formula>U127&lt;W127*#REF!</formula>
    </cfRule>
    <cfRule type="expression" dxfId="1692" priority="1895">
      <formula>U127&gt;W127*#REF!</formula>
    </cfRule>
  </conditionalFormatting>
  <conditionalFormatting sqref="U129:W131">
    <cfRule type="expression" dxfId="1691" priority="1896">
      <formula>U129&lt;W129-#REF!</formula>
    </cfRule>
  </conditionalFormatting>
  <conditionalFormatting sqref="U129:W141">
    <cfRule type="expression" dxfId="1690" priority="1889">
      <formula>U129&gt;W129+#REF!</formula>
    </cfRule>
  </conditionalFormatting>
  <conditionalFormatting sqref="U142:W142">
    <cfRule type="expression" dxfId="1689" priority="1893">
      <formula>U142&gt;W142*#REF!</formula>
    </cfRule>
  </conditionalFormatting>
  <conditionalFormatting sqref="U144:W145">
    <cfRule type="expression" dxfId="1688" priority="1838">
      <formula>U144&lt;W144*#REF!</formula>
    </cfRule>
    <cfRule type="expression" dxfId="1687" priority="1839">
      <formula>U144&gt;W144*#REF!</formula>
    </cfRule>
  </conditionalFormatting>
  <conditionalFormatting sqref="U146:W148">
    <cfRule type="expression" dxfId="1686" priority="1840">
      <formula>U146&lt;W146-#REF!</formula>
    </cfRule>
  </conditionalFormatting>
  <conditionalFormatting sqref="U146:W158">
    <cfRule type="expression" dxfId="1685" priority="1833">
      <formula>U146&gt;W146+#REF!</formula>
    </cfRule>
  </conditionalFormatting>
  <conditionalFormatting sqref="U159:W159">
    <cfRule type="expression" dxfId="1684" priority="1837">
      <formula>U159&gt;W159*#REF!</formula>
    </cfRule>
  </conditionalFormatting>
  <conditionalFormatting sqref="U161:W162">
    <cfRule type="expression" dxfId="1683" priority="1782">
      <formula>U161&lt;W161*#REF!</formula>
    </cfRule>
    <cfRule type="expression" dxfId="1682" priority="1783">
      <formula>U161&gt;W161*#REF!</formula>
    </cfRule>
  </conditionalFormatting>
  <conditionalFormatting sqref="U163:W165">
    <cfRule type="expression" dxfId="1681" priority="1784">
      <formula>U163&lt;W163-#REF!</formula>
    </cfRule>
  </conditionalFormatting>
  <conditionalFormatting sqref="U163:W175">
    <cfRule type="expression" dxfId="1680" priority="1777">
      <formula>U163&gt;W163+#REF!</formula>
    </cfRule>
  </conditionalFormatting>
  <conditionalFormatting sqref="U176:W176">
    <cfRule type="expression" dxfId="1679" priority="1781">
      <formula>U176&gt;W176*#REF!</formula>
    </cfRule>
  </conditionalFormatting>
  <conditionalFormatting sqref="U178:W179">
    <cfRule type="expression" dxfId="1678" priority="1727">
      <formula>U178&gt;W178*#REF!</formula>
    </cfRule>
    <cfRule type="expression" dxfId="1677" priority="1726">
      <formula>U178&lt;W178*#REF!</formula>
    </cfRule>
  </conditionalFormatting>
  <conditionalFormatting sqref="U180:W182">
    <cfRule type="expression" dxfId="1676" priority="1728">
      <formula>U180&lt;W180-#REF!</formula>
    </cfRule>
  </conditionalFormatting>
  <conditionalFormatting sqref="U180:W192">
    <cfRule type="expression" dxfId="1675" priority="1721">
      <formula>U180&gt;W180+#REF!</formula>
    </cfRule>
  </conditionalFormatting>
  <conditionalFormatting sqref="U193:W193">
    <cfRule type="expression" dxfId="1674" priority="1725">
      <formula>U193&gt;W193*#REF!</formula>
    </cfRule>
  </conditionalFormatting>
  <conditionalFormatting sqref="U195:W196">
    <cfRule type="expression" dxfId="1673" priority="1678">
      <formula>U195&lt;W195*#REF!</formula>
    </cfRule>
    <cfRule type="expression" dxfId="1672" priority="1679">
      <formula>U195&gt;W195*#REF!</formula>
    </cfRule>
  </conditionalFormatting>
  <conditionalFormatting sqref="U197:W199">
    <cfRule type="expression" dxfId="1671" priority="1680">
      <formula>U197&lt;W197-#REF!</formula>
    </cfRule>
  </conditionalFormatting>
  <conditionalFormatting sqref="U197:W209">
    <cfRule type="expression" dxfId="1670" priority="1673">
      <formula>U197&gt;W197+#REF!</formula>
    </cfRule>
  </conditionalFormatting>
  <conditionalFormatting sqref="U210:W210">
    <cfRule type="expression" dxfId="1669" priority="1677">
      <formula>U210&gt;W210*#REF!</formula>
    </cfRule>
  </conditionalFormatting>
  <conditionalFormatting sqref="U212:W213">
    <cfRule type="expression" dxfId="1668" priority="1614">
      <formula>U212&lt;W212*#REF!</formula>
    </cfRule>
    <cfRule type="expression" dxfId="1667" priority="1615">
      <formula>U212&gt;W212*#REF!</formula>
    </cfRule>
  </conditionalFormatting>
  <conditionalFormatting sqref="U214:W216">
    <cfRule type="expression" dxfId="1666" priority="1616">
      <formula>U214&lt;W214-#REF!</formula>
    </cfRule>
  </conditionalFormatting>
  <conditionalFormatting sqref="U214:W226">
    <cfRule type="expression" dxfId="1665" priority="1609">
      <formula>U214&gt;W214+#REF!</formula>
    </cfRule>
  </conditionalFormatting>
  <conditionalFormatting sqref="U227:W227">
    <cfRule type="expression" dxfId="1664" priority="1613">
      <formula>U227&gt;W227*#REF!</formula>
    </cfRule>
  </conditionalFormatting>
  <conditionalFormatting sqref="U229:W230">
    <cfRule type="expression" dxfId="1663" priority="1559">
      <formula>U229&gt;W229*#REF!</formula>
    </cfRule>
    <cfRule type="expression" dxfId="1662" priority="1558">
      <formula>U229&lt;W229*#REF!</formula>
    </cfRule>
  </conditionalFormatting>
  <conditionalFormatting sqref="U231:W233">
    <cfRule type="expression" dxfId="1661" priority="1560">
      <formula>U231&lt;W231-#REF!</formula>
    </cfRule>
  </conditionalFormatting>
  <conditionalFormatting sqref="U231:W243">
    <cfRule type="expression" dxfId="1660" priority="1553">
      <formula>U231&gt;W231+#REF!</formula>
    </cfRule>
  </conditionalFormatting>
  <conditionalFormatting sqref="U244:W244">
    <cfRule type="expression" dxfId="1659" priority="1557">
      <formula>U244&gt;W244*#REF!</formula>
    </cfRule>
  </conditionalFormatting>
  <conditionalFormatting sqref="U246:W247">
    <cfRule type="expression" dxfId="1658" priority="4706">
      <formula>U246&lt;W246*#REF!</formula>
    </cfRule>
    <cfRule type="expression" dxfId="1657" priority="4707">
      <formula>U246&gt;W246*#REF!</formula>
    </cfRule>
  </conditionalFormatting>
  <conditionalFormatting sqref="U248:W250">
    <cfRule type="expression" dxfId="1656" priority="4708">
      <formula>U248&lt;W248-#REF!</formula>
    </cfRule>
  </conditionalFormatting>
  <conditionalFormatting sqref="U248:W260">
    <cfRule type="expression" dxfId="1655" priority="4701">
      <formula>U248&gt;W248+#REF!</formula>
    </cfRule>
  </conditionalFormatting>
  <conditionalFormatting sqref="U261:W261">
    <cfRule type="expression" dxfId="1654" priority="4705">
      <formula>U261&gt;W261*#REF!</formula>
    </cfRule>
  </conditionalFormatting>
  <conditionalFormatting sqref="U263:W264">
    <cfRule type="expression" dxfId="1653" priority="1503">
      <formula>U263&gt;W263*#REF!</formula>
    </cfRule>
    <cfRule type="expression" dxfId="1652" priority="1502">
      <formula>U263&lt;W263*#REF!</formula>
    </cfRule>
  </conditionalFormatting>
  <conditionalFormatting sqref="U265:W267">
    <cfRule type="expression" dxfId="1651" priority="1504">
      <formula>U265&lt;W265-#REF!</formula>
    </cfRule>
  </conditionalFormatting>
  <conditionalFormatting sqref="U265:W277">
    <cfRule type="expression" dxfId="1650" priority="1497">
      <formula>U265&gt;W265+#REF!</formula>
    </cfRule>
  </conditionalFormatting>
  <conditionalFormatting sqref="U278:W278">
    <cfRule type="expression" dxfId="1649" priority="1501">
      <formula>U278&gt;W278*#REF!</formula>
    </cfRule>
  </conditionalFormatting>
  <conditionalFormatting sqref="U280:W281">
    <cfRule type="expression" dxfId="1648" priority="1455">
      <formula>U280&gt;W280*#REF!</formula>
    </cfRule>
    <cfRule type="expression" dxfId="1647" priority="1454">
      <formula>U280&lt;W280*#REF!</formula>
    </cfRule>
  </conditionalFormatting>
  <conditionalFormatting sqref="U282:W284">
    <cfRule type="expression" dxfId="1646" priority="1456">
      <formula>U282&lt;W282-#REF!</formula>
    </cfRule>
  </conditionalFormatting>
  <conditionalFormatting sqref="U282:W294">
    <cfRule type="expression" dxfId="1645" priority="1449">
      <formula>U282&gt;W282+#REF!</formula>
    </cfRule>
  </conditionalFormatting>
  <conditionalFormatting sqref="U295:W295">
    <cfRule type="expression" dxfId="1644" priority="1453">
      <formula>U295&gt;W295*#REF!</formula>
    </cfRule>
  </conditionalFormatting>
  <conditionalFormatting sqref="U297:W298">
    <cfRule type="expression" dxfId="1643" priority="4594">
      <formula>U297&lt;W297*#REF!</formula>
    </cfRule>
    <cfRule type="expression" dxfId="1642" priority="4595">
      <formula>U297&gt;W297*#REF!</formula>
    </cfRule>
  </conditionalFormatting>
  <conditionalFormatting sqref="U299:W301">
    <cfRule type="expression" dxfId="1641" priority="4596">
      <formula>U299&lt;W299-#REF!</formula>
    </cfRule>
  </conditionalFormatting>
  <conditionalFormatting sqref="U299:W311">
    <cfRule type="expression" dxfId="1640" priority="4589">
      <formula>U299&gt;W299+#REF!</formula>
    </cfRule>
  </conditionalFormatting>
  <conditionalFormatting sqref="U312:W312">
    <cfRule type="expression" dxfId="1639" priority="4593">
      <formula>U312&gt;W312*#REF!</formula>
    </cfRule>
  </conditionalFormatting>
  <conditionalFormatting sqref="U314:W315">
    <cfRule type="expression" dxfId="1638" priority="4538">
      <formula>U314&lt;W314*#REF!</formula>
    </cfRule>
    <cfRule type="expression" dxfId="1637" priority="4539">
      <formula>U314&gt;W314*#REF!</formula>
    </cfRule>
  </conditionalFormatting>
  <conditionalFormatting sqref="U316:W318">
    <cfRule type="expression" dxfId="1636" priority="4540">
      <formula>U316&lt;W316-#REF!</formula>
    </cfRule>
  </conditionalFormatting>
  <conditionalFormatting sqref="U316:W328">
    <cfRule type="expression" dxfId="1635" priority="4533">
      <formula>U316&gt;W316+#REF!</formula>
    </cfRule>
  </conditionalFormatting>
  <conditionalFormatting sqref="U329:W329">
    <cfRule type="expression" dxfId="1634" priority="4537">
      <formula>U329&gt;W329*#REF!</formula>
    </cfRule>
  </conditionalFormatting>
  <conditionalFormatting sqref="U331:W332">
    <cfRule type="expression" dxfId="1633" priority="4482">
      <formula>U331&lt;W331*#REF!</formula>
    </cfRule>
    <cfRule type="expression" dxfId="1632" priority="4483">
      <formula>U331&gt;W331*#REF!</formula>
    </cfRule>
  </conditionalFormatting>
  <conditionalFormatting sqref="U333:W335">
    <cfRule type="expression" dxfId="1631" priority="4484">
      <formula>U333&lt;W333-#REF!</formula>
    </cfRule>
  </conditionalFormatting>
  <conditionalFormatting sqref="U333:W345">
    <cfRule type="expression" dxfId="1630" priority="4477">
      <formula>U333&gt;W333+#REF!</formula>
    </cfRule>
  </conditionalFormatting>
  <conditionalFormatting sqref="U346:W346">
    <cfRule type="expression" dxfId="1629" priority="4481">
      <formula>U346&gt;W346*#REF!</formula>
    </cfRule>
  </conditionalFormatting>
  <conditionalFormatting sqref="U348:W349">
    <cfRule type="expression" dxfId="1628" priority="1390">
      <formula>U348&lt;W348*#REF!</formula>
    </cfRule>
    <cfRule type="expression" dxfId="1627" priority="1391">
      <formula>U348&gt;W348*#REF!</formula>
    </cfRule>
  </conditionalFormatting>
  <conditionalFormatting sqref="U350:W352">
    <cfRule type="expression" dxfId="1626" priority="1392">
      <formula>U350&lt;W350-#REF!</formula>
    </cfRule>
  </conditionalFormatting>
  <conditionalFormatting sqref="U350:W362">
    <cfRule type="expression" dxfId="1625" priority="1385">
      <formula>U350&gt;W350+#REF!</formula>
    </cfRule>
  </conditionalFormatting>
  <conditionalFormatting sqref="U363:W363">
    <cfRule type="expression" dxfId="1624" priority="1389">
      <formula>U363&gt;W363*#REF!</formula>
    </cfRule>
  </conditionalFormatting>
  <conditionalFormatting sqref="V18:V22">
    <cfRule type="expression" dxfId="1623" priority="2292">
      <formula>V18&lt;X18-#REF!</formula>
    </cfRule>
  </conditionalFormatting>
  <conditionalFormatting sqref="V35:V39">
    <cfRule type="expression" dxfId="1622" priority="2228">
      <formula>V35&lt;X35-#REF!</formula>
    </cfRule>
  </conditionalFormatting>
  <conditionalFormatting sqref="V52:V56">
    <cfRule type="expression" dxfId="1621" priority="2172">
      <formula>V52&lt;X52-#REF!</formula>
    </cfRule>
  </conditionalFormatting>
  <conditionalFormatting sqref="V69:V73">
    <cfRule type="expression" dxfId="1620" priority="2116">
      <formula>V69&lt;X69-#REF!</formula>
    </cfRule>
  </conditionalFormatting>
  <conditionalFormatting sqref="V86:V90">
    <cfRule type="expression" dxfId="1619" priority="2060">
      <formula>V86&lt;X86-#REF!</formula>
    </cfRule>
  </conditionalFormatting>
  <conditionalFormatting sqref="V103:V107">
    <cfRule type="expression" dxfId="1618" priority="2004">
      <formula>V103&lt;X103-#REF!</formula>
    </cfRule>
  </conditionalFormatting>
  <conditionalFormatting sqref="V120:V124">
    <cfRule type="expression" dxfId="1617" priority="1948">
      <formula>V120&lt;X120-#REF!</formula>
    </cfRule>
  </conditionalFormatting>
  <conditionalFormatting sqref="V137:V141">
    <cfRule type="expression" dxfId="1616" priority="1892">
      <formula>V137&lt;X137-#REF!</formula>
    </cfRule>
  </conditionalFormatting>
  <conditionalFormatting sqref="V154:V158">
    <cfRule type="expression" dxfId="1615" priority="1836">
      <formula>V154&lt;X154-#REF!</formula>
    </cfRule>
  </conditionalFormatting>
  <conditionalFormatting sqref="V171:V175">
    <cfRule type="expression" dxfId="1614" priority="1780">
      <formula>V171&lt;X171-#REF!</formula>
    </cfRule>
  </conditionalFormatting>
  <conditionalFormatting sqref="V188:V192">
    <cfRule type="expression" dxfId="1613" priority="1724">
      <formula>V188&lt;X188-#REF!</formula>
    </cfRule>
  </conditionalFormatting>
  <conditionalFormatting sqref="V205:V209">
    <cfRule type="expression" dxfId="1612" priority="1676">
      <formula>V205&lt;X205-#REF!</formula>
    </cfRule>
  </conditionalFormatting>
  <conditionalFormatting sqref="V222:V226">
    <cfRule type="expression" dxfId="1611" priority="1612">
      <formula>V222&lt;X222-#REF!</formula>
    </cfRule>
  </conditionalFormatting>
  <conditionalFormatting sqref="V239:V243">
    <cfRule type="expression" dxfId="1610" priority="1556">
      <formula>V239&lt;X239-#REF!</formula>
    </cfRule>
  </conditionalFormatting>
  <conditionalFormatting sqref="V256:V260">
    <cfRule type="expression" dxfId="1609" priority="4704">
      <formula>V256&lt;X256-#REF!</formula>
    </cfRule>
  </conditionalFormatting>
  <conditionalFormatting sqref="V273:V277">
    <cfRule type="expression" dxfId="1608" priority="1500">
      <formula>V273&lt;X273-#REF!</formula>
    </cfRule>
  </conditionalFormatting>
  <conditionalFormatting sqref="V290:V294">
    <cfRule type="expression" dxfId="1607" priority="1452">
      <formula>V290&lt;X290-#REF!</formula>
    </cfRule>
  </conditionalFormatting>
  <conditionalFormatting sqref="V307:V311">
    <cfRule type="expression" dxfId="1606" priority="4592">
      <formula>V307&lt;X307-#REF!</formula>
    </cfRule>
  </conditionalFormatting>
  <conditionalFormatting sqref="V324:V328">
    <cfRule type="expression" dxfId="1605" priority="4536">
      <formula>V324&lt;X324-#REF!</formula>
    </cfRule>
  </conditionalFormatting>
  <conditionalFormatting sqref="V341:V345">
    <cfRule type="expression" dxfId="1604" priority="4480">
      <formula>V341&lt;X341-#REF!</formula>
    </cfRule>
  </conditionalFormatting>
  <conditionalFormatting sqref="V358:V362">
    <cfRule type="expression" dxfId="1603" priority="1388">
      <formula>V358&lt;X358-#REF!</formula>
    </cfRule>
  </conditionalFormatting>
  <conditionalFormatting sqref="V14:W15">
    <cfRule type="expression" dxfId="1602" priority="2291">
      <formula>V14&lt;X14-#REF!</formula>
    </cfRule>
  </conditionalFormatting>
  <conditionalFormatting sqref="V31:W32">
    <cfRule type="expression" dxfId="1601" priority="2227">
      <formula>V31&lt;X31-#REF!</formula>
    </cfRule>
  </conditionalFormatting>
  <conditionalFormatting sqref="V48:W49">
    <cfRule type="expression" dxfId="1600" priority="2171">
      <formula>V48&lt;X48-#REF!</formula>
    </cfRule>
  </conditionalFormatting>
  <conditionalFormatting sqref="V65:W66">
    <cfRule type="expression" dxfId="1599" priority="2115">
      <formula>V65&lt;X65-#REF!</formula>
    </cfRule>
  </conditionalFormatting>
  <conditionalFormatting sqref="V82:W83">
    <cfRule type="expression" dxfId="1598" priority="2059">
      <formula>V82&lt;X82-#REF!</formula>
    </cfRule>
  </conditionalFormatting>
  <conditionalFormatting sqref="V99:W100">
    <cfRule type="expression" dxfId="1597" priority="2003">
      <formula>V99&lt;X99-#REF!</formula>
    </cfRule>
  </conditionalFormatting>
  <conditionalFormatting sqref="V116:W117">
    <cfRule type="expression" dxfId="1596" priority="1947">
      <formula>V116&lt;X116-#REF!</formula>
    </cfRule>
  </conditionalFormatting>
  <conditionalFormatting sqref="V133:W134">
    <cfRule type="expression" dxfId="1595" priority="1891">
      <formula>V133&lt;X133-#REF!</formula>
    </cfRule>
  </conditionalFormatting>
  <conditionalFormatting sqref="V150:W151">
    <cfRule type="expression" dxfId="1594" priority="1835">
      <formula>V150&lt;X150-#REF!</formula>
    </cfRule>
  </conditionalFormatting>
  <conditionalFormatting sqref="V167:W168">
    <cfRule type="expression" dxfId="1593" priority="1779">
      <formula>V167&lt;X167-#REF!</formula>
    </cfRule>
  </conditionalFormatting>
  <conditionalFormatting sqref="V184:W185">
    <cfRule type="expression" dxfId="1592" priority="1723">
      <formula>V184&lt;X184-#REF!</formula>
    </cfRule>
  </conditionalFormatting>
  <conditionalFormatting sqref="V201:W202">
    <cfRule type="expression" dxfId="1591" priority="1675">
      <formula>V201&lt;X201-#REF!</formula>
    </cfRule>
  </conditionalFormatting>
  <conditionalFormatting sqref="V218:W219">
    <cfRule type="expression" dxfId="1590" priority="1611">
      <formula>V218&lt;X218-#REF!</formula>
    </cfRule>
  </conditionalFormatting>
  <conditionalFormatting sqref="V235:W236">
    <cfRule type="expression" dxfId="1589" priority="1555">
      <formula>V235&lt;X235-#REF!</formula>
    </cfRule>
  </conditionalFormatting>
  <conditionalFormatting sqref="V252:W253">
    <cfRule type="expression" dxfId="1588" priority="4703">
      <formula>V252&lt;X252-#REF!</formula>
    </cfRule>
  </conditionalFormatting>
  <conditionalFormatting sqref="V269:W270">
    <cfRule type="expression" dxfId="1587" priority="1499">
      <formula>V269&lt;X269-#REF!</formula>
    </cfRule>
  </conditionalFormatting>
  <conditionalFormatting sqref="V286:W287">
    <cfRule type="expression" dxfId="1586" priority="1451">
      <formula>V286&lt;X286-#REF!</formula>
    </cfRule>
  </conditionalFormatting>
  <conditionalFormatting sqref="V303:W304">
    <cfRule type="expression" dxfId="1585" priority="4591">
      <formula>V303&lt;X303-#REF!</formula>
    </cfRule>
  </conditionalFormatting>
  <conditionalFormatting sqref="V320:W321">
    <cfRule type="expression" dxfId="1584" priority="4535">
      <formula>V320&lt;X320-#REF!</formula>
    </cfRule>
  </conditionalFormatting>
  <conditionalFormatting sqref="V337:W338">
    <cfRule type="expression" dxfId="1583" priority="4479">
      <formula>V337&lt;X337-#REF!</formula>
    </cfRule>
  </conditionalFormatting>
  <conditionalFormatting sqref="V354:W355">
    <cfRule type="expression" dxfId="1582" priority="1387">
      <formula>V354&lt;X354-#REF!</formula>
    </cfRule>
  </conditionalFormatting>
  <conditionalFormatting sqref="W18:W19">
    <cfRule type="expression" dxfId="1581" priority="2290">
      <formula>W18&lt;Y18-#REF!</formula>
    </cfRule>
  </conditionalFormatting>
  <conditionalFormatting sqref="W35:W36">
    <cfRule type="expression" dxfId="1580" priority="2226">
      <formula>W35&lt;Y35-#REF!</formula>
    </cfRule>
  </conditionalFormatting>
  <conditionalFormatting sqref="W52:W53">
    <cfRule type="expression" dxfId="1579" priority="2170">
      <formula>W52&lt;Y52-#REF!</formula>
    </cfRule>
  </conditionalFormatting>
  <conditionalFormatting sqref="W69:W70">
    <cfRule type="expression" dxfId="1578" priority="2114">
      <formula>W69&lt;Y69-#REF!</formula>
    </cfRule>
  </conditionalFormatting>
  <conditionalFormatting sqref="W86:W87">
    <cfRule type="expression" dxfId="1577" priority="2058">
      <formula>W86&lt;Y86-#REF!</formula>
    </cfRule>
  </conditionalFormatting>
  <conditionalFormatting sqref="W103:W104">
    <cfRule type="expression" dxfId="1576" priority="2002">
      <formula>W103&lt;Y103-#REF!</formula>
    </cfRule>
  </conditionalFormatting>
  <conditionalFormatting sqref="W120:W121">
    <cfRule type="expression" dxfId="1575" priority="1946">
      <formula>W120&lt;Y120-#REF!</formula>
    </cfRule>
  </conditionalFormatting>
  <conditionalFormatting sqref="W137:W138">
    <cfRule type="expression" dxfId="1574" priority="1890">
      <formula>W137&lt;Y137-#REF!</formula>
    </cfRule>
  </conditionalFormatting>
  <conditionalFormatting sqref="W154:W155">
    <cfRule type="expression" dxfId="1573" priority="1834">
      <formula>W154&lt;Y154-#REF!</formula>
    </cfRule>
  </conditionalFormatting>
  <conditionalFormatting sqref="W171:W172">
    <cfRule type="expression" dxfId="1572" priority="1778">
      <formula>W171&lt;Y171-#REF!</formula>
    </cfRule>
  </conditionalFormatting>
  <conditionalFormatting sqref="W188:W189">
    <cfRule type="expression" dxfId="1571" priority="1722">
      <formula>W188&lt;Y188-#REF!</formula>
    </cfRule>
  </conditionalFormatting>
  <conditionalFormatting sqref="W205:W206">
    <cfRule type="expression" dxfId="1570" priority="1674">
      <formula>W205&lt;Y205-#REF!</formula>
    </cfRule>
  </conditionalFormatting>
  <conditionalFormatting sqref="W222:W223">
    <cfRule type="expression" dxfId="1569" priority="1610">
      <formula>W222&lt;Y222-#REF!</formula>
    </cfRule>
  </conditionalFormatting>
  <conditionalFormatting sqref="W239:W240">
    <cfRule type="expression" dxfId="1568" priority="1554">
      <formula>W239&lt;Y239-#REF!</formula>
    </cfRule>
  </conditionalFormatting>
  <conditionalFormatting sqref="W256:W257">
    <cfRule type="expression" dxfId="1567" priority="4702">
      <formula>W256&lt;Y256-#REF!</formula>
    </cfRule>
  </conditionalFormatting>
  <conditionalFormatting sqref="W273:W274">
    <cfRule type="expression" dxfId="1566" priority="1498">
      <formula>W273&lt;Y273-#REF!</formula>
    </cfRule>
  </conditionalFormatting>
  <conditionalFormatting sqref="W290:W291">
    <cfRule type="expression" dxfId="1565" priority="1450">
      <formula>W290&lt;Y290-#REF!</formula>
    </cfRule>
  </conditionalFormatting>
  <conditionalFormatting sqref="W307:W308">
    <cfRule type="expression" dxfId="1564" priority="4590">
      <formula>W307&lt;Y307-#REF!</formula>
    </cfRule>
  </conditionalFormatting>
  <conditionalFormatting sqref="W324:W325">
    <cfRule type="expression" dxfId="1563" priority="4534">
      <formula>W324&lt;Y324-#REF!</formula>
    </cfRule>
  </conditionalFormatting>
  <conditionalFormatting sqref="W341:W342">
    <cfRule type="expression" dxfId="1562" priority="4478">
      <formula>W341&lt;Y341-#REF!</formula>
    </cfRule>
  </conditionalFormatting>
  <conditionalFormatting sqref="W358:W359">
    <cfRule type="expression" dxfId="1561" priority="1386">
      <formula>W358&lt;Y358-#REF!</formula>
    </cfRule>
  </conditionalFormatting>
  <conditionalFormatting sqref="Y8:AA9">
    <cfRule type="expression" dxfId="1560" priority="2287">
      <formula>Y8&gt;AA8*#REF!</formula>
    </cfRule>
    <cfRule type="expression" dxfId="1559" priority="2286">
      <formula>Y8&lt;AA8*#REF!</formula>
    </cfRule>
  </conditionalFormatting>
  <conditionalFormatting sqref="Y10:AA12">
    <cfRule type="expression" dxfId="1558" priority="2288">
      <formula>Y10&lt;AA10-#REF!</formula>
    </cfRule>
  </conditionalFormatting>
  <conditionalFormatting sqref="Y10:AA22">
    <cfRule type="expression" dxfId="1557" priority="2281">
      <formula>Y10&gt;AA10+#REF!</formula>
    </cfRule>
  </conditionalFormatting>
  <conditionalFormatting sqref="Y23:AA23">
    <cfRule type="expression" dxfId="1556" priority="2285">
      <formula>Y23&gt;AA23*#REF!</formula>
    </cfRule>
  </conditionalFormatting>
  <conditionalFormatting sqref="Y25:AA26">
    <cfRule type="expression" dxfId="1555" priority="2222">
      <formula>Y25&lt;AA25*#REF!</formula>
    </cfRule>
    <cfRule type="expression" dxfId="1554" priority="2223">
      <formula>Y25&gt;AA25*#REF!</formula>
    </cfRule>
  </conditionalFormatting>
  <conditionalFormatting sqref="Y27:AA29">
    <cfRule type="expression" dxfId="1553" priority="2224">
      <formula>Y27&lt;AA27-#REF!</formula>
    </cfRule>
  </conditionalFormatting>
  <conditionalFormatting sqref="Y27:AA39">
    <cfRule type="expression" dxfId="1552" priority="2217">
      <formula>Y27&gt;AA27+#REF!</formula>
    </cfRule>
  </conditionalFormatting>
  <conditionalFormatting sqref="Y40:AA40">
    <cfRule type="expression" dxfId="1551" priority="2221">
      <formula>Y40&gt;AA40*#REF!</formula>
    </cfRule>
  </conditionalFormatting>
  <conditionalFormatting sqref="Y42:AA43">
    <cfRule type="expression" dxfId="1550" priority="2167">
      <formula>Y42&gt;AA42*#REF!</formula>
    </cfRule>
    <cfRule type="expression" dxfId="1549" priority="2166">
      <formula>Y42&lt;AA42*#REF!</formula>
    </cfRule>
  </conditionalFormatting>
  <conditionalFormatting sqref="Y44:AA46">
    <cfRule type="expression" dxfId="1548" priority="2168">
      <formula>Y44&lt;AA44-#REF!</formula>
    </cfRule>
  </conditionalFormatting>
  <conditionalFormatting sqref="Y44:AA56">
    <cfRule type="expression" dxfId="1547" priority="2161">
      <formula>Y44&gt;AA44+#REF!</formula>
    </cfRule>
  </conditionalFormatting>
  <conditionalFormatting sqref="Y57:AA57">
    <cfRule type="expression" dxfId="1546" priority="2165">
      <formula>Y57&gt;AA57*#REF!</formula>
    </cfRule>
  </conditionalFormatting>
  <conditionalFormatting sqref="Y59:AA60">
    <cfRule type="expression" dxfId="1545" priority="2110">
      <formula>Y59&lt;AA59*#REF!</formula>
    </cfRule>
    <cfRule type="expression" dxfId="1544" priority="2111">
      <formula>Y59&gt;AA59*#REF!</formula>
    </cfRule>
  </conditionalFormatting>
  <conditionalFormatting sqref="Y61:AA63">
    <cfRule type="expression" dxfId="1543" priority="2112">
      <formula>Y61&lt;AA61-#REF!</formula>
    </cfRule>
  </conditionalFormatting>
  <conditionalFormatting sqref="Y61:AA73">
    <cfRule type="expression" dxfId="1542" priority="2105">
      <formula>Y61&gt;AA61+#REF!</formula>
    </cfRule>
  </conditionalFormatting>
  <conditionalFormatting sqref="Y74:AA74">
    <cfRule type="expression" dxfId="1541" priority="2109">
      <formula>Y74&gt;AA74*#REF!</formula>
    </cfRule>
  </conditionalFormatting>
  <conditionalFormatting sqref="Y76:AA77">
    <cfRule type="expression" dxfId="1540" priority="2054">
      <formula>Y76&lt;AA76*#REF!</formula>
    </cfRule>
    <cfRule type="expression" dxfId="1539" priority="2055">
      <formula>Y76&gt;AA76*#REF!</formula>
    </cfRule>
  </conditionalFormatting>
  <conditionalFormatting sqref="Y78:AA80">
    <cfRule type="expression" dxfId="1538" priority="2056">
      <formula>Y78&lt;AA78-#REF!</formula>
    </cfRule>
  </conditionalFormatting>
  <conditionalFormatting sqref="Y78:AA90">
    <cfRule type="expression" dxfId="1537" priority="2049">
      <formula>Y78&gt;AA78+#REF!</formula>
    </cfRule>
  </conditionalFormatting>
  <conditionalFormatting sqref="Y91:AA91">
    <cfRule type="expression" dxfId="1536" priority="2053">
      <formula>Y91&gt;AA91*#REF!</formula>
    </cfRule>
  </conditionalFormatting>
  <conditionalFormatting sqref="Y93:AA94">
    <cfRule type="expression" dxfId="1535" priority="1999">
      <formula>Y93&gt;AA93*#REF!</formula>
    </cfRule>
    <cfRule type="expression" dxfId="1534" priority="1998">
      <formula>Y93&lt;AA93*#REF!</formula>
    </cfRule>
  </conditionalFormatting>
  <conditionalFormatting sqref="Y95:AA97">
    <cfRule type="expression" dxfId="1533" priority="2000">
      <formula>Y95&lt;AA95-#REF!</formula>
    </cfRule>
  </conditionalFormatting>
  <conditionalFormatting sqref="Y95:AA107">
    <cfRule type="expression" dxfId="1532" priority="1993">
      <formula>Y95&gt;AA95+#REF!</formula>
    </cfRule>
  </conditionalFormatting>
  <conditionalFormatting sqref="Y108:AA108">
    <cfRule type="expression" dxfId="1531" priority="1997">
      <formula>Y108&gt;AA108*#REF!</formula>
    </cfRule>
  </conditionalFormatting>
  <conditionalFormatting sqref="Y110:AA111">
    <cfRule type="expression" dxfId="1530" priority="1943">
      <formula>Y110&gt;AA110*#REF!</formula>
    </cfRule>
    <cfRule type="expression" dxfId="1529" priority="1942">
      <formula>Y110&lt;AA110*#REF!</formula>
    </cfRule>
  </conditionalFormatting>
  <conditionalFormatting sqref="Y112:AA114">
    <cfRule type="expression" dxfId="1528" priority="1944">
      <formula>Y112&lt;AA112-#REF!</formula>
    </cfRule>
  </conditionalFormatting>
  <conditionalFormatting sqref="Y112:AA124">
    <cfRule type="expression" dxfId="1527" priority="1937">
      <formula>Y112&gt;AA112+#REF!</formula>
    </cfRule>
  </conditionalFormatting>
  <conditionalFormatting sqref="Y125:AA125">
    <cfRule type="expression" dxfId="1526" priority="1941">
      <formula>Y125&gt;AA125*#REF!</formula>
    </cfRule>
  </conditionalFormatting>
  <conditionalFormatting sqref="Y127:AA128">
    <cfRule type="expression" dxfId="1525" priority="1886">
      <formula>Y127&lt;AA127*#REF!</formula>
    </cfRule>
    <cfRule type="expression" dxfId="1524" priority="1887">
      <formula>Y127&gt;AA127*#REF!</formula>
    </cfRule>
  </conditionalFormatting>
  <conditionalFormatting sqref="Y129:AA131">
    <cfRule type="expression" dxfId="1523" priority="1888">
      <formula>Y129&lt;AA129-#REF!</formula>
    </cfRule>
  </conditionalFormatting>
  <conditionalFormatting sqref="Y129:AA141">
    <cfRule type="expression" dxfId="1522" priority="1881">
      <formula>Y129&gt;AA129+#REF!</formula>
    </cfRule>
  </conditionalFormatting>
  <conditionalFormatting sqref="Y142:AA142">
    <cfRule type="expression" dxfId="1521" priority="1885">
      <formula>Y142&gt;AA142*#REF!</formula>
    </cfRule>
  </conditionalFormatting>
  <conditionalFormatting sqref="Y144:AA145">
    <cfRule type="expression" dxfId="1520" priority="1830">
      <formula>Y144&lt;AA144*#REF!</formula>
    </cfRule>
    <cfRule type="expression" dxfId="1519" priority="1831">
      <formula>Y144&gt;AA144*#REF!</formula>
    </cfRule>
  </conditionalFormatting>
  <conditionalFormatting sqref="Y146:AA148">
    <cfRule type="expression" dxfId="1518" priority="1832">
      <formula>Y146&lt;AA146-#REF!</formula>
    </cfRule>
  </conditionalFormatting>
  <conditionalFormatting sqref="Y146:AA158">
    <cfRule type="expression" dxfId="1517" priority="1825">
      <formula>Y146&gt;AA146+#REF!</formula>
    </cfRule>
  </conditionalFormatting>
  <conditionalFormatting sqref="Y159:AA159">
    <cfRule type="expression" dxfId="1516" priority="1829">
      <formula>Y159&gt;AA159*#REF!</formula>
    </cfRule>
  </conditionalFormatting>
  <conditionalFormatting sqref="Y161:AA162">
    <cfRule type="expression" dxfId="1515" priority="1775">
      <formula>Y161&gt;AA161*#REF!</formula>
    </cfRule>
    <cfRule type="expression" dxfId="1514" priority="1774">
      <formula>Y161&lt;AA161*#REF!</formula>
    </cfRule>
  </conditionalFormatting>
  <conditionalFormatting sqref="Y163:AA165">
    <cfRule type="expression" dxfId="1513" priority="1776">
      <formula>Y163&lt;AA163-#REF!</formula>
    </cfRule>
  </conditionalFormatting>
  <conditionalFormatting sqref="Y163:AA175">
    <cfRule type="expression" dxfId="1512" priority="1769">
      <formula>Y163&gt;AA163+#REF!</formula>
    </cfRule>
  </conditionalFormatting>
  <conditionalFormatting sqref="Y176:AA176">
    <cfRule type="expression" dxfId="1511" priority="1773">
      <formula>Y176&gt;AA176*#REF!</formula>
    </cfRule>
  </conditionalFormatting>
  <conditionalFormatting sqref="Y178:AA179">
    <cfRule type="expression" dxfId="1510" priority="1719">
      <formula>Y178&gt;AA178*#REF!</formula>
    </cfRule>
    <cfRule type="expression" dxfId="1509" priority="1718">
      <formula>Y178&lt;AA178*#REF!</formula>
    </cfRule>
  </conditionalFormatting>
  <conditionalFormatting sqref="Y180:AA182">
    <cfRule type="expression" dxfId="1508" priority="1720">
      <formula>Y180&lt;AA180-#REF!</formula>
    </cfRule>
  </conditionalFormatting>
  <conditionalFormatting sqref="Y180:AA192">
    <cfRule type="expression" dxfId="1507" priority="1713">
      <formula>Y180&gt;AA180+#REF!</formula>
    </cfRule>
  </conditionalFormatting>
  <conditionalFormatting sqref="Y193:AA193">
    <cfRule type="expression" dxfId="1506" priority="1717">
      <formula>Y193&gt;AA193*#REF!</formula>
    </cfRule>
  </conditionalFormatting>
  <conditionalFormatting sqref="Y195:AA196">
    <cfRule type="expression" dxfId="1505" priority="1670">
      <formula>Y195&lt;AA195*#REF!</formula>
    </cfRule>
    <cfRule type="expression" dxfId="1504" priority="1671">
      <formula>Y195&gt;AA195*#REF!</formula>
    </cfRule>
  </conditionalFormatting>
  <conditionalFormatting sqref="Y197:AA199">
    <cfRule type="expression" dxfId="1503" priority="1672">
      <formula>Y197&lt;AA197-#REF!</formula>
    </cfRule>
  </conditionalFormatting>
  <conditionalFormatting sqref="Y197:AA209">
    <cfRule type="expression" dxfId="1502" priority="1665">
      <formula>Y197&gt;AA197+#REF!</formula>
    </cfRule>
  </conditionalFormatting>
  <conditionalFormatting sqref="Y210:AA210">
    <cfRule type="expression" dxfId="1501" priority="1669">
      <formula>Y210&gt;AA210*#REF!</formula>
    </cfRule>
  </conditionalFormatting>
  <conditionalFormatting sqref="Y212:AA213">
    <cfRule type="expression" dxfId="1500" priority="1607">
      <formula>Y212&gt;AA212*#REF!</formula>
    </cfRule>
    <cfRule type="expression" dxfId="1499" priority="1606">
      <formula>Y212&lt;AA212*#REF!</formula>
    </cfRule>
  </conditionalFormatting>
  <conditionalFormatting sqref="Y214:AA216">
    <cfRule type="expression" dxfId="1498" priority="1608">
      <formula>Y214&lt;AA214-#REF!</formula>
    </cfRule>
  </conditionalFormatting>
  <conditionalFormatting sqref="Y214:AA226">
    <cfRule type="expression" dxfId="1497" priority="1601">
      <formula>Y214&gt;AA214+#REF!</formula>
    </cfRule>
  </conditionalFormatting>
  <conditionalFormatting sqref="Y227:AA227">
    <cfRule type="expression" dxfId="1496" priority="1605">
      <formula>Y227&gt;AA227*#REF!</formula>
    </cfRule>
  </conditionalFormatting>
  <conditionalFormatting sqref="Y229:AA230">
    <cfRule type="expression" dxfId="1495" priority="1551">
      <formula>Y229&gt;AA229*#REF!</formula>
    </cfRule>
    <cfRule type="expression" dxfId="1494" priority="1550">
      <formula>Y229&lt;AA229*#REF!</formula>
    </cfRule>
  </conditionalFormatting>
  <conditionalFormatting sqref="Y231:AA233">
    <cfRule type="expression" dxfId="1493" priority="1552">
      <formula>Y231&lt;AA231-#REF!</formula>
    </cfRule>
  </conditionalFormatting>
  <conditionalFormatting sqref="Y231:AA243">
    <cfRule type="expression" dxfId="1492" priority="1545">
      <formula>Y231&gt;AA231+#REF!</formula>
    </cfRule>
  </conditionalFormatting>
  <conditionalFormatting sqref="Y244:AA244">
    <cfRule type="expression" dxfId="1491" priority="1549">
      <formula>Y244&gt;AA244*#REF!</formula>
    </cfRule>
  </conditionalFormatting>
  <conditionalFormatting sqref="Y246:AA247">
    <cfRule type="expression" dxfId="1490" priority="4699">
      <formula>Y246&gt;AA246*#REF!</formula>
    </cfRule>
    <cfRule type="expression" dxfId="1489" priority="4698">
      <formula>Y246&lt;AA246*#REF!</formula>
    </cfRule>
  </conditionalFormatting>
  <conditionalFormatting sqref="Y248:AA250">
    <cfRule type="expression" dxfId="1488" priority="4700">
      <formula>Y248&lt;AA248-#REF!</formula>
    </cfRule>
  </conditionalFormatting>
  <conditionalFormatting sqref="Y248:AA260">
    <cfRule type="expression" dxfId="1487" priority="4693">
      <formula>Y248&gt;AA248+#REF!</formula>
    </cfRule>
  </conditionalFormatting>
  <conditionalFormatting sqref="Y261:AA261">
    <cfRule type="expression" dxfId="1486" priority="4697">
      <formula>Y261&gt;AA261*#REF!</formula>
    </cfRule>
  </conditionalFormatting>
  <conditionalFormatting sqref="Y263:AA264">
    <cfRule type="expression" dxfId="1485" priority="1495">
      <formula>Y263&gt;AA263*#REF!</formula>
    </cfRule>
    <cfRule type="expression" dxfId="1484" priority="1494">
      <formula>Y263&lt;AA263*#REF!</formula>
    </cfRule>
  </conditionalFormatting>
  <conditionalFormatting sqref="Y265:AA267">
    <cfRule type="expression" dxfId="1483" priority="1496">
      <formula>Y265&lt;AA265-#REF!</formula>
    </cfRule>
  </conditionalFormatting>
  <conditionalFormatting sqref="Y265:AA277">
    <cfRule type="expression" dxfId="1482" priority="1489">
      <formula>Y265&gt;AA265+#REF!</formula>
    </cfRule>
  </conditionalFormatting>
  <conditionalFormatting sqref="Y278:AA278">
    <cfRule type="expression" dxfId="1481" priority="1493">
      <formula>Y278&gt;AA278*#REF!</formula>
    </cfRule>
  </conditionalFormatting>
  <conditionalFormatting sqref="Y280:AA281">
    <cfRule type="expression" dxfId="1480" priority="1447">
      <formula>Y280&gt;AA280*#REF!</formula>
    </cfRule>
    <cfRule type="expression" dxfId="1479" priority="1446">
      <formula>Y280&lt;AA280*#REF!</formula>
    </cfRule>
  </conditionalFormatting>
  <conditionalFormatting sqref="Y282:AA284">
    <cfRule type="expression" dxfId="1478" priority="1448">
      <formula>Y282&lt;AA282-#REF!</formula>
    </cfRule>
  </conditionalFormatting>
  <conditionalFormatting sqref="Y282:AA294">
    <cfRule type="expression" dxfId="1477" priority="1441">
      <formula>Y282&gt;AA282+#REF!</formula>
    </cfRule>
  </conditionalFormatting>
  <conditionalFormatting sqref="Y295:AA295">
    <cfRule type="expression" dxfId="1476" priority="1445">
      <formula>Y295&gt;AA295*#REF!</formula>
    </cfRule>
  </conditionalFormatting>
  <conditionalFormatting sqref="Y297:AA298">
    <cfRule type="expression" dxfId="1475" priority="4587">
      <formula>Y297&gt;AA297*#REF!</formula>
    </cfRule>
    <cfRule type="expression" dxfId="1474" priority="4586">
      <formula>Y297&lt;AA297*#REF!</formula>
    </cfRule>
  </conditionalFormatting>
  <conditionalFormatting sqref="Y299:AA301">
    <cfRule type="expression" dxfId="1473" priority="4588">
      <formula>Y299&lt;AA299-#REF!</formula>
    </cfRule>
  </conditionalFormatting>
  <conditionalFormatting sqref="Y299:AA311">
    <cfRule type="expression" dxfId="1472" priority="4581">
      <formula>Y299&gt;AA299+#REF!</formula>
    </cfRule>
  </conditionalFormatting>
  <conditionalFormatting sqref="Y312:AA312">
    <cfRule type="expression" dxfId="1471" priority="4585">
      <formula>Y312&gt;AA312*#REF!</formula>
    </cfRule>
  </conditionalFormatting>
  <conditionalFormatting sqref="Y314:AA315">
    <cfRule type="expression" dxfId="1470" priority="4531">
      <formula>Y314&gt;AA314*#REF!</formula>
    </cfRule>
    <cfRule type="expression" dxfId="1469" priority="4530">
      <formula>Y314&lt;AA314*#REF!</formula>
    </cfRule>
  </conditionalFormatting>
  <conditionalFormatting sqref="Y316:AA318">
    <cfRule type="expression" dxfId="1468" priority="4532">
      <formula>Y316&lt;AA316-#REF!</formula>
    </cfRule>
  </conditionalFormatting>
  <conditionalFormatting sqref="Y316:AA328">
    <cfRule type="expression" dxfId="1467" priority="4525">
      <formula>Y316&gt;AA316+#REF!</formula>
    </cfRule>
  </conditionalFormatting>
  <conditionalFormatting sqref="Y329:AA329">
    <cfRule type="expression" dxfId="1466" priority="4529">
      <formula>Y329&gt;AA329*#REF!</formula>
    </cfRule>
  </conditionalFormatting>
  <conditionalFormatting sqref="Y331:AA332">
    <cfRule type="expression" dxfId="1465" priority="4474">
      <formula>Y331&lt;AA331*#REF!</formula>
    </cfRule>
    <cfRule type="expression" dxfId="1464" priority="4475">
      <formula>Y331&gt;AA331*#REF!</formula>
    </cfRule>
  </conditionalFormatting>
  <conditionalFormatting sqref="Y333:AA335">
    <cfRule type="expression" dxfId="1463" priority="4476">
      <formula>Y333&lt;AA333-#REF!</formula>
    </cfRule>
  </conditionalFormatting>
  <conditionalFormatting sqref="Y333:AA345">
    <cfRule type="expression" dxfId="1462" priority="4469">
      <formula>Y333&gt;AA333+#REF!</formula>
    </cfRule>
  </conditionalFormatting>
  <conditionalFormatting sqref="Y346:AA346">
    <cfRule type="expression" dxfId="1461" priority="4473">
      <formula>Y346&gt;AA346*#REF!</formula>
    </cfRule>
  </conditionalFormatting>
  <conditionalFormatting sqref="Y348:AA349">
    <cfRule type="expression" dxfId="1460" priority="1383">
      <formula>Y348&gt;AA348*#REF!</formula>
    </cfRule>
    <cfRule type="expression" dxfId="1459" priority="1382">
      <formula>Y348&lt;AA348*#REF!</formula>
    </cfRule>
  </conditionalFormatting>
  <conditionalFormatting sqref="Y350:AA352">
    <cfRule type="expression" dxfId="1458" priority="1384">
      <formula>Y350&lt;AA350-#REF!</formula>
    </cfRule>
  </conditionalFormatting>
  <conditionalFormatting sqref="Y350:AA362">
    <cfRule type="expression" dxfId="1457" priority="1377">
      <formula>Y350&gt;AA350+#REF!</formula>
    </cfRule>
  </conditionalFormatting>
  <conditionalFormatting sqref="Y363:AA363">
    <cfRule type="expression" dxfId="1456" priority="1381">
      <formula>Y363&gt;AA363*#REF!</formula>
    </cfRule>
  </conditionalFormatting>
  <conditionalFormatting sqref="Z18:Z22">
    <cfRule type="expression" dxfId="1455" priority="2284">
      <formula>Z18&lt;AB18-#REF!</formula>
    </cfRule>
  </conditionalFormatting>
  <conditionalFormatting sqref="Z35:Z39">
    <cfRule type="expression" dxfId="1454" priority="2220">
      <formula>Z35&lt;AB35-#REF!</formula>
    </cfRule>
  </conditionalFormatting>
  <conditionalFormatting sqref="Z52:Z56">
    <cfRule type="expression" dxfId="1453" priority="2164">
      <formula>Z52&lt;AB52-#REF!</formula>
    </cfRule>
  </conditionalFormatting>
  <conditionalFormatting sqref="Z69:Z73">
    <cfRule type="expression" dxfId="1452" priority="2108">
      <formula>Z69&lt;AB69-#REF!</formula>
    </cfRule>
  </conditionalFormatting>
  <conditionalFormatting sqref="Z86:Z90">
    <cfRule type="expression" dxfId="1451" priority="2052">
      <formula>Z86&lt;AB86-#REF!</formula>
    </cfRule>
  </conditionalFormatting>
  <conditionalFormatting sqref="Z103:Z107">
    <cfRule type="expression" dxfId="1450" priority="1996">
      <formula>Z103&lt;AB103-#REF!</formula>
    </cfRule>
  </conditionalFormatting>
  <conditionalFormatting sqref="Z120:Z124">
    <cfRule type="expression" dxfId="1449" priority="1940">
      <formula>Z120&lt;AB120-#REF!</formula>
    </cfRule>
  </conditionalFormatting>
  <conditionalFormatting sqref="Z137:Z141">
    <cfRule type="expression" dxfId="1448" priority="1884">
      <formula>Z137&lt;AB137-#REF!</formula>
    </cfRule>
  </conditionalFormatting>
  <conditionalFormatting sqref="Z154:Z158">
    <cfRule type="expression" dxfId="1447" priority="1828">
      <formula>Z154&lt;AB154-#REF!</formula>
    </cfRule>
  </conditionalFormatting>
  <conditionalFormatting sqref="Z171:Z175">
    <cfRule type="expression" dxfId="1446" priority="1772">
      <formula>Z171&lt;AB171-#REF!</formula>
    </cfRule>
  </conditionalFormatting>
  <conditionalFormatting sqref="Z188:Z192">
    <cfRule type="expression" dxfId="1445" priority="1716">
      <formula>Z188&lt;AB188-#REF!</formula>
    </cfRule>
  </conditionalFormatting>
  <conditionalFormatting sqref="Z205:Z209">
    <cfRule type="expression" dxfId="1444" priority="1668">
      <formula>Z205&lt;AB205-#REF!</formula>
    </cfRule>
  </conditionalFormatting>
  <conditionalFormatting sqref="Z222:Z226">
    <cfRule type="expression" dxfId="1443" priority="1604">
      <formula>Z222&lt;AB222-#REF!</formula>
    </cfRule>
  </conditionalFormatting>
  <conditionalFormatting sqref="Z239:Z243">
    <cfRule type="expression" dxfId="1442" priority="1548">
      <formula>Z239&lt;AB239-#REF!</formula>
    </cfRule>
  </conditionalFormatting>
  <conditionalFormatting sqref="Z256:Z260">
    <cfRule type="expression" dxfId="1441" priority="4696">
      <formula>Z256&lt;AB256-#REF!</formula>
    </cfRule>
  </conditionalFormatting>
  <conditionalFormatting sqref="Z273:Z277">
    <cfRule type="expression" dxfId="1440" priority="1492">
      <formula>Z273&lt;AB273-#REF!</formula>
    </cfRule>
  </conditionalFormatting>
  <conditionalFormatting sqref="Z290:Z294">
    <cfRule type="expression" dxfId="1439" priority="1444">
      <formula>Z290&lt;AB290-#REF!</formula>
    </cfRule>
  </conditionalFormatting>
  <conditionalFormatting sqref="Z307:Z311">
    <cfRule type="expression" dxfId="1438" priority="4584">
      <formula>Z307&lt;AB307-#REF!</formula>
    </cfRule>
  </conditionalFormatting>
  <conditionalFormatting sqref="Z324:Z328">
    <cfRule type="expression" dxfId="1437" priority="4528">
      <formula>Z324&lt;AB324-#REF!</formula>
    </cfRule>
  </conditionalFormatting>
  <conditionalFormatting sqref="Z341:Z345">
    <cfRule type="expression" dxfId="1436" priority="4472">
      <formula>Z341&lt;AB341-#REF!</formula>
    </cfRule>
  </conditionalFormatting>
  <conditionalFormatting sqref="Z358:Z362">
    <cfRule type="expression" dxfId="1435" priority="1380">
      <formula>Z358&lt;AB358-#REF!</formula>
    </cfRule>
  </conditionalFormatting>
  <conditionalFormatting sqref="Z14:AA15">
    <cfRule type="expression" dxfId="1434" priority="2283">
      <formula>Z14&lt;AB14-#REF!</formula>
    </cfRule>
  </conditionalFormatting>
  <conditionalFormatting sqref="Z31:AA32">
    <cfRule type="expression" dxfId="1433" priority="2219">
      <formula>Z31&lt;AB31-#REF!</formula>
    </cfRule>
  </conditionalFormatting>
  <conditionalFormatting sqref="Z48:AA49">
    <cfRule type="expression" dxfId="1432" priority="2163">
      <formula>Z48&lt;AB48-#REF!</formula>
    </cfRule>
  </conditionalFormatting>
  <conditionalFormatting sqref="Z65:AA66">
    <cfRule type="expression" dxfId="1431" priority="2107">
      <formula>Z65&lt;AB65-#REF!</formula>
    </cfRule>
  </conditionalFormatting>
  <conditionalFormatting sqref="Z82:AA83">
    <cfRule type="expression" dxfId="1430" priority="2051">
      <formula>Z82&lt;AB82-#REF!</formula>
    </cfRule>
  </conditionalFormatting>
  <conditionalFormatting sqref="Z99:AA100">
    <cfRule type="expression" dxfId="1429" priority="1995">
      <formula>Z99&lt;AB99-#REF!</formula>
    </cfRule>
  </conditionalFormatting>
  <conditionalFormatting sqref="Z116:AA117">
    <cfRule type="expression" dxfId="1428" priority="1939">
      <formula>Z116&lt;AB116-#REF!</formula>
    </cfRule>
  </conditionalFormatting>
  <conditionalFormatting sqref="Z133:AA134">
    <cfRule type="expression" dxfId="1427" priority="1883">
      <formula>Z133&lt;AB133-#REF!</formula>
    </cfRule>
  </conditionalFormatting>
  <conditionalFormatting sqref="Z150:AA151">
    <cfRule type="expression" dxfId="1426" priority="1827">
      <formula>Z150&lt;AB150-#REF!</formula>
    </cfRule>
  </conditionalFormatting>
  <conditionalFormatting sqref="Z167:AA168">
    <cfRule type="expression" dxfId="1425" priority="1771">
      <formula>Z167&lt;AB167-#REF!</formula>
    </cfRule>
  </conditionalFormatting>
  <conditionalFormatting sqref="Z184:AA185">
    <cfRule type="expression" dxfId="1424" priority="1715">
      <formula>Z184&lt;AB184-#REF!</formula>
    </cfRule>
  </conditionalFormatting>
  <conditionalFormatting sqref="Z201:AA202">
    <cfRule type="expression" dxfId="1423" priority="1667">
      <formula>Z201&lt;AB201-#REF!</formula>
    </cfRule>
  </conditionalFormatting>
  <conditionalFormatting sqref="Z218:AA219">
    <cfRule type="expression" dxfId="1422" priority="1603">
      <formula>Z218&lt;AB218-#REF!</formula>
    </cfRule>
  </conditionalFormatting>
  <conditionalFormatting sqref="Z235:AA236">
    <cfRule type="expression" dxfId="1421" priority="1547">
      <formula>Z235&lt;AB235-#REF!</formula>
    </cfRule>
  </conditionalFormatting>
  <conditionalFormatting sqref="Z252:AA253">
    <cfRule type="expression" dxfId="1420" priority="4695">
      <formula>Z252&lt;AB252-#REF!</formula>
    </cfRule>
  </conditionalFormatting>
  <conditionalFormatting sqref="Z269:AA270">
    <cfRule type="expression" dxfId="1419" priority="1491">
      <formula>Z269&lt;AB269-#REF!</formula>
    </cfRule>
  </conditionalFormatting>
  <conditionalFormatting sqref="Z286:AA287">
    <cfRule type="expression" dxfId="1418" priority="1443">
      <formula>Z286&lt;AB286-#REF!</formula>
    </cfRule>
  </conditionalFormatting>
  <conditionalFormatting sqref="Z303:AA304">
    <cfRule type="expression" dxfId="1417" priority="4583">
      <formula>Z303&lt;AB303-#REF!</formula>
    </cfRule>
  </conditionalFormatting>
  <conditionalFormatting sqref="Z320:AA321">
    <cfRule type="expression" dxfId="1416" priority="4527">
      <formula>Z320&lt;AB320-#REF!</formula>
    </cfRule>
  </conditionalFormatting>
  <conditionalFormatting sqref="Z337:AA338">
    <cfRule type="expression" dxfId="1415" priority="4471">
      <formula>Z337&lt;AB337-#REF!</formula>
    </cfRule>
  </conditionalFormatting>
  <conditionalFormatting sqref="Z354:AA355">
    <cfRule type="expression" dxfId="1414" priority="1379">
      <formula>Z354&lt;AB354-#REF!</formula>
    </cfRule>
  </conditionalFormatting>
  <conditionalFormatting sqref="AA18:AA19">
    <cfRule type="expression" dxfId="1413" priority="2282">
      <formula>AA18&lt;AC18-#REF!</formula>
    </cfRule>
  </conditionalFormatting>
  <conditionalFormatting sqref="AA35:AA36">
    <cfRule type="expression" dxfId="1412" priority="2218">
      <formula>AA35&lt;AC35-#REF!</formula>
    </cfRule>
  </conditionalFormatting>
  <conditionalFormatting sqref="AA52:AA53">
    <cfRule type="expression" dxfId="1411" priority="2162">
      <formula>AA52&lt;AC52-#REF!</formula>
    </cfRule>
  </conditionalFormatting>
  <conditionalFormatting sqref="AA69:AA70">
    <cfRule type="expression" dxfId="1410" priority="2106">
      <formula>AA69&lt;AC69-#REF!</formula>
    </cfRule>
  </conditionalFormatting>
  <conditionalFormatting sqref="AA86:AA87">
    <cfRule type="expression" dxfId="1409" priority="2050">
      <formula>AA86&lt;AC86-#REF!</formula>
    </cfRule>
  </conditionalFormatting>
  <conditionalFormatting sqref="AA103:AA104">
    <cfRule type="expression" dxfId="1408" priority="1994">
      <formula>AA103&lt;AC103-#REF!</formula>
    </cfRule>
  </conditionalFormatting>
  <conditionalFormatting sqref="AA120:AA121">
    <cfRule type="expression" dxfId="1407" priority="1938">
      <formula>AA120&lt;AC120-#REF!</formula>
    </cfRule>
  </conditionalFormatting>
  <conditionalFormatting sqref="AA137:AA138">
    <cfRule type="expression" dxfId="1406" priority="1882">
      <formula>AA137&lt;AC137-#REF!</formula>
    </cfRule>
  </conditionalFormatting>
  <conditionalFormatting sqref="AA154:AA155">
    <cfRule type="expression" dxfId="1405" priority="1826">
      <formula>AA154&lt;AC154-#REF!</formula>
    </cfRule>
  </conditionalFormatting>
  <conditionalFormatting sqref="AA171:AA172">
    <cfRule type="expression" dxfId="1404" priority="1770">
      <formula>AA171&lt;AC171-#REF!</formula>
    </cfRule>
  </conditionalFormatting>
  <conditionalFormatting sqref="AA188:AA189">
    <cfRule type="expression" dxfId="1403" priority="1714">
      <formula>AA188&lt;AC188-#REF!</formula>
    </cfRule>
  </conditionalFormatting>
  <conditionalFormatting sqref="AA205:AA206">
    <cfRule type="expression" dxfId="1402" priority="1666">
      <formula>AA205&lt;AC205-#REF!</formula>
    </cfRule>
  </conditionalFormatting>
  <conditionalFormatting sqref="AA222:AA223">
    <cfRule type="expression" dxfId="1401" priority="1602">
      <formula>AA222&lt;AC222-#REF!</formula>
    </cfRule>
  </conditionalFormatting>
  <conditionalFormatting sqref="AA239:AA240">
    <cfRule type="expression" dxfId="1400" priority="1546">
      <formula>AA239&lt;AC239-#REF!</formula>
    </cfRule>
  </conditionalFormatting>
  <conditionalFormatting sqref="AA256:AA257">
    <cfRule type="expression" dxfId="1399" priority="4694">
      <formula>AA256&lt;AC256-#REF!</formula>
    </cfRule>
  </conditionalFormatting>
  <conditionalFormatting sqref="AA273:AA274">
    <cfRule type="expression" dxfId="1398" priority="1490">
      <formula>AA273&lt;AC273-#REF!</formula>
    </cfRule>
  </conditionalFormatting>
  <conditionalFormatting sqref="AA290:AA291">
    <cfRule type="expression" dxfId="1397" priority="1442">
      <formula>AA290&lt;AC290-#REF!</formula>
    </cfRule>
  </conditionalFormatting>
  <conditionalFormatting sqref="AA307:AA308">
    <cfRule type="expression" dxfId="1396" priority="4582">
      <formula>AA307&lt;AC307-#REF!</formula>
    </cfRule>
  </conditionalFormatting>
  <conditionalFormatting sqref="AA324:AA325">
    <cfRule type="expression" dxfId="1395" priority="4526">
      <formula>AA324&lt;AC324-#REF!</formula>
    </cfRule>
  </conditionalFormatting>
  <conditionalFormatting sqref="AA341:AA342">
    <cfRule type="expression" dxfId="1394" priority="4470">
      <formula>AA341&lt;AC341-#REF!</formula>
    </cfRule>
  </conditionalFormatting>
  <conditionalFormatting sqref="AA358:AA359">
    <cfRule type="expression" dxfId="1393" priority="1378">
      <formula>AA358&lt;AC358-#REF!</formula>
    </cfRule>
  </conditionalFormatting>
  <conditionalFormatting sqref="AC8:AE9">
    <cfRule type="expression" dxfId="1392" priority="2311">
      <formula>AC8&gt;AE8*#REF!</formula>
    </cfRule>
    <cfRule type="expression" dxfId="1391" priority="2310">
      <formula>AC8&lt;AE8*#REF!</formula>
    </cfRule>
  </conditionalFormatting>
  <conditionalFormatting sqref="AC10:AE12">
    <cfRule type="expression" dxfId="1390" priority="2312">
      <formula>AC10&lt;AE10-#REF!</formula>
    </cfRule>
  </conditionalFormatting>
  <conditionalFormatting sqref="AC10:AE22">
    <cfRule type="expression" dxfId="1389" priority="2305">
      <formula>AC10&gt;AE10+#REF!</formula>
    </cfRule>
  </conditionalFormatting>
  <conditionalFormatting sqref="AC23:AE23">
    <cfRule type="expression" dxfId="1388" priority="2309">
      <formula>AC23&gt;AE23*#REF!</formula>
    </cfRule>
  </conditionalFormatting>
  <conditionalFormatting sqref="AC25:AE26">
    <cfRule type="expression" dxfId="1387" priority="2246">
      <formula>AC25&lt;AE25*#REF!</formula>
    </cfRule>
    <cfRule type="expression" dxfId="1386" priority="2247">
      <formula>AC25&gt;AE25*#REF!</formula>
    </cfRule>
  </conditionalFormatting>
  <conditionalFormatting sqref="AC27:AE29">
    <cfRule type="expression" dxfId="1385" priority="2248">
      <formula>AC27&lt;AE27-#REF!</formula>
    </cfRule>
  </conditionalFormatting>
  <conditionalFormatting sqref="AC27:AE39">
    <cfRule type="expression" dxfId="1384" priority="2241">
      <formula>AC27&gt;AE27+#REF!</formula>
    </cfRule>
  </conditionalFormatting>
  <conditionalFormatting sqref="AC40:AE40">
    <cfRule type="expression" dxfId="1383" priority="2245">
      <formula>AC40&gt;AE40*#REF!</formula>
    </cfRule>
  </conditionalFormatting>
  <conditionalFormatting sqref="AC42:AE43">
    <cfRule type="expression" dxfId="1382" priority="2190">
      <formula>AC42&lt;AE42*#REF!</formula>
    </cfRule>
    <cfRule type="expression" dxfId="1381" priority="2191">
      <formula>AC42&gt;AE42*#REF!</formula>
    </cfRule>
  </conditionalFormatting>
  <conditionalFormatting sqref="AC44:AE46">
    <cfRule type="expression" dxfId="1380" priority="2192">
      <formula>AC44&lt;AE44-#REF!</formula>
    </cfRule>
  </conditionalFormatting>
  <conditionalFormatting sqref="AC44:AE56">
    <cfRule type="expression" dxfId="1379" priority="2185">
      <formula>AC44&gt;AE44+#REF!</formula>
    </cfRule>
  </conditionalFormatting>
  <conditionalFormatting sqref="AC57:AE57">
    <cfRule type="expression" dxfId="1378" priority="2189">
      <formula>AC57&gt;AE57*#REF!</formula>
    </cfRule>
  </conditionalFormatting>
  <conditionalFormatting sqref="AC59:AE60">
    <cfRule type="expression" dxfId="1377" priority="2134">
      <formula>AC59&lt;AE59*#REF!</formula>
    </cfRule>
    <cfRule type="expression" dxfId="1376" priority="2135">
      <formula>AC59&gt;AE59*#REF!</formula>
    </cfRule>
  </conditionalFormatting>
  <conditionalFormatting sqref="AC61:AE63">
    <cfRule type="expression" dxfId="1375" priority="2136">
      <formula>AC61&lt;AE61-#REF!</formula>
    </cfRule>
  </conditionalFormatting>
  <conditionalFormatting sqref="AC61:AE73">
    <cfRule type="expression" dxfId="1374" priority="2129">
      <formula>AC61&gt;AE61+#REF!</formula>
    </cfRule>
  </conditionalFormatting>
  <conditionalFormatting sqref="AC74:AE74">
    <cfRule type="expression" dxfId="1373" priority="2133">
      <formula>AC74&gt;AE74*#REF!</formula>
    </cfRule>
  </conditionalFormatting>
  <conditionalFormatting sqref="AC76:AE77">
    <cfRule type="expression" dxfId="1372" priority="2078">
      <formula>AC76&lt;AE76*#REF!</formula>
    </cfRule>
    <cfRule type="expression" dxfId="1371" priority="2079">
      <formula>AC76&gt;AE76*#REF!</formula>
    </cfRule>
  </conditionalFormatting>
  <conditionalFormatting sqref="AC78:AE80">
    <cfRule type="expression" dxfId="1370" priority="2080">
      <formula>AC78&lt;AE78-#REF!</formula>
    </cfRule>
  </conditionalFormatting>
  <conditionalFormatting sqref="AC78:AE90">
    <cfRule type="expression" dxfId="1369" priority="2073">
      <formula>AC78&gt;AE78+#REF!</formula>
    </cfRule>
  </conditionalFormatting>
  <conditionalFormatting sqref="AC91:AE91">
    <cfRule type="expression" dxfId="1368" priority="2077">
      <formula>AC91&gt;AE91*#REF!</formula>
    </cfRule>
  </conditionalFormatting>
  <conditionalFormatting sqref="AC93:AE94">
    <cfRule type="expression" dxfId="1367" priority="2038">
      <formula>AC93&lt;AE93*#REF!</formula>
    </cfRule>
    <cfRule type="expression" dxfId="1366" priority="2039">
      <formula>AC93&gt;AE93*#REF!</formula>
    </cfRule>
  </conditionalFormatting>
  <conditionalFormatting sqref="AC95:AE97">
    <cfRule type="expression" dxfId="1365" priority="2040">
      <formula>AC95&lt;AE95-#REF!</formula>
    </cfRule>
  </conditionalFormatting>
  <conditionalFormatting sqref="AC95:AE107">
    <cfRule type="expression" dxfId="1364" priority="2033">
      <formula>AC95&gt;AE95+#REF!</formula>
    </cfRule>
  </conditionalFormatting>
  <conditionalFormatting sqref="AC108:AE108">
    <cfRule type="expression" dxfId="1363" priority="2037">
      <formula>AC108&gt;AE108*#REF!</formula>
    </cfRule>
  </conditionalFormatting>
  <conditionalFormatting sqref="AC110:AE111">
    <cfRule type="expression" dxfId="1362" priority="1966">
      <formula>AC110&lt;AE110*#REF!</formula>
    </cfRule>
    <cfRule type="expression" dxfId="1361" priority="1967">
      <formula>AC110&gt;AE110*#REF!</formula>
    </cfRule>
  </conditionalFormatting>
  <conditionalFormatting sqref="AC112:AE114">
    <cfRule type="expression" dxfId="1360" priority="1968">
      <formula>AC112&lt;AE112-#REF!</formula>
    </cfRule>
  </conditionalFormatting>
  <conditionalFormatting sqref="AC112:AE124">
    <cfRule type="expression" dxfId="1359" priority="1961">
      <formula>AC112&gt;AE112+#REF!</formula>
    </cfRule>
  </conditionalFormatting>
  <conditionalFormatting sqref="AC125:AE125">
    <cfRule type="expression" dxfId="1358" priority="1965">
      <formula>AC125&gt;AE125*#REF!</formula>
    </cfRule>
  </conditionalFormatting>
  <conditionalFormatting sqref="AC127:AE128">
    <cfRule type="expression" dxfId="1357" priority="1910">
      <formula>AC127&lt;AE127*#REF!</formula>
    </cfRule>
    <cfRule type="expression" dxfId="1356" priority="1911">
      <formula>AC127&gt;AE127*#REF!</formula>
    </cfRule>
  </conditionalFormatting>
  <conditionalFormatting sqref="AC129:AE131">
    <cfRule type="expression" dxfId="1355" priority="1912">
      <formula>AC129&lt;AE129-#REF!</formula>
    </cfRule>
  </conditionalFormatting>
  <conditionalFormatting sqref="AC129:AE141">
    <cfRule type="expression" dxfId="1354" priority="1905">
      <formula>AC129&gt;AE129+#REF!</formula>
    </cfRule>
  </conditionalFormatting>
  <conditionalFormatting sqref="AC142:AE142">
    <cfRule type="expression" dxfId="1353" priority="1909">
      <formula>AC142&gt;AE142*#REF!</formula>
    </cfRule>
  </conditionalFormatting>
  <conditionalFormatting sqref="AC144:AE145">
    <cfRule type="expression" dxfId="1352" priority="1854">
      <formula>AC144&lt;AE144*#REF!</formula>
    </cfRule>
    <cfRule type="expression" dxfId="1351" priority="1855">
      <formula>AC144&gt;AE144*#REF!</formula>
    </cfRule>
  </conditionalFormatting>
  <conditionalFormatting sqref="AC146:AE148">
    <cfRule type="expression" dxfId="1350" priority="1856">
      <formula>AC146&lt;AE146-#REF!</formula>
    </cfRule>
  </conditionalFormatting>
  <conditionalFormatting sqref="AC146:AE158">
    <cfRule type="expression" dxfId="1349" priority="1849">
      <formula>AC146&gt;AE146+#REF!</formula>
    </cfRule>
  </conditionalFormatting>
  <conditionalFormatting sqref="AC159:AE159">
    <cfRule type="expression" dxfId="1348" priority="1853">
      <formula>AC159&gt;AE159*#REF!</formula>
    </cfRule>
  </conditionalFormatting>
  <conditionalFormatting sqref="AC161:AE162">
    <cfRule type="expression" dxfId="1347" priority="1799">
      <formula>AC161&gt;AE161*#REF!</formula>
    </cfRule>
    <cfRule type="expression" dxfId="1346" priority="1798">
      <formula>AC161&lt;AE161*#REF!</formula>
    </cfRule>
  </conditionalFormatting>
  <conditionalFormatting sqref="AC163:AE165">
    <cfRule type="expression" dxfId="1345" priority="1800">
      <formula>AC163&lt;AE163-#REF!</formula>
    </cfRule>
  </conditionalFormatting>
  <conditionalFormatting sqref="AC163:AE175">
    <cfRule type="expression" dxfId="1344" priority="1793">
      <formula>AC163&gt;AE163+#REF!</formula>
    </cfRule>
  </conditionalFormatting>
  <conditionalFormatting sqref="AC176:AE176">
    <cfRule type="expression" dxfId="1343" priority="1797">
      <formula>AC176&gt;AE176*#REF!</formula>
    </cfRule>
  </conditionalFormatting>
  <conditionalFormatting sqref="AC178:AE179">
    <cfRule type="expression" dxfId="1342" priority="1743">
      <formula>AC178&gt;AE178*#REF!</formula>
    </cfRule>
    <cfRule type="expression" dxfId="1341" priority="1742">
      <formula>AC178&lt;AE178*#REF!</formula>
    </cfRule>
  </conditionalFormatting>
  <conditionalFormatting sqref="AC180:AE182">
    <cfRule type="expression" dxfId="1340" priority="1744">
      <formula>AC180&lt;AE180-#REF!</formula>
    </cfRule>
  </conditionalFormatting>
  <conditionalFormatting sqref="AC180:AE192">
    <cfRule type="expression" dxfId="1339" priority="1737">
      <formula>AC180&gt;AE180+#REF!</formula>
    </cfRule>
  </conditionalFormatting>
  <conditionalFormatting sqref="AC193:AE193">
    <cfRule type="expression" dxfId="1338" priority="1741">
      <formula>AC193&gt;AE193*#REF!</formula>
    </cfRule>
  </conditionalFormatting>
  <conditionalFormatting sqref="AC195:AE196">
    <cfRule type="expression" dxfId="1337" priority="1663">
      <formula>AC195&gt;AE195*#REF!</formula>
    </cfRule>
    <cfRule type="expression" dxfId="1336" priority="1662">
      <formula>AC195&lt;AE195*#REF!</formula>
    </cfRule>
  </conditionalFormatting>
  <conditionalFormatting sqref="AC197:AE199">
    <cfRule type="expression" dxfId="1335" priority="1664">
      <formula>AC197&lt;AE197-#REF!</formula>
    </cfRule>
  </conditionalFormatting>
  <conditionalFormatting sqref="AC197:AE209">
    <cfRule type="expression" dxfId="1334" priority="1657">
      <formula>AC197&gt;AE197+#REF!</formula>
    </cfRule>
  </conditionalFormatting>
  <conditionalFormatting sqref="AC210:AE210">
    <cfRule type="expression" dxfId="1333" priority="1661">
      <formula>AC210&gt;AE210*#REF!</formula>
    </cfRule>
  </conditionalFormatting>
  <conditionalFormatting sqref="AC212:AE213">
    <cfRule type="expression" dxfId="1332" priority="1630">
      <formula>AC212&lt;AE212*#REF!</formula>
    </cfRule>
    <cfRule type="expression" dxfId="1331" priority="1631">
      <formula>AC212&gt;AE212*#REF!</formula>
    </cfRule>
  </conditionalFormatting>
  <conditionalFormatting sqref="AC214:AE216">
    <cfRule type="expression" dxfId="1330" priority="1632">
      <formula>AC214&lt;AE214-#REF!</formula>
    </cfRule>
  </conditionalFormatting>
  <conditionalFormatting sqref="AC214:AE226">
    <cfRule type="expression" dxfId="1329" priority="1625">
      <formula>AC214&gt;AE214+#REF!</formula>
    </cfRule>
  </conditionalFormatting>
  <conditionalFormatting sqref="AC227:AE227">
    <cfRule type="expression" dxfId="1328" priority="1629">
      <formula>AC227&gt;AE227*#REF!</formula>
    </cfRule>
  </conditionalFormatting>
  <conditionalFormatting sqref="AC229:AE230">
    <cfRule type="expression" dxfId="1327" priority="1575">
      <formula>AC229&gt;AE229*#REF!</formula>
    </cfRule>
    <cfRule type="expression" dxfId="1326" priority="1574">
      <formula>AC229&lt;AE229*#REF!</formula>
    </cfRule>
  </conditionalFormatting>
  <conditionalFormatting sqref="AC231:AE233">
    <cfRule type="expression" dxfId="1325" priority="1576">
      <formula>AC231&lt;AE231-#REF!</formula>
    </cfRule>
  </conditionalFormatting>
  <conditionalFormatting sqref="AC231:AE243">
    <cfRule type="expression" dxfId="1324" priority="1569">
      <formula>AC231&gt;AE231+#REF!</formula>
    </cfRule>
  </conditionalFormatting>
  <conditionalFormatting sqref="AC244:AE244">
    <cfRule type="expression" dxfId="1323" priority="1573">
      <formula>AC244&gt;AE244*#REF!</formula>
    </cfRule>
  </conditionalFormatting>
  <conditionalFormatting sqref="AC246:AE247">
    <cfRule type="expression" dxfId="1322" priority="4691">
      <formula>AC246&gt;AE246*#REF!</formula>
    </cfRule>
    <cfRule type="expression" dxfId="1321" priority="4690">
      <formula>AC246&lt;AE246*#REF!</formula>
    </cfRule>
  </conditionalFormatting>
  <conditionalFormatting sqref="AC248:AE250">
    <cfRule type="expression" dxfId="1320" priority="4692">
      <formula>AC248&lt;AE248-#REF!</formula>
    </cfRule>
  </conditionalFormatting>
  <conditionalFormatting sqref="AC248:AE260">
    <cfRule type="expression" dxfId="1319" priority="4685">
      <formula>AC248&gt;AE248+#REF!</formula>
    </cfRule>
  </conditionalFormatting>
  <conditionalFormatting sqref="AC261:AE261">
    <cfRule type="expression" dxfId="1318" priority="4689">
      <formula>AC261&gt;AE261*#REF!</formula>
    </cfRule>
  </conditionalFormatting>
  <conditionalFormatting sqref="AC263:AE263 AD264:AE264 AC264:AC278 AD266:AE267 AD269:AE270 AD272:AE273 AD275:AE276 AD278:AE278">
    <cfRule type="expression" dxfId="1317" priority="1518">
      <formula>AC263&lt;AE263*#REF!</formula>
    </cfRule>
  </conditionalFormatting>
  <conditionalFormatting sqref="AC263:AE263 AD264:AE264 AC264:AC278 AD278:AE278 AD266:AE267 AD269:AE270 AD272:AE273 AD275:AE276">
    <cfRule type="expression" dxfId="1316" priority="1519">
      <formula>AC263&gt;AE263*#REF!</formula>
    </cfRule>
  </conditionalFormatting>
  <conditionalFormatting sqref="AC280:AE295">
    <cfRule type="expression" dxfId="1315" priority="1437">
      <formula>AC280&gt;AE280*#REF!</formula>
    </cfRule>
  </conditionalFormatting>
  <conditionalFormatting sqref="AC297:AE298">
    <cfRule type="expression" dxfId="1314" priority="4578">
      <formula>AC297&lt;AE297*#REF!</formula>
    </cfRule>
    <cfRule type="expression" dxfId="1313" priority="4579">
      <formula>AC297&gt;AE297*#REF!</formula>
    </cfRule>
  </conditionalFormatting>
  <conditionalFormatting sqref="AC299:AE301">
    <cfRule type="expression" dxfId="1312" priority="4580">
      <formula>AC299&lt;AE299-#REF!</formula>
    </cfRule>
  </conditionalFormatting>
  <conditionalFormatting sqref="AC299:AE311">
    <cfRule type="expression" dxfId="1311" priority="4573">
      <formula>AC299&gt;AE299+#REF!</formula>
    </cfRule>
  </conditionalFormatting>
  <conditionalFormatting sqref="AC312:AE312">
    <cfRule type="expression" dxfId="1310" priority="4577">
      <formula>AC312&gt;AE312*#REF!</formula>
    </cfRule>
  </conditionalFormatting>
  <conditionalFormatting sqref="AC314:AE315">
    <cfRule type="expression" dxfId="1309" priority="4523">
      <formula>AC314&gt;AE314*#REF!</formula>
    </cfRule>
    <cfRule type="expression" dxfId="1308" priority="4522">
      <formula>AC314&lt;AE314*#REF!</formula>
    </cfRule>
  </conditionalFormatting>
  <conditionalFormatting sqref="AC316:AE318">
    <cfRule type="expression" dxfId="1307" priority="4524">
      <formula>AC316&lt;AE316-#REF!</formula>
    </cfRule>
  </conditionalFormatting>
  <conditionalFormatting sqref="AC316:AE328">
    <cfRule type="expression" dxfId="1306" priority="4517">
      <formula>AC316&gt;AE316+#REF!</formula>
    </cfRule>
  </conditionalFormatting>
  <conditionalFormatting sqref="AC329:AE329">
    <cfRule type="expression" dxfId="1305" priority="4521">
      <formula>AC329&gt;AE329*#REF!</formula>
    </cfRule>
  </conditionalFormatting>
  <conditionalFormatting sqref="AC331:AE332">
    <cfRule type="expression" dxfId="1304" priority="4466">
      <formula>AC331&lt;AE331*#REF!</formula>
    </cfRule>
    <cfRule type="expression" dxfId="1303" priority="4467">
      <formula>AC331&gt;AE331*#REF!</formula>
    </cfRule>
  </conditionalFormatting>
  <conditionalFormatting sqref="AC333:AE335">
    <cfRule type="expression" dxfId="1302" priority="4468">
      <formula>AC333&lt;AE333-#REF!</formula>
    </cfRule>
  </conditionalFormatting>
  <conditionalFormatting sqref="AC333:AE345">
    <cfRule type="expression" dxfId="1301" priority="4461">
      <formula>AC333&gt;AE333+#REF!</formula>
    </cfRule>
  </conditionalFormatting>
  <conditionalFormatting sqref="AC346:AE346">
    <cfRule type="expression" dxfId="1300" priority="4465">
      <formula>AC346&gt;AE346*#REF!</formula>
    </cfRule>
  </conditionalFormatting>
  <conditionalFormatting sqref="AC348:AE349">
    <cfRule type="expression" dxfId="1299" priority="1407">
      <formula>AC348&gt;AE348*#REF!</formula>
    </cfRule>
    <cfRule type="expression" dxfId="1298" priority="1406">
      <formula>AC348&lt;AE348*#REF!</formula>
    </cfRule>
  </conditionalFormatting>
  <conditionalFormatting sqref="AC350:AE352">
    <cfRule type="expression" dxfId="1297" priority="1408">
      <formula>AC350&lt;AE350-#REF!</formula>
    </cfRule>
  </conditionalFormatting>
  <conditionalFormatting sqref="AC350:AE362">
    <cfRule type="expression" dxfId="1296" priority="1401">
      <formula>AC350&gt;AE350+#REF!</formula>
    </cfRule>
  </conditionalFormatting>
  <conditionalFormatting sqref="AC363:AE363">
    <cfRule type="expression" dxfId="1295" priority="1405">
      <formula>AC363&gt;AE363*#REF!</formula>
    </cfRule>
  </conditionalFormatting>
  <conditionalFormatting sqref="AD18:AD22">
    <cfRule type="expression" dxfId="1294" priority="2308">
      <formula>AD18&lt;AF18-#REF!</formula>
    </cfRule>
  </conditionalFormatting>
  <conditionalFormatting sqref="AD35:AD39">
    <cfRule type="expression" dxfId="1293" priority="2244">
      <formula>AD35&lt;AF35-#REF!</formula>
    </cfRule>
  </conditionalFormatting>
  <conditionalFormatting sqref="AD52:AD56">
    <cfRule type="expression" dxfId="1292" priority="2188">
      <formula>AD52&lt;AF52-#REF!</formula>
    </cfRule>
  </conditionalFormatting>
  <conditionalFormatting sqref="AD69:AD73">
    <cfRule type="expression" dxfId="1291" priority="2132">
      <formula>AD69&lt;AF69-#REF!</formula>
    </cfRule>
  </conditionalFormatting>
  <conditionalFormatting sqref="AD86:AD90">
    <cfRule type="expression" dxfId="1290" priority="2076">
      <formula>AD86&lt;AF86-#REF!</formula>
    </cfRule>
  </conditionalFormatting>
  <conditionalFormatting sqref="AD103:AD107">
    <cfRule type="expression" dxfId="1289" priority="2036">
      <formula>AD103&lt;AF103-#REF!</formula>
    </cfRule>
  </conditionalFormatting>
  <conditionalFormatting sqref="AD120:AD124">
    <cfRule type="expression" dxfId="1288" priority="1964">
      <formula>AD120&lt;AF120-#REF!</formula>
    </cfRule>
  </conditionalFormatting>
  <conditionalFormatting sqref="AD137:AD141">
    <cfRule type="expression" dxfId="1287" priority="1908">
      <formula>AD137&lt;AF137-#REF!</formula>
    </cfRule>
  </conditionalFormatting>
  <conditionalFormatting sqref="AD154:AD158">
    <cfRule type="expression" dxfId="1286" priority="1852">
      <formula>AD154&lt;AF154-#REF!</formula>
    </cfRule>
  </conditionalFormatting>
  <conditionalFormatting sqref="AD171:AD175">
    <cfRule type="expression" dxfId="1285" priority="1796">
      <formula>AD171&lt;AF171-#REF!</formula>
    </cfRule>
  </conditionalFormatting>
  <conditionalFormatting sqref="AD188:AD192">
    <cfRule type="expression" dxfId="1284" priority="1740">
      <formula>AD188&lt;AF188-#REF!</formula>
    </cfRule>
  </conditionalFormatting>
  <conditionalFormatting sqref="AD205:AD209">
    <cfRule type="expression" dxfId="1283" priority="1660">
      <formula>AD205&lt;AF205-#REF!</formula>
    </cfRule>
  </conditionalFormatting>
  <conditionalFormatting sqref="AD222:AD226">
    <cfRule type="expression" dxfId="1282" priority="1628">
      <formula>AD222&lt;AF222-#REF!</formula>
    </cfRule>
  </conditionalFormatting>
  <conditionalFormatting sqref="AD239:AD243">
    <cfRule type="expression" dxfId="1281" priority="1572">
      <formula>AD239&lt;AF239-#REF!</formula>
    </cfRule>
  </conditionalFormatting>
  <conditionalFormatting sqref="AD256:AD260">
    <cfRule type="expression" dxfId="1280" priority="4688">
      <formula>AD256&lt;AF256-#REF!</formula>
    </cfRule>
  </conditionalFormatting>
  <conditionalFormatting sqref="AD307:AD311">
    <cfRule type="expression" dxfId="1279" priority="4576">
      <formula>AD307&lt;AF307-#REF!</formula>
    </cfRule>
  </conditionalFormatting>
  <conditionalFormatting sqref="AD324:AD328">
    <cfRule type="expression" dxfId="1278" priority="4520">
      <formula>AD324&lt;AF324-#REF!</formula>
    </cfRule>
  </conditionalFormatting>
  <conditionalFormatting sqref="AD341:AD345">
    <cfRule type="expression" dxfId="1277" priority="4464">
      <formula>AD341&lt;AF341-#REF!</formula>
    </cfRule>
  </conditionalFormatting>
  <conditionalFormatting sqref="AD358:AD362">
    <cfRule type="expression" dxfId="1276" priority="1404">
      <formula>AD358&lt;AF358-#REF!</formula>
    </cfRule>
  </conditionalFormatting>
  <conditionalFormatting sqref="AD14:AE15">
    <cfRule type="expression" dxfId="1275" priority="2307">
      <formula>AD14&lt;AF14-#REF!</formula>
    </cfRule>
  </conditionalFormatting>
  <conditionalFormatting sqref="AD31:AE32">
    <cfRule type="expression" dxfId="1274" priority="2243">
      <formula>AD31&lt;AF31-#REF!</formula>
    </cfRule>
  </conditionalFormatting>
  <conditionalFormatting sqref="AD48:AE49">
    <cfRule type="expression" dxfId="1273" priority="2187">
      <formula>AD48&lt;AF48-#REF!</formula>
    </cfRule>
  </conditionalFormatting>
  <conditionalFormatting sqref="AD65:AE66">
    <cfRule type="expression" dxfId="1272" priority="2131">
      <formula>AD65&lt;AF65-#REF!</formula>
    </cfRule>
  </conditionalFormatting>
  <conditionalFormatting sqref="AD82:AE83">
    <cfRule type="expression" dxfId="1271" priority="2075">
      <formula>AD82&lt;AF82-#REF!</formula>
    </cfRule>
  </conditionalFormatting>
  <conditionalFormatting sqref="AD99:AE100">
    <cfRule type="expression" dxfId="1270" priority="2035">
      <formula>AD99&lt;AF99-#REF!</formula>
    </cfRule>
  </conditionalFormatting>
  <conditionalFormatting sqref="AD116:AE117">
    <cfRule type="expression" dxfId="1269" priority="1963">
      <formula>AD116&lt;AF116-#REF!</formula>
    </cfRule>
  </conditionalFormatting>
  <conditionalFormatting sqref="AD133:AE134">
    <cfRule type="expression" dxfId="1268" priority="1907">
      <formula>AD133&lt;AF133-#REF!</formula>
    </cfRule>
  </conditionalFormatting>
  <conditionalFormatting sqref="AD150:AE151">
    <cfRule type="expression" dxfId="1267" priority="1851">
      <formula>AD150&lt;AF150-#REF!</formula>
    </cfRule>
  </conditionalFormatting>
  <conditionalFormatting sqref="AD167:AE168">
    <cfRule type="expression" dxfId="1266" priority="1795">
      <formula>AD167&lt;AF167-#REF!</formula>
    </cfRule>
  </conditionalFormatting>
  <conditionalFormatting sqref="AD184:AE185">
    <cfRule type="expression" dxfId="1265" priority="1739">
      <formula>AD184&lt;AF184-#REF!</formula>
    </cfRule>
  </conditionalFormatting>
  <conditionalFormatting sqref="AD201:AE202">
    <cfRule type="expression" dxfId="1264" priority="1659">
      <formula>AD201&lt;AF201-#REF!</formula>
    </cfRule>
  </conditionalFormatting>
  <conditionalFormatting sqref="AD218:AE219">
    <cfRule type="expression" dxfId="1263" priority="1627">
      <formula>AD218&lt;AF218-#REF!</formula>
    </cfRule>
  </conditionalFormatting>
  <conditionalFormatting sqref="AD235:AE236">
    <cfRule type="expression" dxfId="1262" priority="1571">
      <formula>AD235&lt;AF235-#REF!</formula>
    </cfRule>
  </conditionalFormatting>
  <conditionalFormatting sqref="AD252:AE253">
    <cfRule type="expression" dxfId="1261" priority="4687">
      <formula>AD252&lt;AF252-#REF!</formula>
    </cfRule>
  </conditionalFormatting>
  <conditionalFormatting sqref="AD265:AE265 AD268:AE268 AD271:AE271 AD274:AE274 AD277:AE277">
    <cfRule type="expression" dxfId="1260" priority="1513">
      <formula>AD265&gt;AF265+#REF!</formula>
    </cfRule>
    <cfRule type="expression" dxfId="1259" priority="1520">
      <formula>AD265&lt;AF265-#REF!</formula>
    </cfRule>
  </conditionalFormatting>
  <conditionalFormatting sqref="AD303:AE304">
    <cfRule type="expression" dxfId="1258" priority="4575">
      <formula>AD303&lt;AF303-#REF!</formula>
    </cfRule>
  </conditionalFormatting>
  <conditionalFormatting sqref="AD320:AE321">
    <cfRule type="expression" dxfId="1257" priority="4519">
      <formula>AD320&lt;AF320-#REF!</formula>
    </cfRule>
  </conditionalFormatting>
  <conditionalFormatting sqref="AD337:AE338">
    <cfRule type="expression" dxfId="1256" priority="4463">
      <formula>AD337&lt;AF337-#REF!</formula>
    </cfRule>
  </conditionalFormatting>
  <conditionalFormatting sqref="AD354:AE355">
    <cfRule type="expression" dxfId="1255" priority="1403">
      <formula>AD354&lt;AF354-#REF!</formula>
    </cfRule>
  </conditionalFormatting>
  <conditionalFormatting sqref="AE18:AE19">
    <cfRule type="expression" dxfId="1254" priority="2306">
      <formula>AE18&lt;AG18-#REF!</formula>
    </cfRule>
  </conditionalFormatting>
  <conditionalFormatting sqref="AE35:AE36">
    <cfRule type="expression" dxfId="1253" priority="2242">
      <formula>AE35&lt;AG35-#REF!</formula>
    </cfRule>
  </conditionalFormatting>
  <conditionalFormatting sqref="AE52:AE53">
    <cfRule type="expression" dxfId="1252" priority="2186">
      <formula>AE52&lt;AG52-#REF!</formula>
    </cfRule>
  </conditionalFormatting>
  <conditionalFormatting sqref="AE69:AE70">
    <cfRule type="expression" dxfId="1251" priority="2130">
      <formula>AE69&lt;AG69-#REF!</formula>
    </cfRule>
  </conditionalFormatting>
  <conditionalFormatting sqref="AE86:AE87">
    <cfRule type="expression" dxfId="1250" priority="2074">
      <formula>AE86&lt;AG86-#REF!</formula>
    </cfRule>
  </conditionalFormatting>
  <conditionalFormatting sqref="AE103:AE104">
    <cfRule type="expression" dxfId="1249" priority="2034">
      <formula>AE103&lt;AG103-#REF!</formula>
    </cfRule>
  </conditionalFormatting>
  <conditionalFormatting sqref="AE120:AE121">
    <cfRule type="expression" dxfId="1248" priority="1962">
      <formula>AE120&lt;AG120-#REF!</formula>
    </cfRule>
  </conditionalFormatting>
  <conditionalFormatting sqref="AE137:AE138">
    <cfRule type="expression" dxfId="1247" priority="1906">
      <formula>AE137&lt;AG137-#REF!</formula>
    </cfRule>
  </conditionalFormatting>
  <conditionalFormatting sqref="AE154:AE155">
    <cfRule type="expression" dxfId="1246" priority="1850">
      <formula>AE154&lt;AG154-#REF!</formula>
    </cfRule>
  </conditionalFormatting>
  <conditionalFormatting sqref="AE171:AE172">
    <cfRule type="expression" dxfId="1245" priority="1794">
      <formula>AE171&lt;AG171-#REF!</formula>
    </cfRule>
  </conditionalFormatting>
  <conditionalFormatting sqref="AE188:AE189">
    <cfRule type="expression" dxfId="1244" priority="1738">
      <formula>AE188&lt;AG188-#REF!</formula>
    </cfRule>
  </conditionalFormatting>
  <conditionalFormatting sqref="AE205:AE206">
    <cfRule type="expression" dxfId="1243" priority="1658">
      <formula>AE205&lt;AG205-#REF!</formula>
    </cfRule>
  </conditionalFormatting>
  <conditionalFormatting sqref="AE222:AE223">
    <cfRule type="expression" dxfId="1242" priority="1626">
      <formula>AE222&lt;AG222-#REF!</formula>
    </cfRule>
  </conditionalFormatting>
  <conditionalFormatting sqref="AE239:AE240">
    <cfRule type="expression" dxfId="1241" priority="1570">
      <formula>AE239&lt;AG239-#REF!</formula>
    </cfRule>
  </conditionalFormatting>
  <conditionalFormatting sqref="AE256:AE257">
    <cfRule type="expression" dxfId="1240" priority="4686">
      <formula>AE256&lt;AG256-#REF!</formula>
    </cfRule>
  </conditionalFormatting>
  <conditionalFormatting sqref="AE307:AE308">
    <cfRule type="expression" dxfId="1239" priority="4574">
      <formula>AE307&lt;AG307-#REF!</formula>
    </cfRule>
  </conditionalFormatting>
  <conditionalFormatting sqref="AE324:AE325">
    <cfRule type="expression" dxfId="1238" priority="4518">
      <formula>AE324&lt;AG324-#REF!</formula>
    </cfRule>
  </conditionalFormatting>
  <conditionalFormatting sqref="AE341:AE342">
    <cfRule type="expression" dxfId="1237" priority="4462">
      <formula>AE341&lt;AG341-#REF!</formula>
    </cfRule>
  </conditionalFormatting>
  <conditionalFormatting sqref="AE358:AE359">
    <cfRule type="expression" dxfId="1236" priority="1402">
      <formula>AE358&lt;AG358-#REF!</formula>
    </cfRule>
  </conditionalFormatting>
  <conditionalFormatting sqref="AK18:AK22">
    <cfRule type="expression" dxfId="1235" priority="1324">
      <formula>AK18&gt;AM18+#REF!</formula>
    </cfRule>
  </conditionalFormatting>
  <conditionalFormatting sqref="AK8:AM9">
    <cfRule type="expression" dxfId="1234" priority="1327">
      <formula>AK8&gt;AM8*#REF!</formula>
    </cfRule>
    <cfRule type="expression" dxfId="1233" priority="1326">
      <formula>AK8&lt;AM8*#REF!</formula>
    </cfRule>
  </conditionalFormatting>
  <conditionalFormatting sqref="AK10:AM12">
    <cfRule type="expression" dxfId="1232" priority="1328">
      <formula>AK10&lt;AM10-#REF!</formula>
    </cfRule>
  </conditionalFormatting>
  <conditionalFormatting sqref="AK10:AM17">
    <cfRule type="expression" dxfId="1231" priority="1322">
      <formula>AK10&gt;AM10+#REF!</formula>
    </cfRule>
  </conditionalFormatting>
  <conditionalFormatting sqref="AK23:AM23">
    <cfRule type="expression" dxfId="1230" priority="1325">
      <formula>AK23&gt;AM23*#REF!</formula>
    </cfRule>
  </conditionalFormatting>
  <conditionalFormatting sqref="AK25:AM26">
    <cfRule type="expression" dxfId="1229" priority="1319">
      <formula>AK25&gt;AM25*#REF!</formula>
    </cfRule>
    <cfRule type="expression" dxfId="1228" priority="1318">
      <formula>AK25&lt;AM25*#REF!</formula>
    </cfRule>
  </conditionalFormatting>
  <conditionalFormatting sqref="AK27:AM29">
    <cfRule type="expression" dxfId="1227" priority="1320">
      <formula>AK27&lt;AM27-#REF!</formula>
    </cfRule>
  </conditionalFormatting>
  <conditionalFormatting sqref="AK27:AM39">
    <cfRule type="expression" dxfId="1226" priority="1313">
      <formula>AK27&gt;AM27+#REF!</formula>
    </cfRule>
  </conditionalFormatting>
  <conditionalFormatting sqref="AK40:AM40">
    <cfRule type="expression" dxfId="1225" priority="1317">
      <formula>AK40&gt;AM40*#REF!</formula>
    </cfRule>
  </conditionalFormatting>
  <conditionalFormatting sqref="AK42:AM43">
    <cfRule type="expression" dxfId="1224" priority="1262">
      <formula>AK42&lt;AM42*#REF!</formula>
    </cfRule>
    <cfRule type="expression" dxfId="1223" priority="1263">
      <formula>AK42&gt;AM42*#REF!</formula>
    </cfRule>
  </conditionalFormatting>
  <conditionalFormatting sqref="AK44:AM46">
    <cfRule type="expression" dxfId="1222" priority="1264">
      <formula>AK44&lt;AM44-#REF!</formula>
    </cfRule>
  </conditionalFormatting>
  <conditionalFormatting sqref="AK44:AM56">
    <cfRule type="expression" dxfId="1221" priority="1257">
      <formula>AK44&gt;AM44+#REF!</formula>
    </cfRule>
  </conditionalFormatting>
  <conditionalFormatting sqref="AK57:AM57">
    <cfRule type="expression" dxfId="1220" priority="1261">
      <formula>AK57&gt;AM57*#REF!</formula>
    </cfRule>
  </conditionalFormatting>
  <conditionalFormatting sqref="AK59:AM60">
    <cfRule type="expression" dxfId="1219" priority="1207">
      <formula>AK59&gt;AM59*#REF!</formula>
    </cfRule>
    <cfRule type="expression" dxfId="1218" priority="1206">
      <formula>AK59&lt;AM59*#REF!</formula>
    </cfRule>
  </conditionalFormatting>
  <conditionalFormatting sqref="AK61:AM63">
    <cfRule type="expression" dxfId="1217" priority="1208">
      <formula>AK61&lt;AM61-#REF!</formula>
    </cfRule>
  </conditionalFormatting>
  <conditionalFormatting sqref="AK61:AM73">
    <cfRule type="expression" dxfId="1216" priority="1201">
      <formula>AK61&gt;AM61+#REF!</formula>
    </cfRule>
  </conditionalFormatting>
  <conditionalFormatting sqref="AK74:AM74">
    <cfRule type="expression" dxfId="1215" priority="1205">
      <formula>AK74&gt;AM74*#REF!</formula>
    </cfRule>
  </conditionalFormatting>
  <conditionalFormatting sqref="AK76:AM77">
    <cfRule type="expression" dxfId="1214" priority="1151">
      <formula>AK76&gt;AM76*#REF!</formula>
    </cfRule>
    <cfRule type="expression" dxfId="1213" priority="1150">
      <formula>AK76&lt;AM76*#REF!</formula>
    </cfRule>
  </conditionalFormatting>
  <conditionalFormatting sqref="AK78:AM80">
    <cfRule type="expression" dxfId="1212" priority="1152">
      <formula>AK78&lt;AM78-#REF!</formula>
    </cfRule>
  </conditionalFormatting>
  <conditionalFormatting sqref="AK78:AM90">
    <cfRule type="expression" dxfId="1211" priority="1145">
      <formula>AK78&gt;AM78+#REF!</formula>
    </cfRule>
  </conditionalFormatting>
  <conditionalFormatting sqref="AK91:AM91">
    <cfRule type="expression" dxfId="1210" priority="1149">
      <formula>AK91&gt;AM91*#REF!</formula>
    </cfRule>
  </conditionalFormatting>
  <conditionalFormatting sqref="AK93:AM94">
    <cfRule type="expression" dxfId="1209" priority="1054">
      <formula>AK93&lt;AM93*#REF!</formula>
    </cfRule>
    <cfRule type="expression" dxfId="1208" priority="1055">
      <formula>AK93&gt;AM93*#REF!</formula>
    </cfRule>
  </conditionalFormatting>
  <conditionalFormatting sqref="AK95:AM97">
    <cfRule type="expression" dxfId="1207" priority="1056">
      <formula>AK95&lt;AM95-#REF!</formula>
    </cfRule>
  </conditionalFormatting>
  <conditionalFormatting sqref="AK95:AM107">
    <cfRule type="expression" dxfId="1206" priority="1049">
      <formula>AK95&gt;AM95+#REF!</formula>
    </cfRule>
  </conditionalFormatting>
  <conditionalFormatting sqref="AK108:AM108">
    <cfRule type="expression" dxfId="1205" priority="1053">
      <formula>AK108&gt;AM108*#REF!</formula>
    </cfRule>
  </conditionalFormatting>
  <conditionalFormatting sqref="AK110:AM111">
    <cfRule type="expression" dxfId="1204" priority="1038">
      <formula>AK110&lt;AM110*#REF!</formula>
    </cfRule>
    <cfRule type="expression" dxfId="1203" priority="1039">
      <formula>AK110&gt;AM110*#REF!</formula>
    </cfRule>
  </conditionalFormatting>
  <conditionalFormatting sqref="AK112:AM114">
    <cfRule type="expression" dxfId="1202" priority="1040">
      <formula>AK112&lt;AM112-#REF!</formula>
    </cfRule>
  </conditionalFormatting>
  <conditionalFormatting sqref="AK112:AM124">
    <cfRule type="expression" dxfId="1201" priority="1033">
      <formula>AK112&gt;AM112+#REF!</formula>
    </cfRule>
  </conditionalFormatting>
  <conditionalFormatting sqref="AK125:AM125">
    <cfRule type="expression" dxfId="1200" priority="1037">
      <formula>AK125&gt;AM125*#REF!</formula>
    </cfRule>
  </conditionalFormatting>
  <conditionalFormatting sqref="AK127:AM128">
    <cfRule type="expression" dxfId="1199" priority="983">
      <formula>AK127&gt;AM127*#REF!</formula>
    </cfRule>
    <cfRule type="expression" dxfId="1198" priority="982">
      <formula>AK127&lt;AM127*#REF!</formula>
    </cfRule>
  </conditionalFormatting>
  <conditionalFormatting sqref="AK129:AM131">
    <cfRule type="expression" dxfId="1197" priority="984">
      <formula>AK129&lt;AM129-#REF!</formula>
    </cfRule>
  </conditionalFormatting>
  <conditionalFormatting sqref="AK129:AM141">
    <cfRule type="expression" dxfId="1196" priority="977">
      <formula>AK129&gt;AM129+#REF!</formula>
    </cfRule>
  </conditionalFormatting>
  <conditionalFormatting sqref="AK142:AM142">
    <cfRule type="expression" dxfId="1195" priority="981">
      <formula>AK142&gt;AM142*#REF!</formula>
    </cfRule>
  </conditionalFormatting>
  <conditionalFormatting sqref="AK144:AM145">
    <cfRule type="expression" dxfId="1194" priority="883">
      <formula>AK144&lt;AM144*#REF!</formula>
    </cfRule>
  </conditionalFormatting>
  <conditionalFormatting sqref="AK146:AM148">
    <cfRule type="expression" dxfId="1193" priority="884">
      <formula>AK146&lt;AM146-#REF!</formula>
    </cfRule>
  </conditionalFormatting>
  <conditionalFormatting sqref="AK146:AM158">
    <cfRule type="expression" dxfId="1192" priority="882">
      <formula>AK146&gt;AM146+#REF!</formula>
    </cfRule>
  </conditionalFormatting>
  <conditionalFormatting sqref="AK159:AM159">
    <cfRule type="expression" dxfId="1191" priority="925">
      <formula>AK159&gt;AM159*#REF!</formula>
    </cfRule>
  </conditionalFormatting>
  <conditionalFormatting sqref="AK161:AM162">
    <cfRule type="expression" dxfId="1190" priority="870">
      <formula>AK161&lt;AM161*#REF!</formula>
    </cfRule>
    <cfRule type="expression" dxfId="1189" priority="871">
      <formula>AK161&gt;AM161*#REF!</formula>
    </cfRule>
  </conditionalFormatting>
  <conditionalFormatting sqref="AK163:AM165">
    <cfRule type="expression" dxfId="1188" priority="872">
      <formula>AK163&lt;AM163-#REF!</formula>
    </cfRule>
  </conditionalFormatting>
  <conditionalFormatting sqref="AK163:AM175">
    <cfRule type="expression" dxfId="1187" priority="865">
      <formula>AK163&gt;AM163+#REF!</formula>
    </cfRule>
  </conditionalFormatting>
  <conditionalFormatting sqref="AK176:AM176">
    <cfRule type="expression" dxfId="1186" priority="869">
      <formula>AK176&gt;AM176*#REF!</formula>
    </cfRule>
  </conditionalFormatting>
  <conditionalFormatting sqref="AK178:AM179">
    <cfRule type="expression" dxfId="1185" priority="814">
      <formula>AK178&lt;AM178*#REF!</formula>
    </cfRule>
    <cfRule type="expression" dxfId="1184" priority="815">
      <formula>AK178&gt;AM178*#REF!</formula>
    </cfRule>
  </conditionalFormatting>
  <conditionalFormatting sqref="AK180:AM182">
    <cfRule type="expression" dxfId="1183" priority="816">
      <formula>AK180&lt;AM180-#REF!</formula>
    </cfRule>
  </conditionalFormatting>
  <conditionalFormatting sqref="AK180:AM192">
    <cfRule type="expression" dxfId="1182" priority="809">
      <formula>AK180&gt;AM180+#REF!</formula>
    </cfRule>
  </conditionalFormatting>
  <conditionalFormatting sqref="AK193:AM193">
    <cfRule type="expression" dxfId="1181" priority="813">
      <formula>AK193&gt;AM193*#REF!</formula>
    </cfRule>
  </conditionalFormatting>
  <conditionalFormatting sqref="AK195:AM196">
    <cfRule type="expression" dxfId="1180" priority="3907">
      <formula>AK195&gt;AM195*#REF!</formula>
    </cfRule>
    <cfRule type="expression" dxfId="1179" priority="3906">
      <formula>AK195&lt;AM195*#REF!</formula>
    </cfRule>
  </conditionalFormatting>
  <conditionalFormatting sqref="AK197:AM199">
    <cfRule type="expression" dxfId="1178" priority="3908">
      <formula>AK197&lt;AM197-#REF!</formula>
    </cfRule>
  </conditionalFormatting>
  <conditionalFormatting sqref="AK197:AM209">
    <cfRule type="expression" dxfId="1177" priority="3901">
      <formula>AK197&gt;AM197+#REF!</formula>
    </cfRule>
  </conditionalFormatting>
  <conditionalFormatting sqref="AK210:AM210">
    <cfRule type="expression" dxfId="1176" priority="3905">
      <formula>AK210&gt;AM210*#REF!</formula>
    </cfRule>
  </conditionalFormatting>
  <conditionalFormatting sqref="AK212:AM213">
    <cfRule type="expression" dxfId="1175" priority="759">
      <formula>AK212&gt;AM212*#REF!</formula>
    </cfRule>
    <cfRule type="expression" dxfId="1174" priority="758">
      <formula>AK212&lt;AM212*#REF!</formula>
    </cfRule>
  </conditionalFormatting>
  <conditionalFormatting sqref="AK214:AM216">
    <cfRule type="expression" dxfId="1173" priority="760">
      <formula>AK214&lt;AM214-#REF!</formula>
    </cfRule>
  </conditionalFormatting>
  <conditionalFormatting sqref="AK214:AM226">
    <cfRule type="expression" dxfId="1172" priority="753">
      <formula>AK214&gt;AM214+#REF!</formula>
    </cfRule>
  </conditionalFormatting>
  <conditionalFormatting sqref="AK227:AM227">
    <cfRule type="expression" dxfId="1171" priority="757">
      <formula>AK227&gt;AM227*#REF!</formula>
    </cfRule>
  </conditionalFormatting>
  <conditionalFormatting sqref="AK229:AM230">
    <cfRule type="expression" dxfId="1170" priority="703">
      <formula>AK229&gt;AM229*#REF!</formula>
    </cfRule>
    <cfRule type="expression" dxfId="1169" priority="702">
      <formula>AK229&lt;AM229*#REF!</formula>
    </cfRule>
  </conditionalFormatting>
  <conditionalFormatting sqref="AK231:AM233">
    <cfRule type="expression" dxfId="1168" priority="704">
      <formula>AK231&lt;AM231-#REF!</formula>
    </cfRule>
  </conditionalFormatting>
  <conditionalFormatting sqref="AK231:AM243">
    <cfRule type="expression" dxfId="1167" priority="697">
      <formula>AK231&gt;AM231+#REF!</formula>
    </cfRule>
  </conditionalFormatting>
  <conditionalFormatting sqref="AK244:AM244">
    <cfRule type="expression" dxfId="1166" priority="701">
      <formula>AK244&gt;AM244*#REF!</formula>
    </cfRule>
  </conditionalFormatting>
  <conditionalFormatting sqref="AK246:AM261">
    <cfRule type="expression" dxfId="1165" priority="647">
      <formula>AK246&gt;AM246*#REF!</formula>
    </cfRule>
    <cfRule type="expression" dxfId="1164" priority="646">
      <formula>AK246&lt;AM246*#REF!</formula>
    </cfRule>
  </conditionalFormatting>
  <conditionalFormatting sqref="AK263:AM264 AK266:AM267 AK269:AM270 AK272:AM273 AK275:AM276 AK278:AM278">
    <cfRule type="expression" dxfId="1163" priority="590">
      <formula>AK263&lt;AM263*#REF!</formula>
    </cfRule>
    <cfRule type="expression" dxfId="1162" priority="591">
      <formula>AK263&gt;AM263*#REF!</formula>
    </cfRule>
  </conditionalFormatting>
  <conditionalFormatting sqref="AK265:AM265 AK268:AM268 AK271:AM271 AK274:AM274 AK277:AM277">
    <cfRule type="expression" dxfId="1161" priority="592">
      <formula>AK265&lt;AM265-#REF!</formula>
    </cfRule>
    <cfRule type="expression" dxfId="1160" priority="585">
      <formula>AK265&gt;AM265+#REF!</formula>
    </cfRule>
  </conditionalFormatting>
  <conditionalFormatting sqref="AK280:AM281">
    <cfRule type="expression" dxfId="1159" priority="3627">
      <formula>AK280&gt;AM280*#REF!</formula>
    </cfRule>
    <cfRule type="expression" dxfId="1158" priority="3626">
      <formula>AK280&lt;AM280*#REF!</formula>
    </cfRule>
  </conditionalFormatting>
  <conditionalFormatting sqref="AK282:AM284">
    <cfRule type="expression" dxfId="1157" priority="3628">
      <formula>AK282&lt;AM282-#REF!</formula>
    </cfRule>
  </conditionalFormatting>
  <conditionalFormatting sqref="AK282:AM294">
    <cfRule type="expression" dxfId="1156" priority="3621">
      <formula>AK282&gt;AM282+#REF!</formula>
    </cfRule>
  </conditionalFormatting>
  <conditionalFormatting sqref="AK295:AM295">
    <cfRule type="expression" dxfId="1155" priority="3625">
      <formula>AK295&gt;AM295*#REF!</formula>
    </cfRule>
  </conditionalFormatting>
  <conditionalFormatting sqref="AK297:AM298 AK301:AK302 AK305:AK306 AL300:AM301 AL303:AM304 AL306:AM307 AK309:AM310 AL312:AM312">
    <cfRule type="expression" dxfId="1154" priority="35">
      <formula>AK297&gt;AM297*#REF!</formula>
    </cfRule>
    <cfRule type="expression" dxfId="1153" priority="34">
      <formula>AK297&lt;AM297*#REF!</formula>
    </cfRule>
  </conditionalFormatting>
  <conditionalFormatting sqref="AK299:AM299 AK303:AK304 AK307:AK308 AK311:AK312 AK300 AL302:AM302 AL305:AM305 AL308:AM308 AL311:AM311">
    <cfRule type="expression" dxfId="1152" priority="36">
      <formula>AK299&lt;AM299-#REF!</formula>
    </cfRule>
    <cfRule type="expression" dxfId="1151" priority="33">
      <formula>AK299&gt;AM299+#REF!</formula>
    </cfRule>
  </conditionalFormatting>
  <conditionalFormatting sqref="AK314:AM315">
    <cfRule type="expression" dxfId="1150" priority="478">
      <formula>AK314&lt;AM314*#REF!</formula>
    </cfRule>
    <cfRule type="expression" dxfId="1149" priority="479">
      <formula>AK314&gt;AM314*#REF!</formula>
    </cfRule>
  </conditionalFormatting>
  <conditionalFormatting sqref="AK316:AM318">
    <cfRule type="expression" dxfId="1148" priority="480">
      <formula>AK316&lt;AM316-#REF!</formula>
    </cfRule>
  </conditionalFormatting>
  <conditionalFormatting sqref="AK316:AM328">
    <cfRule type="expression" dxfId="1147" priority="473">
      <formula>AK316&gt;AM316+#REF!</formula>
    </cfRule>
  </conditionalFormatting>
  <conditionalFormatting sqref="AK329:AM329">
    <cfRule type="expression" dxfId="1146" priority="477">
      <formula>AK329&gt;AM329*#REF!</formula>
    </cfRule>
  </conditionalFormatting>
  <conditionalFormatting sqref="AK331:AM332">
    <cfRule type="expression" dxfId="1145" priority="367">
      <formula>AK331&gt;AM331*#REF!</formula>
    </cfRule>
    <cfRule type="expression" dxfId="1144" priority="366">
      <formula>AK331&lt;AM331*#REF!</formula>
    </cfRule>
  </conditionalFormatting>
  <conditionalFormatting sqref="AK333:AM335">
    <cfRule type="expression" dxfId="1143" priority="368">
      <formula>AK333&lt;AM333-#REF!</formula>
    </cfRule>
  </conditionalFormatting>
  <conditionalFormatting sqref="AK333:AM345">
    <cfRule type="expression" dxfId="1142" priority="361">
      <formula>AK333&gt;AM333+#REF!</formula>
    </cfRule>
  </conditionalFormatting>
  <conditionalFormatting sqref="AK346:AM346">
    <cfRule type="expression" dxfId="1141" priority="365">
      <formula>AK346&gt;AM346*#REF!</formula>
    </cfRule>
  </conditionalFormatting>
  <conditionalFormatting sqref="AK348:AM349 AK351:AM352 AK354:AM355 AK357:AM358 AK360:AM361 AK363:AM363">
    <cfRule type="expression" dxfId="1140" priority="21">
      <formula>AK348&gt;AM348*#REF!</formula>
    </cfRule>
    <cfRule type="expression" dxfId="1139" priority="20">
      <formula>AK348&lt;AM348*#REF!</formula>
    </cfRule>
  </conditionalFormatting>
  <conditionalFormatting sqref="AK350:AM350 AK353:AM353 AK356:AM356 AK359:AM359 AK362:AM362">
    <cfRule type="expression" dxfId="1138" priority="22">
      <formula>AK350&lt;AM350-#REF!</formula>
    </cfRule>
    <cfRule type="expression" dxfId="1137" priority="19">
      <formula>AK350&gt;AM350+#REF!</formula>
    </cfRule>
  </conditionalFormatting>
  <conditionalFormatting sqref="AL35:AL39">
    <cfRule type="expression" dxfId="1136" priority="1316">
      <formula>AL35&lt;AN35-#REF!</formula>
    </cfRule>
  </conditionalFormatting>
  <conditionalFormatting sqref="AL52:AL56">
    <cfRule type="expression" dxfId="1135" priority="1260">
      <formula>AL52&lt;AN52-#REF!</formula>
    </cfRule>
  </conditionalFormatting>
  <conditionalFormatting sqref="AL69:AL73">
    <cfRule type="expression" dxfId="1134" priority="1204">
      <formula>AL69&lt;AN69-#REF!</formula>
    </cfRule>
  </conditionalFormatting>
  <conditionalFormatting sqref="AL86:AL90">
    <cfRule type="expression" dxfId="1133" priority="1148">
      <formula>AL86&lt;AN86-#REF!</formula>
    </cfRule>
  </conditionalFormatting>
  <conditionalFormatting sqref="AL103:AL107">
    <cfRule type="expression" dxfId="1132" priority="1052">
      <formula>AL103&lt;AN103-#REF!</formula>
    </cfRule>
  </conditionalFormatting>
  <conditionalFormatting sqref="AL120:AL124">
    <cfRule type="expression" dxfId="1131" priority="1036">
      <formula>AL120&lt;AN120-#REF!</formula>
    </cfRule>
  </conditionalFormatting>
  <conditionalFormatting sqref="AL137:AL141">
    <cfRule type="expression" dxfId="1130" priority="980">
      <formula>AL137&lt;AN137-#REF!</formula>
    </cfRule>
  </conditionalFormatting>
  <conditionalFormatting sqref="AL154:AL158">
    <cfRule type="expression" dxfId="1129" priority="881">
      <formula>AL154&lt;AN154-#REF!</formula>
    </cfRule>
  </conditionalFormatting>
  <conditionalFormatting sqref="AL171:AL175">
    <cfRule type="expression" dxfId="1128" priority="868">
      <formula>AL171&lt;AN171-#REF!</formula>
    </cfRule>
  </conditionalFormatting>
  <conditionalFormatting sqref="AL188:AL192">
    <cfRule type="expression" dxfId="1127" priority="812">
      <formula>AL188&lt;AN188-#REF!</formula>
    </cfRule>
  </conditionalFormatting>
  <conditionalFormatting sqref="AL205:AL209">
    <cfRule type="expression" dxfId="1126" priority="3904">
      <formula>AL205&lt;AN205-#REF!</formula>
    </cfRule>
  </conditionalFormatting>
  <conditionalFormatting sqref="AL222:AL226">
    <cfRule type="expression" dxfId="1125" priority="756">
      <formula>AL222&lt;AN222-#REF!</formula>
    </cfRule>
  </conditionalFormatting>
  <conditionalFormatting sqref="AL239:AL243">
    <cfRule type="expression" dxfId="1124" priority="700">
      <formula>AL239&lt;AN239-#REF!</formula>
    </cfRule>
  </conditionalFormatting>
  <conditionalFormatting sqref="AL290:AL294">
    <cfRule type="expression" dxfId="1123" priority="3624">
      <formula>AL290&lt;AN290-#REF!</formula>
    </cfRule>
  </conditionalFormatting>
  <conditionalFormatting sqref="AL324:AL328">
    <cfRule type="expression" dxfId="1122" priority="476">
      <formula>AL324&lt;AN324-#REF!</formula>
    </cfRule>
  </conditionalFormatting>
  <conditionalFormatting sqref="AL341:AL345">
    <cfRule type="expression" dxfId="1121" priority="364">
      <formula>AL341&lt;AN341-#REF!</formula>
    </cfRule>
  </conditionalFormatting>
  <conditionalFormatting sqref="AL14:AM15">
    <cfRule type="expression" dxfId="1120" priority="1323">
      <formula>AL14&lt;AN14-#REF!</formula>
    </cfRule>
  </conditionalFormatting>
  <conditionalFormatting sqref="AL18:AM22">
    <cfRule type="expression" dxfId="1119" priority="1321">
      <formula>AL18&lt;AN18-#REF!</formula>
    </cfRule>
  </conditionalFormatting>
  <conditionalFormatting sqref="AL31:AM32">
    <cfRule type="expression" dxfId="1118" priority="1315">
      <formula>AL31&lt;AN31-#REF!</formula>
    </cfRule>
  </conditionalFormatting>
  <conditionalFormatting sqref="AL48:AM49">
    <cfRule type="expression" dxfId="1117" priority="1259">
      <formula>AL48&lt;AN48-#REF!</formula>
    </cfRule>
  </conditionalFormatting>
  <conditionalFormatting sqref="AL65:AM66">
    <cfRule type="expression" dxfId="1116" priority="1203">
      <formula>AL65&lt;AN65-#REF!</formula>
    </cfRule>
  </conditionalFormatting>
  <conditionalFormatting sqref="AL82:AM83">
    <cfRule type="expression" dxfId="1115" priority="1147">
      <formula>AL82&lt;AN82-#REF!</formula>
    </cfRule>
  </conditionalFormatting>
  <conditionalFormatting sqref="AL99:AM100">
    <cfRule type="expression" dxfId="1114" priority="1051">
      <formula>AL99&lt;AN99-#REF!</formula>
    </cfRule>
  </conditionalFormatting>
  <conditionalFormatting sqref="AL116:AM117">
    <cfRule type="expression" dxfId="1113" priority="1035">
      <formula>AL116&lt;AN116-#REF!</formula>
    </cfRule>
  </conditionalFormatting>
  <conditionalFormatting sqref="AL133:AM134">
    <cfRule type="expression" dxfId="1112" priority="979">
      <formula>AL133&lt;AN133-#REF!</formula>
    </cfRule>
  </conditionalFormatting>
  <conditionalFormatting sqref="AL150:AM151">
    <cfRule type="expression" dxfId="1111" priority="880">
      <formula>AL150&lt;AN150-#REF!</formula>
    </cfRule>
  </conditionalFormatting>
  <conditionalFormatting sqref="AL167:AM168">
    <cfRule type="expression" dxfId="1110" priority="867">
      <formula>AL167&lt;AN167-#REF!</formula>
    </cfRule>
  </conditionalFormatting>
  <conditionalFormatting sqref="AL184:AM185">
    <cfRule type="expression" dxfId="1109" priority="811">
      <formula>AL184&lt;AN184-#REF!</formula>
    </cfRule>
  </conditionalFormatting>
  <conditionalFormatting sqref="AL201:AM202">
    <cfRule type="expression" dxfId="1108" priority="3903">
      <formula>AL201&lt;AN201-#REF!</formula>
    </cfRule>
  </conditionalFormatting>
  <conditionalFormatting sqref="AL218:AM219">
    <cfRule type="expression" dxfId="1107" priority="755">
      <formula>AL218&lt;AN218-#REF!</formula>
    </cfRule>
  </conditionalFormatting>
  <conditionalFormatting sqref="AL235:AM236">
    <cfRule type="expression" dxfId="1106" priority="699">
      <formula>AL235&lt;AN235-#REF!</formula>
    </cfRule>
  </conditionalFormatting>
  <conditionalFormatting sqref="AL286:AM287">
    <cfRule type="expression" dxfId="1105" priority="3623">
      <formula>AL286&lt;AN286-#REF!</formula>
    </cfRule>
  </conditionalFormatting>
  <conditionalFormatting sqref="AL320:AM321">
    <cfRule type="expression" dxfId="1104" priority="475">
      <formula>AL320&lt;AN320-#REF!</formula>
    </cfRule>
  </conditionalFormatting>
  <conditionalFormatting sqref="AL337:AM338">
    <cfRule type="expression" dxfId="1103" priority="363">
      <formula>AL337&lt;AN337-#REF!</formula>
    </cfRule>
  </conditionalFormatting>
  <conditionalFormatting sqref="AM35:AM36">
    <cfRule type="expression" dxfId="1102" priority="1314">
      <formula>AM35&lt;AO35-#REF!</formula>
    </cfRule>
  </conditionalFormatting>
  <conditionalFormatting sqref="AM52:AM53">
    <cfRule type="expression" dxfId="1101" priority="1258">
      <formula>AM52&lt;AO52-#REF!</formula>
    </cfRule>
  </conditionalFormatting>
  <conditionalFormatting sqref="AM69:AM70">
    <cfRule type="expression" dxfId="1100" priority="1202">
      <formula>AM69&lt;AO69-#REF!</formula>
    </cfRule>
  </conditionalFormatting>
  <conditionalFormatting sqref="AM86:AM87">
    <cfRule type="expression" dxfId="1099" priority="1146">
      <formula>AM86&lt;AO86-#REF!</formula>
    </cfRule>
  </conditionalFormatting>
  <conditionalFormatting sqref="AM103:AM104">
    <cfRule type="expression" dxfId="1098" priority="1050">
      <formula>AM103&lt;AO103-#REF!</formula>
    </cfRule>
  </conditionalFormatting>
  <conditionalFormatting sqref="AM120:AM121">
    <cfRule type="expression" dxfId="1097" priority="1034">
      <formula>AM120&lt;AO120-#REF!</formula>
    </cfRule>
  </conditionalFormatting>
  <conditionalFormatting sqref="AM137:AM138">
    <cfRule type="expression" dxfId="1096" priority="978">
      <formula>AM137&lt;AO137-#REF!</formula>
    </cfRule>
  </conditionalFormatting>
  <conditionalFormatting sqref="AM154:AM155">
    <cfRule type="expression" dxfId="1095" priority="879">
      <formula>AM154&lt;AO154-#REF!</formula>
    </cfRule>
  </conditionalFormatting>
  <conditionalFormatting sqref="AM171:AM172">
    <cfRule type="expression" dxfId="1094" priority="866">
      <formula>AM171&lt;AO171-#REF!</formula>
    </cfRule>
  </conditionalFormatting>
  <conditionalFormatting sqref="AM188:AM189">
    <cfRule type="expression" dxfId="1093" priority="810">
      <formula>AM188&lt;AO188-#REF!</formula>
    </cfRule>
  </conditionalFormatting>
  <conditionalFormatting sqref="AM205:AM206">
    <cfRule type="expression" dxfId="1092" priority="3902">
      <formula>AM205&lt;AO205-#REF!</formula>
    </cfRule>
  </conditionalFormatting>
  <conditionalFormatting sqref="AM222:AM223">
    <cfRule type="expression" dxfId="1091" priority="754">
      <formula>AM222&lt;AO222-#REF!</formula>
    </cfRule>
  </conditionalFormatting>
  <conditionalFormatting sqref="AM239:AM240">
    <cfRule type="expression" dxfId="1090" priority="698">
      <formula>AM239&lt;AO239-#REF!</formula>
    </cfRule>
  </conditionalFormatting>
  <conditionalFormatting sqref="AM290:AM291">
    <cfRule type="expression" dxfId="1089" priority="3622">
      <formula>AM290&lt;AO290-#REF!</formula>
    </cfRule>
  </conditionalFormatting>
  <conditionalFormatting sqref="AM324:AM325">
    <cfRule type="expression" dxfId="1088" priority="474">
      <formula>AM324&lt;AO324-#REF!</formula>
    </cfRule>
  </conditionalFormatting>
  <conditionalFormatting sqref="AM341:AM342">
    <cfRule type="expression" dxfId="1087" priority="362">
      <formula>AM341&lt;AO341-#REF!</formula>
    </cfRule>
  </conditionalFormatting>
  <conditionalFormatting sqref="AO8:AQ9">
    <cfRule type="expression" dxfId="1086" priority="1375">
      <formula>AO8&gt;AQ8*#REF!</formula>
    </cfRule>
    <cfRule type="expression" dxfId="1085" priority="1374">
      <formula>AO8&lt;AQ8*#REF!</formula>
    </cfRule>
  </conditionalFormatting>
  <conditionalFormatting sqref="AO10:AQ12">
    <cfRule type="expression" dxfId="1084" priority="1376">
      <formula>AO10&lt;AQ10-#REF!</formula>
    </cfRule>
  </conditionalFormatting>
  <conditionalFormatting sqref="AO10:AQ22">
    <cfRule type="expression" dxfId="1083" priority="1369">
      <formula>AO10&gt;AQ10+#REF!</formula>
    </cfRule>
  </conditionalFormatting>
  <conditionalFormatting sqref="AO23:AQ23">
    <cfRule type="expression" dxfId="1082" priority="1373">
      <formula>AO23&gt;AQ23*#REF!</formula>
    </cfRule>
  </conditionalFormatting>
  <conditionalFormatting sqref="AO25:AQ26">
    <cfRule type="expression" dxfId="1081" priority="1311">
      <formula>AO25&gt;AQ25*#REF!</formula>
    </cfRule>
    <cfRule type="expression" dxfId="1080" priority="1310">
      <formula>AO25&lt;AQ25*#REF!</formula>
    </cfRule>
  </conditionalFormatting>
  <conditionalFormatting sqref="AO27:AQ29">
    <cfRule type="expression" dxfId="1079" priority="1312">
      <formula>AO27&lt;AQ27-#REF!</formula>
    </cfRule>
  </conditionalFormatting>
  <conditionalFormatting sqref="AO27:AQ39">
    <cfRule type="expression" dxfId="1078" priority="1305">
      <formula>AO27&gt;AQ27+#REF!</formula>
    </cfRule>
  </conditionalFormatting>
  <conditionalFormatting sqref="AO40:AQ40">
    <cfRule type="expression" dxfId="1077" priority="1309">
      <formula>AO40&gt;AQ40*#REF!</formula>
    </cfRule>
  </conditionalFormatting>
  <conditionalFormatting sqref="AO42:AQ43">
    <cfRule type="expression" dxfId="1076" priority="1255">
      <formula>AO42&gt;AQ42*#REF!</formula>
    </cfRule>
    <cfRule type="expression" dxfId="1075" priority="1254">
      <formula>AO42&lt;AQ42*#REF!</formula>
    </cfRule>
  </conditionalFormatting>
  <conditionalFormatting sqref="AO44:AQ46">
    <cfRule type="expression" dxfId="1074" priority="1256">
      <formula>AO44&lt;AQ44-#REF!</formula>
    </cfRule>
  </conditionalFormatting>
  <conditionalFormatting sqref="AO44:AQ56">
    <cfRule type="expression" dxfId="1073" priority="1249">
      <formula>AO44&gt;AQ44+#REF!</formula>
    </cfRule>
  </conditionalFormatting>
  <conditionalFormatting sqref="AO57:AQ57">
    <cfRule type="expression" dxfId="1072" priority="1253">
      <formula>AO57&gt;AQ57*#REF!</formula>
    </cfRule>
  </conditionalFormatting>
  <conditionalFormatting sqref="AO59:AQ60">
    <cfRule type="expression" dxfId="1071" priority="1198">
      <formula>AO59&lt;AQ59*#REF!</formula>
    </cfRule>
    <cfRule type="expression" dxfId="1070" priority="1199">
      <formula>AO59&gt;AQ59*#REF!</formula>
    </cfRule>
  </conditionalFormatting>
  <conditionalFormatting sqref="AO61:AQ63">
    <cfRule type="expression" dxfId="1069" priority="1200">
      <formula>AO61&lt;AQ61-#REF!</formula>
    </cfRule>
  </conditionalFormatting>
  <conditionalFormatting sqref="AO61:AQ73">
    <cfRule type="expression" dxfId="1068" priority="1193">
      <formula>AO61&gt;AQ61+#REF!</formula>
    </cfRule>
  </conditionalFormatting>
  <conditionalFormatting sqref="AO74:AQ74">
    <cfRule type="expression" dxfId="1067" priority="1197">
      <formula>AO74&gt;AQ74*#REF!</formula>
    </cfRule>
  </conditionalFormatting>
  <conditionalFormatting sqref="AO76:AQ77">
    <cfRule type="expression" dxfId="1066" priority="1143">
      <formula>AO76&gt;AQ76*#REF!</formula>
    </cfRule>
    <cfRule type="expression" dxfId="1065" priority="1142">
      <formula>AO76&lt;AQ76*#REF!</formula>
    </cfRule>
  </conditionalFormatting>
  <conditionalFormatting sqref="AO78:AQ80">
    <cfRule type="expression" dxfId="1064" priority="1144">
      <formula>AO78&lt;AQ78-#REF!</formula>
    </cfRule>
  </conditionalFormatting>
  <conditionalFormatting sqref="AO78:AQ90">
    <cfRule type="expression" dxfId="1063" priority="1137">
      <formula>AO78&gt;AQ78+#REF!</formula>
    </cfRule>
  </conditionalFormatting>
  <conditionalFormatting sqref="AO91:AQ91">
    <cfRule type="expression" dxfId="1062" priority="1141">
      <formula>AO91&gt;AQ91*#REF!</formula>
    </cfRule>
  </conditionalFormatting>
  <conditionalFormatting sqref="AO93:AQ94">
    <cfRule type="expression" dxfId="1061" priority="1046">
      <formula>AO93&lt;AQ93*#REF!</formula>
    </cfRule>
    <cfRule type="expression" dxfId="1060" priority="1047">
      <formula>AO93&gt;AQ93*#REF!</formula>
    </cfRule>
  </conditionalFormatting>
  <conditionalFormatting sqref="AO95:AQ97">
    <cfRule type="expression" dxfId="1059" priority="1048">
      <formula>AO95&lt;AQ95-#REF!</formula>
    </cfRule>
  </conditionalFormatting>
  <conditionalFormatting sqref="AO95:AQ107">
    <cfRule type="expression" dxfId="1058" priority="1041">
      <formula>AO95&gt;AQ95+#REF!</formula>
    </cfRule>
  </conditionalFormatting>
  <conditionalFormatting sqref="AO108:AQ108">
    <cfRule type="expression" dxfId="1057" priority="1045">
      <formula>AO108&gt;AQ108*#REF!</formula>
    </cfRule>
  </conditionalFormatting>
  <conditionalFormatting sqref="AO110:AQ111">
    <cfRule type="expression" dxfId="1056" priority="1031">
      <formula>AO110&gt;AQ110*#REF!</formula>
    </cfRule>
    <cfRule type="expression" dxfId="1055" priority="1030">
      <formula>AO110&lt;AQ110*#REF!</formula>
    </cfRule>
  </conditionalFormatting>
  <conditionalFormatting sqref="AO112:AQ114">
    <cfRule type="expression" dxfId="1054" priority="1032">
      <formula>AO112&lt;AQ112-#REF!</formula>
    </cfRule>
  </conditionalFormatting>
  <conditionalFormatting sqref="AO112:AQ124">
    <cfRule type="expression" dxfId="1053" priority="1025">
      <formula>AO112&gt;AQ112+#REF!</formula>
    </cfRule>
  </conditionalFormatting>
  <conditionalFormatting sqref="AO125:AQ125">
    <cfRule type="expression" dxfId="1052" priority="1029">
      <formula>AO125&gt;AQ125*#REF!</formula>
    </cfRule>
  </conditionalFormatting>
  <conditionalFormatting sqref="AO127:AQ128">
    <cfRule type="expression" dxfId="1051" priority="975">
      <formula>AO127&gt;AQ127*#REF!</formula>
    </cfRule>
    <cfRule type="expression" dxfId="1050" priority="974">
      <formula>AO127&lt;AQ127*#REF!</formula>
    </cfRule>
  </conditionalFormatting>
  <conditionalFormatting sqref="AO129:AQ131">
    <cfRule type="expression" dxfId="1049" priority="976">
      <formula>AO129&lt;AQ129-#REF!</formula>
    </cfRule>
  </conditionalFormatting>
  <conditionalFormatting sqref="AO129:AQ141">
    <cfRule type="expression" dxfId="1048" priority="969">
      <formula>AO129&gt;AQ129+#REF!</formula>
    </cfRule>
  </conditionalFormatting>
  <conditionalFormatting sqref="AO142:AQ142">
    <cfRule type="expression" dxfId="1047" priority="973">
      <formula>AO142&gt;AQ142*#REF!</formula>
    </cfRule>
  </conditionalFormatting>
  <conditionalFormatting sqref="AO144:AQ145">
    <cfRule type="expression" dxfId="1046" priority="877">
      <formula>AO144&lt;AQ144*#REF!</formula>
    </cfRule>
  </conditionalFormatting>
  <conditionalFormatting sqref="AO146:AQ148">
    <cfRule type="expression" dxfId="1045" priority="878">
      <formula>AO146&lt;AQ146-#REF!</formula>
    </cfRule>
  </conditionalFormatting>
  <conditionalFormatting sqref="AO146:AQ158">
    <cfRule type="expression" dxfId="1044" priority="876">
      <formula>AO146&gt;AQ146+#REF!</formula>
    </cfRule>
  </conditionalFormatting>
  <conditionalFormatting sqref="AO159:AQ159">
    <cfRule type="expression" dxfId="1043" priority="926">
      <formula>AO159&gt;AQ159*#REF!</formula>
    </cfRule>
  </conditionalFormatting>
  <conditionalFormatting sqref="AO161:AQ162">
    <cfRule type="expression" dxfId="1042" priority="863">
      <formula>AO161&gt;AQ161*#REF!</formula>
    </cfRule>
    <cfRule type="expression" dxfId="1041" priority="862">
      <formula>AO161&lt;AQ161*#REF!</formula>
    </cfRule>
  </conditionalFormatting>
  <conditionalFormatting sqref="AO163:AQ165">
    <cfRule type="expression" dxfId="1040" priority="864">
      <formula>AO163&lt;AQ163-#REF!</formula>
    </cfRule>
  </conditionalFormatting>
  <conditionalFormatting sqref="AO163:AQ175">
    <cfRule type="expression" dxfId="1039" priority="857">
      <formula>AO163&gt;AQ163+#REF!</formula>
    </cfRule>
  </conditionalFormatting>
  <conditionalFormatting sqref="AO176:AQ176">
    <cfRule type="expression" dxfId="1038" priority="861">
      <formula>AO176&gt;AQ176*#REF!</formula>
    </cfRule>
  </conditionalFormatting>
  <conditionalFormatting sqref="AO178:AQ179">
    <cfRule type="expression" dxfId="1037" priority="807">
      <formula>AO178&gt;AQ178*#REF!</formula>
    </cfRule>
    <cfRule type="expression" dxfId="1036" priority="806">
      <formula>AO178&lt;AQ178*#REF!</formula>
    </cfRule>
  </conditionalFormatting>
  <conditionalFormatting sqref="AO180:AQ182">
    <cfRule type="expression" dxfId="1035" priority="808">
      <formula>AO180&lt;AQ180-#REF!</formula>
    </cfRule>
  </conditionalFormatting>
  <conditionalFormatting sqref="AO180:AQ192">
    <cfRule type="expression" dxfId="1034" priority="801">
      <formula>AO180&gt;AQ180+#REF!</formula>
    </cfRule>
  </conditionalFormatting>
  <conditionalFormatting sqref="AO193:AQ193">
    <cfRule type="expression" dxfId="1033" priority="805">
      <formula>AO193&gt;AQ193*#REF!</formula>
    </cfRule>
  </conditionalFormatting>
  <conditionalFormatting sqref="AO195:AQ196">
    <cfRule type="expression" dxfId="1032" priority="3899">
      <formula>AO195&gt;AQ195*#REF!</formula>
    </cfRule>
    <cfRule type="expression" dxfId="1031" priority="3898">
      <formula>AO195&lt;AQ195*#REF!</formula>
    </cfRule>
  </conditionalFormatting>
  <conditionalFormatting sqref="AO197:AQ199">
    <cfRule type="expression" dxfId="1030" priority="3900">
      <formula>AO197&lt;AQ197-#REF!</formula>
    </cfRule>
  </conditionalFormatting>
  <conditionalFormatting sqref="AO197:AQ209">
    <cfRule type="expression" dxfId="1029" priority="3893">
      <formula>AO197&gt;AQ197+#REF!</formula>
    </cfRule>
  </conditionalFormatting>
  <conditionalFormatting sqref="AO210:AQ210">
    <cfRule type="expression" dxfId="1028" priority="3897">
      <formula>AO210&gt;AQ210*#REF!</formula>
    </cfRule>
  </conditionalFormatting>
  <conditionalFormatting sqref="AO212:AQ213">
    <cfRule type="expression" dxfId="1027" priority="750">
      <formula>AO212&lt;AQ212*#REF!</formula>
    </cfRule>
    <cfRule type="expression" dxfId="1026" priority="751">
      <formula>AO212&gt;AQ212*#REF!</formula>
    </cfRule>
  </conditionalFormatting>
  <conditionalFormatting sqref="AO214:AQ216">
    <cfRule type="expression" dxfId="1025" priority="752">
      <formula>AO214&lt;AQ214-#REF!</formula>
    </cfRule>
  </conditionalFormatting>
  <conditionalFormatting sqref="AO214:AQ226">
    <cfRule type="expression" dxfId="1024" priority="745">
      <formula>AO214&gt;AQ214+#REF!</formula>
    </cfRule>
  </conditionalFormatting>
  <conditionalFormatting sqref="AO227:AQ227">
    <cfRule type="expression" dxfId="1023" priority="749">
      <formula>AO227&gt;AQ227*#REF!</formula>
    </cfRule>
  </conditionalFormatting>
  <conditionalFormatting sqref="AO229:AQ230">
    <cfRule type="expression" dxfId="1022" priority="694">
      <formula>AO229&lt;AQ229*#REF!</formula>
    </cfRule>
    <cfRule type="expression" dxfId="1021" priority="695">
      <formula>AO229&gt;AQ229*#REF!</formula>
    </cfRule>
  </conditionalFormatting>
  <conditionalFormatting sqref="AO231:AQ233">
    <cfRule type="expression" dxfId="1020" priority="696">
      <formula>AO231&lt;AQ231-#REF!</formula>
    </cfRule>
  </conditionalFormatting>
  <conditionalFormatting sqref="AO231:AQ243">
    <cfRule type="expression" dxfId="1019" priority="689">
      <formula>AO231&gt;AQ231+#REF!</formula>
    </cfRule>
  </conditionalFormatting>
  <conditionalFormatting sqref="AO244:AQ244">
    <cfRule type="expression" dxfId="1018" priority="693">
      <formula>AO244&gt;AQ244*#REF!</formula>
    </cfRule>
  </conditionalFormatting>
  <conditionalFormatting sqref="AO246:AQ261">
    <cfRule type="expression" dxfId="1017" priority="639">
      <formula>AO246&gt;AQ246*#REF!</formula>
    </cfRule>
    <cfRule type="expression" dxfId="1016" priority="638">
      <formula>AO246&lt;AQ246*#REF!</formula>
    </cfRule>
  </conditionalFormatting>
  <conditionalFormatting sqref="AO263:AQ264 AO266:AQ267 AO269:AQ270 AO272:AQ273 AO275:AQ276 AO278:AQ278">
    <cfRule type="expression" dxfId="1015" priority="49">
      <formula>AO263&lt;AQ263*#REF!</formula>
    </cfRule>
    <cfRule type="expression" dxfId="1014" priority="50">
      <formula>AO263&gt;AQ263*#REF!</formula>
    </cfRule>
  </conditionalFormatting>
  <conditionalFormatting sqref="AO265:AQ265 AO268:AQ268 AO271:AQ271 AO274:AQ274 AO277:AQ277">
    <cfRule type="expression" dxfId="1013" priority="48">
      <formula>AO265&gt;AQ265+#REF!</formula>
    </cfRule>
    <cfRule type="expression" dxfId="1012" priority="51">
      <formula>AO265&lt;AQ265-#REF!</formula>
    </cfRule>
  </conditionalFormatting>
  <conditionalFormatting sqref="AO280:AQ281">
    <cfRule type="expression" dxfId="1011" priority="3618">
      <formula>AO280&lt;AQ280*#REF!</formula>
    </cfRule>
    <cfRule type="expression" dxfId="1010" priority="3619">
      <formula>AO280&gt;AQ280*#REF!</formula>
    </cfRule>
  </conditionalFormatting>
  <conditionalFormatting sqref="AO282:AQ284">
    <cfRule type="expression" dxfId="1009" priority="3620">
      <formula>AO282&lt;AQ282-#REF!</formula>
    </cfRule>
  </conditionalFormatting>
  <conditionalFormatting sqref="AO282:AQ294">
    <cfRule type="expression" dxfId="1008" priority="3613">
      <formula>AO282&gt;AQ282+#REF!</formula>
    </cfRule>
  </conditionalFormatting>
  <conditionalFormatting sqref="AO295:AQ295">
    <cfRule type="expression" dxfId="1007" priority="3617">
      <formula>AO295&gt;AQ295*#REF!</formula>
    </cfRule>
  </conditionalFormatting>
  <conditionalFormatting sqref="AO297:AQ312">
    <cfRule type="expression" dxfId="1006" priority="32">
      <formula>AO297&gt;AQ297*#REF!</formula>
    </cfRule>
    <cfRule type="expression" dxfId="1005" priority="31">
      <formula>AO297&lt;AQ297*#REF!</formula>
    </cfRule>
  </conditionalFormatting>
  <conditionalFormatting sqref="AO314:AQ315">
    <cfRule type="expression" dxfId="1004" priority="471">
      <formula>AO314&gt;AQ314*#REF!</formula>
    </cfRule>
    <cfRule type="expression" dxfId="1003" priority="470">
      <formula>AO314&lt;AQ314*#REF!</formula>
    </cfRule>
  </conditionalFormatting>
  <conditionalFormatting sqref="AO316:AQ318">
    <cfRule type="expression" dxfId="1002" priority="472">
      <formula>AO316&lt;AQ316-#REF!</formula>
    </cfRule>
  </conditionalFormatting>
  <conditionalFormatting sqref="AO316:AQ328">
    <cfRule type="expression" dxfId="1001" priority="465">
      <formula>AO316&gt;AQ316+#REF!</formula>
    </cfRule>
  </conditionalFormatting>
  <conditionalFormatting sqref="AO329:AQ329">
    <cfRule type="expression" dxfId="1000" priority="469">
      <formula>AO329&gt;AQ329*#REF!</formula>
    </cfRule>
  </conditionalFormatting>
  <conditionalFormatting sqref="AO331:AQ332">
    <cfRule type="expression" dxfId="999" priority="358">
      <formula>AO331&lt;AQ331*#REF!</formula>
    </cfRule>
    <cfRule type="expression" dxfId="998" priority="359">
      <formula>AO331&gt;AQ331*#REF!</formula>
    </cfRule>
  </conditionalFormatting>
  <conditionalFormatting sqref="AO333:AQ335">
    <cfRule type="expression" dxfId="997" priority="360">
      <formula>AO333&lt;AQ333-#REF!</formula>
    </cfRule>
  </conditionalFormatting>
  <conditionalFormatting sqref="AO333:AQ345">
    <cfRule type="expression" dxfId="996" priority="353">
      <formula>AO333&gt;AQ333+#REF!</formula>
    </cfRule>
  </conditionalFormatting>
  <conditionalFormatting sqref="AO346:AQ346">
    <cfRule type="expression" dxfId="995" priority="357">
      <formula>AO346&gt;AQ346*#REF!</formula>
    </cfRule>
  </conditionalFormatting>
  <conditionalFormatting sqref="AO348:AQ349 AO351:AQ352 AO354:AQ355 AO357:AQ358 AO360:AQ361 AO363:AQ363">
    <cfRule type="expression" dxfId="994" priority="17">
      <formula>AO348&gt;AQ348*#REF!</formula>
    </cfRule>
    <cfRule type="expression" dxfId="993" priority="16">
      <formula>AO348&lt;AQ348*#REF!</formula>
    </cfRule>
  </conditionalFormatting>
  <conditionalFormatting sqref="AO350:AQ350 AO353:AQ353 AO356:AQ356 AO359:AQ359 AO362:AQ362">
    <cfRule type="expression" dxfId="992" priority="18">
      <formula>AO350&lt;AQ350-#REF!</formula>
    </cfRule>
    <cfRule type="expression" dxfId="991" priority="15">
      <formula>AO350&gt;AQ350+#REF!</formula>
    </cfRule>
  </conditionalFormatting>
  <conditionalFormatting sqref="AP18:AP22">
    <cfRule type="expression" dxfId="990" priority="1372">
      <formula>AP18&lt;AR18-#REF!</formula>
    </cfRule>
  </conditionalFormatting>
  <conditionalFormatting sqref="AP35:AP39">
    <cfRule type="expression" dxfId="989" priority="1308">
      <formula>AP35&lt;AR35-#REF!</formula>
    </cfRule>
  </conditionalFormatting>
  <conditionalFormatting sqref="AP52:AP56">
    <cfRule type="expression" dxfId="988" priority="1252">
      <formula>AP52&lt;AR52-#REF!</formula>
    </cfRule>
  </conditionalFormatting>
  <conditionalFormatting sqref="AP69:AP73">
    <cfRule type="expression" dxfId="987" priority="1196">
      <formula>AP69&lt;AR69-#REF!</formula>
    </cfRule>
  </conditionalFormatting>
  <conditionalFormatting sqref="AP86:AP90">
    <cfRule type="expression" dxfId="986" priority="1140">
      <formula>AP86&lt;AR86-#REF!</formula>
    </cfRule>
  </conditionalFormatting>
  <conditionalFormatting sqref="AP103:AP107">
    <cfRule type="expression" dxfId="985" priority="1044">
      <formula>AP103&lt;AR103-#REF!</formula>
    </cfRule>
  </conditionalFormatting>
  <conditionalFormatting sqref="AP120:AP124">
    <cfRule type="expression" dxfId="984" priority="1028">
      <formula>AP120&lt;AR120-#REF!</formula>
    </cfRule>
  </conditionalFormatting>
  <conditionalFormatting sqref="AP137:AP141">
    <cfRule type="expression" dxfId="983" priority="972">
      <formula>AP137&lt;AR137-#REF!</formula>
    </cfRule>
  </conditionalFormatting>
  <conditionalFormatting sqref="AP154:AP158">
    <cfRule type="expression" dxfId="982" priority="875">
      <formula>AP154&lt;AR154-#REF!</formula>
    </cfRule>
  </conditionalFormatting>
  <conditionalFormatting sqref="AP171:AP175">
    <cfRule type="expression" dxfId="981" priority="860">
      <formula>AP171&lt;AR171-#REF!</formula>
    </cfRule>
  </conditionalFormatting>
  <conditionalFormatting sqref="AP188:AP192">
    <cfRule type="expression" dxfId="980" priority="804">
      <formula>AP188&lt;AR188-#REF!</formula>
    </cfRule>
  </conditionalFormatting>
  <conditionalFormatting sqref="AP205:AP209">
    <cfRule type="expression" dxfId="979" priority="3896">
      <formula>AP205&lt;AR205-#REF!</formula>
    </cfRule>
  </conditionalFormatting>
  <conditionalFormatting sqref="AP222:AP226">
    <cfRule type="expression" dxfId="978" priority="748">
      <formula>AP222&lt;AR222-#REF!</formula>
    </cfRule>
  </conditionalFormatting>
  <conditionalFormatting sqref="AP239:AP243">
    <cfRule type="expression" dxfId="977" priority="692">
      <formula>AP239&lt;AR239-#REF!</formula>
    </cfRule>
  </conditionalFormatting>
  <conditionalFormatting sqref="AP290:AP294">
    <cfRule type="expression" dxfId="976" priority="3616">
      <formula>AP290&lt;AR290-#REF!</formula>
    </cfRule>
  </conditionalFormatting>
  <conditionalFormatting sqref="AP324:AP328">
    <cfRule type="expression" dxfId="975" priority="468">
      <formula>AP324&lt;AR324-#REF!</formula>
    </cfRule>
  </conditionalFormatting>
  <conditionalFormatting sqref="AP341:AP345">
    <cfRule type="expression" dxfId="974" priority="356">
      <formula>AP341&lt;AR341-#REF!</formula>
    </cfRule>
  </conditionalFormatting>
  <conditionalFormatting sqref="AP14:AQ15">
    <cfRule type="expression" dxfId="973" priority="1371">
      <formula>AP14&lt;AR14-#REF!</formula>
    </cfRule>
  </conditionalFormatting>
  <conditionalFormatting sqref="AP31:AQ32">
    <cfRule type="expression" dxfId="972" priority="1307">
      <formula>AP31&lt;AR31-#REF!</formula>
    </cfRule>
  </conditionalFormatting>
  <conditionalFormatting sqref="AP48:AQ49">
    <cfRule type="expression" dxfId="971" priority="1251">
      <formula>AP48&lt;AR48-#REF!</formula>
    </cfRule>
  </conditionalFormatting>
  <conditionalFormatting sqref="AP65:AQ66">
    <cfRule type="expression" dxfId="970" priority="1195">
      <formula>AP65&lt;AR65-#REF!</formula>
    </cfRule>
  </conditionalFormatting>
  <conditionalFormatting sqref="AP82:AQ83">
    <cfRule type="expression" dxfId="969" priority="1139">
      <formula>AP82&lt;AR82-#REF!</formula>
    </cfRule>
  </conditionalFormatting>
  <conditionalFormatting sqref="AP99:AQ100">
    <cfRule type="expression" dxfId="968" priority="1043">
      <formula>AP99&lt;AR99-#REF!</formula>
    </cfRule>
  </conditionalFormatting>
  <conditionalFormatting sqref="AP116:AQ117">
    <cfRule type="expression" dxfId="967" priority="1027">
      <formula>AP116&lt;AR116-#REF!</formula>
    </cfRule>
  </conditionalFormatting>
  <conditionalFormatting sqref="AP133:AQ134">
    <cfRule type="expression" dxfId="966" priority="971">
      <formula>AP133&lt;AR133-#REF!</formula>
    </cfRule>
  </conditionalFormatting>
  <conditionalFormatting sqref="AP150:AQ151">
    <cfRule type="expression" dxfId="965" priority="874">
      <formula>AP150&lt;AR150-#REF!</formula>
    </cfRule>
  </conditionalFormatting>
  <conditionalFormatting sqref="AP167:AQ168">
    <cfRule type="expression" dxfId="964" priority="859">
      <formula>AP167&lt;AR167-#REF!</formula>
    </cfRule>
  </conditionalFormatting>
  <conditionalFormatting sqref="AP184:AQ185">
    <cfRule type="expression" dxfId="963" priority="803">
      <formula>AP184&lt;AR184-#REF!</formula>
    </cfRule>
  </conditionalFormatting>
  <conditionalFormatting sqref="AP201:AQ202">
    <cfRule type="expression" dxfId="962" priority="3895">
      <formula>AP201&lt;AR201-#REF!</formula>
    </cfRule>
  </conditionalFormatting>
  <conditionalFormatting sqref="AP218:AQ219">
    <cfRule type="expression" dxfId="961" priority="747">
      <formula>AP218&lt;AR218-#REF!</formula>
    </cfRule>
  </conditionalFormatting>
  <conditionalFormatting sqref="AP235:AQ236">
    <cfRule type="expression" dxfId="960" priority="691">
      <formula>AP235&lt;AR235-#REF!</formula>
    </cfRule>
  </conditionalFormatting>
  <conditionalFormatting sqref="AP286:AQ287">
    <cfRule type="expression" dxfId="959" priority="3615">
      <formula>AP286&lt;AR286-#REF!</formula>
    </cfRule>
  </conditionalFormatting>
  <conditionalFormatting sqref="AP320:AQ321">
    <cfRule type="expression" dxfId="958" priority="467">
      <formula>AP320&lt;AR320-#REF!</formula>
    </cfRule>
  </conditionalFormatting>
  <conditionalFormatting sqref="AP337:AQ338">
    <cfRule type="expression" dxfId="957" priority="355">
      <formula>AP337&lt;AR337-#REF!</formula>
    </cfRule>
  </conditionalFormatting>
  <conditionalFormatting sqref="AQ18:AQ19">
    <cfRule type="expression" dxfId="956" priority="1370">
      <formula>AQ18&lt;AS18-#REF!</formula>
    </cfRule>
  </conditionalFormatting>
  <conditionalFormatting sqref="AQ35:AQ36">
    <cfRule type="expression" dxfId="955" priority="1306">
      <formula>AQ35&lt;AS35-#REF!</formula>
    </cfRule>
  </conditionalFormatting>
  <conditionalFormatting sqref="AQ52:AQ53">
    <cfRule type="expression" dxfId="954" priority="1250">
      <formula>AQ52&lt;AS52-#REF!</formula>
    </cfRule>
  </conditionalFormatting>
  <conditionalFormatting sqref="AQ69:AQ70">
    <cfRule type="expression" dxfId="953" priority="1194">
      <formula>AQ69&lt;AS69-#REF!</formula>
    </cfRule>
  </conditionalFormatting>
  <conditionalFormatting sqref="AQ86:AQ87">
    <cfRule type="expression" dxfId="952" priority="1138">
      <formula>AQ86&lt;AS86-#REF!</formula>
    </cfRule>
  </conditionalFormatting>
  <conditionalFormatting sqref="AQ103:AQ104">
    <cfRule type="expression" dxfId="951" priority="1042">
      <formula>AQ103&lt;AS103-#REF!</formula>
    </cfRule>
  </conditionalFormatting>
  <conditionalFormatting sqref="AQ120:AQ121">
    <cfRule type="expression" dxfId="950" priority="1026">
      <formula>AQ120&lt;AS120-#REF!</formula>
    </cfRule>
  </conditionalFormatting>
  <conditionalFormatting sqref="AQ137:AQ138">
    <cfRule type="expression" dxfId="949" priority="970">
      <formula>AQ137&lt;AS137-#REF!</formula>
    </cfRule>
  </conditionalFormatting>
  <conditionalFormatting sqref="AQ154:AQ155">
    <cfRule type="expression" dxfId="948" priority="873">
      <formula>AQ154&lt;AS154-#REF!</formula>
    </cfRule>
  </conditionalFormatting>
  <conditionalFormatting sqref="AQ171:AQ172">
    <cfRule type="expression" dxfId="947" priority="858">
      <formula>AQ171&lt;AS171-#REF!</formula>
    </cfRule>
  </conditionalFormatting>
  <conditionalFormatting sqref="AQ188:AQ189">
    <cfRule type="expression" dxfId="946" priority="802">
      <formula>AQ188&lt;AS188-#REF!</formula>
    </cfRule>
  </conditionalFormatting>
  <conditionalFormatting sqref="AQ205:AQ206">
    <cfRule type="expression" dxfId="945" priority="3894">
      <formula>AQ205&lt;AS205-#REF!</formula>
    </cfRule>
  </conditionalFormatting>
  <conditionalFormatting sqref="AQ222:AQ223">
    <cfRule type="expression" dxfId="944" priority="746">
      <formula>AQ222&lt;AS222-#REF!</formula>
    </cfRule>
  </conditionalFormatting>
  <conditionalFormatting sqref="AQ239:AQ240">
    <cfRule type="expression" dxfId="943" priority="690">
      <formula>AQ239&lt;AS239-#REF!</formula>
    </cfRule>
  </conditionalFormatting>
  <conditionalFormatting sqref="AQ290:AQ291">
    <cfRule type="expression" dxfId="942" priority="3614">
      <formula>AQ290&lt;AS290-#REF!</formula>
    </cfRule>
  </conditionalFormatting>
  <conditionalFormatting sqref="AQ324:AQ325">
    <cfRule type="expression" dxfId="941" priority="466">
      <formula>AQ324&lt;AS324-#REF!</formula>
    </cfRule>
  </conditionalFormatting>
  <conditionalFormatting sqref="AQ341:AQ342">
    <cfRule type="expression" dxfId="940" priority="354">
      <formula>AQ341&lt;AS341-#REF!</formula>
    </cfRule>
  </conditionalFormatting>
  <conditionalFormatting sqref="AS8:AU9">
    <cfRule type="expression" dxfId="939" priority="1367">
      <formula>AS8&gt;AU8*#REF!</formula>
    </cfRule>
    <cfRule type="expression" dxfId="938" priority="1366">
      <formula>AS8&lt;AU8*#REF!</formula>
    </cfRule>
  </conditionalFormatting>
  <conditionalFormatting sqref="AS10:AU12">
    <cfRule type="expression" dxfId="937" priority="1368">
      <formula>AS10&lt;AU10-#REF!</formula>
    </cfRule>
  </conditionalFormatting>
  <conditionalFormatting sqref="AS10:AU22">
    <cfRule type="expression" dxfId="936" priority="1361">
      <formula>AS10&gt;AU10+#REF!</formula>
    </cfRule>
  </conditionalFormatting>
  <conditionalFormatting sqref="AS23:AU23">
    <cfRule type="expression" dxfId="935" priority="1365">
      <formula>AS23&gt;AU23*#REF!</formula>
    </cfRule>
  </conditionalFormatting>
  <conditionalFormatting sqref="AS25:AU26">
    <cfRule type="expression" dxfId="934" priority="1303">
      <formula>AS25&gt;AU25*#REF!</formula>
    </cfRule>
    <cfRule type="expression" dxfId="933" priority="1302">
      <formula>AS25&lt;AU25*#REF!</formula>
    </cfRule>
  </conditionalFormatting>
  <conditionalFormatting sqref="AS27:AU29">
    <cfRule type="expression" dxfId="932" priority="1304">
      <formula>AS27&lt;AU27-#REF!</formula>
    </cfRule>
  </conditionalFormatting>
  <conditionalFormatting sqref="AS27:AU39">
    <cfRule type="expression" dxfId="931" priority="1297">
      <formula>AS27&gt;AU27+#REF!</formula>
    </cfRule>
  </conditionalFormatting>
  <conditionalFormatting sqref="AS40:AU40">
    <cfRule type="expression" dxfId="930" priority="1301">
      <formula>AS40&gt;AU40*#REF!</formula>
    </cfRule>
  </conditionalFormatting>
  <conditionalFormatting sqref="AS42:AU43">
    <cfRule type="expression" dxfId="929" priority="1246">
      <formula>AS42&lt;AU42*#REF!</formula>
    </cfRule>
    <cfRule type="expression" dxfId="928" priority="1247">
      <formula>AS42&gt;AU42*#REF!</formula>
    </cfRule>
  </conditionalFormatting>
  <conditionalFormatting sqref="AS44:AU46">
    <cfRule type="expression" dxfId="927" priority="1248">
      <formula>AS44&lt;AU44-#REF!</formula>
    </cfRule>
  </conditionalFormatting>
  <conditionalFormatting sqref="AS44:AU56">
    <cfRule type="expression" dxfId="926" priority="1241">
      <formula>AS44&gt;AU44+#REF!</formula>
    </cfRule>
  </conditionalFormatting>
  <conditionalFormatting sqref="AS57:AU57">
    <cfRule type="expression" dxfId="925" priority="1245">
      <formula>AS57&gt;AU57*#REF!</formula>
    </cfRule>
  </conditionalFormatting>
  <conditionalFormatting sqref="AS59:AU60">
    <cfRule type="expression" dxfId="924" priority="1190">
      <formula>AS59&lt;AU59*#REF!</formula>
    </cfRule>
    <cfRule type="expression" dxfId="923" priority="1191">
      <formula>AS59&gt;AU59*#REF!</formula>
    </cfRule>
  </conditionalFormatting>
  <conditionalFormatting sqref="AS61:AU63">
    <cfRule type="expression" dxfId="922" priority="1192">
      <formula>AS61&lt;AU61-#REF!</formula>
    </cfRule>
  </conditionalFormatting>
  <conditionalFormatting sqref="AS61:AU73">
    <cfRule type="expression" dxfId="921" priority="1185">
      <formula>AS61&gt;AU61+#REF!</formula>
    </cfRule>
  </conditionalFormatting>
  <conditionalFormatting sqref="AS74:AU74">
    <cfRule type="expression" dxfId="920" priority="1189">
      <formula>AS74&gt;AU74*#REF!</formula>
    </cfRule>
  </conditionalFormatting>
  <conditionalFormatting sqref="AS76:AU77">
    <cfRule type="expression" dxfId="919" priority="1135">
      <formula>AS76&gt;AU76*#REF!</formula>
    </cfRule>
    <cfRule type="expression" dxfId="918" priority="1134">
      <formula>AS76&lt;AU76*#REF!</formula>
    </cfRule>
  </conditionalFormatting>
  <conditionalFormatting sqref="AS78:AU80">
    <cfRule type="expression" dxfId="917" priority="1136">
      <formula>AS78&lt;AU78-#REF!</formula>
    </cfRule>
  </conditionalFormatting>
  <conditionalFormatting sqref="AS78:AU90">
    <cfRule type="expression" dxfId="916" priority="1129">
      <formula>AS78&gt;AU78+#REF!</formula>
    </cfRule>
  </conditionalFormatting>
  <conditionalFormatting sqref="AS91:AU91">
    <cfRule type="expression" dxfId="915" priority="1133">
      <formula>AS91&gt;AU91*#REF!</formula>
    </cfRule>
  </conditionalFormatting>
  <conditionalFormatting sqref="AS93:AU94">
    <cfRule type="expression" dxfId="914" priority="1094">
      <formula>AS93&lt;AU93*#REF!</formula>
    </cfRule>
    <cfRule type="expression" dxfId="913" priority="1095">
      <formula>AS93&gt;AU93*#REF!</formula>
    </cfRule>
  </conditionalFormatting>
  <conditionalFormatting sqref="AS95:AU97">
    <cfRule type="expression" dxfId="912" priority="1096">
      <formula>AS95&lt;AU95-#REF!</formula>
    </cfRule>
  </conditionalFormatting>
  <conditionalFormatting sqref="AS95:AU107">
    <cfRule type="expression" dxfId="911" priority="1089">
      <formula>AS95&gt;AU95+#REF!</formula>
    </cfRule>
  </conditionalFormatting>
  <conditionalFormatting sqref="AS108:AU108">
    <cfRule type="expression" dxfId="910" priority="1093">
      <formula>AS108&gt;AU108*#REF!</formula>
    </cfRule>
  </conditionalFormatting>
  <conditionalFormatting sqref="AS110:AU111">
    <cfRule type="expression" dxfId="909" priority="1023">
      <formula>AS110&gt;AU110*#REF!</formula>
    </cfRule>
    <cfRule type="expression" dxfId="908" priority="1022">
      <formula>AS110&lt;AU110*#REF!</formula>
    </cfRule>
  </conditionalFormatting>
  <conditionalFormatting sqref="AS112:AU114">
    <cfRule type="expression" dxfId="907" priority="1024">
      <formula>AS112&lt;AU112-#REF!</formula>
    </cfRule>
  </conditionalFormatting>
  <conditionalFormatting sqref="AS112:AU124">
    <cfRule type="expression" dxfId="906" priority="1017">
      <formula>AS112&gt;AU112+#REF!</formula>
    </cfRule>
  </conditionalFormatting>
  <conditionalFormatting sqref="AS125:AU125">
    <cfRule type="expression" dxfId="905" priority="1021">
      <formula>AS125&gt;AU125*#REF!</formula>
    </cfRule>
  </conditionalFormatting>
  <conditionalFormatting sqref="AS127:AU128">
    <cfRule type="expression" dxfId="904" priority="967">
      <formula>AS127&gt;AU127*#REF!</formula>
    </cfRule>
    <cfRule type="expression" dxfId="903" priority="966">
      <formula>AS127&lt;AU127*#REF!</formula>
    </cfRule>
  </conditionalFormatting>
  <conditionalFormatting sqref="AS129:AU131">
    <cfRule type="expression" dxfId="902" priority="968">
      <formula>AS129&lt;AU129-#REF!</formula>
    </cfRule>
  </conditionalFormatting>
  <conditionalFormatting sqref="AS129:AU141">
    <cfRule type="expression" dxfId="901" priority="961">
      <formula>AS129&gt;AU129+#REF!</formula>
    </cfRule>
  </conditionalFormatting>
  <conditionalFormatting sqref="AS142:AU142">
    <cfRule type="expression" dxfId="900" priority="965">
      <formula>AS142&gt;AU142*#REF!</formula>
    </cfRule>
  </conditionalFormatting>
  <conditionalFormatting sqref="AS144:AU145">
    <cfRule type="expression" dxfId="899" priority="923">
      <formula>AS144&gt;AU144*#REF!</formula>
    </cfRule>
    <cfRule type="expression" dxfId="898" priority="922">
      <formula>AS144&lt;AU144*#REF!</formula>
    </cfRule>
  </conditionalFormatting>
  <conditionalFormatting sqref="AS146:AU148">
    <cfRule type="expression" dxfId="897" priority="924">
      <formula>AS146&lt;AU146-#REF!</formula>
    </cfRule>
  </conditionalFormatting>
  <conditionalFormatting sqref="AS146:AU158">
    <cfRule type="expression" dxfId="896" priority="917">
      <formula>AS146&gt;AU146+#REF!</formula>
    </cfRule>
  </conditionalFormatting>
  <conditionalFormatting sqref="AS159:AU159">
    <cfRule type="expression" dxfId="895" priority="921">
      <formula>AS159&gt;AU159*#REF!</formula>
    </cfRule>
  </conditionalFormatting>
  <conditionalFormatting sqref="AS161:AU162">
    <cfRule type="expression" dxfId="894" priority="855">
      <formula>AS161&gt;AU161*#REF!</formula>
    </cfRule>
    <cfRule type="expression" dxfId="893" priority="854">
      <formula>AS161&lt;AU161*#REF!</formula>
    </cfRule>
  </conditionalFormatting>
  <conditionalFormatting sqref="AS163:AU165">
    <cfRule type="expression" dxfId="892" priority="856">
      <formula>AS163&lt;AU163-#REF!</formula>
    </cfRule>
  </conditionalFormatting>
  <conditionalFormatting sqref="AS163:AU175">
    <cfRule type="expression" dxfId="891" priority="849">
      <formula>AS163&gt;AU163+#REF!</formula>
    </cfRule>
  </conditionalFormatting>
  <conditionalFormatting sqref="AS176:AU176">
    <cfRule type="expression" dxfId="890" priority="853">
      <formula>AS176&gt;AU176*#REF!</formula>
    </cfRule>
  </conditionalFormatting>
  <conditionalFormatting sqref="AS178:AU179">
    <cfRule type="expression" dxfId="889" priority="799">
      <formula>AS178&gt;AU178*#REF!</formula>
    </cfRule>
    <cfRule type="expression" dxfId="888" priority="798">
      <formula>AS178&lt;AU178*#REF!</formula>
    </cfRule>
  </conditionalFormatting>
  <conditionalFormatting sqref="AS180:AU182">
    <cfRule type="expression" dxfId="887" priority="800">
      <formula>AS180&lt;AU180-#REF!</formula>
    </cfRule>
  </conditionalFormatting>
  <conditionalFormatting sqref="AS180:AU192">
    <cfRule type="expression" dxfId="886" priority="793">
      <formula>AS180&gt;AU180+#REF!</formula>
    </cfRule>
  </conditionalFormatting>
  <conditionalFormatting sqref="AS193:AU193">
    <cfRule type="expression" dxfId="885" priority="797">
      <formula>AS193&gt;AU193*#REF!</formula>
    </cfRule>
  </conditionalFormatting>
  <conditionalFormatting sqref="AS195:AU196">
    <cfRule type="expression" dxfId="884" priority="3890">
      <formula>AS195&lt;AU195*#REF!</formula>
    </cfRule>
    <cfRule type="expression" dxfId="883" priority="3891">
      <formula>AS195&gt;AU195*#REF!</formula>
    </cfRule>
  </conditionalFormatting>
  <conditionalFormatting sqref="AS197:AU199">
    <cfRule type="expression" dxfId="882" priority="3892">
      <formula>AS197&lt;AU197-#REF!</formula>
    </cfRule>
  </conditionalFormatting>
  <conditionalFormatting sqref="AS197:AU209">
    <cfRule type="expression" dxfId="881" priority="3885">
      <formula>AS197&gt;AU197+#REF!</formula>
    </cfRule>
  </conditionalFormatting>
  <conditionalFormatting sqref="AS210:AU210">
    <cfRule type="expression" dxfId="880" priority="3889">
      <formula>AS210&gt;AU210*#REF!</formula>
    </cfRule>
  </conditionalFormatting>
  <conditionalFormatting sqref="AS212:AU213">
    <cfRule type="expression" dxfId="879" priority="742">
      <formula>AS212&lt;AU212*#REF!</formula>
    </cfRule>
    <cfRule type="expression" dxfId="878" priority="743">
      <formula>AS212&gt;AU212*#REF!</formula>
    </cfRule>
  </conditionalFormatting>
  <conditionalFormatting sqref="AS214:AU216">
    <cfRule type="expression" dxfId="877" priority="744">
      <formula>AS214&lt;AU214-#REF!</formula>
    </cfRule>
  </conditionalFormatting>
  <conditionalFormatting sqref="AS214:AU226">
    <cfRule type="expression" dxfId="876" priority="737">
      <formula>AS214&gt;AU214+#REF!</formula>
    </cfRule>
  </conditionalFormatting>
  <conditionalFormatting sqref="AS227:AU227">
    <cfRule type="expression" dxfId="875" priority="741">
      <formula>AS227&gt;AU227*#REF!</formula>
    </cfRule>
  </conditionalFormatting>
  <conditionalFormatting sqref="AS229:AU230">
    <cfRule type="expression" dxfId="874" priority="687">
      <formula>AS229&gt;AU229*#REF!</formula>
    </cfRule>
    <cfRule type="expression" dxfId="873" priority="686">
      <formula>AS229&lt;AU229*#REF!</formula>
    </cfRule>
  </conditionalFormatting>
  <conditionalFormatting sqref="AS231:AU233">
    <cfRule type="expression" dxfId="872" priority="688">
      <formula>AS231&lt;AU231-#REF!</formula>
    </cfRule>
  </conditionalFormatting>
  <conditionalFormatting sqref="AS231:AU243">
    <cfRule type="expression" dxfId="871" priority="681">
      <formula>AS231&gt;AU231+#REF!</formula>
    </cfRule>
  </conditionalFormatting>
  <conditionalFormatting sqref="AS244:AU244">
    <cfRule type="expression" dxfId="870" priority="685">
      <formula>AS244&gt;AU244*#REF!</formula>
    </cfRule>
  </conditionalFormatting>
  <conditionalFormatting sqref="AS246:AU261">
    <cfRule type="expression" dxfId="869" priority="631">
      <formula>AS246&gt;AU246*#REF!</formula>
    </cfRule>
    <cfRule type="expression" dxfId="868" priority="630">
      <formula>AS246&lt;AU246*#REF!</formula>
    </cfRule>
  </conditionalFormatting>
  <conditionalFormatting sqref="AS263:AU264 AS266:AU267 AS269:AU270 AS272:AU273 AS275:AU276 AS278:AU278">
    <cfRule type="expression" dxfId="867" priority="45">
      <formula>AS263&lt;AU263*#REF!</formula>
    </cfRule>
    <cfRule type="expression" dxfId="866" priority="46">
      <formula>AS263&gt;AU263*#REF!</formula>
    </cfRule>
  </conditionalFormatting>
  <conditionalFormatting sqref="AS265:AU265 AS268:AU268 AS271:AU271 AS274:AU274 AS277:AU277">
    <cfRule type="expression" dxfId="865" priority="47">
      <formula>AS265&lt;AU265-#REF!</formula>
    </cfRule>
    <cfRule type="expression" dxfId="864" priority="44">
      <formula>AS265&gt;AU265+#REF!</formula>
    </cfRule>
  </conditionalFormatting>
  <conditionalFormatting sqref="AS280:AU281">
    <cfRule type="expression" dxfId="863" priority="3611">
      <formula>AS280&gt;AU280*#REF!</formula>
    </cfRule>
    <cfRule type="expression" dxfId="862" priority="3610">
      <formula>AS280&lt;AU280*#REF!</formula>
    </cfRule>
  </conditionalFormatting>
  <conditionalFormatting sqref="AS282:AU284">
    <cfRule type="expression" dxfId="861" priority="3612">
      <formula>AS282&lt;AU282-#REF!</formula>
    </cfRule>
  </conditionalFormatting>
  <conditionalFormatting sqref="AS282:AU294">
    <cfRule type="expression" dxfId="860" priority="3605">
      <formula>AS282&gt;AU282+#REF!</formula>
    </cfRule>
  </conditionalFormatting>
  <conditionalFormatting sqref="AS295:AU295">
    <cfRule type="expression" dxfId="859" priority="3609">
      <formula>AS295&gt;AU295*#REF!</formula>
    </cfRule>
  </conditionalFormatting>
  <conditionalFormatting sqref="AS297:AU298">
    <cfRule type="expression" dxfId="858" priority="90">
      <formula>AS297&gt;AU297*#REF!</formula>
    </cfRule>
    <cfRule type="expression" dxfId="857" priority="89">
      <formula>AS297&lt;AU297*#REF!</formula>
    </cfRule>
  </conditionalFormatting>
  <conditionalFormatting sqref="AS299:AU301">
    <cfRule type="expression" dxfId="856" priority="91">
      <formula>AS299&lt;AU299-#REF!</formula>
    </cfRule>
  </conditionalFormatting>
  <conditionalFormatting sqref="AS299:AU311">
    <cfRule type="expression" dxfId="855" priority="84">
      <formula>AS299&gt;AU299+#REF!</formula>
    </cfRule>
  </conditionalFormatting>
  <conditionalFormatting sqref="AS312:AU312">
    <cfRule type="expression" dxfId="854" priority="88">
      <formula>AS312&gt;AU312*#REF!</formula>
    </cfRule>
  </conditionalFormatting>
  <conditionalFormatting sqref="AS314:AU315">
    <cfRule type="expression" dxfId="853" priority="463">
      <formula>AS314&gt;AU314*#REF!</formula>
    </cfRule>
    <cfRule type="expression" dxfId="852" priority="462">
      <formula>AS314&lt;AU314*#REF!</formula>
    </cfRule>
  </conditionalFormatting>
  <conditionalFormatting sqref="AS316:AU318">
    <cfRule type="expression" dxfId="851" priority="464">
      <formula>AS316&lt;AU316-#REF!</formula>
    </cfRule>
  </conditionalFormatting>
  <conditionalFormatting sqref="AS316:AU328">
    <cfRule type="expression" dxfId="850" priority="457">
      <formula>AS316&gt;AU316+#REF!</formula>
    </cfRule>
  </conditionalFormatting>
  <conditionalFormatting sqref="AS329:AU329">
    <cfRule type="expression" dxfId="849" priority="461">
      <formula>AS329&gt;AU329*#REF!</formula>
    </cfRule>
  </conditionalFormatting>
  <conditionalFormatting sqref="AS331:AU332">
    <cfRule type="expression" dxfId="848" priority="351">
      <formula>AS331&gt;AU331*#REF!</formula>
    </cfRule>
    <cfRule type="expression" dxfId="847" priority="350">
      <formula>AS331&lt;AU331*#REF!</formula>
    </cfRule>
  </conditionalFormatting>
  <conditionalFormatting sqref="AS333:AU335">
    <cfRule type="expression" dxfId="846" priority="352">
      <formula>AS333&lt;AU333-#REF!</formula>
    </cfRule>
  </conditionalFormatting>
  <conditionalFormatting sqref="AS333:AU345">
    <cfRule type="expression" dxfId="845" priority="345">
      <formula>AS333&gt;AU333+#REF!</formula>
    </cfRule>
  </conditionalFormatting>
  <conditionalFormatting sqref="AS346:AU346">
    <cfRule type="expression" dxfId="844" priority="349">
      <formula>AS346&gt;AU346*#REF!</formula>
    </cfRule>
  </conditionalFormatting>
  <conditionalFormatting sqref="AS348:AU349 AS351:AU352 AS354:AU355 AS357:AU358 AS360:AU361 AS363:AU363">
    <cfRule type="expression" dxfId="843" priority="12">
      <formula>AS348&lt;AU348*#REF!</formula>
    </cfRule>
    <cfRule type="expression" dxfId="842" priority="13">
      <formula>AS348&gt;AU348*#REF!</formula>
    </cfRule>
  </conditionalFormatting>
  <conditionalFormatting sqref="AS350:AU350 AS353:AU353 AS356:AU356 AS359:AU359 AS362:AU362">
    <cfRule type="expression" dxfId="841" priority="11">
      <formula>AS350&gt;AU350+#REF!</formula>
    </cfRule>
    <cfRule type="expression" dxfId="840" priority="14">
      <formula>AS350&lt;AU350-#REF!</formula>
    </cfRule>
  </conditionalFormatting>
  <conditionalFormatting sqref="AT18:AT22">
    <cfRule type="expression" dxfId="839" priority="1364">
      <formula>AT18&lt;AV18-#REF!</formula>
    </cfRule>
  </conditionalFormatting>
  <conditionalFormatting sqref="AT35:AT39">
    <cfRule type="expression" dxfId="838" priority="1300">
      <formula>AT35&lt;AV35-#REF!</formula>
    </cfRule>
  </conditionalFormatting>
  <conditionalFormatting sqref="AT52:AT56">
    <cfRule type="expression" dxfId="837" priority="1244">
      <formula>AT52&lt;AV52-#REF!</formula>
    </cfRule>
  </conditionalFormatting>
  <conditionalFormatting sqref="AT69:AT73">
    <cfRule type="expression" dxfId="836" priority="1188">
      <formula>AT69&lt;AV69-#REF!</formula>
    </cfRule>
  </conditionalFormatting>
  <conditionalFormatting sqref="AT86:AT90">
    <cfRule type="expression" dxfId="835" priority="1132">
      <formula>AT86&lt;AV86-#REF!</formula>
    </cfRule>
  </conditionalFormatting>
  <conditionalFormatting sqref="AT103:AT107">
    <cfRule type="expression" dxfId="834" priority="1092">
      <formula>AT103&lt;AV103-#REF!</formula>
    </cfRule>
  </conditionalFormatting>
  <conditionalFormatting sqref="AT120:AT124">
    <cfRule type="expression" dxfId="833" priority="1020">
      <formula>AT120&lt;AV120-#REF!</formula>
    </cfRule>
  </conditionalFormatting>
  <conditionalFormatting sqref="AT137:AT141">
    <cfRule type="expression" dxfId="832" priority="964">
      <formula>AT137&lt;AV137-#REF!</formula>
    </cfRule>
  </conditionalFormatting>
  <conditionalFormatting sqref="AT154:AT158">
    <cfRule type="expression" dxfId="831" priority="920">
      <formula>AT154&lt;AV154-#REF!</formula>
    </cfRule>
  </conditionalFormatting>
  <conditionalFormatting sqref="AT171:AT175">
    <cfRule type="expression" dxfId="830" priority="852">
      <formula>AT171&lt;AV171-#REF!</formula>
    </cfRule>
  </conditionalFormatting>
  <conditionalFormatting sqref="AT188:AT192">
    <cfRule type="expression" dxfId="829" priority="796">
      <formula>AT188&lt;AV188-#REF!</formula>
    </cfRule>
  </conditionalFormatting>
  <conditionalFormatting sqref="AT205:AT209">
    <cfRule type="expression" dxfId="828" priority="3888">
      <formula>AT205&lt;AV205-#REF!</formula>
    </cfRule>
  </conditionalFormatting>
  <conditionalFormatting sqref="AT222:AT226">
    <cfRule type="expression" dxfId="827" priority="740">
      <formula>AT222&lt;AV222-#REF!</formula>
    </cfRule>
  </conditionalFormatting>
  <conditionalFormatting sqref="AT239:AT243">
    <cfRule type="expression" dxfId="826" priority="684">
      <formula>AT239&lt;AV239-#REF!</formula>
    </cfRule>
  </conditionalFormatting>
  <conditionalFormatting sqref="AT290:AT294">
    <cfRule type="expression" dxfId="825" priority="3608">
      <formula>AT290&lt;AV290-#REF!</formula>
    </cfRule>
  </conditionalFormatting>
  <conditionalFormatting sqref="AT307:AT311">
    <cfRule type="expression" dxfId="824" priority="87">
      <formula>AT307&lt;AV307-#REF!</formula>
    </cfRule>
  </conditionalFormatting>
  <conditionalFormatting sqref="AT324:AT328">
    <cfRule type="expression" dxfId="823" priority="460">
      <formula>AT324&lt;AV324-#REF!</formula>
    </cfRule>
  </conditionalFormatting>
  <conditionalFormatting sqref="AT341:AT345">
    <cfRule type="expression" dxfId="822" priority="348">
      <formula>AT341&lt;AV341-#REF!</formula>
    </cfRule>
  </conditionalFormatting>
  <conditionalFormatting sqref="AT14:AU15">
    <cfRule type="expression" dxfId="821" priority="1363">
      <formula>AT14&lt;AV14-#REF!</formula>
    </cfRule>
  </conditionalFormatting>
  <conditionalFormatting sqref="AT31:AU32">
    <cfRule type="expression" dxfId="820" priority="1299">
      <formula>AT31&lt;AV31-#REF!</formula>
    </cfRule>
  </conditionalFormatting>
  <conditionalFormatting sqref="AT48:AU49">
    <cfRule type="expression" dxfId="819" priority="1243">
      <formula>AT48&lt;AV48-#REF!</formula>
    </cfRule>
  </conditionalFormatting>
  <conditionalFormatting sqref="AT65:AU66">
    <cfRule type="expression" dxfId="818" priority="1187">
      <formula>AT65&lt;AV65-#REF!</formula>
    </cfRule>
  </conditionalFormatting>
  <conditionalFormatting sqref="AT82:AU83">
    <cfRule type="expression" dxfId="817" priority="1131">
      <formula>AT82&lt;AV82-#REF!</formula>
    </cfRule>
  </conditionalFormatting>
  <conditionalFormatting sqref="AT99:AU100">
    <cfRule type="expression" dxfId="816" priority="1091">
      <formula>AT99&lt;AV99-#REF!</formula>
    </cfRule>
  </conditionalFormatting>
  <conditionalFormatting sqref="AT116:AU117">
    <cfRule type="expression" dxfId="815" priority="1019">
      <formula>AT116&lt;AV116-#REF!</formula>
    </cfRule>
  </conditionalFormatting>
  <conditionalFormatting sqref="AT133:AU134">
    <cfRule type="expression" dxfId="814" priority="963">
      <formula>AT133&lt;AV133-#REF!</formula>
    </cfRule>
  </conditionalFormatting>
  <conditionalFormatting sqref="AT150:AU151">
    <cfRule type="expression" dxfId="813" priority="919">
      <formula>AT150&lt;AV150-#REF!</formula>
    </cfRule>
  </conditionalFormatting>
  <conditionalFormatting sqref="AT167:AU168">
    <cfRule type="expression" dxfId="812" priority="851">
      <formula>AT167&lt;AV167-#REF!</formula>
    </cfRule>
  </conditionalFormatting>
  <conditionalFormatting sqref="AT184:AU185">
    <cfRule type="expression" dxfId="811" priority="795">
      <formula>AT184&lt;AV184-#REF!</formula>
    </cfRule>
  </conditionalFormatting>
  <conditionalFormatting sqref="AT201:AU202">
    <cfRule type="expression" dxfId="810" priority="3887">
      <formula>AT201&lt;AV201-#REF!</formula>
    </cfRule>
  </conditionalFormatting>
  <conditionalFormatting sqref="AT218:AU219">
    <cfRule type="expression" dxfId="809" priority="739">
      <formula>AT218&lt;AV218-#REF!</formula>
    </cfRule>
  </conditionalFormatting>
  <conditionalFormatting sqref="AT235:AU236">
    <cfRule type="expression" dxfId="808" priority="683">
      <formula>AT235&lt;AV235-#REF!</formula>
    </cfRule>
  </conditionalFormatting>
  <conditionalFormatting sqref="AT286:AU287">
    <cfRule type="expression" dxfId="807" priority="3607">
      <formula>AT286&lt;AV286-#REF!</formula>
    </cfRule>
  </conditionalFormatting>
  <conditionalFormatting sqref="AT303:AU304">
    <cfRule type="expression" dxfId="806" priority="86">
      <formula>AT303&lt;AV303-#REF!</formula>
    </cfRule>
  </conditionalFormatting>
  <conditionalFormatting sqref="AT320:AU321">
    <cfRule type="expression" dxfId="805" priority="459">
      <formula>AT320&lt;AV320-#REF!</formula>
    </cfRule>
  </conditionalFormatting>
  <conditionalFormatting sqref="AT337:AU338">
    <cfRule type="expression" dxfId="804" priority="347">
      <formula>AT337&lt;AV337-#REF!</formula>
    </cfRule>
  </conditionalFormatting>
  <conditionalFormatting sqref="AU18:AU19">
    <cfRule type="expression" dxfId="803" priority="1362">
      <formula>AU18&lt;AW18-#REF!</formula>
    </cfRule>
  </conditionalFormatting>
  <conditionalFormatting sqref="AU35:AU36">
    <cfRule type="expression" dxfId="802" priority="1298">
      <formula>AU35&lt;AW35-#REF!</formula>
    </cfRule>
  </conditionalFormatting>
  <conditionalFormatting sqref="AU52:AU53">
    <cfRule type="expression" dxfId="801" priority="1242">
      <formula>AU52&lt;AW52-#REF!</formula>
    </cfRule>
  </conditionalFormatting>
  <conditionalFormatting sqref="AU69:AU70">
    <cfRule type="expression" dxfId="800" priority="1186">
      <formula>AU69&lt;AW69-#REF!</formula>
    </cfRule>
  </conditionalFormatting>
  <conditionalFormatting sqref="AU86:AU87">
    <cfRule type="expression" dxfId="799" priority="1130">
      <formula>AU86&lt;AW86-#REF!</formula>
    </cfRule>
  </conditionalFormatting>
  <conditionalFormatting sqref="AU103:AU104">
    <cfRule type="expression" dxfId="798" priority="1090">
      <formula>AU103&lt;AW103-#REF!</formula>
    </cfRule>
  </conditionalFormatting>
  <conditionalFormatting sqref="AU120:AU121">
    <cfRule type="expression" dxfId="797" priority="1018">
      <formula>AU120&lt;AW120-#REF!</formula>
    </cfRule>
  </conditionalFormatting>
  <conditionalFormatting sqref="AU137:AU138">
    <cfRule type="expression" dxfId="796" priority="962">
      <formula>AU137&lt;AW137-#REF!</formula>
    </cfRule>
  </conditionalFormatting>
  <conditionalFormatting sqref="AU154:AU155">
    <cfRule type="expression" dxfId="795" priority="918">
      <formula>AU154&lt;AW154-#REF!</formula>
    </cfRule>
  </conditionalFormatting>
  <conditionalFormatting sqref="AU171:AU172">
    <cfRule type="expression" dxfId="794" priority="850">
      <formula>AU171&lt;AW171-#REF!</formula>
    </cfRule>
  </conditionalFormatting>
  <conditionalFormatting sqref="AU188:AU189">
    <cfRule type="expression" dxfId="793" priority="794">
      <formula>AU188&lt;AW188-#REF!</formula>
    </cfRule>
  </conditionalFormatting>
  <conditionalFormatting sqref="AU205:AU206">
    <cfRule type="expression" dxfId="792" priority="3886">
      <formula>AU205&lt;AW205-#REF!</formula>
    </cfRule>
  </conditionalFormatting>
  <conditionalFormatting sqref="AU222:AU223">
    <cfRule type="expression" dxfId="791" priority="738">
      <formula>AU222&lt;AW222-#REF!</formula>
    </cfRule>
  </conditionalFormatting>
  <conditionalFormatting sqref="AU239:AU240">
    <cfRule type="expression" dxfId="790" priority="682">
      <formula>AU239&lt;AW239-#REF!</formula>
    </cfRule>
  </conditionalFormatting>
  <conditionalFormatting sqref="AU290:AU291">
    <cfRule type="expression" dxfId="789" priority="3606">
      <formula>AU290&lt;AW290-#REF!</formula>
    </cfRule>
  </conditionalFormatting>
  <conditionalFormatting sqref="AU307:AU308">
    <cfRule type="expression" dxfId="788" priority="85">
      <formula>AU307&lt;AW307-#REF!</formula>
    </cfRule>
  </conditionalFormatting>
  <conditionalFormatting sqref="AU324:AU325">
    <cfRule type="expression" dxfId="787" priority="458">
      <formula>AU324&lt;AW324-#REF!</formula>
    </cfRule>
  </conditionalFormatting>
  <conditionalFormatting sqref="AU341:AU342">
    <cfRule type="expression" dxfId="786" priority="346">
      <formula>AU341&lt;AW341-#REF!</formula>
    </cfRule>
  </conditionalFormatting>
  <conditionalFormatting sqref="AW8:AY9">
    <cfRule type="expression" dxfId="785" priority="1358">
      <formula>AW8&lt;AY8*#REF!</formula>
    </cfRule>
    <cfRule type="expression" dxfId="784" priority="1359">
      <formula>AW8&gt;AY8*#REF!</formula>
    </cfRule>
  </conditionalFormatting>
  <conditionalFormatting sqref="AW10:AY12">
    <cfRule type="expression" dxfId="783" priority="1360">
      <formula>AW10&lt;AY10-#REF!</formula>
    </cfRule>
  </conditionalFormatting>
  <conditionalFormatting sqref="AW10:AY22">
    <cfRule type="expression" dxfId="782" priority="1353">
      <formula>AW10&gt;AY10+#REF!</formula>
    </cfRule>
  </conditionalFormatting>
  <conditionalFormatting sqref="AW23:AY23">
    <cfRule type="expression" dxfId="781" priority="1357">
      <formula>AW23&gt;AY23*#REF!</formula>
    </cfRule>
  </conditionalFormatting>
  <conditionalFormatting sqref="AW25:AY26">
    <cfRule type="expression" dxfId="780" priority="1295">
      <formula>AW25&gt;AY25*#REF!</formula>
    </cfRule>
    <cfRule type="expression" dxfId="779" priority="1294">
      <formula>AW25&lt;AY25*#REF!</formula>
    </cfRule>
  </conditionalFormatting>
  <conditionalFormatting sqref="AW27:AY29">
    <cfRule type="expression" dxfId="778" priority="1296">
      <formula>AW27&lt;AY27-#REF!</formula>
    </cfRule>
  </conditionalFormatting>
  <conditionalFormatting sqref="AW27:AY39">
    <cfRule type="expression" dxfId="777" priority="1289">
      <formula>AW27&gt;AY27+#REF!</formula>
    </cfRule>
  </conditionalFormatting>
  <conditionalFormatting sqref="AW40:AY40">
    <cfRule type="expression" dxfId="776" priority="1293">
      <formula>AW40&gt;AY40*#REF!</formula>
    </cfRule>
  </conditionalFormatting>
  <conditionalFormatting sqref="AW42:AY43">
    <cfRule type="expression" dxfId="775" priority="1238">
      <formula>AW42&lt;AY42*#REF!</formula>
    </cfRule>
    <cfRule type="expression" dxfId="774" priority="1239">
      <formula>AW42&gt;AY42*#REF!</formula>
    </cfRule>
  </conditionalFormatting>
  <conditionalFormatting sqref="AW44:AY46">
    <cfRule type="expression" dxfId="773" priority="1240">
      <formula>AW44&lt;AY44-#REF!</formula>
    </cfRule>
  </conditionalFormatting>
  <conditionalFormatting sqref="AW44:AY56">
    <cfRule type="expression" dxfId="772" priority="1233">
      <formula>AW44&gt;AY44+#REF!</formula>
    </cfRule>
  </conditionalFormatting>
  <conditionalFormatting sqref="AW57:AY57">
    <cfRule type="expression" dxfId="771" priority="1237">
      <formula>AW57&gt;AY57*#REF!</formula>
    </cfRule>
  </conditionalFormatting>
  <conditionalFormatting sqref="AW59:AY60">
    <cfRule type="expression" dxfId="770" priority="1182">
      <formula>AW59&lt;AY59*#REF!</formula>
    </cfRule>
    <cfRule type="expression" dxfId="769" priority="1183">
      <formula>AW59&gt;AY59*#REF!</formula>
    </cfRule>
  </conditionalFormatting>
  <conditionalFormatting sqref="AW61:AY63">
    <cfRule type="expression" dxfId="768" priority="1184">
      <formula>AW61&lt;AY61-#REF!</formula>
    </cfRule>
  </conditionalFormatting>
  <conditionalFormatting sqref="AW61:AY73">
    <cfRule type="expression" dxfId="767" priority="1177">
      <formula>AW61&gt;AY61+#REF!</formula>
    </cfRule>
  </conditionalFormatting>
  <conditionalFormatting sqref="AW74:AY74">
    <cfRule type="expression" dxfId="766" priority="1181">
      <formula>AW74&gt;AY74*#REF!</formula>
    </cfRule>
  </conditionalFormatting>
  <conditionalFormatting sqref="AW76:AY77">
    <cfRule type="expression" dxfId="765" priority="1126">
      <formula>AW76&lt;AY76*#REF!</formula>
    </cfRule>
    <cfRule type="expression" dxfId="764" priority="1127">
      <formula>AW76&gt;AY76*#REF!</formula>
    </cfRule>
  </conditionalFormatting>
  <conditionalFormatting sqref="AW78:AY80">
    <cfRule type="expression" dxfId="763" priority="1128">
      <formula>AW78&lt;AY78-#REF!</formula>
    </cfRule>
  </conditionalFormatting>
  <conditionalFormatting sqref="AW78:AY90">
    <cfRule type="expression" dxfId="762" priority="1121">
      <formula>AW78&gt;AY78+#REF!</formula>
    </cfRule>
  </conditionalFormatting>
  <conditionalFormatting sqref="AW91:AY91">
    <cfRule type="expression" dxfId="761" priority="1125">
      <formula>AW91&gt;AY91*#REF!</formula>
    </cfRule>
  </conditionalFormatting>
  <conditionalFormatting sqref="AW93:AY94">
    <cfRule type="expression" dxfId="760" priority="1086">
      <formula>AW93&lt;AY93*#REF!</formula>
    </cfRule>
    <cfRule type="expression" dxfId="759" priority="1087">
      <formula>AW93&gt;AY93*#REF!</formula>
    </cfRule>
  </conditionalFormatting>
  <conditionalFormatting sqref="AW95:AY97">
    <cfRule type="expression" dxfId="758" priority="1088">
      <formula>AW95&lt;AY95-#REF!</formula>
    </cfRule>
  </conditionalFormatting>
  <conditionalFormatting sqref="AW95:AY107">
    <cfRule type="expression" dxfId="757" priority="1081">
      <formula>AW95&gt;AY95+#REF!</formula>
    </cfRule>
  </conditionalFormatting>
  <conditionalFormatting sqref="AW108:AY108">
    <cfRule type="expression" dxfId="756" priority="1085">
      <formula>AW108&gt;AY108*#REF!</formula>
    </cfRule>
  </conditionalFormatting>
  <conditionalFormatting sqref="AW110:AY111">
    <cfRule type="expression" dxfId="755" priority="1015">
      <formula>AW110&gt;AY110*#REF!</formula>
    </cfRule>
    <cfRule type="expression" dxfId="754" priority="1014">
      <formula>AW110&lt;AY110*#REF!</formula>
    </cfRule>
  </conditionalFormatting>
  <conditionalFormatting sqref="AW112:AY114">
    <cfRule type="expression" dxfId="753" priority="1016">
      <formula>AW112&lt;AY112-#REF!</formula>
    </cfRule>
  </conditionalFormatting>
  <conditionalFormatting sqref="AW112:AY124">
    <cfRule type="expression" dxfId="752" priority="1009">
      <formula>AW112&gt;AY112+#REF!</formula>
    </cfRule>
  </conditionalFormatting>
  <conditionalFormatting sqref="AW125:AY125">
    <cfRule type="expression" dxfId="751" priority="1013">
      <formula>AW125&gt;AY125*#REF!</formula>
    </cfRule>
  </conditionalFormatting>
  <conditionalFormatting sqref="AW127:AY128">
    <cfRule type="expression" dxfId="750" priority="958">
      <formula>AW127&lt;AY127*#REF!</formula>
    </cfRule>
    <cfRule type="expression" dxfId="749" priority="959">
      <formula>AW127&gt;AY127*#REF!</formula>
    </cfRule>
  </conditionalFormatting>
  <conditionalFormatting sqref="AW129:AY131">
    <cfRule type="expression" dxfId="748" priority="960">
      <formula>AW129&lt;AY129-#REF!</formula>
    </cfRule>
  </conditionalFormatting>
  <conditionalFormatting sqref="AW129:AY141">
    <cfRule type="expression" dxfId="747" priority="953">
      <formula>AW129&gt;AY129+#REF!</formula>
    </cfRule>
  </conditionalFormatting>
  <conditionalFormatting sqref="AW142:AY142">
    <cfRule type="expression" dxfId="746" priority="957">
      <formula>AW142&gt;AY142*#REF!</formula>
    </cfRule>
  </conditionalFormatting>
  <conditionalFormatting sqref="AW144:AY145">
    <cfRule type="expression" dxfId="745" priority="915">
      <formula>AW144&gt;AY144*#REF!</formula>
    </cfRule>
    <cfRule type="expression" dxfId="744" priority="914">
      <formula>AW144&lt;AY144*#REF!</formula>
    </cfRule>
  </conditionalFormatting>
  <conditionalFormatting sqref="AW146:AY148">
    <cfRule type="expression" dxfId="743" priority="916">
      <formula>AW146&lt;AY146-#REF!</formula>
    </cfRule>
  </conditionalFormatting>
  <conditionalFormatting sqref="AW146:AY158">
    <cfRule type="expression" dxfId="742" priority="909">
      <formula>AW146&gt;AY146+#REF!</formula>
    </cfRule>
  </conditionalFormatting>
  <conditionalFormatting sqref="AW159:AY159">
    <cfRule type="expression" dxfId="741" priority="913">
      <formula>AW159&gt;AY159*#REF!</formula>
    </cfRule>
  </conditionalFormatting>
  <conditionalFormatting sqref="AW161:AY162">
    <cfRule type="expression" dxfId="740" priority="846">
      <formula>AW161&lt;AY161*#REF!</formula>
    </cfRule>
    <cfRule type="expression" dxfId="739" priority="847">
      <formula>AW161&gt;AY161*#REF!</formula>
    </cfRule>
  </conditionalFormatting>
  <conditionalFormatting sqref="AW163:AY165">
    <cfRule type="expression" dxfId="738" priority="848">
      <formula>AW163&lt;AY163-#REF!</formula>
    </cfRule>
  </conditionalFormatting>
  <conditionalFormatting sqref="AW163:AY175">
    <cfRule type="expression" dxfId="737" priority="841">
      <formula>AW163&gt;AY163+#REF!</formula>
    </cfRule>
  </conditionalFormatting>
  <conditionalFormatting sqref="AW176:AY176">
    <cfRule type="expression" dxfId="736" priority="845">
      <formula>AW176&gt;AY176*#REF!</formula>
    </cfRule>
  </conditionalFormatting>
  <conditionalFormatting sqref="AW178:AY179">
    <cfRule type="expression" dxfId="735" priority="791">
      <formula>AW178&gt;AY178*#REF!</formula>
    </cfRule>
    <cfRule type="expression" dxfId="734" priority="790">
      <formula>AW178&lt;AY178*#REF!</formula>
    </cfRule>
  </conditionalFormatting>
  <conditionalFormatting sqref="AW180:AY182">
    <cfRule type="expression" dxfId="733" priority="792">
      <formula>AW180&lt;AY180-#REF!</formula>
    </cfRule>
  </conditionalFormatting>
  <conditionalFormatting sqref="AW180:AY192">
    <cfRule type="expression" dxfId="732" priority="785">
      <formula>AW180&gt;AY180+#REF!</formula>
    </cfRule>
  </conditionalFormatting>
  <conditionalFormatting sqref="AW193:AY193">
    <cfRule type="expression" dxfId="731" priority="789">
      <formula>AW193&gt;AY193*#REF!</formula>
    </cfRule>
  </conditionalFormatting>
  <conditionalFormatting sqref="AW195:AY196">
    <cfRule type="expression" dxfId="730" priority="3882">
      <formula>AW195&lt;AY195*#REF!</formula>
    </cfRule>
    <cfRule type="expression" dxfId="729" priority="3883">
      <formula>AW195&gt;AY195*#REF!</formula>
    </cfRule>
  </conditionalFormatting>
  <conditionalFormatting sqref="AW197:AY199">
    <cfRule type="expression" dxfId="728" priority="3884">
      <formula>AW197&lt;AY197-#REF!</formula>
    </cfRule>
  </conditionalFormatting>
  <conditionalFormatting sqref="AW197:AY209">
    <cfRule type="expression" dxfId="727" priority="3877">
      <formula>AW197&gt;AY197+#REF!</formula>
    </cfRule>
  </conditionalFormatting>
  <conditionalFormatting sqref="AW210:AY210">
    <cfRule type="expression" dxfId="726" priority="3881">
      <formula>AW210&gt;AY210*#REF!</formula>
    </cfRule>
  </conditionalFormatting>
  <conditionalFormatting sqref="AW212:AY213">
    <cfRule type="expression" dxfId="725" priority="734">
      <formula>AW212&lt;AY212*#REF!</formula>
    </cfRule>
    <cfRule type="expression" dxfId="724" priority="735">
      <formula>AW212&gt;AY212*#REF!</formula>
    </cfRule>
  </conditionalFormatting>
  <conditionalFormatting sqref="AW214:AY216">
    <cfRule type="expression" dxfId="723" priority="736">
      <formula>AW214&lt;AY214-#REF!</formula>
    </cfRule>
  </conditionalFormatting>
  <conditionalFormatting sqref="AW214:AY226">
    <cfRule type="expression" dxfId="722" priority="729">
      <formula>AW214&gt;AY214+#REF!</formula>
    </cfRule>
  </conditionalFormatting>
  <conditionalFormatting sqref="AW227:AY227">
    <cfRule type="expression" dxfId="721" priority="733">
      <formula>AW227&gt;AY227*#REF!</formula>
    </cfRule>
  </conditionalFormatting>
  <conditionalFormatting sqref="AW229:AY230">
    <cfRule type="expression" dxfId="720" priority="679">
      <formula>AW229&gt;AY229*#REF!</formula>
    </cfRule>
    <cfRule type="expression" dxfId="719" priority="678">
      <formula>AW229&lt;AY229*#REF!</formula>
    </cfRule>
  </conditionalFormatting>
  <conditionalFormatting sqref="AW231:AY233">
    <cfRule type="expression" dxfId="718" priority="680">
      <formula>AW231&lt;AY231-#REF!</formula>
    </cfRule>
  </conditionalFormatting>
  <conditionalFormatting sqref="AW231:AY243">
    <cfRule type="expression" dxfId="717" priority="673">
      <formula>AW231&gt;AY231+#REF!</formula>
    </cfRule>
  </conditionalFormatting>
  <conditionalFormatting sqref="AW244:AY244">
    <cfRule type="expression" dxfId="716" priority="677">
      <formula>AW244&gt;AY244*#REF!</formula>
    </cfRule>
  </conditionalFormatting>
  <conditionalFormatting sqref="AW246:AY247">
    <cfRule type="expression" dxfId="715" priority="622">
      <formula>AW246&lt;AY246*#REF!</formula>
    </cfRule>
    <cfRule type="expression" dxfId="714" priority="623">
      <formula>AW246&gt;AY246*#REF!</formula>
    </cfRule>
  </conditionalFormatting>
  <conditionalFormatting sqref="AW248:AY250">
    <cfRule type="expression" dxfId="713" priority="624">
      <formula>AW248&lt;AY248-#REF!</formula>
    </cfRule>
  </conditionalFormatting>
  <conditionalFormatting sqref="AW248:AY260">
    <cfRule type="expression" dxfId="712" priority="617">
      <formula>AW248&gt;AY248+#REF!</formula>
    </cfRule>
  </conditionalFormatting>
  <conditionalFormatting sqref="AW261:AY261">
    <cfRule type="expression" dxfId="711" priority="621">
      <formula>AW261&gt;AY261*#REF!</formula>
    </cfRule>
  </conditionalFormatting>
  <conditionalFormatting sqref="AW263:AY264">
    <cfRule type="expression" dxfId="710" priority="567">
      <formula>AW263&gt;AY263*#REF!</formula>
    </cfRule>
    <cfRule type="expression" dxfId="709" priority="566">
      <formula>AW263&lt;AY263*#REF!</formula>
    </cfRule>
  </conditionalFormatting>
  <conditionalFormatting sqref="AW265:AY267">
    <cfRule type="expression" dxfId="708" priority="568">
      <formula>AW265&lt;AY265-#REF!</formula>
    </cfRule>
  </conditionalFormatting>
  <conditionalFormatting sqref="AW265:AY277">
    <cfRule type="expression" dxfId="707" priority="561">
      <formula>AW265&gt;AY265+#REF!</formula>
    </cfRule>
  </conditionalFormatting>
  <conditionalFormatting sqref="AW278:AY278">
    <cfRule type="expression" dxfId="706" priority="565">
      <formula>AW278&gt;AY278*#REF!</formula>
    </cfRule>
  </conditionalFormatting>
  <conditionalFormatting sqref="AW280:AY281">
    <cfRule type="expression" dxfId="705" priority="3602">
      <formula>AW280&lt;AY280*#REF!</formula>
    </cfRule>
    <cfRule type="expression" dxfId="704" priority="3603">
      <formula>AW280&gt;AY280*#REF!</formula>
    </cfRule>
  </conditionalFormatting>
  <conditionalFormatting sqref="AW282:AY284">
    <cfRule type="expression" dxfId="703" priority="3604">
      <formula>AW282&lt;AY282-#REF!</formula>
    </cfRule>
  </conditionalFormatting>
  <conditionalFormatting sqref="AW282:AY294">
    <cfRule type="expression" dxfId="702" priority="3597">
      <formula>AW282&gt;AY282+#REF!</formula>
    </cfRule>
  </conditionalFormatting>
  <conditionalFormatting sqref="AW295:AY295">
    <cfRule type="expression" dxfId="701" priority="3601">
      <formula>AW295&gt;AY295*#REF!</formula>
    </cfRule>
  </conditionalFormatting>
  <conditionalFormatting sqref="AW297:AY298">
    <cfRule type="expression" dxfId="700" priority="82">
      <formula>AW297&gt;AY297*#REF!</formula>
    </cfRule>
    <cfRule type="expression" dxfId="699" priority="81">
      <formula>AW297&lt;AY297*#REF!</formula>
    </cfRule>
  </conditionalFormatting>
  <conditionalFormatting sqref="AW299:AY301">
    <cfRule type="expression" dxfId="698" priority="83">
      <formula>AW299&lt;AY299-#REF!</formula>
    </cfRule>
  </conditionalFormatting>
  <conditionalFormatting sqref="AW299:AY311">
    <cfRule type="expression" dxfId="697" priority="76">
      <formula>AW299&gt;AY299+#REF!</formula>
    </cfRule>
  </conditionalFormatting>
  <conditionalFormatting sqref="AW312:AY312">
    <cfRule type="expression" dxfId="696" priority="80">
      <formula>AW312&gt;AY312*#REF!</formula>
    </cfRule>
  </conditionalFormatting>
  <conditionalFormatting sqref="AW314:AY315">
    <cfRule type="expression" dxfId="695" priority="454">
      <formula>AW314&lt;AY314*#REF!</formula>
    </cfRule>
    <cfRule type="expression" dxfId="694" priority="455">
      <formula>AW314&gt;AY314*#REF!</formula>
    </cfRule>
  </conditionalFormatting>
  <conditionalFormatting sqref="AW316:AY318">
    <cfRule type="expression" dxfId="693" priority="456">
      <formula>AW316&lt;AY316-#REF!</formula>
    </cfRule>
  </conditionalFormatting>
  <conditionalFormatting sqref="AW316:AY328">
    <cfRule type="expression" dxfId="692" priority="449">
      <formula>AW316&gt;AY316+#REF!</formula>
    </cfRule>
  </conditionalFormatting>
  <conditionalFormatting sqref="AW329:AY329">
    <cfRule type="expression" dxfId="691" priority="453">
      <formula>AW329&gt;AY329*#REF!</formula>
    </cfRule>
  </conditionalFormatting>
  <conditionalFormatting sqref="AW331:AY332">
    <cfRule type="expression" dxfId="690" priority="342">
      <formula>AW331&lt;AY331*#REF!</formula>
    </cfRule>
    <cfRule type="expression" dxfId="689" priority="343">
      <formula>AW331&gt;AY331*#REF!</formula>
    </cfRule>
  </conditionalFormatting>
  <conditionalFormatting sqref="AW333:AY335">
    <cfRule type="expression" dxfId="688" priority="344">
      <formula>AW333&lt;AY333-#REF!</formula>
    </cfRule>
  </conditionalFormatting>
  <conditionalFormatting sqref="AW333:AY345">
    <cfRule type="expression" dxfId="687" priority="337">
      <formula>AW333&gt;AY333+#REF!</formula>
    </cfRule>
  </conditionalFormatting>
  <conditionalFormatting sqref="AW346:AY346">
    <cfRule type="expression" dxfId="686" priority="341">
      <formula>AW346&gt;AY346*#REF!</formula>
    </cfRule>
  </conditionalFormatting>
  <conditionalFormatting sqref="AW348:AY349">
    <cfRule type="expression" dxfId="685" priority="286">
      <formula>AW348&lt;AY348*#REF!</formula>
    </cfRule>
    <cfRule type="expression" dxfId="684" priority="287">
      <formula>AW348&gt;AY348*#REF!</formula>
    </cfRule>
  </conditionalFormatting>
  <conditionalFormatting sqref="AW350:AY352">
    <cfRule type="expression" dxfId="683" priority="288">
      <formula>AW350&lt;AY350-#REF!</formula>
    </cfRule>
  </conditionalFormatting>
  <conditionalFormatting sqref="AW350:AY362">
    <cfRule type="expression" dxfId="682" priority="281">
      <formula>AW350&gt;AY350+#REF!</formula>
    </cfRule>
  </conditionalFormatting>
  <conditionalFormatting sqref="AW363:AY363">
    <cfRule type="expression" dxfId="681" priority="285">
      <formula>AW363&gt;AY363*#REF!</formula>
    </cfRule>
  </conditionalFormatting>
  <conditionalFormatting sqref="AX18:AX22">
    <cfRule type="expression" dxfId="680" priority="1356">
      <formula>AX18&lt;AZ18-#REF!</formula>
    </cfRule>
  </conditionalFormatting>
  <conditionalFormatting sqref="AX35:AX39">
    <cfRule type="expression" dxfId="679" priority="1292">
      <formula>AX35&lt;AZ35-#REF!</formula>
    </cfRule>
  </conditionalFormatting>
  <conditionalFormatting sqref="AX52:AX56">
    <cfRule type="expression" dxfId="678" priority="1236">
      <formula>AX52&lt;AZ52-#REF!</formula>
    </cfRule>
  </conditionalFormatting>
  <conditionalFormatting sqref="AX69:AX73">
    <cfRule type="expression" dxfId="677" priority="1180">
      <formula>AX69&lt;AZ69-#REF!</formula>
    </cfRule>
  </conditionalFormatting>
  <conditionalFormatting sqref="AX86:AX90">
    <cfRule type="expression" dxfId="676" priority="1124">
      <formula>AX86&lt;AZ86-#REF!</formula>
    </cfRule>
  </conditionalFormatting>
  <conditionalFormatting sqref="AX103:AX107">
    <cfRule type="expression" dxfId="675" priority="1084">
      <formula>AX103&lt;AZ103-#REF!</formula>
    </cfRule>
  </conditionalFormatting>
  <conditionalFormatting sqref="AX120:AX124">
    <cfRule type="expression" dxfId="674" priority="1012">
      <formula>AX120&lt;AZ120-#REF!</formula>
    </cfRule>
  </conditionalFormatting>
  <conditionalFormatting sqref="AX137:AX141">
    <cfRule type="expression" dxfId="673" priority="956">
      <formula>AX137&lt;AZ137-#REF!</formula>
    </cfRule>
  </conditionalFormatting>
  <conditionalFormatting sqref="AX154:AX158">
    <cfRule type="expression" dxfId="672" priority="912">
      <formula>AX154&lt;AZ154-#REF!</formula>
    </cfRule>
  </conditionalFormatting>
  <conditionalFormatting sqref="AX171:AX175">
    <cfRule type="expression" dxfId="671" priority="844">
      <formula>AX171&lt;AZ171-#REF!</formula>
    </cfRule>
  </conditionalFormatting>
  <conditionalFormatting sqref="AX188:AX192">
    <cfRule type="expression" dxfId="670" priority="788">
      <formula>AX188&lt;AZ188-#REF!</formula>
    </cfRule>
  </conditionalFormatting>
  <conditionalFormatting sqref="AX205:AX209">
    <cfRule type="expression" dxfId="669" priority="3880">
      <formula>AX205&lt;AZ205-#REF!</formula>
    </cfRule>
  </conditionalFormatting>
  <conditionalFormatting sqref="AX222:AX226">
    <cfRule type="expression" dxfId="668" priority="732">
      <formula>AX222&lt;AZ222-#REF!</formula>
    </cfRule>
  </conditionalFormatting>
  <conditionalFormatting sqref="AX239:AX243">
    <cfRule type="expression" dxfId="667" priority="676">
      <formula>AX239&lt;AZ239-#REF!</formula>
    </cfRule>
  </conditionalFormatting>
  <conditionalFormatting sqref="AX256:AX260">
    <cfRule type="expression" dxfId="666" priority="620">
      <formula>AX256&lt;AZ256-#REF!</formula>
    </cfRule>
  </conditionalFormatting>
  <conditionalFormatting sqref="AX273:AX277">
    <cfRule type="expression" dxfId="665" priority="564">
      <formula>AX273&lt;AZ273-#REF!</formula>
    </cfRule>
  </conditionalFormatting>
  <conditionalFormatting sqref="AX290:AX294">
    <cfRule type="expression" dxfId="664" priority="3600">
      <formula>AX290&lt;AZ290-#REF!</formula>
    </cfRule>
  </conditionalFormatting>
  <conditionalFormatting sqref="AX307:AX311">
    <cfRule type="expression" dxfId="663" priority="79">
      <formula>AX307&lt;AZ307-#REF!</formula>
    </cfRule>
  </conditionalFormatting>
  <conditionalFormatting sqref="AX324:AX328">
    <cfRule type="expression" dxfId="662" priority="452">
      <formula>AX324&lt;AZ324-#REF!</formula>
    </cfRule>
  </conditionalFormatting>
  <conditionalFormatting sqref="AX341:AX345">
    <cfRule type="expression" dxfId="661" priority="340">
      <formula>AX341&lt;AZ341-#REF!</formula>
    </cfRule>
  </conditionalFormatting>
  <conditionalFormatting sqref="AX358:AX362">
    <cfRule type="expression" dxfId="660" priority="284">
      <formula>AX358&lt;AZ358-#REF!</formula>
    </cfRule>
  </conditionalFormatting>
  <conditionalFormatting sqref="AX14:AY15">
    <cfRule type="expression" dxfId="659" priority="1355">
      <formula>AX14&lt;AZ14-#REF!</formula>
    </cfRule>
  </conditionalFormatting>
  <conditionalFormatting sqref="AX31:AY32">
    <cfRule type="expression" dxfId="658" priority="1291">
      <formula>AX31&lt;AZ31-#REF!</formula>
    </cfRule>
  </conditionalFormatting>
  <conditionalFormatting sqref="AX48:AY49">
    <cfRule type="expression" dxfId="657" priority="1235">
      <formula>AX48&lt;AZ48-#REF!</formula>
    </cfRule>
  </conditionalFormatting>
  <conditionalFormatting sqref="AX65:AY66">
    <cfRule type="expression" dxfId="656" priority="1179">
      <formula>AX65&lt;AZ65-#REF!</formula>
    </cfRule>
  </conditionalFormatting>
  <conditionalFormatting sqref="AX82:AY83">
    <cfRule type="expression" dxfId="655" priority="1123">
      <formula>AX82&lt;AZ82-#REF!</formula>
    </cfRule>
  </conditionalFormatting>
  <conditionalFormatting sqref="AX99:AY100">
    <cfRule type="expression" dxfId="654" priority="1083">
      <formula>AX99&lt;AZ99-#REF!</formula>
    </cfRule>
  </conditionalFormatting>
  <conditionalFormatting sqref="AX116:AY117">
    <cfRule type="expression" dxfId="653" priority="1011">
      <formula>AX116&lt;AZ116-#REF!</formula>
    </cfRule>
  </conditionalFormatting>
  <conditionalFormatting sqref="AX133:AY134">
    <cfRule type="expression" dxfId="652" priority="955">
      <formula>AX133&lt;AZ133-#REF!</formula>
    </cfRule>
  </conditionalFormatting>
  <conditionalFormatting sqref="AX150:AY151">
    <cfRule type="expression" dxfId="651" priority="911">
      <formula>AX150&lt;AZ150-#REF!</formula>
    </cfRule>
  </conditionalFormatting>
  <conditionalFormatting sqref="AX167:AY168">
    <cfRule type="expression" dxfId="650" priority="843">
      <formula>AX167&lt;AZ167-#REF!</formula>
    </cfRule>
  </conditionalFormatting>
  <conditionalFormatting sqref="AX184:AY185">
    <cfRule type="expression" dxfId="649" priority="787">
      <formula>AX184&lt;AZ184-#REF!</formula>
    </cfRule>
  </conditionalFormatting>
  <conditionalFormatting sqref="AX201:AY202">
    <cfRule type="expression" dxfId="648" priority="3879">
      <formula>AX201&lt;AZ201-#REF!</formula>
    </cfRule>
  </conditionalFormatting>
  <conditionalFormatting sqref="AX218:AY219">
    <cfRule type="expression" dxfId="647" priority="731">
      <formula>AX218&lt;AZ218-#REF!</formula>
    </cfRule>
  </conditionalFormatting>
  <conditionalFormatting sqref="AX235:AY236">
    <cfRule type="expression" dxfId="646" priority="675">
      <formula>AX235&lt;AZ235-#REF!</formula>
    </cfRule>
  </conditionalFormatting>
  <conditionalFormatting sqref="AX252:AY253">
    <cfRule type="expression" dxfId="645" priority="619">
      <formula>AX252&lt;AZ252-#REF!</formula>
    </cfRule>
  </conditionalFormatting>
  <conditionalFormatting sqref="AX269:AY270">
    <cfRule type="expression" dxfId="644" priority="563">
      <formula>AX269&lt;AZ269-#REF!</formula>
    </cfRule>
  </conditionalFormatting>
  <conditionalFormatting sqref="AX286:AY287">
    <cfRule type="expression" dxfId="643" priority="3599">
      <formula>AX286&lt;AZ286-#REF!</formula>
    </cfRule>
  </conditionalFormatting>
  <conditionalFormatting sqref="AX303:AY304">
    <cfRule type="expression" dxfId="642" priority="78">
      <formula>AX303&lt;AZ303-#REF!</formula>
    </cfRule>
  </conditionalFormatting>
  <conditionalFormatting sqref="AX320:AY321">
    <cfRule type="expression" dxfId="641" priority="451">
      <formula>AX320&lt;AZ320-#REF!</formula>
    </cfRule>
  </conditionalFormatting>
  <conditionalFormatting sqref="AX337:AY338">
    <cfRule type="expression" dxfId="640" priority="339">
      <formula>AX337&lt;AZ337-#REF!</formula>
    </cfRule>
  </conditionalFormatting>
  <conditionalFormatting sqref="AX354:AY355">
    <cfRule type="expression" dxfId="639" priority="283">
      <formula>AX354&lt;AZ354-#REF!</formula>
    </cfRule>
  </conditionalFormatting>
  <conditionalFormatting sqref="AY18:AY19">
    <cfRule type="expression" dxfId="638" priority="1354">
      <formula>AY18&lt;BA18-#REF!</formula>
    </cfRule>
  </conditionalFormatting>
  <conditionalFormatting sqref="AY35:AY36">
    <cfRule type="expression" dxfId="637" priority="1290">
      <formula>AY35&lt;BA35-#REF!</formula>
    </cfRule>
  </conditionalFormatting>
  <conditionalFormatting sqref="AY52:AY53">
    <cfRule type="expression" dxfId="636" priority="1234">
      <formula>AY52&lt;BA52-#REF!</formula>
    </cfRule>
  </conditionalFormatting>
  <conditionalFormatting sqref="AY69:AY70">
    <cfRule type="expression" dxfId="635" priority="1178">
      <formula>AY69&lt;BA69-#REF!</formula>
    </cfRule>
  </conditionalFormatting>
  <conditionalFormatting sqref="AY86:AY87">
    <cfRule type="expression" dxfId="634" priority="1122">
      <formula>AY86&lt;BA86-#REF!</formula>
    </cfRule>
  </conditionalFormatting>
  <conditionalFormatting sqref="AY103:AY104">
    <cfRule type="expression" dxfId="633" priority="1082">
      <formula>AY103&lt;BA103-#REF!</formula>
    </cfRule>
  </conditionalFormatting>
  <conditionalFormatting sqref="AY120:AY121">
    <cfRule type="expression" dxfId="632" priority="1010">
      <formula>AY120&lt;BA120-#REF!</formula>
    </cfRule>
  </conditionalFormatting>
  <conditionalFormatting sqref="AY137:AY138">
    <cfRule type="expression" dxfId="631" priority="954">
      <formula>AY137&lt;BA137-#REF!</formula>
    </cfRule>
  </conditionalFormatting>
  <conditionalFormatting sqref="AY154:AY155">
    <cfRule type="expression" dxfId="630" priority="910">
      <formula>AY154&lt;BA154-#REF!</formula>
    </cfRule>
  </conditionalFormatting>
  <conditionalFormatting sqref="AY171:AY172">
    <cfRule type="expression" dxfId="629" priority="842">
      <formula>AY171&lt;BA171-#REF!</formula>
    </cfRule>
  </conditionalFormatting>
  <conditionalFormatting sqref="AY188:AY189">
    <cfRule type="expression" dxfId="628" priority="786">
      <formula>AY188&lt;BA188-#REF!</formula>
    </cfRule>
  </conditionalFormatting>
  <conditionalFormatting sqref="AY205:AY206">
    <cfRule type="expression" dxfId="627" priority="3878">
      <formula>AY205&lt;BA205-#REF!</formula>
    </cfRule>
  </conditionalFormatting>
  <conditionalFormatting sqref="AY222:AY223">
    <cfRule type="expression" dxfId="626" priority="730">
      <formula>AY222&lt;BA222-#REF!</formula>
    </cfRule>
  </conditionalFormatting>
  <conditionalFormatting sqref="AY239:AY240">
    <cfRule type="expression" dxfId="625" priority="674">
      <formula>AY239&lt;BA239-#REF!</formula>
    </cfRule>
  </conditionalFormatting>
  <conditionalFormatting sqref="AY256:AY257">
    <cfRule type="expression" dxfId="624" priority="618">
      <formula>AY256&lt;BA256-#REF!</formula>
    </cfRule>
  </conditionalFormatting>
  <conditionalFormatting sqref="AY273:AY274">
    <cfRule type="expression" dxfId="623" priority="562">
      <formula>AY273&lt;BA273-#REF!</formula>
    </cfRule>
  </conditionalFormatting>
  <conditionalFormatting sqref="AY290:AY291">
    <cfRule type="expression" dxfId="622" priority="3598">
      <formula>AY290&lt;BA290-#REF!</formula>
    </cfRule>
  </conditionalFormatting>
  <conditionalFormatting sqref="AY307:AY308">
    <cfRule type="expression" dxfId="621" priority="77">
      <formula>AY307&lt;BA307-#REF!</formula>
    </cfRule>
  </conditionalFormatting>
  <conditionalFormatting sqref="AY324:AY325">
    <cfRule type="expression" dxfId="620" priority="450">
      <formula>AY324&lt;BA324-#REF!</formula>
    </cfRule>
  </conditionalFormatting>
  <conditionalFormatting sqref="AY341:AY342">
    <cfRule type="expression" dxfId="619" priority="338">
      <formula>AY341&lt;BA341-#REF!</formula>
    </cfRule>
  </conditionalFormatting>
  <conditionalFormatting sqref="AY358:AY359">
    <cfRule type="expression" dxfId="618" priority="282">
      <formula>AY358&lt;BA358-#REF!</formula>
    </cfRule>
  </conditionalFormatting>
  <conditionalFormatting sqref="BA8:BC9">
    <cfRule type="expression" dxfId="617" priority="1351">
      <formula>BA8&gt;BC8*#REF!</formula>
    </cfRule>
    <cfRule type="expression" dxfId="616" priority="1350">
      <formula>BA8&lt;BC8*#REF!</formula>
    </cfRule>
  </conditionalFormatting>
  <conditionalFormatting sqref="BA10:BC12">
    <cfRule type="expression" dxfId="615" priority="1352">
      <formula>BA10&lt;BC10-#REF!</formula>
    </cfRule>
  </conditionalFormatting>
  <conditionalFormatting sqref="BA10:BC22">
    <cfRule type="expression" dxfId="614" priority="1345">
      <formula>BA10&gt;BC10+#REF!</formula>
    </cfRule>
  </conditionalFormatting>
  <conditionalFormatting sqref="BA23:BC23">
    <cfRule type="expression" dxfId="613" priority="1349">
      <formula>BA23&gt;BC23*#REF!</formula>
    </cfRule>
  </conditionalFormatting>
  <conditionalFormatting sqref="BA25:BC26">
    <cfRule type="expression" dxfId="612" priority="1287">
      <formula>BA25&gt;BC25*#REF!</formula>
    </cfRule>
    <cfRule type="expression" dxfId="611" priority="1286">
      <formula>BA25&lt;BC25*#REF!</formula>
    </cfRule>
  </conditionalFormatting>
  <conditionalFormatting sqref="BA27:BC29">
    <cfRule type="expression" dxfId="610" priority="1288">
      <formula>BA27&lt;BC27-#REF!</formula>
    </cfRule>
  </conditionalFormatting>
  <conditionalFormatting sqref="BA27:BC39">
    <cfRule type="expression" dxfId="609" priority="1281">
      <formula>BA27&gt;BC27+#REF!</formula>
    </cfRule>
  </conditionalFormatting>
  <conditionalFormatting sqref="BA40:BC40">
    <cfRule type="expression" dxfId="608" priority="1285">
      <formula>BA40&gt;BC40*#REF!</formula>
    </cfRule>
  </conditionalFormatting>
  <conditionalFormatting sqref="BA42:BC43">
    <cfRule type="expression" dxfId="607" priority="1230">
      <formula>BA42&lt;BC42*#REF!</formula>
    </cfRule>
    <cfRule type="expression" dxfId="606" priority="1231">
      <formula>BA42&gt;BC42*#REF!</formula>
    </cfRule>
  </conditionalFormatting>
  <conditionalFormatting sqref="BA44:BC46">
    <cfRule type="expression" dxfId="605" priority="1232">
      <formula>BA44&lt;BC44-#REF!</formula>
    </cfRule>
  </conditionalFormatting>
  <conditionalFormatting sqref="BA44:BC56">
    <cfRule type="expression" dxfId="604" priority="1225">
      <formula>BA44&gt;BC44+#REF!</formula>
    </cfRule>
  </conditionalFormatting>
  <conditionalFormatting sqref="BA57:BC57">
    <cfRule type="expression" dxfId="603" priority="1229">
      <formula>BA57&gt;BC57*#REF!</formula>
    </cfRule>
  </conditionalFormatting>
  <conditionalFormatting sqref="BA59:BC60">
    <cfRule type="expression" dxfId="602" priority="1175">
      <formula>BA59&gt;BC59*#REF!</formula>
    </cfRule>
    <cfRule type="expression" dxfId="601" priority="1174">
      <formula>BA59&lt;BC59*#REF!</formula>
    </cfRule>
  </conditionalFormatting>
  <conditionalFormatting sqref="BA61:BC63">
    <cfRule type="expression" dxfId="600" priority="1176">
      <formula>BA61&lt;BC61-#REF!</formula>
    </cfRule>
  </conditionalFormatting>
  <conditionalFormatting sqref="BA61:BC73">
    <cfRule type="expression" dxfId="599" priority="1169">
      <formula>BA61&gt;BC61+#REF!</formula>
    </cfRule>
  </conditionalFormatting>
  <conditionalFormatting sqref="BA74:BC74">
    <cfRule type="expression" dxfId="598" priority="1173">
      <formula>BA74&gt;BC74*#REF!</formula>
    </cfRule>
  </conditionalFormatting>
  <conditionalFormatting sqref="BA76:BC77">
    <cfRule type="expression" dxfId="597" priority="1118">
      <formula>BA76&lt;BC76*#REF!</formula>
    </cfRule>
    <cfRule type="expression" dxfId="596" priority="1119">
      <formula>BA76&gt;BC76*#REF!</formula>
    </cfRule>
  </conditionalFormatting>
  <conditionalFormatting sqref="BA78:BC80">
    <cfRule type="expression" dxfId="595" priority="1120">
      <formula>BA78&lt;BC78-#REF!</formula>
    </cfRule>
  </conditionalFormatting>
  <conditionalFormatting sqref="BA78:BC90">
    <cfRule type="expression" dxfId="594" priority="1113">
      <formula>BA78&gt;BC78+#REF!</formula>
    </cfRule>
  </conditionalFormatting>
  <conditionalFormatting sqref="BA91:BC91">
    <cfRule type="expression" dxfId="593" priority="1117">
      <formula>BA91&gt;BC91*#REF!</formula>
    </cfRule>
  </conditionalFormatting>
  <conditionalFormatting sqref="BA93:BC94">
    <cfRule type="expression" dxfId="592" priority="1079">
      <formula>BA93&gt;BC93*#REF!</formula>
    </cfRule>
    <cfRule type="expression" dxfId="591" priority="1078">
      <formula>BA93&lt;BC93*#REF!</formula>
    </cfRule>
  </conditionalFormatting>
  <conditionalFormatting sqref="BA95:BC97">
    <cfRule type="expression" dxfId="590" priority="1080">
      <formula>BA95&lt;BC95-#REF!</formula>
    </cfRule>
  </conditionalFormatting>
  <conditionalFormatting sqref="BA95:BC107">
    <cfRule type="expression" dxfId="589" priority="1073">
      <formula>BA95&gt;BC95+#REF!</formula>
    </cfRule>
  </conditionalFormatting>
  <conditionalFormatting sqref="BA108:BC108">
    <cfRule type="expression" dxfId="588" priority="1077">
      <formula>BA108&gt;BC108*#REF!</formula>
    </cfRule>
  </conditionalFormatting>
  <conditionalFormatting sqref="BA110:BC111">
    <cfRule type="expression" dxfId="587" priority="1007">
      <formula>BA110&gt;BC110*#REF!</formula>
    </cfRule>
    <cfRule type="expression" dxfId="586" priority="1006">
      <formula>BA110&lt;BC110*#REF!</formula>
    </cfRule>
  </conditionalFormatting>
  <conditionalFormatting sqref="BA112:BC114">
    <cfRule type="expression" dxfId="585" priority="1008">
      <formula>BA112&lt;BC112-#REF!</formula>
    </cfRule>
  </conditionalFormatting>
  <conditionalFormatting sqref="BA112:BC124">
    <cfRule type="expression" dxfId="584" priority="1001">
      <formula>BA112&gt;BC112+#REF!</formula>
    </cfRule>
  </conditionalFormatting>
  <conditionalFormatting sqref="BA125:BC125">
    <cfRule type="expression" dxfId="583" priority="1005">
      <formula>BA125&gt;BC125*#REF!</formula>
    </cfRule>
  </conditionalFormatting>
  <conditionalFormatting sqref="BA127:BC128">
    <cfRule type="expression" dxfId="582" priority="951">
      <formula>BA127&gt;BC127*#REF!</formula>
    </cfRule>
    <cfRule type="expression" dxfId="581" priority="950">
      <formula>BA127&lt;BC127*#REF!</formula>
    </cfRule>
  </conditionalFormatting>
  <conditionalFormatting sqref="BA129:BC131">
    <cfRule type="expression" dxfId="580" priority="952">
      <formula>BA129&lt;BC129-#REF!</formula>
    </cfRule>
  </conditionalFormatting>
  <conditionalFormatting sqref="BA129:BC141">
    <cfRule type="expression" dxfId="579" priority="945">
      <formula>BA129&gt;BC129+#REF!</formula>
    </cfRule>
  </conditionalFormatting>
  <conditionalFormatting sqref="BA142:BC142">
    <cfRule type="expression" dxfId="578" priority="949">
      <formula>BA142&gt;BC142*#REF!</formula>
    </cfRule>
  </conditionalFormatting>
  <conditionalFormatting sqref="BA144:BC145">
    <cfRule type="expression" dxfId="577" priority="907">
      <formula>BA144&gt;BC144*#REF!</formula>
    </cfRule>
    <cfRule type="expression" dxfId="576" priority="906">
      <formula>BA144&lt;BC144*#REF!</formula>
    </cfRule>
  </conditionalFormatting>
  <conditionalFormatting sqref="BA146:BC148">
    <cfRule type="expression" dxfId="575" priority="908">
      <formula>BA146&lt;BC146-#REF!</formula>
    </cfRule>
  </conditionalFormatting>
  <conditionalFormatting sqref="BA146:BC158">
    <cfRule type="expression" dxfId="574" priority="901">
      <formula>BA146&gt;BC146+#REF!</formula>
    </cfRule>
  </conditionalFormatting>
  <conditionalFormatting sqref="BA159:BC159">
    <cfRule type="expression" dxfId="573" priority="905">
      <formula>BA159&gt;BC159*#REF!</formula>
    </cfRule>
  </conditionalFormatting>
  <conditionalFormatting sqref="BA161:BC162">
    <cfRule type="expression" dxfId="572" priority="839">
      <formula>BA161&gt;BC161*#REF!</formula>
    </cfRule>
    <cfRule type="expression" dxfId="571" priority="838">
      <formula>BA161&lt;BC161*#REF!</formula>
    </cfRule>
  </conditionalFormatting>
  <conditionalFormatting sqref="BA163:BC165">
    <cfRule type="expression" dxfId="570" priority="840">
      <formula>BA163&lt;BC163-#REF!</formula>
    </cfRule>
  </conditionalFormatting>
  <conditionalFormatting sqref="BA163:BC175">
    <cfRule type="expression" dxfId="569" priority="833">
      <formula>BA163&gt;BC163+#REF!</formula>
    </cfRule>
  </conditionalFormatting>
  <conditionalFormatting sqref="BA176:BC176">
    <cfRule type="expression" dxfId="568" priority="837">
      <formula>BA176&gt;BC176*#REF!</formula>
    </cfRule>
  </conditionalFormatting>
  <conditionalFormatting sqref="BA178:BC179">
    <cfRule type="expression" dxfId="567" priority="783">
      <formula>BA178&gt;BC178*#REF!</formula>
    </cfRule>
    <cfRule type="expression" dxfId="566" priority="782">
      <formula>BA178&lt;BC178*#REF!</formula>
    </cfRule>
  </conditionalFormatting>
  <conditionalFormatting sqref="BA180:BC182">
    <cfRule type="expression" dxfId="565" priority="784">
      <formula>BA180&lt;BC180-#REF!</formula>
    </cfRule>
  </conditionalFormatting>
  <conditionalFormatting sqref="BA180:BC192">
    <cfRule type="expression" dxfId="564" priority="777">
      <formula>BA180&gt;BC180+#REF!</formula>
    </cfRule>
  </conditionalFormatting>
  <conditionalFormatting sqref="BA193:BC193">
    <cfRule type="expression" dxfId="563" priority="781">
      <formula>BA193&gt;BC193*#REF!</formula>
    </cfRule>
  </conditionalFormatting>
  <conditionalFormatting sqref="BA195:BC196">
    <cfRule type="expression" dxfId="562" priority="3875">
      <formula>BA195&gt;BC195*#REF!</formula>
    </cfRule>
    <cfRule type="expression" dxfId="561" priority="3874">
      <formula>BA195&lt;BC195*#REF!</formula>
    </cfRule>
  </conditionalFormatting>
  <conditionalFormatting sqref="BA197:BC199">
    <cfRule type="expression" dxfId="560" priority="3876">
      <formula>BA197&lt;BC197-#REF!</formula>
    </cfRule>
  </conditionalFormatting>
  <conditionalFormatting sqref="BA197:BC209">
    <cfRule type="expression" dxfId="559" priority="3869">
      <formula>BA197&gt;BC197+#REF!</formula>
    </cfRule>
  </conditionalFormatting>
  <conditionalFormatting sqref="BA210:BC210">
    <cfRule type="expression" dxfId="558" priority="3873">
      <formula>BA210&gt;BC210*#REF!</formula>
    </cfRule>
  </conditionalFormatting>
  <conditionalFormatting sqref="BA212:BC213">
    <cfRule type="expression" dxfId="557" priority="727">
      <formula>BA212&gt;BC212*#REF!</formula>
    </cfRule>
    <cfRule type="expression" dxfId="556" priority="726">
      <formula>BA212&lt;BC212*#REF!</formula>
    </cfRule>
  </conditionalFormatting>
  <conditionalFormatting sqref="BA214:BC216">
    <cfRule type="expression" dxfId="555" priority="728">
      <formula>BA214&lt;BC214-#REF!</formula>
    </cfRule>
  </conditionalFormatting>
  <conditionalFormatting sqref="BA214:BC226">
    <cfRule type="expression" dxfId="554" priority="721">
      <formula>BA214&gt;BC214+#REF!</formula>
    </cfRule>
  </conditionalFormatting>
  <conditionalFormatting sqref="BA227:BC227">
    <cfRule type="expression" dxfId="553" priority="725">
      <formula>BA227&gt;BC227*#REF!</formula>
    </cfRule>
  </conditionalFormatting>
  <conditionalFormatting sqref="BA229:BC230">
    <cfRule type="expression" dxfId="552" priority="671">
      <formula>BA229&gt;BC229*#REF!</formula>
    </cfRule>
    <cfRule type="expression" dxfId="551" priority="670">
      <formula>BA229&lt;BC229*#REF!</formula>
    </cfRule>
  </conditionalFormatting>
  <conditionalFormatting sqref="BA231:BC233">
    <cfRule type="expression" dxfId="550" priority="672">
      <formula>BA231&lt;BC231-#REF!</formula>
    </cfRule>
  </conditionalFormatting>
  <conditionalFormatting sqref="BA231:BC243">
    <cfRule type="expression" dxfId="549" priority="665">
      <formula>BA231&gt;BC231+#REF!</formula>
    </cfRule>
  </conditionalFormatting>
  <conditionalFormatting sqref="BA244:BC244">
    <cfRule type="expression" dxfId="548" priority="669">
      <formula>BA244&gt;BC244*#REF!</formula>
    </cfRule>
  </conditionalFormatting>
  <conditionalFormatting sqref="BA246:BC247">
    <cfRule type="expression" dxfId="547" priority="614">
      <formula>BA246&lt;BC246*#REF!</formula>
    </cfRule>
    <cfRule type="expression" dxfId="546" priority="615">
      <formula>BA246&gt;BC246*#REF!</formula>
    </cfRule>
  </conditionalFormatting>
  <conditionalFormatting sqref="BA248:BC250">
    <cfRule type="expression" dxfId="545" priority="616">
      <formula>BA248&lt;BC248-#REF!</formula>
    </cfRule>
  </conditionalFormatting>
  <conditionalFormatting sqref="BA248:BC260">
    <cfRule type="expression" dxfId="544" priority="609">
      <formula>BA248&gt;BC248+#REF!</formula>
    </cfRule>
  </conditionalFormatting>
  <conditionalFormatting sqref="BA261:BC261">
    <cfRule type="expression" dxfId="543" priority="613">
      <formula>BA261&gt;BC261*#REF!</formula>
    </cfRule>
  </conditionalFormatting>
  <conditionalFormatting sqref="BA263:BC264">
    <cfRule type="expression" dxfId="542" priority="559">
      <formula>BA263&gt;BC263*#REF!</formula>
    </cfRule>
    <cfRule type="expression" dxfId="541" priority="558">
      <formula>BA263&lt;BC263*#REF!</formula>
    </cfRule>
  </conditionalFormatting>
  <conditionalFormatting sqref="BA265:BC267">
    <cfRule type="expression" dxfId="540" priority="560">
      <formula>BA265&lt;BC265-#REF!</formula>
    </cfRule>
  </conditionalFormatting>
  <conditionalFormatting sqref="BA265:BC277">
    <cfRule type="expression" dxfId="539" priority="553">
      <formula>BA265&gt;BC265+#REF!</formula>
    </cfRule>
  </conditionalFormatting>
  <conditionalFormatting sqref="BA278:BC278">
    <cfRule type="expression" dxfId="538" priority="557">
      <formula>BA278&gt;BC278*#REF!</formula>
    </cfRule>
  </conditionalFormatting>
  <conditionalFormatting sqref="BA280:BC281">
    <cfRule type="expression" dxfId="537" priority="3595">
      <formula>BA280&gt;BC280*#REF!</formula>
    </cfRule>
    <cfRule type="expression" dxfId="536" priority="3594">
      <formula>BA280&lt;BC280*#REF!</formula>
    </cfRule>
  </conditionalFormatting>
  <conditionalFormatting sqref="BA282:BC284">
    <cfRule type="expression" dxfId="535" priority="3596">
      <formula>BA282&lt;BC282-#REF!</formula>
    </cfRule>
  </conditionalFormatting>
  <conditionalFormatting sqref="BA282:BC294">
    <cfRule type="expression" dxfId="534" priority="3589">
      <formula>BA282&gt;BC282+#REF!</formula>
    </cfRule>
  </conditionalFormatting>
  <conditionalFormatting sqref="BA295:BC295">
    <cfRule type="expression" dxfId="533" priority="3593">
      <formula>BA295&gt;BC295*#REF!</formula>
    </cfRule>
  </conditionalFormatting>
  <conditionalFormatting sqref="BA297:BC298">
    <cfRule type="expression" dxfId="532" priority="74">
      <formula>BA297&gt;BC297*#REF!</formula>
    </cfRule>
    <cfRule type="expression" dxfId="531" priority="73">
      <formula>BA297&lt;BC297*#REF!</formula>
    </cfRule>
  </conditionalFormatting>
  <conditionalFormatting sqref="BA299:BC301">
    <cfRule type="expression" dxfId="530" priority="75">
      <formula>BA299&lt;BC299-#REF!</formula>
    </cfRule>
  </conditionalFormatting>
  <conditionalFormatting sqref="BA299:BC311">
    <cfRule type="expression" dxfId="529" priority="68">
      <formula>BA299&gt;BC299+#REF!</formula>
    </cfRule>
  </conditionalFormatting>
  <conditionalFormatting sqref="BA312:BC312">
    <cfRule type="expression" dxfId="528" priority="72">
      <formula>BA312&gt;BC312*#REF!</formula>
    </cfRule>
  </conditionalFormatting>
  <conditionalFormatting sqref="BA314:BC315">
    <cfRule type="expression" dxfId="527" priority="447">
      <formula>BA314&gt;BC314*#REF!</formula>
    </cfRule>
    <cfRule type="expression" dxfId="526" priority="446">
      <formula>BA314&lt;BC314*#REF!</formula>
    </cfRule>
  </conditionalFormatting>
  <conditionalFormatting sqref="BA316:BC318">
    <cfRule type="expression" dxfId="525" priority="448">
      <formula>BA316&lt;BC316-#REF!</formula>
    </cfRule>
  </conditionalFormatting>
  <conditionalFormatting sqref="BA316:BC328">
    <cfRule type="expression" dxfId="524" priority="441">
      <formula>BA316&gt;BC316+#REF!</formula>
    </cfRule>
  </conditionalFormatting>
  <conditionalFormatting sqref="BA329:BC329">
    <cfRule type="expression" dxfId="523" priority="445">
      <formula>BA329&gt;BC329*#REF!</formula>
    </cfRule>
  </conditionalFormatting>
  <conditionalFormatting sqref="BA331:BC332">
    <cfRule type="expression" dxfId="522" priority="334">
      <formula>BA331&lt;BC331*#REF!</formula>
    </cfRule>
    <cfRule type="expression" dxfId="521" priority="335">
      <formula>BA331&gt;BC331*#REF!</formula>
    </cfRule>
  </conditionalFormatting>
  <conditionalFormatting sqref="BA333:BC335">
    <cfRule type="expression" dxfId="520" priority="336">
      <formula>BA333&lt;BC333-#REF!</formula>
    </cfRule>
  </conditionalFormatting>
  <conditionalFormatting sqref="BA333:BC345">
    <cfRule type="expression" dxfId="519" priority="329">
      <formula>BA333&gt;BC333+#REF!</formula>
    </cfRule>
  </conditionalFormatting>
  <conditionalFormatting sqref="BA346:BC346">
    <cfRule type="expression" dxfId="518" priority="333">
      <formula>BA346&gt;BC346*#REF!</formula>
    </cfRule>
  </conditionalFormatting>
  <conditionalFormatting sqref="BA348:BC349">
    <cfRule type="expression" dxfId="517" priority="278">
      <formula>BA348&lt;BC348*#REF!</formula>
    </cfRule>
    <cfRule type="expression" dxfId="516" priority="279">
      <formula>BA348&gt;BC348*#REF!</formula>
    </cfRule>
  </conditionalFormatting>
  <conditionalFormatting sqref="BA350:BC352">
    <cfRule type="expression" dxfId="515" priority="280">
      <formula>BA350&lt;BC350-#REF!</formula>
    </cfRule>
  </conditionalFormatting>
  <conditionalFormatting sqref="BA350:BC362">
    <cfRule type="expression" dxfId="514" priority="273">
      <formula>BA350&gt;BC350+#REF!</formula>
    </cfRule>
  </conditionalFormatting>
  <conditionalFormatting sqref="BA363:BC363">
    <cfRule type="expression" dxfId="513" priority="277">
      <formula>BA363&gt;BC363*#REF!</formula>
    </cfRule>
  </conditionalFormatting>
  <conditionalFormatting sqref="BB18:BB22">
    <cfRule type="expression" dxfId="512" priority="1348">
      <formula>BB18&lt;BD18-#REF!</formula>
    </cfRule>
  </conditionalFormatting>
  <conditionalFormatting sqref="BB35:BB39">
    <cfRule type="expression" dxfId="511" priority="1284">
      <formula>BB35&lt;BD35-#REF!</formula>
    </cfRule>
  </conditionalFormatting>
  <conditionalFormatting sqref="BB52:BB56">
    <cfRule type="expression" dxfId="510" priority="1228">
      <formula>BB52&lt;BD52-#REF!</formula>
    </cfRule>
  </conditionalFormatting>
  <conditionalFormatting sqref="BB69:BB73">
    <cfRule type="expression" dxfId="509" priority="1172">
      <formula>BB69&lt;BD69-#REF!</formula>
    </cfRule>
  </conditionalFormatting>
  <conditionalFormatting sqref="BB86:BB90">
    <cfRule type="expression" dxfId="508" priority="1116">
      <formula>BB86&lt;BD86-#REF!</formula>
    </cfRule>
  </conditionalFormatting>
  <conditionalFormatting sqref="BB103:BB107">
    <cfRule type="expression" dxfId="507" priority="1076">
      <formula>BB103&lt;BD103-#REF!</formula>
    </cfRule>
  </conditionalFormatting>
  <conditionalFormatting sqref="BB120:BB124">
    <cfRule type="expression" dxfId="506" priority="1004">
      <formula>BB120&lt;BD120-#REF!</formula>
    </cfRule>
  </conditionalFormatting>
  <conditionalFormatting sqref="BB137:BB141">
    <cfRule type="expression" dxfId="505" priority="948">
      <formula>BB137&lt;BD137-#REF!</formula>
    </cfRule>
  </conditionalFormatting>
  <conditionalFormatting sqref="BB154:BB158">
    <cfRule type="expression" dxfId="504" priority="904">
      <formula>BB154&lt;BD154-#REF!</formula>
    </cfRule>
  </conditionalFormatting>
  <conditionalFormatting sqref="BB171:BB175">
    <cfRule type="expression" dxfId="503" priority="836">
      <formula>BB171&lt;BD171-#REF!</formula>
    </cfRule>
  </conditionalFormatting>
  <conditionalFormatting sqref="BB188:BB192">
    <cfRule type="expression" dxfId="502" priority="780">
      <formula>BB188&lt;BD188-#REF!</formula>
    </cfRule>
  </conditionalFormatting>
  <conditionalFormatting sqref="BB205:BB209">
    <cfRule type="expression" dxfId="501" priority="3872">
      <formula>BB205&lt;BD205-#REF!</formula>
    </cfRule>
  </conditionalFormatting>
  <conditionalFormatting sqref="BB222:BB226">
    <cfRule type="expression" dxfId="500" priority="724">
      <formula>BB222&lt;BD222-#REF!</formula>
    </cfRule>
  </conditionalFormatting>
  <conditionalFormatting sqref="BB239:BB243">
    <cfRule type="expression" dxfId="499" priority="668">
      <formula>BB239&lt;BD239-#REF!</formula>
    </cfRule>
  </conditionalFormatting>
  <conditionalFormatting sqref="BB256:BB260">
    <cfRule type="expression" dxfId="498" priority="612">
      <formula>BB256&lt;BD256-#REF!</formula>
    </cfRule>
  </conditionalFormatting>
  <conditionalFormatting sqref="BB273:BB277">
    <cfRule type="expression" dxfId="497" priority="556">
      <formula>BB273&lt;BD273-#REF!</formula>
    </cfRule>
  </conditionalFormatting>
  <conditionalFormatting sqref="BB290:BB294">
    <cfRule type="expression" dxfId="496" priority="3592">
      <formula>BB290&lt;BD290-#REF!</formula>
    </cfRule>
  </conditionalFormatting>
  <conditionalFormatting sqref="BB307:BB311">
    <cfRule type="expression" dxfId="495" priority="71">
      <formula>BB307&lt;BD307-#REF!</formula>
    </cfRule>
  </conditionalFormatting>
  <conditionalFormatting sqref="BB324:BB328">
    <cfRule type="expression" dxfId="494" priority="444">
      <formula>BB324&lt;BD324-#REF!</formula>
    </cfRule>
  </conditionalFormatting>
  <conditionalFormatting sqref="BB341:BB345">
    <cfRule type="expression" dxfId="493" priority="332">
      <formula>BB341&lt;BD341-#REF!</formula>
    </cfRule>
  </conditionalFormatting>
  <conditionalFormatting sqref="BB358:BB362">
    <cfRule type="expression" dxfId="492" priority="276">
      <formula>BB358&lt;BD358-#REF!</formula>
    </cfRule>
  </conditionalFormatting>
  <conditionalFormatting sqref="BB14:BC15">
    <cfRule type="expression" dxfId="491" priority="1347">
      <formula>BB14&lt;BD14-#REF!</formula>
    </cfRule>
  </conditionalFormatting>
  <conditionalFormatting sqref="BB31:BC32">
    <cfRule type="expression" dxfId="490" priority="1283">
      <formula>BB31&lt;BD31-#REF!</formula>
    </cfRule>
  </conditionalFormatting>
  <conditionalFormatting sqref="BB48:BC49">
    <cfRule type="expression" dxfId="489" priority="1227">
      <formula>BB48&lt;BD48-#REF!</formula>
    </cfRule>
  </conditionalFormatting>
  <conditionalFormatting sqref="BB65:BC66">
    <cfRule type="expression" dxfId="488" priority="1171">
      <formula>BB65&lt;BD65-#REF!</formula>
    </cfRule>
  </conditionalFormatting>
  <conditionalFormatting sqref="BB82:BC83">
    <cfRule type="expression" dxfId="487" priority="1115">
      <formula>BB82&lt;BD82-#REF!</formula>
    </cfRule>
  </conditionalFormatting>
  <conditionalFormatting sqref="BB99:BC100">
    <cfRule type="expression" dxfId="486" priority="1075">
      <formula>BB99&lt;BD99-#REF!</formula>
    </cfRule>
  </conditionalFormatting>
  <conditionalFormatting sqref="BB116:BC117">
    <cfRule type="expression" dxfId="485" priority="1003">
      <formula>BB116&lt;BD116-#REF!</formula>
    </cfRule>
  </conditionalFormatting>
  <conditionalFormatting sqref="BB133:BC134">
    <cfRule type="expression" dxfId="484" priority="947">
      <formula>BB133&lt;BD133-#REF!</formula>
    </cfRule>
  </conditionalFormatting>
  <conditionalFormatting sqref="BB150:BC151">
    <cfRule type="expression" dxfId="483" priority="903">
      <formula>BB150&lt;BD150-#REF!</formula>
    </cfRule>
  </conditionalFormatting>
  <conditionalFormatting sqref="BB167:BC168">
    <cfRule type="expression" dxfId="482" priority="835">
      <formula>BB167&lt;BD167-#REF!</formula>
    </cfRule>
  </conditionalFormatting>
  <conditionalFormatting sqref="BB184:BC185">
    <cfRule type="expression" dxfId="481" priority="779">
      <formula>BB184&lt;BD184-#REF!</formula>
    </cfRule>
  </conditionalFormatting>
  <conditionalFormatting sqref="BB201:BC202">
    <cfRule type="expression" dxfId="480" priority="3871">
      <formula>BB201&lt;BD201-#REF!</formula>
    </cfRule>
  </conditionalFormatting>
  <conditionalFormatting sqref="BB218:BC219">
    <cfRule type="expression" dxfId="479" priority="723">
      <formula>BB218&lt;BD218-#REF!</formula>
    </cfRule>
  </conditionalFormatting>
  <conditionalFormatting sqref="BB235:BC236">
    <cfRule type="expression" dxfId="478" priority="667">
      <formula>BB235&lt;BD235-#REF!</formula>
    </cfRule>
  </conditionalFormatting>
  <conditionalFormatting sqref="BB252:BC253">
    <cfRule type="expression" dxfId="477" priority="611">
      <formula>BB252&lt;BD252-#REF!</formula>
    </cfRule>
  </conditionalFormatting>
  <conditionalFormatting sqref="BB269:BC270">
    <cfRule type="expression" dxfId="476" priority="555">
      <formula>BB269&lt;BD269-#REF!</formula>
    </cfRule>
  </conditionalFormatting>
  <conditionalFormatting sqref="BB286:BC287">
    <cfRule type="expression" dxfId="475" priority="3591">
      <formula>BB286&lt;BD286-#REF!</formula>
    </cfRule>
  </conditionalFormatting>
  <conditionalFormatting sqref="BB303:BC304">
    <cfRule type="expression" dxfId="474" priority="70">
      <formula>BB303&lt;BD303-#REF!</formula>
    </cfRule>
  </conditionalFormatting>
  <conditionalFormatting sqref="BB320:BC321">
    <cfRule type="expression" dxfId="473" priority="443">
      <formula>BB320&lt;BD320-#REF!</formula>
    </cfRule>
  </conditionalFormatting>
  <conditionalFormatting sqref="BB337:BC338">
    <cfRule type="expression" dxfId="472" priority="331">
      <formula>BB337&lt;BD337-#REF!</formula>
    </cfRule>
  </conditionalFormatting>
  <conditionalFormatting sqref="BB354:BC355">
    <cfRule type="expression" dxfId="471" priority="275">
      <formula>BB354&lt;BD354-#REF!</formula>
    </cfRule>
  </conditionalFormatting>
  <conditionalFormatting sqref="BC18:BC19">
    <cfRule type="expression" dxfId="470" priority="1346">
      <formula>BC18&lt;BE18-#REF!</formula>
    </cfRule>
  </conditionalFormatting>
  <conditionalFormatting sqref="BC35:BC36">
    <cfRule type="expression" dxfId="469" priority="1282">
      <formula>BC35&lt;BE35-#REF!</formula>
    </cfRule>
  </conditionalFormatting>
  <conditionalFormatting sqref="BC52:BC53">
    <cfRule type="expression" dxfId="468" priority="1226">
      <formula>BC52&lt;BE52-#REF!</formula>
    </cfRule>
  </conditionalFormatting>
  <conditionalFormatting sqref="BC69:BC70">
    <cfRule type="expression" dxfId="467" priority="1170">
      <formula>BC69&lt;BE69-#REF!</formula>
    </cfRule>
  </conditionalFormatting>
  <conditionalFormatting sqref="BC86:BC87">
    <cfRule type="expression" dxfId="466" priority="1114">
      <formula>BC86&lt;BE86-#REF!</formula>
    </cfRule>
  </conditionalFormatting>
  <conditionalFormatting sqref="BC103:BC104">
    <cfRule type="expression" dxfId="465" priority="1074">
      <formula>BC103&lt;BE103-#REF!</formula>
    </cfRule>
  </conditionalFormatting>
  <conditionalFormatting sqref="BC120:BC121">
    <cfRule type="expression" dxfId="464" priority="1002">
      <formula>BC120&lt;BE120-#REF!</formula>
    </cfRule>
  </conditionalFormatting>
  <conditionalFormatting sqref="BC137:BC138">
    <cfRule type="expression" dxfId="463" priority="946">
      <formula>BC137&lt;BE137-#REF!</formula>
    </cfRule>
  </conditionalFormatting>
  <conditionalFormatting sqref="BC154:BC155">
    <cfRule type="expression" dxfId="462" priority="902">
      <formula>BC154&lt;BE154-#REF!</formula>
    </cfRule>
  </conditionalFormatting>
  <conditionalFormatting sqref="BC171:BC172">
    <cfRule type="expression" dxfId="461" priority="834">
      <formula>BC171&lt;BE171-#REF!</formula>
    </cfRule>
  </conditionalFormatting>
  <conditionalFormatting sqref="BC188:BC189">
    <cfRule type="expression" dxfId="460" priority="778">
      <formula>BC188&lt;BE188-#REF!</formula>
    </cfRule>
  </conditionalFormatting>
  <conditionalFormatting sqref="BC205:BC206">
    <cfRule type="expression" dxfId="459" priority="3870">
      <formula>BC205&lt;BE205-#REF!</formula>
    </cfRule>
  </conditionalFormatting>
  <conditionalFormatting sqref="BC222:BC223">
    <cfRule type="expression" dxfId="458" priority="722">
      <formula>BC222&lt;BE222-#REF!</formula>
    </cfRule>
  </conditionalFormatting>
  <conditionalFormatting sqref="BC239:BC240">
    <cfRule type="expression" dxfId="457" priority="666">
      <formula>BC239&lt;BE239-#REF!</formula>
    </cfRule>
  </conditionalFormatting>
  <conditionalFormatting sqref="BC256:BC257">
    <cfRule type="expression" dxfId="456" priority="610">
      <formula>BC256&lt;BE256-#REF!</formula>
    </cfRule>
  </conditionalFormatting>
  <conditionalFormatting sqref="BC273:BC274">
    <cfRule type="expression" dxfId="455" priority="554">
      <formula>BC273&lt;BE273-#REF!</formula>
    </cfRule>
  </conditionalFormatting>
  <conditionalFormatting sqref="BC290:BC291">
    <cfRule type="expression" dxfId="454" priority="3590">
      <formula>BC290&lt;BE290-#REF!</formula>
    </cfRule>
  </conditionalFormatting>
  <conditionalFormatting sqref="BC307:BC308">
    <cfRule type="expression" dxfId="453" priority="69">
      <formula>BC307&lt;BE307-#REF!</formula>
    </cfRule>
  </conditionalFormatting>
  <conditionalFormatting sqref="BC324:BC325">
    <cfRule type="expression" dxfId="452" priority="442">
      <formula>BC324&lt;BE324-#REF!</formula>
    </cfRule>
  </conditionalFormatting>
  <conditionalFormatting sqref="BC341:BC342">
    <cfRule type="expression" dxfId="451" priority="330">
      <formula>BC341&lt;BE341-#REF!</formula>
    </cfRule>
  </conditionalFormatting>
  <conditionalFormatting sqref="BC358:BC359">
    <cfRule type="expression" dxfId="450" priority="274">
      <formula>BC358&lt;BE358-#REF!</formula>
    </cfRule>
  </conditionalFormatting>
  <conditionalFormatting sqref="BE8:BG9">
    <cfRule type="expression" dxfId="449" priority="1342">
      <formula>BE8&lt;BG8*#REF!</formula>
    </cfRule>
    <cfRule type="expression" dxfId="448" priority="1343">
      <formula>BE8&gt;BG8*#REF!</formula>
    </cfRule>
  </conditionalFormatting>
  <conditionalFormatting sqref="BE10:BG12">
    <cfRule type="expression" dxfId="447" priority="1344">
      <formula>BE10&lt;BG10-#REF!</formula>
    </cfRule>
  </conditionalFormatting>
  <conditionalFormatting sqref="BE10:BG22">
    <cfRule type="expression" dxfId="446" priority="1337">
      <formula>BE10&gt;BG10+#REF!</formula>
    </cfRule>
  </conditionalFormatting>
  <conditionalFormatting sqref="BE23:BG23">
    <cfRule type="expression" dxfId="445" priority="1341">
      <formula>BE23&gt;BG23*#REF!</formula>
    </cfRule>
  </conditionalFormatting>
  <conditionalFormatting sqref="BE25:BG26">
    <cfRule type="expression" dxfId="444" priority="1278">
      <formula>BE25&lt;BG25*#REF!</formula>
    </cfRule>
    <cfRule type="expression" dxfId="443" priority="1279">
      <formula>BE25&gt;BG25*#REF!</formula>
    </cfRule>
  </conditionalFormatting>
  <conditionalFormatting sqref="BE27:BG29">
    <cfRule type="expression" dxfId="442" priority="1280">
      <formula>BE27&lt;BG27-#REF!</formula>
    </cfRule>
  </conditionalFormatting>
  <conditionalFormatting sqref="BE27:BG39">
    <cfRule type="expression" dxfId="441" priority="1273">
      <formula>BE27&gt;BG27+#REF!</formula>
    </cfRule>
  </conditionalFormatting>
  <conditionalFormatting sqref="BE40:BG40">
    <cfRule type="expression" dxfId="440" priority="1277">
      <formula>BE40&gt;BG40*#REF!</formula>
    </cfRule>
  </conditionalFormatting>
  <conditionalFormatting sqref="BE42:BG43">
    <cfRule type="expression" dxfId="439" priority="1223">
      <formula>BE42&gt;BG42*#REF!</formula>
    </cfRule>
    <cfRule type="expression" dxfId="438" priority="1222">
      <formula>BE42&lt;BG42*#REF!</formula>
    </cfRule>
  </conditionalFormatting>
  <conditionalFormatting sqref="BE44:BG46">
    <cfRule type="expression" dxfId="437" priority="1224">
      <formula>BE44&lt;BG44-#REF!</formula>
    </cfRule>
  </conditionalFormatting>
  <conditionalFormatting sqref="BE44:BG56">
    <cfRule type="expression" dxfId="436" priority="1217">
      <formula>BE44&gt;BG44+#REF!</formula>
    </cfRule>
  </conditionalFormatting>
  <conditionalFormatting sqref="BE57:BG57">
    <cfRule type="expression" dxfId="435" priority="1221">
      <formula>BE57&gt;BG57*#REF!</formula>
    </cfRule>
  </conditionalFormatting>
  <conditionalFormatting sqref="BE59:BG60">
    <cfRule type="expression" dxfId="434" priority="1166">
      <formula>BE59&lt;BG59*#REF!</formula>
    </cfRule>
    <cfRule type="expression" dxfId="433" priority="1167">
      <formula>BE59&gt;BG59*#REF!</formula>
    </cfRule>
  </conditionalFormatting>
  <conditionalFormatting sqref="BE61:BG63">
    <cfRule type="expression" dxfId="432" priority="1168">
      <formula>BE61&lt;BG61-#REF!</formula>
    </cfRule>
  </conditionalFormatting>
  <conditionalFormatting sqref="BE61:BG73">
    <cfRule type="expression" dxfId="431" priority="1161">
      <formula>BE61&gt;BG61+#REF!</formula>
    </cfRule>
  </conditionalFormatting>
  <conditionalFormatting sqref="BE74:BG74">
    <cfRule type="expression" dxfId="430" priority="1165">
      <formula>BE74&gt;BG74*#REF!</formula>
    </cfRule>
  </conditionalFormatting>
  <conditionalFormatting sqref="BE76:BG77">
    <cfRule type="expression" dxfId="429" priority="1111">
      <formula>BE76&gt;BG76*#REF!</formula>
    </cfRule>
    <cfRule type="expression" dxfId="428" priority="1110">
      <formula>BE76&lt;BG76*#REF!</formula>
    </cfRule>
  </conditionalFormatting>
  <conditionalFormatting sqref="BE78:BG80">
    <cfRule type="expression" dxfId="427" priority="1112">
      <formula>BE78&lt;BG78-#REF!</formula>
    </cfRule>
  </conditionalFormatting>
  <conditionalFormatting sqref="BE78:BG90">
    <cfRule type="expression" dxfId="426" priority="1105">
      <formula>BE78&gt;BG78+#REF!</formula>
    </cfRule>
  </conditionalFormatting>
  <conditionalFormatting sqref="BE91:BG91">
    <cfRule type="expression" dxfId="425" priority="1109">
      <formula>BE91&gt;BG91*#REF!</formula>
    </cfRule>
  </conditionalFormatting>
  <conditionalFormatting sqref="BE93:BG94">
    <cfRule type="expression" dxfId="424" priority="1071">
      <formula>BE93&gt;BG93*#REF!</formula>
    </cfRule>
    <cfRule type="expression" dxfId="423" priority="1070">
      <formula>BE93&lt;BG93*#REF!</formula>
    </cfRule>
  </conditionalFormatting>
  <conditionalFormatting sqref="BE95:BG97">
    <cfRule type="expression" dxfId="422" priority="1072">
      <formula>BE95&lt;BG95-#REF!</formula>
    </cfRule>
  </conditionalFormatting>
  <conditionalFormatting sqref="BE95:BG107">
    <cfRule type="expression" dxfId="421" priority="1065">
      <formula>BE95&gt;BG95+#REF!</formula>
    </cfRule>
  </conditionalFormatting>
  <conditionalFormatting sqref="BE108:BG108">
    <cfRule type="expression" dxfId="420" priority="1069">
      <formula>BE108&gt;BG108*#REF!</formula>
    </cfRule>
  </conditionalFormatting>
  <conditionalFormatting sqref="BE110:BG111">
    <cfRule type="expression" dxfId="419" priority="998">
      <formula>BE110&lt;BG110*#REF!</formula>
    </cfRule>
    <cfRule type="expression" dxfId="418" priority="999">
      <formula>BE110&gt;BG110*#REF!</formula>
    </cfRule>
  </conditionalFormatting>
  <conditionalFormatting sqref="BE112:BG114">
    <cfRule type="expression" dxfId="417" priority="1000">
      <formula>BE112&lt;BG112-#REF!</formula>
    </cfRule>
  </conditionalFormatting>
  <conditionalFormatting sqref="BE112:BG124">
    <cfRule type="expression" dxfId="416" priority="993">
      <formula>BE112&gt;BG112+#REF!</formula>
    </cfRule>
  </conditionalFormatting>
  <conditionalFormatting sqref="BE125:BG125">
    <cfRule type="expression" dxfId="415" priority="997">
      <formula>BE125&gt;BG125*#REF!</formula>
    </cfRule>
  </conditionalFormatting>
  <conditionalFormatting sqref="BE127:BG128">
    <cfRule type="expression" dxfId="414" priority="943">
      <formula>BE127&gt;BG127*#REF!</formula>
    </cfRule>
    <cfRule type="expression" dxfId="413" priority="942">
      <formula>BE127&lt;BG127*#REF!</formula>
    </cfRule>
  </conditionalFormatting>
  <conditionalFormatting sqref="BE129:BG131">
    <cfRule type="expression" dxfId="412" priority="944">
      <formula>BE129&lt;BG129-#REF!</formula>
    </cfRule>
  </conditionalFormatting>
  <conditionalFormatting sqref="BE129:BG141">
    <cfRule type="expression" dxfId="411" priority="937">
      <formula>BE129&gt;BG129+#REF!</formula>
    </cfRule>
  </conditionalFormatting>
  <conditionalFormatting sqref="BE142:BG142">
    <cfRule type="expression" dxfId="410" priority="941">
      <formula>BE142&gt;BG142*#REF!</formula>
    </cfRule>
  </conditionalFormatting>
  <conditionalFormatting sqref="BE144:BG145">
    <cfRule type="expression" dxfId="409" priority="898">
      <formula>BE144&lt;BG144*#REF!</formula>
    </cfRule>
    <cfRule type="expression" dxfId="408" priority="899">
      <formula>BE144&gt;BG144*#REF!</formula>
    </cfRule>
  </conditionalFormatting>
  <conditionalFormatting sqref="BE146:BG148">
    <cfRule type="expression" dxfId="407" priority="900">
      <formula>BE146&lt;BG146-#REF!</formula>
    </cfRule>
  </conditionalFormatting>
  <conditionalFormatting sqref="BE146:BG158">
    <cfRule type="expression" dxfId="406" priority="893">
      <formula>BE146&gt;BG146+#REF!</formula>
    </cfRule>
  </conditionalFormatting>
  <conditionalFormatting sqref="BE159:BG159">
    <cfRule type="expression" dxfId="405" priority="897">
      <formula>BE159&gt;BG159*#REF!</formula>
    </cfRule>
  </conditionalFormatting>
  <conditionalFormatting sqref="BE161:BG162">
    <cfRule type="expression" dxfId="404" priority="831">
      <formula>BE161&gt;BG161*#REF!</formula>
    </cfRule>
    <cfRule type="expression" dxfId="403" priority="830">
      <formula>BE161&lt;BG161*#REF!</formula>
    </cfRule>
  </conditionalFormatting>
  <conditionalFormatting sqref="BE163:BG165">
    <cfRule type="expression" dxfId="402" priority="832">
      <formula>BE163&lt;BG163-#REF!</formula>
    </cfRule>
  </conditionalFormatting>
  <conditionalFormatting sqref="BE163:BG175">
    <cfRule type="expression" dxfId="401" priority="825">
      <formula>BE163&gt;BG163+#REF!</formula>
    </cfRule>
  </conditionalFormatting>
  <conditionalFormatting sqref="BE176:BG176">
    <cfRule type="expression" dxfId="400" priority="829">
      <formula>BE176&gt;BG176*#REF!</formula>
    </cfRule>
  </conditionalFormatting>
  <conditionalFormatting sqref="BE178:BG179">
    <cfRule type="expression" dxfId="399" priority="774">
      <formula>BE178&lt;BG178*#REF!</formula>
    </cfRule>
    <cfRule type="expression" dxfId="398" priority="775">
      <formula>BE178&gt;BG178*#REF!</formula>
    </cfRule>
  </conditionalFormatting>
  <conditionalFormatting sqref="BE180:BG182">
    <cfRule type="expression" dxfId="397" priority="776">
      <formula>BE180&lt;BG180-#REF!</formula>
    </cfRule>
  </conditionalFormatting>
  <conditionalFormatting sqref="BE180:BG192">
    <cfRule type="expression" dxfId="396" priority="769">
      <formula>BE180&gt;BG180+#REF!</formula>
    </cfRule>
  </conditionalFormatting>
  <conditionalFormatting sqref="BE193:BG193">
    <cfRule type="expression" dxfId="395" priority="773">
      <formula>BE193&gt;BG193*#REF!</formula>
    </cfRule>
  </conditionalFormatting>
  <conditionalFormatting sqref="BE195:BG196">
    <cfRule type="expression" dxfId="394" priority="3867">
      <formula>BE195&gt;BG195*#REF!</formula>
    </cfRule>
    <cfRule type="expression" dxfId="393" priority="3866">
      <formula>BE195&lt;BG195*#REF!</formula>
    </cfRule>
  </conditionalFormatting>
  <conditionalFormatting sqref="BE197:BG199">
    <cfRule type="expression" dxfId="392" priority="3868">
      <formula>BE197&lt;BG197-#REF!</formula>
    </cfRule>
  </conditionalFormatting>
  <conditionalFormatting sqref="BE197:BG209">
    <cfRule type="expression" dxfId="391" priority="3861">
      <formula>BE197&gt;BG197+#REF!</formula>
    </cfRule>
  </conditionalFormatting>
  <conditionalFormatting sqref="BE210:BG210">
    <cfRule type="expression" dxfId="390" priority="3865">
      <formula>BE210&gt;BG210*#REF!</formula>
    </cfRule>
  </conditionalFormatting>
  <conditionalFormatting sqref="BE212:BG213">
    <cfRule type="expression" dxfId="389" priority="719">
      <formula>BE212&gt;BG212*#REF!</formula>
    </cfRule>
    <cfRule type="expression" dxfId="388" priority="718">
      <formula>BE212&lt;BG212*#REF!</formula>
    </cfRule>
  </conditionalFormatting>
  <conditionalFormatting sqref="BE214:BG216">
    <cfRule type="expression" dxfId="387" priority="720">
      <formula>BE214&lt;BG214-#REF!</formula>
    </cfRule>
  </conditionalFormatting>
  <conditionalFormatting sqref="BE214:BG226">
    <cfRule type="expression" dxfId="386" priority="713">
      <formula>BE214&gt;BG214+#REF!</formula>
    </cfRule>
  </conditionalFormatting>
  <conditionalFormatting sqref="BE227:BG227">
    <cfRule type="expression" dxfId="385" priority="717">
      <formula>BE227&gt;BG227*#REF!</formula>
    </cfRule>
  </conditionalFormatting>
  <conditionalFormatting sqref="BE229:BG230">
    <cfRule type="expression" dxfId="384" priority="663">
      <formula>BE229&gt;BG229*#REF!</formula>
    </cfRule>
    <cfRule type="expression" dxfId="383" priority="662">
      <formula>BE229&lt;BG229*#REF!</formula>
    </cfRule>
  </conditionalFormatting>
  <conditionalFormatting sqref="BE231:BG233">
    <cfRule type="expression" dxfId="382" priority="664">
      <formula>BE231&lt;BG231-#REF!</formula>
    </cfRule>
  </conditionalFormatting>
  <conditionalFormatting sqref="BE231:BG243">
    <cfRule type="expression" dxfId="381" priority="657">
      <formula>BE231&gt;BG231+#REF!</formula>
    </cfRule>
  </conditionalFormatting>
  <conditionalFormatting sqref="BE244:BG244">
    <cfRule type="expression" dxfId="380" priority="661">
      <formula>BE244&gt;BG244*#REF!</formula>
    </cfRule>
  </conditionalFormatting>
  <conditionalFormatting sqref="BE246:BG247">
    <cfRule type="expression" dxfId="379" priority="607">
      <formula>BE246&gt;BG246*#REF!</formula>
    </cfRule>
    <cfRule type="expression" dxfId="378" priority="606">
      <formula>BE246&lt;BG246*#REF!</formula>
    </cfRule>
  </conditionalFormatting>
  <conditionalFormatting sqref="BE248:BG250">
    <cfRule type="expression" dxfId="377" priority="608">
      <formula>BE248&lt;BG248-#REF!</formula>
    </cfRule>
  </conditionalFormatting>
  <conditionalFormatting sqref="BE248:BG260">
    <cfRule type="expression" dxfId="376" priority="601">
      <formula>BE248&gt;BG248+#REF!</formula>
    </cfRule>
  </conditionalFormatting>
  <conditionalFormatting sqref="BE261:BG261">
    <cfRule type="expression" dxfId="375" priority="605">
      <formula>BE261&gt;BG261*#REF!</formula>
    </cfRule>
  </conditionalFormatting>
  <conditionalFormatting sqref="BE263:BG264">
    <cfRule type="expression" dxfId="374" priority="551">
      <formula>BE263&gt;BG263*#REF!</formula>
    </cfRule>
    <cfRule type="expression" dxfId="373" priority="550">
      <formula>BE263&lt;BG263*#REF!</formula>
    </cfRule>
  </conditionalFormatting>
  <conditionalFormatting sqref="BE265:BG267">
    <cfRule type="expression" dxfId="372" priority="552">
      <formula>BE265&lt;BG265-#REF!</formula>
    </cfRule>
  </conditionalFormatting>
  <conditionalFormatting sqref="BE265:BG277">
    <cfRule type="expression" dxfId="371" priority="545">
      <formula>BE265&gt;BG265+#REF!</formula>
    </cfRule>
  </conditionalFormatting>
  <conditionalFormatting sqref="BE278:BG278">
    <cfRule type="expression" dxfId="370" priority="549">
      <formula>BE278&gt;BG278*#REF!</formula>
    </cfRule>
  </conditionalFormatting>
  <conditionalFormatting sqref="BE280:BG281">
    <cfRule type="expression" dxfId="369" priority="3586">
      <formula>BE280&lt;BG280*#REF!</formula>
    </cfRule>
    <cfRule type="expression" dxfId="368" priority="3587">
      <formula>BE280&gt;BG280*#REF!</formula>
    </cfRule>
  </conditionalFormatting>
  <conditionalFormatting sqref="BE282:BG284">
    <cfRule type="expression" dxfId="367" priority="3588">
      <formula>BE282&lt;BG282-#REF!</formula>
    </cfRule>
  </conditionalFormatting>
  <conditionalFormatting sqref="BE282:BG294">
    <cfRule type="expression" dxfId="366" priority="3581">
      <formula>BE282&gt;BG282+#REF!</formula>
    </cfRule>
  </conditionalFormatting>
  <conditionalFormatting sqref="BE295:BG295">
    <cfRule type="expression" dxfId="365" priority="3585">
      <formula>BE295&gt;BG295*#REF!</formula>
    </cfRule>
  </conditionalFormatting>
  <conditionalFormatting sqref="BE297:BG298">
    <cfRule type="expression" dxfId="364" priority="66">
      <formula>BE297&gt;BG297*#REF!</formula>
    </cfRule>
    <cfRule type="expression" dxfId="363" priority="65">
      <formula>BE297&lt;BG297*#REF!</formula>
    </cfRule>
  </conditionalFormatting>
  <conditionalFormatting sqref="BE299:BG301">
    <cfRule type="expression" dxfId="362" priority="67">
      <formula>BE299&lt;BG299-#REF!</formula>
    </cfRule>
  </conditionalFormatting>
  <conditionalFormatting sqref="BE299:BG311">
    <cfRule type="expression" dxfId="361" priority="60">
      <formula>BE299&gt;BG299+#REF!</formula>
    </cfRule>
  </conditionalFormatting>
  <conditionalFormatting sqref="BE312:BG312">
    <cfRule type="expression" dxfId="360" priority="64">
      <formula>BE312&gt;BG312*#REF!</formula>
    </cfRule>
  </conditionalFormatting>
  <conditionalFormatting sqref="BE314:BG315">
    <cfRule type="expression" dxfId="359" priority="438">
      <formula>BE314&lt;BG314*#REF!</formula>
    </cfRule>
    <cfRule type="expression" dxfId="358" priority="439">
      <formula>BE314&gt;BG314*#REF!</formula>
    </cfRule>
  </conditionalFormatting>
  <conditionalFormatting sqref="BE316:BG318">
    <cfRule type="expression" dxfId="357" priority="440">
      <formula>BE316&lt;BG316-#REF!</formula>
    </cfRule>
  </conditionalFormatting>
  <conditionalFormatting sqref="BE316:BG328">
    <cfRule type="expression" dxfId="356" priority="433">
      <formula>BE316&gt;BG316+#REF!</formula>
    </cfRule>
  </conditionalFormatting>
  <conditionalFormatting sqref="BE329:BG329">
    <cfRule type="expression" dxfId="355" priority="437">
      <formula>BE329&gt;BG329*#REF!</formula>
    </cfRule>
  </conditionalFormatting>
  <conditionalFormatting sqref="BE331:BG332">
    <cfRule type="expression" dxfId="354" priority="326">
      <formula>BE331&lt;BG331*#REF!</formula>
    </cfRule>
    <cfRule type="expression" dxfId="353" priority="327">
      <formula>BE331&gt;BG331*#REF!</formula>
    </cfRule>
  </conditionalFormatting>
  <conditionalFormatting sqref="BE333:BG335">
    <cfRule type="expression" dxfId="352" priority="328">
      <formula>BE333&lt;BG333-#REF!</formula>
    </cfRule>
  </conditionalFormatting>
  <conditionalFormatting sqref="BE333:BG345">
    <cfRule type="expression" dxfId="351" priority="321">
      <formula>BE333&gt;BG333+#REF!</formula>
    </cfRule>
  </conditionalFormatting>
  <conditionalFormatting sqref="BE346:BG346">
    <cfRule type="expression" dxfId="350" priority="325">
      <formula>BE346&gt;BG346*#REF!</formula>
    </cfRule>
  </conditionalFormatting>
  <conditionalFormatting sqref="BE348:BG349">
    <cfRule type="expression" dxfId="349" priority="270">
      <formula>BE348&lt;BG348*#REF!</formula>
    </cfRule>
    <cfRule type="expression" dxfId="348" priority="271">
      <formula>BE348&gt;BG348*#REF!</formula>
    </cfRule>
  </conditionalFormatting>
  <conditionalFormatting sqref="BE350:BG352">
    <cfRule type="expression" dxfId="347" priority="272">
      <formula>BE350&lt;BG350-#REF!</formula>
    </cfRule>
  </conditionalFormatting>
  <conditionalFormatting sqref="BE350:BG362">
    <cfRule type="expression" dxfId="346" priority="265">
      <formula>BE350&gt;BG350+#REF!</formula>
    </cfRule>
  </conditionalFormatting>
  <conditionalFormatting sqref="BE363:BG363">
    <cfRule type="expression" dxfId="345" priority="269">
      <formula>BE363&gt;BG363*#REF!</formula>
    </cfRule>
  </conditionalFormatting>
  <conditionalFormatting sqref="BF18:BF22">
    <cfRule type="expression" dxfId="344" priority="1340">
      <formula>BF18&lt;BH18-#REF!</formula>
    </cfRule>
  </conditionalFormatting>
  <conditionalFormatting sqref="BF35:BF39">
    <cfRule type="expression" dxfId="343" priority="1276">
      <formula>BF35&lt;BH35-#REF!</formula>
    </cfRule>
  </conditionalFormatting>
  <conditionalFormatting sqref="BF52:BF56">
    <cfRule type="expression" dxfId="342" priority="1220">
      <formula>BF52&lt;BH52-#REF!</formula>
    </cfRule>
  </conditionalFormatting>
  <conditionalFormatting sqref="BF69:BF73">
    <cfRule type="expression" dxfId="341" priority="1164">
      <formula>BF69&lt;BH69-#REF!</formula>
    </cfRule>
  </conditionalFormatting>
  <conditionalFormatting sqref="BF86:BF90">
    <cfRule type="expression" dxfId="340" priority="1108">
      <formula>BF86&lt;BH86-#REF!</formula>
    </cfRule>
  </conditionalFormatting>
  <conditionalFormatting sqref="BF103:BF107">
    <cfRule type="expression" dxfId="339" priority="1068">
      <formula>BF103&lt;BH103-#REF!</formula>
    </cfRule>
  </conditionalFormatting>
  <conditionalFormatting sqref="BF120:BF124">
    <cfRule type="expression" dxfId="338" priority="996">
      <formula>BF120&lt;BH120-#REF!</formula>
    </cfRule>
  </conditionalFormatting>
  <conditionalFormatting sqref="BF137:BF141">
    <cfRule type="expression" dxfId="337" priority="940">
      <formula>BF137&lt;BH137-#REF!</formula>
    </cfRule>
  </conditionalFormatting>
  <conditionalFormatting sqref="BF154:BF158">
    <cfRule type="expression" dxfId="336" priority="896">
      <formula>BF154&lt;BH154-#REF!</formula>
    </cfRule>
  </conditionalFormatting>
  <conditionalFormatting sqref="BF171:BF175">
    <cfRule type="expression" dxfId="335" priority="828">
      <formula>BF171&lt;BH171-#REF!</formula>
    </cfRule>
  </conditionalFormatting>
  <conditionalFormatting sqref="BF188:BF192">
    <cfRule type="expression" dxfId="334" priority="772">
      <formula>BF188&lt;BH188-#REF!</formula>
    </cfRule>
  </conditionalFormatting>
  <conditionalFormatting sqref="BF205:BF209">
    <cfRule type="expression" dxfId="333" priority="3864">
      <formula>BF205&lt;BH205-#REF!</formula>
    </cfRule>
  </conditionalFormatting>
  <conditionalFormatting sqref="BF222:BF226">
    <cfRule type="expression" dxfId="332" priority="716">
      <formula>BF222&lt;BH222-#REF!</formula>
    </cfRule>
  </conditionalFormatting>
  <conditionalFormatting sqref="BF239:BF243">
    <cfRule type="expression" dxfId="331" priority="660">
      <formula>BF239&lt;BH239-#REF!</formula>
    </cfRule>
  </conditionalFormatting>
  <conditionalFormatting sqref="BF256:BF260">
    <cfRule type="expression" dxfId="330" priority="604">
      <formula>BF256&lt;BH256-#REF!</formula>
    </cfRule>
  </conditionalFormatting>
  <conditionalFormatting sqref="BF273:BF277">
    <cfRule type="expression" dxfId="329" priority="548">
      <formula>BF273&lt;BH273-#REF!</formula>
    </cfRule>
  </conditionalFormatting>
  <conditionalFormatting sqref="BF290:BF294">
    <cfRule type="expression" dxfId="328" priority="3584">
      <formula>BF290&lt;BH290-#REF!</formula>
    </cfRule>
  </conditionalFormatting>
  <conditionalFormatting sqref="BF307:BF311">
    <cfRule type="expression" dxfId="327" priority="63">
      <formula>BF307&lt;BH307-#REF!</formula>
    </cfRule>
  </conditionalFormatting>
  <conditionalFormatting sqref="BF324:BF328">
    <cfRule type="expression" dxfId="326" priority="436">
      <formula>BF324&lt;BH324-#REF!</formula>
    </cfRule>
  </conditionalFormatting>
  <conditionalFormatting sqref="BF341:BF345">
    <cfRule type="expression" dxfId="325" priority="324">
      <formula>BF341&lt;BH341-#REF!</formula>
    </cfRule>
  </conditionalFormatting>
  <conditionalFormatting sqref="BF358:BF362">
    <cfRule type="expression" dxfId="324" priority="268">
      <formula>BF358&lt;BH358-#REF!</formula>
    </cfRule>
  </conditionalFormatting>
  <conditionalFormatting sqref="BF14:BG15">
    <cfRule type="expression" dxfId="323" priority="1339">
      <formula>BF14&lt;BH14-#REF!</formula>
    </cfRule>
  </conditionalFormatting>
  <conditionalFormatting sqref="BF31:BG32">
    <cfRule type="expression" dxfId="322" priority="1275">
      <formula>BF31&lt;BH31-#REF!</formula>
    </cfRule>
  </conditionalFormatting>
  <conditionalFormatting sqref="BF48:BG49">
    <cfRule type="expression" dxfId="321" priority="1219">
      <formula>BF48&lt;BH48-#REF!</formula>
    </cfRule>
  </conditionalFormatting>
  <conditionalFormatting sqref="BF65:BG66">
    <cfRule type="expression" dxfId="320" priority="1163">
      <formula>BF65&lt;BH65-#REF!</formula>
    </cfRule>
  </conditionalFormatting>
  <conditionalFormatting sqref="BF82:BG83">
    <cfRule type="expression" dxfId="319" priority="1107">
      <formula>BF82&lt;BH82-#REF!</formula>
    </cfRule>
  </conditionalFormatting>
  <conditionalFormatting sqref="BF99:BG100">
    <cfRule type="expression" dxfId="318" priority="1067">
      <formula>BF99&lt;BH99-#REF!</formula>
    </cfRule>
  </conditionalFormatting>
  <conditionalFormatting sqref="BF116:BG117">
    <cfRule type="expression" dxfId="317" priority="995">
      <formula>BF116&lt;BH116-#REF!</formula>
    </cfRule>
  </conditionalFormatting>
  <conditionalFormatting sqref="BF133:BG134">
    <cfRule type="expression" dxfId="316" priority="939">
      <formula>BF133&lt;BH133-#REF!</formula>
    </cfRule>
  </conditionalFormatting>
  <conditionalFormatting sqref="BF150:BG151">
    <cfRule type="expression" dxfId="315" priority="895">
      <formula>BF150&lt;BH150-#REF!</formula>
    </cfRule>
  </conditionalFormatting>
  <conditionalFormatting sqref="BF167:BG168">
    <cfRule type="expression" dxfId="314" priority="827">
      <formula>BF167&lt;BH167-#REF!</formula>
    </cfRule>
  </conditionalFormatting>
  <conditionalFormatting sqref="BF184:BG185">
    <cfRule type="expression" dxfId="313" priority="771">
      <formula>BF184&lt;BH184-#REF!</formula>
    </cfRule>
  </conditionalFormatting>
  <conditionalFormatting sqref="BF201:BG202">
    <cfRule type="expression" dxfId="312" priority="3863">
      <formula>BF201&lt;BH201-#REF!</formula>
    </cfRule>
  </conditionalFormatting>
  <conditionalFormatting sqref="BF218:BG219">
    <cfRule type="expression" dxfId="311" priority="715">
      <formula>BF218&lt;BH218-#REF!</formula>
    </cfRule>
  </conditionalFormatting>
  <conditionalFormatting sqref="BF235:BG236">
    <cfRule type="expression" dxfId="310" priority="659">
      <formula>BF235&lt;BH235-#REF!</formula>
    </cfRule>
  </conditionalFormatting>
  <conditionalFormatting sqref="BF252:BG253">
    <cfRule type="expression" dxfId="309" priority="603">
      <formula>BF252&lt;BH252-#REF!</formula>
    </cfRule>
  </conditionalFormatting>
  <conditionalFormatting sqref="BF269:BG270">
    <cfRule type="expression" dxfId="308" priority="547">
      <formula>BF269&lt;BH269-#REF!</formula>
    </cfRule>
  </conditionalFormatting>
  <conditionalFormatting sqref="BF286:BG287">
    <cfRule type="expression" dxfId="307" priority="3583">
      <formula>BF286&lt;BH286-#REF!</formula>
    </cfRule>
  </conditionalFormatting>
  <conditionalFormatting sqref="BF303:BG304">
    <cfRule type="expression" dxfId="306" priority="62">
      <formula>BF303&lt;BH303-#REF!</formula>
    </cfRule>
  </conditionalFormatting>
  <conditionalFormatting sqref="BF320:BG321">
    <cfRule type="expression" dxfId="305" priority="435">
      <formula>BF320&lt;BH320-#REF!</formula>
    </cfRule>
  </conditionalFormatting>
  <conditionalFormatting sqref="BF337:BG338">
    <cfRule type="expression" dxfId="304" priority="323">
      <formula>BF337&lt;BH337-#REF!</formula>
    </cfRule>
  </conditionalFormatting>
  <conditionalFormatting sqref="BF354:BG355">
    <cfRule type="expression" dxfId="303" priority="267">
      <formula>BF354&lt;BH354-#REF!</formula>
    </cfRule>
  </conditionalFormatting>
  <conditionalFormatting sqref="BG18:BG19">
    <cfRule type="expression" dxfId="302" priority="1338">
      <formula>BG18&lt;BI18-#REF!</formula>
    </cfRule>
  </conditionalFormatting>
  <conditionalFormatting sqref="BG35:BG36">
    <cfRule type="expression" dxfId="301" priority="1274">
      <formula>BG35&lt;BI35-#REF!</formula>
    </cfRule>
  </conditionalFormatting>
  <conditionalFormatting sqref="BG52:BG53">
    <cfRule type="expression" dxfId="300" priority="1218">
      <formula>BG52&lt;BI52-#REF!</formula>
    </cfRule>
  </conditionalFormatting>
  <conditionalFormatting sqref="BG69:BG70">
    <cfRule type="expression" dxfId="299" priority="1162">
      <formula>BG69&lt;BI69-#REF!</formula>
    </cfRule>
  </conditionalFormatting>
  <conditionalFormatting sqref="BG86:BG87">
    <cfRule type="expression" dxfId="298" priority="1106">
      <formula>BG86&lt;BI86-#REF!</formula>
    </cfRule>
  </conditionalFormatting>
  <conditionalFormatting sqref="BG103:BG104">
    <cfRule type="expression" dxfId="297" priority="1066">
      <formula>BG103&lt;BI103-#REF!</formula>
    </cfRule>
  </conditionalFormatting>
  <conditionalFormatting sqref="BG120:BG121">
    <cfRule type="expression" dxfId="296" priority="994">
      <formula>BG120&lt;BI120-#REF!</formula>
    </cfRule>
  </conditionalFormatting>
  <conditionalFormatting sqref="BG137:BG138">
    <cfRule type="expression" dxfId="295" priority="938">
      <formula>BG137&lt;BI137-#REF!</formula>
    </cfRule>
  </conditionalFormatting>
  <conditionalFormatting sqref="BG154:BG155">
    <cfRule type="expression" dxfId="294" priority="894">
      <formula>BG154&lt;BI154-#REF!</formula>
    </cfRule>
  </conditionalFormatting>
  <conditionalFormatting sqref="BG171:BG172">
    <cfRule type="expression" dxfId="293" priority="826">
      <formula>BG171&lt;BI171-#REF!</formula>
    </cfRule>
  </conditionalFormatting>
  <conditionalFormatting sqref="BG188:BG189">
    <cfRule type="expression" dxfId="292" priority="770">
      <formula>BG188&lt;BI188-#REF!</formula>
    </cfRule>
  </conditionalFormatting>
  <conditionalFormatting sqref="BG205:BG206">
    <cfRule type="expression" dxfId="291" priority="3862">
      <formula>BG205&lt;BI205-#REF!</formula>
    </cfRule>
  </conditionalFormatting>
  <conditionalFormatting sqref="BG222:BG223">
    <cfRule type="expression" dxfId="290" priority="714">
      <formula>BG222&lt;BI222-#REF!</formula>
    </cfRule>
  </conditionalFormatting>
  <conditionalFormatting sqref="BG239:BG240">
    <cfRule type="expression" dxfId="289" priority="658">
      <formula>BG239&lt;BI239-#REF!</formula>
    </cfRule>
  </conditionalFormatting>
  <conditionalFormatting sqref="BG256:BG257">
    <cfRule type="expression" dxfId="288" priority="602">
      <formula>BG256&lt;BI256-#REF!</formula>
    </cfRule>
  </conditionalFormatting>
  <conditionalFormatting sqref="BG273:BG274">
    <cfRule type="expression" dxfId="287" priority="546">
      <formula>BG273&lt;BI273-#REF!</formula>
    </cfRule>
  </conditionalFormatting>
  <conditionalFormatting sqref="BG290:BG291">
    <cfRule type="expression" dxfId="286" priority="3582">
      <formula>BG290&lt;BI290-#REF!</formula>
    </cfRule>
  </conditionalFormatting>
  <conditionalFormatting sqref="BG307:BG308">
    <cfRule type="expression" dxfId="285" priority="61">
      <formula>BG307&lt;BI307-#REF!</formula>
    </cfRule>
  </conditionalFormatting>
  <conditionalFormatting sqref="BG324:BG325">
    <cfRule type="expression" dxfId="284" priority="434">
      <formula>BG324&lt;BI324-#REF!</formula>
    </cfRule>
  </conditionalFormatting>
  <conditionalFormatting sqref="BG341:BG342">
    <cfRule type="expression" dxfId="283" priority="322">
      <formula>BG341&lt;BI341-#REF!</formula>
    </cfRule>
  </conditionalFormatting>
  <conditionalFormatting sqref="BG358:BG359">
    <cfRule type="expression" dxfId="282" priority="266">
      <formula>BG358&lt;BI358-#REF!</formula>
    </cfRule>
  </conditionalFormatting>
  <conditionalFormatting sqref="BI8:BK9">
    <cfRule type="expression" dxfId="281" priority="1334">
      <formula>BI8&lt;BK8*#REF!</formula>
    </cfRule>
    <cfRule type="expression" dxfId="280" priority="1335">
      <formula>BI8&gt;BK8*#REF!</formula>
    </cfRule>
  </conditionalFormatting>
  <conditionalFormatting sqref="BI10:BK12">
    <cfRule type="expression" dxfId="279" priority="1336">
      <formula>BI10&lt;BK10-#REF!</formula>
    </cfRule>
  </conditionalFormatting>
  <conditionalFormatting sqref="BI10:BK22">
    <cfRule type="expression" dxfId="278" priority="1329">
      <formula>BI10&gt;BK10+#REF!</formula>
    </cfRule>
  </conditionalFormatting>
  <conditionalFormatting sqref="BI23:BK23">
    <cfRule type="expression" dxfId="277" priority="1333">
      <formula>BI23&gt;BK23*#REF!</formula>
    </cfRule>
  </conditionalFormatting>
  <conditionalFormatting sqref="BI25:BK26">
    <cfRule type="expression" dxfId="276" priority="1270">
      <formula>BI25&lt;BK25*#REF!</formula>
    </cfRule>
    <cfRule type="expression" dxfId="275" priority="1271">
      <formula>BI25&gt;BK25*#REF!</formula>
    </cfRule>
  </conditionalFormatting>
  <conditionalFormatting sqref="BI27:BK29">
    <cfRule type="expression" dxfId="274" priority="1272">
      <formula>BI27&lt;BK27-#REF!</formula>
    </cfRule>
  </conditionalFormatting>
  <conditionalFormatting sqref="BI27:BK39">
    <cfRule type="expression" dxfId="273" priority="1265">
      <formula>BI27&gt;BK27+#REF!</formula>
    </cfRule>
  </conditionalFormatting>
  <conditionalFormatting sqref="BI40:BK40">
    <cfRule type="expression" dxfId="272" priority="1269">
      <formula>BI40&gt;BK40*#REF!</formula>
    </cfRule>
  </conditionalFormatting>
  <conditionalFormatting sqref="BI42:BK43">
    <cfRule type="expression" dxfId="271" priority="1214">
      <formula>BI42&lt;BK42*#REF!</formula>
    </cfRule>
    <cfRule type="expression" dxfId="270" priority="1215">
      <formula>BI42&gt;BK42*#REF!</formula>
    </cfRule>
  </conditionalFormatting>
  <conditionalFormatting sqref="BI44:BK46">
    <cfRule type="expression" dxfId="269" priority="1216">
      <formula>BI44&lt;BK44-#REF!</formula>
    </cfRule>
  </conditionalFormatting>
  <conditionalFormatting sqref="BI44:BK56">
    <cfRule type="expression" dxfId="268" priority="1209">
      <formula>BI44&gt;BK44+#REF!</formula>
    </cfRule>
  </conditionalFormatting>
  <conditionalFormatting sqref="BI57:BK57">
    <cfRule type="expression" dxfId="267" priority="1213">
      <formula>BI57&gt;BK57*#REF!</formula>
    </cfRule>
  </conditionalFormatting>
  <conditionalFormatting sqref="BI59:BK60">
    <cfRule type="expression" dxfId="266" priority="1159">
      <formula>BI59&gt;BK59*#REF!</formula>
    </cfRule>
    <cfRule type="expression" dxfId="265" priority="1158">
      <formula>BI59&lt;BK59*#REF!</formula>
    </cfRule>
  </conditionalFormatting>
  <conditionalFormatting sqref="BI61:BK63">
    <cfRule type="expression" dxfId="264" priority="1160">
      <formula>BI61&lt;BK61-#REF!</formula>
    </cfRule>
  </conditionalFormatting>
  <conditionalFormatting sqref="BI61:BK73">
    <cfRule type="expression" dxfId="263" priority="1153">
      <formula>BI61&gt;BK61+#REF!</formula>
    </cfRule>
  </conditionalFormatting>
  <conditionalFormatting sqref="BI74:BK74">
    <cfRule type="expression" dxfId="262" priority="1157">
      <formula>BI74&gt;BK74*#REF!</formula>
    </cfRule>
  </conditionalFormatting>
  <conditionalFormatting sqref="BI76:BK77">
    <cfRule type="expression" dxfId="261" priority="1103">
      <formula>BI76&gt;BK76*#REF!</formula>
    </cfRule>
    <cfRule type="expression" dxfId="260" priority="1102">
      <formula>BI76&lt;BK76*#REF!</formula>
    </cfRule>
  </conditionalFormatting>
  <conditionalFormatting sqref="BI78:BK80">
    <cfRule type="expression" dxfId="259" priority="1104">
      <formula>BI78&lt;BK78-#REF!</formula>
    </cfRule>
  </conditionalFormatting>
  <conditionalFormatting sqref="BI78:BK90">
    <cfRule type="expression" dxfId="258" priority="1097">
      <formula>BI78&gt;BK78+#REF!</formula>
    </cfRule>
  </conditionalFormatting>
  <conditionalFormatting sqref="BI91:BK91">
    <cfRule type="expression" dxfId="257" priority="1101">
      <formula>BI91&gt;BK91*#REF!</formula>
    </cfRule>
  </conditionalFormatting>
  <conditionalFormatting sqref="BI93:BK94">
    <cfRule type="expression" dxfId="256" priority="1062">
      <formula>BI93&lt;BK93*#REF!</formula>
    </cfRule>
    <cfRule type="expression" dxfId="255" priority="1063">
      <formula>BI93&gt;BK93*#REF!</formula>
    </cfRule>
  </conditionalFormatting>
  <conditionalFormatting sqref="BI95:BK97">
    <cfRule type="expression" dxfId="254" priority="1064">
      <formula>BI95&lt;BK95-#REF!</formula>
    </cfRule>
  </conditionalFormatting>
  <conditionalFormatting sqref="BI95:BK107">
    <cfRule type="expression" dxfId="253" priority="1057">
      <formula>BI95&gt;BK95+#REF!</formula>
    </cfRule>
  </conditionalFormatting>
  <conditionalFormatting sqref="BI108:BK108">
    <cfRule type="expression" dxfId="252" priority="1061">
      <formula>BI108&gt;BK108*#REF!</formula>
    </cfRule>
  </conditionalFormatting>
  <conditionalFormatting sqref="BI110:BK111">
    <cfRule type="expression" dxfId="251" priority="990">
      <formula>BI110&lt;BK110*#REF!</formula>
    </cfRule>
    <cfRule type="expression" dxfId="250" priority="991">
      <formula>BI110&gt;BK110*#REF!</formula>
    </cfRule>
  </conditionalFormatting>
  <conditionalFormatting sqref="BI112:BK114">
    <cfRule type="expression" dxfId="249" priority="992">
      <formula>BI112&lt;BK112-#REF!</formula>
    </cfRule>
  </conditionalFormatting>
  <conditionalFormatting sqref="BI112:BK124">
    <cfRule type="expression" dxfId="248" priority="985">
      <formula>BI112&gt;BK112+#REF!</formula>
    </cfRule>
  </conditionalFormatting>
  <conditionalFormatting sqref="BI125:BK125">
    <cfRule type="expression" dxfId="247" priority="989">
      <formula>BI125&gt;BK125*#REF!</formula>
    </cfRule>
  </conditionalFormatting>
  <conditionalFormatting sqref="BI127:BK128">
    <cfRule type="expression" dxfId="246" priority="935">
      <formula>BI127&gt;BK127*#REF!</formula>
    </cfRule>
    <cfRule type="expression" dxfId="245" priority="934">
      <formula>BI127&lt;BK127*#REF!</formula>
    </cfRule>
  </conditionalFormatting>
  <conditionalFormatting sqref="BI129:BK131">
    <cfRule type="expression" dxfId="244" priority="936">
      <formula>BI129&lt;BK129-#REF!</formula>
    </cfRule>
  </conditionalFormatting>
  <conditionalFormatting sqref="BI129:BK141">
    <cfRule type="expression" dxfId="243" priority="929">
      <formula>BI129&gt;BK129+#REF!</formula>
    </cfRule>
  </conditionalFormatting>
  <conditionalFormatting sqref="BI142:BK142">
    <cfRule type="expression" dxfId="242" priority="933">
      <formula>BI142&gt;BK142*#REF!</formula>
    </cfRule>
  </conditionalFormatting>
  <conditionalFormatting sqref="BI144:BK145">
    <cfRule type="expression" dxfId="241" priority="890">
      <formula>BI144&lt;BK144*#REF!</formula>
    </cfRule>
    <cfRule type="expression" dxfId="240" priority="891">
      <formula>BI144&gt;BK144*#REF!</formula>
    </cfRule>
  </conditionalFormatting>
  <conditionalFormatting sqref="BI146:BK148">
    <cfRule type="expression" dxfId="239" priority="892">
      <formula>BI146&lt;BK146-#REF!</formula>
    </cfRule>
  </conditionalFormatting>
  <conditionalFormatting sqref="BI146:BK158">
    <cfRule type="expression" dxfId="238" priority="885">
      <formula>BI146&gt;BK146+#REF!</formula>
    </cfRule>
  </conditionalFormatting>
  <conditionalFormatting sqref="BI159:BK159">
    <cfRule type="expression" dxfId="237" priority="889">
      <formula>BI159&gt;BK159*#REF!</formula>
    </cfRule>
  </conditionalFormatting>
  <conditionalFormatting sqref="BI161:BK162">
    <cfRule type="expression" dxfId="236" priority="822">
      <formula>BI161&lt;BK161*#REF!</formula>
    </cfRule>
    <cfRule type="expression" dxfId="235" priority="823">
      <formula>BI161&gt;BK161*#REF!</formula>
    </cfRule>
  </conditionalFormatting>
  <conditionalFormatting sqref="BI163:BK165">
    <cfRule type="expression" dxfId="234" priority="824">
      <formula>BI163&lt;BK163-#REF!</formula>
    </cfRule>
  </conditionalFormatting>
  <conditionalFormatting sqref="BI163:BK175">
    <cfRule type="expression" dxfId="233" priority="817">
      <formula>BI163&gt;BK163+#REF!</formula>
    </cfRule>
  </conditionalFormatting>
  <conditionalFormatting sqref="BI176:BK176">
    <cfRule type="expression" dxfId="232" priority="821">
      <formula>BI176&gt;BK176*#REF!</formula>
    </cfRule>
  </conditionalFormatting>
  <conditionalFormatting sqref="BI178:BK179">
    <cfRule type="expression" dxfId="231" priority="766">
      <formula>BI178&lt;BK178*#REF!</formula>
    </cfRule>
    <cfRule type="expression" dxfId="230" priority="767">
      <formula>BI178&gt;BK178*#REF!</formula>
    </cfRule>
  </conditionalFormatting>
  <conditionalFormatting sqref="BI180:BK182">
    <cfRule type="expression" dxfId="229" priority="768">
      <formula>BI180&lt;BK180-#REF!</formula>
    </cfRule>
  </conditionalFormatting>
  <conditionalFormatting sqref="BI180:BK192">
    <cfRule type="expression" dxfId="228" priority="761">
      <formula>BI180&gt;BK180+#REF!</formula>
    </cfRule>
  </conditionalFormatting>
  <conditionalFormatting sqref="BI193:BK193">
    <cfRule type="expression" dxfId="227" priority="765">
      <formula>BI193&gt;BK193*#REF!</formula>
    </cfRule>
  </conditionalFormatting>
  <conditionalFormatting sqref="BI195:BK196">
    <cfRule type="expression" dxfId="226" priority="3858">
      <formula>BI195&lt;BK195*#REF!</formula>
    </cfRule>
    <cfRule type="expression" dxfId="225" priority="3859">
      <formula>BI195&gt;BK195*#REF!</formula>
    </cfRule>
  </conditionalFormatting>
  <conditionalFormatting sqref="BI197:BK199">
    <cfRule type="expression" dxfId="224" priority="3860">
      <formula>BI197&lt;BK197-#REF!</formula>
    </cfRule>
  </conditionalFormatting>
  <conditionalFormatting sqref="BI197:BK209">
    <cfRule type="expression" dxfId="223" priority="3853">
      <formula>BI197&gt;BK197+#REF!</formula>
    </cfRule>
  </conditionalFormatting>
  <conditionalFormatting sqref="BI210:BK210">
    <cfRule type="expression" dxfId="222" priority="3857">
      <formula>BI210&gt;BK210*#REF!</formula>
    </cfRule>
  </conditionalFormatting>
  <conditionalFormatting sqref="BI212:BK213">
    <cfRule type="expression" dxfId="221" priority="710">
      <formula>BI212&lt;BK212*#REF!</formula>
    </cfRule>
    <cfRule type="expression" dxfId="220" priority="711">
      <formula>BI212&gt;BK212*#REF!</formula>
    </cfRule>
  </conditionalFormatting>
  <conditionalFormatting sqref="BI214:BK216">
    <cfRule type="expression" dxfId="219" priority="712">
      <formula>BI214&lt;BK214-#REF!</formula>
    </cfRule>
  </conditionalFormatting>
  <conditionalFormatting sqref="BI214:BK226">
    <cfRule type="expression" dxfId="218" priority="705">
      <formula>BI214&gt;BK214+#REF!</formula>
    </cfRule>
  </conditionalFormatting>
  <conditionalFormatting sqref="BI227:BK227">
    <cfRule type="expression" dxfId="217" priority="709">
      <formula>BI227&gt;BK227*#REF!</formula>
    </cfRule>
  </conditionalFormatting>
  <conditionalFormatting sqref="BI229:BK230">
    <cfRule type="expression" dxfId="216" priority="654">
      <formula>BI229&lt;BK229*#REF!</formula>
    </cfRule>
    <cfRule type="expression" dxfId="215" priority="655">
      <formula>BI229&gt;BK229*#REF!</formula>
    </cfRule>
  </conditionalFormatting>
  <conditionalFormatting sqref="BI231:BK233">
    <cfRule type="expression" dxfId="214" priority="656">
      <formula>BI231&lt;BK231-#REF!</formula>
    </cfRule>
  </conditionalFormatting>
  <conditionalFormatting sqref="BI231:BK243">
    <cfRule type="expression" dxfId="213" priority="649">
      <formula>BI231&gt;BK231+#REF!</formula>
    </cfRule>
  </conditionalFormatting>
  <conditionalFormatting sqref="BI244:BK244">
    <cfRule type="expression" dxfId="212" priority="653">
      <formula>BI244&gt;BK244*#REF!</formula>
    </cfRule>
  </conditionalFormatting>
  <conditionalFormatting sqref="BI246:BK261">
    <cfRule type="expression" dxfId="211" priority="599">
      <formula>BI246&gt;BK246*#REF!</formula>
    </cfRule>
    <cfRule type="expression" dxfId="210" priority="598">
      <formula>BI246&lt;BK246*#REF!</formula>
    </cfRule>
  </conditionalFormatting>
  <conditionalFormatting sqref="BI263:BK264 BI278 BI266:BK267 BI269:BK270 BI272:BK273 BI275:BK276 BK278">
    <cfRule type="expression" dxfId="209" priority="542">
      <formula>BI263&lt;BK263*#REF!</formula>
    </cfRule>
    <cfRule type="expression" dxfId="208" priority="543">
      <formula>BI263&gt;BK263*#REF!</formula>
    </cfRule>
  </conditionalFormatting>
  <conditionalFormatting sqref="BI265:BK265 BI268:BK268 BI271:BK271 BI274:BK274 BI277:BK277">
    <cfRule type="expression" dxfId="207" priority="537">
      <formula>BI265&gt;BK265+#REF!</formula>
    </cfRule>
    <cfRule type="expression" dxfId="206" priority="544">
      <formula>BI265&lt;BK265-#REF!</formula>
    </cfRule>
  </conditionalFormatting>
  <conditionalFormatting sqref="BI280:BK281">
    <cfRule type="expression" dxfId="205" priority="3578">
      <formula>BI280&lt;BK280*#REF!</formula>
    </cfRule>
    <cfRule type="expression" dxfId="204" priority="3579">
      <formula>BI280&gt;BK280*#REF!</formula>
    </cfRule>
  </conditionalFormatting>
  <conditionalFormatting sqref="BI282:BK284">
    <cfRule type="expression" dxfId="203" priority="3580">
      <formula>BI282&lt;BK282-#REF!</formula>
    </cfRule>
  </conditionalFormatting>
  <conditionalFormatting sqref="BI282:BK294">
    <cfRule type="expression" dxfId="202" priority="3573">
      <formula>BI282&gt;BK282+#REF!</formula>
    </cfRule>
  </conditionalFormatting>
  <conditionalFormatting sqref="BI295:BK295">
    <cfRule type="expression" dxfId="201" priority="3577">
      <formula>BI295&gt;BK295*#REF!</formula>
    </cfRule>
  </conditionalFormatting>
  <conditionalFormatting sqref="BI297:BK312">
    <cfRule type="expression" dxfId="200" priority="37">
      <formula>BI297&gt;BK297*#REF!</formula>
    </cfRule>
  </conditionalFormatting>
  <conditionalFormatting sqref="BI314:BK315">
    <cfRule type="expression" dxfId="199" priority="431">
      <formula>BI314&gt;BK314*#REF!</formula>
    </cfRule>
    <cfRule type="expression" dxfId="198" priority="430">
      <formula>BI314&lt;BK314*#REF!</formula>
    </cfRule>
  </conditionalFormatting>
  <conditionalFormatting sqref="BI316:BK318">
    <cfRule type="expression" dxfId="197" priority="432">
      <formula>BI316&lt;BK316-#REF!</formula>
    </cfRule>
  </conditionalFormatting>
  <conditionalFormatting sqref="BI316:BK328">
    <cfRule type="expression" dxfId="196" priority="425">
      <formula>BI316&gt;BK316+#REF!</formula>
    </cfRule>
  </conditionalFormatting>
  <conditionalFormatting sqref="BI329:BK329">
    <cfRule type="expression" dxfId="195" priority="429">
      <formula>BI329&gt;BK329*#REF!</formula>
    </cfRule>
  </conditionalFormatting>
  <conditionalFormatting sqref="BI331:BK332">
    <cfRule type="expression" dxfId="194" priority="319">
      <formula>BI331&gt;BK331*#REF!</formula>
    </cfRule>
    <cfRule type="expression" dxfId="193" priority="318">
      <formula>BI331&lt;BK331*#REF!</formula>
    </cfRule>
  </conditionalFormatting>
  <conditionalFormatting sqref="BI333:BK335">
    <cfRule type="expression" dxfId="192" priority="320">
      <formula>BI333&lt;BK333-#REF!</formula>
    </cfRule>
  </conditionalFormatting>
  <conditionalFormatting sqref="BI333:BK345">
    <cfRule type="expression" dxfId="191" priority="313">
      <formula>BI333&gt;BK333+#REF!</formula>
    </cfRule>
  </conditionalFormatting>
  <conditionalFormatting sqref="BI346:BK346">
    <cfRule type="expression" dxfId="190" priority="317">
      <formula>BI346&gt;BK346*#REF!</formula>
    </cfRule>
  </conditionalFormatting>
  <conditionalFormatting sqref="BI348:BK349 BI363 BI351:BK352 BI354:BK355 BI357:BK358 BI360:BK361 BK363">
    <cfRule type="expression" dxfId="189" priority="9">
      <formula>BI348&gt;BK348*#REF!</formula>
    </cfRule>
    <cfRule type="expression" dxfId="188" priority="8">
      <formula>BI348&lt;BK348*#REF!</formula>
    </cfRule>
  </conditionalFormatting>
  <conditionalFormatting sqref="BI350:BK350 BI353:BK353 BI356:BK356 BI359:BK359 BI362:BK362">
    <cfRule type="expression" dxfId="187" priority="10">
      <formula>BI350&lt;BK350-#REF!</formula>
    </cfRule>
    <cfRule type="expression" dxfId="186" priority="6">
      <formula>BI350&gt;BK350+#REF!</formula>
    </cfRule>
  </conditionalFormatting>
  <conditionalFormatting sqref="BJ18:BJ22">
    <cfRule type="expression" dxfId="185" priority="1332">
      <formula>BJ18&lt;BL18-#REF!</formula>
    </cfRule>
  </conditionalFormatting>
  <conditionalFormatting sqref="BJ35:BJ39">
    <cfRule type="expression" dxfId="184" priority="1268">
      <formula>BJ35&lt;BL35-#REF!</formula>
    </cfRule>
  </conditionalFormatting>
  <conditionalFormatting sqref="BJ52:BJ56">
    <cfRule type="expression" dxfId="183" priority="1212">
      <formula>BJ52&lt;BL52-#REF!</formula>
    </cfRule>
  </conditionalFormatting>
  <conditionalFormatting sqref="BJ69:BJ73">
    <cfRule type="expression" dxfId="182" priority="1156">
      <formula>BJ69&lt;BL69-#REF!</formula>
    </cfRule>
  </conditionalFormatting>
  <conditionalFormatting sqref="BJ86:BJ90">
    <cfRule type="expression" dxfId="181" priority="1100">
      <formula>BJ86&lt;BL86-#REF!</formula>
    </cfRule>
  </conditionalFormatting>
  <conditionalFormatting sqref="BJ103:BJ107">
    <cfRule type="expression" dxfId="180" priority="1060">
      <formula>BJ103&lt;BL103-#REF!</formula>
    </cfRule>
  </conditionalFormatting>
  <conditionalFormatting sqref="BJ120:BJ124">
    <cfRule type="expression" dxfId="179" priority="988">
      <formula>BJ120&lt;BL120-#REF!</formula>
    </cfRule>
  </conditionalFormatting>
  <conditionalFormatting sqref="BJ137:BJ141">
    <cfRule type="expression" dxfId="178" priority="932">
      <formula>BJ137&lt;BL137-#REF!</formula>
    </cfRule>
  </conditionalFormatting>
  <conditionalFormatting sqref="BJ154:BJ158">
    <cfRule type="expression" dxfId="177" priority="888">
      <formula>BJ154&lt;BL154-#REF!</formula>
    </cfRule>
  </conditionalFormatting>
  <conditionalFormatting sqref="BJ171:BJ175">
    <cfRule type="expression" dxfId="176" priority="820">
      <formula>BJ171&lt;BL171-#REF!</formula>
    </cfRule>
  </conditionalFormatting>
  <conditionalFormatting sqref="BJ188:BJ192">
    <cfRule type="expression" dxfId="175" priority="764">
      <formula>BJ188&lt;BL188-#REF!</formula>
    </cfRule>
  </conditionalFormatting>
  <conditionalFormatting sqref="BJ205:BJ209">
    <cfRule type="expression" dxfId="174" priority="3856">
      <formula>BJ205&lt;BL205-#REF!</formula>
    </cfRule>
  </conditionalFormatting>
  <conditionalFormatting sqref="BJ222:BJ226">
    <cfRule type="expression" dxfId="173" priority="708">
      <formula>BJ222&lt;BL222-#REF!</formula>
    </cfRule>
  </conditionalFormatting>
  <conditionalFormatting sqref="BJ239:BJ243">
    <cfRule type="expression" dxfId="172" priority="652">
      <formula>BJ239&lt;BL239-#REF!</formula>
    </cfRule>
  </conditionalFormatting>
  <conditionalFormatting sqref="BJ278">
    <cfRule type="expression" dxfId="171" priority="541">
      <formula>BJ278&gt;BL278*#REF!</formula>
    </cfRule>
  </conditionalFormatting>
  <conditionalFormatting sqref="BJ290:BJ294">
    <cfRule type="expression" dxfId="170" priority="3576">
      <formula>BJ290&lt;BL290-#REF!</formula>
    </cfRule>
  </conditionalFormatting>
  <conditionalFormatting sqref="BJ324:BJ328">
    <cfRule type="expression" dxfId="169" priority="428">
      <formula>BJ324&lt;BL324-#REF!</formula>
    </cfRule>
  </conditionalFormatting>
  <conditionalFormatting sqref="BJ341:BJ345">
    <cfRule type="expression" dxfId="168" priority="316">
      <formula>BJ341&lt;BL341-#REF!</formula>
    </cfRule>
  </conditionalFormatting>
  <conditionalFormatting sqref="BJ363">
    <cfRule type="expression" dxfId="167" priority="7">
      <formula>BJ363&gt;BL363*#REF!</formula>
    </cfRule>
  </conditionalFormatting>
  <conditionalFormatting sqref="BJ14:BK15">
    <cfRule type="expression" dxfId="166" priority="1331">
      <formula>BJ14&lt;BL14-#REF!</formula>
    </cfRule>
  </conditionalFormatting>
  <conditionalFormatting sqref="BJ31:BK32">
    <cfRule type="expression" dxfId="165" priority="1267">
      <formula>BJ31&lt;BL31-#REF!</formula>
    </cfRule>
  </conditionalFormatting>
  <conditionalFormatting sqref="BJ48:BK49">
    <cfRule type="expression" dxfId="164" priority="1211">
      <formula>BJ48&lt;BL48-#REF!</formula>
    </cfRule>
  </conditionalFormatting>
  <conditionalFormatting sqref="BJ65:BK66">
    <cfRule type="expression" dxfId="163" priority="1155">
      <formula>BJ65&lt;BL65-#REF!</formula>
    </cfRule>
  </conditionalFormatting>
  <conditionalFormatting sqref="BJ82:BK83">
    <cfRule type="expression" dxfId="162" priority="1099">
      <formula>BJ82&lt;BL82-#REF!</formula>
    </cfRule>
  </conditionalFormatting>
  <conditionalFormatting sqref="BJ99:BK100">
    <cfRule type="expression" dxfId="161" priority="1059">
      <formula>BJ99&lt;BL99-#REF!</formula>
    </cfRule>
  </conditionalFormatting>
  <conditionalFormatting sqref="BJ116:BK117">
    <cfRule type="expression" dxfId="160" priority="987">
      <formula>BJ116&lt;BL116-#REF!</formula>
    </cfRule>
  </conditionalFormatting>
  <conditionalFormatting sqref="BJ133:BK134">
    <cfRule type="expression" dxfId="159" priority="931">
      <formula>BJ133&lt;BL133-#REF!</formula>
    </cfRule>
  </conditionalFormatting>
  <conditionalFormatting sqref="BJ150:BK151">
    <cfRule type="expression" dxfId="158" priority="887">
      <formula>BJ150&lt;BL150-#REF!</formula>
    </cfRule>
  </conditionalFormatting>
  <conditionalFormatting sqref="BJ167:BK168">
    <cfRule type="expression" dxfId="157" priority="819">
      <formula>BJ167&lt;BL167-#REF!</formula>
    </cfRule>
  </conditionalFormatting>
  <conditionalFormatting sqref="BJ184:BK185">
    <cfRule type="expression" dxfId="156" priority="763">
      <formula>BJ184&lt;BL184-#REF!</formula>
    </cfRule>
  </conditionalFormatting>
  <conditionalFormatting sqref="BJ201:BK202">
    <cfRule type="expression" dxfId="155" priority="3855">
      <formula>BJ201&lt;BL201-#REF!</formula>
    </cfRule>
  </conditionalFormatting>
  <conditionalFormatting sqref="BJ218:BK219">
    <cfRule type="expression" dxfId="154" priority="707">
      <formula>BJ218&lt;BL218-#REF!</formula>
    </cfRule>
  </conditionalFormatting>
  <conditionalFormatting sqref="BJ235:BK236">
    <cfRule type="expression" dxfId="153" priority="651">
      <formula>BJ235&lt;BL235-#REF!</formula>
    </cfRule>
  </conditionalFormatting>
  <conditionalFormatting sqref="BJ286:BK287">
    <cfRule type="expression" dxfId="152" priority="3575">
      <formula>BJ286&lt;BL286-#REF!</formula>
    </cfRule>
  </conditionalFormatting>
  <conditionalFormatting sqref="BJ320:BK321">
    <cfRule type="expression" dxfId="151" priority="427">
      <formula>BJ320&lt;BL320-#REF!</formula>
    </cfRule>
  </conditionalFormatting>
  <conditionalFormatting sqref="BJ337:BK338">
    <cfRule type="expression" dxfId="150" priority="315">
      <formula>BJ337&lt;BL337-#REF!</formula>
    </cfRule>
  </conditionalFormatting>
  <conditionalFormatting sqref="BK18:BK19">
    <cfRule type="expression" dxfId="149" priority="1330">
      <formula>BK18&lt;BM18-#REF!</formula>
    </cfRule>
  </conditionalFormatting>
  <conditionalFormatting sqref="BK35:BK36">
    <cfRule type="expression" dxfId="148" priority="1266">
      <formula>BK35&lt;BM35-#REF!</formula>
    </cfRule>
  </conditionalFormatting>
  <conditionalFormatting sqref="BK52:BK53">
    <cfRule type="expression" dxfId="147" priority="1210">
      <formula>BK52&lt;BM52-#REF!</formula>
    </cfRule>
  </conditionalFormatting>
  <conditionalFormatting sqref="BK69:BK70">
    <cfRule type="expression" dxfId="146" priority="1154">
      <formula>BK69&lt;BM69-#REF!</formula>
    </cfRule>
  </conditionalFormatting>
  <conditionalFormatting sqref="BK86:BK87">
    <cfRule type="expression" dxfId="145" priority="1098">
      <formula>BK86&lt;BM86-#REF!</formula>
    </cfRule>
  </conditionalFormatting>
  <conditionalFormatting sqref="BK103:BK104">
    <cfRule type="expression" dxfId="144" priority="1058">
      <formula>BK103&lt;BM103-#REF!</formula>
    </cfRule>
  </conditionalFormatting>
  <conditionalFormatting sqref="BK120:BK121">
    <cfRule type="expression" dxfId="143" priority="986">
      <formula>BK120&lt;BM120-#REF!</formula>
    </cfRule>
  </conditionalFormatting>
  <conditionalFormatting sqref="BK137:BK138">
    <cfRule type="expression" dxfId="142" priority="930">
      <formula>BK137&lt;BM137-#REF!</formula>
    </cfRule>
  </conditionalFormatting>
  <conditionalFormatting sqref="BK154:BK155">
    <cfRule type="expression" dxfId="141" priority="886">
      <formula>BK154&lt;BM154-#REF!</formula>
    </cfRule>
  </conditionalFormatting>
  <conditionalFormatting sqref="BK171:BK172">
    <cfRule type="expression" dxfId="140" priority="818">
      <formula>BK171&lt;BM171-#REF!</formula>
    </cfRule>
  </conditionalFormatting>
  <conditionalFormatting sqref="BK188:BK189">
    <cfRule type="expression" dxfId="139" priority="762">
      <formula>BK188&lt;BM188-#REF!</formula>
    </cfRule>
  </conditionalFormatting>
  <conditionalFormatting sqref="BK205:BK206">
    <cfRule type="expression" dxfId="138" priority="3854">
      <formula>BK205&lt;BM205-#REF!</formula>
    </cfRule>
  </conditionalFormatting>
  <conditionalFormatting sqref="BK222:BK223">
    <cfRule type="expression" dxfId="137" priority="706">
      <formula>BK222&lt;BM222-#REF!</formula>
    </cfRule>
  </conditionalFormatting>
  <conditionalFormatting sqref="BK239:BK240">
    <cfRule type="expression" dxfId="136" priority="650">
      <formula>BK239&lt;BM239-#REF!</formula>
    </cfRule>
  </conditionalFormatting>
  <conditionalFormatting sqref="BK290:BK291">
    <cfRule type="expression" dxfId="135" priority="3574">
      <formula>BK290&lt;BM290-#REF!</formula>
    </cfRule>
  </conditionalFormatting>
  <conditionalFormatting sqref="BK324:BK325">
    <cfRule type="expression" dxfId="134" priority="426">
      <formula>BK324&lt;BM324-#REF!</formula>
    </cfRule>
  </conditionalFormatting>
  <conditionalFormatting sqref="BK341:BK342">
    <cfRule type="expression" dxfId="133" priority="314">
      <formula>BK341&lt;BM341-#REF!</formula>
    </cfRule>
  </conditionalFormatting>
  <conditionalFormatting sqref="BM239:BM243">
    <cfRule type="expression" dxfId="132" priority="197">
      <formula>BM239&gt;BO239+#REF!</formula>
    </cfRule>
  </conditionalFormatting>
  <conditionalFormatting sqref="BM8:BO9">
    <cfRule type="expression" dxfId="131" priority="247">
      <formula>BM8&lt;BO8*#REF!</formula>
    </cfRule>
    <cfRule type="expression" dxfId="130" priority="248">
      <formula>BM8&gt;BO8*#REF!</formula>
    </cfRule>
  </conditionalFormatting>
  <conditionalFormatting sqref="BM10:BO12">
    <cfRule type="expression" dxfId="129" priority="249">
      <formula>BM10&lt;BO10-#REF!</formula>
    </cfRule>
  </conditionalFormatting>
  <conditionalFormatting sqref="BM10:BO22">
    <cfRule type="expression" dxfId="128" priority="244">
      <formula>BM10&gt;BO10+#REF!</formula>
    </cfRule>
  </conditionalFormatting>
  <conditionalFormatting sqref="BM23:BO23">
    <cfRule type="expression" dxfId="127" priority="246">
      <formula>BM23&gt;BO23*#REF!</formula>
    </cfRule>
  </conditionalFormatting>
  <conditionalFormatting sqref="BM25:BO26">
    <cfRule type="expression" dxfId="126" priority="242">
      <formula>BM25&gt;BO25*#REF!</formula>
    </cfRule>
    <cfRule type="expression" dxfId="125" priority="241">
      <formula>BM25&lt;BO25*#REF!</formula>
    </cfRule>
  </conditionalFormatting>
  <conditionalFormatting sqref="BM27:BO29">
    <cfRule type="expression" dxfId="124" priority="243">
      <formula>BM27&lt;BO27-#REF!</formula>
    </cfRule>
  </conditionalFormatting>
  <conditionalFormatting sqref="BM27:BO39">
    <cfRule type="expression" dxfId="123" priority="238">
      <formula>BM27&gt;BO27+#REF!</formula>
    </cfRule>
  </conditionalFormatting>
  <conditionalFormatting sqref="BM40:BO40">
    <cfRule type="expression" dxfId="122" priority="240">
      <formula>BM40&gt;BO40*#REF!</formula>
    </cfRule>
  </conditionalFormatting>
  <conditionalFormatting sqref="BM42:BO43">
    <cfRule type="expression" dxfId="121" priority="235">
      <formula>BM42&lt;BO42*#REF!</formula>
    </cfRule>
    <cfRule type="expression" dxfId="120" priority="236">
      <formula>BM42&gt;BO42*#REF!</formula>
    </cfRule>
  </conditionalFormatting>
  <conditionalFormatting sqref="BM44:BO46">
    <cfRule type="expression" dxfId="119" priority="237">
      <formula>BM44&lt;BO44-#REF!</formula>
    </cfRule>
  </conditionalFormatting>
  <conditionalFormatting sqref="BM44:BO56">
    <cfRule type="expression" dxfId="118" priority="232">
      <formula>BM44&gt;BO44+#REF!</formula>
    </cfRule>
  </conditionalFormatting>
  <conditionalFormatting sqref="BM57:BO57">
    <cfRule type="expression" dxfId="117" priority="234">
      <formula>BM57&gt;BO57*#REF!</formula>
    </cfRule>
  </conditionalFormatting>
  <conditionalFormatting sqref="BM59:BO60">
    <cfRule type="expression" dxfId="116" priority="130">
      <formula>BM59&gt;BO59*#REF!</formula>
    </cfRule>
    <cfRule type="expression" dxfId="115" priority="129">
      <formula>BM59&lt;BO59*#REF!</formula>
    </cfRule>
  </conditionalFormatting>
  <conditionalFormatting sqref="BM61:BO63">
    <cfRule type="expression" dxfId="114" priority="131">
      <formula>BM61&lt;BO61-#REF!</formula>
    </cfRule>
  </conditionalFormatting>
  <conditionalFormatting sqref="BM61:BO73">
    <cfRule type="expression" dxfId="113" priority="124">
      <formula>BM61&gt;BO61+#REF!</formula>
    </cfRule>
  </conditionalFormatting>
  <conditionalFormatting sqref="BM74:BO74">
    <cfRule type="expression" dxfId="112" priority="128">
      <formula>BM74&gt;BO74*#REF!</formula>
    </cfRule>
  </conditionalFormatting>
  <conditionalFormatting sqref="BM76:BO77">
    <cfRule type="expression" dxfId="111" priority="229">
      <formula>BM76&lt;BO76*#REF!</formula>
    </cfRule>
    <cfRule type="expression" dxfId="110" priority="230">
      <formula>BM76&gt;BO76*#REF!</formula>
    </cfRule>
  </conditionalFormatting>
  <conditionalFormatting sqref="BM78:BO80">
    <cfRule type="expression" dxfId="109" priority="231">
      <formula>BM78&lt;BO78-#REF!</formula>
    </cfRule>
  </conditionalFormatting>
  <conditionalFormatting sqref="BM78:BO90">
    <cfRule type="expression" dxfId="108" priority="226">
      <formula>BM78&gt;BO78+#REF!</formula>
    </cfRule>
  </conditionalFormatting>
  <conditionalFormatting sqref="BM91:BO91">
    <cfRule type="expression" dxfId="107" priority="228">
      <formula>BM91&gt;BO91*#REF!</formula>
    </cfRule>
  </conditionalFormatting>
  <conditionalFormatting sqref="BM93:BO94">
    <cfRule type="expression" dxfId="106" priority="223">
      <formula>BM93&lt;BO93*#REF!</formula>
    </cfRule>
    <cfRule type="expression" dxfId="105" priority="224">
      <formula>BM93&gt;BO93*#REF!</formula>
    </cfRule>
  </conditionalFormatting>
  <conditionalFormatting sqref="BM95:BO97">
    <cfRule type="expression" dxfId="104" priority="225">
      <formula>BM95&lt;BO95-#REF!</formula>
    </cfRule>
  </conditionalFormatting>
  <conditionalFormatting sqref="BM95:BO107">
    <cfRule type="expression" dxfId="103" priority="220">
      <formula>BM95&gt;BO95+#REF!</formula>
    </cfRule>
  </conditionalFormatting>
  <conditionalFormatting sqref="BM108:BO108">
    <cfRule type="expression" dxfId="102" priority="222">
      <formula>BM108&gt;BO108*#REF!</formula>
    </cfRule>
  </conditionalFormatting>
  <conditionalFormatting sqref="BM110:BO111">
    <cfRule type="expression" dxfId="101" priority="122">
      <formula>BM110&gt;BO110*#REF!</formula>
    </cfRule>
    <cfRule type="expression" dxfId="100" priority="121">
      <formula>BM110&lt;BO110*#REF!</formula>
    </cfRule>
  </conditionalFormatting>
  <conditionalFormatting sqref="BM112:BO114">
    <cfRule type="expression" dxfId="99" priority="123">
      <formula>BM112&lt;BO112-#REF!</formula>
    </cfRule>
  </conditionalFormatting>
  <conditionalFormatting sqref="BM112:BO124">
    <cfRule type="expression" dxfId="98" priority="116">
      <formula>BM112&gt;BO112+#REF!</formula>
    </cfRule>
  </conditionalFormatting>
  <conditionalFormatting sqref="BM125:BO125">
    <cfRule type="expression" dxfId="97" priority="120">
      <formula>BM125&gt;BO125*#REF!</formula>
    </cfRule>
  </conditionalFormatting>
  <conditionalFormatting sqref="BM127:BO128">
    <cfRule type="expression" dxfId="96" priority="163">
      <formula>BM127&gt;BO127*#REF!</formula>
    </cfRule>
    <cfRule type="expression" dxfId="95" priority="162">
      <formula>BM127&lt;BO127*#REF!</formula>
    </cfRule>
  </conditionalFormatting>
  <conditionalFormatting sqref="BM129:BO131">
    <cfRule type="expression" dxfId="94" priority="164">
      <formula>BM129&lt;BO129-#REF!</formula>
    </cfRule>
  </conditionalFormatting>
  <conditionalFormatting sqref="BM129:BO141">
    <cfRule type="expression" dxfId="93" priority="159">
      <formula>BM129&gt;BO129+#REF!</formula>
    </cfRule>
  </conditionalFormatting>
  <conditionalFormatting sqref="BM142:BO142">
    <cfRule type="expression" dxfId="92" priority="161">
      <formula>BM142&gt;BO142*#REF!</formula>
    </cfRule>
  </conditionalFormatting>
  <conditionalFormatting sqref="BM144:BO145">
    <cfRule type="expression" dxfId="91" priority="156">
      <formula>BM144&gt;BO144*#REF!</formula>
    </cfRule>
    <cfRule type="expression" dxfId="90" priority="155">
      <formula>BM144&lt;BO144*#REF!</formula>
    </cfRule>
  </conditionalFormatting>
  <conditionalFormatting sqref="BM146:BO148">
    <cfRule type="expression" dxfId="89" priority="157">
      <formula>BM146&lt;BO146-#REF!</formula>
    </cfRule>
  </conditionalFormatting>
  <conditionalFormatting sqref="BM146:BO158">
    <cfRule type="expression" dxfId="88" priority="152">
      <formula>BM146&gt;BO146+#REF!</formula>
    </cfRule>
  </conditionalFormatting>
  <conditionalFormatting sqref="BM159:BO159">
    <cfRule type="expression" dxfId="87" priority="154">
      <formula>BM159&gt;BO159*#REF!</formula>
    </cfRule>
  </conditionalFormatting>
  <conditionalFormatting sqref="BM161:BO162">
    <cfRule type="expression" dxfId="86" priority="113">
      <formula>BM161&lt;BO161*#REF!</formula>
    </cfRule>
    <cfRule type="expression" dxfId="85" priority="114">
      <formula>BM161&gt;BO161*#REF!</formula>
    </cfRule>
  </conditionalFormatting>
  <conditionalFormatting sqref="BM163:BO165">
    <cfRule type="expression" dxfId="84" priority="115">
      <formula>BM163&lt;BO163-#REF!</formula>
    </cfRule>
  </conditionalFormatting>
  <conditionalFormatting sqref="BM163:BO175">
    <cfRule type="expression" dxfId="83" priority="108">
      <formula>BM163&gt;BO163+#REF!</formula>
    </cfRule>
  </conditionalFormatting>
  <conditionalFormatting sqref="BM176:BO176">
    <cfRule type="expression" dxfId="82" priority="112">
      <formula>BM176&gt;BO176*#REF!</formula>
    </cfRule>
  </conditionalFormatting>
  <conditionalFormatting sqref="BM178:BO179">
    <cfRule type="expression" dxfId="81" priority="218">
      <formula>BM178&gt;BO178*#REF!</formula>
    </cfRule>
    <cfRule type="expression" dxfId="80" priority="217">
      <formula>BM178&lt;BO178*#REF!</formula>
    </cfRule>
  </conditionalFormatting>
  <conditionalFormatting sqref="BM180:BO182">
    <cfRule type="expression" dxfId="79" priority="219">
      <formula>BM180&lt;BO180-#REF!</formula>
    </cfRule>
  </conditionalFormatting>
  <conditionalFormatting sqref="BM180:BO192">
    <cfRule type="expression" dxfId="78" priority="214">
      <formula>BM180&gt;BO180+#REF!</formula>
    </cfRule>
  </conditionalFormatting>
  <conditionalFormatting sqref="BM193:BO193">
    <cfRule type="expression" dxfId="77" priority="216">
      <formula>BM193&gt;BO193*#REF!</formula>
    </cfRule>
  </conditionalFormatting>
  <conditionalFormatting sqref="BM195:BO196">
    <cfRule type="expression" dxfId="76" priority="212">
      <formula>BM195&gt;BO195*#REF!</formula>
    </cfRule>
    <cfRule type="expression" dxfId="75" priority="211">
      <formula>BM195&lt;BO195*#REF!</formula>
    </cfRule>
  </conditionalFormatting>
  <conditionalFormatting sqref="BM197:BO199">
    <cfRule type="expression" dxfId="74" priority="213">
      <formula>BM197&lt;BO197-#REF!</formula>
    </cfRule>
  </conditionalFormatting>
  <conditionalFormatting sqref="BM197:BO209">
    <cfRule type="expression" dxfId="73" priority="208">
      <formula>BM197&gt;BO197+#REF!</formula>
    </cfRule>
  </conditionalFormatting>
  <conditionalFormatting sqref="BM210:BO210">
    <cfRule type="expression" dxfId="72" priority="210">
      <formula>BM210&gt;BO210*#REF!</formula>
    </cfRule>
  </conditionalFormatting>
  <conditionalFormatting sqref="BM212:BO213">
    <cfRule type="expression" dxfId="71" priority="206">
      <formula>BM212&gt;BO212*#REF!</formula>
    </cfRule>
    <cfRule type="expression" dxfId="70" priority="205">
      <formula>BM212&lt;BO212*#REF!</formula>
    </cfRule>
  </conditionalFormatting>
  <conditionalFormatting sqref="BM214:BO216">
    <cfRule type="expression" dxfId="69" priority="207">
      <formula>BM214&lt;BO214-#REF!</formula>
    </cfRule>
  </conditionalFormatting>
  <conditionalFormatting sqref="BM214:BO226">
    <cfRule type="expression" dxfId="68" priority="202">
      <formula>BM214&gt;BO214+#REF!</formula>
    </cfRule>
  </conditionalFormatting>
  <conditionalFormatting sqref="BM227:BO227">
    <cfRule type="expression" dxfId="67" priority="204">
      <formula>BM227&gt;BO227*#REF!</formula>
    </cfRule>
  </conditionalFormatting>
  <conditionalFormatting sqref="BM229:BO230">
    <cfRule type="expression" dxfId="66" priority="199">
      <formula>BM229&lt;BO229*#REF!</formula>
    </cfRule>
    <cfRule type="expression" dxfId="65" priority="200">
      <formula>BM229&gt;BO229*#REF!</formula>
    </cfRule>
  </conditionalFormatting>
  <conditionalFormatting sqref="BM231:BO233">
    <cfRule type="expression" dxfId="64" priority="201">
      <formula>BM231&lt;BO231-#REF!</formula>
    </cfRule>
  </conditionalFormatting>
  <conditionalFormatting sqref="BM231:BO238">
    <cfRule type="expression" dxfId="63" priority="195">
      <formula>BM231&gt;BO231+#REF!</formula>
    </cfRule>
  </conditionalFormatting>
  <conditionalFormatting sqref="BM244:BO244">
    <cfRule type="expression" dxfId="62" priority="198">
      <formula>BM244&gt;BO244*#REF!</formula>
    </cfRule>
  </conditionalFormatting>
  <conditionalFormatting sqref="BM246:BO261">
    <cfRule type="expression" dxfId="61" priority="190">
      <formula>BM246&lt;BO246*#REF!</formula>
    </cfRule>
    <cfRule type="expression" dxfId="60" priority="191">
      <formula>BM246&gt;BO246*#REF!</formula>
    </cfRule>
  </conditionalFormatting>
  <conditionalFormatting sqref="BM263:BO264 BM278 BM266:BO267 BM269:BO270 BM272:BO273 BM275:BO276 BO278">
    <cfRule type="expression" dxfId="59" priority="42">
      <formula>BM263&gt;BO263*#REF!</formula>
    </cfRule>
    <cfRule type="expression" dxfId="58" priority="41">
      <formula>BM263&lt;BO263*#REF!</formula>
    </cfRule>
  </conditionalFormatting>
  <conditionalFormatting sqref="BM265:BO265 BM268:BO268 BM271:BO271 BM274:BO274 BM277:BO277">
    <cfRule type="expression" dxfId="57" priority="43">
      <formula>BM265&lt;BO265-#REF!</formula>
    </cfRule>
    <cfRule type="expression" dxfId="56" priority="39">
      <formula>BM265&gt;BO265+#REF!</formula>
    </cfRule>
  </conditionalFormatting>
  <conditionalFormatting sqref="BM280:BO295">
    <cfRule type="expression" dxfId="55" priority="38">
      <formula>BM280&gt;BO280*#REF!</formula>
    </cfRule>
  </conditionalFormatting>
  <conditionalFormatting sqref="BM297:BO298">
    <cfRule type="expression" dxfId="54" priority="183">
      <formula>BM297&lt;BO297*#REF!</formula>
    </cfRule>
    <cfRule type="expression" dxfId="53" priority="184">
      <formula>BM297&gt;BO297*#REF!</formula>
    </cfRule>
  </conditionalFormatting>
  <conditionalFormatting sqref="BM299:BO301">
    <cfRule type="expression" dxfId="52" priority="185">
      <formula>BM299&lt;BO299-#REF!</formula>
    </cfRule>
  </conditionalFormatting>
  <conditionalFormatting sqref="BM299:BO311">
    <cfRule type="expression" dxfId="51" priority="180">
      <formula>BM299&gt;BO299+#REF!</formula>
    </cfRule>
  </conditionalFormatting>
  <conditionalFormatting sqref="BM312:BO312">
    <cfRule type="expression" dxfId="50" priority="182">
      <formula>BM312&gt;BO312*#REF!</formula>
    </cfRule>
  </conditionalFormatting>
  <conditionalFormatting sqref="BM314:BO315">
    <cfRule type="expression" dxfId="49" priority="177">
      <formula>BM314&gt;BO314*#REF!</formula>
    </cfRule>
    <cfRule type="expression" dxfId="48" priority="176">
      <formula>BM314&lt;BO314*#REF!</formula>
    </cfRule>
  </conditionalFormatting>
  <conditionalFormatting sqref="BM316:BO318">
    <cfRule type="expression" dxfId="47" priority="178">
      <formula>BM316&lt;BO316-#REF!</formula>
    </cfRule>
  </conditionalFormatting>
  <conditionalFormatting sqref="BM316:BO328">
    <cfRule type="expression" dxfId="46" priority="173">
      <formula>BM316&gt;BO316+#REF!</formula>
    </cfRule>
  </conditionalFormatting>
  <conditionalFormatting sqref="BM329:BO329">
    <cfRule type="expression" dxfId="45" priority="175">
      <formula>BM329&gt;BO329*#REF!</formula>
    </cfRule>
  </conditionalFormatting>
  <conditionalFormatting sqref="BM331:BO332">
    <cfRule type="expression" dxfId="44" priority="169">
      <formula>BM331&lt;BO331*#REF!</formula>
    </cfRule>
    <cfRule type="expression" dxfId="43" priority="170">
      <formula>BM331&gt;BO331*#REF!</formula>
    </cfRule>
  </conditionalFormatting>
  <conditionalFormatting sqref="BM333:BO335">
    <cfRule type="expression" dxfId="42" priority="171">
      <formula>BM333&lt;BO333-#REF!</formula>
    </cfRule>
  </conditionalFormatting>
  <conditionalFormatting sqref="BM333:BO345">
    <cfRule type="expression" dxfId="41" priority="166">
      <formula>BM333&gt;BO333+#REF!</formula>
    </cfRule>
  </conditionalFormatting>
  <conditionalFormatting sqref="BM346:BO346">
    <cfRule type="expression" dxfId="40" priority="168">
      <formula>BM346&gt;BO346*#REF!</formula>
    </cfRule>
  </conditionalFormatting>
  <conditionalFormatting sqref="BM348:BO349 BM363 BM351:BO352 BM354:BO355 BM357:BO358 BM360:BO361 BO363">
    <cfRule type="expression" dxfId="39" priority="3">
      <formula>BM348&lt;BO348*#REF!</formula>
    </cfRule>
    <cfRule type="expression" dxfId="38" priority="4">
      <formula>BM348&gt;BO348*#REF!</formula>
    </cfRule>
  </conditionalFormatting>
  <conditionalFormatting sqref="BM350:BO350 BM353:BO353 BM356:BO356 BM359:BO359 BM362:BO362">
    <cfRule type="expression" dxfId="37" priority="1">
      <formula>BM350&gt;BO350+#REF!</formula>
    </cfRule>
    <cfRule type="expression" dxfId="36" priority="5">
      <formula>BM350&lt;BO350-#REF!</formula>
    </cfRule>
  </conditionalFormatting>
  <conditionalFormatting sqref="BN69:BN73">
    <cfRule type="expression" dxfId="35" priority="127">
      <formula>BN69&lt;BP69-#REF!</formula>
    </cfRule>
  </conditionalFormatting>
  <conditionalFormatting sqref="BN120:BN124">
    <cfRule type="expression" dxfId="34" priority="119">
      <formula>BN120&lt;BP120-#REF!</formula>
    </cfRule>
  </conditionalFormatting>
  <conditionalFormatting sqref="BN171:BN175">
    <cfRule type="expression" dxfId="33" priority="111">
      <formula>BN171&lt;BP171-#REF!</formula>
    </cfRule>
  </conditionalFormatting>
  <conditionalFormatting sqref="BN278">
    <cfRule type="expression" dxfId="32" priority="40">
      <formula>BN278&gt;BP278*#REF!</formula>
    </cfRule>
  </conditionalFormatting>
  <conditionalFormatting sqref="BN363">
    <cfRule type="expression" dxfId="31" priority="2">
      <formula>BN363&gt;BP363*#REF!</formula>
    </cfRule>
  </conditionalFormatting>
  <conditionalFormatting sqref="BN14:BO15">
    <cfRule type="expression" dxfId="30" priority="245">
      <formula>BN14&lt;BP14-#REF!</formula>
    </cfRule>
  </conditionalFormatting>
  <conditionalFormatting sqref="BN18:BO22">
    <cfRule type="expression" dxfId="29" priority="250">
      <formula>BN18&lt;BP18-#REF!</formula>
    </cfRule>
  </conditionalFormatting>
  <conditionalFormatting sqref="BN31:BO32">
    <cfRule type="expression" dxfId="28" priority="239">
      <formula>BN31&lt;BP31-#REF!</formula>
    </cfRule>
  </conditionalFormatting>
  <conditionalFormatting sqref="BN48:BO49">
    <cfRule type="expression" dxfId="27" priority="233">
      <formula>BN48&lt;BP48-#REF!</formula>
    </cfRule>
  </conditionalFormatting>
  <conditionalFormatting sqref="BN52:BO56">
    <cfRule type="expression" dxfId="26" priority="251">
      <formula>BN52&lt;BP52-#REF!</formula>
    </cfRule>
  </conditionalFormatting>
  <conditionalFormatting sqref="BN65:BO66">
    <cfRule type="expression" dxfId="25" priority="126">
      <formula>BN65&lt;BP65-#REF!</formula>
    </cfRule>
  </conditionalFormatting>
  <conditionalFormatting sqref="BN82:BO83">
    <cfRule type="expression" dxfId="24" priority="227">
      <formula>BN82&lt;BP82-#REF!</formula>
    </cfRule>
  </conditionalFormatting>
  <conditionalFormatting sqref="BN86:BO90">
    <cfRule type="expression" dxfId="23" priority="252">
      <formula>BN86&lt;BP86-#REF!</formula>
    </cfRule>
  </conditionalFormatting>
  <conditionalFormatting sqref="BN99:BO100">
    <cfRule type="expression" dxfId="22" priority="221">
      <formula>BN99&lt;BP99-#REF!</formula>
    </cfRule>
  </conditionalFormatting>
  <conditionalFormatting sqref="BN116:BO117">
    <cfRule type="expression" dxfId="21" priority="118">
      <formula>BN116&lt;BP116-#REF!</formula>
    </cfRule>
  </conditionalFormatting>
  <conditionalFormatting sqref="BN133:BO134">
    <cfRule type="expression" dxfId="20" priority="160">
      <formula>BN133&lt;BP133-#REF!</formula>
    </cfRule>
  </conditionalFormatting>
  <conditionalFormatting sqref="BN137:BO141">
    <cfRule type="expression" dxfId="19" priority="165">
      <formula>BN137&lt;BP137-#REF!</formula>
    </cfRule>
  </conditionalFormatting>
  <conditionalFormatting sqref="BN150:BO151">
    <cfRule type="expression" dxfId="18" priority="153">
      <formula>BN150&lt;BP150-#REF!</formula>
    </cfRule>
  </conditionalFormatting>
  <conditionalFormatting sqref="BN154:BO158">
    <cfRule type="expression" dxfId="17" priority="158">
      <formula>BN154&lt;BP154-#REF!</formula>
    </cfRule>
  </conditionalFormatting>
  <conditionalFormatting sqref="BN167:BO168">
    <cfRule type="expression" dxfId="16" priority="110">
      <formula>BN167&lt;BP167-#REF!</formula>
    </cfRule>
  </conditionalFormatting>
  <conditionalFormatting sqref="BN184:BO185">
    <cfRule type="expression" dxfId="15" priority="215">
      <formula>BN184&lt;BP184-#REF!</formula>
    </cfRule>
  </conditionalFormatting>
  <conditionalFormatting sqref="BN188:BO192">
    <cfRule type="expression" dxfId="14" priority="253">
      <formula>BN188&lt;BP188-#REF!</formula>
    </cfRule>
  </conditionalFormatting>
  <conditionalFormatting sqref="BN201:BO202">
    <cfRule type="expression" dxfId="13" priority="209">
      <formula>BN201&lt;BP201-#REF!</formula>
    </cfRule>
  </conditionalFormatting>
  <conditionalFormatting sqref="BN218:BO219">
    <cfRule type="expression" dxfId="12" priority="203">
      <formula>BN218&lt;BP218-#REF!</formula>
    </cfRule>
  </conditionalFormatting>
  <conditionalFormatting sqref="BN222:BO226">
    <cfRule type="expression" dxfId="11" priority="254">
      <formula>BN222&lt;BP222-#REF!</formula>
    </cfRule>
  </conditionalFormatting>
  <conditionalFormatting sqref="BN235:BO236">
    <cfRule type="expression" dxfId="10" priority="196">
      <formula>BN235&lt;BP235-#REF!</formula>
    </cfRule>
  </conditionalFormatting>
  <conditionalFormatting sqref="BN239:BO243">
    <cfRule type="expression" dxfId="9" priority="194">
      <formula>BN239&lt;BP239-#REF!</formula>
    </cfRule>
  </conditionalFormatting>
  <conditionalFormatting sqref="BN303:BO304">
    <cfRule type="expression" dxfId="8" priority="181">
      <formula>BN303&lt;BP303-#REF!</formula>
    </cfRule>
  </conditionalFormatting>
  <conditionalFormatting sqref="BN307:BO311">
    <cfRule type="expression" dxfId="7" priority="186">
      <formula>BN307&lt;BP307-#REF!</formula>
    </cfRule>
  </conditionalFormatting>
  <conditionalFormatting sqref="BN320:BO321">
    <cfRule type="expression" dxfId="6" priority="174">
      <formula>BN320&lt;BP320-#REF!</formula>
    </cfRule>
  </conditionalFormatting>
  <conditionalFormatting sqref="BN324:BO328">
    <cfRule type="expression" dxfId="5" priority="179">
      <formula>BN324&lt;BP324-#REF!</formula>
    </cfRule>
  </conditionalFormatting>
  <conditionalFormatting sqref="BN337:BO338">
    <cfRule type="expression" dxfId="4" priority="167">
      <formula>BN337&lt;BP337-#REF!</formula>
    </cfRule>
  </conditionalFormatting>
  <conditionalFormatting sqref="BN341:BO345">
    <cfRule type="expression" dxfId="3" priority="172">
      <formula>BN341&lt;BP341-#REF!</formula>
    </cfRule>
  </conditionalFormatting>
  <conditionalFormatting sqref="BO69:BO70">
    <cfRule type="expression" dxfId="2" priority="125">
      <formula>BO69&lt;BQ69-#REF!</formula>
    </cfRule>
  </conditionalFormatting>
  <conditionalFormatting sqref="BO120:BO121">
    <cfRule type="expression" dxfId="1" priority="117">
      <formula>BO120&lt;BQ120-#REF!</formula>
    </cfRule>
  </conditionalFormatting>
  <conditionalFormatting sqref="BO171:BO172">
    <cfRule type="expression" dxfId="0" priority="109">
      <formula>BO171&lt;BQ171-#REF!</formula>
    </cfRule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E0C2-E184-4567-97AD-EF733F1C9951}">
  <sheetPr codeName="Sheet2"/>
  <dimension ref="A1:BF410"/>
  <sheetViews>
    <sheetView tabSelected="1" zoomScale="31" zoomScaleNormal="31" workbookViewId="0">
      <pane xSplit="4" ySplit="6" topLeftCell="E11" activePane="bottomRight" state="frozen"/>
      <selection pane="topRight" activeCell="E1" sqref="E1"/>
      <selection pane="bottomLeft" activeCell="A7" sqref="A7"/>
      <selection pane="bottomRight" activeCell="AD71" sqref="AD71"/>
    </sheetView>
  </sheetViews>
  <sheetFormatPr defaultColWidth="9.26953125" defaultRowHeight="12.5" outlineLevelRow="1" x14ac:dyDescent="0.25"/>
  <cols>
    <col min="1" max="1" width="20.54296875" bestFit="1" customWidth="1"/>
    <col min="2" max="2" width="1" customWidth="1"/>
    <col min="3" max="3" width="34" bestFit="1" customWidth="1"/>
    <col min="4" max="4" width="1.54296875" customWidth="1"/>
    <col min="5" max="5" width="15.54296875" customWidth="1"/>
    <col min="6" max="7" width="11" customWidth="1"/>
    <col min="8" max="8" width="1" customWidth="1"/>
    <col min="9" max="9" width="11" customWidth="1"/>
    <col min="10" max="10" width="11.54296875" customWidth="1"/>
    <col min="11" max="11" width="11" customWidth="1"/>
    <col min="12" max="12" width="0.7265625" customWidth="1"/>
    <col min="13" max="15" width="11" customWidth="1"/>
    <col min="16" max="16" width="0.54296875" customWidth="1"/>
    <col min="17" max="17" width="11" customWidth="1"/>
    <col min="18" max="18" width="12.54296875" customWidth="1"/>
    <col min="19" max="19" width="11" customWidth="1"/>
    <col min="20" max="20" width="0.7265625" customWidth="1"/>
    <col min="21" max="21" width="13.54296875" customWidth="1"/>
    <col min="22" max="22" width="13.26953125" customWidth="1"/>
    <col min="23" max="23" width="11.54296875" customWidth="1"/>
    <col min="24" max="24" width="0.7265625" customWidth="1"/>
    <col min="25" max="25" width="15.54296875" customWidth="1"/>
    <col min="26" max="26" width="17" customWidth="1"/>
    <col min="27" max="27" width="11" customWidth="1"/>
    <col min="28" max="28" width="0.7265625" customWidth="1"/>
    <col min="29" max="30" width="14.7265625" bestFit="1" customWidth="1"/>
    <col min="31" max="31" width="11" customWidth="1"/>
    <col min="34" max="34" width="8.1796875" customWidth="1"/>
    <col min="41" max="41" width="10.26953125" bestFit="1" customWidth="1"/>
    <col min="42" max="42" width="19.54296875" bestFit="1" customWidth="1"/>
  </cols>
  <sheetData>
    <row r="1" spans="1:57" ht="25" x14ac:dyDescent="0.5">
      <c r="A1" s="222" t="e">
        <f>#REF!</f>
        <v>#REF!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Z1" s="193">
        <f>2/Z2</f>
        <v>5.9618209724571509E-3</v>
      </c>
    </row>
    <row r="2" spans="1:57" x14ac:dyDescent="0.25">
      <c r="E2" s="55"/>
      <c r="F2" s="55"/>
      <c r="G2" s="55"/>
      <c r="I2" s="55"/>
      <c r="J2" s="55"/>
      <c r="K2" s="55"/>
      <c r="M2" s="55"/>
      <c r="N2" s="55"/>
      <c r="O2" s="55"/>
      <c r="Y2">
        <f>SUM(I3:O3)</f>
        <v>13.553818040000023</v>
      </c>
      <c r="Z2" s="55">
        <f>(E9+Q9)</f>
        <v>335.46797350000003</v>
      </c>
    </row>
    <row r="3" spans="1:57" ht="13" thickBot="1" x14ac:dyDescent="0.3">
      <c r="E3">
        <f>E17*E9</f>
        <v>6.4620349000000115</v>
      </c>
      <c r="F3">
        <f>F17*F9</f>
        <v>-7.0917831400000111</v>
      </c>
      <c r="I3">
        <f>E3-F3</f>
        <v>13.553818040000023</v>
      </c>
      <c r="Z3">
        <f>Y2/Z2</f>
        <v>4.0402718323870108E-2</v>
      </c>
    </row>
    <row r="4" spans="1:57" ht="23" x14ac:dyDescent="0.25">
      <c r="A4" s="221" t="e">
        <f>#REF!</f>
        <v>#REF!</v>
      </c>
      <c r="B4" s="221"/>
      <c r="C4" s="221"/>
      <c r="D4" s="12"/>
      <c r="E4" s="205" t="s">
        <v>6</v>
      </c>
      <c r="F4" s="205"/>
      <c r="G4" s="205"/>
      <c r="H4" s="12"/>
      <c r="I4" s="205" t="s">
        <v>7</v>
      </c>
      <c r="J4" s="205"/>
      <c r="K4" s="205"/>
      <c r="L4" s="12"/>
      <c r="M4" s="205" t="s">
        <v>8</v>
      </c>
      <c r="N4" s="205"/>
      <c r="O4" s="205"/>
      <c r="P4" s="12"/>
      <c r="Q4" s="205" t="s">
        <v>9</v>
      </c>
      <c r="R4" s="205"/>
      <c r="S4" s="205"/>
      <c r="T4" s="12"/>
      <c r="U4" s="205" t="s">
        <v>10</v>
      </c>
      <c r="V4" s="205"/>
      <c r="W4" s="205"/>
      <c r="X4" s="12"/>
      <c r="Y4" s="205" t="s">
        <v>54</v>
      </c>
      <c r="Z4" s="205"/>
      <c r="AA4" s="205"/>
      <c r="AB4" s="12"/>
      <c r="AC4" s="205" t="s">
        <v>12</v>
      </c>
      <c r="AD4" s="205"/>
      <c r="AE4" s="205"/>
      <c r="AF4" s="12"/>
    </row>
    <row r="5" spans="1:57" ht="16.5" x14ac:dyDescent="0.25">
      <c r="A5" s="221"/>
      <c r="B5" s="221"/>
      <c r="C5" s="22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57" ht="33" x14ac:dyDescent="0.25">
      <c r="A6" s="221"/>
      <c r="B6" s="221"/>
      <c r="C6" s="221"/>
      <c r="D6" s="3"/>
      <c r="E6" s="5" t="s">
        <v>15</v>
      </c>
      <c r="F6" s="5" t="s">
        <v>16</v>
      </c>
      <c r="G6" s="5" t="s">
        <v>17</v>
      </c>
      <c r="H6" s="3"/>
      <c r="I6" s="5" t="s">
        <v>15</v>
      </c>
      <c r="J6" s="5" t="s">
        <v>16</v>
      </c>
      <c r="K6" s="5" t="s">
        <v>17</v>
      </c>
      <c r="L6" s="3"/>
      <c r="M6" s="5" t="s">
        <v>15</v>
      </c>
      <c r="N6" s="5" t="s">
        <v>16</v>
      </c>
      <c r="O6" s="5" t="s">
        <v>17</v>
      </c>
      <c r="P6" s="3"/>
      <c r="Q6" s="5" t="s">
        <v>15</v>
      </c>
      <c r="R6" s="5" t="s">
        <v>16</v>
      </c>
      <c r="S6" s="5" t="s">
        <v>17</v>
      </c>
      <c r="T6" s="3"/>
      <c r="U6" s="5" t="s">
        <v>15</v>
      </c>
      <c r="V6" s="5" t="s">
        <v>16</v>
      </c>
      <c r="W6" s="5" t="s">
        <v>17</v>
      </c>
      <c r="X6" s="3"/>
      <c r="Y6" s="5" t="s">
        <v>15</v>
      </c>
      <c r="Z6" s="5" t="s">
        <v>16</v>
      </c>
      <c r="AA6" s="5" t="s">
        <v>17</v>
      </c>
      <c r="AB6" s="3"/>
      <c r="AC6" s="5" t="s">
        <v>15</v>
      </c>
      <c r="AD6" s="5" t="s">
        <v>16</v>
      </c>
      <c r="AE6" s="5" t="s">
        <v>17</v>
      </c>
      <c r="AF6" s="194" t="s">
        <v>121</v>
      </c>
    </row>
    <row r="7" spans="1:57" ht="16.5" x14ac:dyDescent="0.25">
      <c r="A7" s="221"/>
      <c r="B7" s="221"/>
      <c r="C7" s="22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57" ht="16.5" x14ac:dyDescent="0.25">
      <c r="A8" s="202" t="s">
        <v>18</v>
      </c>
      <c r="B8" s="9"/>
      <c r="C8" s="37" t="s">
        <v>19</v>
      </c>
      <c r="D8" s="6"/>
      <c r="E8" s="98">
        <f>+[3]Retail!$C$29/1000</f>
        <v>14.942328710000002</v>
      </c>
      <c r="F8" s="98">
        <f>+[3]Retail!$C$29/1000</f>
        <v>14.942328710000002</v>
      </c>
      <c r="G8" s="98">
        <f>+[3]Retail!$C$29/1000</f>
        <v>14.942328710000002</v>
      </c>
      <c r="H8" s="6"/>
      <c r="I8" s="70">
        <v>3</v>
      </c>
      <c r="J8" s="70">
        <v>3</v>
      </c>
      <c r="K8" s="70">
        <v>3</v>
      </c>
      <c r="L8" s="6"/>
      <c r="M8" s="75" t="s">
        <v>125</v>
      </c>
      <c r="N8" s="75" t="s">
        <v>126</v>
      </c>
      <c r="O8" s="75" t="s">
        <v>127</v>
      </c>
      <c r="P8" s="6"/>
      <c r="Q8" s="75">
        <v>321</v>
      </c>
      <c r="R8" s="75">
        <v>321</v>
      </c>
      <c r="S8" s="75">
        <v>321</v>
      </c>
      <c r="T8" s="6"/>
      <c r="U8" s="75">
        <v>123</v>
      </c>
      <c r="V8" s="75">
        <v>123</v>
      </c>
      <c r="W8" s="75">
        <v>123</v>
      </c>
      <c r="X8" s="6"/>
      <c r="Y8" s="75" t="s">
        <v>128</v>
      </c>
      <c r="Z8" s="75" t="s">
        <v>128</v>
      </c>
      <c r="AA8" s="75" t="s">
        <v>128</v>
      </c>
      <c r="AB8" s="6"/>
      <c r="AC8" s="87">
        <v>987</v>
      </c>
      <c r="AD8" s="87">
        <v>987</v>
      </c>
      <c r="AE8" s="87">
        <v>987</v>
      </c>
      <c r="AG8" s="108"/>
      <c r="AK8" s="108"/>
      <c r="AO8" s="108"/>
      <c r="AS8" s="108"/>
      <c r="AW8" s="108"/>
      <c r="BA8" s="108"/>
      <c r="BE8" s="108"/>
    </row>
    <row r="9" spans="1:57" ht="16.5" x14ac:dyDescent="0.25">
      <c r="A9" s="202"/>
      <c r="B9" s="9"/>
      <c r="C9" s="37" t="s">
        <v>55</v>
      </c>
      <c r="D9" s="6"/>
      <c r="E9" s="75">
        <f>+[3]Retail!$N$29/1000</f>
        <v>14.467973500000003</v>
      </c>
      <c r="F9" s="40">
        <f>+[3]Retail!$N$30/1000</f>
        <v>14.792027710000003</v>
      </c>
      <c r="G9" s="40">
        <f>+[3]Retail!$N$31/1000</f>
        <v>13.88639682652431</v>
      </c>
      <c r="H9" s="6"/>
      <c r="I9" s="70">
        <v>3</v>
      </c>
      <c r="J9" s="70">
        <v>3</v>
      </c>
      <c r="K9" s="70">
        <v>3</v>
      </c>
      <c r="L9" s="6"/>
      <c r="M9" s="75" t="s">
        <v>125</v>
      </c>
      <c r="N9" s="75" t="s">
        <v>126</v>
      </c>
      <c r="O9" s="75" t="s">
        <v>127</v>
      </c>
      <c r="P9" s="6"/>
      <c r="Q9" s="75">
        <v>321</v>
      </c>
      <c r="R9" s="75">
        <v>321</v>
      </c>
      <c r="S9" s="75">
        <v>321</v>
      </c>
      <c r="T9" s="6"/>
      <c r="U9" s="75">
        <v>123</v>
      </c>
      <c r="V9" s="75">
        <v>123</v>
      </c>
      <c r="W9" s="75">
        <v>123</v>
      </c>
      <c r="X9" s="6"/>
      <c r="Y9" s="75" t="s">
        <v>129</v>
      </c>
      <c r="Z9" s="75" t="s">
        <v>129</v>
      </c>
      <c r="AA9" s="75" t="s">
        <v>129</v>
      </c>
      <c r="AB9" s="6"/>
      <c r="AC9" s="87">
        <v>987</v>
      </c>
      <c r="AD9" s="87">
        <v>987</v>
      </c>
      <c r="AE9" s="87">
        <v>987</v>
      </c>
      <c r="AG9" s="108"/>
      <c r="AK9" s="108"/>
      <c r="AO9" s="108"/>
      <c r="AS9" s="108"/>
      <c r="AW9" s="108"/>
      <c r="BA9" s="108"/>
      <c r="BE9" s="108"/>
    </row>
    <row r="10" spans="1:57" ht="16.5" x14ac:dyDescent="0.25">
      <c r="A10" s="202"/>
      <c r="B10" s="9"/>
      <c r="C10" s="37" t="s">
        <v>21</v>
      </c>
      <c r="D10" s="6"/>
      <c r="E10" s="71">
        <f>+E11+E16+E17+E18+E19</f>
        <v>0.74794454351191686</v>
      </c>
      <c r="F10" s="41">
        <f>+F11+F16+F17+F18+F19</f>
        <v>0.30951227061350534</v>
      </c>
      <c r="G10" s="41">
        <f>+G11+G16+G17+G18+G19</f>
        <v>0.80180809932452024</v>
      </c>
      <c r="H10" s="6"/>
      <c r="I10" s="70">
        <v>3</v>
      </c>
      <c r="J10" s="70">
        <v>3</v>
      </c>
      <c r="K10" s="70">
        <v>3</v>
      </c>
      <c r="L10" s="6"/>
      <c r="M10" s="75" t="s">
        <v>125</v>
      </c>
      <c r="N10" s="75" t="s">
        <v>126</v>
      </c>
      <c r="O10" s="75" t="s">
        <v>127</v>
      </c>
      <c r="P10" s="6"/>
      <c r="Q10" s="75">
        <v>321</v>
      </c>
      <c r="R10" s="75">
        <v>321</v>
      </c>
      <c r="S10" s="75">
        <v>321</v>
      </c>
      <c r="T10" s="6"/>
      <c r="U10" s="75">
        <v>123</v>
      </c>
      <c r="V10" s="75">
        <v>123</v>
      </c>
      <c r="W10" s="75">
        <v>123</v>
      </c>
      <c r="X10" s="6"/>
      <c r="Y10" s="75" t="s">
        <v>130</v>
      </c>
      <c r="Z10" s="75" t="s">
        <v>130</v>
      </c>
      <c r="AA10" s="75" t="s">
        <v>130</v>
      </c>
      <c r="AB10" s="6"/>
      <c r="AC10" s="87">
        <v>987</v>
      </c>
      <c r="AD10" s="87">
        <v>987</v>
      </c>
      <c r="AE10" s="87">
        <v>987</v>
      </c>
      <c r="AG10" s="109"/>
      <c r="AK10" s="109"/>
      <c r="AO10" s="109"/>
      <c r="AS10" s="109"/>
      <c r="AW10" s="109"/>
      <c r="BA10" s="109"/>
      <c r="BE10" s="109"/>
    </row>
    <row r="11" spans="1:57" ht="16.5" x14ac:dyDescent="0.25">
      <c r="A11" s="202"/>
      <c r="B11" s="9"/>
      <c r="C11" s="37" t="s">
        <v>56</v>
      </c>
      <c r="D11" s="6"/>
      <c r="E11" s="96">
        <f>+E12+E13+E14+E15</f>
        <v>0.48</v>
      </c>
      <c r="F11" s="41">
        <f>+F12+F13+F14+F15</f>
        <v>0.48</v>
      </c>
      <c r="G11" s="41">
        <f>+G12+G13+G14+G15</f>
        <v>0.48</v>
      </c>
      <c r="H11" s="6"/>
      <c r="I11" s="70">
        <v>3</v>
      </c>
      <c r="J11" s="70">
        <v>3</v>
      </c>
      <c r="K11" s="70">
        <v>3</v>
      </c>
      <c r="L11" s="6"/>
      <c r="M11" s="75" t="s">
        <v>125</v>
      </c>
      <c r="N11" s="75" t="s">
        <v>126</v>
      </c>
      <c r="O11" s="75" t="s">
        <v>127</v>
      </c>
      <c r="P11" s="6"/>
      <c r="Q11" s="75">
        <v>321</v>
      </c>
      <c r="R11" s="75">
        <v>321</v>
      </c>
      <c r="S11" s="75">
        <v>321</v>
      </c>
      <c r="T11" s="6"/>
      <c r="U11" s="75">
        <v>123</v>
      </c>
      <c r="V11" s="75">
        <v>123</v>
      </c>
      <c r="W11" s="75">
        <v>123</v>
      </c>
      <c r="X11" s="6"/>
      <c r="Y11" s="75" t="s">
        <v>131</v>
      </c>
      <c r="Z11" s="75" t="s">
        <v>131</v>
      </c>
      <c r="AA11" s="75" t="s">
        <v>131</v>
      </c>
      <c r="AB11" s="6"/>
      <c r="AC11" s="87">
        <v>987</v>
      </c>
      <c r="AD11" s="87">
        <v>987</v>
      </c>
      <c r="AE11" s="87">
        <v>987</v>
      </c>
      <c r="AG11" s="109"/>
      <c r="AK11" s="109"/>
      <c r="AO11" s="109"/>
      <c r="AS11" s="109"/>
      <c r="AW11" s="109"/>
      <c r="BA11" s="109"/>
      <c r="BE11" s="109"/>
    </row>
    <row r="12" spans="1:57" ht="16.5" x14ac:dyDescent="0.25">
      <c r="A12" s="202"/>
      <c r="B12" s="9"/>
      <c r="C12" s="38" t="s">
        <v>23</v>
      </c>
      <c r="D12" s="6"/>
      <c r="E12" s="73">
        <v>0.12</v>
      </c>
      <c r="F12" s="73">
        <v>0.12</v>
      </c>
      <c r="G12" s="73">
        <v>0.12</v>
      </c>
      <c r="H12" s="6"/>
      <c r="I12" s="70">
        <v>3</v>
      </c>
      <c r="J12" s="70">
        <v>3</v>
      </c>
      <c r="K12" s="70">
        <v>3</v>
      </c>
      <c r="L12" s="6"/>
      <c r="M12" s="75" t="s">
        <v>125</v>
      </c>
      <c r="N12" s="75" t="s">
        <v>126</v>
      </c>
      <c r="O12" s="75" t="s">
        <v>127</v>
      </c>
      <c r="P12" s="6"/>
      <c r="Q12" s="75">
        <v>321</v>
      </c>
      <c r="R12" s="75">
        <v>321</v>
      </c>
      <c r="S12" s="75">
        <v>321</v>
      </c>
      <c r="T12" s="6"/>
      <c r="U12" s="75">
        <v>123</v>
      </c>
      <c r="V12" s="75">
        <v>123</v>
      </c>
      <c r="W12" s="75">
        <v>123</v>
      </c>
      <c r="X12" s="6"/>
      <c r="Y12" s="75" t="s">
        <v>132</v>
      </c>
      <c r="Z12" s="75" t="s">
        <v>132</v>
      </c>
      <c r="AA12" s="75" t="s">
        <v>132</v>
      </c>
      <c r="AB12" s="6"/>
      <c r="AC12" s="87">
        <v>987</v>
      </c>
      <c r="AD12" s="87">
        <v>987</v>
      </c>
      <c r="AE12" s="87">
        <v>987</v>
      </c>
      <c r="AG12" s="109"/>
      <c r="AK12" s="109"/>
      <c r="AO12" s="109"/>
      <c r="AS12" s="109"/>
      <c r="AW12" s="109"/>
      <c r="BA12" s="109"/>
      <c r="BE12" s="109"/>
    </row>
    <row r="13" spans="1:57" ht="16.5" x14ac:dyDescent="0.25">
      <c r="A13" s="202"/>
      <c r="B13" s="9"/>
      <c r="C13" s="38" t="s">
        <v>24</v>
      </c>
      <c r="D13" s="7"/>
      <c r="E13" s="73">
        <v>0.12</v>
      </c>
      <c r="F13" s="73">
        <v>0.12</v>
      </c>
      <c r="G13" s="73">
        <v>0.12</v>
      </c>
      <c r="H13" s="7"/>
      <c r="I13" s="70">
        <v>3</v>
      </c>
      <c r="J13" s="70">
        <v>3</v>
      </c>
      <c r="K13" s="70">
        <v>3</v>
      </c>
      <c r="L13" s="7"/>
      <c r="M13" s="75" t="s">
        <v>125</v>
      </c>
      <c r="N13" s="75" t="s">
        <v>126</v>
      </c>
      <c r="O13" s="75" t="s">
        <v>127</v>
      </c>
      <c r="P13" s="7"/>
      <c r="Q13" s="75">
        <v>321</v>
      </c>
      <c r="R13" s="75">
        <v>321</v>
      </c>
      <c r="S13" s="75">
        <v>321</v>
      </c>
      <c r="T13" s="7"/>
      <c r="U13" s="75">
        <v>123</v>
      </c>
      <c r="V13" s="75">
        <v>123</v>
      </c>
      <c r="W13" s="75">
        <v>123</v>
      </c>
      <c r="X13" s="7"/>
      <c r="Y13" s="75" t="s">
        <v>133</v>
      </c>
      <c r="Z13" s="75" t="s">
        <v>133</v>
      </c>
      <c r="AA13" s="75" t="s">
        <v>133</v>
      </c>
      <c r="AB13" s="7"/>
      <c r="AC13" s="87">
        <v>987</v>
      </c>
      <c r="AD13" s="87">
        <v>987</v>
      </c>
      <c r="AE13" s="87">
        <v>987</v>
      </c>
      <c r="AG13" s="109"/>
      <c r="AK13" s="109"/>
      <c r="AO13" s="109"/>
      <c r="AS13" s="109"/>
      <c r="AW13" s="109"/>
      <c r="BA13" s="109"/>
      <c r="BE13" s="109"/>
    </row>
    <row r="14" spans="1:57" ht="16.5" x14ac:dyDescent="0.25">
      <c r="A14" s="202"/>
      <c r="B14" s="9"/>
      <c r="C14" s="38" t="s">
        <v>25</v>
      </c>
      <c r="D14" s="7"/>
      <c r="E14" s="73">
        <v>0.12</v>
      </c>
      <c r="F14" s="73">
        <v>0.12</v>
      </c>
      <c r="G14" s="73">
        <v>0.12</v>
      </c>
      <c r="H14" s="7"/>
      <c r="I14" s="70">
        <v>3</v>
      </c>
      <c r="J14" s="70">
        <v>3</v>
      </c>
      <c r="K14" s="70">
        <v>3</v>
      </c>
      <c r="L14" s="7"/>
      <c r="M14" s="75" t="s">
        <v>125</v>
      </c>
      <c r="N14" s="75" t="s">
        <v>126</v>
      </c>
      <c r="O14" s="75" t="s">
        <v>127</v>
      </c>
      <c r="P14" s="7"/>
      <c r="Q14" s="75">
        <v>321</v>
      </c>
      <c r="R14" s="75">
        <v>321</v>
      </c>
      <c r="S14" s="75">
        <v>321</v>
      </c>
      <c r="T14" s="7"/>
      <c r="U14" s="75">
        <v>123</v>
      </c>
      <c r="V14" s="75">
        <v>123</v>
      </c>
      <c r="W14" s="75">
        <v>123</v>
      </c>
      <c r="X14" s="7"/>
      <c r="Y14" s="75" t="s">
        <v>134</v>
      </c>
      <c r="Z14" s="75" t="s">
        <v>134</v>
      </c>
      <c r="AA14" s="75" t="s">
        <v>134</v>
      </c>
      <c r="AB14" s="7"/>
      <c r="AC14" s="87">
        <v>987</v>
      </c>
      <c r="AD14" s="87">
        <v>987</v>
      </c>
      <c r="AE14" s="87">
        <v>987</v>
      </c>
      <c r="AG14" s="109"/>
      <c r="AK14" s="109"/>
      <c r="AO14" s="109"/>
      <c r="AS14" s="109"/>
      <c r="AW14" s="109"/>
      <c r="BA14" s="109"/>
      <c r="BE14" s="109"/>
    </row>
    <row r="15" spans="1:57" ht="16.5" x14ac:dyDescent="0.25">
      <c r="A15" s="202"/>
      <c r="B15" s="9"/>
      <c r="C15" s="38" t="s">
        <v>53</v>
      </c>
      <c r="D15" s="7"/>
      <c r="E15" s="73">
        <v>0.12</v>
      </c>
      <c r="F15" s="73">
        <v>0.12</v>
      </c>
      <c r="G15" s="73">
        <v>0.12</v>
      </c>
      <c r="H15" s="7"/>
      <c r="I15" s="70">
        <v>3</v>
      </c>
      <c r="J15" s="70">
        <v>3</v>
      </c>
      <c r="K15" s="70">
        <v>3</v>
      </c>
      <c r="L15" s="7"/>
      <c r="M15" s="75" t="s">
        <v>125</v>
      </c>
      <c r="N15" s="75" t="s">
        <v>126</v>
      </c>
      <c r="O15" s="75" t="s">
        <v>127</v>
      </c>
      <c r="P15" s="7"/>
      <c r="Q15" s="75">
        <v>321</v>
      </c>
      <c r="R15" s="75">
        <v>321</v>
      </c>
      <c r="S15" s="75">
        <v>321</v>
      </c>
      <c r="T15" s="7"/>
      <c r="U15" s="75">
        <v>123</v>
      </c>
      <c r="V15" s="75">
        <v>123</v>
      </c>
      <c r="W15" s="75">
        <v>123</v>
      </c>
      <c r="X15" s="7"/>
      <c r="Y15" s="75" t="s">
        <v>135</v>
      </c>
      <c r="Z15" s="75" t="s">
        <v>135</v>
      </c>
      <c r="AA15" s="75" t="s">
        <v>135</v>
      </c>
      <c r="AB15" s="7"/>
      <c r="AC15" s="87">
        <v>987</v>
      </c>
      <c r="AD15" s="87">
        <v>987</v>
      </c>
      <c r="AE15" s="87">
        <v>987</v>
      </c>
      <c r="AG15" s="109"/>
      <c r="AK15" s="109"/>
      <c r="AO15" s="109"/>
      <c r="AS15" s="109"/>
      <c r="AW15" s="109"/>
      <c r="BA15" s="109"/>
      <c r="BE15" s="109"/>
    </row>
    <row r="16" spans="1:57" ht="16.5" x14ac:dyDescent="0.25">
      <c r="A16" s="202"/>
      <c r="B16" s="9"/>
      <c r="C16" s="37" t="s">
        <v>27</v>
      </c>
      <c r="D16" s="7"/>
      <c r="E16" s="71">
        <f>-([3]Retail!$Z$29+[3]Retail!$AA$29+[3]Retail!$BB$29+[3]Retail!$BC$29)/1000/E9</f>
        <v>-4.0157803717293231E-2</v>
      </c>
      <c r="F16" s="41">
        <f>-([3]Retail!$Z$30+[3]Retail!$AA$30+[3]Retail!$BB$30+[3]Retail!$BC$30)/1000/F9</f>
        <v>-3.8224253029066277E-2</v>
      </c>
      <c r="G16" s="41">
        <f>-([3]Retail!$Z$31+[3]Retail!$AA$31+[3]Retail!$BB$31+[3]Retail!$BC$31)/1000/G9</f>
        <v>-1.755104868267603E-2</v>
      </c>
      <c r="H16" s="7"/>
      <c r="I16" s="70">
        <v>3</v>
      </c>
      <c r="J16" s="70">
        <v>3</v>
      </c>
      <c r="K16" s="70">
        <v>3</v>
      </c>
      <c r="L16" s="7"/>
      <c r="M16" s="75" t="s">
        <v>125</v>
      </c>
      <c r="N16" s="75" t="s">
        <v>126</v>
      </c>
      <c r="O16" s="75" t="s">
        <v>127</v>
      </c>
      <c r="P16" s="7"/>
      <c r="Q16" s="75">
        <v>321</v>
      </c>
      <c r="R16" s="75">
        <v>321</v>
      </c>
      <c r="S16" s="75">
        <v>321</v>
      </c>
      <c r="T16" s="7"/>
      <c r="U16" s="75">
        <v>123</v>
      </c>
      <c r="V16" s="75">
        <v>123</v>
      </c>
      <c r="W16" s="75">
        <v>123</v>
      </c>
      <c r="X16" s="7"/>
      <c r="Y16" s="75" t="s">
        <v>136</v>
      </c>
      <c r="Z16" s="75" t="s">
        <v>136</v>
      </c>
      <c r="AA16" s="75" t="s">
        <v>136</v>
      </c>
      <c r="AB16" s="7"/>
      <c r="AC16" s="87">
        <v>987</v>
      </c>
      <c r="AD16" s="87">
        <v>987</v>
      </c>
      <c r="AE16" s="87">
        <v>987</v>
      </c>
      <c r="AG16" s="109"/>
      <c r="AK16" s="109"/>
      <c r="AO16" s="109"/>
      <c r="AS16" s="109"/>
      <c r="AW16" s="109"/>
      <c r="BA16" s="109"/>
      <c r="BE16" s="109"/>
    </row>
    <row r="17" spans="1:57" ht="16.5" x14ac:dyDescent="0.25">
      <c r="A17" s="202"/>
      <c r="B17" s="9"/>
      <c r="C17" s="37" t="s">
        <v>57</v>
      </c>
      <c r="D17" s="7"/>
      <c r="E17" s="72">
        <f>-SUM([3]Retail!$AC$29:$AI$29,[3]Retail!$BE$29:$BG$29)/1000/E9</f>
        <v>0.44664409289939672</v>
      </c>
      <c r="F17" s="41">
        <f>-SUM([3]Retail!$AC$30:$AI$30,[3]Retail!$BE$30:$BG$30)/1000/F9</f>
        <v>-0.47943279170614872</v>
      </c>
      <c r="G17" s="41">
        <f>-SUM([3]Retail!$AC$31:$AI$31,[3]Retail!$BE$31:$BG$31)/1000/G9</f>
        <v>-3.0640851992803766E-2</v>
      </c>
      <c r="H17" s="7"/>
      <c r="I17" s="70">
        <v>3</v>
      </c>
      <c r="J17" s="70">
        <v>3</v>
      </c>
      <c r="K17" s="70">
        <v>3</v>
      </c>
      <c r="L17" s="7"/>
      <c r="M17" s="75" t="s">
        <v>125</v>
      </c>
      <c r="N17" s="75" t="s">
        <v>126</v>
      </c>
      <c r="O17" s="75" t="s">
        <v>127</v>
      </c>
      <c r="P17" s="7"/>
      <c r="Q17" s="75">
        <v>321</v>
      </c>
      <c r="R17" s="75">
        <v>321</v>
      </c>
      <c r="S17" s="75">
        <v>321</v>
      </c>
      <c r="T17" s="7"/>
      <c r="U17" s="75">
        <v>123</v>
      </c>
      <c r="V17" s="75">
        <v>123</v>
      </c>
      <c r="W17" s="75">
        <v>123</v>
      </c>
      <c r="X17" s="7"/>
      <c r="Y17" s="75" t="s">
        <v>137</v>
      </c>
      <c r="Z17" s="75" t="s">
        <v>137</v>
      </c>
      <c r="AA17" s="75" t="s">
        <v>137</v>
      </c>
      <c r="AB17" s="7"/>
      <c r="AC17" s="87">
        <v>987</v>
      </c>
      <c r="AD17" s="87">
        <v>987</v>
      </c>
      <c r="AE17" s="87">
        <v>987</v>
      </c>
      <c r="AG17" s="109"/>
      <c r="AK17" s="109"/>
      <c r="AO17" s="109"/>
      <c r="AS17" s="109"/>
      <c r="AW17" s="109"/>
      <c r="BA17" s="109"/>
      <c r="BE17" s="109"/>
    </row>
    <row r="18" spans="1:57" ht="16.5" x14ac:dyDescent="0.25">
      <c r="A18" s="202"/>
      <c r="B18" s="9"/>
      <c r="C18" s="37" t="s">
        <v>29</v>
      </c>
      <c r="D18" s="7"/>
      <c r="E18" s="71">
        <f>-SUM([3]Retail!$AJ$29:$AK$29,[3]Retail!$BH$29:$BI$29)/1000/E9</f>
        <v>-0.50854174567018662</v>
      </c>
      <c r="F18" s="41">
        <f>-SUM([3]Retail!$AJ$30:$AK$30,[3]Retail!$BH$30:$BI$30)/1000/F9</f>
        <v>-2.283068465127961E-2</v>
      </c>
      <c r="G18" s="41">
        <f>-SUM([3]Retail!$AJ$31:$AK$31,[3]Retail!$BH$31:$BI$31)/1000/G9</f>
        <v>0</v>
      </c>
      <c r="H18" s="7"/>
      <c r="I18" s="70">
        <v>3</v>
      </c>
      <c r="J18" s="70">
        <v>3</v>
      </c>
      <c r="K18" s="70">
        <v>3</v>
      </c>
      <c r="L18" s="7"/>
      <c r="M18" s="75" t="s">
        <v>125</v>
      </c>
      <c r="N18" s="75" t="s">
        <v>126</v>
      </c>
      <c r="O18" s="75" t="s">
        <v>127</v>
      </c>
      <c r="P18" s="7"/>
      <c r="Q18" s="75">
        <v>321</v>
      </c>
      <c r="R18" s="75">
        <v>321</v>
      </c>
      <c r="S18" s="75">
        <v>321</v>
      </c>
      <c r="T18" s="7"/>
      <c r="U18" s="75">
        <v>123</v>
      </c>
      <c r="V18" s="75">
        <v>123</v>
      </c>
      <c r="W18" s="75">
        <v>123</v>
      </c>
      <c r="X18" s="7"/>
      <c r="Y18" s="75" t="s">
        <v>138</v>
      </c>
      <c r="Z18" s="75" t="s">
        <v>138</v>
      </c>
      <c r="AA18" s="75" t="s">
        <v>138</v>
      </c>
      <c r="AB18" s="7"/>
      <c r="AC18" s="87">
        <v>987</v>
      </c>
      <c r="AD18" s="87">
        <v>987</v>
      </c>
      <c r="AE18" s="87">
        <v>987</v>
      </c>
      <c r="AG18" s="109"/>
      <c r="AK18" s="109"/>
      <c r="AO18" s="109"/>
      <c r="AS18" s="109"/>
      <c r="AW18" s="109"/>
      <c r="BA18" s="109"/>
      <c r="BE18" s="109"/>
    </row>
    <row r="19" spans="1:57" ht="16.5" x14ac:dyDescent="0.25">
      <c r="A19" s="202"/>
      <c r="B19" s="9"/>
      <c r="C19" s="37" t="s">
        <v>58</v>
      </c>
      <c r="D19" s="7"/>
      <c r="E19" s="71">
        <v>0.37</v>
      </c>
      <c r="F19" s="71">
        <v>0.37</v>
      </c>
      <c r="G19" s="71">
        <v>0.37</v>
      </c>
      <c r="H19" s="7"/>
      <c r="I19" s="70">
        <v>3</v>
      </c>
      <c r="J19" s="70">
        <v>3</v>
      </c>
      <c r="K19" s="70">
        <v>3</v>
      </c>
      <c r="L19" s="7"/>
      <c r="M19" s="75" t="s">
        <v>125</v>
      </c>
      <c r="N19" s="75" t="s">
        <v>126</v>
      </c>
      <c r="O19" s="75" t="s">
        <v>127</v>
      </c>
      <c r="P19" s="7"/>
      <c r="Q19" s="75">
        <v>321</v>
      </c>
      <c r="R19" s="75">
        <v>321</v>
      </c>
      <c r="S19" s="75">
        <v>321</v>
      </c>
      <c r="T19" s="7"/>
      <c r="U19" s="75">
        <v>123</v>
      </c>
      <c r="V19" s="75">
        <v>123</v>
      </c>
      <c r="W19" s="75">
        <v>123</v>
      </c>
      <c r="X19" s="7"/>
      <c r="Y19" s="75" t="s">
        <v>139</v>
      </c>
      <c r="Z19" s="75" t="s">
        <v>139</v>
      </c>
      <c r="AA19" s="75" t="s">
        <v>139</v>
      </c>
      <c r="AB19" s="7"/>
      <c r="AC19" s="87">
        <v>987</v>
      </c>
      <c r="AD19" s="87">
        <v>987</v>
      </c>
      <c r="AE19" s="87">
        <v>987</v>
      </c>
      <c r="AG19" s="110"/>
      <c r="AK19" s="109"/>
      <c r="AO19" s="109"/>
      <c r="AS19" s="109"/>
      <c r="AW19" s="109"/>
      <c r="BA19" s="109"/>
      <c r="BE19" s="109"/>
    </row>
    <row r="20" spans="1:57" ht="16.5" x14ac:dyDescent="0.25">
      <c r="A20" s="202"/>
      <c r="B20" s="9"/>
      <c r="C20" s="39" t="s">
        <v>59</v>
      </c>
      <c r="D20" s="8"/>
      <c r="E20" s="71">
        <v>0.37</v>
      </c>
      <c r="F20" s="71">
        <v>0.37</v>
      </c>
      <c r="G20" s="71">
        <v>0.37</v>
      </c>
      <c r="H20" s="8"/>
      <c r="I20" s="70">
        <v>3</v>
      </c>
      <c r="J20" s="70">
        <v>3</v>
      </c>
      <c r="K20" s="70">
        <v>3</v>
      </c>
      <c r="L20" s="8"/>
      <c r="M20" s="75" t="s">
        <v>125</v>
      </c>
      <c r="N20" s="75" t="s">
        <v>126</v>
      </c>
      <c r="O20" s="75" t="s">
        <v>127</v>
      </c>
      <c r="P20" s="8"/>
      <c r="Q20" s="75">
        <v>321</v>
      </c>
      <c r="R20" s="75">
        <v>321</v>
      </c>
      <c r="S20" s="75">
        <v>321</v>
      </c>
      <c r="T20" s="8"/>
      <c r="U20" s="75">
        <v>123</v>
      </c>
      <c r="V20" s="75">
        <v>123</v>
      </c>
      <c r="W20" s="75">
        <v>123</v>
      </c>
      <c r="X20" s="8"/>
      <c r="Y20" s="75" t="s">
        <v>140</v>
      </c>
      <c r="Z20" s="75" t="s">
        <v>140</v>
      </c>
      <c r="AA20" s="75" t="s">
        <v>140</v>
      </c>
      <c r="AB20" s="8"/>
      <c r="AC20" s="87">
        <v>987</v>
      </c>
      <c r="AD20" s="87">
        <v>987</v>
      </c>
      <c r="AE20" s="87">
        <v>987</v>
      </c>
      <c r="AG20" s="110"/>
      <c r="AK20" s="109"/>
      <c r="AO20" s="109"/>
      <c r="AS20" s="109"/>
      <c r="AW20" s="109"/>
      <c r="BA20" s="109"/>
      <c r="BE20" s="109"/>
    </row>
    <row r="21" spans="1:57" ht="16.5" x14ac:dyDescent="0.25">
      <c r="A21" s="202"/>
      <c r="B21" s="9"/>
      <c r="C21" s="39" t="s">
        <v>60</v>
      </c>
      <c r="D21" s="8"/>
      <c r="E21" s="71">
        <v>0.37</v>
      </c>
      <c r="F21" s="71">
        <v>0.37</v>
      </c>
      <c r="G21" s="71">
        <v>0.37</v>
      </c>
      <c r="H21" s="8"/>
      <c r="I21" s="70">
        <v>3</v>
      </c>
      <c r="J21" s="70">
        <v>3</v>
      </c>
      <c r="K21" s="70">
        <v>3</v>
      </c>
      <c r="L21" s="8"/>
      <c r="M21" s="75" t="s">
        <v>125</v>
      </c>
      <c r="N21" s="75" t="s">
        <v>126</v>
      </c>
      <c r="O21" s="75" t="s">
        <v>127</v>
      </c>
      <c r="P21" s="8"/>
      <c r="Q21" s="75">
        <v>321</v>
      </c>
      <c r="R21" s="75">
        <v>321</v>
      </c>
      <c r="S21" s="75">
        <v>321</v>
      </c>
      <c r="T21" s="8"/>
      <c r="U21" s="75">
        <v>123</v>
      </c>
      <c r="V21" s="75">
        <v>123</v>
      </c>
      <c r="W21" s="75">
        <v>123</v>
      </c>
      <c r="X21" s="8"/>
      <c r="Y21" s="75" t="s">
        <v>141</v>
      </c>
      <c r="Z21" s="75" t="s">
        <v>141</v>
      </c>
      <c r="AA21" s="75" t="s">
        <v>141</v>
      </c>
      <c r="AB21" s="8"/>
      <c r="AC21" s="87">
        <v>987</v>
      </c>
      <c r="AD21" s="87">
        <v>987</v>
      </c>
      <c r="AE21" s="87">
        <v>987</v>
      </c>
      <c r="AG21" s="110"/>
      <c r="AK21" s="109"/>
      <c r="AO21" s="109"/>
      <c r="AS21" s="109"/>
      <c r="AW21" s="109"/>
      <c r="BA21" s="109"/>
      <c r="BE21" s="109"/>
    </row>
    <row r="22" spans="1:57" ht="16.5" x14ac:dyDescent="0.25">
      <c r="A22" s="202"/>
      <c r="B22" s="9"/>
      <c r="C22" s="39" t="s">
        <v>61</v>
      </c>
      <c r="D22" s="8"/>
      <c r="E22" s="71">
        <v>0.37</v>
      </c>
      <c r="F22" s="71">
        <v>0.37</v>
      </c>
      <c r="G22" s="71">
        <v>0.37</v>
      </c>
      <c r="H22" s="8"/>
      <c r="I22" s="70">
        <v>3</v>
      </c>
      <c r="J22" s="70">
        <v>3</v>
      </c>
      <c r="K22" s="70">
        <v>3</v>
      </c>
      <c r="L22" s="8"/>
      <c r="M22" s="75" t="s">
        <v>125</v>
      </c>
      <c r="N22" s="75" t="s">
        <v>126</v>
      </c>
      <c r="O22" s="75" t="s">
        <v>127</v>
      </c>
      <c r="P22" s="8"/>
      <c r="Q22" s="75">
        <v>321</v>
      </c>
      <c r="R22" s="75">
        <v>321</v>
      </c>
      <c r="S22" s="75">
        <v>321</v>
      </c>
      <c r="T22" s="8"/>
      <c r="U22" s="75">
        <v>123</v>
      </c>
      <c r="V22" s="75">
        <v>123</v>
      </c>
      <c r="W22" s="75">
        <v>123</v>
      </c>
      <c r="X22" s="8"/>
      <c r="Y22" s="75" t="s">
        <v>142</v>
      </c>
      <c r="Z22" s="75" t="s">
        <v>142</v>
      </c>
      <c r="AA22" s="75" t="s">
        <v>142</v>
      </c>
      <c r="AB22" s="8"/>
      <c r="AC22" s="87">
        <v>987</v>
      </c>
      <c r="AD22" s="87">
        <v>987</v>
      </c>
      <c r="AE22" s="87">
        <v>987</v>
      </c>
      <c r="AG22" s="110"/>
      <c r="AK22" s="109"/>
      <c r="AO22" s="109"/>
      <c r="AS22" s="109"/>
      <c r="AW22" s="109"/>
      <c r="BA22" s="109"/>
      <c r="BE22" s="109"/>
    </row>
    <row r="23" spans="1:57" ht="16.5" x14ac:dyDescent="0.25">
      <c r="A23" s="202"/>
      <c r="B23" s="9"/>
      <c r="C23" s="37" t="s">
        <v>34</v>
      </c>
      <c r="D23" s="6"/>
      <c r="E23" s="71">
        <v>0.37</v>
      </c>
      <c r="F23" s="71">
        <v>0.37</v>
      </c>
      <c r="G23" s="71">
        <v>0.37</v>
      </c>
      <c r="H23" s="6"/>
      <c r="I23" s="70">
        <v>3</v>
      </c>
      <c r="J23" s="70">
        <v>3</v>
      </c>
      <c r="K23" s="70">
        <v>3</v>
      </c>
      <c r="L23" s="6"/>
      <c r="M23" s="75" t="s">
        <v>125</v>
      </c>
      <c r="N23" s="75" t="s">
        <v>126</v>
      </c>
      <c r="O23" s="75" t="s">
        <v>127</v>
      </c>
      <c r="P23" s="6"/>
      <c r="Q23" s="75">
        <v>321</v>
      </c>
      <c r="R23" s="75">
        <v>321</v>
      </c>
      <c r="S23" s="75">
        <v>321</v>
      </c>
      <c r="T23" s="6"/>
      <c r="U23" s="75">
        <v>123</v>
      </c>
      <c r="V23" s="75">
        <v>123</v>
      </c>
      <c r="W23" s="75">
        <v>123</v>
      </c>
      <c r="X23" s="6"/>
      <c r="Y23" s="75" t="s">
        <v>143</v>
      </c>
      <c r="Z23" s="75" t="s">
        <v>143</v>
      </c>
      <c r="AA23" s="75" t="s">
        <v>143</v>
      </c>
      <c r="AB23" s="6"/>
      <c r="AC23" s="87">
        <v>987</v>
      </c>
      <c r="AD23" s="87">
        <v>987</v>
      </c>
      <c r="AE23" s="87">
        <v>987</v>
      </c>
      <c r="AG23" s="108"/>
      <c r="AK23" s="108"/>
      <c r="AO23" s="108"/>
      <c r="AS23" s="108"/>
      <c r="AW23" s="108"/>
      <c r="BA23" s="108"/>
      <c r="BE23" s="108"/>
    </row>
    <row r="24" spans="1:57" ht="13" x14ac:dyDescent="0.3">
      <c r="J24" s="196">
        <f>1-J23/J9-J10</f>
        <v>-3</v>
      </c>
      <c r="N24" s="197" t="e">
        <f>((M11-M13)-(N11-N13))*-M9</f>
        <v>#VALUE!</v>
      </c>
      <c r="Q24" s="67">
        <f>(Q12+Q15-R12-R15)</f>
        <v>0</v>
      </c>
      <c r="R24">
        <f>Q24*Q9</f>
        <v>0</v>
      </c>
    </row>
    <row r="25" spans="1:57" ht="16.5" hidden="1" outlineLevel="1" x14ac:dyDescent="0.25">
      <c r="A25" s="202" t="s">
        <v>35</v>
      </c>
      <c r="B25" s="9"/>
      <c r="C25" s="37" t="s">
        <v>19</v>
      </c>
      <c r="D25" s="6"/>
      <c r="E25" s="70">
        <f>+[3]Retail!$C$21/1000</f>
        <v>8.7174396600000019</v>
      </c>
      <c r="F25" s="40">
        <f>+[3]Retail!$C$22/1000</f>
        <v>9.1775862099999976</v>
      </c>
      <c r="G25" s="40">
        <f>+[3]Retail!$C$23/1000</f>
        <v>9.0071362122563272</v>
      </c>
      <c r="H25" s="6"/>
      <c r="I25" s="70">
        <f>+[3]SME!$C$21/1000</f>
        <v>13.55161695</v>
      </c>
      <c r="J25" s="40">
        <f>+[3]SME!$C$22/1000</f>
        <v>14.401481129999999</v>
      </c>
      <c r="K25" s="40">
        <f>+[3]SME!$C$23/1000</f>
        <v>14.689414131587712</v>
      </c>
      <c r="L25" s="6"/>
      <c r="M25" s="75">
        <f>+[3]MidCorp!$C$21/1000</f>
        <v>61.293756090000002</v>
      </c>
      <c r="N25" s="40">
        <f>+[3]MidCorp!$C$22/1000</f>
        <v>56.666457889999997</v>
      </c>
      <c r="O25" s="40">
        <f>+[3]MidCorp!$C$23/1000</f>
        <v>55.866577911933334</v>
      </c>
      <c r="P25" s="6"/>
      <c r="Q25" s="75">
        <f>+[3]MGA!$C$21/1000</f>
        <v>18.095316599999997</v>
      </c>
      <c r="R25" s="40">
        <f>+[3]MGA!$C$22/1000</f>
        <v>16.027854949999998</v>
      </c>
      <c r="S25" s="40">
        <f>+[3]MGA!$C$23/1000</f>
        <v>16.485080000000004</v>
      </c>
      <c r="T25" s="6"/>
      <c r="U25" s="70">
        <f>+[3]Bancassurance!$C$21/1000</f>
        <v>0</v>
      </c>
      <c r="V25" s="40">
        <f>+[3]Bancassurance!$C$22/1000</f>
        <v>0</v>
      </c>
      <c r="W25" s="40">
        <f>+[3]Bancassurance!$C$23/1000</f>
        <v>0</v>
      </c>
      <c r="X25" s="6"/>
      <c r="Y25" s="75">
        <f>+[3]Specials!$C$21/1000</f>
        <v>0.19433375</v>
      </c>
      <c r="Z25" s="40">
        <f>+[3]Specials!$C$22/1000</f>
        <v>0.12200983999999999</v>
      </c>
      <c r="AA25" s="40">
        <f>+[3]Specials!$C$23/1000</f>
        <v>0</v>
      </c>
      <c r="AB25" s="6"/>
      <c r="AC25" s="87">
        <f>+'[3]Total P&amp;C'!$C$21/1000</f>
        <v>101.85246305000001</v>
      </c>
      <c r="AD25" s="58">
        <f>+'[3]Total P&amp;C'!$C$22/1000</f>
        <v>96.395390019999994</v>
      </c>
      <c r="AE25" s="58">
        <f>+'[3]Total P&amp;C'!$C$23/1000</f>
        <v>96.048208255777382</v>
      </c>
      <c r="AG25" s="108"/>
      <c r="AK25" s="108"/>
      <c r="AO25" s="108"/>
      <c r="AS25" s="108"/>
      <c r="AW25" s="108"/>
      <c r="BA25" s="108"/>
      <c r="BE25" s="108"/>
    </row>
    <row r="26" spans="1:57" ht="16.5" hidden="1" outlineLevel="1" x14ac:dyDescent="0.25">
      <c r="A26" s="202"/>
      <c r="B26" s="9"/>
      <c r="C26" s="37" t="s">
        <v>55</v>
      </c>
      <c r="D26" s="6"/>
      <c r="E26" s="75">
        <f>+[3]Retail!$N$21/1000</f>
        <v>8.5509859300000084</v>
      </c>
      <c r="F26" s="40">
        <f>+[3]Retail!$N$22/1000</f>
        <v>8.8400384099999982</v>
      </c>
      <c r="G26" s="40">
        <f>+[3]Retail!$N$23/1000</f>
        <v>8.4032178728811964</v>
      </c>
      <c r="H26" s="6"/>
      <c r="I26" s="70">
        <f>+[3]SME!$N$21/1000</f>
        <v>9.1490725800000021</v>
      </c>
      <c r="J26" s="40">
        <f>+[3]SME!$N$22/1000</f>
        <v>9.7185139999999954</v>
      </c>
      <c r="K26" s="40">
        <f>+[3]SME!$N$23/1000</f>
        <v>9.5826722008581005</v>
      </c>
      <c r="L26" s="6"/>
      <c r="M26" s="75">
        <f>+[3]MidCorp!$N$21/1000</f>
        <v>47.798311140000003</v>
      </c>
      <c r="N26" s="40">
        <f>+[3]MidCorp!$N$22/1000</f>
        <v>42.317605239999999</v>
      </c>
      <c r="O26" s="40">
        <f>+[3]MidCorp!$N$23/1000</f>
        <v>42.840960205461293</v>
      </c>
      <c r="P26" s="6"/>
      <c r="Q26" s="75">
        <f>+[3]MGA!$N$21/1000</f>
        <v>15.471581460000005</v>
      </c>
      <c r="R26" s="40">
        <f>+[3]MGA!$N$22/1000</f>
        <v>13.69660854</v>
      </c>
      <c r="S26" s="40">
        <f>+[3]MGA!$N$23/1000</f>
        <v>15.074523391691372</v>
      </c>
      <c r="T26" s="6"/>
      <c r="U26" s="70">
        <f>+[3]Bancassurance!$N$21/1000</f>
        <v>0</v>
      </c>
      <c r="V26" s="40">
        <f>+[3]Bancassurance!$N$22/1000</f>
        <v>0</v>
      </c>
      <c r="W26" s="40">
        <f>+[3]Bancassurance!$N$23/1000</f>
        <v>0</v>
      </c>
      <c r="X26" s="6"/>
      <c r="Y26" s="75">
        <f>+[3]Specials!$N$21/1000</f>
        <v>6.909593E-2</v>
      </c>
      <c r="Z26" s="40">
        <f>+[3]Specials!$N$22/1000</f>
        <v>1.4821349999999995E-2</v>
      </c>
      <c r="AA26" s="40">
        <f>+[3]Specials!$N$23/1000</f>
        <v>0</v>
      </c>
      <c r="AB26" s="6"/>
      <c r="AC26" s="87">
        <f>+'[3]Total P&amp;C'!$N$21/1000</f>
        <v>81.039047040000014</v>
      </c>
      <c r="AD26" s="58">
        <f>+'[3]Total P&amp;C'!$N$22/1000</f>
        <v>74.587587539999987</v>
      </c>
      <c r="AE26" s="58">
        <f>+'[3]Total P&amp;C'!$N$23/1000</f>
        <v>75.901373670891957</v>
      </c>
      <c r="AG26" s="108"/>
      <c r="AK26" s="108"/>
      <c r="AO26" s="108"/>
      <c r="AS26" s="108"/>
      <c r="AW26" s="108"/>
      <c r="BA26" s="108"/>
      <c r="BE26" s="108"/>
    </row>
    <row r="27" spans="1:57" ht="16.5" hidden="1" outlineLevel="1" x14ac:dyDescent="0.25">
      <c r="A27" s="202"/>
      <c r="B27" s="9"/>
      <c r="C27" s="37" t="s">
        <v>21</v>
      </c>
      <c r="D27" s="6"/>
      <c r="E27" s="71">
        <f>+E28+E33+E34+E35+E36</f>
        <v>0.81710975754114079</v>
      </c>
      <c r="F27" s="41">
        <f>+F28+F33+F34+F35+F36</f>
        <v>0.48145034926380914</v>
      </c>
      <c r="G27" s="41">
        <f>+G28+G33+G34+G35+G36</f>
        <v>0.85452335472204066</v>
      </c>
      <c r="H27" s="6"/>
      <c r="I27" s="71">
        <f>+I28+I33+I34+I35+I36</f>
        <v>1.0031818481868462</v>
      </c>
      <c r="J27" s="41">
        <f>+J28+J33+J34+J35+J36</f>
        <v>1.1915929132787184</v>
      </c>
      <c r="K27" s="41">
        <f>+K28+K33+K34+K35+K36</f>
        <v>1.12412968647705</v>
      </c>
      <c r="L27" s="6"/>
      <c r="M27" s="72">
        <f>+M28+M33+M34+M35+M36</f>
        <v>1.0419180831333446</v>
      </c>
      <c r="N27" s="41">
        <f>+N28+N33+N34+N35+N36</f>
        <v>1.0824105057510101</v>
      </c>
      <c r="O27" s="41">
        <f>+O28+O33+O34+O35+O36</f>
        <v>1.0287211192185295</v>
      </c>
      <c r="P27" s="6"/>
      <c r="Q27" s="72">
        <f>+Q28+Q33+Q34+Q35+Q36</f>
        <v>1.2195131673371926</v>
      </c>
      <c r="R27" s="41">
        <f>+R28+R33+R34+R35+R36</f>
        <v>0.91902832100653731</v>
      </c>
      <c r="S27" s="41">
        <f>+S28+S33+S34+S35+S36</f>
        <v>1.0358867674822603</v>
      </c>
      <c r="T27" s="6"/>
      <c r="U27" s="96">
        <f>+U28+U33+U34+U35+U36</f>
        <v>0</v>
      </c>
      <c r="V27" s="41">
        <f>+V28+V33+V34+V35+V36</f>
        <v>0</v>
      </c>
      <c r="W27" s="41">
        <f>+W28+W33+W34+W35+W36</f>
        <v>0</v>
      </c>
      <c r="X27" s="6"/>
      <c r="Y27" s="71">
        <f>+Y28+Y33+Y34+Y35+Y36</f>
        <v>-6.1644668506524196</v>
      </c>
      <c r="Z27" s="41">
        <f>+Z28+Z33+Z34+Z35+Z36</f>
        <v>-30.384715967168994</v>
      </c>
      <c r="AA27" s="41">
        <f>+AA28+AA33+AA34+AA35+AA36</f>
        <v>0</v>
      </c>
      <c r="AB27" s="6"/>
      <c r="AC27" s="83">
        <f>+AC28+AC33+AC34+AC35+AC36</f>
        <v>1.0415850521827656</v>
      </c>
      <c r="AD27" s="59">
        <f>+AD28+AD33+AD34+AD35+AD36</f>
        <v>0.98932350400027425</v>
      </c>
      <c r="AE27" s="59">
        <f>+AE28+AE33+AE34+AE35+AE36</f>
        <v>1.0229039121099053</v>
      </c>
      <c r="AG27" s="109"/>
      <c r="AK27" s="109"/>
      <c r="AO27" s="109"/>
      <c r="AS27" s="109"/>
      <c r="AW27" s="109"/>
      <c r="BA27" s="109"/>
      <c r="BE27" s="109"/>
    </row>
    <row r="28" spans="1:57" ht="16.5" hidden="1" outlineLevel="1" x14ac:dyDescent="0.25">
      <c r="A28" s="202"/>
      <c r="B28" s="9"/>
      <c r="C28" s="37" t="s">
        <v>56</v>
      </c>
      <c r="D28" s="6"/>
      <c r="E28" s="72">
        <f>+E29+E30+E31+E32</f>
        <v>0.64440479789211802</v>
      </c>
      <c r="F28" s="41">
        <f>+F29+F30+F31+F32</f>
        <v>0.95304225154379185</v>
      </c>
      <c r="G28" s="41">
        <f>+G29+G30+G31+G32</f>
        <v>0.59488546104626716</v>
      </c>
      <c r="H28" s="6"/>
      <c r="I28" s="72">
        <f>+I29+I30+I31+I32</f>
        <v>1.0090627415265294</v>
      </c>
      <c r="J28" s="41">
        <f>+J29+J30+J31+J32</f>
        <v>0.64428017904794932</v>
      </c>
      <c r="K28" s="41">
        <f>+K29+K30+K31+K32</f>
        <v>0.84585092463030709</v>
      </c>
      <c r="L28" s="6"/>
      <c r="M28" s="72">
        <f>+M29+M30+M31+M32</f>
        <v>0.93238697031503537</v>
      </c>
      <c r="N28" s="41">
        <f>+N29+N30+N31+N32</f>
        <v>0.87423048043916218</v>
      </c>
      <c r="O28" s="41">
        <f>+O29+O30+O31+O32</f>
        <v>0.88214202587224699</v>
      </c>
      <c r="P28" s="6"/>
      <c r="Q28" s="72">
        <f>+Q29+Q30+Q31+Q32</f>
        <v>0.80742451134016091</v>
      </c>
      <c r="R28" s="41">
        <f>+R29+R30+R31+R32</f>
        <v>0.77517821429975697</v>
      </c>
      <c r="S28" s="41">
        <f>+S29+S30+S31+S32</f>
        <v>0.7849023976105739</v>
      </c>
      <c r="T28" s="6"/>
      <c r="U28" s="96">
        <f>+U29+U30+U31+U32</f>
        <v>0</v>
      </c>
      <c r="V28" s="41">
        <f>+V29+V30+V31+V32</f>
        <v>0</v>
      </c>
      <c r="W28" s="41">
        <f>+W29+W30+W31+W32</f>
        <v>0</v>
      </c>
      <c r="X28" s="6"/>
      <c r="Y28" s="71">
        <f>+Y29+Y30+Y31+Y32</f>
        <v>-4.2983718433198597</v>
      </c>
      <c r="Z28" s="41">
        <f>+Z29+Z30+Z31+Z32</f>
        <v>-20.761469096944616</v>
      </c>
      <c r="AA28" s="41">
        <f>+AA29+AA30+AA31+AA32</f>
        <v>0</v>
      </c>
      <c r="AB28" s="6"/>
      <c r="AC28" s="83">
        <f>+AC29+AC30+AC31+AC32</f>
        <v>0.8823393640686128</v>
      </c>
      <c r="AD28" s="59">
        <f>+AD29+AD30+AD31+AD32</f>
        <v>0.83112107529627732</v>
      </c>
      <c r="AE28" s="59">
        <f>+AE29+AE30+AE31+AE32</f>
        <v>0.82644492747956022</v>
      </c>
      <c r="AG28" s="109"/>
      <c r="AK28" s="109"/>
      <c r="AO28" s="109"/>
      <c r="AS28" s="109"/>
      <c r="AW28" s="109"/>
      <c r="BA28" s="109"/>
      <c r="BE28" s="109"/>
    </row>
    <row r="29" spans="1:57" ht="16.5" hidden="1" outlineLevel="1" x14ac:dyDescent="0.25">
      <c r="A29" s="202"/>
      <c r="B29" s="9"/>
      <c r="C29" s="38" t="s">
        <v>23</v>
      </c>
      <c r="D29" s="6"/>
      <c r="E29" s="73">
        <f>-SUM([3]Retail!$O$21,[3]Retail!$R$21:$V$21,[3]Retail!$Y$21,[3]Retail!$AB$21,[3]Retail!$AU$21,[3]Retail!$AX$21,[3]Retail!$BA$21,[3]Retail!$BD$21)/1000/E26</f>
        <v>0.53660098599970241</v>
      </c>
      <c r="F29" s="42">
        <f>-SUM([3]Retail!$O$22,[3]Retail!$R$22:$V$22,[3]Retail!$Y$22,[3]Retail!$AB$22,[3]Retail!$AU$22,[3]Retail!$AX$22,[3]Retail!$BA$22,[3]Retail!$BD$22)/1000/F26</f>
        <v>0.62569923199468735</v>
      </c>
      <c r="G29" s="42">
        <f>-SUM([3]Retail!$O$23,[3]Retail!$R$23:$V$23,[3]Retail!$Y$23,[3]Retail!$AB$23,[3]Retail!$AU$23,[3]Retail!$AX$23,[3]Retail!$BA$23,[3]Retail!$BD$23)/1000/G26</f>
        <v>0.47614305392275158</v>
      </c>
      <c r="H29" s="6"/>
      <c r="I29" s="73">
        <f>-SUM([3]SME!$O$21,[3]SME!$R$21:$V$21,[3]SME!$Y$21,[3]SME!$AB$21,[3]SME!$AU$21,[3]SME!$AX$21,[3]SME!$BA$21,[3]SME!$BD$21)/1000/I26</f>
        <v>0.81948378256830623</v>
      </c>
      <c r="J29" s="42">
        <f>-SUM([3]SME!$O$22,[3]SME!$R$22:$V$22,[3]SME!$Y$22,[3]SME!$AB$22,[3]SME!$AU$22,[3]SME!$AX$22,[3]SME!$BA$22,[3]SME!$BD$22)/1000/J26</f>
        <v>0.55523026111715634</v>
      </c>
      <c r="K29" s="42">
        <f>-SUM([3]SME!$O$23,[3]SME!$R$23:$V$23,[3]SME!$Y$23,[3]SME!$AB$23,[3]SME!$AU$23,[3]SME!$AX$23,[3]SME!$BA$23,[3]SME!$BD$23)/1000/K26</f>
        <v>0.66117839198649297</v>
      </c>
      <c r="L29" s="6"/>
      <c r="M29" s="73">
        <f>-SUM([3]MidCorp!$O$21,[3]MidCorp!$R$21:$V$21,[3]MidCorp!$Y$21,[3]MidCorp!$AB$21,[3]MidCorp!$AU$21,[3]MidCorp!$AX$21,[3]MidCorp!$BA$21,[3]MidCorp!$BD$21)/1000/M26</f>
        <v>0.74611523158257098</v>
      </c>
      <c r="N29" s="42">
        <f>-SUM([3]MidCorp!$O$22,[3]MidCorp!$R$22:$V$22,[3]MidCorp!$Y$22,[3]MidCorp!$AB$22,[3]MidCorp!$AU$22,[3]MidCorp!$AX$22,[3]MidCorp!$BA$22,[3]MidCorp!$BD$22)/1000/N26</f>
        <v>0.63547630325503657</v>
      </c>
      <c r="O29" s="42">
        <f>-SUM([3]MidCorp!$O$23,[3]MidCorp!$R$23:$V$23,[3]MidCorp!$Y$23,[3]MidCorp!$AB$23,[3]MidCorp!$AU$23,[3]MidCorp!$AX$23,[3]MidCorp!$BA$23,[3]MidCorp!$BD$23)/1000/O26</f>
        <v>0.63311493616153758</v>
      </c>
      <c r="P29" s="6"/>
      <c r="Q29" s="73">
        <f>-SUM([3]MGA!$O$21,[3]MGA!$R$21:$V$21,[3]MGA!$Y$21,[3]MGA!$AB$21,[3]MGA!$AU$21,[3]MGA!$AX$21,[3]MGA!$BA$21,[3]MGA!$BD$21)/1000/Q26</f>
        <v>0.67312267038940388</v>
      </c>
      <c r="R29" s="42">
        <f>-SUM([3]MGA!$O$22,[3]MGA!$R$22:$V$22,[3]MGA!$Y$22,[3]MGA!$AB$22,[3]MGA!$AU$22,[3]MGA!$AX$22,[3]MGA!$BA$22,[3]MGA!$BD$22)/1000/R26</f>
        <v>0.60327149960766502</v>
      </c>
      <c r="S29" s="42">
        <f>-SUM([3]MGA!$O$23,[3]MGA!$R$23:$V$23,[3]MGA!$Y$23,[3]MGA!$AB$23,[3]MGA!$AU$23,[3]MGA!$AX$23,[3]MGA!$BA$23,[3]MGA!$BD$23)/1000/S26</f>
        <v>0.61443724761697449</v>
      </c>
      <c r="T29" s="6"/>
      <c r="U29" s="97">
        <f>IFERROR(-SUM([3]Bancassurance!$O$21,[3]Bancassurance!$R$21:$V$21,[3]Bancassurance!$Y$21,[3]Bancassurance!$AB$21,[3]Bancassurance!$AU$21,[3]Bancassurance!$AX$21,[3]Bancassurance!$BA$21,[3]Bancassurance!$BD$21)/1000/U26,0)</f>
        <v>0</v>
      </c>
      <c r="V29" s="42">
        <f>IFERROR(-SUM([3]Bancassurance!$O$22,[3]Bancassurance!$R$22:$V$22,[3]Bancassurance!$Y$22,[3]Bancassurance!$AB$22,[3]Bancassurance!$AU$22,[3]Bancassurance!$AX$22,[3]Bancassurance!$BA$22,[3]Bancassurance!$BD$22)/1000/V26,0)</f>
        <v>0</v>
      </c>
      <c r="W29" s="42">
        <f>IFERROR(-SUM([3]Bancassurance!$O$23,[3]Bancassurance!$R$23:$V$23,[3]Bancassurance!$Y$23,[3]Bancassurance!$AB$23,[3]Bancassurance!$AU$23,[3]Bancassurance!$AX$23,[3]Bancassurance!$BA$23,[3]Bancassurance!$BD$23)/1000/W26,0)</f>
        <v>0</v>
      </c>
      <c r="X29" s="6"/>
      <c r="Y29" s="97">
        <f>-SUM([3]Specials!$O$21,[3]Specials!$R$21:$V$21,[3]Specials!$Y$21,[3]Specials!$AB$21,[3]Specials!$AU$21,[3]Specials!$AX$21,[3]Specials!$BA$21,[3]Specials!$BD$21)/1000/Y26</f>
        <v>0</v>
      </c>
      <c r="Z29" s="42">
        <f>-SUM([3]Specials!$O$22,[3]Specials!$R$22:$V$22,[3]Specials!$Y$22,[3]Specials!$AB$22,[3]Specials!$AU$22,[3]Specials!$AX$22,[3]Specials!$BA$22,[3]Specials!$BD$22)/1000/Z26</f>
        <v>1.9363958073994613E-2</v>
      </c>
      <c r="AA29" s="42">
        <f>IFERROR(-SUM([3]Specials!$O$23,[3]Specials!$R$23:$V$23,[3]Specials!$Y$23,[3]Specials!$AB$23,[3]Specials!$AU$23,[3]Specials!$AX$23,[3]Specials!$BA$23,[3]Specials!$BD$23)/1000/AA26,0)</f>
        <v>0</v>
      </c>
      <c r="AB29" s="6"/>
      <c r="AC29" s="84">
        <f>-SUM('[3]Total P&amp;C'!$O$21,'[3]Total P&amp;C'!$R$21:$V$21,'[3]Total P&amp;C'!$Y$21,'[3]Total P&amp;C'!$AB$21,'[3]Total P&amp;C'!$AU$21,'[3]Total P&amp;C'!$AX$21,'[3]Total P&amp;C'!$BA$21,'[3]Total P&amp;C'!$BD$21)/1000/AC26</f>
        <v>0.71771949971756765</v>
      </c>
      <c r="AD29" s="60">
        <f>-SUM('[3]Total P&amp;C'!$O$22,'[3]Total P&amp;C'!$R$22:$V$22,'[3]Total P&amp;C'!$Y$22,'[3]Total P&amp;C'!$AB$22,'[3]Total P&amp;C'!$AU$22,'[3]Total P&amp;C'!$AX$22,'[3]Total P&amp;C'!$BA$22,'[3]Total P&amp;C'!$BD$22)/1000/AD26</f>
        <v>0.61782550882349396</v>
      </c>
      <c r="AE29" s="60">
        <f>-SUM('[3]Total P&amp;C'!$O$23,'[3]Total P&amp;C'!$R$23:$V$23,'[3]Total P&amp;C'!$Y$23,'[3]Total P&amp;C'!$AB$23,'[3]Total P&amp;C'!$AU$23,'[3]Total P&amp;C'!$AX$23,'[3]Total P&amp;C'!$BA$23,'[3]Total P&amp;C'!$BD$23)/1000/AE26</f>
        <v>0.61556975592518293</v>
      </c>
      <c r="AG29" s="109"/>
      <c r="AK29" s="109"/>
      <c r="AO29" s="109"/>
      <c r="AS29" s="109"/>
      <c r="AW29" s="109"/>
      <c r="BA29" s="109"/>
      <c r="BE29" s="109"/>
    </row>
    <row r="30" spans="1:57" ht="16.5" hidden="1" outlineLevel="1" x14ac:dyDescent="0.25">
      <c r="A30" s="202"/>
      <c r="B30" s="9"/>
      <c r="C30" s="38" t="s">
        <v>24</v>
      </c>
      <c r="D30" s="7"/>
      <c r="E30" s="97">
        <f>-([3]Retail!$P$21+[3]Retail!$W$21+[3]Retail!$AV$21+[3]Retail!$AY$21)/1000/E26</f>
        <v>0</v>
      </c>
      <c r="F30" s="42">
        <f>-([3]Retail!$P$22+[3]Retail!$W$22+[3]Retail!$AV$22+[3]Retail!$AY$22)/1000/F26</f>
        <v>0</v>
      </c>
      <c r="G30" s="42">
        <f>-([3]Retail!$P$23+[3]Retail!$W$23+[3]Retail!$AV$23+[3]Retail!$AY$23)/1000/G26</f>
        <v>0</v>
      </c>
      <c r="H30" s="7"/>
      <c r="I30" s="97">
        <f>-([3]SME!$P$21+[3]SME!$W$21+[3]SME!$AV$21+[3]SME!$AY$21)/1000/I26</f>
        <v>0</v>
      </c>
      <c r="J30" s="42">
        <f>-([3]SME!$P$22+[3]SME!$W$22+[3]SME!$AV$22+[3]SME!$AY$22)/1000/J26</f>
        <v>0</v>
      </c>
      <c r="K30" s="42">
        <f>-([3]SME!$P$23+[3]SME!$W$23+[3]SME!$AV$23+[3]SME!$AY$23)/1000/K26</f>
        <v>0</v>
      </c>
      <c r="L30" s="7"/>
      <c r="M30" s="97">
        <f>-([3]MidCorp!$P$21+[3]MidCorp!$W$21+[3]MidCorp!$AV$21+[3]MidCorp!$AY$21)/1000/M26</f>
        <v>0</v>
      </c>
      <c r="N30" s="42">
        <f>-([3]MidCorp!$P$22+[3]MidCorp!$W$22+[3]MidCorp!$AV$22+[3]MidCorp!$AY$22)/1000/N26</f>
        <v>0</v>
      </c>
      <c r="O30" s="42">
        <f>-([3]MidCorp!$P$23+[3]MidCorp!$W$23+[3]MidCorp!$AV$23+[3]MidCorp!$AY$23)/1000/O26</f>
        <v>0</v>
      </c>
      <c r="P30" s="7"/>
      <c r="Q30" s="97">
        <f>-([3]MGA!$P$21+[3]MGA!$W$21+[3]MGA!$AV$21+[3]MGA!$AY$21)/1000/Q26</f>
        <v>0</v>
      </c>
      <c r="R30" s="42">
        <f>-([3]MGA!$P$22+[3]MGA!$W$22+[3]MGA!$AV$22+[3]MGA!$AY$22)/1000/R26</f>
        <v>0</v>
      </c>
      <c r="S30" s="42">
        <f>-([3]MGA!$P$23+[3]MGA!$W$23+[3]MGA!$AV$23+[3]MGA!$AY$23)/1000/S26</f>
        <v>0</v>
      </c>
      <c r="T30" s="7"/>
      <c r="U30" s="97">
        <f>IFERROR(-([3]Bancassurance!$P$21+[3]Bancassurance!$W$21+[3]Bancassurance!$AV$21+[3]Bancassurance!$AY$21)/1000/U26,0)</f>
        <v>0</v>
      </c>
      <c r="V30" s="42">
        <f>IFERROR(-([3]Bancassurance!$P$22+[3]Bancassurance!$W$22+[3]Bancassurance!$AV$22+[3]Bancassurance!$AY$22)/1000/V26,0)</f>
        <v>0</v>
      </c>
      <c r="W30" s="42">
        <f>IFERROR(-([3]Bancassurance!$P$23+[3]Bancassurance!$W$23+[3]Bancassurance!$AV$23+[3]Bancassurance!$AY$23)/1000/W26,0)</f>
        <v>0</v>
      </c>
      <c r="X30" s="7"/>
      <c r="Y30" s="97">
        <f>-([3]Specials!$P$21+[3]Specials!$W$21+[3]Specials!$AV$21+[3]Specials!$AY$21)/1000/Y26</f>
        <v>0</v>
      </c>
      <c r="Z30" s="42">
        <f>-([3]Specials!$P$22+[3]Specials!$W$22+[3]Specials!$AV$22+[3]Specials!$AY$22)/1000/Z26</f>
        <v>0</v>
      </c>
      <c r="AA30" s="42">
        <f>IFERROR(-([3]Specials!$P$23+[3]Specials!$W$23+[3]Specials!$AV$23+[3]Specials!$AY$23)/1000/AA26,0)</f>
        <v>0</v>
      </c>
      <c r="AB30" s="7"/>
      <c r="AC30" s="99">
        <f>-('[3]Total P&amp;C'!$P$21+'[3]Total P&amp;C'!$W$21+'[3]Total P&amp;C'!$AV$21+'[3]Total P&amp;C'!$AY$21)/1000/AC26</f>
        <v>0</v>
      </c>
      <c r="AD30" s="60">
        <f>-('[3]Total P&amp;C'!$P$22+'[3]Total P&amp;C'!$W$22+'[3]Total P&amp;C'!$AV$22+'[3]Total P&amp;C'!$AY$22)/1000/AD26</f>
        <v>0</v>
      </c>
      <c r="AE30" s="60">
        <f>-('[3]Total P&amp;C'!$P$23+'[3]Total P&amp;C'!$W$23+'[3]Total P&amp;C'!$AV$23+'[3]Total P&amp;C'!$AY$23)/1000/AE26</f>
        <v>0</v>
      </c>
      <c r="AG30" s="109"/>
      <c r="AK30" s="109"/>
      <c r="AO30" s="109"/>
      <c r="AS30" s="109"/>
      <c r="AW30" s="109"/>
      <c r="BA30" s="109"/>
      <c r="BE30" s="109"/>
    </row>
    <row r="31" spans="1:57" ht="16.5" hidden="1" outlineLevel="1" x14ac:dyDescent="0.25">
      <c r="A31" s="202"/>
      <c r="B31" s="9"/>
      <c r="C31" s="38" t="s">
        <v>25</v>
      </c>
      <c r="D31" s="7"/>
      <c r="E31" s="97">
        <f>-([3]Retail!$Q$21+[3]Retail!$X$21+[3]Retail!$AW$21+[3]Retail!$AZ$21)/1000/E26</f>
        <v>7.6953857026450884E-2</v>
      </c>
      <c r="F31" s="42">
        <f>-([3]Retail!$Q$22+[3]Retail!$X$22+[3]Retail!$AW$22+[3]Retail!$AZ$22)/1000/F26</f>
        <v>0.24105587410671273</v>
      </c>
      <c r="G31" s="42">
        <f>-([3]Retail!$Q$23+[3]Retail!$X$23+[3]Retail!$AW$23+[3]Retail!$AZ$23)/1000/G26</f>
        <v>7.5900550772500575E-2</v>
      </c>
      <c r="H31" s="7"/>
      <c r="I31" s="73">
        <f>-([3]SME!$Q$21+[3]SME!$X$21+[3]SME!$AW$21+[3]SME!$AZ$21)/1000/I26</f>
        <v>0.16157967512261504</v>
      </c>
      <c r="J31" s="42">
        <f>-([3]SME!$Q$22+[3]SME!$X$22+[3]SME!$AW$22+[3]SME!$AZ$22)/1000/J26</f>
        <v>5.9741851903414696E-2</v>
      </c>
      <c r="K31" s="42">
        <f>-([3]SME!$Q$23+[3]SME!$X$23+[3]SME!$AW$23+[3]SME!$AZ$23)/1000/K26</f>
        <v>0.15634985955936767</v>
      </c>
      <c r="L31" s="7"/>
      <c r="M31" s="73">
        <f>-([3]MidCorp!$Q$21+[3]MidCorp!$X$21+[3]MidCorp!$AW$21+[3]MidCorp!$AZ$21)/1000/M26</f>
        <v>0.15937107154709235</v>
      </c>
      <c r="N31" s="42">
        <f>-([3]MidCorp!$Q$22+[3]MidCorp!$X$22+[3]MidCorp!$AW$22+[3]MidCorp!$AZ$22)/1000/N26</f>
        <v>0.14636111387570655</v>
      </c>
      <c r="O31" s="42">
        <f>-([3]MidCorp!$Q$23+[3]MidCorp!$X$23+[3]MidCorp!$AW$23+[3]MidCorp!$AZ$23)/1000/O26</f>
        <v>0.14608752796882124</v>
      </c>
      <c r="P31" s="7"/>
      <c r="Q31" s="74">
        <f>-([3]MGA!$Q$21+[3]MGA!$X$21+[3]MGA!$AW$21+[3]MGA!$AZ$21)/1000/Q26</f>
        <v>0.11584524873112761</v>
      </c>
      <c r="R31" s="42">
        <f>-([3]MGA!$Q$22+[3]MGA!$X$22+[3]MGA!$AW$22+[3]MGA!$AZ$22)/1000/R26</f>
        <v>0.14913628074932558</v>
      </c>
      <c r="S31" s="42">
        <f>-([3]MGA!$Q$23+[3]MGA!$X$23+[3]MGA!$AW$23+[3]MGA!$AZ$23)/1000/S26</f>
        <v>0.13797548476822252</v>
      </c>
      <c r="T31" s="7"/>
      <c r="U31" s="97">
        <f>IFERROR(-([3]Bancassurance!$Q$21+[3]Bancassurance!$X$21+[3]Bancassurance!$AW$21+[3]Bancassurance!$AZ$21)/1000/U26,0)</f>
        <v>0</v>
      </c>
      <c r="V31" s="42">
        <f>IFERROR(-([3]Bancassurance!$Q$22+[3]Bancassurance!$X$22+[3]Bancassurance!$AW$22+[3]Bancassurance!$AZ$22)/1000/V26,0)</f>
        <v>0</v>
      </c>
      <c r="W31" s="42">
        <f>IFERROR(-([3]Bancassurance!$Q$23+[3]Bancassurance!$X$23+[3]Bancassurance!$AW$23+[3]Bancassurance!$AZ$23)/1000/W26,0)</f>
        <v>0</v>
      </c>
      <c r="X31" s="7"/>
      <c r="Y31" s="97">
        <f>-([3]Specials!$Q$21+[3]Specials!$X$21+[3]Specials!$AW$21+[3]Specials!$AZ$21)/1000/Y26</f>
        <v>0</v>
      </c>
      <c r="Z31" s="42">
        <f>-([3]Specials!$Q$22+[3]Specials!$X$22+[3]Specials!$AW$22+[3]Specials!$AZ$22)/1000/Z26</f>
        <v>0</v>
      </c>
      <c r="AA31" s="42">
        <f>IFERROR(-([3]Specials!$Q$23+[3]Specials!$X$23+[3]Specials!$AW$23+[3]Specials!$AZ$23)/1000/AA26,0)</f>
        <v>0</v>
      </c>
      <c r="AB31" s="7"/>
      <c r="AC31" s="99">
        <f>-('[3]Total P&amp;C'!$Q$21+'[3]Total P&amp;C'!$X$21+'[3]Total P&amp;C'!$AW$21+'[3]Total P&amp;C'!$AZ$21)/1000/AC26</f>
        <v>0.14247838804377386</v>
      </c>
      <c r="AD31" s="60">
        <f>-('[3]Total P&amp;C'!$Q$22+'[3]Total P&amp;C'!$X$22+'[3]Total P&amp;C'!$AW$22+'[3]Total P&amp;C'!$AZ$22)/1000/AD26</f>
        <v>0.14677855481398258</v>
      </c>
      <c r="AE31" s="60">
        <f>-('[3]Total P&amp;C'!$Q$23+'[3]Total P&amp;C'!$X$23+'[3]Total P&amp;C'!$AW$23+'[3]Total P&amp;C'!$AZ$23)/1000/AE26</f>
        <v>0.13800149398985895</v>
      </c>
      <c r="AG31" s="109"/>
      <c r="AK31" s="109"/>
      <c r="AO31" s="109"/>
      <c r="AS31" s="109"/>
      <c r="AW31" s="109"/>
      <c r="BA31" s="109"/>
      <c r="BE31" s="109"/>
    </row>
    <row r="32" spans="1:57" ht="16.5" hidden="1" outlineLevel="1" x14ac:dyDescent="0.25">
      <c r="A32" s="202"/>
      <c r="B32" s="9"/>
      <c r="C32" s="38" t="s">
        <v>53</v>
      </c>
      <c r="D32" s="7"/>
      <c r="E32" s="74">
        <f>-[3]Retail!$AT$21/1000/E26</f>
        <v>3.0849954865964778E-2</v>
      </c>
      <c r="F32" s="42">
        <f>-[3]Retail!$AT$22/1000/F26</f>
        <v>8.6287145442391772E-2</v>
      </c>
      <c r="G32" s="42">
        <f>-[3]Retail!$AT$23/1000/G26</f>
        <v>4.2841856351015048E-2</v>
      </c>
      <c r="H32" s="7"/>
      <c r="I32" s="74">
        <f>-[3]SME!$AT$21/1000/I26</f>
        <v>2.7999283835608176E-2</v>
      </c>
      <c r="J32" s="42">
        <f>-[3]SME!$AT$22/1000/J26</f>
        <v>2.9308066027378277E-2</v>
      </c>
      <c r="K32" s="42">
        <f>-[3]SME!$AT$23/1000/K26</f>
        <v>2.8322673084446429E-2</v>
      </c>
      <c r="L32" s="7"/>
      <c r="M32" s="74">
        <f>-[3]MidCorp!$AT$21/1000/M26</f>
        <v>2.6900667185372019E-2</v>
      </c>
      <c r="N32" s="42">
        <f>-[3]MidCorp!$AT$22/1000/N26</f>
        <v>9.2393063308418982E-2</v>
      </c>
      <c r="O32" s="42">
        <f>-[3]MidCorp!$AT$23/1000/O26</f>
        <v>0.10293956174188822</v>
      </c>
      <c r="P32" s="7"/>
      <c r="Q32" s="74">
        <f>-[3]MGA!$AT$21/1000/Q26</f>
        <v>1.8456592219629486E-2</v>
      </c>
      <c r="R32" s="42">
        <f>-[3]MGA!$AT$22/1000/R26</f>
        <v>2.2770433942766396E-2</v>
      </c>
      <c r="S32" s="42">
        <f>-[3]MGA!$AT$23/1000/S26</f>
        <v>3.2489665225376836E-2</v>
      </c>
      <c r="T32" s="7"/>
      <c r="U32" s="97">
        <f>IFERROR(-[3]Bancassurance!$AT$21/1000/U26,0)</f>
        <v>0</v>
      </c>
      <c r="V32" s="42">
        <f>IFERROR(-[3]Bancassurance!$AT$22/1000/V26,0)</f>
        <v>0</v>
      </c>
      <c r="W32" s="42">
        <f>IFERROR(-[3]Bancassurance!$AT$23/1000/W26,0)</f>
        <v>0</v>
      </c>
      <c r="X32" s="7"/>
      <c r="Y32" s="74">
        <f>-[3]Specials!$AT$21/1000/Y26</f>
        <v>-4.2983718433198597</v>
      </c>
      <c r="Z32" s="42">
        <f>-[3]Specials!$AT$22/1000/Z26</f>
        <v>-20.780833055018611</v>
      </c>
      <c r="AA32" s="42">
        <f>IFERROR(-[3]Specials!$AT$23/1000/AA26,0)</f>
        <v>0</v>
      </c>
      <c r="AB32" s="7"/>
      <c r="AC32" s="85">
        <f>-'[3]Total P&amp;C'!$AT$21/1000/AC26</f>
        <v>2.2141476307271236E-2</v>
      </c>
      <c r="AD32" s="60">
        <f>-'[3]Total P&amp;C'!$AT$22/1000/AD26</f>
        <v>6.6517011658800779E-2</v>
      </c>
      <c r="AE32" s="60">
        <f>-'[3]Total P&amp;C'!$AT$23/1000/AE26</f>
        <v>7.2873677564518291E-2</v>
      </c>
      <c r="AG32" s="109"/>
      <c r="AK32" s="109"/>
      <c r="AO32" s="109"/>
      <c r="AS32" s="109"/>
      <c r="AW32" s="109"/>
      <c r="BA32" s="109"/>
      <c r="BE32" s="109"/>
    </row>
    <row r="33" spans="1:57" ht="16.5" hidden="1" outlineLevel="1" x14ac:dyDescent="0.25">
      <c r="A33" s="202"/>
      <c r="B33" s="9"/>
      <c r="C33" s="37" t="s">
        <v>27</v>
      </c>
      <c r="D33" s="7"/>
      <c r="E33" s="71">
        <f>-([3]Retail!$Z$21+[3]Retail!$AA$21+[3]Retail!$BB$21+[3]Retail!$BC$21)/1000/E26</f>
        <v>-6.4652847581050749E-2</v>
      </c>
      <c r="F33" s="41">
        <f>-([3]Retail!$Z$22+[3]Retail!$AA$22+[3]Retail!$BB$22+[3]Retail!$BC$22)/1000/F26</f>
        <v>-5.8978050300123069E-2</v>
      </c>
      <c r="G33" s="41">
        <f>-([3]Retail!$Z$23+[3]Retail!$AA$23+[3]Retail!$BB$23+[3]Retail!$BC$23)/1000/G26</f>
        <v>-2.8314205145802632E-2</v>
      </c>
      <c r="H33" s="7"/>
      <c r="I33" s="72">
        <f>-([3]SME!$Z$21+[3]SME!$AA$21+[3]SME!$BB$21+[3]SME!$BC$21)/1000/I26</f>
        <v>-7.4028654169885244E-2</v>
      </c>
      <c r="J33" s="41">
        <f>-([3]SME!$Z$22+[3]SME!$AA$22+[3]SME!$BB$22+[3]SME!$BC$22)/1000/J26</f>
        <v>-4.0405718405097747E-2</v>
      </c>
      <c r="K33" s="41">
        <f>-([3]SME!$Z$23+[3]SME!$AA$23+[3]SME!$BB$23+[3]SME!$BC$23)/1000/K26</f>
        <v>-4.5904341945617065E-2</v>
      </c>
      <c r="L33" s="7"/>
      <c r="M33" s="71">
        <f>-([3]MidCorp!$Z$21+[3]MidCorp!$AA$21+[3]MidCorp!$BB$21+[3]MidCorp!$BC$21)/1000/M26</f>
        <v>-8.0392077635235051E-2</v>
      </c>
      <c r="N33" s="41">
        <f>-([3]MidCorp!$Z$22+[3]MidCorp!$AA$22+[3]MidCorp!$BB$22+[3]MidCorp!$BC$22)/1000/N26</f>
        <v>-6.0738805880500242E-2</v>
      </c>
      <c r="O33" s="41">
        <f>-([3]MidCorp!$Z$23+[3]MidCorp!$AA$23+[3]MidCorp!$BB$23+[3]MidCorp!$BC$23)/1000/O26</f>
        <v>-4.2030610759710194E-2</v>
      </c>
      <c r="P33" s="7"/>
      <c r="Q33" s="71">
        <f>-([3]MGA!$Z$21+[3]MGA!$AA$21+[3]MGA!$BB$21+[3]MGA!$BC$21)/1000/Q26</f>
        <v>-5.0478887502170049E-2</v>
      </c>
      <c r="R33" s="41">
        <f>-([3]MGA!$Z$22+[3]MGA!$AA$22+[3]MGA!$BB$22+[3]MGA!$BC$22)/1000/R26</f>
        <v>-5.465690486909397E-2</v>
      </c>
      <c r="S33" s="41">
        <f>-([3]MGA!$Z$23+[3]MGA!$AA$23+[3]MGA!$BB$23+[3]MGA!$BC$23)/1000/S26</f>
        <v>-5.33809219582181E-2</v>
      </c>
      <c r="T33" s="7"/>
      <c r="U33" s="41">
        <f>IFERROR(-([3]Bancassurance!$Z$21+[3]Bancassurance!$AA$21+[3]Bancassurance!$BB$21+[3]Bancassurance!$BC$21)/1000/U26,0)</f>
        <v>0</v>
      </c>
      <c r="V33" s="41">
        <f>IFERROR(-([3]Bancassurance!$Z$22+[3]Bancassurance!$AA$22+[3]Bancassurance!$BB$22+[3]Bancassurance!$BC$22)/1000/V26,0)</f>
        <v>0</v>
      </c>
      <c r="W33" s="41">
        <f>IFERROR(-([3]Bancassurance!$Z$23+[3]Bancassurance!$AA$23+[3]Bancassurance!$BB$23+[3]Bancassurance!$BC$23)/1000/W26,0)</f>
        <v>0</v>
      </c>
      <c r="X33" s="7"/>
      <c r="Y33" s="41">
        <f>-([3]Specials!$Z$21+[3]Specials!$AA$21+[3]Specials!$BB$21+[3]Specials!$BC$21)/1000/Y26</f>
        <v>0</v>
      </c>
      <c r="Z33" s="41">
        <f>-([3]Specials!$Z$22+[3]Specials!$AA$22+[3]Specials!$BB$22+[3]Specials!$BC$22)/1000/Z26</f>
        <v>0</v>
      </c>
      <c r="AA33" s="41">
        <f>IFERROR(-([3]Specials!$Z$23+[3]Specials!$AA$23+[3]Specials!$BB$23+[3]Specials!$BC$23)/1000/AA26,0)</f>
        <v>0</v>
      </c>
      <c r="AB33" s="7"/>
      <c r="AC33" s="86">
        <f>-('[3]Total P&amp;C'!$Z$21+'[3]Total P&amp;C'!$AA$21+'[3]Total P&amp;C'!$BB$21+'[3]Total P&amp;C'!$BC$21)/1000/AC26</f>
        <v>-7.2233486125653237E-2</v>
      </c>
      <c r="AD33" s="59">
        <f>-('[3]Total P&amp;C'!$Z$22+'[3]Total P&amp;C'!$AA$22+'[3]Total P&amp;C'!$BB$22+'[3]Total P&amp;C'!$BC$22)/1000/AD26</f>
        <v>-5.6751893305704841E-2</v>
      </c>
      <c r="AE33" s="59">
        <f>-('[3]Total P&amp;C'!$Z$23+'[3]Total P&amp;C'!$AA$23+'[3]Total P&amp;C'!$BB$23+'[3]Total P&amp;C'!$BC$23)/1000/AE26</f>
        <v>-4.3255348580797146E-2</v>
      </c>
      <c r="AG33" s="109"/>
      <c r="AK33" s="109"/>
      <c r="AO33" s="109"/>
      <c r="AS33" s="109"/>
      <c r="AW33" s="109"/>
      <c r="BA33" s="109"/>
      <c r="BE33" s="109"/>
    </row>
    <row r="34" spans="1:57" ht="16.5" hidden="1" outlineLevel="1" x14ac:dyDescent="0.25">
      <c r="A34" s="202"/>
      <c r="B34" s="9"/>
      <c r="C34" s="37" t="s">
        <v>57</v>
      </c>
      <c r="D34" s="7"/>
      <c r="E34" s="72">
        <f>-SUM([3]Retail!$AC$21:$AI$21,[3]Retail!$BE$21:$BG$21)/1000/E26</f>
        <v>0.76409690689316867</v>
      </c>
      <c r="F34" s="41">
        <f>-SUM([3]Retail!$AC$22:$AI$22,[3]Retail!$BE$22:$BG$22)/1000/F26</f>
        <v>-0.71542516521712884</v>
      </c>
      <c r="G34" s="41">
        <f>-SUM([3]Retail!$AC$23:$AI$23,[3]Retail!$BE$23:$BG$23)/1000/G26</f>
        <v>-4.7971134431417858E-2</v>
      </c>
      <c r="H34" s="7"/>
      <c r="I34" s="72">
        <f>-SUM([3]SME!$AC$21:$AI$21,[3]SME!$BE$21:$BG$21)/1000/I26</f>
        <v>3.1439898141020051E-2</v>
      </c>
      <c r="J34" s="41">
        <f>-SUM([3]SME!$AC$22:$AI$22,[3]SME!$BE$22:$BG$22)/1000/J26</f>
        <v>0.33298191266689586</v>
      </c>
      <c r="K34" s="41">
        <f>-SUM([3]SME!$AC$23:$AI$23,[3]SME!$BE$23:$BG$23)/1000/K26</f>
        <v>7.1829841644284543E-3</v>
      </c>
      <c r="L34" s="7"/>
      <c r="M34" s="72">
        <f>-SUM([3]MidCorp!$AC$21:$AI$21,[3]MidCorp!$BE$21:$BG$21)/1000/M26</f>
        <v>8.7486949021102683E-2</v>
      </c>
      <c r="N34" s="41">
        <f>-SUM([3]MidCorp!$AC$22:$AI$22,[3]MidCorp!$BE$22:$BG$22)/1000/N26</f>
        <v>8.1090699025576252E-2</v>
      </c>
      <c r="O34" s="41">
        <f>-SUM([3]MidCorp!$AC$23:$AI$23,[3]MidCorp!$BE$23:$BG$23)/1000/O26</f>
        <v>-2.7483857000792622E-3</v>
      </c>
      <c r="P34" s="7"/>
      <c r="Q34" s="71">
        <f>-SUM([3]MGA!$AC$21:$AI$21,[3]MGA!$BE$21:$BG$21)/1000/Q26</f>
        <v>-8.6719562797687486E-2</v>
      </c>
      <c r="R34" s="41">
        <f>-SUM([3]MGA!$AC$22:$AI$22,[3]MGA!$BE$22:$BG$22)/1000/R26</f>
        <v>2.7704833564586633E-2</v>
      </c>
      <c r="S34" s="41">
        <f>-SUM([3]MGA!$AC$23:$AI$23,[3]MGA!$BE$23:$BG$23)/1000/S26</f>
        <v>-1.9818284978256058E-2</v>
      </c>
      <c r="T34" s="7"/>
      <c r="U34" s="96">
        <f>IFERROR(-SUM([3]Bancassurance!$AC$21:$AI$21,[3]Bancassurance!$BE$21:$BG$21)/1000/U26,0)</f>
        <v>0</v>
      </c>
      <c r="V34" s="41">
        <f>IFERROR(-SUM([3]Bancassurance!$AC$22:$AI$22,[3]Bancassurance!$BE$22:$BG$22)/1000/V26,0)</f>
        <v>0</v>
      </c>
      <c r="W34" s="41">
        <f>IFERROR(-SUM([3]Bancassurance!$AC$23:$AI$23,[3]Bancassurance!$BE$23:$BG$23)/1000/W26,0)</f>
        <v>0</v>
      </c>
      <c r="X34" s="7"/>
      <c r="Y34" s="71">
        <f>-SUM([3]Specials!$AC$21:$AI$21,[3]Specials!$BE$21:$BG$21)/1000/Y26</f>
        <v>-2.3866520068548178</v>
      </c>
      <c r="Z34" s="41">
        <f>-SUM([3]Specials!$AC$22:$AI$22,[3]Specials!$BE$22:$BG$22)/1000/Z26</f>
        <v>-7.2112108546117621</v>
      </c>
      <c r="AA34" s="41">
        <f>IFERROR(-SUM([3]Specials!$AC$23:$AI$23,[3]Specials!$BE$23:$BG$23)/1000/AA26,0)</f>
        <v>0</v>
      </c>
      <c r="AB34" s="7"/>
      <c r="AC34" s="83">
        <f>-SUM('[3]Total P&amp;C'!$AC$21:$AI$21,'[3]Total P&amp;C'!$BE$21:$BG$21)/1000/AC26</f>
        <v>0.11718498485443193</v>
      </c>
      <c r="AD34" s="59">
        <f>-SUM('[3]Total P&amp;C'!$AC$22:$AI$22,'[3]Total P&amp;C'!$BE$22:$BG$22)/1000/AD26</f>
        <v>8.2567358767261234E-3</v>
      </c>
      <c r="AE34" s="59">
        <f>-SUM('[3]Total P&amp;C'!$AC$23:$AI$23,'[3]Total P&amp;C'!$BE$23:$BG$23)/1000/AE26</f>
        <v>-9.8914467307855761E-3</v>
      </c>
      <c r="AG34" s="109"/>
      <c r="AK34" s="109"/>
      <c r="AO34" s="109"/>
      <c r="AS34" s="109"/>
      <c r="AW34" s="109"/>
      <c r="BA34" s="109"/>
      <c r="BE34" s="109"/>
    </row>
    <row r="35" spans="1:57" ht="16.5" hidden="1" outlineLevel="1" x14ac:dyDescent="0.25">
      <c r="A35" s="202"/>
      <c r="B35" s="9"/>
      <c r="C35" s="37" t="s">
        <v>29</v>
      </c>
      <c r="D35" s="7"/>
      <c r="E35" s="71">
        <f>-SUM([3]Retail!$AJ$21:$AK$21,[3]Retail!$BH$21:$BI$21)/1000/E26</f>
        <v>-0.85870734674451654</v>
      </c>
      <c r="F35" s="41">
        <f>-SUM([3]Retail!$AJ$22:$AK$22,[3]Retail!$BH$22:$BI$22)/1000/F26</f>
        <v>-4.1765898842966671E-2</v>
      </c>
      <c r="G35" s="41">
        <f>-SUM([3]Retail!$AJ$23:$AK$23,[3]Retail!$BH$23:$BI$23)/1000/G26</f>
        <v>0</v>
      </c>
      <c r="H35" s="7"/>
      <c r="I35" s="71">
        <f>-SUM([3]SME!$AJ$21:$AK$21,[3]SME!$BH$21:$BI$21)/1000/I26</f>
        <v>-0.27074892764704678</v>
      </c>
      <c r="J35" s="41">
        <f>-SUM([3]SME!$AJ$22:$AK$22,[3]SME!$BH$22:$BI$22)/1000/J26</f>
        <v>-5.2903623949093467E-2</v>
      </c>
      <c r="K35" s="41">
        <f>-SUM([3]SME!$AJ$23:$AK$23,[3]SME!$BH$23:$BI$23)/1000/K26</f>
        <v>0</v>
      </c>
      <c r="L35" s="7"/>
      <c r="M35" s="71">
        <f>-SUM([3]MidCorp!$AJ$21:$AK$21,[3]MidCorp!$BH$21:$BI$21)/1000/M26</f>
        <v>-5.8363346391656613E-2</v>
      </c>
      <c r="N35" s="41">
        <f>-SUM([3]MidCorp!$AJ$22:$AK$22,[3]MidCorp!$BH$22:$BI$22)/1000/N26</f>
        <v>2.6238540524747323E-2</v>
      </c>
      <c r="O35" s="41">
        <f>-SUM([3]MidCorp!$AJ$23:$AK$23,[3]MidCorp!$BH$23:$BI$23)/1000/O26</f>
        <v>0</v>
      </c>
      <c r="P35" s="7"/>
      <c r="Q35" s="72">
        <f>-SUM([3]MGA!$AJ$21:$AK$21,[3]MGA!$BH$21:$BI$21)/1000/Q26</f>
        <v>0.2171159069087174</v>
      </c>
      <c r="R35" s="41">
        <f>-SUM([3]MGA!$AJ$22:$AK$22,[3]MGA!$BH$22:$BI$22)/1000/R26</f>
        <v>-0.14936543261971627</v>
      </c>
      <c r="S35" s="41">
        <f>-SUM([3]MGA!$AJ$23:$AK$23,[3]MGA!$BH$23:$BI$23)/1000/S26</f>
        <v>0</v>
      </c>
      <c r="T35" s="7"/>
      <c r="U35" s="96">
        <f>IFERROR(-SUM([3]Bancassurance!$AJ$21:$AK$21,[3]Bancassurance!$BH$21:$BI$21)/1000/U26,0)</f>
        <v>0</v>
      </c>
      <c r="V35" s="41">
        <f>IFERROR(-SUM([3]Bancassurance!$AJ$22:$AK$22,[3]Bancassurance!$BH$22:$BI$22)/1000/V26,0)</f>
        <v>0</v>
      </c>
      <c r="W35" s="41">
        <f>IFERROR(-SUM([3]Bancassurance!$AJ$23:$AK$23,[3]Bancassurance!$BH$23:$BI$23)/1000/W26,0)</f>
        <v>0</v>
      </c>
      <c r="X35" s="7"/>
      <c r="Y35" s="72">
        <f>-SUM([3]Specials!$AJ$21:$AK$21,[3]Specials!$BH$21:$BI$21)/1000/Y26</f>
        <v>0.5205569995222582</v>
      </c>
      <c r="Z35" s="41">
        <f>-SUM([3]Specials!$AJ$22:$AK$22,[3]Specials!$BH$22:$BI$22)/1000/Z26</f>
        <v>-2.4120360156126139</v>
      </c>
      <c r="AA35" s="41">
        <f>IFERROR(-SUM([3]Specials!$AJ$23:$AK$23,[3]Specials!$BH$23:$BI$23)/1000/AA26,0)</f>
        <v>0</v>
      </c>
      <c r="AB35" s="7"/>
      <c r="AC35" s="86">
        <f>-SUM('[3]Total P&amp;C'!$AJ$21:$AK$21,'[3]Total P&amp;C'!$BH$21:$BI$21)/1000/AC26</f>
        <v>-0.11370408397635572</v>
      </c>
      <c r="AD35" s="59">
        <f>-SUM('[3]Total P&amp;C'!$AJ$22:$AK$22,'[3]Total P&amp;C'!$BH$22:$BI$22)/1000/AD26</f>
        <v>-2.4864110922014151E-2</v>
      </c>
      <c r="AE35" s="59">
        <f>-SUM('[3]Total P&amp;C'!$AJ$23:$AK$23,'[3]Total P&amp;C'!$BH$23:$BI$23)/1000/AE26</f>
        <v>0</v>
      </c>
      <c r="AG35" s="109"/>
      <c r="AK35" s="109"/>
      <c r="AO35" s="109"/>
      <c r="AS35" s="109"/>
      <c r="AW35" s="109"/>
      <c r="BA35" s="109"/>
      <c r="BE35" s="109"/>
    </row>
    <row r="36" spans="1:57" ht="16.5" hidden="1" outlineLevel="1" x14ac:dyDescent="0.25">
      <c r="A36" s="202"/>
      <c r="B36" s="9"/>
      <c r="C36" s="37" t="s">
        <v>58</v>
      </c>
      <c r="D36" s="7"/>
      <c r="E36" s="71">
        <f>+E37+E38+E39</f>
        <v>0.33196824708142142</v>
      </c>
      <c r="F36" s="41">
        <f>+F37+F38+F39</f>
        <v>0.34457721208023584</v>
      </c>
      <c r="G36" s="41">
        <f>+G37+G38+G39</f>
        <v>0.335923233252994</v>
      </c>
      <c r="H36" s="7"/>
      <c r="I36" s="71">
        <f>+I37+I38+I39</f>
        <v>0.30745679033622875</v>
      </c>
      <c r="J36" s="41">
        <f>+J37+J38+J39</f>
        <v>0.30764016391806426</v>
      </c>
      <c r="K36" s="41">
        <f>+K37+K38+K39</f>
        <v>0.31700011962793168</v>
      </c>
      <c r="L36" s="7"/>
      <c r="M36" s="71">
        <f>+M37+M38+M39</f>
        <v>0.16079958782409814</v>
      </c>
      <c r="N36" s="41">
        <f>+N37+N38+N39</f>
        <v>0.16158959164202463</v>
      </c>
      <c r="O36" s="41">
        <f>+O37+O38+O39</f>
        <v>0.191358089806072</v>
      </c>
      <c r="P36" s="7"/>
      <c r="Q36" s="72">
        <f>+Q37+Q38+Q39</f>
        <v>0.33217119938817175</v>
      </c>
      <c r="R36" s="41">
        <f>+R37+R38+R39</f>
        <v>0.32016761063100391</v>
      </c>
      <c r="S36" s="41">
        <f>+S37+S38+S39</f>
        <v>0.32418357680816062</v>
      </c>
      <c r="T36" s="7"/>
      <c r="U36" s="96">
        <f>+U37+U38+U39</f>
        <v>0</v>
      </c>
      <c r="V36" s="41">
        <f>+V37+V38+V39</f>
        <v>0</v>
      </c>
      <c r="W36" s="41">
        <f>+W37+W38+W39</f>
        <v>0</v>
      </c>
      <c r="X36" s="7"/>
      <c r="Y36" s="96">
        <f>+Y37+Y38+Y39</f>
        <v>0</v>
      </c>
      <c r="Z36" s="41">
        <f>+Z37+Z38+Z39</f>
        <v>0</v>
      </c>
      <c r="AA36" s="41">
        <f>+AA37+AA38+AA39</f>
        <v>0</v>
      </c>
      <c r="AB36" s="7"/>
      <c r="AC36" s="86">
        <f>+AC37+AC38+AC39</f>
        <v>0.22799827336172981</v>
      </c>
      <c r="AD36" s="59">
        <f>+AD37+AD38+AD39</f>
        <v>0.23156169705498972</v>
      </c>
      <c r="AE36" s="59">
        <f>+AE37+AE38+AE39</f>
        <v>0.2496057799419277</v>
      </c>
      <c r="AG36" s="109"/>
      <c r="AK36" s="109"/>
      <c r="AO36" s="109"/>
      <c r="AS36" s="109"/>
      <c r="AW36" s="109"/>
      <c r="BA36" s="109"/>
      <c r="BE36" s="109"/>
    </row>
    <row r="37" spans="1:57" ht="16.5" hidden="1" outlineLevel="1" x14ac:dyDescent="0.25">
      <c r="A37" s="202"/>
      <c r="B37" s="9"/>
      <c r="C37" s="39" t="s">
        <v>59</v>
      </c>
      <c r="D37" s="8"/>
      <c r="E37" s="74">
        <f>-SUM([3]Retail!$AL$21:$AN$21,[3]Retail!$BJ$21)/1000/E26</f>
        <v>0.161005212880756</v>
      </c>
      <c r="F37" s="42">
        <f>-SUM([3]Retail!$AL$22:$AN$22,[3]Retail!$BJ$22)/1000/F26</f>
        <v>0.16155055710894817</v>
      </c>
      <c r="G37" s="42">
        <f>-SUM([3]Retail!$AL$23:$AN$23,[3]Retail!$BJ$23)/1000/G26</f>
        <v>0.16129474659345919</v>
      </c>
      <c r="H37" s="8"/>
      <c r="I37" s="74">
        <f>-SUM([3]SME!$AL$21:$AN$21,[3]SME!$BJ$21)/1000/I26</f>
        <v>0.16656513725022823</v>
      </c>
      <c r="J37" s="42">
        <f>-SUM([3]SME!$AL$22:$AN$22,[3]SME!$BJ$22)/1000/J26</f>
        <v>0.16489248767867198</v>
      </c>
      <c r="K37" s="42">
        <f>-SUM([3]SME!$AL$23:$AN$23,[3]SME!$BJ$23)/1000/K26</f>
        <v>0.16977280185555163</v>
      </c>
      <c r="L37" s="8"/>
      <c r="M37" s="74">
        <f>-SUM([3]MidCorp!$AL$21:$AN$21,[3]MidCorp!$BJ$21)/1000/M26</f>
        <v>7.3547216547115837E-2</v>
      </c>
      <c r="N37" s="42">
        <f>-SUM([3]MidCorp!$AL$22:$AN$22,[3]MidCorp!$BJ$22)/1000/N26</f>
        <v>7.9094980706427162E-2</v>
      </c>
      <c r="O37" s="42">
        <f>-SUM([3]MidCorp!$AL$23:$AN$23,[3]MidCorp!$BJ$23)/1000/O26</f>
        <v>7.9474804680161437E-2</v>
      </c>
      <c r="P37" s="8"/>
      <c r="Q37" s="73">
        <f>-SUM([3]MGA!$AL$21:$AN$21,[3]MGA!$BJ$21)/1000/Q26</f>
        <v>0.27561797163559004</v>
      </c>
      <c r="R37" s="42">
        <f>-SUM([3]MGA!$AL$22:$AN$22,[3]MGA!$BJ$22)/1000/R26</f>
        <v>0.26145881730806941</v>
      </c>
      <c r="S37" s="42">
        <f>-SUM([3]MGA!$AL$23:$AN$23,[3]MGA!$BJ$23)/1000/S26</f>
        <v>0.25022460125958645</v>
      </c>
      <c r="T37" s="8"/>
      <c r="U37" s="97">
        <f>IFERROR(-SUM([3]Bancassurance!$AL$21:$AN$21,[3]Bancassurance!$BJ$21)/1000/U26,0)</f>
        <v>0</v>
      </c>
      <c r="V37" s="42">
        <f>IFERROR(-SUM([3]Bancassurance!$AL$22:$AN$22,[3]Bancassurance!$BJ$22)/1000/V26,0)</f>
        <v>0</v>
      </c>
      <c r="W37" s="42">
        <f>IFERROR(-SUM([3]Bancassurance!$AL$23:$AN$23,[3]Bancassurance!$BJ$23)/1000/W26,0)</f>
        <v>0</v>
      </c>
      <c r="X37" s="8"/>
      <c r="Y37" s="97">
        <f>-SUM([3]Specials!$AL$21:$AN$21,[3]Specials!$BJ$21)/1000/Y26</f>
        <v>0</v>
      </c>
      <c r="Z37" s="42">
        <f>-SUM([3]Specials!$AL$22:$AN$22,[3]Specials!$BJ$22)/1000/Z26</f>
        <v>0</v>
      </c>
      <c r="AA37" s="42">
        <f>IFERROR(-SUM([3]Specials!$AL$23:$AN$23,[3]Specials!$BJ$23)/1000/AA26,0)</f>
        <v>0</v>
      </c>
      <c r="AB37" s="8"/>
      <c r="AC37" s="85">
        <f>-SUM('[3]Total P&amp;C'!$AL$21:$AN$21,'[3]Total P&amp;C'!$BJ$21)/1000/AC26</f>
        <v>0.1317926218299223</v>
      </c>
      <c r="AD37" s="60">
        <f>-SUM('[3]Total P&amp;C'!$AL$22:$AN$22,'[3]Total P&amp;C'!$BJ$22)/1000/AD26</f>
        <v>0.13351862754187163</v>
      </c>
      <c r="AE37" s="60">
        <f>-SUM('[3]Total P&amp;C'!$AL$23:$AN$23,'[3]Total P&amp;C'!$BJ$23)/1000/AE26</f>
        <v>0.13384560864118927</v>
      </c>
      <c r="AG37" s="109"/>
      <c r="AK37" s="109"/>
      <c r="AO37" s="109"/>
      <c r="AS37" s="109"/>
      <c r="AW37" s="109"/>
      <c r="BA37" s="109"/>
      <c r="BE37" s="109"/>
    </row>
    <row r="38" spans="1:57" ht="16.5" hidden="1" outlineLevel="1" x14ac:dyDescent="0.25">
      <c r="A38" s="202"/>
      <c r="B38" s="9"/>
      <c r="C38" s="39" t="s">
        <v>60</v>
      </c>
      <c r="D38" s="8"/>
      <c r="E38" s="74">
        <f>-SUM([3]Retail!$AO$21:$AP$21)/1000/E26</f>
        <v>8.3375763430825742E-2</v>
      </c>
      <c r="F38" s="42">
        <f>-SUM([3]Retail!$AO$22:$AP$22)/1000/F26</f>
        <v>8.1927757144213589E-2</v>
      </c>
      <c r="G38" s="42">
        <f>-SUM([3]Retail!$AO$23:$AP$23)/1000/G26</f>
        <v>8.4882415180300527E-2</v>
      </c>
      <c r="H38" s="8"/>
      <c r="I38" s="97">
        <f>-SUM([3]SME!$AO$21:$AP$21)/1000/I26</f>
        <v>6.762483460372766E-2</v>
      </c>
      <c r="J38" s="42">
        <f>-SUM([3]SME!$AO$22:$AP$22)/1000/J26</f>
        <v>7.0662923364621419E-2</v>
      </c>
      <c r="K38" s="42">
        <f>-SUM([3]SME!$AO$23:$AP$23)/1000/K26</f>
        <v>6.3243961986937255E-2</v>
      </c>
      <c r="L38" s="8"/>
      <c r="M38" s="74">
        <f>-SUM([3]MidCorp!$AO$21:$AP$21)/1000/M26</f>
        <v>1.800487129093992E-2</v>
      </c>
      <c r="N38" s="42">
        <f>-SUM([3]MidCorp!$AO$22:$AP$22)/1000/N26</f>
        <v>9.275214837275135E-3</v>
      </c>
      <c r="O38" s="42">
        <f>-SUM([3]MidCorp!$AO$23:$AP$23)/1000/O26</f>
        <v>2.0392709984662624E-2</v>
      </c>
      <c r="P38" s="8"/>
      <c r="Q38" s="74">
        <f>-SUM([3]MGA!$AO$21:$AP$21)/1000/Q26</f>
        <v>1.8563896699413423E-2</v>
      </c>
      <c r="R38" s="42">
        <f>-SUM([3]MGA!$AO$22:$AP$22)/1000/R26</f>
        <v>1.4226736453110308E-2</v>
      </c>
      <c r="S38" s="42">
        <f>-SUM([3]MGA!$AO$23:$AP$23)/1000/S26</f>
        <v>2.3885842770182152E-2</v>
      </c>
      <c r="T38" s="8"/>
      <c r="U38" s="97">
        <f>IFERROR(-SUM([3]Bancassurance!$AO$21:$AP$21)/1000/U26,0)</f>
        <v>0</v>
      </c>
      <c r="V38" s="42">
        <f>IFERROR(-SUM([3]Bancassurance!$AO$22:$AP$22)/1000/V26,0)</f>
        <v>0</v>
      </c>
      <c r="W38" s="42">
        <f>IFERROR(-SUM([3]Bancassurance!$AO$23:$AP$23)/1000/W26,0)</f>
        <v>0</v>
      </c>
      <c r="X38" s="8"/>
      <c r="Y38" s="97">
        <f>-SUM([3]Specials!$AO$21:$AP$21)/1000/Y26</f>
        <v>0</v>
      </c>
      <c r="Z38" s="42">
        <f>-SUM([3]Specials!$AO$22:$AP$22)/1000/Z26</f>
        <v>0</v>
      </c>
      <c r="AA38" s="42">
        <f>IFERROR(-SUM([3]Specials!$AO$23:$AP$23)/1000/AA26,0)</f>
        <v>0</v>
      </c>
      <c r="AB38" s="8"/>
      <c r="AC38" s="85">
        <f>-SUM('[3]Total P&amp;C'!$AO$21:$AP$21)/1000/AC26</f>
        <v>3.0595927155660688E-2</v>
      </c>
      <c r="AD38" s="60">
        <f>-SUM('[3]Total P&amp;C'!$AO$22:$AP$22)/1000/AD26</f>
        <v>2.6941964558410227E-2</v>
      </c>
      <c r="AE38" s="60">
        <f>-SUM('[3]Total P&amp;C'!$AO$23:$AP$23)/1000/AE26</f>
        <v>3.363631557334619E-2</v>
      </c>
      <c r="AG38" s="109"/>
      <c r="AK38" s="109"/>
      <c r="AO38" s="109"/>
      <c r="AS38" s="109"/>
      <c r="AW38" s="109"/>
      <c r="BA38" s="109"/>
      <c r="BE38" s="109"/>
    </row>
    <row r="39" spans="1:57" ht="16.5" hidden="1" outlineLevel="1" x14ac:dyDescent="0.25">
      <c r="A39" s="202"/>
      <c r="B39" s="9"/>
      <c r="C39" s="39" t="s">
        <v>61</v>
      </c>
      <c r="D39" s="8"/>
      <c r="E39" s="74">
        <f>-SUM([3]Retail!$AQ$21:$AR$21)/1000/E26</f>
        <v>8.7587270769839673E-2</v>
      </c>
      <c r="F39" s="42">
        <f>-SUM([3]Retail!$AQ$22:$AR$22)/1000/F26</f>
        <v>0.10109889782707407</v>
      </c>
      <c r="G39" s="42">
        <f>-SUM([3]Retail!$AQ$23:$AR$23)/1000/G26</f>
        <v>8.9746071479234288E-2</v>
      </c>
      <c r="H39" s="8"/>
      <c r="I39" s="74">
        <f>-SUM([3]SME!$AQ$21:$AR$21)/1000/I26</f>
        <v>7.3266818482272858E-2</v>
      </c>
      <c r="J39" s="42">
        <f>-SUM([3]SME!$AQ$22:$AR$22)/1000/J26</f>
        <v>7.2084752874770813E-2</v>
      </c>
      <c r="K39" s="42">
        <f>-SUM([3]SME!$AQ$23:$AR$23)/1000/K26</f>
        <v>8.3983355785442804E-2</v>
      </c>
      <c r="L39" s="8"/>
      <c r="M39" s="74">
        <f>-SUM([3]MidCorp!$AQ$21:$AR$21)/1000/M26</f>
        <v>6.9247499986042391E-2</v>
      </c>
      <c r="N39" s="42">
        <f>-SUM([3]MidCorp!$AQ$22:$AR$22)/1000/N26</f>
        <v>7.3219396098322329E-2</v>
      </c>
      <c r="O39" s="42">
        <f>-SUM([3]MidCorp!$AQ$23:$AR$23)/1000/O26</f>
        <v>9.1490575141247921E-2</v>
      </c>
      <c r="P39" s="8"/>
      <c r="Q39" s="74">
        <f>-SUM([3]MGA!$AQ$21:$AR$21)/1000/Q26</f>
        <v>3.7989331053168235E-2</v>
      </c>
      <c r="R39" s="42">
        <f>-SUM([3]MGA!$AQ$22:$AR$22)/1000/R26</f>
        <v>4.4482056869824212E-2</v>
      </c>
      <c r="S39" s="42">
        <f>-SUM([3]MGA!$AQ$23:$AR$23)/1000/S26</f>
        <v>5.0073132778392017E-2</v>
      </c>
      <c r="T39" s="8"/>
      <c r="U39" s="97">
        <f>IFERROR(-SUM([3]Bancassurance!$AQ$21:$AR$21)/1000/U26,0)</f>
        <v>0</v>
      </c>
      <c r="V39" s="42">
        <f>IFERROR(-SUM([3]Bancassurance!$AQ$22:$AR$22)/1000/V26,0)</f>
        <v>0</v>
      </c>
      <c r="W39" s="42">
        <f>IFERROR(-SUM([3]Bancassurance!$AQ$23:$AR$23)/1000/W26,0)</f>
        <v>0</v>
      </c>
      <c r="X39" s="8"/>
      <c r="Y39" s="97">
        <f>-SUM([3]Specials!$AQ$21:$AR$21)/1000/Y26</f>
        <v>0</v>
      </c>
      <c r="Z39" s="42">
        <f>-SUM([3]Specials!$AQ$22:$AR$22)/1000/Z26</f>
        <v>0</v>
      </c>
      <c r="AA39" s="42">
        <f>IFERROR(-SUM([3]Specials!$AQ$23:$AR$23)/1000/AA26,0)</f>
        <v>0</v>
      </c>
      <c r="AB39" s="8"/>
      <c r="AC39" s="85">
        <f>-SUM('[3]Total P&amp;C'!$AQ$21:$AR$21)/1000/AC26</f>
        <v>6.5609724376146844E-2</v>
      </c>
      <c r="AD39" s="60">
        <f>-SUM('[3]Total P&amp;C'!$AQ$22:$AR$22)/1000/AD26</f>
        <v>7.1101104954707867E-2</v>
      </c>
      <c r="AE39" s="60">
        <f>-SUM('[3]Total P&amp;C'!$AQ$23:$AR$23)/1000/AE26</f>
        <v>8.2123855727392253E-2</v>
      </c>
      <c r="AG39" s="109"/>
      <c r="AK39" s="109"/>
      <c r="AO39" s="109"/>
      <c r="AS39" s="109"/>
      <c r="AW39" s="109"/>
      <c r="BA39" s="109"/>
      <c r="BE39" s="109"/>
    </row>
    <row r="40" spans="1:57" ht="16.5" hidden="1" outlineLevel="1" x14ac:dyDescent="0.25">
      <c r="A40" s="202"/>
      <c r="B40" s="9"/>
      <c r="C40" s="37" t="s">
        <v>34</v>
      </c>
      <c r="D40" s="6"/>
      <c r="E40" s="75">
        <f>+[3]Retail!$BK$21/1000</f>
        <v>1.5638918899999945</v>
      </c>
      <c r="F40" s="40">
        <f>+[3]Retail!$BK$22/1000</f>
        <v>4.5839988300000085</v>
      </c>
      <c r="G40" s="40">
        <f>+[3]Retail!$BK$23/1000</f>
        <v>1.2224719456865449</v>
      </c>
      <c r="H40" s="6"/>
      <c r="I40" s="75">
        <f>+[3]SME!$BK$21/1000</f>
        <v>-2.9110959999998159E-2</v>
      </c>
      <c r="J40" s="40">
        <f>+[3]SME!$BK$22/1000</f>
        <v>-1.8619984100000064</v>
      </c>
      <c r="K40" s="40">
        <f>+[3]SME!$BK$23/1000</f>
        <v>-1.189494095904863</v>
      </c>
      <c r="L40" s="6"/>
      <c r="M40" s="98">
        <f>+[3]MidCorp!$BK$21/1000</f>
        <v>-2.0036135799999752</v>
      </c>
      <c r="N40" s="40">
        <f>+[3]MidCorp!$BK$22/1000</f>
        <v>-3.4874152499999984</v>
      </c>
      <c r="O40" s="40">
        <f>+[3]MidCorp!$BK$23/1000</f>
        <v>-1.230440325497334</v>
      </c>
      <c r="P40" s="6"/>
      <c r="Q40" s="98">
        <f>+[3]MGA!$BK$21/1000</f>
        <v>-3.396215849999991</v>
      </c>
      <c r="R40" s="40">
        <f>+[3]MGA!$BK$22/1000</f>
        <v>1.1090373900000003</v>
      </c>
      <c r="S40" s="40">
        <f>+[3]MGA!$BK$23/1000</f>
        <v>-0.54097591586352434</v>
      </c>
      <c r="T40" s="6"/>
      <c r="U40" s="70">
        <f>IFERROR(+[3]Bancassurance!$BK$21/1000,0)</f>
        <v>0</v>
      </c>
      <c r="V40" s="40">
        <f>+[3]Bancassurance!$BK$22/1000</f>
        <v>-1.2452340000000001E-2</v>
      </c>
      <c r="W40" s="40">
        <f>+[3]Bancassurance!$BK$23/1000</f>
        <v>0</v>
      </c>
      <c r="X40" s="6"/>
      <c r="Y40" s="75">
        <f>+[3]Specials!$BK$21/1000</f>
        <v>0.49503550000000002</v>
      </c>
      <c r="Z40" s="40">
        <f>+[3]Specials!$BK$22/1000</f>
        <v>0.46516385999999998</v>
      </c>
      <c r="AA40" s="40">
        <f>+[3]Specials!$BK$23/1000</f>
        <v>0</v>
      </c>
      <c r="AB40" s="6"/>
      <c r="AC40" s="101">
        <f>+'[3]Total P&amp;C'!$BK$21/1000</f>
        <v>-3.3700129999999846</v>
      </c>
      <c r="AD40" s="58">
        <f>+'[3]Total P&amp;C'!$BK$22/1000</f>
        <v>0.79633408000002848</v>
      </c>
      <c r="AE40" s="58">
        <f>+'[3]Total P&amp;C'!$BK$23/1000</f>
        <v>-1.7384383915791795</v>
      </c>
      <c r="AG40" s="108"/>
      <c r="AK40" s="108"/>
      <c r="AO40" s="108"/>
      <c r="AS40" s="108"/>
      <c r="AW40" s="108"/>
      <c r="BA40" s="108"/>
      <c r="BE40" s="108"/>
    </row>
    <row r="41" spans="1:57" hidden="1" outlineLevel="1" x14ac:dyDescent="0.25"/>
    <row r="42" spans="1:57" ht="16.5" hidden="1" outlineLevel="1" x14ac:dyDescent="0.25">
      <c r="A42" s="202" t="s">
        <v>36</v>
      </c>
      <c r="B42" s="9"/>
      <c r="C42" s="37" t="s">
        <v>19</v>
      </c>
      <c r="D42" s="6"/>
      <c r="E42" s="75">
        <f>+[3]Retail!$C$25/1000</f>
        <v>6.2248890499999998</v>
      </c>
      <c r="F42" s="40">
        <f>+[3]Retail!$C$26/1000</f>
        <v>6.3570276600000062</v>
      </c>
      <c r="G42" s="40">
        <f>+[3]Retail!$C$27/1000</f>
        <v>6.0438989373344745</v>
      </c>
      <c r="H42" s="6"/>
      <c r="I42" s="70">
        <f>+[3]SME!$C$25/1000</f>
        <v>16.007937729999998</v>
      </c>
      <c r="J42" s="40">
        <f>+[3]SME!$C$26/1000</f>
        <v>16.894429599999999</v>
      </c>
      <c r="K42" s="40">
        <f>+[3]SME!$C$27/1000</f>
        <v>16.600106181526964</v>
      </c>
      <c r="L42" s="6"/>
      <c r="M42" s="70">
        <f>+[3]MidCorp!$C$25/1000</f>
        <v>39.628817059999996</v>
      </c>
      <c r="N42" s="40">
        <f>+[3]MidCorp!$C$26/1000</f>
        <v>40.996110250000015</v>
      </c>
      <c r="O42" s="40">
        <f>+[3]MidCorp!$C$27/1000</f>
        <v>43.326823316958041</v>
      </c>
      <c r="P42" s="6"/>
      <c r="Q42" s="75">
        <f>+[3]MGA!$C$25/1000</f>
        <v>16.548543609999999</v>
      </c>
      <c r="R42" s="40">
        <f>+[3]MGA!$C$26/1000</f>
        <v>14.175313029999998</v>
      </c>
      <c r="S42" s="40">
        <f>+[3]MGA!$C$27/1000</f>
        <v>16.528940000000002</v>
      </c>
      <c r="T42" s="6"/>
      <c r="U42" s="75">
        <f>+[3]Bancassurance!$C$25/1000</f>
        <v>4.7752789999999989E-2</v>
      </c>
      <c r="V42" s="40">
        <f>+[3]Bancassurance!$C$26/1000</f>
        <v>0</v>
      </c>
      <c r="W42" s="40">
        <f>+[3]Bancassurance!$C$27/1000</f>
        <v>0</v>
      </c>
      <c r="X42" s="6"/>
      <c r="Y42" s="75">
        <f>+[3]Specials!$C$25/1000</f>
        <v>3.2974860000000002E-2</v>
      </c>
      <c r="Z42" s="40">
        <f>+[3]Specials!$C$26/1000</f>
        <v>3.0641959999999999E-2</v>
      </c>
      <c r="AA42" s="40">
        <f>+[3]Specials!$C$27/1000</f>
        <v>0</v>
      </c>
      <c r="AB42" s="6"/>
      <c r="AC42" s="82">
        <f>+'[3]Total P&amp;C'!$C$25/1000</f>
        <v>78.490915099999995</v>
      </c>
      <c r="AD42" s="58">
        <f>+'[3]Total P&amp;C'!$C$26/1000</f>
        <v>78.453522500000005</v>
      </c>
      <c r="AE42" s="58">
        <f>+'[3]Total P&amp;C'!$C$27/1000</f>
        <v>82.499768435819476</v>
      </c>
      <c r="AG42" s="108"/>
      <c r="AK42" s="108"/>
      <c r="AO42" s="108"/>
      <c r="AS42" s="108"/>
      <c r="AW42" s="108"/>
      <c r="BA42" s="108"/>
      <c r="BE42" s="108"/>
    </row>
    <row r="43" spans="1:57" ht="16.5" hidden="1" outlineLevel="1" x14ac:dyDescent="0.25">
      <c r="A43" s="202"/>
      <c r="B43" s="9"/>
      <c r="C43" s="37" t="s">
        <v>55</v>
      </c>
      <c r="D43" s="6"/>
      <c r="E43" s="75">
        <f>+[3]Retail!$N$25/1000</f>
        <v>5.9169875699999963</v>
      </c>
      <c r="F43" s="40">
        <f>+[3]Retail!$N$26/1000</f>
        <v>5.9519893000000037</v>
      </c>
      <c r="G43" s="40">
        <f>+[3]Retail!$N$27/1000</f>
        <v>5.4831789536431144</v>
      </c>
      <c r="H43" s="6"/>
      <c r="I43" s="70">
        <f>+[3]SME!$N$25/1000</f>
        <v>10.192887899999995</v>
      </c>
      <c r="J43" s="40">
        <f>+[3]SME!$N$26/1000</f>
        <v>10.773261300000001</v>
      </c>
      <c r="K43" s="40">
        <f>+[3]SME!$N$27/1000</f>
        <v>10.854287308415786</v>
      </c>
      <c r="L43" s="6"/>
      <c r="M43" s="98">
        <f>+[3]MidCorp!$N$25/1000</f>
        <v>32.326091659999989</v>
      </c>
      <c r="N43" s="40">
        <f>+[3]MidCorp!$N$26/1000</f>
        <v>32.366543129999997</v>
      </c>
      <c r="O43" s="40">
        <f>+[3]MidCorp!$N$27/1000</f>
        <v>32.958818618406411</v>
      </c>
      <c r="P43" s="6"/>
      <c r="Q43" s="70">
        <f>+[3]MGA!$N$25/1000</f>
        <v>12.889771580000009</v>
      </c>
      <c r="R43" s="40">
        <f>+[3]MGA!$N$26/1000</f>
        <v>11.253686709999998</v>
      </c>
      <c r="S43" s="40">
        <f>+[3]MGA!$N$27/1000</f>
        <v>15.114644842129936</v>
      </c>
      <c r="T43" s="6"/>
      <c r="U43" s="75">
        <f>+[3]Bancassurance!$N$25/1000</f>
        <v>4.3950409999999995E-2</v>
      </c>
      <c r="V43" s="40">
        <f>+[3]Bancassurance!$N$26/1000</f>
        <v>0</v>
      </c>
      <c r="W43" s="40">
        <f>+[3]Bancassurance!$N$27/1000</f>
        <v>0</v>
      </c>
      <c r="X43" s="6"/>
      <c r="Y43" s="75">
        <f>+[3]Specials!$N$25/1000</f>
        <v>7.87647E-3</v>
      </c>
      <c r="Z43" s="40">
        <f>+[3]Specials!$N$26/1000</f>
        <v>3.9638100000000008E-3</v>
      </c>
      <c r="AA43" s="40">
        <f>+[3]Specials!$N$27/1000</f>
        <v>0</v>
      </c>
      <c r="AB43" s="6"/>
      <c r="AC43" s="82">
        <f>+'[3]Total P&amp;C'!$N$25/1000</f>
        <v>61.377565589999989</v>
      </c>
      <c r="AD43" s="58">
        <f>+'[3]Total P&amp;C'!$N$26/1000</f>
        <v>60.349444249999998</v>
      </c>
      <c r="AE43" s="58">
        <f>+'[3]Total P&amp;C'!$N$27/1000</f>
        <v>64.410929722595242</v>
      </c>
      <c r="AG43" s="108"/>
      <c r="AK43" s="108"/>
      <c r="AO43" s="108"/>
      <c r="AS43" s="108"/>
      <c r="AW43" s="108"/>
      <c r="BA43" s="108"/>
      <c r="BE43" s="108"/>
    </row>
    <row r="44" spans="1:57" ht="16.5" hidden="1" outlineLevel="1" x14ac:dyDescent="0.25">
      <c r="A44" s="202"/>
      <c r="B44" s="9"/>
      <c r="C44" s="37" t="s">
        <v>21</v>
      </c>
      <c r="D44" s="6"/>
      <c r="E44" s="71">
        <f>+E45+E50+E51+E52+E53</f>
        <v>1.0402349856550406</v>
      </c>
      <c r="F44" s="41">
        <f>+F45+F50+F51+F52+F53</f>
        <v>1.1246691757325564</v>
      </c>
      <c r="G44" s="41">
        <f>+G45+G50+G51+G52+G53</f>
        <v>1.1395436979967677</v>
      </c>
      <c r="H44" s="6"/>
      <c r="I44" s="72">
        <f>+I45+I50+I51+I52+I53</f>
        <v>0.89744658528031152</v>
      </c>
      <c r="J44" s="41">
        <f>+J45+J50+J51+J52+J53</f>
        <v>0.79719005608821525</v>
      </c>
      <c r="K44" s="41">
        <f>+K45+K50+K51+K52+K53</f>
        <v>0.82021556729372347</v>
      </c>
      <c r="L44" s="6"/>
      <c r="M44" s="72">
        <f>+M45+M50+M51+M52+M53</f>
        <v>0.95018622860639423</v>
      </c>
      <c r="N44" s="41">
        <f>+N45+N50+N51+N52+N53</f>
        <v>0.88967533493898954</v>
      </c>
      <c r="O44" s="41">
        <f>+O45+O50+O51+O52+O53</f>
        <v>0.93270750332157704</v>
      </c>
      <c r="P44" s="6"/>
      <c r="Q44" s="71">
        <f>+Q45+Q50+Q51+Q52+Q53</f>
        <v>0.69870706040859054</v>
      </c>
      <c r="R44" s="41">
        <f>+R45+R50+R51+R52+R53</f>
        <v>0.92648401085620835</v>
      </c>
      <c r="S44" s="41">
        <f>+S45+S50+S51+S52+S53</f>
        <v>0.88468373985761717</v>
      </c>
      <c r="T44" s="6"/>
      <c r="U44" s="72">
        <f>+U45+U50+U51+U52+U53</f>
        <v>0.15005275263643733</v>
      </c>
      <c r="V44" s="41">
        <f>+V45+V50+V51+V52+V53</f>
        <v>0</v>
      </c>
      <c r="W44" s="41">
        <f>+W45+W50+W51+W52+W53</f>
        <v>0</v>
      </c>
      <c r="X44" s="6"/>
      <c r="Y44" s="71">
        <f>+Y45+Y50+Y51+Y52+Y53</f>
        <v>-16.377895173853261</v>
      </c>
      <c r="Z44" s="41">
        <f>+Z45+Z50+Z51+Z52+Z53</f>
        <v>-29.012490507869948</v>
      </c>
      <c r="AA44" s="41">
        <f>+AA45+AA50+AA51+AA52+AA53</f>
        <v>0</v>
      </c>
      <c r="AB44" s="6"/>
      <c r="AC44" s="86">
        <f>+AC45+AC50+AC51+AC52+AC53</f>
        <v>0.89449957492196486</v>
      </c>
      <c r="AD44" s="59">
        <f>+AD45+AD50+AD51+AD52+AD53</f>
        <v>0.90144796851215414</v>
      </c>
      <c r="AE44" s="59">
        <f>+AE45+AE50+AE51+AE52+AE53</f>
        <v>0.92008911609642408</v>
      </c>
      <c r="AG44" s="109"/>
      <c r="AK44" s="109"/>
      <c r="AO44" s="109"/>
      <c r="AS44" s="109"/>
      <c r="AW44" s="109"/>
      <c r="BA44" s="109"/>
      <c r="BE44" s="109"/>
    </row>
    <row r="45" spans="1:57" ht="16.5" hidden="1" outlineLevel="1" x14ac:dyDescent="0.25">
      <c r="A45" s="202"/>
      <c r="B45" s="9"/>
      <c r="C45" s="37" t="s">
        <v>56</v>
      </c>
      <c r="D45" s="6"/>
      <c r="E45" s="71">
        <f>+E46+E47+E48+E49</f>
        <v>0.69595407312981772</v>
      </c>
      <c r="F45" s="41">
        <f>+F46+F47+F48+F49</f>
        <v>0.87154082249442166</v>
      </c>
      <c r="G45" s="41">
        <f>+G46+G47+G48+G49</f>
        <v>0.76462703033661295</v>
      </c>
      <c r="H45" s="6"/>
      <c r="I45" s="71">
        <f>+I46+I47+I48+I49</f>
        <v>0.50449794704403672</v>
      </c>
      <c r="J45" s="41">
        <f>+J46+J47+J48+J49</f>
        <v>0.52160956311344631</v>
      </c>
      <c r="K45" s="41">
        <f>+K46+K47+K48+K49</f>
        <v>0.52581223416483636</v>
      </c>
      <c r="L45" s="6"/>
      <c r="M45" s="71">
        <f>+M46+M47+M48+M49</f>
        <v>0.59381732632258477</v>
      </c>
      <c r="N45" s="41">
        <f>+N46+N47+N48+N49</f>
        <v>0.64125344145147201</v>
      </c>
      <c r="O45" s="41">
        <f>+O46+O47+O48+O49</f>
        <v>0.65469714502588505</v>
      </c>
      <c r="P45" s="6"/>
      <c r="Q45" s="72">
        <f>+Q46+Q47+Q48+Q49</f>
        <v>0.62359440352472051</v>
      </c>
      <c r="R45" s="41">
        <f>+R46+R47+R48+R49</f>
        <v>0.63959990761107677</v>
      </c>
      <c r="S45" s="41">
        <f>+S46+S47+S48+S49</f>
        <v>0.59577495200139918</v>
      </c>
      <c r="T45" s="6"/>
      <c r="U45" s="96">
        <f>+U46+U47+U48+U49</f>
        <v>0</v>
      </c>
      <c r="V45" s="41">
        <f>+V46+V47+V48+V49</f>
        <v>0</v>
      </c>
      <c r="W45" s="41">
        <f>+W46+W47+W48+W49</f>
        <v>0</v>
      </c>
      <c r="X45" s="6"/>
      <c r="Y45" s="71">
        <f>+Y46+Y47+Y48+Y49</f>
        <v>-16.377895173853261</v>
      </c>
      <c r="Z45" s="41">
        <f>+Z46+Z47+Z48+Z49</f>
        <v>-29.012490507869948</v>
      </c>
      <c r="AA45" s="41">
        <f>+AA46+AA47+AA48+AA49</f>
        <v>0</v>
      </c>
      <c r="AB45" s="6"/>
      <c r="AC45" s="86">
        <f>+AC46+AC47+AC48+AC49</f>
        <v>0.59248073804225321</v>
      </c>
      <c r="AD45" s="59">
        <f>+AD46+AD47+AD48+AD49</f>
        <v>0.64035141334379386</v>
      </c>
      <c r="AE45" s="59">
        <f>+AE46+AE47+AE48+AE49</f>
        <v>0.62850940566484292</v>
      </c>
      <c r="AG45" s="109"/>
      <c r="AK45" s="109"/>
      <c r="AO45" s="109"/>
      <c r="AS45" s="109"/>
      <c r="AW45" s="109"/>
      <c r="BA45" s="109"/>
      <c r="BE45" s="109"/>
    </row>
    <row r="46" spans="1:57" ht="16.5" hidden="1" outlineLevel="1" x14ac:dyDescent="0.25">
      <c r="A46" s="202"/>
      <c r="B46" s="9"/>
      <c r="C46" s="38" t="s">
        <v>23</v>
      </c>
      <c r="D46" s="6"/>
      <c r="E46" s="74">
        <f>-SUM([3]Retail!$O$25,[3]Retail!$R$25:$V$25,[3]Retail!$Y$25,[3]Retail!$AB$25,[3]Retail!$AU$25,[3]Retail!$AX$25,[3]Retail!$BA$25,[3]Retail!$BD$25)/1000/E43</f>
        <v>0.6769829482673736</v>
      </c>
      <c r="F46" s="42">
        <f>-SUM([3]Retail!$O$26,[3]Retail!$R$26:$V$26,[3]Retail!$Y$26,[3]Retail!$AB$26,[3]Retail!$AU$26,[3]Retail!$AX$26,[3]Retail!$BA$26,[3]Retail!$BD$26)/1000/F43</f>
        <v>0.84648345385970314</v>
      </c>
      <c r="G46" s="42">
        <f>-SUM([3]Retail!$O$27,[3]Retail!$R$27:$V$27,[3]Retail!$Y$27,[3]Retail!$AB$27,[3]Retail!$AU$27,[3]Retail!$AX$27,[3]Retail!$BA$27,[3]Retail!$BD$27)/1000/G43</f>
        <v>0.73141873767324528</v>
      </c>
      <c r="H46" s="6"/>
      <c r="I46" s="74">
        <f>-SUM([3]SME!$O$25,[3]SME!$R$25:$V$25,[3]SME!$Y$25,[3]SME!$AB$25,[3]SME!$AU$25,[3]SME!$AX$25,[3]SME!$BA$25,[3]SME!$BD$25)/1000/I43</f>
        <v>0.48604871147459616</v>
      </c>
      <c r="J46" s="42">
        <f>-SUM([3]SME!$O$26,[3]SME!$R$26:$V$26,[3]SME!$Y$26,[3]SME!$AB$26,[3]SME!$AU$26,[3]SME!$AX$26,[3]SME!$BA$26,[3]SME!$BD$26)/1000/J43</f>
        <v>0.5024031051767025</v>
      </c>
      <c r="K46" s="42">
        <f>-SUM([3]SME!$O$27,[3]SME!$R$27:$V$27,[3]SME!$Y$27,[3]SME!$AB$27,[3]SME!$AU$27,[3]SME!$AX$27,[3]SME!$BA$27,[3]SME!$BD$27)/1000/K43</f>
        <v>0.48855327924530856</v>
      </c>
      <c r="L46" s="6"/>
      <c r="M46" s="73">
        <f>-SUM([3]MidCorp!$O$25,[3]MidCorp!$R$25:$V$25,[3]MidCorp!$Y$25,[3]MidCorp!$AB$25,[3]MidCorp!$AU$25,[3]MidCorp!$AX$25,[3]MidCorp!$BA$25,[3]MidCorp!$BD$25)/1000/M43</f>
        <v>0.55643602818392823</v>
      </c>
      <c r="N46" s="42">
        <f>-SUM([3]MidCorp!$O$26,[3]MidCorp!$R$26:$V$26,[3]MidCorp!$Y$26,[3]MidCorp!$AB$26,[3]MidCorp!$AU$26,[3]MidCorp!$AX$26,[3]MidCorp!$BA$26,[3]MidCorp!$BD$26)/1000/N43</f>
        <v>0.59081519435653118</v>
      </c>
      <c r="O46" s="42">
        <f>-SUM([3]MidCorp!$O$27,[3]MidCorp!$R$27:$V$27,[3]MidCorp!$Y$27,[3]MidCorp!$AB$27,[3]MidCorp!$AU$27,[3]MidCorp!$AX$27,[3]MidCorp!$BA$27,[3]MidCorp!$BD$27)/1000/O43</f>
        <v>0.54844346037171954</v>
      </c>
      <c r="P46" s="6"/>
      <c r="Q46" s="73">
        <f>-SUM([3]MGA!$O$25,[3]MGA!$R$25:$V$25,[3]MGA!$Y$25,[3]MGA!$AB$25,[3]MGA!$AU$25,[3]MGA!$AX$25,[3]MGA!$BA$25,[3]MGA!$BD$25)/1000/Q43</f>
        <v>0.60885973279597827</v>
      </c>
      <c r="R46" s="42">
        <f>-SUM([3]MGA!$O$26,[3]MGA!$R$26:$V$26,[3]MGA!$Y$26,[3]MGA!$AB$26,[3]MGA!$AU$26,[3]MGA!$AX$26,[3]MGA!$BA$26,[3]MGA!$BD$26)/1000/R43</f>
        <v>0.62198711945482998</v>
      </c>
      <c r="S46" s="42">
        <f>-SUM([3]MGA!$O$27,[3]MGA!$R$27:$V$27,[3]MGA!$Y$27,[3]MGA!$AB$27,[3]MGA!$AU$27,[3]MGA!$AX$27,[3]MGA!$BA$27,[3]MGA!$BD$27)/1000/S43</f>
        <v>0.55070225460401201</v>
      </c>
      <c r="T46" s="6"/>
      <c r="U46" s="97">
        <f>IFERROR(-SUM([3]Bancassurance!$O$25,[3]Bancassurance!$R$25:$V$25,[3]Bancassurance!$Y$25,[3]Bancassurance!$AB$25,[3]Bancassurance!$AU$25,[3]Bancassurance!$AX$25,[3]Bancassurance!$BA$25,[3]Bancassurance!$BD$25)/1000/U43,0)</f>
        <v>0</v>
      </c>
      <c r="V46" s="42">
        <f>IFERROR(-SUM([3]Bancassurance!$O$26,[3]Bancassurance!$R$26:$V$26,[3]Bancassurance!$Y$26,[3]Bancassurance!$AB$26,[3]Bancassurance!$AU$26,[3]Bancassurance!$AX$26,[3]Bancassurance!$BA$26,[3]Bancassurance!$BD$26)/1000/V43,0)</f>
        <v>0</v>
      </c>
      <c r="W46" s="42">
        <f>IFERROR(-SUM([3]Bancassurance!$O$27,[3]Bancassurance!$R$27:$V$27,[3]Bancassurance!$Y$27,[3]Bancassurance!$AB$27,[3]Bancassurance!$AU$27,[3]Bancassurance!$AX$27,[3]Bancassurance!$BA$27,[3]Bancassurance!$BD$27)/1000/W43,0)</f>
        <v>0</v>
      </c>
      <c r="X46" s="6"/>
      <c r="Y46" s="97">
        <f>-SUM([3]Specials!$O$25,[3]Specials!$R$25:$V$25,[3]Specials!$Y$25,[3]Specials!$AB$25,[3]Specials!$AU$25,[3]Specials!$AX$25,[3]Specials!$BA$25,[3]Specials!$BD$25)/1000/Y43</f>
        <v>0</v>
      </c>
      <c r="Z46" s="42">
        <f>-SUM([3]Specials!$O$26,[3]Specials!$R$26:$V$26,[3]Specials!$Y$26,[3]Specials!$AB$26,[3]Specials!$AU$26,[3]Specials!$AX$26,[3]Specials!$BA$26,[3]Specials!$BD$26)/1000/Z43</f>
        <v>0</v>
      </c>
      <c r="AA46" s="42">
        <f>IFERROR(-SUM([3]Specials!$O$27,[3]Specials!$R$27:$V$27,[3]Specials!$Y$27,[3]Specials!$AB$27,[3]Specials!$AU$27,[3]Specials!$AX$27,[3]Specials!$BA$27,[3]Specials!$BD$27)/1000/AA43,0)</f>
        <v>0</v>
      </c>
      <c r="AB46" s="6"/>
      <c r="AC46" s="84">
        <f>-SUM('[3]Total P&amp;C'!$O$25,'[3]Total P&amp;C'!$R$25:$V$25,'[3]Total P&amp;C'!$Y$25,'[3]Total P&amp;C'!$AB$25,'[3]Total P&amp;C'!$AU$25,'[3]Total P&amp;C'!$AX$25,'[3]Total P&amp;C'!$BA$25,'[3]Total P&amp;C'!$BD$25)/1000/AC43</f>
        <v>0.56690753886252343</v>
      </c>
      <c r="AD46" s="60">
        <f>-SUM('[3]Total P&amp;C'!$O$26,'[3]Total P&amp;C'!$R$26:$V$26,'[3]Total P&amp;C'!$Y$26,'[3]Total P&amp;C'!$AB$26,'[3]Total P&amp;C'!$AU$26,'[3]Total P&amp;C'!$AX$26,'[3]Total P&amp;C'!$BA$26,'[3]Total P&amp;C'!$BD$26)/1000/AD43</f>
        <v>0.60602172057284509</v>
      </c>
      <c r="AE46" s="60">
        <f>-SUM('[3]Total P&amp;C'!$O$27,'[3]Total P&amp;C'!$R$27:$V$27,'[3]Total P&amp;C'!$Y$27,'[3]Total P&amp;C'!$AB$27,'[3]Total P&amp;C'!$AU$27,'[3]Total P&amp;C'!$AX$27,'[3]Total P&amp;C'!$BA$27,'[3]Total P&amp;C'!$BD$27)/1000/AE43</f>
        <v>0.55445737494954739</v>
      </c>
      <c r="AG46" s="109"/>
      <c r="AK46" s="109"/>
      <c r="AO46" s="109"/>
      <c r="AS46" s="109"/>
      <c r="AW46" s="109"/>
      <c r="BA46" s="109"/>
      <c r="BE46" s="109"/>
    </row>
    <row r="47" spans="1:57" ht="16.5" hidden="1" outlineLevel="1" x14ac:dyDescent="0.25">
      <c r="A47" s="202"/>
      <c r="B47" s="9"/>
      <c r="C47" s="38" t="s">
        <v>24</v>
      </c>
      <c r="D47" s="7"/>
      <c r="E47" s="74">
        <f>-([3]Retail!$P$25+[3]Retail!$W$25+[3]Retail!$AV$25+[3]Retail!$AY$25)/1000/E43</f>
        <v>1.4041739824036854E-3</v>
      </c>
      <c r="F47" s="42">
        <f>-([3]Retail!$P$26+[3]Retail!$W$26+[3]Retail!$AV$26+[3]Retail!$AY$26)/1000/F43</f>
        <v>0</v>
      </c>
      <c r="G47" s="42">
        <f>-([3]Retail!$P$27+[3]Retail!$W$27+[3]Retail!$AV$27+[3]Retail!$AY$27)/1000/G43</f>
        <v>2.2574742098780423E-2</v>
      </c>
      <c r="H47" s="7"/>
      <c r="I47" s="74">
        <f>-([3]SME!$P$25+[3]SME!$W$25+[3]SME!$AV$25+[3]SME!$AY$25)/1000/I43</f>
        <v>1.1825029489434496E-3</v>
      </c>
      <c r="J47" s="42">
        <f>-([3]SME!$P$26+[3]SME!$W$26+[3]SME!$AV$26+[3]SME!$AY$26)/1000/J43</f>
        <v>0</v>
      </c>
      <c r="K47" s="42">
        <f>-([3]SME!$P$27+[3]SME!$W$27+[3]SME!$AV$27+[3]SME!$AY$27)/1000/K43</f>
        <v>2.2652106297672777E-2</v>
      </c>
      <c r="L47" s="7"/>
      <c r="M47" s="74">
        <f>-([3]MidCorp!$P$25+[3]MidCorp!$W$25+[3]MidCorp!$AV$25+[3]MidCorp!$AY$25)/1000/M43</f>
        <v>1.1040740827992819E-4</v>
      </c>
      <c r="N47" s="42">
        <f>-([3]MidCorp!$P$26+[3]MidCorp!$W$26+[3]MidCorp!$AV$26+[3]MidCorp!$AY$26)/1000/N43</f>
        <v>0</v>
      </c>
      <c r="O47" s="42">
        <f>-([3]MidCorp!$P$27+[3]MidCorp!$W$27+[3]MidCorp!$AV$27+[3]MidCorp!$AY$27)/1000/O43</f>
        <v>2.2360953952731747E-2</v>
      </c>
      <c r="P47" s="7"/>
      <c r="Q47" s="74">
        <f>-([3]MGA!$P$25+[3]MGA!$W$25+[3]MGA!$AV$25+[3]MGA!$AY$25)/1000/Q43</f>
        <v>1.9783127917926983E-4</v>
      </c>
      <c r="R47" s="42">
        <f>-([3]MGA!$P$26+[3]MGA!$W$26+[3]MGA!$AV$26+[3]MGA!$AY$26)/1000/R43</f>
        <v>0</v>
      </c>
      <c r="S47" s="42">
        <f>-([3]MGA!$P$27+[3]MGA!$W$27+[3]MGA!$AV$27+[3]MGA!$AY$27)/1000/S43</f>
        <v>2.6024796347532072E-2</v>
      </c>
      <c r="T47" s="7"/>
      <c r="U47" s="97">
        <f>IFERROR(-([3]Bancassurance!$P$25+[3]Bancassurance!$W$25+[3]Bancassurance!$AV$25+[3]Bancassurance!$AY$25)/1000/U43,0)</f>
        <v>0</v>
      </c>
      <c r="V47" s="42">
        <f>IFERROR(-([3]Bancassurance!$P$26+[3]Bancassurance!$W$26+[3]Bancassurance!$AV$26+[3]Bancassurance!$AY$26)/1000/V43,0)</f>
        <v>0</v>
      </c>
      <c r="W47" s="42">
        <f>IFERROR(-([3]Bancassurance!$P$27+[3]Bancassurance!$W$27+[3]Bancassurance!$AV$27+[3]Bancassurance!$AY$27)/1000/W43,0)</f>
        <v>0</v>
      </c>
      <c r="X47" s="7"/>
      <c r="Y47" s="97">
        <f>-([3]Specials!$P$25+[3]Specials!$W$25+[3]Specials!$AV$25+[3]Specials!$AY$25)/1000/Y43</f>
        <v>0</v>
      </c>
      <c r="Z47" s="42">
        <f>-([3]Specials!$P$26+[3]Specials!$W$26+[3]Specials!$AV$26+[3]Specials!$AY$26)/1000/Z43</f>
        <v>0</v>
      </c>
      <c r="AA47" s="42">
        <f>IFERROR(-([3]Specials!$P$27+[3]Specials!$W$27+[3]Specials!$AV$27+[3]Specials!$AY$27)/1000/AA43,0)</f>
        <v>0</v>
      </c>
      <c r="AB47" s="7"/>
      <c r="AC47" s="85">
        <f>-('[3]Total P&amp;C'!$P$25+'[3]Total P&amp;C'!$W$25+'[3]Total P&amp;C'!$AV$25+'[3]Total P&amp;C'!$AY$25)/1000/AC43</f>
        <v>4.3143842127740546E-4</v>
      </c>
      <c r="AD47" s="60">
        <f>-('[3]Total P&amp;C'!$P$26+'[3]Total P&amp;C'!$W$26+'[3]Total P&amp;C'!$AV$26+'[3]Total P&amp;C'!$AY$26)/1000/AD43</f>
        <v>0</v>
      </c>
      <c r="AE47" s="60">
        <f>-('[3]Total P&amp;C'!$P$27+'[3]Total P&amp;C'!$W$27+'[3]Total P&amp;C'!$AV$27+'[3]Total P&amp;C'!$AY$27)/1000/AE43</f>
        <v>2.3287973119782538E-2</v>
      </c>
      <c r="AG47" s="109"/>
      <c r="AK47" s="109"/>
      <c r="AO47" s="109"/>
      <c r="AS47" s="109"/>
      <c r="AW47" s="109"/>
      <c r="BA47" s="109"/>
      <c r="BE47" s="109"/>
    </row>
    <row r="48" spans="1:57" ht="16.5" hidden="1" outlineLevel="1" x14ac:dyDescent="0.25">
      <c r="A48" s="202"/>
      <c r="B48" s="9"/>
      <c r="C48" s="38" t="s">
        <v>25</v>
      </c>
      <c r="D48" s="7"/>
      <c r="E48" s="97">
        <f>-([3]Retail!$Q$25+[3]Retail!$X$25+[3]Retail!$AW$25+[3]Retail!$AZ$25)/1000/E43</f>
        <v>0</v>
      </c>
      <c r="F48" s="42">
        <f>-([3]Retail!$Q$26+[3]Retail!$X$26+[3]Retail!$AW$26+[3]Retail!$AZ$26)/1000/F43</f>
        <v>0</v>
      </c>
      <c r="G48" s="42">
        <f>-([3]Retail!$Q$27+[3]Retail!$X$27+[3]Retail!$AW$27+[3]Retail!$AZ$27)/1000/G43</f>
        <v>0</v>
      </c>
      <c r="H48" s="7"/>
      <c r="I48" s="97">
        <f>-([3]SME!$Q$25+[3]SME!$X$25+[3]SME!$AW$25+[3]SME!$AZ$25)/1000/I43</f>
        <v>0</v>
      </c>
      <c r="J48" s="42">
        <f>-([3]SME!$Q$26+[3]SME!$X$26+[3]SME!$AW$26+[3]SME!$AZ$26)/1000/J43</f>
        <v>0</v>
      </c>
      <c r="K48" s="42">
        <f>-([3]SME!$Q$27+[3]SME!$X$27+[3]SME!$AW$27+[3]SME!$AZ$27)/1000/K43</f>
        <v>0</v>
      </c>
      <c r="L48" s="7"/>
      <c r="M48" s="97">
        <f>-([3]MidCorp!$Q$25+[3]MidCorp!$X$25+[3]MidCorp!$AW$25+[3]MidCorp!$AZ$25)/1000/M43</f>
        <v>0</v>
      </c>
      <c r="N48" s="42">
        <f>-([3]MidCorp!$Q$26+[3]MidCorp!$X$26+[3]MidCorp!$AW$26+[3]MidCorp!$AZ$26)/1000/N43</f>
        <v>0</v>
      </c>
      <c r="O48" s="42">
        <f>-([3]MidCorp!$Q$27+[3]MidCorp!$X$27+[3]MidCorp!$AW$27+[3]MidCorp!$AZ$27)/1000/O43</f>
        <v>0</v>
      </c>
      <c r="P48" s="7"/>
      <c r="Q48" s="97">
        <f>-([3]MGA!$Q$25+[3]MGA!$X$25+[3]MGA!$AW$25+[3]MGA!$AZ$25)/1000/Q43</f>
        <v>0</v>
      </c>
      <c r="R48" s="42">
        <f>-([3]MGA!$Q$26+[3]MGA!$X$26+[3]MGA!$AW$26+[3]MGA!$AZ$26)/1000/R43</f>
        <v>0</v>
      </c>
      <c r="S48" s="42">
        <f>-([3]MGA!$Q$27+[3]MGA!$X$27+[3]MGA!$AW$27+[3]MGA!$AZ$27)/1000/S43</f>
        <v>0</v>
      </c>
      <c r="T48" s="7"/>
      <c r="U48" s="97">
        <f>IFERROR(-([3]Bancassurance!$Q$25+[3]Bancassurance!$X$25+[3]Bancassurance!$AW$25+[3]Bancassurance!$AZ$25)/1000/U43,0)</f>
        <v>0</v>
      </c>
      <c r="V48" s="42">
        <f>IFERROR(-([3]Bancassurance!$Q$26+[3]Bancassurance!$X$26+[3]Bancassurance!$AW$26+[3]Bancassurance!$AZ$26)/1000/V43,0)</f>
        <v>0</v>
      </c>
      <c r="W48" s="42">
        <f>IFERROR(-([3]Bancassurance!$Q$27+[3]Bancassurance!$X$27+[3]Bancassurance!$AW$27+[3]Bancassurance!$AZ$27)/1000/W43,0)</f>
        <v>0</v>
      </c>
      <c r="X48" s="7"/>
      <c r="Y48" s="97">
        <f>-([3]Specials!$Q$25+[3]Specials!$X$25+[3]Specials!$AW$25+[3]Specials!$AZ$25)/1000/Y43</f>
        <v>0</v>
      </c>
      <c r="Z48" s="42">
        <f>-([3]Specials!$Q$26+[3]Specials!$X$26+[3]Specials!$AW$26+[3]Specials!$AZ$26)/1000/Z43</f>
        <v>0</v>
      </c>
      <c r="AA48" s="42">
        <f>IFERROR(-([3]Specials!$Q$27+[3]Specials!$X$27+[3]Specials!$AW$27+[3]Specials!$AZ$27)/1000/AA43,0)</f>
        <v>0</v>
      </c>
      <c r="AB48" s="7"/>
      <c r="AC48" s="99">
        <f>-('[3]Total P&amp;C'!$Q$25+'[3]Total P&amp;C'!$X$25+'[3]Total P&amp;C'!$AW$25+'[3]Total P&amp;C'!$AZ$25)/1000/AC43</f>
        <v>0</v>
      </c>
      <c r="AD48" s="60">
        <f>-('[3]Total P&amp;C'!$Q$26+'[3]Total P&amp;C'!$X$26+'[3]Total P&amp;C'!$AW$26+'[3]Total P&amp;C'!$AZ$26)/1000/AD43</f>
        <v>0</v>
      </c>
      <c r="AE48" s="60">
        <f>-('[3]Total P&amp;C'!$Q$27+'[3]Total P&amp;C'!$X$27+'[3]Total P&amp;C'!$AW$27+'[3]Total P&amp;C'!$AZ$27)/1000/AE43</f>
        <v>0</v>
      </c>
      <c r="AG48" s="109"/>
      <c r="AK48" s="109"/>
      <c r="AO48" s="109"/>
      <c r="AS48" s="109"/>
      <c r="AW48" s="109"/>
      <c r="BA48" s="109"/>
      <c r="BE48" s="109"/>
    </row>
    <row r="49" spans="1:57" ht="16.5" hidden="1" outlineLevel="1" x14ac:dyDescent="0.25">
      <c r="A49" s="202"/>
      <c r="B49" s="9"/>
      <c r="C49" s="38" t="s">
        <v>53</v>
      </c>
      <c r="D49" s="7"/>
      <c r="E49" s="73">
        <f>-[3]Retail!$AT$25/1000/E43</f>
        <v>1.7566950880040479E-2</v>
      </c>
      <c r="F49" s="42">
        <f>-[3]Retail!$AT$26/1000/F43</f>
        <v>2.5057368634718469E-2</v>
      </c>
      <c r="G49" s="42">
        <f>-[3]Retail!$AT$27/1000/G43</f>
        <v>1.0633550564587237E-2</v>
      </c>
      <c r="H49" s="7"/>
      <c r="I49" s="73">
        <f>-[3]SME!$AT$25/1000/I43</f>
        <v>1.7266732620497088E-2</v>
      </c>
      <c r="J49" s="42">
        <f>-[3]SME!$AT$26/1000/J43</f>
        <v>1.9206457936743821E-2</v>
      </c>
      <c r="K49" s="42">
        <f>-[3]SME!$AT$27/1000/K43</f>
        <v>1.4606848621855019E-2</v>
      </c>
      <c r="L49" s="7"/>
      <c r="M49" s="74">
        <f>-[3]MidCorp!$AT$25/1000/M43</f>
        <v>3.7270890730376649E-2</v>
      </c>
      <c r="N49" s="42">
        <f>-[3]MidCorp!$AT$26/1000/N43</f>
        <v>5.0438247094940845E-2</v>
      </c>
      <c r="O49" s="42">
        <f>-[3]MidCorp!$AT$27/1000/O43</f>
        <v>8.3892730701433813E-2</v>
      </c>
      <c r="P49" s="7"/>
      <c r="Q49" s="74">
        <f>-[3]MGA!$AT$25/1000/Q43</f>
        <v>1.4536839449562968E-2</v>
      </c>
      <c r="R49" s="42">
        <f>-[3]MGA!$AT$26/1000/R43</f>
        <v>1.7612788156246801E-2</v>
      </c>
      <c r="S49" s="42">
        <f>-[3]MGA!$AT$27/1000/S43</f>
        <v>1.9047901049855074E-2</v>
      </c>
      <c r="T49" s="7"/>
      <c r="U49" s="97">
        <f>IFERROR(-[3]Bancassurance!$AT$25/1000/U43,0)</f>
        <v>0</v>
      </c>
      <c r="V49" s="42">
        <f>IFERROR(-[3]Bancassurance!$AT$26/1000/V43,0)</f>
        <v>0</v>
      </c>
      <c r="W49" s="42">
        <f>IFERROR(-[3]Bancassurance!$AT$27/1000/W43,0)</f>
        <v>0</v>
      </c>
      <c r="X49" s="7"/>
      <c r="Y49" s="74">
        <f>-[3]Specials!$AT$25/1000/Y43</f>
        <v>-16.377895173853261</v>
      </c>
      <c r="Z49" s="42">
        <f>-[3]Specials!$AT$26/1000/Z43</f>
        <v>-29.012490507869948</v>
      </c>
      <c r="AA49" s="42">
        <f>IFERROR(-[3]Specials!$AT$27/1000/AA43,0)</f>
        <v>0</v>
      </c>
      <c r="AB49" s="7"/>
      <c r="AC49" s="85">
        <f>-'[3]Total P&amp;C'!$AT$25/1000/AC43</f>
        <v>2.5141760758452387E-2</v>
      </c>
      <c r="AD49" s="60">
        <f>-'[3]Total P&amp;C'!$AT$26/1000/AD43</f>
        <v>3.4329692770948758E-2</v>
      </c>
      <c r="AE49" s="60">
        <f>-'[3]Total P&amp;C'!$AT$27/1000/AE43</f>
        <v>5.0764057595512946E-2</v>
      </c>
      <c r="AG49" s="109"/>
      <c r="AK49" s="109"/>
      <c r="AO49" s="109"/>
      <c r="AS49" s="109"/>
      <c r="AW49" s="109"/>
      <c r="BA49" s="109"/>
      <c r="BE49" s="109"/>
    </row>
    <row r="50" spans="1:57" ht="16.5" hidden="1" outlineLevel="1" x14ac:dyDescent="0.25">
      <c r="A50" s="202"/>
      <c r="B50" s="9"/>
      <c r="C50" s="37" t="s">
        <v>27</v>
      </c>
      <c r="D50" s="7"/>
      <c r="E50" s="71">
        <f>-([3]Retail!$Z$25+[3]Retail!$AA$25+[3]Retail!$BB$25+[3]Retail!$BC$25)/1000/E43</f>
        <v>-4.7585785278234111E-3</v>
      </c>
      <c r="F50" s="41">
        <f>-([3]Retail!$Z$26+[3]Retail!$AA$26+[3]Retail!$BB$26+[3]Retail!$BC$26)/1000/F43</f>
        <v>-7.4002115561598823E-3</v>
      </c>
      <c r="G50" s="41">
        <f>-([3]Retail!$Z$27+[3]Retail!$AA$27+[3]Retail!$BB$27+[3]Retail!$BC$27)/1000/G43</f>
        <v>-1.0560282713015299E-3</v>
      </c>
      <c r="H50" s="7"/>
      <c r="I50" s="71">
        <f>-([3]SME!$Z$25+[3]SME!$AA$25+[3]SME!$BB$25+[3]SME!$BC$25)/1000/I43</f>
        <v>-3.7031212714504608E-3</v>
      </c>
      <c r="J50" s="41">
        <f>-([3]SME!$Z$26+[3]SME!$AA$26+[3]SME!$BB$26+[3]SME!$BC$26)/1000/J43</f>
        <v>-5.1242644601964676E-3</v>
      </c>
      <c r="K50" s="41">
        <f>-([3]SME!$Z$27+[3]SME!$AA$27+[3]SME!$BB$27+[3]SME!$BC$27)/1000/K43</f>
        <v>-1.3168134903667563E-3</v>
      </c>
      <c r="L50" s="7"/>
      <c r="M50" s="71">
        <f>-([3]MidCorp!$Z$25+[3]MidCorp!$AA$25+[3]MidCorp!$BB$25+[3]MidCorp!$BC$25)/1000/M43</f>
        <v>-4.0150378018200573E-3</v>
      </c>
      <c r="N50" s="41">
        <f>-([3]MidCorp!$Z$26+[3]MidCorp!$AA$26+[3]MidCorp!$BB$26+[3]MidCorp!$BC$26)/1000/N43</f>
        <v>-5.4180318020264281E-3</v>
      </c>
      <c r="O50" s="41">
        <f>-([3]MidCorp!$Z$27+[3]MidCorp!$AA$27+[3]MidCorp!$BB$27+[3]MidCorp!$BC$27)/1000/O43</f>
        <v>-1.4611750451912309E-3</v>
      </c>
      <c r="P50" s="7"/>
      <c r="Q50" s="71">
        <f>-([3]MGA!$Z$25+[3]MGA!$AA$25+[3]MGA!$BB$25+[3]MGA!$BC$25)/1000/Q43</f>
        <v>-6.7152539874566139E-3</v>
      </c>
      <c r="R50" s="41">
        <f>-([3]MGA!$Z$26+[3]MGA!$AA$26+[3]MGA!$BB$26+[3]MGA!$BC$26)/1000/R43</f>
        <v>-8.1649482847563661E-3</v>
      </c>
      <c r="S50" s="41">
        <f>-([3]MGA!$Z$27+[3]MGA!$AA$27+[3]MGA!$BB$27+[3]MGA!$BC$27)/1000/S43</f>
        <v>-2.6239368707895888E-3</v>
      </c>
      <c r="T50" s="7"/>
      <c r="U50" s="41">
        <f>IFERROR(-([3]Bancassurance!$Z$25+[3]Bancassurance!$AA$25+[3]Bancassurance!$BB$25+[3]Bancassurance!$BC$25)/1000/U43,0)</f>
        <v>0</v>
      </c>
      <c r="V50" s="41">
        <f>IFERROR(-([3]Bancassurance!$Z$26+[3]Bancassurance!$AA$26+[3]Bancassurance!$BB$26+[3]Bancassurance!$BC$26)/1000/V43,0)</f>
        <v>0</v>
      </c>
      <c r="W50" s="41">
        <f>IFERROR(-([3]Bancassurance!$Z$27+[3]Bancassurance!$AA$27+[3]Bancassurance!$BB$27+[3]Bancassurance!$BC$27)/1000/W43,0)</f>
        <v>0</v>
      </c>
      <c r="X50" s="7"/>
      <c r="Y50" s="41">
        <f>-([3]Specials!$Z$25+[3]Specials!$AA$25+[3]Specials!$BB$25+[3]Specials!$BC$25)/1000/Y43</f>
        <v>0</v>
      </c>
      <c r="Z50" s="41">
        <f>-([3]Specials!$Z$26+[3]Specials!$AA$26+[3]Specials!$BB$26+[3]Specials!$BC$26)/1000/Z43</f>
        <v>0</v>
      </c>
      <c r="AA50" s="41">
        <f>IFERROR(-([3]Specials!$Z$27+[3]Specials!$AA$27+[3]Specials!$BB$27+[3]Specials!$BC$27)/1000/AA43,0)</f>
        <v>0</v>
      </c>
      <c r="AB50" s="7"/>
      <c r="AC50" s="86">
        <f>-('[3]Total P&amp;C'!$Z$25+'[3]Total P&amp;C'!$AA$25+'[3]Total P&amp;C'!$BB$25+'[3]Total P&amp;C'!$BC$25)/1000/AC43</f>
        <v>-4.59859424672239E-3</v>
      </c>
      <c r="AD50" s="59">
        <f>-('[3]Total P&amp;C'!$Z$26+'[3]Total P&amp;C'!$AA$26+'[3]Total P&amp;C'!$BB$26+'[3]Total P&amp;C'!$BC$26)/1000/AD43</f>
        <v>-6.0729598185156461E-3</v>
      </c>
      <c r="AE50" s="59">
        <f>-('[3]Total P&amp;C'!$Z$27+'[3]Total P&amp;C'!$AA$27+'[3]Total P&amp;C'!$BB$27+'[3]Total P&amp;C'!$BC$27)/1000/AE43</f>
        <v>-1.6752116696150316E-3</v>
      </c>
      <c r="AG50" s="109"/>
      <c r="AK50" s="109"/>
      <c r="AO50" s="109"/>
      <c r="AS50" s="109"/>
      <c r="AW50" s="109"/>
      <c r="BA50" s="109"/>
      <c r="BE50" s="109"/>
    </row>
    <row r="51" spans="1:57" ht="16.5" hidden="1" outlineLevel="1" x14ac:dyDescent="0.25">
      <c r="A51" s="202"/>
      <c r="B51" s="9"/>
      <c r="C51" s="37" t="s">
        <v>57</v>
      </c>
      <c r="D51" s="7"/>
      <c r="E51" s="71">
        <f>-SUM([3]Retail!$AC$25:$AI$25,[3]Retail!$BE$25:$BG$25)/1000/E43</f>
        <v>-1.2125595862963816E-2</v>
      </c>
      <c r="F51" s="41">
        <f>-SUM([3]Retail!$AC$26:$AI$26,[3]Retail!$BE$26:$BG$26)/1000/F43</f>
        <v>-0.12893121296437804</v>
      </c>
      <c r="G51" s="41">
        <f>-SUM([3]Retail!$AC$27:$AI$27,[3]Retail!$BE$27:$BG$27)/1000/G43</f>
        <v>-4.0814162418545668E-3</v>
      </c>
      <c r="H51" s="7"/>
      <c r="I51" s="72">
        <f>-SUM([3]SME!$AC$25:$AI$25,[3]SME!$BE$25:$BG$25)/1000/I43</f>
        <v>0.10546772225367078</v>
      </c>
      <c r="J51" s="41">
        <f>-SUM([3]SME!$AC$26:$AI$26,[3]SME!$BE$26:$BG$26)/1000/J43</f>
        <v>-1.0982256598565917E-2</v>
      </c>
      <c r="K51" s="41">
        <f>-SUM([3]SME!$AC$27:$AI$27,[3]SME!$BE$27:$BG$27)/1000/K43</f>
        <v>-3.3284650126540094E-3</v>
      </c>
      <c r="L51" s="7"/>
      <c r="M51" s="72">
        <f>-SUM([3]MidCorp!$AC$25:$AI$25,[3]MidCorp!$BE$25:$BG$25)/1000/M43</f>
        <v>9.5093896977461068E-2</v>
      </c>
      <c r="N51" s="41">
        <f>-SUM([3]MidCorp!$AC$26:$AI$26,[3]MidCorp!$BE$26:$BG$26)/1000/N43</f>
        <v>-5.0383057388927828E-3</v>
      </c>
      <c r="O51" s="41">
        <f>-SUM([3]MidCorp!$AC$27:$AI$27,[3]MidCorp!$BE$27:$BG$27)/1000/O43</f>
        <v>-3.1003352851103638E-3</v>
      </c>
      <c r="P51" s="7"/>
      <c r="Q51" s="71">
        <f>-SUM([3]MGA!$AC$25:$AI$25,[3]MGA!$BE$25:$BG$25)/1000/Q43</f>
        <v>-0.24671051618433712</v>
      </c>
      <c r="R51" s="41">
        <f>-SUM([3]MGA!$AC$26:$AI$26,[3]MGA!$BE$26:$BG$26)/1000/R43</f>
        <v>-1.7509537547806649E-2</v>
      </c>
      <c r="S51" s="41">
        <f>-SUM([3]MGA!$AC$27:$AI$27,[3]MGA!$BE$27:$BG$27)/1000/S43</f>
        <v>-2.6930266647352458E-2</v>
      </c>
      <c r="T51" s="7"/>
      <c r="U51" s="96">
        <f>IFERROR(-SUM([3]Bancassurance!$AC$25:$AI$25,[3]Bancassurance!$BE$25:$BG$25)/1000/U43,0)</f>
        <v>0</v>
      </c>
      <c r="V51" s="41">
        <f>IFERROR(-SUM([3]Bancassurance!$AC$26:$AI$26,[3]Bancassurance!$BE$26:$BG$26)/1000/V43,0)</f>
        <v>0</v>
      </c>
      <c r="W51" s="41">
        <f>IFERROR(-SUM([3]Bancassurance!$AC$27:$AI$27,[3]Bancassurance!$BE$27:$BG$27)/1000/W43,0)</f>
        <v>0</v>
      </c>
      <c r="X51" s="7"/>
      <c r="Y51" s="96">
        <f>-SUM([3]Specials!$AC$25:$AI$25,[3]Specials!$BE$25:$BG$25)/1000/Y43</f>
        <v>0</v>
      </c>
      <c r="Z51" s="41">
        <f>-SUM([3]Specials!$AC$26:$AI$26,[3]Specials!$BE$26:$BG$26)/1000/Z43</f>
        <v>0</v>
      </c>
      <c r="AA51" s="41">
        <f>IFERROR(-SUM([3]Specials!$AC$27:$AI$27,[3]Specials!$BE$27:$BG$27)/1000/AA43,0)</f>
        <v>0</v>
      </c>
      <c r="AB51" s="7"/>
      <c r="AC51" s="83">
        <f>-SUM('[3]Total P&amp;C'!$AC$25:$AI$25,'[3]Total P&amp;C'!$BE$25:$BG$25)/1000/AC43</f>
        <v>1.4618460204068212E-2</v>
      </c>
      <c r="AD51" s="59">
        <f>-SUM('[3]Total P&amp;C'!$AC$26:$AI$26,'[3]Total P&amp;C'!$BE$26:$BG$26)/1000/AD43</f>
        <v>-2.0643625231064094E-2</v>
      </c>
      <c r="AE51" s="59">
        <f>-SUM('[3]Total P&amp;C'!$AC$27:$AI$27,'[3]Total P&amp;C'!$BE$27:$BG$27)/1000/AE43</f>
        <v>-8.8142192299295041E-3</v>
      </c>
      <c r="AG51" s="109"/>
      <c r="AK51" s="109"/>
      <c r="AO51" s="109"/>
      <c r="AS51" s="109"/>
      <c r="AW51" s="109"/>
      <c r="BA51" s="109"/>
      <c r="BE51" s="109"/>
    </row>
    <row r="52" spans="1:57" ht="16.5" hidden="1" outlineLevel="1" x14ac:dyDescent="0.25">
      <c r="A52" s="202"/>
      <c r="B52" s="9"/>
      <c r="C52" s="37" t="s">
        <v>29</v>
      </c>
      <c r="D52" s="7"/>
      <c r="E52" s="71">
        <f>-SUM([3]Retail!$AJ$25:$AK$25,[3]Retail!$BH$25:$BI$25)/1000/E43</f>
        <v>-2.4968888011370309E-3</v>
      </c>
      <c r="F52" s="41">
        <f>-SUM([3]Retail!$AJ$26:$AK$26,[3]Retail!$BH$26:$BI$26)/1000/F43</f>
        <v>5.2923532641431289E-3</v>
      </c>
      <c r="G52" s="41">
        <f>-SUM([3]Retail!$AJ$27:$AK$27,[3]Retail!$BH$27:$BI$27)/1000/G43</f>
        <v>0</v>
      </c>
      <c r="H52" s="7"/>
      <c r="I52" s="71">
        <f>-SUM([3]SME!$AJ$25:$AK$25,[3]SME!$BH$25:$BI$25)/1000/I43</f>
        <v>-5.7901215611328395E-3</v>
      </c>
      <c r="J52" s="41">
        <f>-SUM([3]SME!$AJ$26:$AK$26,[3]SME!$BH$26:$BI$26)/1000/J43</f>
        <v>1.3535919712631423E-4</v>
      </c>
      <c r="K52" s="41">
        <f>-SUM([3]SME!$AJ$27:$AK$27,[3]SME!$BH$27:$BI$27)/1000/K43</f>
        <v>0</v>
      </c>
      <c r="L52" s="7"/>
      <c r="M52" s="71">
        <f>-SUM([3]MidCorp!$AJ$25:$AK$25,[3]MidCorp!$BH$25:$BI$25)/1000/M43</f>
        <v>-4.4136739912962325E-3</v>
      </c>
      <c r="N52" s="41">
        <f>-SUM([3]MidCorp!$AJ$26:$AK$26,[3]MidCorp!$BH$26:$BI$26)/1000/N43</f>
        <v>1.774884014312714E-3</v>
      </c>
      <c r="O52" s="41">
        <f>-SUM([3]MidCorp!$AJ$27:$AK$27,[3]MidCorp!$BH$27:$BI$27)/1000/O43</f>
        <v>0</v>
      </c>
      <c r="P52" s="7"/>
      <c r="Q52" s="72">
        <f>-SUM([3]MGA!$AJ$25:$AK$25,[3]MGA!$BH$25:$BI$25)/1000/Q43</f>
        <v>3.5779423796430065E-3</v>
      </c>
      <c r="R52" s="41">
        <f>-SUM([3]MGA!$AJ$26:$AK$26,[3]MGA!$BH$26:$BI$26)/1000/R43</f>
        <v>-5.7404521437935067E-3</v>
      </c>
      <c r="S52" s="41">
        <f>-SUM([3]MGA!$AJ$27:$AK$27,[3]MGA!$BH$27:$BI$27)/1000/S43</f>
        <v>0</v>
      </c>
      <c r="T52" s="7"/>
      <c r="U52" s="96">
        <f>IFERROR(-SUM([3]Bancassurance!$AJ$25:$AK$25,[3]Bancassurance!$BH$25:$BI$25)/1000/U43,0)</f>
        <v>0</v>
      </c>
      <c r="V52" s="41">
        <f>IFERROR(-SUM([3]Bancassurance!$AJ$26:$AK$26,[3]Bancassurance!$BH$26:$BI$26)/1000/V43,0)</f>
        <v>0</v>
      </c>
      <c r="W52" s="41">
        <f>IFERROR(-SUM([3]Bancassurance!$AJ$27:$AK$27,[3]Bancassurance!$BH$27:$BI$27)/1000/W43,0)</f>
        <v>0</v>
      </c>
      <c r="X52" s="7"/>
      <c r="Y52" s="96">
        <f>-SUM([3]Specials!$AJ$25:$AK$25,[3]Specials!$BH$25:$BI$25)/1000/Y43</f>
        <v>0</v>
      </c>
      <c r="Z52" s="41">
        <f>-SUM([3]Specials!$AJ$26:$AK$26,[3]Specials!$BH$26:$BI$26)/1000/Z43</f>
        <v>0</v>
      </c>
      <c r="AA52" s="41">
        <f>IFERROR(-SUM([3]Specials!$AJ$27:$AK$27,[3]Specials!$BH$27:$BI$27)/1000/AA43,0)</f>
        <v>0</v>
      </c>
      <c r="AB52" s="7"/>
      <c r="AC52" s="86">
        <f>-SUM('[3]Total P&amp;C'!$AJ$25:$AK$25,'[3]Total P&amp;C'!$BH$25:$BI$25)/1000/AC43</f>
        <v>-2.7754455290379659E-3</v>
      </c>
      <c r="AD52" s="59">
        <f>-SUM('[3]Total P&amp;C'!$AJ$26:$AK$26,'[3]Total P&amp;C'!$BH$26:$BI$26)/1000/AD43</f>
        <v>4.2757477422834773E-4</v>
      </c>
      <c r="AE52" s="59">
        <f>-SUM('[3]Total P&amp;C'!$AJ$27:$AK$27,'[3]Total P&amp;C'!$BH$27:$BI$27)/1000/AE43</f>
        <v>0</v>
      </c>
      <c r="AG52" s="109"/>
      <c r="AK52" s="109"/>
      <c r="AO52" s="109"/>
      <c r="AS52" s="109"/>
      <c r="AW52" s="109"/>
      <c r="BA52" s="109"/>
      <c r="BE52" s="109"/>
    </row>
    <row r="53" spans="1:57" ht="16.5" hidden="1" outlineLevel="1" x14ac:dyDescent="0.25">
      <c r="A53" s="202"/>
      <c r="B53" s="9"/>
      <c r="C53" s="37" t="s">
        <v>58</v>
      </c>
      <c r="D53" s="7"/>
      <c r="E53" s="71">
        <f>+E54+E55+E56</f>
        <v>0.3636619757171472</v>
      </c>
      <c r="F53" s="41">
        <f>+F54+F55+F56</f>
        <v>0.38416742449452956</v>
      </c>
      <c r="G53" s="41">
        <f>+G54+G55+G56</f>
        <v>0.38005411217331081</v>
      </c>
      <c r="H53" s="7"/>
      <c r="I53" s="71">
        <f>+I54+I55+I56</f>
        <v>0.29697415881518729</v>
      </c>
      <c r="J53" s="41">
        <f>+J54+J55+J56</f>
        <v>0.29155165483640499</v>
      </c>
      <c r="K53" s="41">
        <f>+K54+K55+K56</f>
        <v>0.29904861163190793</v>
      </c>
      <c r="L53" s="7"/>
      <c r="M53" s="71">
        <f>+M54+M55+M56</f>
        <v>0.26970371709946467</v>
      </c>
      <c r="N53" s="41">
        <f>+N54+N55+N56</f>
        <v>0.25710334701412396</v>
      </c>
      <c r="O53" s="41">
        <f>+O54+O55+O56</f>
        <v>0.28257186862599365</v>
      </c>
      <c r="P53" s="7"/>
      <c r="Q53" s="72">
        <f>+Q54+Q55+Q56</f>
        <v>0.32496048467602084</v>
      </c>
      <c r="R53" s="41">
        <f>+R54+R55+R56</f>
        <v>0.318299041221488</v>
      </c>
      <c r="S53" s="41">
        <f>+S54+S55+S56</f>
        <v>0.31846299137435996</v>
      </c>
      <c r="T53" s="7"/>
      <c r="U53" s="72">
        <f>+U54+U55+U56</f>
        <v>0.15005275263643733</v>
      </c>
      <c r="V53" s="41">
        <f>+V54+V55+V56</f>
        <v>0</v>
      </c>
      <c r="W53" s="41">
        <f>+W54+W55+W56</f>
        <v>0</v>
      </c>
      <c r="X53" s="7"/>
      <c r="Y53" s="96">
        <f>+Y54+Y55+Y56</f>
        <v>0</v>
      </c>
      <c r="Z53" s="41">
        <f>+Z54+Z55+Z56</f>
        <v>0</v>
      </c>
      <c r="AA53" s="41">
        <f>+AA54+AA55+AA56</f>
        <v>0</v>
      </c>
      <c r="AB53" s="7"/>
      <c r="AC53" s="86">
        <f>+AC54+AC55+AC56</f>
        <v>0.29477441645140373</v>
      </c>
      <c r="AD53" s="59">
        <f>+AD54+AD55+AD56</f>
        <v>0.28738556544371163</v>
      </c>
      <c r="AE53" s="59">
        <f>+AE54+AE55+AE56</f>
        <v>0.30206914133112572</v>
      </c>
      <c r="AG53" s="109"/>
      <c r="AK53" s="109"/>
      <c r="AO53" s="109"/>
      <c r="AS53" s="109"/>
      <c r="AW53" s="109"/>
      <c r="BA53" s="109"/>
      <c r="BE53" s="109"/>
    </row>
    <row r="54" spans="1:57" ht="16.5" hidden="1" outlineLevel="1" x14ac:dyDescent="0.25">
      <c r="A54" s="202"/>
      <c r="B54" s="9"/>
      <c r="C54" s="39" t="s">
        <v>59</v>
      </c>
      <c r="D54" s="8"/>
      <c r="E54" s="97">
        <f>-SUM([3]Retail!$AL$25:$AN$25,[3]Retail!$BJ$25)/1000/E43</f>
        <v>0.17501774809373163</v>
      </c>
      <c r="F54" s="42">
        <f>-SUM([3]Retail!$AL$26:$AN$26,[3]Retail!$BJ$26)/1000/F43</f>
        <v>0.17570594926976743</v>
      </c>
      <c r="G54" s="42">
        <f>-SUM([3]Retail!$AL$27:$AN$27,[3]Retail!$BJ$27)/1000/G43</f>
        <v>0.17378520133444614</v>
      </c>
      <c r="H54" s="8"/>
      <c r="I54" s="97">
        <f>-SUM([3]SME!$AL$25:$AN$25,[3]SME!$BJ$25)/1000/I43</f>
        <v>0.17342252925198953</v>
      </c>
      <c r="J54" s="42">
        <f>-SUM([3]SME!$AL$26:$AN$26,[3]SME!$BJ$26)/1000/J43</f>
        <v>0.17107373975975129</v>
      </c>
      <c r="K54" s="42">
        <f>-SUM([3]SME!$AL$27:$AN$27,[3]SME!$BJ$27)/1000/K43</f>
        <v>0.17208850596937852</v>
      </c>
      <c r="L54" s="8"/>
      <c r="M54" s="97">
        <f>-SUM([3]MidCorp!$AL$25:$AN$25,[3]MidCorp!$BJ$25)/1000/M43</f>
        <v>0.14500140936617029</v>
      </c>
      <c r="N54" s="42">
        <f>-SUM([3]MidCorp!$AL$26:$AN$26,[3]MidCorp!$BJ$26)/1000/N43</f>
        <v>0.14134607862276208</v>
      </c>
      <c r="O54" s="42">
        <f>-SUM([3]MidCorp!$AL$27:$AN$27,[3]MidCorp!$BJ$27)/1000/O43</f>
        <v>0.14146070368393499</v>
      </c>
      <c r="P54" s="8"/>
      <c r="Q54" s="73">
        <f>-SUM([3]MGA!$AL$25:$AN$25,[3]MGA!$BJ$25)/1000/Q43</f>
        <v>0.26105757957892373</v>
      </c>
      <c r="R54" s="42">
        <f>-SUM([3]MGA!$AL$26:$AN$26,[3]MGA!$BJ$26)/1000/R43</f>
        <v>0.26018557610975129</v>
      </c>
      <c r="S54" s="42">
        <f>-SUM([3]MGA!$AL$27:$AN$27,[3]MGA!$BJ$27)/1000/S43</f>
        <v>0.24733687341099961</v>
      </c>
      <c r="T54" s="8"/>
      <c r="U54" s="73">
        <f>IFERROR(-SUM([3]Bancassurance!$AL$25:$AN$25,[3]Bancassurance!$BJ$25)/1000/U43,0)</f>
        <v>0.15005275263643733</v>
      </c>
      <c r="V54" s="42">
        <f>IFERROR(-SUM([3]Bancassurance!$AL$26:$AN$26,[3]Bancassurance!$BJ$26)/1000/V43,0)</f>
        <v>0</v>
      </c>
      <c r="W54" s="42">
        <f>IFERROR(-SUM([3]Bancassurance!$AL$27:$AN$27,[3]Bancassurance!$BJ$27)/1000/W43,0)</f>
        <v>0</v>
      </c>
      <c r="X54" s="8"/>
      <c r="Y54" s="97">
        <f>-SUM([3]Specials!$AL$25:$AN$25,[3]Specials!$BJ$25)/1000/Y43</f>
        <v>0</v>
      </c>
      <c r="Z54" s="42">
        <f>-SUM([3]Specials!$AL$26:$AN$26,[3]Specials!$BJ$26)/1000/Z43</f>
        <v>0</v>
      </c>
      <c r="AA54" s="42">
        <f>IFERROR(-SUM([3]Specials!$AL$27:$AN$27,[3]Specials!$BJ$27)/1000/AA43,0)</f>
        <v>0</v>
      </c>
      <c r="AB54" s="8"/>
      <c r="AC54" s="99">
        <f>-SUM('[3]Total P&amp;C'!$AL$25:$AN$25,'[3]Total P&amp;C'!$BJ$25)/1000/AC43</f>
        <v>0.17697265174312704</v>
      </c>
      <c r="AD54" s="60">
        <f>-SUM('[3]Total P&amp;C'!$AL$26:$AN$26,'[3]Total P&amp;C'!$BJ$26)/1000/AD43</f>
        <v>0.17219301799949879</v>
      </c>
      <c r="AE54" s="60">
        <f>-SUM('[3]Total P&amp;C'!$AL$27:$AN$27,'[3]Total P&amp;C'!$BJ$27)/1000/AE43</f>
        <v>0.17421857075079411</v>
      </c>
      <c r="AG54" s="109"/>
      <c r="AK54" s="109"/>
      <c r="AO54" s="109"/>
      <c r="AS54" s="109"/>
      <c r="AW54" s="109"/>
      <c r="BA54" s="109"/>
      <c r="BE54" s="109"/>
    </row>
    <row r="55" spans="1:57" ht="16.5" hidden="1" outlineLevel="1" x14ac:dyDescent="0.25">
      <c r="A55" s="202"/>
      <c r="B55" s="9"/>
      <c r="C55" s="39" t="s">
        <v>60</v>
      </c>
      <c r="D55" s="8"/>
      <c r="E55" s="74">
        <f>-SUM([3]Retail!$AO$25:$AP$25)/1000/E43</f>
        <v>9.8257211650691414E-2</v>
      </c>
      <c r="F55" s="42">
        <f>-SUM([3]Retail!$AO$26:$AP$26)/1000/F43</f>
        <v>9.8949620087522616E-2</v>
      </c>
      <c r="G55" s="42">
        <f>-SUM([3]Retail!$AO$27:$AP$27)/1000/G43</f>
        <v>0.10495594050953741</v>
      </c>
      <c r="H55" s="8"/>
      <c r="I55" s="97">
        <f>-SUM([3]SME!$AO$25:$AP$25)/1000/I43</f>
        <v>5.3118719180655381E-2</v>
      </c>
      <c r="J55" s="42">
        <f>-SUM([3]SME!$AO$26:$AP$26)/1000/J43</f>
        <v>5.9405073559294426E-2</v>
      </c>
      <c r="K55" s="42">
        <f>-SUM([3]SME!$AO$27:$AP$27)/1000/K43</f>
        <v>4.8460393692331911E-2</v>
      </c>
      <c r="L55" s="8"/>
      <c r="M55" s="97">
        <f>-SUM([3]MidCorp!$AO$25:$AP$25)/1000/M43</f>
        <v>3.1892402918466525E-2</v>
      </c>
      <c r="N55" s="42">
        <f>-SUM([3]MidCorp!$AO$26:$AP$26)/1000/N43</f>
        <v>3.5217426384453056E-2</v>
      </c>
      <c r="O55" s="42">
        <f>-SUM([3]MidCorp!$AO$27:$AP$27)/1000/O43</f>
        <v>3.1863729163878855E-2</v>
      </c>
      <c r="P55" s="8"/>
      <c r="Q55" s="74">
        <f>-SUM([3]MGA!$AO$25:$AP$25)/1000/Q43</f>
        <v>1.9683899627335352E-2</v>
      </c>
      <c r="R55" s="42">
        <f>-SUM([3]MGA!$AO$26:$AP$26)/1000/R43</f>
        <v>1.4761640721025546E-2</v>
      </c>
      <c r="S55" s="42">
        <f>-SUM([3]MGA!$AO$27:$AP$27)/1000/S43</f>
        <v>2.1581074452991875E-2</v>
      </c>
      <c r="T55" s="8"/>
      <c r="U55" s="97">
        <f>IFERROR(-SUM([3]Bancassurance!$AO$25:$AP$25)/1000/U43,0)</f>
        <v>0</v>
      </c>
      <c r="V55" s="42">
        <f>IFERROR(-SUM([3]Bancassurance!$AO$26:$AP$26)/1000/V43,0)</f>
        <v>0</v>
      </c>
      <c r="W55" s="42">
        <f>IFERROR(-SUM([3]Bancassurance!$AO$27:$AP$27)/1000/W43,0)</f>
        <v>0</v>
      </c>
      <c r="X55" s="8"/>
      <c r="Y55" s="97">
        <f>-SUM([3]Specials!$AO$25:$AP$25)/1000/Y43</f>
        <v>0</v>
      </c>
      <c r="Z55" s="42">
        <f>-SUM([3]Specials!$AO$26:$AP$26)/1000/Z43</f>
        <v>0</v>
      </c>
      <c r="AA55" s="42">
        <f>IFERROR(-SUM([3]Specials!$AO$27:$AP$27)/1000/AA43,0)</f>
        <v>0</v>
      </c>
      <c r="AB55" s="8"/>
      <c r="AC55" s="99">
        <f>-SUM('[3]Total P&amp;C'!$AO$25:$AP$25)/1000/AC43</f>
        <v>3.9224389837844015E-2</v>
      </c>
      <c r="AD55" s="60">
        <f>-SUM('[3]Total P&amp;C'!$AO$26:$AP$26)/1000/AD43</f>
        <v>4.2189498373052539E-2</v>
      </c>
      <c r="AE55" s="60">
        <f>-SUM('[3]Total P&amp;C'!$AO$27:$AP$27)/1000/AE43</f>
        <v>3.8469812446983449E-2</v>
      </c>
      <c r="AG55" s="109"/>
      <c r="AK55" s="109"/>
      <c r="AO55" s="109"/>
      <c r="AS55" s="109"/>
      <c r="AW55" s="109"/>
      <c r="BA55" s="109"/>
      <c r="BE55" s="109"/>
    </row>
    <row r="56" spans="1:57" ht="16.5" hidden="1" outlineLevel="1" x14ac:dyDescent="0.25">
      <c r="A56" s="202"/>
      <c r="B56" s="9"/>
      <c r="C56" s="39" t="s">
        <v>61</v>
      </c>
      <c r="D56" s="8"/>
      <c r="E56" s="74">
        <f>-SUM([3]Retail!$AQ$25:$AR$25)/1000/E43</f>
        <v>9.0387015972724152E-2</v>
      </c>
      <c r="F56" s="42">
        <f>-SUM([3]Retail!$AQ$26:$AR$26)/1000/F43</f>
        <v>0.10951185513723952</v>
      </c>
      <c r="G56" s="42">
        <f>-SUM([3]Retail!$AQ$27:$AR$27)/1000/G43</f>
        <v>0.10131297032932723</v>
      </c>
      <c r="H56" s="8"/>
      <c r="I56" s="74">
        <f>-SUM([3]SME!$AQ$25:$AR$25)/1000/I43</f>
        <v>7.0432910382542346E-2</v>
      </c>
      <c r="J56" s="42">
        <f>-SUM([3]SME!$AQ$26:$AR$26)/1000/J43</f>
        <v>6.1072841517359269E-2</v>
      </c>
      <c r="K56" s="42">
        <f>-SUM([3]SME!$AQ$27:$AR$27)/1000/K43</f>
        <v>7.8499711970197519E-2</v>
      </c>
      <c r="L56" s="8"/>
      <c r="M56" s="74">
        <f>-SUM([3]MidCorp!$AQ$25:$AR$25)/1000/M43</f>
        <v>9.280990481482787E-2</v>
      </c>
      <c r="N56" s="42">
        <f>-SUM([3]MidCorp!$AQ$26:$AR$26)/1000/N43</f>
        <v>8.0539842006908821E-2</v>
      </c>
      <c r="O56" s="42">
        <f>-SUM([3]MidCorp!$AQ$27:$AR$27)/1000/O43</f>
        <v>0.10924743577817979</v>
      </c>
      <c r="P56" s="8"/>
      <c r="Q56" s="74">
        <f>-SUM([3]MGA!$AQ$25:$AR$25)/1000/Q43</f>
        <v>4.4219005469761756E-2</v>
      </c>
      <c r="R56" s="42">
        <f>-SUM([3]MGA!$AQ$26:$AR$26)/1000/R43</f>
        <v>4.3351824390711162E-2</v>
      </c>
      <c r="S56" s="42">
        <f>-SUM([3]MGA!$AQ$27:$AR$27)/1000/S43</f>
        <v>4.9545043510368474E-2</v>
      </c>
      <c r="T56" s="8"/>
      <c r="U56" s="97">
        <f>IFERROR(-SUM([3]Bancassurance!$AQ$25:$AR$25)/1000/U43,0)</f>
        <v>0</v>
      </c>
      <c r="V56" s="42">
        <f>IFERROR(-SUM([3]Bancassurance!$AQ$26:$AR$26)/1000/V43,0)</f>
        <v>0</v>
      </c>
      <c r="W56" s="42">
        <f>IFERROR(-SUM([3]Bancassurance!$AQ$27:$AR$27)/1000/W43,0)</f>
        <v>0</v>
      </c>
      <c r="X56" s="8"/>
      <c r="Y56" s="97">
        <f>-SUM([3]Specials!$AQ$25:$AR$25)/1000/Y43</f>
        <v>0</v>
      </c>
      <c r="Z56" s="42">
        <f>-SUM([3]Specials!$AQ$26:$AR$26)/1000/Z43</f>
        <v>0</v>
      </c>
      <c r="AA56" s="42">
        <f>IFERROR(-SUM([3]Specials!$AQ$27:$AR$27)/1000/AA43,0)</f>
        <v>0</v>
      </c>
      <c r="AB56" s="8"/>
      <c r="AC56" s="85">
        <f>-SUM('[3]Total P&amp;C'!$AQ$25:$AR$25)/1000/AC43</f>
        <v>7.857737487043269E-2</v>
      </c>
      <c r="AD56" s="60">
        <f>-SUM('[3]Total P&amp;C'!$AQ$26:$AR$26)/1000/AD43</f>
        <v>7.3003049071160259E-2</v>
      </c>
      <c r="AE56" s="60">
        <f>-SUM('[3]Total P&amp;C'!$AQ$27:$AR$27)/1000/AE43</f>
        <v>8.9380758133348143E-2</v>
      </c>
      <c r="AG56" s="109"/>
      <c r="AK56" s="109"/>
      <c r="AO56" s="109"/>
      <c r="AS56" s="109"/>
      <c r="AW56" s="109"/>
      <c r="BA56" s="109"/>
      <c r="BE56" s="109"/>
    </row>
    <row r="57" spans="1:57" ht="16.5" hidden="1" outlineLevel="1" x14ac:dyDescent="0.25">
      <c r="A57" s="202"/>
      <c r="B57" s="9"/>
      <c r="C57" s="37" t="s">
        <v>34</v>
      </c>
      <c r="D57" s="6"/>
      <c r="E57" s="75">
        <f>+[3]Retail!$BK$25/1000</f>
        <v>-0.23806991000000541</v>
      </c>
      <c r="F57" s="40">
        <f>+[3]Retail!$BK$26/1000</f>
        <v>-0.74202959999999618</v>
      </c>
      <c r="G57" s="40">
        <f>+[3]Retail!$BK$27/1000</f>
        <v>-0.76514306796940745</v>
      </c>
      <c r="H57" s="6"/>
      <c r="I57" s="70">
        <f>+[3]SME!$BK$25/1000</f>
        <v>1.0453154599999954</v>
      </c>
      <c r="J57" s="40">
        <f>+[3]SME!$BK$26/1000</f>
        <v>2.1849245200000031</v>
      </c>
      <c r="K57" s="40">
        <f>+[3]SME!$BK$27/1000</f>
        <v>1.9514318861744691</v>
      </c>
      <c r="L57" s="6"/>
      <c r="M57" s="70">
        <f>+[3]MidCorp!$BK$25/1000</f>
        <v>1.6102845399999886</v>
      </c>
      <c r="N57" s="40">
        <f>+[3]MidCorp!$BK$26/1000</f>
        <v>3.5708280300000017</v>
      </c>
      <c r="O57" s="40">
        <f>+[3]MidCorp!$BK$27/1000</f>
        <v>2.2178811924038615</v>
      </c>
      <c r="P57" s="6"/>
      <c r="Q57" s="75">
        <f>+[3]MGA!$BK$25/1000</f>
        <v>3.8835971700000078</v>
      </c>
      <c r="R57" s="40">
        <f>+[3]MGA!$BK$26/1000</f>
        <v>0.82732590999999733</v>
      </c>
      <c r="S57" s="40">
        <f>+[3]MGA!$BK$27/1000</f>
        <v>1.7429643165747835</v>
      </c>
      <c r="T57" s="6"/>
      <c r="U57" s="75">
        <f>+[3]Bancassurance!$BK$25/1000</f>
        <v>3.7355530000000005E-2</v>
      </c>
      <c r="V57" s="40">
        <f>+[3]Bancassurance!$BK$26/1000</f>
        <v>-1.2452340000000001E-2</v>
      </c>
      <c r="W57" s="40">
        <f>+[3]Bancassurance!$BK$27/1000</f>
        <v>0</v>
      </c>
      <c r="X57" s="6"/>
      <c r="Y57" s="75">
        <f>+[3]Specials!$BK$25/1000</f>
        <v>0.13687647</v>
      </c>
      <c r="Z57" s="40">
        <f>+[3]Specials!$BK$26/1000</f>
        <v>0.11896380999999999</v>
      </c>
      <c r="AA57" s="40">
        <f>+[3]Specials!$BK$27/1000</f>
        <v>0</v>
      </c>
      <c r="AB57" s="6"/>
      <c r="AC57" s="87">
        <f>+'[3]Total P&amp;C'!$BK$25/1000</f>
        <v>6.4753592599999825</v>
      </c>
      <c r="AD57" s="58">
        <f>+'[3]Total P&amp;C'!$BK$26/1000</f>
        <v>5.9475603300000142</v>
      </c>
      <c r="AE57" s="58">
        <f>+'[3]Total P&amp;C'!$BK$27/1000</f>
        <v>5.1471343271837036</v>
      </c>
      <c r="AG57" s="108"/>
      <c r="AK57" s="108"/>
      <c r="AO57" s="108"/>
      <c r="AS57" s="108"/>
      <c r="AW57" s="108"/>
      <c r="BA57" s="108"/>
      <c r="BE57" s="108"/>
    </row>
    <row r="58" spans="1:57" hidden="1" outlineLevel="1" x14ac:dyDescent="0.25"/>
    <row r="59" spans="1:57" ht="16.5" collapsed="1" x14ac:dyDescent="0.25">
      <c r="A59" s="204" t="s">
        <v>62</v>
      </c>
      <c r="B59" s="9"/>
      <c r="C59" s="37" t="s">
        <v>19</v>
      </c>
      <c r="D59" s="6"/>
      <c r="E59" s="75" t="s">
        <v>122</v>
      </c>
      <c r="F59" s="75" t="s">
        <v>123</v>
      </c>
      <c r="G59" s="75" t="s">
        <v>124</v>
      </c>
      <c r="H59" s="6"/>
      <c r="I59" s="75">
        <v>123</v>
      </c>
      <c r="J59" s="75">
        <v>123</v>
      </c>
      <c r="K59" s="75">
        <v>123</v>
      </c>
      <c r="L59" s="6"/>
      <c r="M59" s="70" t="s">
        <v>144</v>
      </c>
      <c r="N59" s="70" t="s">
        <v>144</v>
      </c>
      <c r="O59" s="70" t="s">
        <v>144</v>
      </c>
      <c r="P59" s="6"/>
      <c r="Q59" s="70" t="s">
        <v>160</v>
      </c>
      <c r="R59" s="70" t="s">
        <v>160</v>
      </c>
      <c r="S59" s="70" t="s">
        <v>160</v>
      </c>
      <c r="T59" s="6"/>
      <c r="U59" s="70">
        <f>+[3]Bancassurance!$C$94/1000</f>
        <v>4.2017579999999992E-2</v>
      </c>
      <c r="V59" s="70">
        <f>+[3]Bancassurance!$C$94/1000</f>
        <v>4.2017579999999992E-2</v>
      </c>
      <c r="W59" s="70">
        <f>+[3]Bancassurance!$C$94/1000</f>
        <v>4.2017579999999992E-2</v>
      </c>
      <c r="X59" s="70">
        <f>+[3]Bancassurance!$C$94/1000</f>
        <v>4.2017579999999992E-2</v>
      </c>
      <c r="Y59" s="75">
        <f>+[3]Specials!$C$94/1000</f>
        <v>1.0691300000000002E-3</v>
      </c>
      <c r="Z59" s="75">
        <f>+[3]Specials!$C$94/1000</f>
        <v>1.0691300000000002E-3</v>
      </c>
      <c r="AA59" s="75">
        <f>+[3]Specials!$C$94/1000</f>
        <v>1.0691300000000002E-3</v>
      </c>
      <c r="AB59" s="6"/>
      <c r="AC59" s="82" t="s">
        <v>176</v>
      </c>
      <c r="AD59" s="82" t="s">
        <v>177</v>
      </c>
      <c r="AE59" s="82" t="s">
        <v>178</v>
      </c>
      <c r="AG59" s="108"/>
      <c r="AK59" s="108"/>
      <c r="AO59" s="108"/>
      <c r="AS59" s="108"/>
      <c r="AW59" s="108"/>
      <c r="BA59" s="108"/>
      <c r="BE59" s="108"/>
    </row>
    <row r="60" spans="1:57" ht="16.5" x14ac:dyDescent="0.25">
      <c r="A60" s="202"/>
      <c r="B60" s="9"/>
      <c r="C60" s="37" t="s">
        <v>55</v>
      </c>
      <c r="D60" s="6"/>
      <c r="E60" s="75" t="s">
        <v>122</v>
      </c>
      <c r="F60" s="75" t="s">
        <v>123</v>
      </c>
      <c r="G60" s="75" t="s">
        <v>124</v>
      </c>
      <c r="H60" s="6"/>
      <c r="I60" s="75">
        <v>123</v>
      </c>
      <c r="J60" s="75">
        <v>123</v>
      </c>
      <c r="K60" s="75">
        <v>123</v>
      </c>
      <c r="L60" s="6"/>
      <c r="M60" s="70" t="s">
        <v>145</v>
      </c>
      <c r="N60" s="70" t="s">
        <v>145</v>
      </c>
      <c r="O60" s="70" t="s">
        <v>145</v>
      </c>
      <c r="P60" s="6"/>
      <c r="Q60" s="70" t="s">
        <v>161</v>
      </c>
      <c r="R60" s="70" t="s">
        <v>161</v>
      </c>
      <c r="S60" s="70" t="s">
        <v>161</v>
      </c>
      <c r="T60" s="6"/>
      <c r="U60" s="70">
        <f>+[3]Bancassurance!$C$94/1000</f>
        <v>4.2017579999999992E-2</v>
      </c>
      <c r="V60" s="70">
        <f>+[3]Bancassurance!$C$94/1000</f>
        <v>4.2017579999999992E-2</v>
      </c>
      <c r="W60" s="70">
        <f>+[3]Bancassurance!$C$94/1000</f>
        <v>4.2017579999999992E-2</v>
      </c>
      <c r="X60" s="70">
        <f>+[3]Bancassurance!$C$94/1000</f>
        <v>4.2017579999999992E-2</v>
      </c>
      <c r="Y60" s="75">
        <f>+[3]Specials!$C$94/1000</f>
        <v>1.0691300000000002E-3</v>
      </c>
      <c r="Z60" s="75">
        <f>+[3]Specials!$C$94/1000</f>
        <v>1.0691300000000002E-3</v>
      </c>
      <c r="AA60" s="75">
        <f>+[3]Specials!$C$94/1000</f>
        <v>1.0691300000000002E-3</v>
      </c>
      <c r="AB60" s="6"/>
      <c r="AC60" s="82" t="s">
        <v>176</v>
      </c>
      <c r="AD60" s="82" t="s">
        <v>177</v>
      </c>
      <c r="AE60" s="82" t="s">
        <v>178</v>
      </c>
      <c r="AG60" s="108"/>
      <c r="AK60" s="108"/>
      <c r="AO60" s="108"/>
      <c r="AS60" s="108"/>
      <c r="AW60" s="108"/>
      <c r="BA60" s="108"/>
      <c r="BE60" s="108"/>
    </row>
    <row r="61" spans="1:57" ht="16.5" x14ac:dyDescent="0.25">
      <c r="A61" s="202"/>
      <c r="B61" s="9"/>
      <c r="C61" s="37" t="s">
        <v>21</v>
      </c>
      <c r="D61" s="6"/>
      <c r="E61" s="75" t="s">
        <v>122</v>
      </c>
      <c r="F61" s="75" t="s">
        <v>123</v>
      </c>
      <c r="G61" s="75" t="s">
        <v>124</v>
      </c>
      <c r="H61" s="6"/>
      <c r="I61" s="75">
        <v>123</v>
      </c>
      <c r="J61" s="75">
        <v>123</v>
      </c>
      <c r="K61" s="75">
        <v>123</v>
      </c>
      <c r="L61" s="6"/>
      <c r="M61" s="70" t="s">
        <v>146</v>
      </c>
      <c r="N61" s="70" t="s">
        <v>146</v>
      </c>
      <c r="O61" s="70" t="s">
        <v>146</v>
      </c>
      <c r="P61" s="6"/>
      <c r="Q61" s="70" t="s">
        <v>162</v>
      </c>
      <c r="R61" s="70" t="s">
        <v>162</v>
      </c>
      <c r="S61" s="70" t="s">
        <v>162</v>
      </c>
      <c r="T61" s="6"/>
      <c r="U61" s="70">
        <f>+[3]Bancassurance!$C$94/1000</f>
        <v>4.2017579999999992E-2</v>
      </c>
      <c r="V61" s="70">
        <f>+[3]Bancassurance!$C$94/1000</f>
        <v>4.2017579999999992E-2</v>
      </c>
      <c r="W61" s="70">
        <f>+[3]Bancassurance!$C$94/1000</f>
        <v>4.2017579999999992E-2</v>
      </c>
      <c r="X61" s="70">
        <f>+[3]Bancassurance!$C$94/1000</f>
        <v>4.2017579999999992E-2</v>
      </c>
      <c r="Y61" s="75">
        <f>+[3]Specials!$C$94/1000</f>
        <v>1.0691300000000002E-3</v>
      </c>
      <c r="Z61" s="75">
        <f>+[3]Specials!$C$94/1000</f>
        <v>1.0691300000000002E-3</v>
      </c>
      <c r="AA61" s="75">
        <f>+[3]Specials!$C$94/1000</f>
        <v>1.0691300000000002E-3</v>
      </c>
      <c r="AB61" s="6"/>
      <c r="AC61" s="82" t="s">
        <v>176</v>
      </c>
      <c r="AD61" s="82" t="s">
        <v>177</v>
      </c>
      <c r="AE61" s="82" t="s">
        <v>178</v>
      </c>
      <c r="AG61" s="109"/>
      <c r="AK61" s="109"/>
      <c r="AO61" s="109"/>
      <c r="AS61" s="109"/>
      <c r="AW61" s="109"/>
      <c r="BA61" s="109"/>
      <c r="BE61" s="109"/>
    </row>
    <row r="62" spans="1:57" ht="16.5" x14ac:dyDescent="0.25">
      <c r="A62" s="202"/>
      <c r="B62" s="9"/>
      <c r="C62" s="37" t="s">
        <v>56</v>
      </c>
      <c r="D62" s="6"/>
      <c r="E62" s="75" t="s">
        <v>122</v>
      </c>
      <c r="F62" s="75" t="s">
        <v>123</v>
      </c>
      <c r="G62" s="75" t="s">
        <v>124</v>
      </c>
      <c r="H62" s="6"/>
      <c r="I62" s="75">
        <v>123</v>
      </c>
      <c r="J62" s="75">
        <v>123</v>
      </c>
      <c r="K62" s="75">
        <v>123</v>
      </c>
      <c r="L62" s="6"/>
      <c r="M62" s="70" t="s">
        <v>147</v>
      </c>
      <c r="N62" s="70" t="s">
        <v>147</v>
      </c>
      <c r="O62" s="70" t="s">
        <v>147</v>
      </c>
      <c r="P62" s="6"/>
      <c r="Q62" s="70" t="s">
        <v>163</v>
      </c>
      <c r="R62" s="70" t="s">
        <v>163</v>
      </c>
      <c r="S62" s="70" t="s">
        <v>163</v>
      </c>
      <c r="T62" s="6"/>
      <c r="U62" s="70">
        <f>+[3]Bancassurance!$C$94/1000</f>
        <v>4.2017579999999992E-2</v>
      </c>
      <c r="V62" s="70">
        <f>+[3]Bancassurance!$C$94/1000</f>
        <v>4.2017579999999992E-2</v>
      </c>
      <c r="W62" s="70">
        <f>+[3]Bancassurance!$C$94/1000</f>
        <v>4.2017579999999992E-2</v>
      </c>
      <c r="X62" s="70">
        <f>+[3]Bancassurance!$C$94/1000</f>
        <v>4.2017579999999992E-2</v>
      </c>
      <c r="Y62" s="75">
        <f>+[3]Specials!$C$94/1000</f>
        <v>1.0691300000000002E-3</v>
      </c>
      <c r="Z62" s="75">
        <f>+[3]Specials!$C$94/1000</f>
        <v>1.0691300000000002E-3</v>
      </c>
      <c r="AA62" s="75">
        <f>+[3]Specials!$C$94/1000</f>
        <v>1.0691300000000002E-3</v>
      </c>
      <c r="AB62" s="6"/>
      <c r="AC62" s="82" t="s">
        <v>176</v>
      </c>
      <c r="AD62" s="82" t="s">
        <v>177</v>
      </c>
      <c r="AE62" s="82" t="s">
        <v>178</v>
      </c>
      <c r="AG62" s="109"/>
      <c r="AK62" s="109"/>
      <c r="AO62" s="109"/>
      <c r="AS62" s="109"/>
      <c r="AW62" s="109"/>
      <c r="BA62" s="109"/>
      <c r="BE62" s="109"/>
    </row>
    <row r="63" spans="1:57" ht="16.5" x14ac:dyDescent="0.25">
      <c r="A63" s="202"/>
      <c r="B63" s="9"/>
      <c r="C63" s="38" t="s">
        <v>23</v>
      </c>
      <c r="D63" s="6"/>
      <c r="E63" s="75" t="s">
        <v>122</v>
      </c>
      <c r="F63" s="75" t="s">
        <v>123</v>
      </c>
      <c r="G63" s="75" t="s">
        <v>124</v>
      </c>
      <c r="H63" s="6"/>
      <c r="I63" s="75">
        <v>123</v>
      </c>
      <c r="J63" s="75">
        <v>123</v>
      </c>
      <c r="K63" s="75">
        <v>123</v>
      </c>
      <c r="L63" s="6"/>
      <c r="M63" s="70" t="s">
        <v>148</v>
      </c>
      <c r="N63" s="70" t="s">
        <v>148</v>
      </c>
      <c r="O63" s="70" t="s">
        <v>148</v>
      </c>
      <c r="P63" s="6"/>
      <c r="Q63" s="70" t="s">
        <v>164</v>
      </c>
      <c r="R63" s="70" t="s">
        <v>164</v>
      </c>
      <c r="S63" s="70" t="s">
        <v>164</v>
      </c>
      <c r="T63" s="6"/>
      <c r="U63" s="70">
        <f>+[3]Bancassurance!$C$94/1000</f>
        <v>4.2017579999999992E-2</v>
      </c>
      <c r="V63" s="70">
        <f>+[3]Bancassurance!$C$94/1000</f>
        <v>4.2017579999999992E-2</v>
      </c>
      <c r="W63" s="70">
        <f>+[3]Bancassurance!$C$94/1000</f>
        <v>4.2017579999999992E-2</v>
      </c>
      <c r="X63" s="70">
        <f>+[3]Bancassurance!$C$94/1000</f>
        <v>4.2017579999999992E-2</v>
      </c>
      <c r="Y63" s="75">
        <f>+[3]Specials!$C$94/1000</f>
        <v>1.0691300000000002E-3</v>
      </c>
      <c r="Z63" s="75">
        <f>+[3]Specials!$C$94/1000</f>
        <v>1.0691300000000002E-3</v>
      </c>
      <c r="AA63" s="75">
        <f>+[3]Specials!$C$94/1000</f>
        <v>1.0691300000000002E-3</v>
      </c>
      <c r="AB63" s="6"/>
      <c r="AC63" s="82" t="s">
        <v>176</v>
      </c>
      <c r="AD63" s="82" t="s">
        <v>177</v>
      </c>
      <c r="AE63" s="82" t="s">
        <v>178</v>
      </c>
      <c r="AG63" s="109"/>
      <c r="AK63" s="109"/>
      <c r="AO63" s="109"/>
      <c r="AS63" s="109"/>
      <c r="AW63" s="109"/>
      <c r="BA63" s="109"/>
      <c r="BE63" s="109"/>
    </row>
    <row r="64" spans="1:57" ht="16.5" x14ac:dyDescent="0.25">
      <c r="A64" s="202"/>
      <c r="B64" s="9"/>
      <c r="C64" s="38" t="s">
        <v>24</v>
      </c>
      <c r="D64" s="7"/>
      <c r="E64" s="75" t="s">
        <v>122</v>
      </c>
      <c r="F64" s="75" t="s">
        <v>123</v>
      </c>
      <c r="G64" s="75" t="s">
        <v>124</v>
      </c>
      <c r="H64" s="7"/>
      <c r="I64" s="75">
        <v>123</v>
      </c>
      <c r="J64" s="75">
        <v>123</v>
      </c>
      <c r="K64" s="75">
        <v>123</v>
      </c>
      <c r="L64" s="7"/>
      <c r="M64" s="70" t="s">
        <v>149</v>
      </c>
      <c r="N64" s="70" t="s">
        <v>149</v>
      </c>
      <c r="O64" s="70" t="s">
        <v>149</v>
      </c>
      <c r="P64" s="7"/>
      <c r="Q64" s="70" t="s">
        <v>165</v>
      </c>
      <c r="R64" s="70" t="s">
        <v>165</v>
      </c>
      <c r="S64" s="70" t="s">
        <v>165</v>
      </c>
      <c r="T64" s="7"/>
      <c r="U64" s="70">
        <f>+[3]Bancassurance!$C$94/1000</f>
        <v>4.2017579999999992E-2</v>
      </c>
      <c r="V64" s="70">
        <f>+[3]Bancassurance!$C$94/1000</f>
        <v>4.2017579999999992E-2</v>
      </c>
      <c r="W64" s="70">
        <f>+[3]Bancassurance!$C$94/1000</f>
        <v>4.2017579999999992E-2</v>
      </c>
      <c r="X64" s="70">
        <f>+[3]Bancassurance!$C$94/1000</f>
        <v>4.2017579999999992E-2</v>
      </c>
      <c r="Y64" s="75">
        <f>+[3]Specials!$C$94/1000</f>
        <v>1.0691300000000002E-3</v>
      </c>
      <c r="Z64" s="75">
        <f>+[3]Specials!$C$94/1000</f>
        <v>1.0691300000000002E-3</v>
      </c>
      <c r="AA64" s="75">
        <f>+[3]Specials!$C$94/1000</f>
        <v>1.0691300000000002E-3</v>
      </c>
      <c r="AB64" s="7"/>
      <c r="AC64" s="82" t="s">
        <v>176</v>
      </c>
      <c r="AD64" s="82" t="s">
        <v>177</v>
      </c>
      <c r="AE64" s="82" t="s">
        <v>178</v>
      </c>
      <c r="AG64" s="109"/>
      <c r="AK64" s="109"/>
      <c r="AO64" s="109"/>
      <c r="AS64" s="109"/>
      <c r="AW64" s="109"/>
      <c r="BA64" s="109"/>
      <c r="BE64" s="109"/>
    </row>
    <row r="65" spans="1:57" ht="16.5" x14ac:dyDescent="0.25">
      <c r="A65" s="202"/>
      <c r="B65" s="9"/>
      <c r="C65" s="38" t="s">
        <v>25</v>
      </c>
      <c r="D65" s="7"/>
      <c r="E65" s="75" t="s">
        <v>122</v>
      </c>
      <c r="F65" s="75" t="s">
        <v>123</v>
      </c>
      <c r="G65" s="75" t="s">
        <v>124</v>
      </c>
      <c r="H65" s="7"/>
      <c r="I65" s="75">
        <v>123</v>
      </c>
      <c r="J65" s="75">
        <v>123</v>
      </c>
      <c r="K65" s="75">
        <v>123</v>
      </c>
      <c r="L65" s="7"/>
      <c r="M65" s="70" t="s">
        <v>150</v>
      </c>
      <c r="N65" s="70" t="s">
        <v>150</v>
      </c>
      <c r="O65" s="70" t="s">
        <v>150</v>
      </c>
      <c r="P65" s="7"/>
      <c r="Q65" s="70" t="s">
        <v>166</v>
      </c>
      <c r="R65" s="70" t="s">
        <v>166</v>
      </c>
      <c r="S65" s="70" t="s">
        <v>166</v>
      </c>
      <c r="T65" s="7"/>
      <c r="U65" s="70">
        <f>+[3]Bancassurance!$C$94/1000</f>
        <v>4.2017579999999992E-2</v>
      </c>
      <c r="V65" s="70">
        <f>+[3]Bancassurance!$C$94/1000</f>
        <v>4.2017579999999992E-2</v>
      </c>
      <c r="W65" s="70">
        <f>+[3]Bancassurance!$C$94/1000</f>
        <v>4.2017579999999992E-2</v>
      </c>
      <c r="X65" s="70">
        <f>+[3]Bancassurance!$C$94/1000</f>
        <v>4.2017579999999992E-2</v>
      </c>
      <c r="Y65" s="75">
        <f>+[3]Specials!$C$94/1000</f>
        <v>1.0691300000000002E-3</v>
      </c>
      <c r="Z65" s="75">
        <f>+[3]Specials!$C$94/1000</f>
        <v>1.0691300000000002E-3</v>
      </c>
      <c r="AA65" s="75">
        <f>+[3]Specials!$C$94/1000</f>
        <v>1.0691300000000002E-3</v>
      </c>
      <c r="AB65" s="7"/>
      <c r="AC65" s="82" t="s">
        <v>176</v>
      </c>
      <c r="AD65" s="82" t="s">
        <v>177</v>
      </c>
      <c r="AE65" s="82" t="s">
        <v>178</v>
      </c>
      <c r="AG65" s="109"/>
      <c r="AK65" s="109"/>
      <c r="AO65" s="109"/>
      <c r="AS65" s="109"/>
      <c r="AW65" s="109"/>
      <c r="BA65" s="109"/>
      <c r="BE65" s="109"/>
    </row>
    <row r="66" spans="1:57" ht="16.5" x14ac:dyDescent="0.25">
      <c r="A66" s="202"/>
      <c r="B66" s="9"/>
      <c r="C66" s="38" t="s">
        <v>53</v>
      </c>
      <c r="D66" s="7"/>
      <c r="E66" s="75" t="s">
        <v>122</v>
      </c>
      <c r="F66" s="75" t="s">
        <v>123</v>
      </c>
      <c r="G66" s="75" t="s">
        <v>124</v>
      </c>
      <c r="H66" s="7"/>
      <c r="I66" s="75">
        <v>123</v>
      </c>
      <c r="J66" s="75">
        <v>123</v>
      </c>
      <c r="K66" s="75">
        <v>123</v>
      </c>
      <c r="L66" s="7"/>
      <c r="M66" s="70" t="s">
        <v>151</v>
      </c>
      <c r="N66" s="70" t="s">
        <v>151</v>
      </c>
      <c r="O66" s="70" t="s">
        <v>151</v>
      </c>
      <c r="P66" s="7"/>
      <c r="Q66" s="70" t="s">
        <v>167</v>
      </c>
      <c r="R66" s="70" t="s">
        <v>167</v>
      </c>
      <c r="S66" s="70" t="s">
        <v>167</v>
      </c>
      <c r="T66" s="7"/>
      <c r="U66" s="70">
        <f>+[3]Bancassurance!$C$94/1000</f>
        <v>4.2017579999999992E-2</v>
      </c>
      <c r="V66" s="70">
        <f>+[3]Bancassurance!$C$94/1000</f>
        <v>4.2017579999999992E-2</v>
      </c>
      <c r="W66" s="70">
        <f>+[3]Bancassurance!$C$94/1000</f>
        <v>4.2017579999999992E-2</v>
      </c>
      <c r="X66" s="70">
        <f>+[3]Bancassurance!$C$94/1000</f>
        <v>4.2017579999999992E-2</v>
      </c>
      <c r="Y66" s="75">
        <f>+[3]Specials!$C$94/1000</f>
        <v>1.0691300000000002E-3</v>
      </c>
      <c r="Z66" s="75">
        <f>+[3]Specials!$C$94/1000</f>
        <v>1.0691300000000002E-3</v>
      </c>
      <c r="AA66" s="75">
        <f>+[3]Specials!$C$94/1000</f>
        <v>1.0691300000000002E-3</v>
      </c>
      <c r="AB66" s="7"/>
      <c r="AC66" s="82" t="s">
        <v>176</v>
      </c>
      <c r="AD66" s="82" t="s">
        <v>177</v>
      </c>
      <c r="AE66" s="82" t="s">
        <v>178</v>
      </c>
      <c r="AG66" s="109"/>
      <c r="AK66" s="109"/>
      <c r="AO66" s="109"/>
      <c r="AS66" s="109"/>
      <c r="AW66" s="109"/>
      <c r="BA66" s="109"/>
      <c r="BE66" s="109"/>
    </row>
    <row r="67" spans="1:57" ht="16.5" x14ac:dyDescent="0.25">
      <c r="A67" s="202"/>
      <c r="B67" s="9"/>
      <c r="C67" s="37" t="s">
        <v>27</v>
      </c>
      <c r="D67" s="7"/>
      <c r="E67" s="75" t="s">
        <v>122</v>
      </c>
      <c r="F67" s="75" t="s">
        <v>123</v>
      </c>
      <c r="G67" s="75" t="s">
        <v>124</v>
      </c>
      <c r="H67" s="7"/>
      <c r="I67" s="75">
        <v>123</v>
      </c>
      <c r="J67" s="75">
        <v>123</v>
      </c>
      <c r="K67" s="75">
        <v>123</v>
      </c>
      <c r="L67" s="7"/>
      <c r="M67" s="70" t="s">
        <v>152</v>
      </c>
      <c r="N67" s="70" t="s">
        <v>152</v>
      </c>
      <c r="O67" s="70" t="s">
        <v>152</v>
      </c>
      <c r="P67" s="7"/>
      <c r="Q67" s="70" t="s">
        <v>168</v>
      </c>
      <c r="R67" s="70" t="s">
        <v>168</v>
      </c>
      <c r="S67" s="70" t="s">
        <v>168</v>
      </c>
      <c r="T67" s="7"/>
      <c r="U67" s="70">
        <f>+[3]Bancassurance!$C$94/1000</f>
        <v>4.2017579999999992E-2</v>
      </c>
      <c r="V67" s="70">
        <f>+[3]Bancassurance!$C$94/1000</f>
        <v>4.2017579999999992E-2</v>
      </c>
      <c r="W67" s="70">
        <f>+[3]Bancassurance!$C$94/1000</f>
        <v>4.2017579999999992E-2</v>
      </c>
      <c r="X67" s="70">
        <f>+[3]Bancassurance!$C$94/1000</f>
        <v>4.2017579999999992E-2</v>
      </c>
      <c r="Y67" s="75">
        <f>+[3]Specials!$C$94/1000</f>
        <v>1.0691300000000002E-3</v>
      </c>
      <c r="Z67" s="75">
        <f>+[3]Specials!$C$94/1000</f>
        <v>1.0691300000000002E-3</v>
      </c>
      <c r="AA67" s="75">
        <f>+[3]Specials!$C$94/1000</f>
        <v>1.0691300000000002E-3</v>
      </c>
      <c r="AB67" s="7"/>
      <c r="AC67" s="82" t="s">
        <v>176</v>
      </c>
      <c r="AD67" s="82" t="s">
        <v>177</v>
      </c>
      <c r="AE67" s="82" t="s">
        <v>178</v>
      </c>
      <c r="AG67" s="109"/>
      <c r="AK67" s="109"/>
      <c r="AO67" s="109"/>
      <c r="AS67" s="109"/>
      <c r="AW67" s="109"/>
      <c r="BA67" s="109"/>
      <c r="BE67" s="109"/>
    </row>
    <row r="68" spans="1:57" ht="16.5" x14ac:dyDescent="0.25">
      <c r="A68" s="202"/>
      <c r="B68" s="9"/>
      <c r="C68" s="37" t="s">
        <v>57</v>
      </c>
      <c r="D68" s="7"/>
      <c r="E68" s="75" t="s">
        <v>122</v>
      </c>
      <c r="F68" s="75" t="s">
        <v>123</v>
      </c>
      <c r="G68" s="75" t="s">
        <v>124</v>
      </c>
      <c r="H68" s="7"/>
      <c r="I68" s="75">
        <v>123</v>
      </c>
      <c r="J68" s="75">
        <v>123</v>
      </c>
      <c r="K68" s="75">
        <v>123</v>
      </c>
      <c r="L68" s="7"/>
      <c r="M68" s="70" t="s">
        <v>153</v>
      </c>
      <c r="N68" s="70" t="s">
        <v>153</v>
      </c>
      <c r="O68" s="70" t="s">
        <v>153</v>
      </c>
      <c r="P68" s="7"/>
      <c r="Q68" s="70" t="s">
        <v>169</v>
      </c>
      <c r="R68" s="70" t="s">
        <v>169</v>
      </c>
      <c r="S68" s="70" t="s">
        <v>169</v>
      </c>
      <c r="T68" s="7"/>
      <c r="U68" s="70">
        <f>+[3]Bancassurance!$C$94/1000</f>
        <v>4.2017579999999992E-2</v>
      </c>
      <c r="V68" s="70">
        <f>+[3]Bancassurance!$C$94/1000</f>
        <v>4.2017579999999992E-2</v>
      </c>
      <c r="W68" s="70">
        <f>+[3]Bancassurance!$C$94/1000</f>
        <v>4.2017579999999992E-2</v>
      </c>
      <c r="X68" s="70">
        <f>+[3]Bancassurance!$C$94/1000</f>
        <v>4.2017579999999992E-2</v>
      </c>
      <c r="Y68" s="75">
        <f>+[3]Specials!$C$94/1000</f>
        <v>1.0691300000000002E-3</v>
      </c>
      <c r="Z68" s="75">
        <f>+[3]Specials!$C$94/1000</f>
        <v>1.0691300000000002E-3</v>
      </c>
      <c r="AA68" s="75">
        <f>+[3]Specials!$C$94/1000</f>
        <v>1.0691300000000002E-3</v>
      </c>
      <c r="AB68" s="7"/>
      <c r="AC68" s="82" t="s">
        <v>176</v>
      </c>
      <c r="AD68" s="82" t="s">
        <v>177</v>
      </c>
      <c r="AE68" s="82" t="s">
        <v>178</v>
      </c>
      <c r="AG68" s="109"/>
      <c r="AK68" s="109"/>
      <c r="AO68" s="109"/>
      <c r="AS68" s="109"/>
      <c r="AW68" s="109"/>
      <c r="BA68" s="109"/>
      <c r="BE68" s="109"/>
    </row>
    <row r="69" spans="1:57" ht="16.5" x14ac:dyDescent="0.25">
      <c r="A69" s="202"/>
      <c r="B69" s="9"/>
      <c r="C69" s="37" t="s">
        <v>29</v>
      </c>
      <c r="D69" s="7"/>
      <c r="E69" s="75" t="s">
        <v>122</v>
      </c>
      <c r="F69" s="75" t="s">
        <v>123</v>
      </c>
      <c r="G69" s="75" t="s">
        <v>124</v>
      </c>
      <c r="H69" s="7"/>
      <c r="I69" s="75">
        <v>123</v>
      </c>
      <c r="J69" s="75">
        <v>123</v>
      </c>
      <c r="K69" s="75">
        <v>123</v>
      </c>
      <c r="L69" s="7"/>
      <c r="M69" s="70" t="s">
        <v>154</v>
      </c>
      <c r="N69" s="70" t="s">
        <v>154</v>
      </c>
      <c r="O69" s="70" t="s">
        <v>154</v>
      </c>
      <c r="P69" s="7"/>
      <c r="Q69" s="70" t="s">
        <v>170</v>
      </c>
      <c r="R69" s="70" t="s">
        <v>170</v>
      </c>
      <c r="S69" s="70" t="s">
        <v>170</v>
      </c>
      <c r="T69" s="7"/>
      <c r="U69" s="70">
        <f>+[3]Bancassurance!$C$94/1000</f>
        <v>4.2017579999999992E-2</v>
      </c>
      <c r="V69" s="70">
        <f>+[3]Bancassurance!$C$94/1000</f>
        <v>4.2017579999999992E-2</v>
      </c>
      <c r="W69" s="70">
        <f>+[3]Bancassurance!$C$94/1000</f>
        <v>4.2017579999999992E-2</v>
      </c>
      <c r="X69" s="70">
        <f>+[3]Bancassurance!$C$94/1000</f>
        <v>4.2017579999999992E-2</v>
      </c>
      <c r="Y69" s="75">
        <f>+[3]Specials!$C$94/1000</f>
        <v>1.0691300000000002E-3</v>
      </c>
      <c r="Z69" s="75">
        <f>+[3]Specials!$C$94/1000</f>
        <v>1.0691300000000002E-3</v>
      </c>
      <c r="AA69" s="75">
        <f>+[3]Specials!$C$94/1000</f>
        <v>1.0691300000000002E-3</v>
      </c>
      <c r="AB69" s="7"/>
      <c r="AC69" s="82" t="s">
        <v>176</v>
      </c>
      <c r="AD69" s="82" t="s">
        <v>177</v>
      </c>
      <c r="AE69" s="82" t="s">
        <v>178</v>
      </c>
      <c r="AG69" s="109"/>
      <c r="AK69" s="109"/>
      <c r="AO69" s="109"/>
      <c r="AS69" s="109"/>
      <c r="AW69" s="109"/>
      <c r="BA69" s="109"/>
      <c r="BE69" s="109"/>
    </row>
    <row r="70" spans="1:57" ht="16.5" x14ac:dyDescent="0.25">
      <c r="A70" s="202"/>
      <c r="B70" s="9"/>
      <c r="C70" s="37" t="s">
        <v>58</v>
      </c>
      <c r="D70" s="7"/>
      <c r="E70" s="75" t="s">
        <v>122</v>
      </c>
      <c r="F70" s="75" t="s">
        <v>123</v>
      </c>
      <c r="G70" s="75" t="s">
        <v>124</v>
      </c>
      <c r="H70" s="7"/>
      <c r="I70" s="75">
        <v>123</v>
      </c>
      <c r="J70" s="75">
        <v>123</v>
      </c>
      <c r="K70" s="75">
        <v>123</v>
      </c>
      <c r="L70" s="7"/>
      <c r="M70" s="70" t="s">
        <v>155</v>
      </c>
      <c r="N70" s="70" t="s">
        <v>155</v>
      </c>
      <c r="O70" s="70" t="s">
        <v>155</v>
      </c>
      <c r="P70" s="7"/>
      <c r="Q70" s="70" t="s">
        <v>171</v>
      </c>
      <c r="R70" s="70" t="s">
        <v>171</v>
      </c>
      <c r="S70" s="70" t="s">
        <v>171</v>
      </c>
      <c r="T70" s="7"/>
      <c r="U70" s="70">
        <f>+[3]Bancassurance!$C$94/1000</f>
        <v>4.2017579999999992E-2</v>
      </c>
      <c r="V70" s="70">
        <f>+[3]Bancassurance!$C$94/1000</f>
        <v>4.2017579999999992E-2</v>
      </c>
      <c r="W70" s="70">
        <f>+[3]Bancassurance!$C$94/1000</f>
        <v>4.2017579999999992E-2</v>
      </c>
      <c r="X70" s="70">
        <f>+[3]Bancassurance!$C$94/1000</f>
        <v>4.2017579999999992E-2</v>
      </c>
      <c r="Y70" s="75">
        <f>+[3]Specials!$C$94/1000</f>
        <v>1.0691300000000002E-3</v>
      </c>
      <c r="Z70" s="75">
        <f>+[3]Specials!$C$94/1000</f>
        <v>1.0691300000000002E-3</v>
      </c>
      <c r="AA70" s="75">
        <f>+[3]Specials!$C$94/1000</f>
        <v>1.0691300000000002E-3</v>
      </c>
      <c r="AB70" s="7"/>
      <c r="AC70" s="82" t="s">
        <v>176</v>
      </c>
      <c r="AD70" s="82" t="s">
        <v>177</v>
      </c>
      <c r="AE70" s="82" t="s">
        <v>178</v>
      </c>
      <c r="AG70" s="109"/>
      <c r="AK70" s="109"/>
      <c r="AO70" s="109"/>
      <c r="AS70" s="109"/>
      <c r="AW70" s="109"/>
      <c r="BA70" s="109"/>
      <c r="BE70" s="109"/>
    </row>
    <row r="71" spans="1:57" ht="16.5" x14ac:dyDescent="0.25">
      <c r="A71" s="202"/>
      <c r="B71" s="9"/>
      <c r="C71" s="39" t="s">
        <v>59</v>
      </c>
      <c r="D71" s="8"/>
      <c r="E71" s="75" t="s">
        <v>122</v>
      </c>
      <c r="F71" s="75" t="s">
        <v>123</v>
      </c>
      <c r="G71" s="75" t="s">
        <v>124</v>
      </c>
      <c r="H71" s="8"/>
      <c r="I71" s="75">
        <v>123</v>
      </c>
      <c r="J71" s="75">
        <v>123</v>
      </c>
      <c r="K71" s="75">
        <v>123</v>
      </c>
      <c r="L71" s="8"/>
      <c r="M71" s="70" t="s">
        <v>156</v>
      </c>
      <c r="N71" s="70" t="s">
        <v>156</v>
      </c>
      <c r="O71" s="70" t="s">
        <v>156</v>
      </c>
      <c r="P71" s="8"/>
      <c r="Q71" s="70" t="s">
        <v>172</v>
      </c>
      <c r="R71" s="70" t="s">
        <v>172</v>
      </c>
      <c r="S71" s="70" t="s">
        <v>172</v>
      </c>
      <c r="T71" s="8"/>
      <c r="U71" s="70">
        <f>+[3]Bancassurance!$C$94/1000</f>
        <v>4.2017579999999992E-2</v>
      </c>
      <c r="V71" s="70">
        <f>+[3]Bancassurance!$C$94/1000</f>
        <v>4.2017579999999992E-2</v>
      </c>
      <c r="W71" s="70">
        <f>+[3]Bancassurance!$C$94/1000</f>
        <v>4.2017579999999992E-2</v>
      </c>
      <c r="X71" s="70">
        <f>+[3]Bancassurance!$C$94/1000</f>
        <v>4.2017579999999992E-2</v>
      </c>
      <c r="Y71" s="75">
        <f>+[3]Specials!$C$94/1000</f>
        <v>1.0691300000000002E-3</v>
      </c>
      <c r="Z71" s="75">
        <f>+[3]Specials!$C$94/1000</f>
        <v>1.0691300000000002E-3</v>
      </c>
      <c r="AA71" s="75">
        <f>+[3]Specials!$C$94/1000</f>
        <v>1.0691300000000002E-3</v>
      </c>
      <c r="AB71" s="8"/>
      <c r="AC71" s="82" t="s">
        <v>176</v>
      </c>
      <c r="AD71" s="82" t="s">
        <v>177</v>
      </c>
      <c r="AE71" s="82" t="s">
        <v>178</v>
      </c>
      <c r="AG71" s="109"/>
      <c r="AK71" s="109"/>
      <c r="AO71" s="109"/>
      <c r="AS71" s="109"/>
      <c r="AW71" s="109"/>
      <c r="BA71" s="109"/>
      <c r="BE71" s="109"/>
    </row>
    <row r="72" spans="1:57" ht="16.5" x14ac:dyDescent="0.25">
      <c r="A72" s="202"/>
      <c r="B72" s="9"/>
      <c r="C72" s="39" t="s">
        <v>60</v>
      </c>
      <c r="D72" s="8"/>
      <c r="E72" s="75" t="s">
        <v>122</v>
      </c>
      <c r="F72" s="75" t="s">
        <v>123</v>
      </c>
      <c r="G72" s="75" t="s">
        <v>124</v>
      </c>
      <c r="H72" s="8"/>
      <c r="I72" s="75">
        <v>123</v>
      </c>
      <c r="J72" s="75">
        <v>123</v>
      </c>
      <c r="K72" s="75">
        <v>123</v>
      </c>
      <c r="L72" s="8"/>
      <c r="M72" s="70" t="s">
        <v>157</v>
      </c>
      <c r="N72" s="70" t="s">
        <v>157</v>
      </c>
      <c r="O72" s="70" t="s">
        <v>157</v>
      </c>
      <c r="P72" s="8"/>
      <c r="Q72" s="70" t="s">
        <v>173</v>
      </c>
      <c r="R72" s="70" t="s">
        <v>173</v>
      </c>
      <c r="S72" s="70" t="s">
        <v>173</v>
      </c>
      <c r="T72" s="8"/>
      <c r="U72" s="70">
        <f>+[3]Bancassurance!$C$94/1000</f>
        <v>4.2017579999999992E-2</v>
      </c>
      <c r="V72" s="70">
        <f>+[3]Bancassurance!$C$94/1000</f>
        <v>4.2017579999999992E-2</v>
      </c>
      <c r="W72" s="70">
        <f>+[3]Bancassurance!$C$94/1000</f>
        <v>4.2017579999999992E-2</v>
      </c>
      <c r="X72" s="70">
        <f>+[3]Bancassurance!$C$94/1000</f>
        <v>4.2017579999999992E-2</v>
      </c>
      <c r="Y72" s="75">
        <f>+[3]Specials!$C$94/1000</f>
        <v>1.0691300000000002E-3</v>
      </c>
      <c r="Z72" s="75">
        <f>+[3]Specials!$C$94/1000</f>
        <v>1.0691300000000002E-3</v>
      </c>
      <c r="AA72" s="75">
        <f>+[3]Specials!$C$94/1000</f>
        <v>1.0691300000000002E-3</v>
      </c>
      <c r="AB72" s="8"/>
      <c r="AC72" s="82" t="s">
        <v>176</v>
      </c>
      <c r="AD72" s="82" t="s">
        <v>177</v>
      </c>
      <c r="AE72" s="82" t="s">
        <v>178</v>
      </c>
      <c r="AG72" s="109"/>
      <c r="AK72" s="109"/>
      <c r="AO72" s="109"/>
      <c r="AS72" s="109"/>
      <c r="AW72" s="109"/>
      <c r="BA72" s="109"/>
      <c r="BE72" s="109"/>
    </row>
    <row r="73" spans="1:57" ht="16.5" x14ac:dyDescent="0.25">
      <c r="A73" s="202"/>
      <c r="B73" s="9"/>
      <c r="C73" s="39" t="s">
        <v>61</v>
      </c>
      <c r="D73" s="8"/>
      <c r="E73" s="75" t="s">
        <v>122</v>
      </c>
      <c r="F73" s="75" t="s">
        <v>123</v>
      </c>
      <c r="G73" s="75" t="s">
        <v>124</v>
      </c>
      <c r="H73" s="8"/>
      <c r="I73" s="75">
        <v>123</v>
      </c>
      <c r="J73" s="75">
        <v>123</v>
      </c>
      <c r="K73" s="75">
        <v>123</v>
      </c>
      <c r="L73" s="8"/>
      <c r="M73" s="70" t="s">
        <v>158</v>
      </c>
      <c r="N73" s="70" t="s">
        <v>158</v>
      </c>
      <c r="O73" s="70" t="s">
        <v>158</v>
      </c>
      <c r="P73" s="8"/>
      <c r="Q73" s="70" t="s">
        <v>174</v>
      </c>
      <c r="R73" s="70" t="s">
        <v>174</v>
      </c>
      <c r="S73" s="70" t="s">
        <v>174</v>
      </c>
      <c r="T73" s="8"/>
      <c r="U73" s="70">
        <f>+[3]Bancassurance!$C$94/1000</f>
        <v>4.2017579999999992E-2</v>
      </c>
      <c r="V73" s="70">
        <f>+[3]Bancassurance!$C$94/1000</f>
        <v>4.2017579999999992E-2</v>
      </c>
      <c r="W73" s="70">
        <f>+[3]Bancassurance!$C$94/1000</f>
        <v>4.2017579999999992E-2</v>
      </c>
      <c r="X73" s="70">
        <f>+[3]Bancassurance!$C$94/1000</f>
        <v>4.2017579999999992E-2</v>
      </c>
      <c r="Y73" s="75">
        <f>+[3]Specials!$C$94/1000</f>
        <v>1.0691300000000002E-3</v>
      </c>
      <c r="Z73" s="75">
        <f>+[3]Specials!$C$94/1000</f>
        <v>1.0691300000000002E-3</v>
      </c>
      <c r="AA73" s="75">
        <f>+[3]Specials!$C$94/1000</f>
        <v>1.0691300000000002E-3</v>
      </c>
      <c r="AB73" s="8"/>
      <c r="AC73" s="82" t="s">
        <v>176</v>
      </c>
      <c r="AD73" s="82" t="s">
        <v>177</v>
      </c>
      <c r="AE73" s="82" t="s">
        <v>178</v>
      </c>
      <c r="AG73" s="109"/>
      <c r="AK73" s="109"/>
      <c r="AO73" s="109"/>
      <c r="AS73" s="109"/>
      <c r="AW73" s="109"/>
      <c r="BA73" s="109"/>
      <c r="BE73" s="109"/>
    </row>
    <row r="74" spans="1:57" ht="16.5" x14ac:dyDescent="0.25">
      <c r="A74" s="202"/>
      <c r="B74" s="9"/>
      <c r="C74" s="37" t="s">
        <v>34</v>
      </c>
      <c r="D74" s="6"/>
      <c r="E74" s="75" t="s">
        <v>122</v>
      </c>
      <c r="F74" s="75" t="s">
        <v>123</v>
      </c>
      <c r="G74" s="75" t="s">
        <v>124</v>
      </c>
      <c r="H74" s="6"/>
      <c r="I74" s="75">
        <v>123</v>
      </c>
      <c r="J74" s="75">
        <v>123</v>
      </c>
      <c r="K74" s="75">
        <v>123</v>
      </c>
      <c r="L74" s="6"/>
      <c r="M74" s="70" t="s">
        <v>159</v>
      </c>
      <c r="N74" s="70" t="s">
        <v>159</v>
      </c>
      <c r="O74" s="70" t="s">
        <v>159</v>
      </c>
      <c r="P74" s="6"/>
      <c r="Q74" s="70" t="s">
        <v>175</v>
      </c>
      <c r="R74" s="70" t="s">
        <v>175</v>
      </c>
      <c r="S74" s="70" t="s">
        <v>175</v>
      </c>
      <c r="T74" s="6"/>
      <c r="U74" s="70">
        <f>+[3]Bancassurance!$C$94/1000</f>
        <v>4.2017579999999992E-2</v>
      </c>
      <c r="V74" s="70">
        <f>+[3]Bancassurance!$C$94/1000</f>
        <v>4.2017579999999992E-2</v>
      </c>
      <c r="W74" s="70">
        <f>+[3]Bancassurance!$C$94/1000</f>
        <v>4.2017579999999992E-2</v>
      </c>
      <c r="X74" s="70">
        <f>+[3]Bancassurance!$C$94/1000</f>
        <v>4.2017579999999992E-2</v>
      </c>
      <c r="Y74" s="75">
        <f>+[3]Specials!$C$94/1000</f>
        <v>1.0691300000000002E-3</v>
      </c>
      <c r="Z74" s="75">
        <f>+[3]Specials!$C$94/1000</f>
        <v>1.0691300000000002E-3</v>
      </c>
      <c r="AA74" s="75">
        <f>+[3]Specials!$C$94/1000</f>
        <v>1.0691300000000002E-3</v>
      </c>
      <c r="AB74" s="6"/>
      <c r="AC74" s="82" t="s">
        <v>176</v>
      </c>
      <c r="AD74" s="82" t="s">
        <v>177</v>
      </c>
      <c r="AE74" s="82" t="s">
        <v>178</v>
      </c>
      <c r="AG74" s="108"/>
      <c r="AK74" s="108"/>
      <c r="AO74" s="108"/>
      <c r="AS74" s="108"/>
      <c r="AW74" s="108"/>
      <c r="BA74" s="108"/>
      <c r="BE74" s="108"/>
    </row>
    <row r="75" spans="1:57" x14ac:dyDescent="0.25">
      <c r="Q75" s="67" t="e">
        <f>(Q63+Q66-R63-R66)</f>
        <v>#VALUE!</v>
      </c>
      <c r="R75" s="196" t="e">
        <f>Q75*Q60</f>
        <v>#VALUE!</v>
      </c>
    </row>
    <row r="76" spans="1:57" ht="16.5" hidden="1" outlineLevel="1" x14ac:dyDescent="0.25">
      <c r="A76" s="202" t="s">
        <v>38</v>
      </c>
      <c r="B76" s="9"/>
      <c r="C76" s="37" t="s">
        <v>19</v>
      </c>
      <c r="D76" s="6"/>
      <c r="E76" s="75">
        <f>+[3]Retail!$C$33/1000</f>
        <v>13.760091929999991</v>
      </c>
      <c r="F76" s="40">
        <f>+[3]Retail!$C$34/1000</f>
        <v>14.356198270000002</v>
      </c>
      <c r="G76" s="40">
        <f>+[3]Retail!$C$35/1000</f>
        <v>13.131483596439136</v>
      </c>
      <c r="H76" s="6"/>
      <c r="I76" s="75">
        <f>+[3]SME!$C$33/1000</f>
        <v>25.977176029999999</v>
      </c>
      <c r="J76" s="40">
        <f>+[3]SME!$C$34/1000</f>
        <v>26.18835687</v>
      </c>
      <c r="K76" s="40">
        <f>+[3]SME!$C$35/1000</f>
        <v>24.338316853744633</v>
      </c>
      <c r="L76" s="6"/>
      <c r="M76" s="70">
        <f>+[3]MidCorp!$C$33/1000</f>
        <v>108.70809534</v>
      </c>
      <c r="N76" s="40">
        <f>+[3]MidCorp!$C$34/1000</f>
        <v>110.62614524000001</v>
      </c>
      <c r="O76" s="40">
        <f>+[3]MidCorp!$C$35/1000</f>
        <v>112.54845367250161</v>
      </c>
      <c r="P76" s="6"/>
      <c r="Q76" s="70">
        <f>+[3]MGA!$C$33/1000</f>
        <v>3.5519553500000005</v>
      </c>
      <c r="R76" s="40">
        <f>+[3]MGA!$C$34/1000</f>
        <v>3.1151406600000002</v>
      </c>
      <c r="S76" s="40">
        <f>+[3]MGA!$C$35/1000</f>
        <v>6.5171899999999994</v>
      </c>
      <c r="T76" s="6"/>
      <c r="U76" s="70">
        <f>+[3]Bancassurance!$C$33/1000</f>
        <v>4.2017579999999992E-2</v>
      </c>
      <c r="V76" s="40">
        <f>+[3]Bancassurance!$C$34/1000</f>
        <v>0</v>
      </c>
      <c r="W76" s="40">
        <f>+[3]Bancassurance!$C$35/1000</f>
        <v>0.27317000000000002</v>
      </c>
      <c r="X76" s="6"/>
      <c r="Y76" s="70">
        <f>+[3]Specials!$C$33/1000</f>
        <v>0</v>
      </c>
      <c r="Z76" s="40">
        <f>+[3]Specials!$C$34/1000</f>
        <v>-1.0200000000000001E-3</v>
      </c>
      <c r="AA76" s="40"/>
      <c r="AB76" s="6"/>
      <c r="AC76" s="82">
        <f>+'[3]Total P&amp;C'!$C$33/1000</f>
        <v>152.03933623</v>
      </c>
      <c r="AD76" s="58">
        <f>+'[3]Total P&amp;C'!$C$34/1000</f>
        <v>154.28482104000003</v>
      </c>
      <c r="AE76" s="58">
        <f>+'[3]Total P&amp;C'!$C$35/1000</f>
        <v>156.80861412268538</v>
      </c>
      <c r="AG76" s="108"/>
      <c r="AK76" s="108"/>
      <c r="AO76" s="108"/>
      <c r="AS76" s="108"/>
      <c r="AW76" s="108"/>
      <c r="BA76" s="108"/>
      <c r="BE76" s="108"/>
    </row>
    <row r="77" spans="1:57" ht="16.5" hidden="1" outlineLevel="1" x14ac:dyDescent="0.25">
      <c r="A77" s="202"/>
      <c r="B77" s="9"/>
      <c r="C77" s="37" t="s">
        <v>55</v>
      </c>
      <c r="D77" s="6"/>
      <c r="E77" s="75">
        <f>+[3]Retail!$N$33/1000</f>
        <v>13.836810819999993</v>
      </c>
      <c r="F77" s="40">
        <f>+[3]Retail!$N$34/1000</f>
        <v>14.35976685</v>
      </c>
      <c r="G77" s="40">
        <f>+[3]Retail!$N$35/1000</f>
        <v>13.142971363986241</v>
      </c>
      <c r="H77" s="6"/>
      <c r="I77" s="98">
        <f>+[3]SME!$N$33/1000</f>
        <v>13.727213460000002</v>
      </c>
      <c r="J77" s="40">
        <f>+[3]SME!$N$34/1000</f>
        <v>14.009923329999992</v>
      </c>
      <c r="K77" s="40">
        <f>+[3]SME!$N$35/1000</f>
        <v>13.753438283596559</v>
      </c>
      <c r="L77" s="6"/>
      <c r="M77" s="70">
        <f>+[3]MidCorp!$N$33/1000</f>
        <v>45.550488299999998</v>
      </c>
      <c r="N77" s="40">
        <f>+[3]MidCorp!$N$34/1000</f>
        <v>44.934647699999985</v>
      </c>
      <c r="O77" s="40">
        <f>+[3]MidCorp!$N$35/1000</f>
        <v>58.982087473381583</v>
      </c>
      <c r="P77" s="6"/>
      <c r="Q77" s="70">
        <f>+[3]MGA!$N$33/1000</f>
        <v>3.2356591799999994</v>
      </c>
      <c r="R77" s="40">
        <f>+[3]MGA!$N$34/1000</f>
        <v>2.8877826899999994</v>
      </c>
      <c r="S77" s="40">
        <f>+[3]MGA!$N$35/1000</f>
        <v>6.2240000000000002</v>
      </c>
      <c r="T77" s="6"/>
      <c r="U77" s="70">
        <f>+[3]Bancassurance!$N$33/1000</f>
        <v>2.6223940000000005E-2</v>
      </c>
      <c r="V77" s="40">
        <f>+[3]Bancassurance!$N$34/1000</f>
        <v>0</v>
      </c>
      <c r="W77" s="40">
        <f>+[3]Bancassurance!$N$35/1000</f>
        <v>0.30894008499504944</v>
      </c>
      <c r="X77" s="6"/>
      <c r="Y77" s="70">
        <f>+[3]Specials!$N$33/1000</f>
        <v>0</v>
      </c>
      <c r="Z77" s="40">
        <f>+[3]Specials!$N$34/1000</f>
        <v>-1.0088900000000001E-3</v>
      </c>
      <c r="AA77" s="40"/>
      <c r="AB77" s="6"/>
      <c r="AC77" s="82">
        <f>+'[3]Total P&amp;C'!$N$33/1000</f>
        <v>76.376395699999989</v>
      </c>
      <c r="AD77" s="58">
        <f>+'[3]Total P&amp;C'!$N$34/1000</f>
        <v>76.191111679999977</v>
      </c>
      <c r="AE77" s="58">
        <f>+'[3]Total P&amp;C'!$N$35/1000</f>
        <v>92.41143720595943</v>
      </c>
      <c r="AG77" s="108"/>
      <c r="AK77" s="108"/>
      <c r="AO77" s="108"/>
      <c r="AS77" s="108"/>
      <c r="AW77" s="108"/>
      <c r="BA77" s="108"/>
      <c r="BE77" s="108"/>
    </row>
    <row r="78" spans="1:57" ht="16.5" hidden="1" outlineLevel="1" x14ac:dyDescent="0.25">
      <c r="A78" s="202"/>
      <c r="B78" s="9"/>
      <c r="C78" s="37" t="s">
        <v>21</v>
      </c>
      <c r="D78" s="6"/>
      <c r="E78" s="71">
        <f>+E79+E84+E85+E86+E87</f>
        <v>0.87122413298991774</v>
      </c>
      <c r="F78" s="41">
        <f>+F79+F84+F85+F86+F87</f>
        <v>0.89632939061263417</v>
      </c>
      <c r="G78" s="41">
        <f>+G79+G84+G85+G86+G87</f>
        <v>0.98920133062152937</v>
      </c>
      <c r="H78" s="6"/>
      <c r="I78" s="72">
        <f>+I79+I84+I85+I86+I87</f>
        <v>1.0373818001370254</v>
      </c>
      <c r="J78" s="41">
        <f>+J79+J84+J85+J86+J87</f>
        <v>0.68954674001060379</v>
      </c>
      <c r="K78" s="41">
        <f>+K79+K84+K85+K86+K87</f>
        <v>1.0143933329082344</v>
      </c>
      <c r="L78" s="6"/>
      <c r="M78" s="71">
        <f>+M79+M84+M85+M86+M87</f>
        <v>0.86793436548077563</v>
      </c>
      <c r="N78" s="41">
        <f>+N79+N84+N85+N86+N87</f>
        <v>0.91480846193437526</v>
      </c>
      <c r="O78" s="41">
        <f>+O79+O84+O85+O86+O87</f>
        <v>0.9265010568190386</v>
      </c>
      <c r="P78" s="6"/>
      <c r="Q78" s="72">
        <f>+Q79+Q84+Q85+Q86+Q87</f>
        <v>0.96460137683598723</v>
      </c>
      <c r="R78" s="41">
        <f>+R79+R84+R85+R86+R87</f>
        <v>1.1624934942732832</v>
      </c>
      <c r="S78" s="41">
        <f>+S79+S84+S85+S86+S87</f>
        <v>0.93077027240153165</v>
      </c>
      <c r="T78" s="6"/>
      <c r="U78" s="72">
        <f>+U79+U84+U85+U86+U87</f>
        <v>24.298362869957753</v>
      </c>
      <c r="V78" s="41">
        <f>+V79+V84+V85+V86+V87</f>
        <v>0</v>
      </c>
      <c r="W78" s="41">
        <f>+W79+W84+W85+W86+W87</f>
        <v>1.6711654655329888</v>
      </c>
      <c r="X78" s="6"/>
      <c r="Y78" s="96">
        <f>+Y79+Y84+Y85+Y86+Y87</f>
        <v>0</v>
      </c>
      <c r="Z78" s="41">
        <f>+Z79+Z84+Z85+Z86+Z87</f>
        <v>0.98067182745393433</v>
      </c>
      <c r="AA78" s="41"/>
      <c r="AB78" s="6"/>
      <c r="AC78" s="86">
        <f>+AC79+AC84+AC85+AC86+AC87</f>
        <v>0.91112546686986462</v>
      </c>
      <c r="AD78" s="59">
        <f>+AD79+AD84+AD85+AD86+AD87</f>
        <v>0.88962065765201859</v>
      </c>
      <c r="AE78" s="59">
        <f>+AE79+AE84+AE85+AE86+AE87</f>
        <v>0.95127631462940498</v>
      </c>
      <c r="AG78" s="109"/>
      <c r="AK78" s="109"/>
      <c r="AO78" s="109"/>
      <c r="AS78" s="109"/>
      <c r="AW78" s="109"/>
      <c r="BA78" s="109"/>
      <c r="BE78" s="109"/>
    </row>
    <row r="79" spans="1:57" ht="16.5" hidden="1" outlineLevel="1" x14ac:dyDescent="0.25">
      <c r="A79" s="202"/>
      <c r="B79" s="9"/>
      <c r="C79" s="37" t="s">
        <v>56</v>
      </c>
      <c r="D79" s="6"/>
      <c r="E79" s="71">
        <f>+E80+E81+E82+E83</f>
        <v>0.54189260715786847</v>
      </c>
      <c r="F79" s="41">
        <f>+F80+F81+F82+F83</f>
        <v>0.66066539792044099</v>
      </c>
      <c r="G79" s="41">
        <f>+G80+G81+G82+G83</f>
        <v>0.58296833906193413</v>
      </c>
      <c r="H79" s="6"/>
      <c r="I79" s="71">
        <f>+I80+I81+I82+I83</f>
        <v>0.48133745055057947</v>
      </c>
      <c r="J79" s="41">
        <f>+J80+J81+J82+J83</f>
        <v>0.5309098240439839</v>
      </c>
      <c r="K79" s="41">
        <f>+K80+K81+K82+K83</f>
        <v>0.58914918264417149</v>
      </c>
      <c r="L79" s="6"/>
      <c r="M79" s="71">
        <f>+M80+M81+M82+M83</f>
        <v>0.61250914691072589</v>
      </c>
      <c r="N79" s="41">
        <f>+N80+N81+N82+N83</f>
        <v>0.62769946586228609</v>
      </c>
      <c r="O79" s="41">
        <f>+O80+O81+O82+O83</f>
        <v>0.68771540438828938</v>
      </c>
      <c r="P79" s="6"/>
      <c r="Q79" s="72">
        <f>+Q80+Q81+Q82+Q83</f>
        <v>0.85227372742020391</v>
      </c>
      <c r="R79" s="41">
        <f>+R80+R81+R82+R83</f>
        <v>0.59146856718640428</v>
      </c>
      <c r="S79" s="41">
        <f>+S80+S81+S82+S83</f>
        <v>0.5728544935889186</v>
      </c>
      <c r="T79" s="6"/>
      <c r="U79" s="72">
        <f>+U80+U81+U82+U83</f>
        <v>6.1024605760995483</v>
      </c>
      <c r="V79" s="41">
        <f>+V80+V81+V82+V83</f>
        <v>0</v>
      </c>
      <c r="W79" s="41">
        <f>+W80+W81+W82+W83</f>
        <v>0.43782377643486775</v>
      </c>
      <c r="X79" s="6"/>
      <c r="Y79" s="96">
        <f>+Y80+Y81+Y82+Y83</f>
        <v>0</v>
      </c>
      <c r="Z79" s="41">
        <f>+Z80+Z81+Z82+Z83</f>
        <v>0.77435597537888168</v>
      </c>
      <c r="AA79" s="41"/>
      <c r="AB79" s="6"/>
      <c r="AC79" s="86">
        <f>+AC80+AC81+AC82+AC83</f>
        <v>0.5881827180802669</v>
      </c>
      <c r="AD79" s="59">
        <f>+AD80+AD81+AD82+AD83</f>
        <v>0.61778756645121591</v>
      </c>
      <c r="AE79" s="59">
        <f>+AE80+AE81+AE82+AE83</f>
        <v>0.64957718163355893</v>
      </c>
      <c r="AG79" s="109"/>
      <c r="AK79" s="109"/>
      <c r="AO79" s="109"/>
      <c r="AS79" s="109"/>
      <c r="AW79" s="109"/>
      <c r="BA79" s="109"/>
      <c r="BE79" s="109"/>
    </row>
    <row r="80" spans="1:57" ht="16.5" hidden="1" outlineLevel="1" x14ac:dyDescent="0.25">
      <c r="A80" s="202"/>
      <c r="B80" s="9"/>
      <c r="C80" s="38" t="s">
        <v>23</v>
      </c>
      <c r="D80" s="6"/>
      <c r="E80" s="73">
        <f>-SUM([3]Retail!$O$33,[3]Retail!$R$33:$V$33,[3]Retail!$Y$33,[3]Retail!$AB$33,[3]Retail!$AU$33,[3]Retail!$AX$33,[3]Retail!$BA$33,[3]Retail!$BD$33)/1000/E77</f>
        <v>0.41877133904198505</v>
      </c>
      <c r="F80" s="42">
        <f>-SUM([3]Retail!$O$34,[3]Retail!$R$34:$V$34,[3]Retail!$Y$34,[3]Retail!$AB$34,[3]Retail!$AU$34,[3]Retail!$AX$34,[3]Retail!$BA$34,[3]Retail!$BD$34)/1000/F77</f>
        <v>0.50319126242405621</v>
      </c>
      <c r="G80" s="42">
        <f>-SUM([3]Retail!$O$35,[3]Retail!$R$35:$V$35,[3]Retail!$Y$35,[3]Retail!$AB$35,[3]Retail!$AU$35,[3]Retail!$AX$35,[3]Retail!$BA$35,[3]Retail!$BD$35)/1000/G77</f>
        <v>0.36733861123512557</v>
      </c>
      <c r="H80" s="6"/>
      <c r="I80" s="73">
        <f>-SUM([3]SME!$O$33,[3]SME!$R$33:$V$33,[3]SME!$Y$33,[3]SME!$AB$33,[3]SME!$AU$33,[3]SME!$AX$33,[3]SME!$BA$33,[3]SME!$BD$33)/1000/I77</f>
        <v>0.3069867510034136</v>
      </c>
      <c r="J80" s="42">
        <f>-SUM([3]SME!$O$34,[3]SME!$R$34:$V$34,[3]SME!$Y$34,[3]SME!$AB$34,[3]SME!$AU$34,[3]SME!$AX$34,[3]SME!$BA$34,[3]SME!$BD$34)/1000/J77</f>
        <v>0.29139502700680325</v>
      </c>
      <c r="K80" s="42">
        <f>-SUM([3]SME!$O$35,[3]SME!$R$35:$V$35,[3]SME!$Y$35,[3]SME!$AB$35,[3]SME!$AU$35,[3]SME!$AX$35,[3]SME!$BA$35,[3]SME!$BD$35)/1000/K77</f>
        <v>0.286585820113615</v>
      </c>
      <c r="L80" s="6"/>
      <c r="M80" s="74">
        <f>-SUM([3]MidCorp!$O$33,[3]MidCorp!$R$33:$V$33,[3]MidCorp!$Y$33,[3]MidCorp!$AB$33,[3]MidCorp!$AU$33,[3]MidCorp!$AX$33,[3]MidCorp!$BA$33,[3]MidCorp!$BD$33)/1000/M77</f>
        <v>0.24847384788868593</v>
      </c>
      <c r="N80" s="42">
        <f>-SUM([3]MidCorp!$O$34,[3]MidCorp!$R$34:$V$34,[3]MidCorp!$Y$34,[3]MidCorp!$AB$34,[3]MidCorp!$AU$34,[3]MidCorp!$AX$34,[3]MidCorp!$BA$34,[3]MidCorp!$BD$34)/1000/N77</f>
        <v>0.27810824855945593</v>
      </c>
      <c r="O80" s="42">
        <f>-SUM([3]MidCorp!$O$35,[3]MidCorp!$R$35:$V$35,[3]MidCorp!$Y$35,[3]MidCorp!$AB$35,[3]MidCorp!$AU$35,[3]MidCorp!$AX$35,[3]MidCorp!$BA$35,[3]MidCorp!$BD$35)/1000/O77</f>
        <v>0.28849709917938948</v>
      </c>
      <c r="P80" s="6"/>
      <c r="Q80" s="73">
        <f>-SUM([3]MGA!$O$33,[3]MGA!$R$33:$V$33,[3]MGA!$Y$33,[3]MGA!$AB$33,[3]MGA!$AU$33,[3]MGA!$AX$33,[3]MGA!$BA$33,[3]MGA!$BD$33)/1000/Q77</f>
        <v>0.54612999342610458</v>
      </c>
      <c r="R80" s="42">
        <f>-SUM([3]MGA!$O$34,[3]MGA!$R$34:$V$34,[3]MGA!$Y$34,[3]MGA!$AB$34,[3]MGA!$AU$34,[3]MGA!$AX$34,[3]MGA!$BA$34,[3]MGA!$BD$34)/1000/R77</f>
        <v>0.38544234808606204</v>
      </c>
      <c r="S80" s="42">
        <f>-SUM([3]MGA!$O$35,[3]MGA!$R$35:$V$35,[3]MGA!$Y$35,[3]MGA!$AB$35,[3]MGA!$AU$35,[3]MGA!$AX$35,[3]MGA!$BA$35,[3]MGA!$BD$35)/1000/S77</f>
        <v>0.33847754777066436</v>
      </c>
      <c r="T80" s="6"/>
      <c r="U80" s="73">
        <f>IFERROR(-SUM([3]Bancassurance!$O$33,[3]Bancassurance!$R$33:$V$33,[3]Bancassurance!$Y$33,[3]Bancassurance!$AB$33,[3]Bancassurance!$AU$33,[3]Bancassurance!$AX$33,[3]Bancassurance!$BA$33,[3]Bancassurance!$BD$33)/1000/U77,0)</f>
        <v>5.3121521785055945</v>
      </c>
      <c r="V80" s="42">
        <f>IFERROR(-SUM([3]Bancassurance!$O$34,[3]Bancassurance!$R$34:$V$34,[3]Bancassurance!$Y$34,[3]Bancassurance!$AB$34,[3]Bancassurance!$AU$34,[3]Bancassurance!$AX$34,[3]Bancassurance!$BA$34,[3]Bancassurance!$BD$34)/1000/V77,0)</f>
        <v>0</v>
      </c>
      <c r="W80" s="42">
        <f>-SUM([3]Bancassurance!$O$35,[3]Bancassurance!$R$35:$V$35,[3]Bancassurance!$Y$35,[3]Bancassurance!$AB$35,[3]Bancassurance!$AU$35,[3]Bancassurance!$AX$35,[3]Bancassurance!$BA$35,[3]Bancassurance!$BD$35)/1000/W77</f>
        <v>0.13896769384533014</v>
      </c>
      <c r="X80" s="6"/>
      <c r="Y80" s="97">
        <f>IFERROR(-SUM([3]Specials!$O$33,[3]Specials!$R$33:$V$33,[3]Specials!$Y$33,[3]Specials!$AB$33,[3]Specials!$AU$33,[3]Specials!$AX$33,[3]Specials!$BA$33,[3]Specials!$BD$33)/1000/Y77,0)</f>
        <v>0</v>
      </c>
      <c r="Z80" s="42">
        <f>IFERROR(-SUM([3]Specials!$O$34,[3]Specials!$R$34:$V$34,[3]Specials!$Y$34,[3]Specials!$AB$34,[3]Specials!$AU$34,[3]Specials!$AX$34,[3]Specials!$BA$34,[3]Specials!$BD$34)/1000/Z77,0)</f>
        <v>1.9823766713913309E-5</v>
      </c>
      <c r="AA80" s="42"/>
      <c r="AB80" s="6"/>
      <c r="AC80" s="99">
        <f>-SUM('[3]Total P&amp;C'!$O$33,'[3]Total P&amp;C'!$R$33:$V$33,'[3]Total P&amp;C'!$Y$33,'[3]Total P&amp;C'!$AB$33,'[3]Total P&amp;C'!$AU$33,'[3]Total P&amp;C'!$AX$33,'[3]Total P&amp;C'!$BA$33,'[3]Total P&amp;C'!$BD$33)/1000/AC77</f>
        <v>0.30419128096391479</v>
      </c>
      <c r="AD80" s="60">
        <f>-SUM('[3]Total P&amp;C'!$O$34,'[3]Total P&amp;C'!$R$34:$V$34,'[3]Total P&amp;C'!$Y$34,'[3]Total P&amp;C'!$AB$34,'[3]Total P&amp;C'!$AU$34,'[3]Total P&amp;C'!$AX$34,'[3]Total P&amp;C'!$BA$34,'[3]Total P&amp;C'!$BD$34)/1000/AD77</f>
        <v>0.3299679212497123</v>
      </c>
      <c r="AE80" s="60">
        <f>-SUM('[3]Total P&amp;C'!$O$35,'[3]Total P&amp;C'!$R$35:$V$35,'[3]Total P&amp;C'!$Y$35,'[3]Total P&amp;C'!$AB$35,'[3]Total P&amp;C'!$AU$35,'[3]Total P&amp;C'!$AX$35,'[3]Total P&amp;C'!$BA$35,'[3]Total P&amp;C'!$BD$35)/1000/AE77</f>
        <v>0.3022920124493324</v>
      </c>
      <c r="AG80" s="109"/>
      <c r="AK80" s="109"/>
      <c r="AO80" s="109"/>
      <c r="AS80" s="109"/>
      <c r="AW80" s="109"/>
      <c r="BA80" s="109"/>
      <c r="BE80" s="109"/>
    </row>
    <row r="81" spans="1:57" ht="16.5" hidden="1" outlineLevel="1" x14ac:dyDescent="0.25">
      <c r="A81" s="202"/>
      <c r="B81" s="9"/>
      <c r="C81" s="38" t="s">
        <v>24</v>
      </c>
      <c r="D81" s="7"/>
      <c r="E81" s="74">
        <f>-([3]Retail!$P$33+[3]Retail!$W$33+[3]Retail!$AV$33+[3]Retail!$AY$33)/1000/E77</f>
        <v>1.0226552334983799E-2</v>
      </c>
      <c r="F81" s="42">
        <f>-([3]Retail!$P$34+[3]Retail!$W$34+[3]Retail!$AV$34+[3]Retail!$AY$34)/1000/F77</f>
        <v>0</v>
      </c>
      <c r="G81" s="42">
        <f>-([3]Retail!$P$35+[3]Retail!$W$35+[3]Retail!$AV$35+[3]Retail!$AY$35)/1000/G77</f>
        <v>6.8877997550067557E-2</v>
      </c>
      <c r="H81" s="7"/>
      <c r="I81" s="74">
        <f>-([3]SME!$P$33+[3]SME!$W$33+[3]SME!$AV$33+[3]SME!$AY$33)/1000/I77</f>
        <v>1.3124448055315662E-3</v>
      </c>
      <c r="J81" s="42">
        <f>-([3]SME!$P$34+[3]SME!$W$34+[3]SME!$AV$34+[3]SME!$AY$34)/1000/J77</f>
        <v>0</v>
      </c>
      <c r="K81" s="42">
        <f>-([3]SME!$P$35+[3]SME!$W$35+[3]SME!$AV$35+[3]SME!$AY$35)/1000/K77</f>
        <v>6.841756457560845E-2</v>
      </c>
      <c r="L81" s="7"/>
      <c r="M81" s="74">
        <f>-([3]MidCorp!$P$33+[3]MidCorp!$W$33+[3]MidCorp!$AV$33+[3]MidCorp!$AY$33)/1000/M77</f>
        <v>1.435728450796871E-2</v>
      </c>
      <c r="N81" s="42">
        <f>-([3]MidCorp!$P$34+[3]MidCorp!$W$34+[3]MidCorp!$AV$34+[3]MidCorp!$AY$34)/1000/N77</f>
        <v>0</v>
      </c>
      <c r="O81" s="42">
        <f>-([3]MidCorp!$P$35+[3]MidCorp!$W$35+[3]MidCorp!$AV$35+[3]MidCorp!$AY$35)/1000/O77</f>
        <v>6.8438159155095921E-2</v>
      </c>
      <c r="P81" s="7"/>
      <c r="Q81" s="74">
        <f>-([3]MGA!$P$33+[3]MGA!$W$33+[3]MGA!$AV$33+[3]MGA!$AY$33)/1000/Q77</f>
        <v>1.6263270348516748E-3</v>
      </c>
      <c r="R81" s="42">
        <f>-([3]MGA!$P$34+[3]MGA!$W$34+[3]MGA!$AV$34+[3]MGA!$AY$34)/1000/R77</f>
        <v>0</v>
      </c>
      <c r="S81" s="42">
        <f>-([3]MGA!$P$35+[3]MGA!$W$35+[3]MGA!$AV$35+[3]MGA!$AY$35)/1000/S77</f>
        <v>8.3227126338662596E-2</v>
      </c>
      <c r="T81" s="7"/>
      <c r="U81" s="74">
        <f>IFERROR(-([3]Bancassurance!$P$33+[3]Bancassurance!$W$33+[3]Bancassurance!$AV$33+[3]Bancassurance!$AY$33)/1000/U77,0)</f>
        <v>0</v>
      </c>
      <c r="V81" s="42">
        <f>IFERROR(-([3]Bancassurance!$P$34+[3]Bancassurance!$W$34+[3]Bancassurance!$AV$34+[3]Bancassurance!$AY$34)/1000/V77,0)</f>
        <v>0</v>
      </c>
      <c r="W81" s="42">
        <f>-([3]Bancassurance!$P$35+[3]Bancassurance!$W$35+[3]Bancassurance!$AV$35+[3]Bancassurance!$AY$35)/1000/W77</f>
        <v>0.17637625668514795</v>
      </c>
      <c r="X81" s="7"/>
      <c r="Y81" s="97">
        <f>IFERROR(-([3]Specials!$P$33+[3]Specials!$W$33+[3]Specials!$AV$33+[3]Specials!$AY$33)/1000/Y77,0)</f>
        <v>0</v>
      </c>
      <c r="Z81" s="42">
        <f>IFERROR(-([3]Specials!$P$34+[3]Specials!$W$34+[3]Specials!$AV$34+[3]Specials!$AY$34)/1000/Z77,0)</f>
        <v>0</v>
      </c>
      <c r="AA81" s="42"/>
      <c r="AB81" s="7"/>
      <c r="AC81" s="85">
        <f>-('[3]Total P&amp;C'!$P$33+'[3]Total P&amp;C'!$W$33+'[3]Total P&amp;C'!$AV$33+'[3]Total P&amp;C'!$AY$33)/1000/AC77</f>
        <v>1.072010052969808E-2</v>
      </c>
      <c r="AD81" s="60">
        <f>-('[3]Total P&amp;C'!$P$34+'[3]Total P&amp;C'!$W$34+'[3]Total P&amp;C'!$AV$34+'[3]Total P&amp;C'!$AY$34)/1000/AD77</f>
        <v>0</v>
      </c>
      <c r="AE81" s="60">
        <f>-('[3]Total P&amp;C'!$P$35+'[3]Total P&amp;C'!$W$35+'[3]Total P&amp;C'!$AV$35+'[3]Total P&amp;C'!$AY$35)/1000/AE77</f>
        <v>6.9854547406215481E-2</v>
      </c>
      <c r="AG81" s="109"/>
      <c r="AK81" s="109"/>
      <c r="AO81" s="109"/>
      <c r="AS81" s="109"/>
      <c r="AW81" s="109"/>
      <c r="BA81" s="109"/>
      <c r="BE81" s="109"/>
    </row>
    <row r="82" spans="1:57" ht="16.5" hidden="1" outlineLevel="1" x14ac:dyDescent="0.25">
      <c r="A82" s="202"/>
      <c r="B82" s="9"/>
      <c r="C82" s="38" t="s">
        <v>25</v>
      </c>
      <c r="D82" s="7"/>
      <c r="E82" s="74">
        <f>-([3]Retail!$Q$33+[3]Retail!$X$33+[3]Retail!$AW$33+[3]Retail!$AZ$33)/1000/E77</f>
        <v>2.3119963769077156E-2</v>
      </c>
      <c r="F82" s="42">
        <f>-([3]Retail!$Q$34+[3]Retail!$X$34+[3]Retail!$AW$34+[3]Retail!$AZ$34)/1000/F77</f>
        <v>3.8831652105367417E-2</v>
      </c>
      <c r="G82" s="42">
        <f>-([3]Retail!$Q$35+[3]Retail!$X$35+[3]Retail!$AW$35+[3]Retail!$AZ$35)/1000/G77</f>
        <v>4.3048680878170167E-2</v>
      </c>
      <c r="H82" s="7"/>
      <c r="I82" s="74">
        <f>-([3]SME!$Q$33+[3]SME!$X$33+[3]SME!$AW$33+[3]SME!$AZ$33)/1000/I77</f>
        <v>8.1936679491561693E-2</v>
      </c>
      <c r="J82" s="42">
        <f>-([3]SME!$Q$34+[3]SME!$X$34+[3]SME!$AW$34+[3]SME!$AZ$34)/1000/J77</f>
        <v>0.15690375965043993</v>
      </c>
      <c r="K82" s="42">
        <f>-([3]SME!$Q$35+[3]SME!$X$35+[3]SME!$AW$35+[3]SME!$AZ$35)/1000/K77</f>
        <v>0.1360696313184418</v>
      </c>
      <c r="L82" s="7"/>
      <c r="M82" s="73">
        <f>-([3]MidCorp!$Q$33+[3]MidCorp!$X$33+[3]MidCorp!$AW$33+[3]MidCorp!$AZ$33)/1000/M77</f>
        <v>0.25170463384232122</v>
      </c>
      <c r="N82" s="42">
        <f>-([3]MidCorp!$Q$34+[3]MidCorp!$X$34+[3]MidCorp!$AW$34+[3]MidCorp!$AZ$34)/1000/N77</f>
        <v>0.24928772454839601</v>
      </c>
      <c r="O82" s="42">
        <f>-([3]MidCorp!$Q$35+[3]MidCorp!$X$35+[3]MidCorp!$AW$35+[3]MidCorp!$AZ$35)/1000/O77</f>
        <v>0.23391716212820834</v>
      </c>
      <c r="P82" s="7"/>
      <c r="Q82" s="73">
        <f>-([3]MGA!$Q$33+[3]MGA!$X$33+[3]MGA!$AW$33+[3]MGA!$AZ$33)/1000/Q77</f>
        <v>0.1841212965135238</v>
      </c>
      <c r="R82" s="42">
        <f>-([3]MGA!$Q$34+[3]MGA!$X$34+[3]MGA!$AW$34+[3]MGA!$AZ$34)/1000/R77</f>
        <v>8.8998098816125124E-2</v>
      </c>
      <c r="S82" s="42">
        <f>-([3]MGA!$Q$35+[3]MGA!$X$35+[3]MGA!$AW$35+[3]MGA!$AZ$35)/1000/S77</f>
        <v>7.8669665299887892E-2</v>
      </c>
      <c r="T82" s="7"/>
      <c r="U82" s="74">
        <f>IFERROR(-([3]Bancassurance!$Q$33+[3]Bancassurance!$X$33+[3]Bancassurance!$AW$33+[3]Bancassurance!$AZ$33)/1000/U77,0)</f>
        <v>0</v>
      </c>
      <c r="V82" s="42">
        <f>IFERROR(-([3]Bancassurance!$Q$34+[3]Bancassurance!$X$34+[3]Bancassurance!$AW$34+[3]Bancassurance!$AZ$34)/1000/V77,0)</f>
        <v>0</v>
      </c>
      <c r="W82" s="42">
        <f>-([3]Bancassurance!$Q$35+[3]Bancassurance!$X$35+[3]Bancassurance!$AW$35+[3]Bancassurance!$AZ$35)/1000/W77</f>
        <v>5.9000000000000011E-2</v>
      </c>
      <c r="X82" s="7"/>
      <c r="Y82" s="97">
        <f>IFERROR(-([3]Specials!$Q$33+[3]Specials!$X$33+[3]Specials!$AW$33+[3]Specials!$AZ$33)/1000/Y77,0)</f>
        <v>0</v>
      </c>
      <c r="Z82" s="42">
        <f>IFERROR(-([3]Specials!$Q$34+[3]Specials!$X$34+[3]Specials!$AW$34+[3]Specials!$AZ$34)/1000/Z77,0)</f>
        <v>0</v>
      </c>
      <c r="AA82" s="42"/>
      <c r="AB82" s="7"/>
      <c r="AC82" s="85">
        <f>-('[3]Total P&amp;C'!$Q$33+'[3]Total P&amp;C'!$X$33+'[3]Total P&amp;C'!$AW$33+'[3]Total P&amp;C'!$AZ$33)/1000/AC77</f>
        <v>0.17683070106711216</v>
      </c>
      <c r="AD82" s="60">
        <f>-('[3]Total P&amp;C'!$Q$34+'[3]Total P&amp;C'!$X$34+'[3]Total P&amp;C'!$AW$34+'[3]Total P&amp;C'!$AZ$34)/1000/AD77</f>
        <v>0.1865635774018638</v>
      </c>
      <c r="AE82" s="60">
        <f>-('[3]Total P&amp;C'!$Q$35+'[3]Total P&amp;C'!$X$35+'[3]Total P&amp;C'!$AW$35+'[3]Total P&amp;C'!$AZ$35)/1000/AE77</f>
        <v>0.18116808203456677</v>
      </c>
      <c r="AG82" s="109"/>
      <c r="AK82" s="109"/>
      <c r="AO82" s="109"/>
      <c r="AS82" s="109"/>
      <c r="AW82" s="109"/>
      <c r="BA82" s="109"/>
      <c r="BE82" s="109"/>
    </row>
    <row r="83" spans="1:57" ht="16.5" hidden="1" outlineLevel="1" x14ac:dyDescent="0.25">
      <c r="A83" s="202"/>
      <c r="B83" s="9"/>
      <c r="C83" s="38" t="s">
        <v>53</v>
      </c>
      <c r="D83" s="7"/>
      <c r="E83" s="74">
        <f>-[3]Retail!$AT$33/1000/E77</f>
        <v>8.9774752011822487E-2</v>
      </c>
      <c r="F83" s="42">
        <f>-[3]Retail!$AT$34/1000/F77</f>
        <v>0.11864248339101739</v>
      </c>
      <c r="G83" s="42">
        <f>-[3]Retail!$AT$35/1000/G77</f>
        <v>0.10370304939857085</v>
      </c>
      <c r="H83" s="7"/>
      <c r="I83" s="74">
        <f>-[3]SME!$AT$33/1000/I77</f>
        <v>9.1101575250072606E-2</v>
      </c>
      <c r="J83" s="42">
        <f>-[3]SME!$AT$34/1000/J77</f>
        <v>8.2611037386740707E-2</v>
      </c>
      <c r="K83" s="42">
        <f>-[3]SME!$AT$35/1000/K77</f>
        <v>9.8076166636506215E-2</v>
      </c>
      <c r="L83" s="7"/>
      <c r="M83" s="73">
        <f>-[3]MidCorp!$AT$33/1000/M77</f>
        <v>9.7973380671750127E-2</v>
      </c>
      <c r="N83" s="42">
        <f>-[3]MidCorp!$AT$34/1000/N77</f>
        <v>0.10030349275443418</v>
      </c>
      <c r="O83" s="42">
        <f>-[3]MidCorp!$AT$35/1000/O77</f>
        <v>9.6862983925595614E-2</v>
      </c>
      <c r="P83" s="7"/>
      <c r="Q83" s="73">
        <f>-[3]MGA!$AT$33/1000/Q77</f>
        <v>0.12039611044572379</v>
      </c>
      <c r="R83" s="42">
        <f>-[3]MGA!$AT$34/1000/R77</f>
        <v>0.11702812028421712</v>
      </c>
      <c r="S83" s="42">
        <f>-[3]MGA!$AT$35/1000/S77</f>
        <v>7.2480154179703798E-2</v>
      </c>
      <c r="T83" s="7"/>
      <c r="U83" s="73">
        <f>IFERROR(-[3]Bancassurance!$AT$33/1000/U77,0)</f>
        <v>0.7903083975939541</v>
      </c>
      <c r="V83" s="42">
        <f>IFERROR(-[3]Bancassurance!$AT$34/1000/V77,0)</f>
        <v>0</v>
      </c>
      <c r="W83" s="42">
        <f>-[3]Bancassurance!$AT$35/1000/W77</f>
        <v>6.347982590438965E-2</v>
      </c>
      <c r="X83" s="7"/>
      <c r="Y83" s="97">
        <f>IFERROR(-[3]Specials!$AT$33/1000/Y77,0)</f>
        <v>0</v>
      </c>
      <c r="Z83" s="42">
        <f>IFERROR(-[3]Specials!$AT$34/1000/Z77,0)</f>
        <v>0.77433615161216773</v>
      </c>
      <c r="AA83" s="42"/>
      <c r="AB83" s="7"/>
      <c r="AC83" s="84">
        <f>-'[3]Total P&amp;C'!$AT$33/1000/AC77</f>
        <v>9.6440635519541851E-2</v>
      </c>
      <c r="AD83" s="60">
        <f>-'[3]Total P&amp;C'!$AT$34/1000/AD77</f>
        <v>0.10125606779963985</v>
      </c>
      <c r="AE83" s="60">
        <f>-'[3]Total P&amp;C'!$AT$35/1000/AE77</f>
        <v>9.6262539743444245E-2</v>
      </c>
      <c r="AG83" s="109"/>
      <c r="AK83" s="109"/>
      <c r="AO83" s="109"/>
      <c r="AS83" s="109"/>
      <c r="AW83" s="109"/>
      <c r="BA83" s="109"/>
      <c r="BE83" s="109"/>
    </row>
    <row r="84" spans="1:57" ht="16.5" hidden="1" outlineLevel="1" x14ac:dyDescent="0.25">
      <c r="A84" s="202"/>
      <c r="B84" s="9"/>
      <c r="C84" s="37" t="s">
        <v>27</v>
      </c>
      <c r="D84" s="7"/>
      <c r="E84" s="71">
        <f>-([3]Retail!$Z$33+[3]Retail!$AA$33+[3]Retail!$BB$33+[3]Retail!$BC$33)/1000/E77</f>
        <v>-1.190634981883781E-2</v>
      </c>
      <c r="F84" s="41">
        <f>-([3]Retail!$Z$34+[3]Retail!$AA$34+[3]Retail!$BB$34+[3]Retail!$BC$34)/1000/F77</f>
        <v>-1.4290512662467079E-2</v>
      </c>
      <c r="G84" s="41">
        <f>-([3]Retail!$Z$35+[3]Retail!$AA$35+[3]Retail!$BB$35+[3]Retail!$BC$35)/1000/G77</f>
        <v>-6.3464252960261404E-3</v>
      </c>
      <c r="H84" s="7"/>
      <c r="I84" s="71">
        <f>-([3]SME!$Z$33+[3]SME!$AA$33+[3]SME!$BB$33+[3]SME!$BC$33)/1000/I77</f>
        <v>-8.4124830094978349E-3</v>
      </c>
      <c r="J84" s="41">
        <f>-([3]SME!$Z$34+[3]SME!$AA$34+[3]SME!$BB$34+[3]SME!$BC$34)/1000/J77</f>
        <v>-9.7985475556489066E-3</v>
      </c>
      <c r="K84" s="41">
        <f>-([3]SME!$Z$35+[3]SME!$AA$35+[3]SME!$BB$35+[3]SME!$BC$35)/1000/K77</f>
        <v>-5.0260030401219884E-3</v>
      </c>
      <c r="L84" s="7"/>
      <c r="M84" s="71">
        <f>-([3]MidCorp!$Z$33+[3]MidCorp!$AA$33+[3]MidCorp!$BB$33+[3]MidCorp!$BC$33)/1000/M77</f>
        <v>-1.105504416733113E-2</v>
      </c>
      <c r="N84" s="41">
        <f>-([3]MidCorp!$Z$34+[3]MidCorp!$AA$34+[3]MidCorp!$BB$34+[3]MidCorp!$BC$34)/1000/N77</f>
        <v>-1.2293619028418468E-2</v>
      </c>
      <c r="O84" s="41">
        <f>-([3]MidCorp!$Z$35+[3]MidCorp!$AA$35+[3]MidCorp!$BB$35+[3]MidCorp!$BC$35)/1000/O77</f>
        <v>-5.6227110479159879E-3</v>
      </c>
      <c r="P84" s="7"/>
      <c r="Q84" s="71">
        <f>-([3]MGA!$Z$33+[3]MGA!$AA$33+[3]MGA!$BB$33+[3]MGA!$BC$33)/1000/Q77</f>
        <v>-9.9660743626280215E-3</v>
      </c>
      <c r="R84" s="41">
        <f>-([3]MGA!$Z$34+[3]MGA!$AA$34+[3]MGA!$BB$34+[3]MGA!$BC$34)/1000/R77</f>
        <v>-8.4178252346266413E-3</v>
      </c>
      <c r="S84" s="41">
        <f>-([3]MGA!$Z$35+[3]MGA!$AA$35+[3]MGA!$BB$35+[3]MGA!$BC$35)/1000/S77</f>
        <v>-3.4017973348490693E-3</v>
      </c>
      <c r="T84" s="7"/>
      <c r="U84" s="41">
        <f>IFERROR(-([3]Bancassurance!$Z$33+[3]Bancassurance!$AA$33+[3]Bancassurance!$BB$33+[3]Bancassurance!$BC$33)/1000/U77,0)</f>
        <v>-2.4863922049852147E-2</v>
      </c>
      <c r="V84" s="41">
        <f>IFERROR(-([3]Bancassurance!$Z$34+[3]Bancassurance!$AA$34+[3]Bancassurance!$BB$34+[3]Bancassurance!$BC$34)/1000/V77,0)</f>
        <v>0</v>
      </c>
      <c r="W84" s="41">
        <f>-([3]Bancassurance!$Z$35+[3]Bancassurance!$AA$35+[3]Bancassurance!$BB$35+[3]Bancassurance!$BC$35)/1000/W77</f>
        <v>-6.9539592941726932E-3</v>
      </c>
      <c r="X84" s="7"/>
      <c r="Y84" s="41">
        <f>IFERROR(-([3]Specials!$Z$33+[3]Specials!$AA$33+[3]Specials!$BB$33+[3]Specials!$BC$33)/1000/Y77,0)</f>
        <v>0</v>
      </c>
      <c r="Z84" s="41">
        <f>IFERROR(-([3]Specials!$Z$34+[3]Specials!$AA$34+[3]Specials!$BB$34+[3]Specials!$BC$34)/1000/Z77,0)</f>
        <v>0</v>
      </c>
      <c r="AA84" s="41"/>
      <c r="AB84" s="7"/>
      <c r="AC84" s="86">
        <f>-('[3]Total P&amp;C'!$Z$33+'[3]Total P&amp;C'!$AA$33+'[3]Total P&amp;C'!$BB$33+'[3]Total P&amp;C'!$BC$33)/1000/AC77</f>
        <v>-1.0692928914947476E-2</v>
      </c>
      <c r="AD84" s="59">
        <f>-('[3]Total P&amp;C'!$Z$34+'[3]Total P&amp;C'!$AA$34+'[3]Total P&amp;C'!$BB$34+'[3]Total P&amp;C'!$BC$34)/1000/AD77</f>
        <v>-1.2064446885361421E-2</v>
      </c>
      <c r="AE84" s="59">
        <f>-('[3]Total P&amp;C'!$Z$35+'[3]Total P&amp;C'!$AA$35+'[3]Total P&amp;C'!$BB$35+'[3]Total P&amp;C'!$BC$35)/1000/AE77</f>
        <v>-5.4917021328971692E-3</v>
      </c>
      <c r="AG84" s="109"/>
      <c r="AK84" s="109"/>
      <c r="AO84" s="109"/>
      <c r="AS84" s="109"/>
      <c r="AW84" s="109"/>
      <c r="BA84" s="109"/>
      <c r="BE84" s="109"/>
    </row>
    <row r="85" spans="1:57" ht="16.5" hidden="1" outlineLevel="1" x14ac:dyDescent="0.25">
      <c r="A85" s="202"/>
      <c r="B85" s="9"/>
      <c r="C85" s="37" t="s">
        <v>57</v>
      </c>
      <c r="D85" s="7"/>
      <c r="E85" s="71">
        <f>-SUM([3]Retail!$AC$33:$AI$33,[3]Retail!$BE$33:$BG$33)/1000/E77</f>
        <v>-5.256028281811842E-2</v>
      </c>
      <c r="F85" s="41">
        <f>-SUM([3]Retail!$AC$34:$AI$34,[3]Retail!$BE$34:$BG$34)/1000/F77</f>
        <v>-0.17416728879550014</v>
      </c>
      <c r="G85" s="41">
        <f>-SUM([3]Retail!$AC$35:$AI$35,[3]Retail!$BE$35:$BG$35)/1000/G77</f>
        <v>-8.5187506345599431E-3</v>
      </c>
      <c r="H85" s="7"/>
      <c r="I85" s="72">
        <f>-SUM([3]SME!$AC$33:$AI$33,[3]SME!$BE$33:$BG$33)/1000/I77</f>
        <v>0.17745502589423567</v>
      </c>
      <c r="J85" s="41">
        <f>-SUM([3]SME!$AC$34:$AI$34,[3]SME!$BE$34:$BG$34)/1000/J77</f>
        <v>-0.24721710736157201</v>
      </c>
      <c r="K85" s="41">
        <f>-SUM([3]SME!$AC$35:$AI$35,[3]SME!$BE$35:$BG$35)/1000/K77</f>
        <v>-1.7867943683914807E-2</v>
      </c>
      <c r="L85" s="7"/>
      <c r="M85" s="72">
        <f>-SUM([3]MidCorp!$AC$33:$AI$33,[3]MidCorp!$BE$33:$BG$33)/1000/M77</f>
        <v>-4.159615562233163E-3</v>
      </c>
      <c r="N85" s="41">
        <f>-SUM([3]MidCorp!$AC$34:$AI$34,[3]MidCorp!$BE$34:$BG$34)/1000/N77</f>
        <v>4.4354082028332124E-2</v>
      </c>
      <c r="O85" s="41">
        <f>-SUM([3]MidCorp!$AC$35:$AI$35,[3]MidCorp!$BE$35:$BG$35)/1000/O77</f>
        <v>-1.7704067892916169E-2</v>
      </c>
      <c r="P85" s="7"/>
      <c r="Q85" s="71">
        <f>-SUM([3]MGA!$AC$33:$AI$33,[3]MGA!$BE$33:$BG$33)/1000/Q77</f>
        <v>-0.35329113989069771</v>
      </c>
      <c r="R85" s="41">
        <f>-SUM([3]MGA!$AC$34:$AI$34,[3]MGA!$BE$34:$BG$34)/1000/R77</f>
        <v>4.3464974159811161E-2</v>
      </c>
      <c r="S85" s="41">
        <f>-SUM([3]MGA!$AC$35:$AI$35,[3]MGA!$BE$35:$BG$35)/1000/S77</f>
        <v>-6.9393505587707696E-2</v>
      </c>
      <c r="T85" s="7"/>
      <c r="U85" s="71">
        <f>IFERROR(-SUM([3]Bancassurance!$AC$33:$AI$33,[3]Bancassurance!$BE$33:$BG$33)/1000/U77,0)</f>
        <v>-6.8803543632268843E-2</v>
      </c>
      <c r="V85" s="41">
        <f>IFERROR(-SUM([3]Bancassurance!$AC$34:$AI$34,[3]Bancassurance!$BE$34:$BG$34)/1000/V77,0)</f>
        <v>0</v>
      </c>
      <c r="W85" s="41">
        <f>-SUM([3]Bancassurance!$AC$35:$AI$35,[3]Bancassurance!$BE$35:$BG$35)/1000/W77</f>
        <v>-1.0756838452095198E-2</v>
      </c>
      <c r="X85" s="7"/>
      <c r="Y85" s="96">
        <f>IFERROR(-SUM([3]Specials!$AC$33:$AI$33,[3]Specials!$BE$33:$BG$33)/1000/Y77,0)</f>
        <v>0</v>
      </c>
      <c r="Z85" s="41">
        <f>IFERROR(-SUM([3]Specials!$AC$34:$AI$34,[3]Specials!$BE$34:$BG$34)/1000/Z77,0)</f>
        <v>5.0550605120478897E-4</v>
      </c>
      <c r="AA85" s="41"/>
      <c r="AB85" s="7"/>
      <c r="AC85" s="83">
        <f>-SUM('[3]Total P&amp;C'!$AC$33:$AI$33,'[3]Total P&amp;C'!$BE$33:$BG$33)/1000/AC77</f>
        <v>4.9005950931513631E-3</v>
      </c>
      <c r="AD85" s="59">
        <f>-SUM('[3]Total P&amp;C'!$AC$34:$AI$34,'[3]Total P&amp;C'!$BE$34:$BG$34)/1000/AD77</f>
        <v>-5.0473581959947618E-2</v>
      </c>
      <c r="AE85" s="59">
        <f>-SUM('[3]Total P&amp;C'!$AC$35:$AI$35,'[3]Total P&amp;C'!$BE$35:$BG$35)/1000/AE77</f>
        <v>-1.9880208449979737E-2</v>
      </c>
      <c r="AG85" s="109"/>
      <c r="AK85" s="109"/>
      <c r="AO85" s="109"/>
      <c r="AS85" s="109"/>
      <c r="AW85" s="109"/>
      <c r="BA85" s="109"/>
      <c r="BE85" s="109"/>
    </row>
    <row r="86" spans="1:57" ht="16.5" hidden="1" outlineLevel="1" x14ac:dyDescent="0.25">
      <c r="A86" s="202"/>
      <c r="B86" s="9"/>
      <c r="C86" s="37" t="s">
        <v>29</v>
      </c>
      <c r="D86" s="7"/>
      <c r="E86" s="71">
        <f>-SUM([3]Retail!$AJ$33:$AK$33,[3]Retail!$BH$33:$BI$33)/1000/E77</f>
        <v>-5.0685516274190075E-3</v>
      </c>
      <c r="F86" s="41">
        <f>-SUM([3]Retail!$AJ$34:$AK$34,[3]Retail!$BH$34:$BI$34)/1000/F77</f>
        <v>6.4533401529426656E-3</v>
      </c>
      <c r="G86" s="41">
        <f>-SUM([3]Retail!$AJ$35:$AK$35,[3]Retail!$BH$35:$BI$35)/1000/G77</f>
        <v>0</v>
      </c>
      <c r="H86" s="7"/>
      <c r="I86" s="71">
        <f>-SUM([3]SME!$AJ$33:$AK$33,[3]SME!$BH$33:$BI$33)/1000/I77</f>
        <v>-9.4230340612770462E-5</v>
      </c>
      <c r="J86" s="41">
        <f>-SUM([3]SME!$AJ$34:$AK$34,[3]SME!$BH$34:$BI$34)/1000/J77</f>
        <v>6.3100223975315652E-3</v>
      </c>
      <c r="K86" s="41">
        <f>-SUM([3]SME!$AJ$35:$AK$35,[3]SME!$BH$35:$BI$35)/1000/K77</f>
        <v>0</v>
      </c>
      <c r="L86" s="7"/>
      <c r="M86" s="71">
        <f>-SUM([3]MidCorp!$AJ$33:$AK$33,[3]MidCorp!$BH$33:$BI$33)/1000/M77</f>
        <v>-5.1173899270800993E-3</v>
      </c>
      <c r="N86" s="41">
        <f>-SUM([3]MidCorp!$AJ$34:$AK$34,[3]MidCorp!$BH$34:$BI$34)/1000/N77</f>
        <v>-7.7915892951353916E-3</v>
      </c>
      <c r="O86" s="41">
        <f>-SUM([3]MidCorp!$AJ$35:$AK$35,[3]MidCorp!$BH$35:$BI$35)/1000/O77</f>
        <v>0</v>
      </c>
      <c r="P86" s="7"/>
      <c r="Q86" s="72">
        <f>-SUM([3]MGA!$AJ$33:$AK$33,[3]MGA!$BH$33:$BI$33)/1000/Q77</f>
        <v>5.2633819115646165E-3</v>
      </c>
      <c r="R86" s="41">
        <f>-SUM([3]MGA!$AJ$34:$AK$34,[3]MGA!$BH$34:$BI$34)/1000/R77</f>
        <v>8.4524711933917258E-4</v>
      </c>
      <c r="S86" s="41">
        <f>-SUM([3]MGA!$AJ$35:$AK$35,[3]MGA!$BH$35:$BI$35)/1000/S77</f>
        <v>0</v>
      </c>
      <c r="T86" s="7"/>
      <c r="U86" s="72">
        <f>IFERROR(-SUM([3]Bancassurance!$AJ$33:$AK$33,[3]Bancassurance!$BH$33:$BI$33)/1000/U77,0)</f>
        <v>4.8985774067512337E-3</v>
      </c>
      <c r="V86" s="41">
        <f>IFERROR(-SUM([3]Bancassurance!$AJ$34:$AK$34,[3]Bancassurance!$BH$34:$BI$34)/1000/V77,0)</f>
        <v>0</v>
      </c>
      <c r="W86" s="41">
        <f>-SUM([3]Bancassurance!$AJ$35:$AK$35,[3]Bancassurance!$BH$35:$BI$35)/1000/W77</f>
        <v>0</v>
      </c>
      <c r="X86" s="7"/>
      <c r="Y86" s="96">
        <f>IFERROR(-SUM([3]Specials!$AJ$33:$AK$33,[3]Specials!$BH$33:$BI$33)/1000/Y77,0)</f>
        <v>0</v>
      </c>
      <c r="Z86" s="41">
        <f>IFERROR(-SUM([3]Specials!$AJ$34:$AK$34,[3]Specials!$BH$34:$BI$34)/1000/Z77,0)</f>
        <v>-1.9823766713913251E-5</v>
      </c>
      <c r="AA86" s="41"/>
      <c r="AB86" s="7"/>
      <c r="AC86" s="86">
        <f>-SUM('[3]Total P&amp;C'!$AJ$33:$AK$33,'[3]Total P&amp;C'!$BH$33:$BI$33)/1000/AC77</f>
        <v>-3.7625073475416682E-3</v>
      </c>
      <c r="AD86" s="59">
        <f>-SUM('[3]Total P&amp;C'!$AJ$34:$AK$34,'[3]Total P&amp;C'!$BH$34:$BI$34)/1000/AD77</f>
        <v>-2.1866070244481307E-3</v>
      </c>
      <c r="AE86" s="59">
        <f>-SUM('[3]Total P&amp;C'!$AJ$35:$AK$35,'[3]Total P&amp;C'!$BH$35:$BI$35)/1000/AE77</f>
        <v>0</v>
      </c>
      <c r="AG86" s="109"/>
      <c r="AK86" s="109"/>
      <c r="AO86" s="109"/>
      <c r="AS86" s="109"/>
      <c r="AW86" s="109"/>
      <c r="BA86" s="109"/>
      <c r="BE86" s="109"/>
    </row>
    <row r="87" spans="1:57" ht="16.5" hidden="1" outlineLevel="1" x14ac:dyDescent="0.25">
      <c r="A87" s="202"/>
      <c r="B87" s="9"/>
      <c r="C87" s="37" t="s">
        <v>58</v>
      </c>
      <c r="D87" s="7"/>
      <c r="E87" s="71">
        <f>+E88+E89+E90</f>
        <v>0.39886671009642438</v>
      </c>
      <c r="F87" s="41">
        <f>+F88+F89+F90</f>
        <v>0.41766845399721775</v>
      </c>
      <c r="G87" s="41">
        <f>+G88+G89+G90</f>
        <v>0.42109816749018136</v>
      </c>
      <c r="H87" s="7"/>
      <c r="I87" s="71">
        <f>+I88+I89+I90</f>
        <v>0.38709603704232071</v>
      </c>
      <c r="J87" s="41">
        <f>+J88+J89+J90</f>
        <v>0.40934254848630919</v>
      </c>
      <c r="K87" s="41">
        <f>+K88+K89+K90</f>
        <v>0.4481380969880997</v>
      </c>
      <c r="L87" s="7"/>
      <c r="M87" s="72">
        <f>+M88+M89+M90</f>
        <v>0.27575726822669427</v>
      </c>
      <c r="N87" s="41">
        <f>+N88+N89+N90</f>
        <v>0.2628401223673108</v>
      </c>
      <c r="O87" s="41">
        <f>+O88+O89+O90</f>
        <v>0.26211243137158136</v>
      </c>
      <c r="P87" s="7"/>
      <c r="Q87" s="72">
        <f>+Q88+Q89+Q90</f>
        <v>0.4703214817575444</v>
      </c>
      <c r="R87" s="41">
        <f>+R88+R89+R90</f>
        <v>0.53513253104235514</v>
      </c>
      <c r="S87" s="41">
        <f>+S88+S89+S90</f>
        <v>0.43071108173516981</v>
      </c>
      <c r="T87" s="7"/>
      <c r="U87" s="72">
        <f>+U88+U89+U90</f>
        <v>18.284671182133575</v>
      </c>
      <c r="V87" s="41">
        <f>+V88+V89+V90</f>
        <v>0</v>
      </c>
      <c r="W87" s="41">
        <f>+W88+W89+W90</f>
        <v>1.2510524868443889</v>
      </c>
      <c r="X87" s="7"/>
      <c r="Y87" s="96">
        <f>+Y88+Y89+Y90</f>
        <v>0</v>
      </c>
      <c r="Z87" s="41">
        <f>+Z88+Z89+Z90</f>
        <v>0.20583016979056185</v>
      </c>
      <c r="AA87" s="41"/>
      <c r="AB87" s="7"/>
      <c r="AC87" s="83">
        <f>+AC88+AC89+AC90</f>
        <v>0.33249758995893552</v>
      </c>
      <c r="AD87" s="59">
        <f>+AD88+AD89+AD90</f>
        <v>0.33655772707055998</v>
      </c>
      <c r="AE87" s="59">
        <f>+AE88+AE89+AE90</f>
        <v>0.32707104357872296</v>
      </c>
      <c r="AG87" s="109"/>
      <c r="AK87" s="109"/>
      <c r="AO87" s="109"/>
      <c r="AS87" s="109"/>
      <c r="AW87" s="109"/>
      <c r="BA87" s="109"/>
      <c r="BE87" s="109"/>
    </row>
    <row r="88" spans="1:57" ht="16.5" hidden="1" outlineLevel="1" x14ac:dyDescent="0.25">
      <c r="A88" s="202"/>
      <c r="B88" s="9"/>
      <c r="C88" s="39" t="s">
        <v>59</v>
      </c>
      <c r="D88" s="8"/>
      <c r="E88" s="74">
        <f>-SUM([3]Retail!$AL$33:$AN$33,[3]Retail!$BJ$33)/1000/E77</f>
        <v>0.24687655590856794</v>
      </c>
      <c r="F88" s="42">
        <f>-SUM([3]Retail!$AL$34:$AN$34,[3]Retail!$BJ$34)/1000/F77</f>
        <v>0.26338614822287293</v>
      </c>
      <c r="G88" s="42">
        <f>-SUM([3]Retail!$AL$35:$AN$35,[3]Retail!$BJ$35)/1000/G77</f>
        <v>0.25841980038705109</v>
      </c>
      <c r="H88" s="8"/>
      <c r="I88" s="74">
        <f>-SUM([3]SME!$AL$33:$AN$33,[3]SME!$BJ$33)/1000/I77</f>
        <v>0.22018807522790598</v>
      </c>
      <c r="J88" s="42">
        <f>-SUM([3]SME!$AL$34:$AN$34,[3]SME!$BJ$34)/1000/J77</f>
        <v>0.2216461958325362</v>
      </c>
      <c r="K88" s="42">
        <f>-SUM([3]SME!$AL$35:$AN$35,[3]SME!$BJ$35)/1000/K77</f>
        <v>0.22386537770810691</v>
      </c>
      <c r="L88" s="8"/>
      <c r="M88" s="97">
        <f>-SUM([3]MidCorp!$AL$33:$AN$33,[3]MidCorp!$BJ$33)/1000/M77</f>
        <v>0.16217136864370341</v>
      </c>
      <c r="N88" s="42">
        <f>-SUM([3]MidCorp!$AL$34:$AN$34,[3]MidCorp!$BJ$34)/1000/N77</f>
        <v>0.16064830413703229</v>
      </c>
      <c r="O88" s="42">
        <f>-SUM([3]MidCorp!$AL$35:$AN$35,[3]MidCorp!$BJ$35)/1000/O77</f>
        <v>0.15761934977168973</v>
      </c>
      <c r="P88" s="8"/>
      <c r="Q88" s="97">
        <f>-SUM([3]MGA!$AL$33:$AN$33,[3]MGA!$BJ$33)/1000/Q77</f>
        <v>0.36104101977761488</v>
      </c>
      <c r="R88" s="42">
        <f>-SUM([3]MGA!$AL$34:$AN$34,[3]MGA!$BJ$34)/1000/R77</f>
        <v>0.36102570792818234</v>
      </c>
      <c r="S88" s="42">
        <f>-SUM([3]MGA!$AL$35:$AN$35,[3]MGA!$BJ$35)/1000/S77</f>
        <v>0.35977911235439863</v>
      </c>
      <c r="T88" s="8"/>
      <c r="U88" s="97">
        <f>IFERROR(-SUM([3]Bancassurance!$AL$33:$AN$33,[3]Bancassurance!$BJ$33)/1000/U77,0)</f>
        <v>0.15003962028589138</v>
      </c>
      <c r="V88" s="42">
        <f>IFERROR(-SUM([3]Bancassurance!$AL$34:$AN$34,[3]Bancassurance!$BJ$34)/1000/V77,0)</f>
        <v>0</v>
      </c>
      <c r="W88" s="42">
        <f>-SUM([3]Bancassurance!$AL$35:$AN$35,[3]Bancassurance!$BJ$35)/1000/W77</f>
        <v>0.15</v>
      </c>
      <c r="X88" s="8"/>
      <c r="Y88" s="97">
        <f>IFERROR(-SUM([3]Specials!$AL$33:$AN$33,[3]Specials!$BJ$33)/1000/Y77,0)</f>
        <v>0</v>
      </c>
      <c r="Z88" s="42">
        <f>IFERROR(-SUM([3]Specials!$AL$34:$AN$34,[3]Specials!$BJ$34)/1000/Z77,0)</f>
        <v>0.20583016979056185</v>
      </c>
      <c r="AA88" s="42"/>
      <c r="AB88" s="8"/>
      <c r="AC88" s="99">
        <f>-SUM('[3]Total P&amp;C'!$AL$33:$AN$33,'[3]Total P&amp;C'!$BJ$33)/1000/AC77</f>
        <v>0.19636535768078944</v>
      </c>
      <c r="AD88" s="60">
        <f>-SUM('[3]Total P&amp;C'!$AL$34:$AN$34,'[3]Total P&amp;C'!$BJ$34)/1000/AD77</f>
        <v>0.19882162939980341</v>
      </c>
      <c r="AE88" s="60">
        <f>-SUM('[3]Total P&amp;C'!$AL$35:$AN$35,'[3]Total P&amp;C'!$BJ$35)/1000/AE77</f>
        <v>0.19540489491625823</v>
      </c>
      <c r="AG88" s="109"/>
      <c r="AK88" s="109"/>
      <c r="AO88" s="109"/>
      <c r="AS88" s="109"/>
      <c r="AW88" s="109"/>
      <c r="BA88" s="109"/>
      <c r="BE88" s="109"/>
    </row>
    <row r="89" spans="1:57" ht="16.5" hidden="1" outlineLevel="1" x14ac:dyDescent="0.25">
      <c r="A89" s="202"/>
      <c r="B89" s="9"/>
      <c r="C89" s="39" t="s">
        <v>60</v>
      </c>
      <c r="D89" s="8"/>
      <c r="E89" s="74">
        <f>-SUM([3]Retail!$AO$33:$AP$33)/1000/E77</f>
        <v>7.722457897997051E-2</v>
      </c>
      <c r="F89" s="42">
        <f>-SUM([3]Retail!$AO$34:$AP$34)/1000/F77</f>
        <v>7.3219291857792232E-2</v>
      </c>
      <c r="G89" s="42">
        <f>-SUM([3]Retail!$AO$35:$AP$35)/1000/G77</f>
        <v>8.0107677335835487E-2</v>
      </c>
      <c r="H89" s="8"/>
      <c r="I89" s="74">
        <f>-SUM([3]SME!$AO$33:$AP$33)/1000/I77</f>
        <v>9.0749330418003107E-2</v>
      </c>
      <c r="J89" s="42">
        <f>-SUM([3]SME!$AO$34:$AP$34)/1000/J77</f>
        <v>0.11112208063739637</v>
      </c>
      <c r="K89" s="42">
        <f>-SUM([3]SME!$AO$35:$AP$35)/1000/K77</f>
        <v>9.750310152344592E-2</v>
      </c>
      <c r="L89" s="8"/>
      <c r="M89" s="73">
        <f>-SUM([3]MidCorp!$AO$33:$AP$33)/1000/M77</f>
        <v>4.9470155734861791E-2</v>
      </c>
      <c r="N89" s="42">
        <f>-SUM([3]MidCorp!$AO$34:$AP$34)/1000/N77</f>
        <v>3.9776815920156881E-2</v>
      </c>
      <c r="O89" s="42">
        <f>-SUM([3]MidCorp!$AO$35:$AP$35)/1000/O77</f>
        <v>4.1377997388644248E-2</v>
      </c>
      <c r="P89" s="8"/>
      <c r="Q89" s="73">
        <f>-SUM([3]MGA!$AO$33:$AP$33)/1000/Q77</f>
        <v>2.3533578712699895E-2</v>
      </c>
      <c r="R89" s="42">
        <f>-SUM([3]MGA!$AO$34:$AP$34)/1000/R77</f>
        <v>0.11191964032445947</v>
      </c>
      <c r="S89" s="42">
        <f>-SUM([3]MGA!$AO$35:$AP$35)/1000/S77</f>
        <v>1.6379195324723182E-2</v>
      </c>
      <c r="T89" s="8"/>
      <c r="U89" s="73">
        <f>IFERROR(-SUM([3]Bancassurance!$AO$33:$AP$33)/1000/U77,0)</f>
        <v>3.3992798183644406</v>
      </c>
      <c r="V89" s="42">
        <f>IFERROR(-SUM([3]Bancassurance!$AO$34:$AP$34)/1000/V77,0)</f>
        <v>0</v>
      </c>
      <c r="W89" s="42">
        <f>-SUM([3]Bancassurance!$AO$35:$AP$35)/1000/W77</f>
        <v>0.2894617297537897</v>
      </c>
      <c r="X89" s="8"/>
      <c r="Y89" s="97">
        <f>IFERROR(-SUM([3]Specials!$AO$33:$AP$33)/1000/Y77,0)</f>
        <v>0</v>
      </c>
      <c r="Z89" s="42">
        <f>IFERROR(-SUM([3]Specials!$AO$34:$AP$34)/1000/Z77,0)</f>
        <v>0</v>
      </c>
      <c r="AA89" s="42"/>
      <c r="AB89" s="8"/>
      <c r="AC89" s="84">
        <f>-SUM('[3]Total P&amp;C'!$AO$33:$AP$33)/1000/AC77</f>
        <v>6.1968834436632099E-2</v>
      </c>
      <c r="AD89" s="60">
        <f>-SUM('[3]Total P&amp;C'!$AO$34:$AP$34)/1000/AD77</f>
        <v>6.3375553572182788E-2</v>
      </c>
      <c r="AE89" s="60">
        <f>-SUM('[3]Total P&amp;C'!$AO$35:$AP$35)/1000/AE77</f>
        <v>5.4384901425844193E-2</v>
      </c>
      <c r="AG89" s="109"/>
      <c r="AK89" s="109"/>
      <c r="AO89" s="109"/>
      <c r="AS89" s="109"/>
      <c r="AW89" s="109"/>
      <c r="BA89" s="109"/>
      <c r="BE89" s="109"/>
    </row>
    <row r="90" spans="1:57" ht="16.5" hidden="1" outlineLevel="1" x14ac:dyDescent="0.25">
      <c r="A90" s="202"/>
      <c r="B90" s="9"/>
      <c r="C90" s="39" t="s">
        <v>61</v>
      </c>
      <c r="D90" s="8"/>
      <c r="E90" s="74">
        <f>-SUM([3]Retail!$AQ$33:$AR$33)/1000/E77</f>
        <v>7.4765575207885987E-2</v>
      </c>
      <c r="F90" s="42">
        <f>-SUM([3]Retail!$AQ$34:$AR$34)/1000/F77</f>
        <v>8.1063013916552545E-2</v>
      </c>
      <c r="G90" s="42">
        <f>-SUM([3]Retail!$AQ$35:$AR$35)/1000/G77</f>
        <v>8.2570689767294758E-2</v>
      </c>
      <c r="H90" s="8"/>
      <c r="I90" s="74">
        <f>-SUM([3]SME!$AQ$33:$AR$33)/1000/I77</f>
        <v>7.6158631396411602E-2</v>
      </c>
      <c r="J90" s="42">
        <f>-SUM([3]SME!$AQ$34:$AR$34)/1000/J77</f>
        <v>7.6574272016376607E-2</v>
      </c>
      <c r="K90" s="42">
        <f>-SUM([3]SME!$AQ$35:$AR$35)/1000/K77</f>
        <v>0.12676961775654691</v>
      </c>
      <c r="L90" s="8"/>
      <c r="M90" s="97">
        <f>-SUM([3]MidCorp!$AQ$33:$AR$33)/1000/M77</f>
        <v>6.411574384812907E-2</v>
      </c>
      <c r="N90" s="42">
        <f>-SUM([3]MidCorp!$AQ$34:$AR$34)/1000/N77</f>
        <v>6.2415002310121606E-2</v>
      </c>
      <c r="O90" s="42">
        <f>-SUM([3]MidCorp!$AQ$35:$AR$35)/1000/O77</f>
        <v>6.3115084211247369E-2</v>
      </c>
      <c r="P90" s="8"/>
      <c r="Q90" s="73">
        <f>-SUM([3]MGA!$AQ$33:$AR$33)/1000/Q77</f>
        <v>8.5746883267229651E-2</v>
      </c>
      <c r="R90" s="42">
        <f>-SUM([3]MGA!$AQ$34:$AR$34)/1000/R77</f>
        <v>6.2187182789713323E-2</v>
      </c>
      <c r="S90" s="42">
        <f>-SUM([3]MGA!$AQ$35:$AR$35)/1000/S77</f>
        <v>5.4552774056047963E-2</v>
      </c>
      <c r="T90" s="8"/>
      <c r="U90" s="73">
        <f>IFERROR(-SUM([3]Bancassurance!$AQ$33:$AR$33)/1000/U77,0)</f>
        <v>14.735351743483243</v>
      </c>
      <c r="V90" s="42">
        <f>IFERROR(-SUM([3]Bancassurance!$AQ$34:$AR$34)/1000/V77,0)</f>
        <v>0</v>
      </c>
      <c r="W90" s="42">
        <f>-SUM([3]Bancassurance!$AQ$35:$AR$35)/1000/W77</f>
        <v>0.81159075709059925</v>
      </c>
      <c r="X90" s="8"/>
      <c r="Y90" s="97">
        <f>IFERROR(-SUM([3]Specials!$AQ$33:$AR$33)/1000/Y77,0)</f>
        <v>0</v>
      </c>
      <c r="Z90" s="42">
        <f>IFERROR(-SUM([3]Specials!$AQ$34:$AR$34)/1000/Z77,0)</f>
        <v>0</v>
      </c>
      <c r="AA90" s="42"/>
      <c r="AB90" s="8"/>
      <c r="AC90" s="85">
        <f>-SUM('[3]Total P&amp;C'!$AQ$33:$AR$33)/1000/AC77</f>
        <v>7.4163397841514017E-2</v>
      </c>
      <c r="AD90" s="60">
        <f>-SUM('[3]Total P&amp;C'!$AQ$34:$AR$34)/1000/AD77</f>
        <v>7.4360544098573789E-2</v>
      </c>
      <c r="AE90" s="60">
        <f>-SUM('[3]Total P&amp;C'!$AQ$35:$AR$35)/1000/AE77</f>
        <v>7.7281247236620554E-2</v>
      </c>
      <c r="AG90" s="109"/>
      <c r="AK90" s="109"/>
      <c r="AO90" s="109"/>
      <c r="AS90" s="109"/>
      <c r="AW90" s="109"/>
      <c r="BA90" s="109"/>
      <c r="BE90" s="109"/>
    </row>
    <row r="91" spans="1:57" ht="16.5" hidden="1" outlineLevel="1" x14ac:dyDescent="0.25">
      <c r="A91" s="202"/>
      <c r="B91" s="9"/>
      <c r="C91" s="37" t="s">
        <v>34</v>
      </c>
      <c r="D91" s="6"/>
      <c r="E91" s="75">
        <f>+[3]Retail!$BK$33/1000</f>
        <v>1.7818473099999868</v>
      </c>
      <c r="F91" s="40">
        <f>+[3]Retail!$BK$34/1000</f>
        <v>1.4886857799999949</v>
      </c>
      <c r="G91" s="40">
        <f>+[3]Retail!$BK$35/1000</f>
        <v>0.14192660241039762</v>
      </c>
      <c r="H91" s="6"/>
      <c r="I91" s="98">
        <f>+[3]SME!$BK$33/1000</f>
        <v>-0.51314795000000235</v>
      </c>
      <c r="J91" s="40">
        <f>+[3]SME!$BK$34/1000</f>
        <v>4.3494263699999935</v>
      </c>
      <c r="K91" s="40">
        <f>+[3]SME!$BK$35/1000</f>
        <v>-0.19795781584865996</v>
      </c>
      <c r="L91" s="6"/>
      <c r="M91" s="75">
        <f>+[3]MidCorp!$BK$33/1000</f>
        <v>6.0156541399999934</v>
      </c>
      <c r="N91" s="40">
        <f>+[3]MidCorp!$BK$34/1000</f>
        <v>3.8280517499999909</v>
      </c>
      <c r="O91" s="40">
        <f>+[3]MidCorp!$BK$35/1000</f>
        <v>4.3351210959005773</v>
      </c>
      <c r="P91" s="6"/>
      <c r="Q91" s="70">
        <f>+[3]MGA!$BK$33/1000</f>
        <v>0.11453787999999812</v>
      </c>
      <c r="R91" s="40">
        <f>+[3]MGA!$BK$34/1000</f>
        <v>-0.46924590000000077</v>
      </c>
      <c r="S91" s="40">
        <f>+[3]MGA!$BK$35/1000</f>
        <v>0.43088582457286723</v>
      </c>
      <c r="T91" s="6"/>
      <c r="U91" s="98">
        <f>+[3]Bancassurance!$BK$33/1000</f>
        <v>-0.61097487000000006</v>
      </c>
      <c r="V91" s="40">
        <f>+[3]Bancassurance!$BK$34/1000</f>
        <v>-0.7869737</v>
      </c>
      <c r="W91" s="40">
        <f>+[3]Bancassurance!$BK$35/1000</f>
        <v>-0.20734991596750343</v>
      </c>
      <c r="X91" s="6"/>
      <c r="Y91" s="70">
        <f>+[3]Specials!$BK$33/1000</f>
        <v>0</v>
      </c>
      <c r="Z91" s="40">
        <f>+[3]Specials!$BK$34/1000</f>
        <v>-1.9499999999999962E-5</v>
      </c>
      <c r="AA91" s="40"/>
      <c r="AB91" s="6"/>
      <c r="AC91" s="87">
        <f>+'[3]Total P&amp;C'!$BK$33/1000</f>
        <v>6.7879165099999916</v>
      </c>
      <c r="AD91" s="58">
        <f>+'[3]Total P&amp;C'!$BK$34/1000</f>
        <v>8.4099247999999829</v>
      </c>
      <c r="AE91" s="58">
        <f>+'[3]Total P&amp;C'!$BK$35/1000</f>
        <v>4.5026257910676737</v>
      </c>
      <c r="AG91" s="108"/>
      <c r="AK91" s="108"/>
      <c r="AO91" s="108"/>
      <c r="AS91" s="108"/>
      <c r="AW91" s="108"/>
      <c r="BA91" s="108"/>
      <c r="BE91" s="108"/>
    </row>
    <row r="92" spans="1:57" hidden="1" outlineLevel="1" x14ac:dyDescent="0.25"/>
    <row r="93" spans="1:57" ht="16.5" hidden="1" outlineLevel="1" x14ac:dyDescent="0.25">
      <c r="A93" s="204" t="s">
        <v>39</v>
      </c>
      <c r="B93" s="9"/>
      <c r="C93" s="37" t="s">
        <v>19</v>
      </c>
      <c r="D93" s="6"/>
      <c r="E93" s="70">
        <f>+[3]Retail!$C$37/1000</f>
        <v>0</v>
      </c>
      <c r="F93" s="40">
        <f>+[3]Retail!$C$38/1000</f>
        <v>0</v>
      </c>
      <c r="G93" s="40">
        <f>+[3]Retail!$C$39/1000</f>
        <v>0</v>
      </c>
      <c r="H93" s="6"/>
      <c r="I93" s="70">
        <f>+[3]SME!$C$37/1000</f>
        <v>0</v>
      </c>
      <c r="J93" s="40">
        <f>+[3]SME!$C$38/1000</f>
        <v>0</v>
      </c>
      <c r="K93" s="40">
        <f>+[3]SME!$C$39/1000</f>
        <v>0</v>
      </c>
      <c r="L93" s="6"/>
      <c r="M93" s="70">
        <f>+[3]MidCorp!$C$37/1000</f>
        <v>21.495266920000002</v>
      </c>
      <c r="N93" s="40">
        <f>+[3]MidCorp!$C$38/1000</f>
        <v>21.370802630000007</v>
      </c>
      <c r="O93" s="40">
        <f>+[3]MidCorp!$C$39/1000</f>
        <v>23.80596328432329</v>
      </c>
      <c r="P93" s="6"/>
      <c r="Q93" s="75">
        <f>+[3]MGA!$C$37/1000</f>
        <v>2.46343E-3</v>
      </c>
      <c r="R93" s="40">
        <f>+[3]MGA!$C$38/1000</f>
        <v>3.6837400000000005E-3</v>
      </c>
      <c r="S93" s="40">
        <f>+[3]MGA!$C$39/1000</f>
        <v>0</v>
      </c>
      <c r="T93" s="6"/>
      <c r="U93" s="70">
        <f>+[3]Bancassurance!$C$37/1000</f>
        <v>0</v>
      </c>
      <c r="V93" s="40">
        <f>+[3]Bancassurance!$C$38/1000</f>
        <v>0</v>
      </c>
      <c r="W93" s="40">
        <f>+[3]Bancassurance!$C$39/1000</f>
        <v>0</v>
      </c>
      <c r="X93" s="6"/>
      <c r="Y93" s="75">
        <f>+[3]Specials!$C$37/1000</f>
        <v>1.0691300000000002E-3</v>
      </c>
      <c r="Z93" s="40">
        <f>+[3]Specials!$C$38/1000</f>
        <v>-1.5629999999999999E-3</v>
      </c>
      <c r="AA93" s="40">
        <f>+[3]Specials!$C$39/1000</f>
        <v>0</v>
      </c>
      <c r="AB93" s="6"/>
      <c r="AC93" s="82">
        <f>+'[3]Total P&amp;C'!$C$37/1000</f>
        <v>21.498799480000002</v>
      </c>
      <c r="AD93" s="58">
        <f>+'[3]Total P&amp;C'!$C$38/1000</f>
        <v>21.372923370000009</v>
      </c>
      <c r="AE93" s="58">
        <f>+'[3]Total P&amp;C'!$C$39/1000</f>
        <v>23.80596328432329</v>
      </c>
      <c r="AG93" s="108"/>
      <c r="AK93" s="108"/>
      <c r="AO93" s="108"/>
      <c r="AS93" s="108"/>
      <c r="AW93" s="108"/>
      <c r="BA93" s="108"/>
      <c r="BE93" s="108"/>
    </row>
    <row r="94" spans="1:57" ht="16.5" hidden="1" outlineLevel="1" x14ac:dyDescent="0.25">
      <c r="A94" s="202"/>
      <c r="B94" s="9"/>
      <c r="C94" s="37" t="s">
        <v>55</v>
      </c>
      <c r="D94" s="6"/>
      <c r="E94" s="70">
        <f>+[3]Retail!$N$37/1000</f>
        <v>0</v>
      </c>
      <c r="F94" s="40">
        <f>+[3]Retail!$N$38/1000</f>
        <v>0</v>
      </c>
      <c r="G94" s="40">
        <f>+[3]Retail!$N$39/1000</f>
        <v>0</v>
      </c>
      <c r="H94" s="6"/>
      <c r="I94" s="70">
        <f>+[3]SME!$N$37/1000</f>
        <v>0</v>
      </c>
      <c r="J94" s="40">
        <f>+[3]SME!$N$38/1000</f>
        <v>0</v>
      </c>
      <c r="K94" s="40">
        <f>+[3]SME!$N$39/1000</f>
        <v>0</v>
      </c>
      <c r="L94" s="6"/>
      <c r="M94" s="70">
        <f>+[3]MidCorp!$N$37/1000</f>
        <v>11.689634729999998</v>
      </c>
      <c r="N94" s="40">
        <f>+[3]MidCorp!$N$38/1000</f>
        <v>11.070775670000003</v>
      </c>
      <c r="O94" s="40">
        <f>+[3]MidCorp!$N$39/1000</f>
        <v>14.421655364791338</v>
      </c>
      <c r="P94" s="6"/>
      <c r="Q94" s="75">
        <f>+[3]MGA!$N$37/1000</f>
        <v>1.4849299999999998E-3</v>
      </c>
      <c r="R94" s="40">
        <f>+[3]MGA!$N$38/1000</f>
        <v>2.1137199999999991E-3</v>
      </c>
      <c r="S94" s="40">
        <f>+[3]MGA!$N$39/1000</f>
        <v>0</v>
      </c>
      <c r="T94" s="6"/>
      <c r="U94" s="70">
        <f>+[3]Bancassurance!$N$37/1000</f>
        <v>0</v>
      </c>
      <c r="V94" s="40">
        <f>+[3]Bancassurance!$N$38/1000</f>
        <v>0</v>
      </c>
      <c r="W94" s="40">
        <f>+[3]Bancassurance!$N$39/1000</f>
        <v>0</v>
      </c>
      <c r="X94" s="6"/>
      <c r="Y94" s="75">
        <f>+[3]Specials!$N$37/1000</f>
        <v>1.8228230000000002E-2</v>
      </c>
      <c r="Z94" s="40">
        <f>+[3]Specials!$N$38/1000</f>
        <v>1.7283600000000003E-2</v>
      </c>
      <c r="AA94" s="40">
        <f>+[3]Specials!$N$39/1000</f>
        <v>0</v>
      </c>
      <c r="AB94" s="6"/>
      <c r="AC94" s="82">
        <f>+'[3]Total P&amp;C'!$N$37/1000</f>
        <v>11.709347889999998</v>
      </c>
      <c r="AD94" s="58">
        <f>+'[3]Total P&amp;C'!$N$38/1000</f>
        <v>11.090172990000003</v>
      </c>
      <c r="AE94" s="58">
        <f>+'[3]Total P&amp;C'!$N$39/1000</f>
        <v>14.421655364791338</v>
      </c>
      <c r="AG94" s="108"/>
      <c r="AK94" s="108"/>
      <c r="AO94" s="108"/>
      <c r="AS94" s="108"/>
      <c r="AW94" s="108"/>
      <c r="BA94" s="108"/>
      <c r="BE94" s="108"/>
    </row>
    <row r="95" spans="1:57" ht="16.5" hidden="1" outlineLevel="1" x14ac:dyDescent="0.25">
      <c r="A95" s="202"/>
      <c r="B95" s="9"/>
      <c r="C95" s="37" t="s">
        <v>21</v>
      </c>
      <c r="D95" s="6"/>
      <c r="E95" s="96">
        <f>+E96+E101+E102+E103+E104</f>
        <v>0</v>
      </c>
      <c r="F95" s="41">
        <f>+F96+F101+F102+F103+F104</f>
        <v>0</v>
      </c>
      <c r="G95" s="41">
        <f>+G96+G101+G102+G103+G104</f>
        <v>0</v>
      </c>
      <c r="H95" s="6"/>
      <c r="I95" s="96">
        <f>+I96+I101+I102+I103+I104</f>
        <v>0</v>
      </c>
      <c r="J95" s="41">
        <f>+J96+J101+J102+J103+J104</f>
        <v>0</v>
      </c>
      <c r="K95" s="41">
        <f>+K96+K101+K102+K103+K104</f>
        <v>0</v>
      </c>
      <c r="L95" s="6"/>
      <c r="M95" s="96">
        <f>+M96+M101+M102+M103+M104</f>
        <v>0.90917508420727244</v>
      </c>
      <c r="N95" s="41">
        <f>+N96+N101+N102+N103+N104</f>
        <v>1.0539587349438182</v>
      </c>
      <c r="O95" s="41">
        <f>+O96+O101+O102+O103+O104</f>
        <v>0.90577877899967796</v>
      </c>
      <c r="P95" s="6"/>
      <c r="Q95" s="72">
        <f>+Q96+Q101+Q102+Q103+Q104</f>
        <v>0.97321759274848008</v>
      </c>
      <c r="R95" s="41">
        <f>+R96+R101+R102+R103+R104</f>
        <v>0.41457241261851158</v>
      </c>
      <c r="S95" s="41">
        <f>+S96+S101+S102+S103+S104</f>
        <v>0</v>
      </c>
      <c r="T95" s="6"/>
      <c r="U95" s="96">
        <f>+U96+U101+U102+U103+U104</f>
        <v>0</v>
      </c>
      <c r="V95" s="41">
        <f>+V96+V101+V102+V103+V104</f>
        <v>0</v>
      </c>
      <c r="W95" s="41">
        <f>+W96+W101+W102+W103+W104</f>
        <v>0</v>
      </c>
      <c r="X95" s="6"/>
      <c r="Y95" s="71">
        <f>+Y96+Y101+Y102+Y103+Y104</f>
        <v>-0.16761089804111623</v>
      </c>
      <c r="Z95" s="41">
        <f>+Z96+Z101+Z102+Z103+Z104</f>
        <v>3.0336671758198532</v>
      </c>
      <c r="AA95" s="41">
        <f>+AA96+AA101+AA102+AA103+AA104</f>
        <v>0</v>
      </c>
      <c r="AB95" s="6"/>
      <c r="AC95" s="100">
        <f>+AC96+AC101+AC102+AC103+AC104</f>
        <v>0.90593181103273257</v>
      </c>
      <c r="AD95" s="59">
        <f>+AD96+AD101+AD102+AD103+AD104</f>
        <v>1.0453065015715324</v>
      </c>
      <c r="AE95" s="59">
        <f>+AE96+AE101+AE102+AE103+AE104</f>
        <v>0.90577877899967796</v>
      </c>
      <c r="AG95" s="109"/>
      <c r="AK95" s="109"/>
      <c r="AO95" s="109"/>
      <c r="AS95" s="109"/>
      <c r="AW95" s="109"/>
      <c r="BA95" s="109"/>
      <c r="BE95" s="109"/>
    </row>
    <row r="96" spans="1:57" ht="16.5" hidden="1" outlineLevel="1" x14ac:dyDescent="0.25">
      <c r="A96" s="202"/>
      <c r="B96" s="9"/>
      <c r="C96" s="37" t="s">
        <v>56</v>
      </c>
      <c r="D96" s="6"/>
      <c r="E96" s="96">
        <f>+E97+E98+E99+E100</f>
        <v>0</v>
      </c>
      <c r="F96" s="41">
        <f>+F97+F98+F99+F100</f>
        <v>0</v>
      </c>
      <c r="G96" s="41">
        <f>+G97+G98+G99+G100</f>
        <v>0</v>
      </c>
      <c r="H96" s="6"/>
      <c r="I96" s="96">
        <f>+I97+I98+I99+I100</f>
        <v>0</v>
      </c>
      <c r="J96" s="41">
        <f>+J97+J98+J99+J100</f>
        <v>0</v>
      </c>
      <c r="K96" s="41">
        <f>+K97+K98+K99+K100</f>
        <v>0</v>
      </c>
      <c r="L96" s="6"/>
      <c r="M96" s="71">
        <f>+M97+M98+M99+M100</f>
        <v>0.58743107878102241</v>
      </c>
      <c r="N96" s="41">
        <f>+N97+N98+N99+N100</f>
        <v>0.6613186084006345</v>
      </c>
      <c r="O96" s="41">
        <f>+O97+O98+O99+O100</f>
        <v>0.59651557371256203</v>
      </c>
      <c r="P96" s="6"/>
      <c r="Q96" s="96">
        <f>+Q97+Q98+Q99+Q100</f>
        <v>6.7343241768972296E-5</v>
      </c>
      <c r="R96" s="41">
        <f>+R97+R98+R99+R100</f>
        <v>2.2141059364532666E-3</v>
      </c>
      <c r="S96" s="41">
        <f>+S97+S98+S99+S100</f>
        <v>0</v>
      </c>
      <c r="T96" s="6"/>
      <c r="U96" s="96">
        <f>+U97+U98+U99+U100</f>
        <v>0</v>
      </c>
      <c r="V96" s="41">
        <f>+V97+V98+V99+V100</f>
        <v>0</v>
      </c>
      <c r="W96" s="41">
        <f>+W97+W98+W99+W100</f>
        <v>0</v>
      </c>
      <c r="X96" s="6"/>
      <c r="Y96" s="72">
        <f>+Y97+Y98+Y99+Y100</f>
        <v>0.78309194035844398</v>
      </c>
      <c r="Z96" s="41">
        <f>+Z97+Z98+Z99+Z100</f>
        <v>0.76782094008192714</v>
      </c>
      <c r="AA96" s="41">
        <f>+AA97+AA98+AA99+AA100</f>
        <v>0</v>
      </c>
      <c r="AB96" s="6"/>
      <c r="AC96" s="86">
        <f>+AC97+AC98+AC99+AC100</f>
        <v>0.58610149979923465</v>
      </c>
      <c r="AD96" s="59">
        <f>+AD97+AD98+AD99+AD100</f>
        <v>0.649702009742952</v>
      </c>
      <c r="AE96" s="59">
        <f>+AE97+AE98+AE99+AE100</f>
        <v>0.59651557371256203</v>
      </c>
      <c r="AG96" s="109"/>
      <c r="AK96" s="109"/>
      <c r="AO96" s="109"/>
      <c r="AS96" s="109"/>
      <c r="AW96" s="109"/>
      <c r="BA96" s="109"/>
      <c r="BE96" s="109"/>
    </row>
    <row r="97" spans="1:57" ht="16.5" hidden="1" outlineLevel="1" x14ac:dyDescent="0.25">
      <c r="A97" s="202"/>
      <c r="B97" s="9"/>
      <c r="C97" s="38" t="s">
        <v>23</v>
      </c>
      <c r="D97" s="6"/>
      <c r="E97" s="97">
        <f>IFERROR(-SUM([3]Retail!$O$37,[3]Retail!$R$37:$V$37,[3]Retail!$Y$37,[3]Retail!$AB$37,[3]Retail!$AU$37,[3]Retail!$AX$37,[3]Retail!$BA$37,[3]Retail!$BD$37)/1000/E94,0)</f>
        <v>0</v>
      </c>
      <c r="F97" s="42">
        <f>IFERROR(-SUM([3]Retail!$O$38,[3]Retail!$R$38:$V$38,[3]Retail!$Y$38,[3]Retail!$AB$38,[3]Retail!$AU$38,[3]Retail!$AX$38,[3]Retail!$BA$38,[3]Retail!$BD$38)/1000/F94,0)</f>
        <v>0</v>
      </c>
      <c r="G97" s="42">
        <f>IFERROR(-SUM([3]Retail!$O$39,[3]Retail!$R$39:$V$39,[3]Retail!$Y$39,[3]Retail!$AB$39,[3]Retail!$AU$39,[3]Retail!$AX$39,[3]Retail!$BA$39,[3]Retail!$BD$39)/1000/G94,0)</f>
        <v>0</v>
      </c>
      <c r="H97" s="6"/>
      <c r="I97" s="97">
        <f>IFERROR(-SUM([3]SME!$O$37,[3]SME!$R$37:$V$37,[3]SME!$Y$37,[3]SME!$AB$37,[3]SME!$AU$37,[3]SME!$AX$37,[3]SME!$BA$37,[3]SME!$BD$37)/1000/I94,0)</f>
        <v>0</v>
      </c>
      <c r="J97" s="42">
        <f>IFERROR(-SUM([3]SME!$O$38,[3]SME!$R$38:$V$38,[3]SME!$Y$38,[3]SME!$AB$38,[3]SME!$AU$38,[3]SME!$AX$38,[3]SME!$BA$38,[3]SME!$BD$38)/1000/J94,0)</f>
        <v>0</v>
      </c>
      <c r="K97" s="42">
        <f>IFERROR(-SUM([3]SME!$O$39,[3]SME!$R$39:$V$39,[3]SME!$Y$39,[3]SME!$AB$39,[3]SME!$AU$39,[3]SME!$AX$39,[3]SME!$BA$39,[3]SME!$BD$39)/1000/K94,0)</f>
        <v>0</v>
      </c>
      <c r="L97" s="6"/>
      <c r="M97" s="74">
        <f>-SUM([3]MidCorp!$O$37,[3]MidCorp!$R$37:$V$37,[3]MidCorp!$Y$37,[3]MidCorp!$AB$37,[3]MidCorp!$AU$37,[3]MidCorp!$AX$37,[3]MidCorp!$BA$37,[3]MidCorp!$BD$37)/1000/M94</f>
        <v>0.37048890919451349</v>
      </c>
      <c r="N97" s="42">
        <f>-SUM([3]MidCorp!$O$38,[3]MidCorp!$R$38:$V$38,[3]MidCorp!$Y$38,[3]MidCorp!$AB$38,[3]MidCorp!$AU$38,[3]MidCorp!$AX$38,[3]MidCorp!$BA$38,[3]MidCorp!$BD$38)/1000/N94</f>
        <v>0.5368692101770316</v>
      </c>
      <c r="O97" s="42">
        <f>-SUM([3]MidCorp!$O$39,[3]MidCorp!$R$39:$V$39,[3]MidCorp!$Y$39,[3]MidCorp!$AB$39,[3]MidCorp!$AU$39,[3]MidCorp!$AX$39,[3]MidCorp!$BA$39,[3]MidCorp!$BD$39)/1000/O94</f>
        <v>0.38680105116560648</v>
      </c>
      <c r="P97" s="6"/>
      <c r="Q97" s="97">
        <f>-SUM([3]MGA!$O$37,[3]MGA!$R$37:$V$37,[3]MGA!$Y$37,[3]MGA!$AB$37,[3]MGA!$AU$37,[3]MGA!$AX$37,[3]MGA!$BA$37,[3]MGA!$BD$37)/1000/Q94</f>
        <v>6.7343241768972296E-5</v>
      </c>
      <c r="R97" s="42">
        <f>-SUM([3]MGA!$O$38,[3]MGA!$R$38:$V$38,[3]MGA!$Y$38,[3]MGA!$AB$38,[3]MGA!$AU$38,[3]MGA!$AX$38,[3]MGA!$BA$38,[3]MGA!$BD$38)/1000/R94</f>
        <v>2.2141059364532666E-3</v>
      </c>
      <c r="S97" s="42">
        <f>IFERROR(-SUM([3]MGA!$O$39,[3]MGA!$R$39:$V$39,[3]MGA!$Y$39,[3]MGA!$AB$39,[3]MGA!$AU$39,[3]MGA!$AX$39,[3]MGA!$BA$39,[3]MGA!$BD$39)/1000/S94,0)</f>
        <v>0</v>
      </c>
      <c r="T97" s="6"/>
      <c r="U97" s="97">
        <f>IFERROR(-SUM([3]Bancassurance!$O$37,[3]Bancassurance!$R$37:$V$37,[3]Bancassurance!$Y$37,[3]Bancassurance!$AB$37,[3]Bancassurance!$AU$37,[3]Bancassurance!$AX$37,[3]Bancassurance!$BA$37,[3]Bancassurance!$BD$37)/1000/U94,0)</f>
        <v>0</v>
      </c>
      <c r="V97" s="42">
        <f>IFERROR(-SUM([3]Bancassurance!$O$38,[3]Bancassurance!$R$38:$V$38,[3]Bancassurance!$Y$38,[3]Bancassurance!$AB$38,[3]Bancassurance!$AU$38,[3]Bancassurance!$AX$38,[3]Bancassurance!$BA$38,[3]Bancassurance!$BD$38)/1000/V94,0)</f>
        <v>0</v>
      </c>
      <c r="W97" s="42">
        <f>IFERROR(-SUM([3]Bancassurance!$O$39,[3]Bancassurance!$R$39:$V$39,[3]Bancassurance!$Y$39,[3]Bancassurance!$AB$39,[3]Bancassurance!$AU$39,[3]Bancassurance!$AX$39,[3]Bancassurance!$BA$39,[3]Bancassurance!$BD$39)/1000/W94,0)</f>
        <v>0</v>
      </c>
      <c r="X97" s="6"/>
      <c r="Y97" s="73">
        <f>-SUM([3]Specials!$O$37,[3]Specials!$R$37:$V$37,[3]Specials!$Y$37,[3]Specials!$AB$37,[3]Specials!$AU$37,[3]Specials!$AX$37,[3]Specials!$BA$37,[3]Specials!$BD$37)/1000/Y94</f>
        <v>5.5460678299538657E-2</v>
      </c>
      <c r="Z97" s="42">
        <f>-SUM([3]Specials!$O$38,[3]Specials!$R$38:$V$38,[3]Specials!$Y$38,[3]Specials!$AB$38,[3]Specials!$AU$38,[3]Specials!$AX$38,[3]Specials!$BA$38,[3]Specials!$BD$38)/1000/Z94</f>
        <v>4.2236571084727716E-4</v>
      </c>
      <c r="AA97" s="42">
        <f>IFERROR(-SUM([3]Specials!$O$39,[3]Specials!$R$39:$V$39,[3]Specials!$Y$39,[3]Specials!$AB$39,[3]Specials!$AU$39,[3]Specials!$AX$39,[3]Specials!$BA$39,[3]Specials!$BD$39)/1000/AA94,0)</f>
        <v>0</v>
      </c>
      <c r="AB97" s="6"/>
      <c r="AC97" s="85">
        <f>-SUM('[3]Total P&amp;C'!$O$37,'[3]Total P&amp;C'!$R$37:$V$37,'[3]Total P&amp;C'!$Y$37,'[3]Total P&amp;C'!$AB$37,'[3]Total P&amp;C'!$AU$37,'[3]Total P&amp;C'!$AX$37,'[3]Total P&amp;C'!$BA$37,'[3]Total P&amp;C'!$BD$37)/1000/AC94</f>
        <v>0.36824349062875095</v>
      </c>
      <c r="AD97" s="60">
        <f>-SUM('[3]Total P&amp;C'!$O$38,'[3]Total P&amp;C'!$R$38:$V$38,'[3]Total P&amp;C'!$Y$38,'[3]Total P&amp;C'!$AB$38,'[3]Total P&amp;C'!$AU$38,'[3]Total P&amp;C'!$AX$38,'[3]Total P&amp;C'!$BA$38,'[3]Total P&amp;C'!$BD$38)/1000/AD94</f>
        <v>0.53593128487349229</v>
      </c>
      <c r="AE97" s="60">
        <f>-SUM('[3]Total P&amp;C'!$O$39,'[3]Total P&amp;C'!$R$39:$V$39,'[3]Total P&amp;C'!$Y$39,'[3]Total P&amp;C'!$AB$39,'[3]Total P&amp;C'!$AU$39,'[3]Total P&amp;C'!$AX$39,'[3]Total P&amp;C'!$BA$39,'[3]Total P&amp;C'!$BD$39)/1000/AE94</f>
        <v>0.38680105116560648</v>
      </c>
      <c r="AG97" s="109"/>
      <c r="AK97" s="109"/>
      <c r="AO97" s="109"/>
      <c r="AS97" s="109"/>
      <c r="AW97" s="109"/>
      <c r="BA97" s="109"/>
      <c r="BE97" s="109"/>
    </row>
    <row r="98" spans="1:57" ht="16.5" hidden="1" outlineLevel="1" x14ac:dyDescent="0.25">
      <c r="A98" s="202"/>
      <c r="B98" s="9"/>
      <c r="C98" s="38" t="s">
        <v>24</v>
      </c>
      <c r="D98" s="7"/>
      <c r="E98" s="97">
        <f>IFERROR(-([3]Retail!$P$37+[3]Retail!$W$37+[3]Retail!$AV$37+[3]Retail!$AY$37)/1000/E94,0)</f>
        <v>0</v>
      </c>
      <c r="F98" s="42">
        <f>IFERROR(-([3]Retail!$P$38+[3]Retail!$W$38+[3]Retail!$AV$38+[3]Retail!$AY$38)/1000/F94,0)</f>
        <v>0</v>
      </c>
      <c r="G98" s="42">
        <f>IFERROR(-([3]Retail!$P$39+[3]Retail!$W$39+[3]Retail!$AV$39+[3]Retail!$AY$39)/1000/G94,0)</f>
        <v>0</v>
      </c>
      <c r="H98" s="7"/>
      <c r="I98" s="97">
        <f>IFERROR(-([3]SME!$P$37+[3]SME!$W$37+[3]SME!$AV$37+[3]SME!$AY$37)/1000/I94,0)</f>
        <v>0</v>
      </c>
      <c r="J98" s="42">
        <f>IFERROR(-([3]SME!$P$38+[3]SME!$W$38+[3]SME!$AV$38+[3]SME!$AY$38)/1000/J94,0)</f>
        <v>0</v>
      </c>
      <c r="K98" s="42">
        <f>IFERROR(-([3]SME!$P$39+[3]SME!$W$39+[3]SME!$AV$39+[3]SME!$AY$39)/1000/K94,0)</f>
        <v>0</v>
      </c>
      <c r="L98" s="7"/>
      <c r="M98" s="74">
        <f>-([3]MidCorp!$P$37+[3]MidCorp!$W$37+[3]MidCorp!$AV$37+[3]MidCorp!$AY$37)/1000/M94</f>
        <v>8.5545872313154837E-4</v>
      </c>
      <c r="N98" s="42">
        <f>-([3]MidCorp!$P$38+[3]MidCorp!$W$38+[3]MidCorp!$AV$38+[3]MidCorp!$AY$38)/1000/N94</f>
        <v>0</v>
      </c>
      <c r="O98" s="42">
        <f>-([3]MidCorp!$P$39+[3]MidCorp!$W$39+[3]MidCorp!$AV$39+[3]MidCorp!$AY$39)/1000/O94</f>
        <v>1.3781358309617023E-2</v>
      </c>
      <c r="P98" s="7"/>
      <c r="Q98" s="97">
        <f>-([3]MGA!$P$37+[3]MGA!$W$37+[3]MGA!$AV$37+[3]MGA!$AY$37)/1000/Q94</f>
        <v>0</v>
      </c>
      <c r="R98" s="42">
        <f>-([3]MGA!$P$38+[3]MGA!$W$38+[3]MGA!$AV$38+[3]MGA!$AY$38)/1000/R94</f>
        <v>0</v>
      </c>
      <c r="S98" s="42">
        <f>IFERROR(-([3]MGA!$P$39+[3]MGA!$W$39+[3]MGA!$AV$39+[3]MGA!$AY$39)/1000/S94,0)</f>
        <v>0</v>
      </c>
      <c r="T98" s="7"/>
      <c r="U98" s="97">
        <f>IFERROR(-([3]Bancassurance!$P$37+[3]Bancassurance!$W$37+[3]Bancassurance!$AV$37+[3]Bancassurance!$AY$37)/1000/U94,0)</f>
        <v>0</v>
      </c>
      <c r="V98" s="42">
        <f>IFERROR(-([3]Bancassurance!$P$38+[3]Bancassurance!$W$38+[3]Bancassurance!$AV$38+[3]Bancassurance!$AY$38)/1000/V94,0)</f>
        <v>0</v>
      </c>
      <c r="W98" s="42">
        <f>IFERROR(-([3]Bancassurance!$P$39+[3]Bancassurance!$W$39+[3]Bancassurance!$AV$39+[3]Bancassurance!$AY$39)/1000/W94,0)</f>
        <v>0</v>
      </c>
      <c r="X98" s="7"/>
      <c r="Y98" s="97">
        <f>-([3]Specials!$P$37+[3]Specials!$W$37+[3]Specials!$AV$37+[3]Specials!$AY$37)/1000/Y94</f>
        <v>0</v>
      </c>
      <c r="Z98" s="42">
        <f>-([3]Specials!$P$38+[3]Specials!$W$38+[3]Specials!$AV$38+[3]Specials!$AY$38)/1000/Z94</f>
        <v>0</v>
      </c>
      <c r="AA98" s="42">
        <f>IFERROR(-([3]Specials!$P$39+[3]Specials!$W$39+[3]Specials!$AV$39+[3]Specials!$AY$39)/1000/AA94,0)</f>
        <v>0</v>
      </c>
      <c r="AB98" s="7"/>
      <c r="AC98" s="85">
        <f>-('[3]Total P&amp;C'!$P$37+'[3]Total P&amp;C'!$W$37+'[3]Total P&amp;C'!$AV$37+'[3]Total P&amp;C'!$AY$37)/1000/AC94</f>
        <v>8.5401852382746156E-4</v>
      </c>
      <c r="AD98" s="60">
        <f>-('[3]Total P&amp;C'!$P$38+'[3]Total P&amp;C'!$W$38+'[3]Total P&amp;C'!$AV$38+'[3]Total P&amp;C'!$AY$38)/1000/AD94</f>
        <v>0</v>
      </c>
      <c r="AE98" s="60">
        <f>-('[3]Total P&amp;C'!$P$39+'[3]Total P&amp;C'!$W$39+'[3]Total P&amp;C'!$AV$39+'[3]Total P&amp;C'!$AY$39)/1000/AE94</f>
        <v>1.3781358309617023E-2</v>
      </c>
      <c r="AG98" s="109"/>
      <c r="AK98" s="109"/>
      <c r="AO98" s="109"/>
      <c r="AS98" s="109"/>
      <c r="AW98" s="109"/>
      <c r="BA98" s="109"/>
      <c r="BE98" s="109"/>
    </row>
    <row r="99" spans="1:57" ht="16.5" hidden="1" outlineLevel="1" x14ac:dyDescent="0.25">
      <c r="A99" s="202"/>
      <c r="B99" s="9"/>
      <c r="C99" s="38" t="s">
        <v>25</v>
      </c>
      <c r="D99" s="7"/>
      <c r="E99" s="97">
        <f>IFERROR(-([3]Retail!$Q$37+[3]Retail!$X$37+[3]Retail!$AW$37+[3]Retail!$AZ$37)/1000/E94,0)</f>
        <v>0</v>
      </c>
      <c r="F99" s="42">
        <f>IFERROR(-([3]Retail!$Q$38+[3]Retail!$X$38+[3]Retail!$AW$38+[3]Retail!$AZ$38)/1000/F94,0)</f>
        <v>0</v>
      </c>
      <c r="G99" s="42">
        <f>IFERROR(-([3]Retail!$Q$39+[3]Retail!$X$39+[3]Retail!$AW$39+[3]Retail!$AZ$39)/1000/G94,0)</f>
        <v>0</v>
      </c>
      <c r="H99" s="7"/>
      <c r="I99" s="97">
        <f>IFERROR(-([3]SME!$Q$37+[3]SME!$X$37+[3]SME!$AW$37+[3]SME!$AZ$37)/1000/I94,0)</f>
        <v>0</v>
      </c>
      <c r="J99" s="42">
        <f>IFERROR(-([3]SME!$Q$38+[3]SME!$X$38+[3]SME!$AW$38+[3]SME!$AZ$38)/1000/J94,0)</f>
        <v>0</v>
      </c>
      <c r="K99" s="42">
        <f>IFERROR(-([3]SME!$Q$39+[3]SME!$X$39+[3]SME!$AW$39+[3]SME!$AZ$39)/1000/K94,0)</f>
        <v>0</v>
      </c>
      <c r="L99" s="7"/>
      <c r="M99" s="73">
        <f>-([3]MidCorp!$Q$37+[3]MidCorp!$X$37+[3]MidCorp!$AW$37+[3]MidCorp!$AZ$37)/1000/M94</f>
        <v>0.11719784506902213</v>
      </c>
      <c r="N99" s="42">
        <f>-([3]MidCorp!$Q$38+[3]MidCorp!$X$38+[3]MidCorp!$AW$38+[3]MidCorp!$AZ$38)/1000/N94</f>
        <v>0</v>
      </c>
      <c r="O99" s="42">
        <f>-([3]MidCorp!$Q$39+[3]MidCorp!$X$39+[3]MidCorp!$AW$39+[3]MidCorp!$AZ$39)/1000/O94</f>
        <v>0.10528437932882899</v>
      </c>
      <c r="P99" s="7"/>
      <c r="Q99" s="97">
        <f>-([3]MGA!$Q$37+[3]MGA!$X$37+[3]MGA!$AW$37+[3]MGA!$AZ$37)/1000/Q94</f>
        <v>0</v>
      </c>
      <c r="R99" s="42">
        <f>-([3]MGA!$Q$38+[3]MGA!$X$38+[3]MGA!$AW$38+[3]MGA!$AZ$38)/1000/R94</f>
        <v>0</v>
      </c>
      <c r="S99" s="42">
        <f>IFERROR(-([3]MGA!$Q$39+[3]MGA!$X$39+[3]MGA!$AW$39+[3]MGA!$AZ$39)/1000/S94,0)</f>
        <v>0</v>
      </c>
      <c r="T99" s="7"/>
      <c r="U99" s="97">
        <f>IFERROR(-([3]Bancassurance!$Q$37+[3]Bancassurance!$X$37+[3]Bancassurance!$AW$37+[3]Bancassurance!$AZ$37)/1000/U94,0)</f>
        <v>0</v>
      </c>
      <c r="V99" s="42">
        <f>IFERROR(-([3]Bancassurance!$Q$38+[3]Bancassurance!$X$38+[3]Bancassurance!$AW$38+[3]Bancassurance!$AZ$38)/1000/V94,0)</f>
        <v>0</v>
      </c>
      <c r="W99" s="42">
        <f>IFERROR(-([3]Bancassurance!$Q$39+[3]Bancassurance!$X$39+[3]Bancassurance!$AW$39+[3]Bancassurance!$AZ$39)/1000/W94,0)</f>
        <v>0</v>
      </c>
      <c r="X99" s="7"/>
      <c r="Y99" s="97">
        <f>-([3]Specials!$Q$37+[3]Specials!$X$37+[3]Specials!$AW$37+[3]Specials!$AZ$37)/1000/Y94</f>
        <v>0</v>
      </c>
      <c r="Z99" s="42">
        <f>-([3]Specials!$Q$38+[3]Specials!$X$38+[3]Specials!$AW$38+[3]Specials!$AZ$38)/1000/Z94</f>
        <v>0</v>
      </c>
      <c r="AA99" s="42">
        <f>IFERROR(-([3]Specials!$Q$39+[3]Specials!$X$39+[3]Specials!$AW$39+[3]Specials!$AZ$39)/1000/AA94,0)</f>
        <v>0</v>
      </c>
      <c r="AB99" s="7"/>
      <c r="AC99" s="84">
        <f>-('[3]Total P&amp;C'!$Q$37+'[3]Total P&amp;C'!$X$37+'[3]Total P&amp;C'!$AW$37+'[3]Total P&amp;C'!$AZ$37)/1000/AC94</f>
        <v>0.11700053776436224</v>
      </c>
      <c r="AD99" s="60">
        <f>-('[3]Total P&amp;C'!$Q$38+'[3]Total P&amp;C'!$X$38+'[3]Total P&amp;C'!$AW$38+'[3]Total P&amp;C'!$AZ$38)/1000/AD94</f>
        <v>0</v>
      </c>
      <c r="AE99" s="60">
        <f>-('[3]Total P&amp;C'!$Q$39+'[3]Total P&amp;C'!$X$39+'[3]Total P&amp;C'!$AW$39+'[3]Total P&amp;C'!$AZ$39)/1000/AE94</f>
        <v>0.10528437932882899</v>
      </c>
      <c r="AG99" s="109"/>
      <c r="AK99" s="109"/>
      <c r="AO99" s="109"/>
      <c r="AS99" s="109"/>
      <c r="AW99" s="109"/>
      <c r="BA99" s="109"/>
      <c r="BE99" s="109"/>
    </row>
    <row r="100" spans="1:57" ht="16.5" hidden="1" outlineLevel="1" x14ac:dyDescent="0.25">
      <c r="A100" s="202"/>
      <c r="B100" s="9"/>
      <c r="C100" s="38" t="s">
        <v>53</v>
      </c>
      <c r="D100" s="7"/>
      <c r="E100" s="97">
        <f>IFERROR(-[3]Retail!$AT$37/1000/E94,0)</f>
        <v>0</v>
      </c>
      <c r="F100" s="42">
        <f>IFERROR(-[3]Retail!$AT$38/1000/F94,0)</f>
        <v>0</v>
      </c>
      <c r="G100" s="42">
        <f>IFERROR(-[3]Retail!$AT$39/1000/G94,0)</f>
        <v>0</v>
      </c>
      <c r="H100" s="7"/>
      <c r="I100" s="97">
        <f>IFERROR(-[3]SME!$AT$37/1000/I94,0)</f>
        <v>0</v>
      </c>
      <c r="J100" s="42">
        <f>IFERROR(-[3]SME!$AT$38/1000/J94,0)</f>
        <v>0</v>
      </c>
      <c r="K100" s="42">
        <f>IFERROR(-[3]SME!$AT$39/1000/K94,0)</f>
        <v>0</v>
      </c>
      <c r="L100" s="7"/>
      <c r="M100" s="73">
        <f>-[3]MidCorp!$AT$37/1000/M94</f>
        <v>9.8888865794355199E-2</v>
      </c>
      <c r="N100" s="42">
        <f>-[3]MidCorp!$AT$38/1000/N94</f>
        <v>0.12444939822360286</v>
      </c>
      <c r="O100" s="42">
        <f>-[3]MidCorp!$AT$39/1000/O94</f>
        <v>9.0648784908509583E-2</v>
      </c>
      <c r="P100" s="7"/>
      <c r="Q100" s="97">
        <f>-[3]MGA!$AT$37/1000/Q94</f>
        <v>0</v>
      </c>
      <c r="R100" s="42">
        <f>-[3]MGA!$AT$38/1000/R94</f>
        <v>0</v>
      </c>
      <c r="S100" s="42">
        <f>IFERROR(-[3]MGA!$AT$39/1000/S94,0)</f>
        <v>0</v>
      </c>
      <c r="T100" s="7"/>
      <c r="U100" s="97">
        <f>IFERROR(-[3]Bancassurance!$AT$37/1000/U94,0)</f>
        <v>0</v>
      </c>
      <c r="V100" s="42">
        <f>IFERROR(-[3]Bancassurance!$AT$38/1000/V94,0)</f>
        <v>0</v>
      </c>
      <c r="W100" s="42">
        <f>IFERROR(-[3]Bancassurance!$AT$39/1000/W94,0)</f>
        <v>0</v>
      </c>
      <c r="X100" s="7"/>
      <c r="Y100" s="73">
        <f>-[3]Specials!$AT$37/1000/Y94</f>
        <v>0.72763126205890527</v>
      </c>
      <c r="Z100" s="42">
        <f>-[3]Specials!$AT$38/1000/Z94</f>
        <v>0.76739857437107983</v>
      </c>
      <c r="AA100" s="42">
        <f>IFERROR(-[3]Specials!$AT$39/1000/AA94,0)</f>
        <v>0</v>
      </c>
      <c r="AB100" s="7"/>
      <c r="AC100" s="84">
        <f>-'[3]Total P&amp;C'!$AT$37/1000/AC94</f>
        <v>0.10000345288229398</v>
      </c>
      <c r="AD100" s="60">
        <f>-'[3]Total P&amp;C'!$AT$38/1000/AD94</f>
        <v>0.11377072486945976</v>
      </c>
      <c r="AE100" s="60">
        <f>-'[3]Total P&amp;C'!$AT$39/1000/AE94</f>
        <v>9.0648784908509583E-2</v>
      </c>
      <c r="AG100" s="109"/>
      <c r="AK100" s="109"/>
      <c r="AO100" s="109"/>
      <c r="AS100" s="109"/>
      <c r="AW100" s="109"/>
      <c r="BA100" s="109"/>
      <c r="BE100" s="109"/>
    </row>
    <row r="101" spans="1:57" ht="16.5" hidden="1" outlineLevel="1" x14ac:dyDescent="0.25">
      <c r="A101" s="202"/>
      <c r="B101" s="9"/>
      <c r="C101" s="37" t="s">
        <v>27</v>
      </c>
      <c r="D101" s="7"/>
      <c r="E101" s="41">
        <f>IFERROR(-([3]Retail!$Z$37+[3]Retail!$AA$37+[3]Retail!$BB$37+[3]Retail!$BC$37)/1000/E94,0)</f>
        <v>0</v>
      </c>
      <c r="F101" s="41">
        <f>IFERROR(-([3]Retail!$Z$38+[3]Retail!$AA$38+[3]Retail!$BB$38+[3]Retail!$BC$38)/1000/F94,0)</f>
        <v>0</v>
      </c>
      <c r="G101" s="41">
        <f>IFERROR(-([3]Retail!$Z$39+[3]Retail!$AA$39+[3]Retail!$BB$39+[3]Retail!$BC$39)/1000/G94,0)</f>
        <v>0</v>
      </c>
      <c r="H101" s="7"/>
      <c r="I101" s="41">
        <f>IFERROR(-([3]SME!$Z$37+[3]SME!$AA$37+[3]SME!$BB$37+[3]SME!$BC$37)/1000/I94,0)</f>
        <v>0</v>
      </c>
      <c r="J101" s="41">
        <f>IFERROR(-([3]SME!$Z$38+[3]SME!$AA$38+[3]SME!$BB$38+[3]SME!$BC$38)/1000/J94,0)</f>
        <v>0</v>
      </c>
      <c r="K101" s="41">
        <f>IFERROR(-([3]SME!$Z$39+[3]SME!$AA$39+[3]SME!$BB$39+[3]SME!$BC$39)/1000/K94,0)</f>
        <v>0</v>
      </c>
      <c r="L101" s="7"/>
      <c r="M101" s="71">
        <f>-([3]MidCorp!$Z$37+[3]MidCorp!$AA$37+[3]MidCorp!$BB$37+[3]MidCorp!$BC$37)/1000/M94</f>
        <v>-2.0422899903562688E-2</v>
      </c>
      <c r="N101" s="41">
        <f>-([3]MidCorp!$Z$38+[3]MidCorp!$AA$38+[3]MidCorp!$BB$38+[3]MidCorp!$BC$38)/1000/N94</f>
        <v>-2.1754743947403996E-2</v>
      </c>
      <c r="O101" s="41">
        <f>-([3]MidCorp!$Z$39+[3]MidCorp!$AA$39+[3]MidCorp!$BB$39+[3]MidCorp!$BC$39)/1000/O94</f>
        <v>-1.2521088167949276E-2</v>
      </c>
      <c r="P101" s="7"/>
      <c r="Q101" s="72">
        <f>-([3]MGA!$Z$37+[3]MGA!$AA$37+[3]MGA!$BB$37+[3]MGA!$BC$37)/1000/Q94</f>
        <v>0</v>
      </c>
      <c r="R101" s="41">
        <f>-([3]MGA!$Z$38+[3]MGA!$AA$38+[3]MGA!$BB$38+[3]MGA!$BC$38)/1000/R94</f>
        <v>-6.1502942679257511E-5</v>
      </c>
      <c r="S101" s="41">
        <f>IFERROR(-([3]MGA!$Z$39+[3]MGA!$AA$39+[3]MGA!$BB$39+[3]MGA!$BC$39)/1000/S94,0)</f>
        <v>0</v>
      </c>
      <c r="T101" s="7"/>
      <c r="U101" s="41">
        <f>IFERROR(-([3]Bancassurance!$Z$37+[3]Bancassurance!$AA$37+[3]Bancassurance!$BB$37+[3]Bancassurance!$BC$37)/1000/U94,0)</f>
        <v>0</v>
      </c>
      <c r="V101" s="41">
        <f>IFERROR(-([3]Bancassurance!$Z$38+[3]Bancassurance!$AA$38+[3]Bancassurance!$BB$38+[3]Bancassurance!$BC$38)/1000/V94,0)</f>
        <v>0</v>
      </c>
      <c r="W101" s="41">
        <f>IFERROR(-([3]Bancassurance!$Z$39+[3]Bancassurance!$AA$39+[3]Bancassurance!$BB$39+[3]Bancassurance!$BC$39)/1000/W94,0)</f>
        <v>0</v>
      </c>
      <c r="X101" s="7"/>
      <c r="Y101" s="41">
        <f>-([3]Specials!$Z$37+[3]Specials!$AA$37+[3]Specials!$BB$37+[3]Specials!$BC$37)/1000/Y94</f>
        <v>-1.7028532117490276E-3</v>
      </c>
      <c r="Z101" s="41">
        <f>-([3]Specials!$Z$38+[3]Specials!$AA$38+[3]Specials!$BB$38+[3]Specials!$BC$38)/1000/Z94</f>
        <v>0</v>
      </c>
      <c r="AA101" s="41">
        <f>IFERROR(-([3]Specials!$Z$39+[3]Specials!$AA$39+[3]Specials!$BB$39+[3]Specials!$BC$39)/1000/AA94,0)</f>
        <v>0</v>
      </c>
      <c r="AB101" s="7"/>
      <c r="AC101" s="86">
        <f>-('[3]Total P&amp;C'!$Z$37+'[3]Total P&amp;C'!$AA$37+'[3]Total P&amp;C'!$BB$37+'[3]Total P&amp;C'!$BC$37)/1000/AC94</f>
        <v>-2.0391168000389821E-2</v>
      </c>
      <c r="AD101" s="59">
        <f>-('[3]Total P&amp;C'!$Z$38+'[3]Total P&amp;C'!$AA$38+'[3]Total P&amp;C'!$BB$38+'[3]Total P&amp;C'!$BC$38)/1000/AD94</f>
        <v>-2.1716705430759917E-2</v>
      </c>
      <c r="AE101" s="59">
        <f>-('[3]Total P&amp;C'!$Z$39+'[3]Total P&amp;C'!$AA$39+'[3]Total P&amp;C'!$BB$39+'[3]Total P&amp;C'!$BC$39)/1000/AE94</f>
        <v>-1.2521088167949276E-2</v>
      </c>
      <c r="AG101" s="109"/>
      <c r="AK101" s="109"/>
      <c r="AO101" s="109"/>
      <c r="AS101" s="109"/>
      <c r="AW101" s="109"/>
      <c r="BA101" s="109"/>
      <c r="BE101" s="109"/>
    </row>
    <row r="102" spans="1:57" ht="16.5" hidden="1" outlineLevel="1" x14ac:dyDescent="0.25">
      <c r="A102" s="202"/>
      <c r="B102" s="9"/>
      <c r="C102" s="37" t="s">
        <v>57</v>
      </c>
      <c r="D102" s="7"/>
      <c r="E102" s="96">
        <f>IFERROR(-SUM([3]Retail!$AC$37:$AI$37,[3]Retail!$BE$37:$BG$37)/1000/E94,0)</f>
        <v>0</v>
      </c>
      <c r="F102" s="41">
        <f>IFERROR(-SUM([3]Retail!$AC$38:$AI$38,[3]Retail!$BE$38:$BG$38)/1000/F94,0)</f>
        <v>0</v>
      </c>
      <c r="G102" s="41">
        <f>IFERROR(-SUM([3]Retail!$AC$39:$AI$39,[3]Retail!$BE$39:$BG$39)/1000/G94,0)</f>
        <v>0</v>
      </c>
      <c r="H102" s="7"/>
      <c r="I102" s="96">
        <f>IFERROR(-SUM([3]SME!$AC$37:$AI$37,[3]SME!$BE$37:$BG$37)/1000/I94,0)</f>
        <v>0</v>
      </c>
      <c r="J102" s="41">
        <f>IFERROR(-SUM([3]SME!$AC$38:$AI$38,[3]SME!$BE$38:$BG$38)/1000/J94,0)</f>
        <v>0</v>
      </c>
      <c r="K102" s="41">
        <f>IFERROR(-SUM([3]SME!$AC$39:$AI$39,[3]SME!$BE$39:$BG$39)/1000/K94,0)</f>
        <v>0</v>
      </c>
      <c r="L102" s="7"/>
      <c r="M102" s="72">
        <f>-SUM([3]MidCorp!$AC$37:$AI$37,[3]MidCorp!$BE$37:$BG$37)/1000/M94</f>
        <v>9.2986960252093021E-3</v>
      </c>
      <c r="N102" s="41">
        <f>-SUM([3]MidCorp!$AC$38:$AI$38,[3]MidCorp!$BE$38:$BG$38)/1000/N94</f>
        <v>9.9973070811938777E-2</v>
      </c>
      <c r="O102" s="41">
        <f>-SUM([3]MidCorp!$AC$39:$AI$39,[3]MidCorp!$BE$39:$BG$39)/1000/O94</f>
        <v>-7.4775121226765742E-3</v>
      </c>
      <c r="P102" s="7"/>
      <c r="Q102" s="72">
        <f>-SUM([3]MGA!$AC$37:$AI$37,[3]MGA!$BE$37:$BG$37)/1000/Q94</f>
        <v>2.8149475059430416E-2</v>
      </c>
      <c r="R102" s="41">
        <f>-SUM([3]MGA!$AC$38:$AI$38,[3]MGA!$BE$38:$BG$38)/1000/R94</f>
        <v>-1.9207842098291177E-3</v>
      </c>
      <c r="S102" s="41">
        <f>IFERROR(-SUM([3]MGA!$AC$39:$AI$39,[3]MGA!$BE$39:$BG$39)/1000/S94,0)</f>
        <v>0</v>
      </c>
      <c r="T102" s="7"/>
      <c r="U102" s="96">
        <f>IFERROR(-SUM([3]Bancassurance!$AC$37:$AI$37,[3]Bancassurance!$BE$37:$BG$37)/1000/U94,0)</f>
        <v>0</v>
      </c>
      <c r="V102" s="41">
        <f>IFERROR(-SUM([3]Bancassurance!$AC$38:$AI$38,[3]Bancassurance!$BE$38:$BG$38)/1000/V94,0)</f>
        <v>0</v>
      </c>
      <c r="W102" s="41">
        <f>IFERROR(-SUM([3]Bancassurance!$AC$39:$AI$39,[3]Bancassurance!$BE$39:$BG$39)/1000/W94,0)</f>
        <v>0</v>
      </c>
      <c r="X102" s="7"/>
      <c r="Y102" s="71">
        <f>-SUM([3]Specials!$AC$37:$AI$37,[3]Specials!$BE$37:$BG$37)/1000/Y94</f>
        <v>-1.092374849340831</v>
      </c>
      <c r="Z102" s="41">
        <f>-SUM([3]Specials!$AC$38:$AI$38,[3]Specials!$BE$38:$BG$38)/1000/Z94</f>
        <v>2.1144802008840764</v>
      </c>
      <c r="AA102" s="41">
        <f>IFERROR(-SUM([3]Specials!$AC$39:$AI$39,[3]Specials!$BE$39:$BG$39)/1000/AA94,0)</f>
        <v>0</v>
      </c>
      <c r="AB102" s="7"/>
      <c r="AC102" s="83">
        <f>-SUM('[3]Total P&amp;C'!$AC$37:$AI$37,'[3]Total P&amp;C'!$BE$37:$BG$37)/1000/AC94</f>
        <v>7.5704079196163817E-3</v>
      </c>
      <c r="AD102" s="59">
        <f>-SUM('[3]Total P&amp;C'!$AC$38:$AI$38,'[3]Total P&amp;C'!$BE$38:$BG$38)/1000/AD94</f>
        <v>0.1030986280404269</v>
      </c>
      <c r="AE102" s="59">
        <f>-SUM('[3]Total P&amp;C'!$AC$39:$AI$39,'[3]Total P&amp;C'!$BE$39:$BG$39)/1000/AE94</f>
        <v>-7.4775121226765742E-3</v>
      </c>
      <c r="AG102" s="109"/>
      <c r="AK102" s="109"/>
      <c r="AO102" s="109"/>
      <c r="AS102" s="109"/>
      <c r="AW102" s="109"/>
      <c r="BA102" s="109"/>
      <c r="BE102" s="109"/>
    </row>
    <row r="103" spans="1:57" ht="16.5" hidden="1" outlineLevel="1" x14ac:dyDescent="0.25">
      <c r="A103" s="202"/>
      <c r="B103" s="9"/>
      <c r="C103" s="37" t="s">
        <v>29</v>
      </c>
      <c r="D103" s="7"/>
      <c r="E103" s="96">
        <f>IFERROR(-SUM([3]Retail!$AJ$37:$AK$37,[3]Retail!$BH$37:$BI$37)/1000/E94,0)</f>
        <v>0</v>
      </c>
      <c r="F103" s="41">
        <f>IFERROR(-SUM([3]Retail!$AJ$38:$AK$38,[3]Retail!$BH$38:$BI$38)/1000/F94,0)</f>
        <v>0</v>
      </c>
      <c r="G103" s="41">
        <f>IFERROR(-SUM([3]Retail!$AJ$39:$AK$39,[3]Retail!$BH$39:$BI$39)/1000/G94,0)</f>
        <v>0</v>
      </c>
      <c r="H103" s="7"/>
      <c r="I103" s="96">
        <f>IFERROR(-SUM([3]SME!$AJ$37:$AK$37,[3]SME!$BH$37:$BI$37)/1000/I94,0)</f>
        <v>0</v>
      </c>
      <c r="J103" s="41">
        <f>IFERROR(-SUM([3]SME!$AJ$38:$AK$38,[3]SME!$BH$38:$BI$38)/1000/J94,0)</f>
        <v>0</v>
      </c>
      <c r="K103" s="41">
        <f>IFERROR(-SUM([3]SME!$AJ$39:$AK$39,[3]SME!$BH$39:$BI$39)/1000/K94,0)</f>
        <v>0</v>
      </c>
      <c r="L103" s="7"/>
      <c r="M103" s="71">
        <f>-SUM([3]MidCorp!$AJ$37:$AK$37,[3]MidCorp!$BH$37:$BI$37)/1000/M94</f>
        <v>-1.7321644745695152E-2</v>
      </c>
      <c r="N103" s="41">
        <f>-SUM([3]MidCorp!$AJ$38:$AK$38,[3]MidCorp!$BH$38:$BI$38)/1000/N94</f>
        <v>-1.634343115544314E-2</v>
      </c>
      <c r="O103" s="41">
        <f>-SUM([3]MidCorp!$AJ$39:$AK$39,[3]MidCorp!$BH$39:$BI$39)/1000/O94</f>
        <v>0</v>
      </c>
      <c r="P103" s="7"/>
      <c r="Q103" s="96">
        <f>-SUM([3]MGA!$AJ$37:$AK$37,[3]MGA!$BH$37:$BI$37)/1000/Q94</f>
        <v>0</v>
      </c>
      <c r="R103" s="41">
        <f>-SUM([3]MGA!$AJ$38:$AK$38,[3]MGA!$BH$38:$BI$38)/1000/R94</f>
        <v>8.98889162235301E-5</v>
      </c>
      <c r="S103" s="41">
        <f>IFERROR(-SUM([3]MGA!$AJ$39:$AK$39,[3]MGA!$BH$39:$BI$39)/1000/S94,0)</f>
        <v>0</v>
      </c>
      <c r="T103" s="7"/>
      <c r="U103" s="96">
        <f>IFERROR(-SUM([3]Bancassurance!$AJ$37:$AK$37,[3]Bancassurance!$BH$37:$BI$37)/1000/U94,0)</f>
        <v>0</v>
      </c>
      <c r="V103" s="41">
        <f>IFERROR(-SUM([3]Bancassurance!$AJ$38:$AK$38,[3]Bancassurance!$BH$38:$BI$38)/1000/V94,0)</f>
        <v>0</v>
      </c>
      <c r="W103" s="41">
        <f>IFERROR(-SUM([3]Bancassurance!$AJ$39:$AK$39,[3]Bancassurance!$BH$39:$BI$39)/1000/W94,0)</f>
        <v>0</v>
      </c>
      <c r="X103" s="7"/>
      <c r="Y103" s="72">
        <f>-SUM([3]Specials!$AJ$37:$AK$37,[3]Specials!$BH$37:$BI$37)/1000/Y94</f>
        <v>4.3503949642944255E-4</v>
      </c>
      <c r="Z103" s="41">
        <f>-SUM([3]Specials!$AJ$38:$AK$38,[3]Specials!$BH$38:$BI$38)/1000/Z94</f>
        <v>6.1329815547686822E-4</v>
      </c>
      <c r="AA103" s="41">
        <f>IFERROR(-SUM([3]Specials!$AJ$39:$AK$39,[3]Specials!$BH$39:$BI$39)/1000/AA94,0)</f>
        <v>0</v>
      </c>
      <c r="AB103" s="7"/>
      <c r="AC103" s="86">
        <f>-SUM('[3]Total P&amp;C'!$AJ$37:$AK$37,'[3]Total P&amp;C'!$BH$37:$BI$37)/1000/AC94</f>
        <v>-1.7291594024028956E-2</v>
      </c>
      <c r="AD103" s="59">
        <f>-SUM('[3]Total P&amp;C'!$AJ$38:$AK$38,'[3]Total P&amp;C'!$BH$38:$BI$38)/1000/AD94</f>
        <v>-1.63137752822375E-2</v>
      </c>
      <c r="AE103" s="59">
        <f>-SUM('[3]Total P&amp;C'!$AJ$39:$AK$39,'[3]Total P&amp;C'!$BH$39:$BI$39)/1000/AE94</f>
        <v>0</v>
      </c>
      <c r="AG103" s="109"/>
      <c r="AK103" s="109"/>
      <c r="AO103" s="109"/>
      <c r="AS103" s="109"/>
      <c r="AW103" s="109"/>
      <c r="BA103" s="109"/>
      <c r="BE103" s="109"/>
    </row>
    <row r="104" spans="1:57" ht="16.5" hidden="1" outlineLevel="1" x14ac:dyDescent="0.25">
      <c r="A104" s="202"/>
      <c r="B104" s="9"/>
      <c r="C104" s="37" t="s">
        <v>58</v>
      </c>
      <c r="D104" s="7"/>
      <c r="E104" s="96">
        <f>+E105+E106+E107</f>
        <v>0</v>
      </c>
      <c r="F104" s="41">
        <f>+F105+F106+F107</f>
        <v>0</v>
      </c>
      <c r="G104" s="41">
        <f>+G105+G106+G107</f>
        <v>0</v>
      </c>
      <c r="H104" s="7"/>
      <c r="I104" s="96">
        <f>+I105+I106+I107</f>
        <v>0</v>
      </c>
      <c r="J104" s="41">
        <f>+J105+J106+J107</f>
        <v>0</v>
      </c>
      <c r="K104" s="41">
        <f>+K105+K106+K107</f>
        <v>0</v>
      </c>
      <c r="L104" s="7"/>
      <c r="M104" s="72">
        <f>+M105+M106+M107</f>
        <v>0.35018985405029868</v>
      </c>
      <c r="N104" s="41">
        <f>+N105+N106+N107</f>
        <v>0.33076523083409204</v>
      </c>
      <c r="O104" s="41">
        <f>+O105+O106+O107</f>
        <v>0.32926180557774176</v>
      </c>
      <c r="P104" s="7"/>
      <c r="Q104" s="72">
        <f>+Q105+Q106+Q107</f>
        <v>0.9450007744472807</v>
      </c>
      <c r="R104" s="41">
        <f>+R105+R106+R107</f>
        <v>0.41425070491834315</v>
      </c>
      <c r="S104" s="41">
        <f>+S105+S106+S107</f>
        <v>0</v>
      </c>
      <c r="T104" s="7"/>
      <c r="U104" s="96">
        <f>+U105+U106+U107</f>
        <v>0</v>
      </c>
      <c r="V104" s="41">
        <f>+V105+V106+V107</f>
        <v>0</v>
      </c>
      <c r="W104" s="41">
        <f>+W105+W106+W107</f>
        <v>0</v>
      </c>
      <c r="X104" s="7"/>
      <c r="Y104" s="72">
        <f>+Y105+Y106+Y107</f>
        <v>0.14293982465659033</v>
      </c>
      <c r="Z104" s="41">
        <f>+Z105+Z106+Z107</f>
        <v>0.150752736698373</v>
      </c>
      <c r="AA104" s="41">
        <f>+AA105+AA106+AA107</f>
        <v>0</v>
      </c>
      <c r="AB104" s="7"/>
      <c r="AC104" s="83">
        <f>+AC105+AC106+AC107</f>
        <v>0.34994266533830026</v>
      </c>
      <c r="AD104" s="59">
        <f>+AD105+AD106+AD107</f>
        <v>0.33053634450115099</v>
      </c>
      <c r="AE104" s="59">
        <f>+AE105+AE106+AE107</f>
        <v>0.32926180557774176</v>
      </c>
      <c r="AG104" s="109"/>
      <c r="AK104" s="109"/>
      <c r="AO104" s="109"/>
      <c r="AS104" s="109"/>
      <c r="AW104" s="109"/>
      <c r="BA104" s="109"/>
      <c r="BE104" s="109"/>
    </row>
    <row r="105" spans="1:57" ht="16.5" hidden="1" outlineLevel="1" x14ac:dyDescent="0.25">
      <c r="A105" s="202"/>
      <c r="B105" s="9"/>
      <c r="C105" s="39" t="s">
        <v>59</v>
      </c>
      <c r="D105" s="8"/>
      <c r="E105" s="97">
        <f>IFERROR(-SUM([3]Retail!$AL$37:$AN$37,[3]Retail!$BJ$37)/1000/E94,0)</f>
        <v>0</v>
      </c>
      <c r="F105" s="42">
        <f>IFERROR(-SUM([3]Retail!$AL$38:$AN$38,[3]Retail!$BJ$38)/1000/F94,0)</f>
        <v>0</v>
      </c>
      <c r="G105" s="42">
        <f>IFERROR(-SUM([3]Retail!$AL$39:$AN$39,[3]Retail!$BJ$39)/1000/G94,0)</f>
        <v>0</v>
      </c>
      <c r="H105" s="8"/>
      <c r="I105" s="97">
        <f>IFERROR(-SUM([3]SME!$AL$37:$AN$37,[3]SME!$BJ$37)/1000/I94,0)</f>
        <v>0</v>
      </c>
      <c r="J105" s="42">
        <f>IFERROR(-SUM([3]SME!$AL$38:$AN$38,[3]SME!$BJ$38)/1000/J94,0)</f>
        <v>0</v>
      </c>
      <c r="K105" s="42">
        <f>IFERROR(-SUM([3]SME!$AL$39:$AN$39,[3]SME!$BJ$39)/1000/K94,0)</f>
        <v>0</v>
      </c>
      <c r="L105" s="8"/>
      <c r="M105" s="74">
        <f>-SUM([3]MidCorp!$AL$37:$AN$37,[3]MidCorp!$BJ$37)/1000/M94</f>
        <v>0.15336265002353944</v>
      </c>
      <c r="N105" s="42">
        <f>-SUM([3]MidCorp!$AL$38:$AN$38,[3]MidCorp!$BJ$38)/1000/N94</f>
        <v>0.15219907712211828</v>
      </c>
      <c r="O105" s="42">
        <f>-SUM([3]MidCorp!$AL$39:$AN$39,[3]MidCorp!$BJ$39)/1000/O94</f>
        <v>0.15999291642353386</v>
      </c>
      <c r="P105" s="8"/>
      <c r="Q105" s="73">
        <f>-SUM([3]MGA!$AL$37:$AN$37,[3]MGA!$BJ$37)/1000/Q94</f>
        <v>0.94489302526045027</v>
      </c>
      <c r="R105" s="42">
        <f>-SUM([3]MGA!$AL$38:$AN$38,[3]MGA!$BJ$38)/1000/R94</f>
        <v>0.36865810041065056</v>
      </c>
      <c r="S105" s="42">
        <f>IFERROR(-SUM([3]MGA!$AL$39:$AN$39,[3]MGA!$BJ$39)/1000/S94,0)</f>
        <v>0</v>
      </c>
      <c r="T105" s="8"/>
      <c r="U105" s="97">
        <f>IFERROR(-SUM([3]Bancassurance!$AL$37:$AN$37,[3]Bancassurance!$BJ$37)/1000/U94,0)</f>
        <v>0</v>
      </c>
      <c r="V105" s="42">
        <f>IFERROR(-SUM([3]Bancassurance!$AL$38:$AN$38,[3]Bancassurance!$BJ$38)/1000/V94,0)</f>
        <v>0</v>
      </c>
      <c r="W105" s="42">
        <f>IFERROR(-SUM([3]Bancassurance!$AL$39:$AN$39,[3]Bancassurance!$BJ$39)/1000/W94,0)</f>
        <v>0</v>
      </c>
      <c r="X105" s="8"/>
      <c r="Y105" s="73">
        <f>-SUM([3]Specials!$AL$37:$AN$37,[3]Specials!$BJ$37)/1000/Y94</f>
        <v>0.14293982465659033</v>
      </c>
      <c r="Z105" s="42">
        <f>-SUM([3]Specials!$AL$38:$AN$38,[3]Specials!$BJ$38)/1000/Z94</f>
        <v>0.150752736698373</v>
      </c>
      <c r="AA105" s="42">
        <f>IFERROR(-SUM([3]Specials!$AL$39:$AN$39,[3]Specials!$BJ$39)/1000/AA94,0)</f>
        <v>0</v>
      </c>
      <c r="AB105" s="8"/>
      <c r="AC105" s="85">
        <f>-SUM('[3]Total P&amp;C'!$AL$37:$AN$37,'[3]Total P&amp;C'!$BJ$37)/1000/AC94</f>
        <v>0.15344680309092787</v>
      </c>
      <c r="AD105" s="60">
        <f>-SUM('[3]Total P&amp;C'!$AL$38:$AN$38,'[3]Total P&amp;C'!$BJ$38)/1000/AD94</f>
        <v>0.15223807883992266</v>
      </c>
      <c r="AE105" s="60">
        <f>-SUM('[3]Total P&amp;C'!$AL$39:$AN$39,'[3]Total P&amp;C'!$BJ$39)/1000/AE94</f>
        <v>0.15999291642353386</v>
      </c>
      <c r="AG105" s="109"/>
      <c r="AK105" s="109"/>
      <c r="AO105" s="109"/>
      <c r="AS105" s="109"/>
      <c r="AW105" s="109"/>
      <c r="BA105" s="109"/>
      <c r="BE105" s="109"/>
    </row>
    <row r="106" spans="1:57" ht="16.5" hidden="1" outlineLevel="1" x14ac:dyDescent="0.25">
      <c r="A106" s="202"/>
      <c r="B106" s="9"/>
      <c r="C106" s="39" t="s">
        <v>60</v>
      </c>
      <c r="D106" s="8"/>
      <c r="E106" s="97">
        <f>IFERROR(-SUM([3]Retail!$AO$37:$AP$37)/1000/E94,0)</f>
        <v>0</v>
      </c>
      <c r="F106" s="42">
        <f>IFERROR(-SUM([3]Retail!$AO$38:$AP$38)/1000/F94,0)</f>
        <v>0</v>
      </c>
      <c r="G106" s="42">
        <f>IFERROR(-SUM([3]Retail!$AO$39:$AP$39)/1000/G94,0)</f>
        <v>0</v>
      </c>
      <c r="H106" s="8"/>
      <c r="I106" s="97">
        <f>IFERROR(-SUM([3]SME!$AO$37:$AP$37)/1000/I94,0)</f>
        <v>0</v>
      </c>
      <c r="J106" s="42">
        <f>IFERROR(-SUM([3]SME!$AO$38:$AP$38)/1000/J94,0)</f>
        <v>0</v>
      </c>
      <c r="K106" s="42">
        <f>IFERROR(-SUM([3]SME!$AO$39:$AP$39)/1000/K94,0)</f>
        <v>0</v>
      </c>
      <c r="L106" s="8"/>
      <c r="M106" s="73">
        <f>-SUM([3]MidCorp!$AO$37:$AP$37)/1000/M94</f>
        <v>8.4024838473289079E-2</v>
      </c>
      <c r="N106" s="42">
        <f>-SUM([3]MidCorp!$AO$38:$AP$38)/1000/N94</f>
        <v>7.3954887571125325E-2</v>
      </c>
      <c r="O106" s="42">
        <f>-SUM([3]MidCorp!$AO$39:$AP$39)/1000/O94</f>
        <v>6.4389550498410816E-2</v>
      </c>
      <c r="P106" s="8"/>
      <c r="Q106" s="97">
        <f>-SUM([3]MGA!$AO$37:$AP$37)/1000/Q94</f>
        <v>9.4280538476561204E-5</v>
      </c>
      <c r="R106" s="42">
        <f>-SUM([3]MGA!$AO$38:$AP$38)/1000/R94</f>
        <v>2.2708778835418141E-3</v>
      </c>
      <c r="S106" s="42">
        <f>IFERROR(-SUM([3]MGA!$AO$39:$AP$39)/1000/S94,0)</f>
        <v>0</v>
      </c>
      <c r="T106" s="8"/>
      <c r="U106" s="97">
        <f>IFERROR(-SUM([3]Bancassurance!$AO$37:$AP$37)/1000/U94,0)</f>
        <v>0</v>
      </c>
      <c r="V106" s="42">
        <f>IFERROR(-SUM([3]Bancassurance!$AO$38:$AP$38)/1000/V94,0)</f>
        <v>0</v>
      </c>
      <c r="W106" s="42">
        <f>IFERROR(-SUM([3]Bancassurance!$AO$39:$AP$39)/1000/W94,0)</f>
        <v>0</v>
      </c>
      <c r="X106" s="8"/>
      <c r="Y106" s="97">
        <f>-SUM([3]Specials!$AO$37:$AP$37)/1000/Y94</f>
        <v>0</v>
      </c>
      <c r="Z106" s="42">
        <f>-SUM([3]Specials!$AO$38:$AP$38)/1000/Z94</f>
        <v>0</v>
      </c>
      <c r="AA106" s="42">
        <f>IFERROR(-SUM([3]Specials!$AO$39:$AP$39)/1000/AA94,0)</f>
        <v>0</v>
      </c>
      <c r="AB106" s="8"/>
      <c r="AC106" s="84">
        <f>-SUM('[3]Total P&amp;C'!$AO$37:$AP$37)/1000/AC94</f>
        <v>8.388340061523275E-2</v>
      </c>
      <c r="AD106" s="60">
        <f>-SUM('[3]Total P&amp;C'!$AO$38:$AP$38)/1000/AD94</f>
        <v>7.3827752798651308E-2</v>
      </c>
      <c r="AE106" s="60">
        <f>-SUM('[3]Total P&amp;C'!$AO$39:$AP$39)/1000/AE94</f>
        <v>6.4389550498410816E-2</v>
      </c>
      <c r="AG106" s="109"/>
      <c r="AK106" s="109"/>
      <c r="AO106" s="109"/>
      <c r="AS106" s="109"/>
      <c r="AW106" s="109"/>
      <c r="BA106" s="109"/>
      <c r="BE106" s="109"/>
    </row>
    <row r="107" spans="1:57" ht="16.5" hidden="1" outlineLevel="1" x14ac:dyDescent="0.25">
      <c r="A107" s="202"/>
      <c r="B107" s="9"/>
      <c r="C107" s="39" t="s">
        <v>61</v>
      </c>
      <c r="D107" s="8"/>
      <c r="E107" s="97">
        <f>IFERROR(-SUM([3]Retail!$AQ$37:$AR$37)/1000/E94,0)</f>
        <v>0</v>
      </c>
      <c r="F107" s="42">
        <f>IFERROR(-SUM([3]Retail!$AQ$38:$AR$38)/1000/F94,0)</f>
        <v>0</v>
      </c>
      <c r="G107" s="42">
        <f>IFERROR(-SUM([3]Retail!$AQ$39:$AR$39)/1000/G94,0)</f>
        <v>0</v>
      </c>
      <c r="H107" s="8"/>
      <c r="I107" s="97">
        <f>IFERROR(-SUM([3]SME!$AQ$37:$AR$37)/1000/I94,0)</f>
        <v>0</v>
      </c>
      <c r="J107" s="42">
        <f>IFERROR(-SUM([3]SME!$AQ$38:$AR$38)/1000/J94,0)</f>
        <v>0</v>
      </c>
      <c r="K107" s="42">
        <f>IFERROR(-SUM([3]SME!$AQ$39:$AR$39)/1000/K94,0)</f>
        <v>0</v>
      </c>
      <c r="L107" s="8"/>
      <c r="M107" s="73">
        <f>-SUM([3]MidCorp!$AQ$37:$AR$37)/1000/M94</f>
        <v>0.11280236555347016</v>
      </c>
      <c r="N107" s="42">
        <f>-SUM([3]MidCorp!$AQ$38:$AR$38)/1000/N94</f>
        <v>0.10461126614084844</v>
      </c>
      <c r="O107" s="42">
        <f>-SUM([3]MidCorp!$AQ$39:$AR$39)/1000/O94</f>
        <v>0.10487933865579706</v>
      </c>
      <c r="P107" s="8"/>
      <c r="Q107" s="97">
        <f>-SUM([3]MGA!$AQ$37:$AR$37)/1000/Q94</f>
        <v>1.3468648353794457E-5</v>
      </c>
      <c r="R107" s="42">
        <f>-SUM([3]MGA!$AQ$38:$AR$38)/1000/R94</f>
        <v>4.3321726624150805E-2</v>
      </c>
      <c r="S107" s="42">
        <f>IFERROR(-SUM([3]MGA!$AQ$39:$AR$39)/1000/S94,0)</f>
        <v>0</v>
      </c>
      <c r="T107" s="8"/>
      <c r="U107" s="97">
        <f>IFERROR(-SUM([3]Bancassurance!$AQ$37:$AR$37)/1000/U94,0)</f>
        <v>0</v>
      </c>
      <c r="V107" s="42">
        <f>IFERROR(-SUM([3]Bancassurance!$AQ$38:$AR$38)/1000/V94,0)</f>
        <v>0</v>
      </c>
      <c r="W107" s="42">
        <f>IFERROR(-SUM([3]Bancassurance!$AQ$39:$AR$39)/1000/W94,0)</f>
        <v>0</v>
      </c>
      <c r="X107" s="8"/>
      <c r="Y107" s="97">
        <f>-SUM([3]Specials!$AQ$37:$AR$37)/1000/Y94</f>
        <v>0</v>
      </c>
      <c r="Z107" s="42">
        <f>-SUM([3]Specials!$AQ$38:$AR$38)/1000/Z94</f>
        <v>0</v>
      </c>
      <c r="AA107" s="42">
        <f>IFERROR(-SUM([3]Specials!$AQ$39:$AR$39)/1000/AA94,0)</f>
        <v>0</v>
      </c>
      <c r="AB107" s="8"/>
      <c r="AC107" s="84">
        <f>-SUM('[3]Total P&amp;C'!$AQ$37:$AR$37)/1000/AC94</f>
        <v>0.11261246163213963</v>
      </c>
      <c r="AD107" s="60">
        <f>-SUM('[3]Total P&amp;C'!$AQ$38:$AR$38)/1000/AD94</f>
        <v>0.10447051286257704</v>
      </c>
      <c r="AE107" s="60">
        <f>-SUM('[3]Total P&amp;C'!$AQ$39:$AR$39)/1000/AE94</f>
        <v>0.10487933865579706</v>
      </c>
      <c r="AG107" s="109"/>
      <c r="AK107" s="109"/>
      <c r="AO107" s="109"/>
      <c r="AS107" s="109"/>
      <c r="AW107" s="109"/>
      <c r="BA107" s="109"/>
      <c r="BE107" s="109"/>
    </row>
    <row r="108" spans="1:57" ht="16.5" hidden="1" outlineLevel="1" x14ac:dyDescent="0.25">
      <c r="A108" s="202"/>
      <c r="B108" s="9"/>
      <c r="C108" s="37" t="s">
        <v>34</v>
      </c>
      <c r="D108" s="6"/>
      <c r="E108" s="75">
        <f>+[3]Retail!$BK$37/1000</f>
        <v>0.02</v>
      </c>
      <c r="F108" s="40">
        <f>+[3]Retail!$BK$38/1000</f>
        <v>0</v>
      </c>
      <c r="G108" s="40">
        <f>+[3]Retail!$BK$39/1000</f>
        <v>0</v>
      </c>
      <c r="H108" s="6"/>
      <c r="I108" s="70">
        <f>+[3]SME!$BK$37/1000</f>
        <v>-1.5561899999999801E-3</v>
      </c>
      <c r="J108" s="40">
        <f>+[3]SME!$BK$38/1000</f>
        <v>0.12881977000000003</v>
      </c>
      <c r="K108" s="40">
        <f>+[3]SME!$BK$39/1000</f>
        <v>0</v>
      </c>
      <c r="L108" s="6"/>
      <c r="M108" s="70">
        <f>+[3]MidCorp!$BK$37/1000</f>
        <v>1.0617100899999934</v>
      </c>
      <c r="N108" s="40">
        <f>+[3]MidCorp!$BK$38/1000</f>
        <v>-0.59736505000000228</v>
      </c>
      <c r="O108" s="40">
        <f>+[3]MidCorp!$BK$39/1000</f>
        <v>1.3588259773164886</v>
      </c>
      <c r="P108" s="6"/>
      <c r="Q108" s="75">
        <f>+[3]MGA!$BK$37/1000</f>
        <v>3.9769999999999573E-5</v>
      </c>
      <c r="R108" s="40">
        <f>+[3]MGA!$BK$38/1000</f>
        <v>1.2374299999999994E-3</v>
      </c>
      <c r="S108" s="40">
        <f>+[3]MGA!$BK$39/1000</f>
        <v>0</v>
      </c>
      <c r="T108" s="6"/>
      <c r="U108" s="70">
        <f>+[3]Bancassurance!$BK$37/1000</f>
        <v>0</v>
      </c>
      <c r="V108" s="40">
        <f>+[3]Bancassurance!$BK$38/1000</f>
        <v>0</v>
      </c>
      <c r="W108" s="40">
        <f>+[3]Bancassurance!$BK$39/1000</f>
        <v>0</v>
      </c>
      <c r="X108" s="6"/>
      <c r="Y108" s="75">
        <f>+[3]Specials!$BK$37/1000</f>
        <v>2.1283480000000066E-2</v>
      </c>
      <c r="Z108" s="40">
        <f>+[3]Specials!$BK$38/1000</f>
        <v>-3.5149089999999966E-2</v>
      </c>
      <c r="AA108" s="40">
        <f>+[3]Specials!$BK$39/1000</f>
        <v>0</v>
      </c>
      <c r="AB108" s="6"/>
      <c r="AC108" s="82">
        <f>+'[3]Total P&amp;C'!$BK$37/1000</f>
        <v>1.1014771499999976</v>
      </c>
      <c r="AD108" s="58">
        <f>+'[3]Total P&amp;C'!$BK$38/1000</f>
        <v>-0.50245694000000374</v>
      </c>
      <c r="AE108" s="58">
        <f>+'[3]Total P&amp;C'!$BK$39/1000</f>
        <v>1.3588259773164886</v>
      </c>
      <c r="AG108" s="108"/>
      <c r="AK108" s="108"/>
      <c r="AO108" s="108"/>
      <c r="AS108" s="108"/>
      <c r="AW108" s="108"/>
      <c r="BA108" s="108"/>
      <c r="BE108" s="108"/>
    </row>
    <row r="109" spans="1:57" hidden="1" outlineLevel="1" x14ac:dyDescent="0.25">
      <c r="I109" s="67" t="e">
        <f>I112-K112</f>
        <v>#VALUE!</v>
      </c>
    </row>
    <row r="110" spans="1:57" ht="16.5" collapsed="1" x14ac:dyDescent="0.25">
      <c r="A110" s="204" t="s">
        <v>67</v>
      </c>
      <c r="B110" s="9"/>
      <c r="C110" s="37" t="s">
        <v>19</v>
      </c>
      <c r="D110" s="6"/>
      <c r="E110" s="75" t="s">
        <v>179</v>
      </c>
      <c r="F110" s="75" t="s">
        <v>180</v>
      </c>
      <c r="G110" s="75" t="s">
        <v>181</v>
      </c>
      <c r="H110" s="6"/>
      <c r="I110" s="75" t="s">
        <v>182</v>
      </c>
      <c r="J110" s="75" t="s">
        <v>183</v>
      </c>
      <c r="K110" s="75" t="s">
        <v>184</v>
      </c>
      <c r="L110" s="6"/>
      <c r="M110" s="70">
        <v>1345</v>
      </c>
      <c r="N110" s="70">
        <v>1345</v>
      </c>
      <c r="O110" s="70">
        <v>1345</v>
      </c>
      <c r="P110" s="6"/>
      <c r="Q110" s="70">
        <v>3</v>
      </c>
      <c r="R110" s="40">
        <v>0.5</v>
      </c>
      <c r="S110" s="40">
        <v>0.5</v>
      </c>
      <c r="T110" s="6"/>
      <c r="U110" s="75">
        <v>234</v>
      </c>
      <c r="V110" s="75">
        <v>234</v>
      </c>
      <c r="W110" s="75">
        <v>234</v>
      </c>
      <c r="X110" s="6"/>
      <c r="Y110" s="70">
        <f>+[3]Specials!$C$98/1000</f>
        <v>0</v>
      </c>
      <c r="Z110" s="70">
        <f>+[3]Specials!$C$98/1000</f>
        <v>0</v>
      </c>
      <c r="AA110" s="70">
        <f>+[3]Specials!$C$98/1000</f>
        <v>0</v>
      </c>
      <c r="AB110" s="6"/>
      <c r="AC110" s="101" t="s">
        <v>185</v>
      </c>
      <c r="AD110" s="101" t="s">
        <v>186</v>
      </c>
      <c r="AE110" s="101" t="s">
        <v>187</v>
      </c>
      <c r="AG110" s="108"/>
      <c r="AK110" s="108"/>
      <c r="AO110" s="108"/>
      <c r="AS110" s="108"/>
      <c r="AW110" s="108"/>
      <c r="BA110" s="108"/>
      <c r="BE110" s="108"/>
    </row>
    <row r="111" spans="1:57" ht="16.5" x14ac:dyDescent="0.25">
      <c r="A111" s="204"/>
      <c r="B111" s="9"/>
      <c r="C111" s="37" t="s">
        <v>55</v>
      </c>
      <c r="D111" s="6"/>
      <c r="E111" s="75" t="s">
        <v>179</v>
      </c>
      <c r="F111" s="75" t="s">
        <v>180</v>
      </c>
      <c r="G111" s="75" t="s">
        <v>181</v>
      </c>
      <c r="H111" s="6"/>
      <c r="I111" s="75" t="s">
        <v>182</v>
      </c>
      <c r="J111" s="75" t="s">
        <v>183</v>
      </c>
      <c r="K111" s="75" t="s">
        <v>184</v>
      </c>
      <c r="L111" s="6"/>
      <c r="M111" s="70">
        <v>1345</v>
      </c>
      <c r="N111" s="70">
        <v>1345</v>
      </c>
      <c r="O111" s="70">
        <v>1345</v>
      </c>
      <c r="P111" s="6"/>
      <c r="Q111" s="70">
        <v>3</v>
      </c>
      <c r="R111" s="40">
        <v>0.5</v>
      </c>
      <c r="S111" s="40">
        <v>0.5</v>
      </c>
      <c r="T111" s="6"/>
      <c r="U111" s="75">
        <v>234</v>
      </c>
      <c r="V111" s="75">
        <v>234</v>
      </c>
      <c r="W111" s="75">
        <v>234</v>
      </c>
      <c r="X111" s="6"/>
      <c r="Y111" s="70">
        <f>+[3]Specials!$C$98/1000</f>
        <v>0</v>
      </c>
      <c r="Z111" s="70">
        <f>+[3]Specials!$C$98/1000</f>
        <v>0</v>
      </c>
      <c r="AA111" s="70">
        <f>+[3]Specials!$C$98/1000</f>
        <v>0</v>
      </c>
      <c r="AB111" s="6"/>
      <c r="AC111" s="101" t="s">
        <v>185</v>
      </c>
      <c r="AD111" s="101" t="s">
        <v>186</v>
      </c>
      <c r="AE111" s="101" t="s">
        <v>187</v>
      </c>
      <c r="AG111" s="108"/>
      <c r="AK111" s="108"/>
      <c r="AO111" s="108"/>
      <c r="AS111" s="108"/>
      <c r="AW111" s="108"/>
      <c r="BA111" s="108"/>
      <c r="BE111" s="108"/>
    </row>
    <row r="112" spans="1:57" ht="16.5" x14ac:dyDescent="0.25">
      <c r="A112" s="204"/>
      <c r="B112" s="9"/>
      <c r="C112" s="37" t="s">
        <v>21</v>
      </c>
      <c r="D112" s="6"/>
      <c r="E112" s="75" t="s">
        <v>179</v>
      </c>
      <c r="F112" s="75" t="s">
        <v>180</v>
      </c>
      <c r="G112" s="75" t="s">
        <v>181</v>
      </c>
      <c r="H112" s="6"/>
      <c r="I112" s="75" t="s">
        <v>182</v>
      </c>
      <c r="J112" s="75" t="s">
        <v>183</v>
      </c>
      <c r="K112" s="75" t="s">
        <v>184</v>
      </c>
      <c r="L112" s="6"/>
      <c r="M112" s="70">
        <v>1345</v>
      </c>
      <c r="N112" s="70">
        <v>1345</v>
      </c>
      <c r="O112" s="70">
        <v>1345</v>
      </c>
      <c r="P112" s="6"/>
      <c r="Q112" s="70">
        <v>3</v>
      </c>
      <c r="R112" s="40">
        <v>0.5</v>
      </c>
      <c r="S112" s="40">
        <v>0.5</v>
      </c>
      <c r="T112" s="6"/>
      <c r="U112" s="75">
        <v>234</v>
      </c>
      <c r="V112" s="75">
        <v>234</v>
      </c>
      <c r="W112" s="75">
        <v>234</v>
      </c>
      <c r="X112" s="6"/>
      <c r="Y112" s="70">
        <f>+[3]Specials!$C$98/1000</f>
        <v>0</v>
      </c>
      <c r="Z112" s="70">
        <f>+[3]Specials!$C$98/1000</f>
        <v>0</v>
      </c>
      <c r="AA112" s="70">
        <f>+[3]Specials!$C$98/1000</f>
        <v>0</v>
      </c>
      <c r="AB112" s="6"/>
      <c r="AC112" s="101" t="s">
        <v>185</v>
      </c>
      <c r="AD112" s="101" t="s">
        <v>186</v>
      </c>
      <c r="AE112" s="101" t="s">
        <v>187</v>
      </c>
      <c r="AG112" s="109"/>
      <c r="AK112" s="109"/>
      <c r="AO112" s="109"/>
      <c r="AS112" s="109"/>
      <c r="AW112" s="109"/>
      <c r="BA112" s="109"/>
      <c r="BE112" s="109"/>
    </row>
    <row r="113" spans="1:57" ht="16.5" x14ac:dyDescent="0.25">
      <c r="A113" s="204"/>
      <c r="B113" s="9"/>
      <c r="C113" s="37" t="s">
        <v>56</v>
      </c>
      <c r="D113" s="6"/>
      <c r="E113" s="75" t="s">
        <v>179</v>
      </c>
      <c r="F113" s="75" t="s">
        <v>180</v>
      </c>
      <c r="G113" s="75" t="s">
        <v>181</v>
      </c>
      <c r="H113" s="6"/>
      <c r="I113" s="75" t="s">
        <v>182</v>
      </c>
      <c r="J113" s="75" t="s">
        <v>183</v>
      </c>
      <c r="K113" s="75" t="s">
        <v>184</v>
      </c>
      <c r="L113" s="6"/>
      <c r="M113" s="70">
        <v>1345</v>
      </c>
      <c r="N113" s="70">
        <v>1345</v>
      </c>
      <c r="O113" s="70">
        <v>1345</v>
      </c>
      <c r="P113" s="6"/>
      <c r="Q113" s="70">
        <v>3</v>
      </c>
      <c r="R113" s="40">
        <v>0.5</v>
      </c>
      <c r="S113" s="40">
        <v>0.5</v>
      </c>
      <c r="T113" s="6"/>
      <c r="U113" s="75">
        <v>234</v>
      </c>
      <c r="V113" s="75">
        <v>234</v>
      </c>
      <c r="W113" s="75">
        <v>234</v>
      </c>
      <c r="X113" s="6"/>
      <c r="Y113" s="70">
        <f>+[3]Specials!$C$98/1000</f>
        <v>0</v>
      </c>
      <c r="Z113" s="70">
        <f>+[3]Specials!$C$98/1000</f>
        <v>0</v>
      </c>
      <c r="AA113" s="70">
        <f>+[3]Specials!$C$98/1000</f>
        <v>0</v>
      </c>
      <c r="AB113" s="6"/>
      <c r="AC113" s="101" t="s">
        <v>185</v>
      </c>
      <c r="AD113" s="101" t="s">
        <v>186</v>
      </c>
      <c r="AE113" s="101" t="s">
        <v>187</v>
      </c>
      <c r="AG113" s="109"/>
      <c r="AK113" s="109"/>
      <c r="AO113" s="109"/>
      <c r="AS113" s="109"/>
      <c r="AW113" s="109"/>
      <c r="BA113" s="109"/>
      <c r="BE113" s="109"/>
    </row>
    <row r="114" spans="1:57" ht="16.5" x14ac:dyDescent="0.25">
      <c r="A114" s="204"/>
      <c r="B114" s="9"/>
      <c r="C114" s="38" t="s">
        <v>23</v>
      </c>
      <c r="D114" s="6"/>
      <c r="E114" s="75" t="s">
        <v>179</v>
      </c>
      <c r="F114" s="75" t="s">
        <v>180</v>
      </c>
      <c r="G114" s="75" t="s">
        <v>181</v>
      </c>
      <c r="H114" s="6"/>
      <c r="I114" s="75" t="s">
        <v>182</v>
      </c>
      <c r="J114" s="75" t="s">
        <v>183</v>
      </c>
      <c r="K114" s="75" t="s">
        <v>184</v>
      </c>
      <c r="L114" s="6"/>
      <c r="M114" s="70">
        <v>1345</v>
      </c>
      <c r="N114" s="70">
        <v>1345</v>
      </c>
      <c r="O114" s="70">
        <v>1345</v>
      </c>
      <c r="P114" s="6"/>
      <c r="Q114" s="70">
        <v>3</v>
      </c>
      <c r="R114" s="40">
        <v>0.5</v>
      </c>
      <c r="S114" s="40">
        <v>0.5</v>
      </c>
      <c r="T114" s="6"/>
      <c r="U114" s="75">
        <v>234</v>
      </c>
      <c r="V114" s="75">
        <v>234</v>
      </c>
      <c r="W114" s="75">
        <v>234</v>
      </c>
      <c r="X114" s="6"/>
      <c r="Y114" s="70">
        <f>+[3]Specials!$C$98/1000</f>
        <v>0</v>
      </c>
      <c r="Z114" s="70">
        <f>+[3]Specials!$C$98/1000</f>
        <v>0</v>
      </c>
      <c r="AA114" s="70">
        <f>+[3]Specials!$C$98/1000</f>
        <v>0</v>
      </c>
      <c r="AB114" s="6"/>
      <c r="AC114" s="101" t="s">
        <v>185</v>
      </c>
      <c r="AD114" s="101" t="s">
        <v>186</v>
      </c>
      <c r="AE114" s="101" t="s">
        <v>187</v>
      </c>
      <c r="AG114" s="109"/>
      <c r="AK114" s="109"/>
      <c r="AO114" s="109"/>
      <c r="AS114" s="109"/>
      <c r="AW114" s="109"/>
      <c r="BA114" s="109"/>
      <c r="BE114" s="109"/>
    </row>
    <row r="115" spans="1:57" ht="16.5" x14ac:dyDescent="0.25">
      <c r="A115" s="204"/>
      <c r="B115" s="9"/>
      <c r="C115" s="38" t="s">
        <v>24</v>
      </c>
      <c r="D115" s="7"/>
      <c r="E115" s="75" t="s">
        <v>179</v>
      </c>
      <c r="F115" s="75" t="s">
        <v>180</v>
      </c>
      <c r="G115" s="75" t="s">
        <v>181</v>
      </c>
      <c r="H115" s="7"/>
      <c r="I115" s="75" t="s">
        <v>182</v>
      </c>
      <c r="J115" s="75" t="s">
        <v>183</v>
      </c>
      <c r="K115" s="75" t="s">
        <v>184</v>
      </c>
      <c r="L115" s="7"/>
      <c r="M115" s="70">
        <v>1345</v>
      </c>
      <c r="N115" s="70">
        <v>1345</v>
      </c>
      <c r="O115" s="70">
        <v>1345</v>
      </c>
      <c r="P115" s="7"/>
      <c r="Q115" s="70">
        <v>3</v>
      </c>
      <c r="R115" s="40">
        <v>0.5</v>
      </c>
      <c r="S115" s="40">
        <v>0.5</v>
      </c>
      <c r="T115" s="7"/>
      <c r="U115" s="75">
        <v>234</v>
      </c>
      <c r="V115" s="75">
        <v>234</v>
      </c>
      <c r="W115" s="75">
        <v>234</v>
      </c>
      <c r="X115" s="7"/>
      <c r="Y115" s="70">
        <f>+[3]Specials!$C$98/1000</f>
        <v>0</v>
      </c>
      <c r="Z115" s="70">
        <f>+[3]Specials!$C$98/1000</f>
        <v>0</v>
      </c>
      <c r="AA115" s="70">
        <f>+[3]Specials!$C$98/1000</f>
        <v>0</v>
      </c>
      <c r="AB115" s="7"/>
      <c r="AC115" s="101" t="s">
        <v>185</v>
      </c>
      <c r="AD115" s="101" t="s">
        <v>186</v>
      </c>
      <c r="AE115" s="101" t="s">
        <v>187</v>
      </c>
      <c r="AG115" s="109"/>
      <c r="AK115" s="109"/>
      <c r="AO115" s="109"/>
      <c r="AS115" s="109"/>
      <c r="AW115" s="109"/>
      <c r="BA115" s="109"/>
      <c r="BE115" s="109"/>
    </row>
    <row r="116" spans="1:57" ht="16.5" x14ac:dyDescent="0.25">
      <c r="A116" s="204"/>
      <c r="B116" s="9"/>
      <c r="C116" s="38" t="s">
        <v>25</v>
      </c>
      <c r="D116" s="7"/>
      <c r="E116" s="75" t="s">
        <v>179</v>
      </c>
      <c r="F116" s="75" t="s">
        <v>180</v>
      </c>
      <c r="G116" s="75" t="s">
        <v>181</v>
      </c>
      <c r="H116" s="7"/>
      <c r="I116" s="75" t="s">
        <v>182</v>
      </c>
      <c r="J116" s="75" t="s">
        <v>183</v>
      </c>
      <c r="K116" s="75" t="s">
        <v>184</v>
      </c>
      <c r="L116" s="7"/>
      <c r="M116" s="70">
        <v>1345</v>
      </c>
      <c r="N116" s="70">
        <v>1345</v>
      </c>
      <c r="O116" s="70">
        <v>1345</v>
      </c>
      <c r="P116" s="7"/>
      <c r="Q116" s="70">
        <v>3</v>
      </c>
      <c r="R116" s="40">
        <v>0.5</v>
      </c>
      <c r="S116" s="40">
        <v>0.5</v>
      </c>
      <c r="T116" s="7"/>
      <c r="U116" s="75">
        <v>234</v>
      </c>
      <c r="V116" s="75">
        <v>234</v>
      </c>
      <c r="W116" s="75">
        <v>234</v>
      </c>
      <c r="X116" s="7"/>
      <c r="Y116" s="70">
        <f>+[3]Specials!$C$98/1000</f>
        <v>0</v>
      </c>
      <c r="Z116" s="70">
        <f>+[3]Specials!$C$98/1000</f>
        <v>0</v>
      </c>
      <c r="AA116" s="70">
        <f>+[3]Specials!$C$98/1000</f>
        <v>0</v>
      </c>
      <c r="AB116" s="7"/>
      <c r="AC116" s="101" t="s">
        <v>185</v>
      </c>
      <c r="AD116" s="101" t="s">
        <v>186</v>
      </c>
      <c r="AE116" s="101" t="s">
        <v>187</v>
      </c>
      <c r="AG116" s="109"/>
      <c r="AK116" s="109"/>
      <c r="AO116" s="109"/>
      <c r="AS116" s="109"/>
      <c r="AW116" s="109"/>
      <c r="BA116" s="109"/>
      <c r="BE116" s="109"/>
    </row>
    <row r="117" spans="1:57" ht="16.5" x14ac:dyDescent="0.25">
      <c r="A117" s="204"/>
      <c r="B117" s="9"/>
      <c r="C117" s="38" t="s">
        <v>53</v>
      </c>
      <c r="D117" s="7"/>
      <c r="E117" s="75" t="s">
        <v>179</v>
      </c>
      <c r="F117" s="75" t="s">
        <v>180</v>
      </c>
      <c r="G117" s="75" t="s">
        <v>181</v>
      </c>
      <c r="H117" s="7"/>
      <c r="I117" s="75" t="s">
        <v>182</v>
      </c>
      <c r="J117" s="75" t="s">
        <v>183</v>
      </c>
      <c r="K117" s="75" t="s">
        <v>184</v>
      </c>
      <c r="L117" s="7"/>
      <c r="M117" s="70">
        <v>1345</v>
      </c>
      <c r="N117" s="70">
        <v>1345</v>
      </c>
      <c r="O117" s="70">
        <v>1345</v>
      </c>
      <c r="P117" s="7"/>
      <c r="Q117" s="70">
        <v>3</v>
      </c>
      <c r="R117" s="40">
        <v>0.5</v>
      </c>
      <c r="S117" s="40">
        <v>0.5</v>
      </c>
      <c r="T117" s="7"/>
      <c r="U117" s="75">
        <v>234</v>
      </c>
      <c r="V117" s="75">
        <v>234</v>
      </c>
      <c r="W117" s="75">
        <v>234</v>
      </c>
      <c r="X117" s="7"/>
      <c r="Y117" s="70">
        <f>+[3]Specials!$C$98/1000</f>
        <v>0</v>
      </c>
      <c r="Z117" s="70">
        <f>+[3]Specials!$C$98/1000</f>
        <v>0</v>
      </c>
      <c r="AA117" s="70">
        <f>+[3]Specials!$C$98/1000</f>
        <v>0</v>
      </c>
      <c r="AB117" s="7"/>
      <c r="AC117" s="101" t="s">
        <v>185</v>
      </c>
      <c r="AD117" s="101" t="s">
        <v>186</v>
      </c>
      <c r="AE117" s="101" t="s">
        <v>187</v>
      </c>
      <c r="AG117" s="109"/>
      <c r="AK117" s="109"/>
      <c r="AO117" s="109"/>
      <c r="AS117" s="109"/>
      <c r="AW117" s="109"/>
      <c r="BA117" s="109"/>
      <c r="BE117" s="109"/>
    </row>
    <row r="118" spans="1:57" ht="16.5" x14ac:dyDescent="0.25">
      <c r="A118" s="204"/>
      <c r="B118" s="9"/>
      <c r="C118" s="37" t="s">
        <v>27</v>
      </c>
      <c r="D118" s="7"/>
      <c r="E118" s="75" t="s">
        <v>179</v>
      </c>
      <c r="F118" s="75" t="s">
        <v>180</v>
      </c>
      <c r="G118" s="75" t="s">
        <v>181</v>
      </c>
      <c r="H118" s="7"/>
      <c r="I118" s="75" t="s">
        <v>182</v>
      </c>
      <c r="J118" s="75" t="s">
        <v>183</v>
      </c>
      <c r="K118" s="75" t="s">
        <v>184</v>
      </c>
      <c r="L118" s="7"/>
      <c r="M118" s="70">
        <v>1345</v>
      </c>
      <c r="N118" s="70">
        <v>1345</v>
      </c>
      <c r="O118" s="70">
        <v>1345</v>
      </c>
      <c r="P118" s="7"/>
      <c r="Q118" s="70">
        <v>3</v>
      </c>
      <c r="R118" s="40">
        <v>0.5</v>
      </c>
      <c r="S118" s="40">
        <v>0.5</v>
      </c>
      <c r="T118" s="7"/>
      <c r="U118" s="75">
        <v>234</v>
      </c>
      <c r="V118" s="75">
        <v>234</v>
      </c>
      <c r="W118" s="75">
        <v>234</v>
      </c>
      <c r="X118" s="7"/>
      <c r="Y118" s="70">
        <f>+[3]Specials!$C$98/1000</f>
        <v>0</v>
      </c>
      <c r="Z118" s="70">
        <f>+[3]Specials!$C$98/1000</f>
        <v>0</v>
      </c>
      <c r="AA118" s="70">
        <f>+[3]Specials!$C$98/1000</f>
        <v>0</v>
      </c>
      <c r="AB118" s="7"/>
      <c r="AC118" s="101" t="s">
        <v>185</v>
      </c>
      <c r="AD118" s="101" t="s">
        <v>186</v>
      </c>
      <c r="AE118" s="101" t="s">
        <v>187</v>
      </c>
      <c r="AG118" s="109"/>
      <c r="AK118" s="109"/>
      <c r="AO118" s="109"/>
      <c r="AS118" s="109"/>
      <c r="AW118" s="109"/>
      <c r="BA118" s="109"/>
      <c r="BE118" s="109"/>
    </row>
    <row r="119" spans="1:57" ht="16.5" x14ac:dyDescent="0.25">
      <c r="A119" s="204"/>
      <c r="B119" s="9"/>
      <c r="C119" s="37" t="s">
        <v>57</v>
      </c>
      <c r="D119" s="7"/>
      <c r="E119" s="75" t="s">
        <v>179</v>
      </c>
      <c r="F119" s="75" t="s">
        <v>180</v>
      </c>
      <c r="G119" s="75" t="s">
        <v>181</v>
      </c>
      <c r="H119" s="7"/>
      <c r="I119" s="75" t="s">
        <v>182</v>
      </c>
      <c r="J119" s="75" t="s">
        <v>183</v>
      </c>
      <c r="K119" s="75" t="s">
        <v>184</v>
      </c>
      <c r="L119" s="7"/>
      <c r="M119" s="70">
        <v>1345</v>
      </c>
      <c r="N119" s="70">
        <v>1345</v>
      </c>
      <c r="O119" s="70">
        <v>1345</v>
      </c>
      <c r="P119" s="7"/>
      <c r="Q119" s="70">
        <v>3</v>
      </c>
      <c r="R119" s="40">
        <v>0.5</v>
      </c>
      <c r="S119" s="40">
        <v>0.5</v>
      </c>
      <c r="T119" s="7"/>
      <c r="U119" s="75">
        <v>234</v>
      </c>
      <c r="V119" s="75">
        <v>234</v>
      </c>
      <c r="W119" s="75">
        <v>234</v>
      </c>
      <c r="X119" s="7"/>
      <c r="Y119" s="70">
        <f>+[3]Specials!$C$98/1000</f>
        <v>0</v>
      </c>
      <c r="Z119" s="70">
        <f>+[3]Specials!$C$98/1000</f>
        <v>0</v>
      </c>
      <c r="AA119" s="70">
        <f>+[3]Specials!$C$98/1000</f>
        <v>0</v>
      </c>
      <c r="AB119" s="7"/>
      <c r="AC119" s="101" t="s">
        <v>185</v>
      </c>
      <c r="AD119" s="101" t="s">
        <v>186</v>
      </c>
      <c r="AE119" s="101" t="s">
        <v>187</v>
      </c>
      <c r="AG119" s="109"/>
      <c r="AK119" s="109"/>
      <c r="AO119" s="109"/>
      <c r="AS119" s="109"/>
      <c r="AW119" s="109"/>
      <c r="BA119" s="109"/>
      <c r="BE119" s="109"/>
    </row>
    <row r="120" spans="1:57" ht="16.5" x14ac:dyDescent="0.25">
      <c r="A120" s="204"/>
      <c r="B120" s="9"/>
      <c r="C120" s="37" t="s">
        <v>29</v>
      </c>
      <c r="D120" s="7"/>
      <c r="E120" s="75" t="s">
        <v>179</v>
      </c>
      <c r="F120" s="75" t="s">
        <v>180</v>
      </c>
      <c r="G120" s="75" t="s">
        <v>181</v>
      </c>
      <c r="H120" s="7"/>
      <c r="I120" s="75" t="s">
        <v>182</v>
      </c>
      <c r="J120" s="75" t="s">
        <v>183</v>
      </c>
      <c r="K120" s="75" t="s">
        <v>184</v>
      </c>
      <c r="L120" s="7"/>
      <c r="M120" s="70">
        <v>1345</v>
      </c>
      <c r="N120" s="70">
        <v>1345</v>
      </c>
      <c r="O120" s="70">
        <v>1345</v>
      </c>
      <c r="P120" s="7"/>
      <c r="Q120" s="70">
        <v>3</v>
      </c>
      <c r="R120" s="40">
        <v>0.5</v>
      </c>
      <c r="S120" s="40">
        <v>0.5</v>
      </c>
      <c r="T120" s="7"/>
      <c r="U120" s="75">
        <v>234</v>
      </c>
      <c r="V120" s="75">
        <v>234</v>
      </c>
      <c r="W120" s="75">
        <v>234</v>
      </c>
      <c r="X120" s="7"/>
      <c r="Y120" s="70">
        <f>+[3]Specials!$C$98/1000</f>
        <v>0</v>
      </c>
      <c r="Z120" s="70">
        <f>+[3]Specials!$C$98/1000</f>
        <v>0</v>
      </c>
      <c r="AA120" s="70">
        <f>+[3]Specials!$C$98/1000</f>
        <v>0</v>
      </c>
      <c r="AB120" s="7"/>
      <c r="AC120" s="101" t="s">
        <v>185</v>
      </c>
      <c r="AD120" s="101" t="s">
        <v>186</v>
      </c>
      <c r="AE120" s="101" t="s">
        <v>187</v>
      </c>
      <c r="AG120" s="109"/>
      <c r="AK120" s="109"/>
      <c r="AO120" s="109"/>
      <c r="AS120" s="109"/>
      <c r="AW120" s="109"/>
      <c r="BA120" s="109"/>
      <c r="BE120" s="109"/>
    </row>
    <row r="121" spans="1:57" ht="16.5" x14ac:dyDescent="0.25">
      <c r="A121" s="204"/>
      <c r="B121" s="9"/>
      <c r="C121" s="37" t="s">
        <v>58</v>
      </c>
      <c r="D121" s="7"/>
      <c r="E121" s="75" t="s">
        <v>179</v>
      </c>
      <c r="F121" s="75" t="s">
        <v>180</v>
      </c>
      <c r="G121" s="75" t="s">
        <v>181</v>
      </c>
      <c r="H121" s="7"/>
      <c r="I121" s="75" t="s">
        <v>182</v>
      </c>
      <c r="J121" s="75" t="s">
        <v>183</v>
      </c>
      <c r="K121" s="75" t="s">
        <v>184</v>
      </c>
      <c r="L121" s="7"/>
      <c r="M121" s="70">
        <v>1345</v>
      </c>
      <c r="N121" s="70">
        <v>1345</v>
      </c>
      <c r="O121" s="70">
        <v>1345</v>
      </c>
      <c r="P121" s="7"/>
      <c r="Q121" s="70">
        <v>3</v>
      </c>
      <c r="R121" s="40">
        <v>0.5</v>
      </c>
      <c r="S121" s="40">
        <v>0.5</v>
      </c>
      <c r="T121" s="7"/>
      <c r="U121" s="75">
        <v>234</v>
      </c>
      <c r="V121" s="75">
        <v>234</v>
      </c>
      <c r="W121" s="75">
        <v>234</v>
      </c>
      <c r="X121" s="7"/>
      <c r="Y121" s="70">
        <f>+[3]Specials!$C$98/1000</f>
        <v>0</v>
      </c>
      <c r="Z121" s="70">
        <f>+[3]Specials!$C$98/1000</f>
        <v>0</v>
      </c>
      <c r="AA121" s="70">
        <f>+[3]Specials!$C$98/1000</f>
        <v>0</v>
      </c>
      <c r="AB121" s="7"/>
      <c r="AC121" s="101" t="s">
        <v>185</v>
      </c>
      <c r="AD121" s="101" t="s">
        <v>186</v>
      </c>
      <c r="AE121" s="101" t="s">
        <v>187</v>
      </c>
      <c r="AG121" s="109"/>
      <c r="AK121" s="109"/>
      <c r="AO121" s="109"/>
      <c r="AS121" s="109"/>
      <c r="AW121" s="109"/>
      <c r="BA121" s="109"/>
      <c r="BE121" s="109"/>
    </row>
    <row r="122" spans="1:57" ht="16.5" x14ac:dyDescent="0.25">
      <c r="A122" s="204"/>
      <c r="B122" s="9"/>
      <c r="C122" s="39" t="s">
        <v>59</v>
      </c>
      <c r="D122" s="8"/>
      <c r="E122" s="75" t="s">
        <v>179</v>
      </c>
      <c r="F122" s="75" t="s">
        <v>180</v>
      </c>
      <c r="G122" s="75" t="s">
        <v>181</v>
      </c>
      <c r="H122" s="8"/>
      <c r="I122" s="75" t="s">
        <v>182</v>
      </c>
      <c r="J122" s="75" t="s">
        <v>183</v>
      </c>
      <c r="K122" s="75" t="s">
        <v>184</v>
      </c>
      <c r="L122" s="8"/>
      <c r="M122" s="70">
        <v>1345</v>
      </c>
      <c r="N122" s="70">
        <v>1345</v>
      </c>
      <c r="O122" s="70">
        <v>1345</v>
      </c>
      <c r="P122" s="8"/>
      <c r="Q122" s="70">
        <v>3</v>
      </c>
      <c r="R122" s="40">
        <v>0.5</v>
      </c>
      <c r="S122" s="40">
        <v>0.5</v>
      </c>
      <c r="T122" s="8"/>
      <c r="U122" s="75">
        <v>234</v>
      </c>
      <c r="V122" s="75">
        <v>234</v>
      </c>
      <c r="W122" s="75">
        <v>234</v>
      </c>
      <c r="X122" s="8"/>
      <c r="Y122" s="70">
        <f>+[3]Specials!$C$98/1000</f>
        <v>0</v>
      </c>
      <c r="Z122" s="70">
        <f>+[3]Specials!$C$98/1000</f>
        <v>0</v>
      </c>
      <c r="AA122" s="70">
        <f>+[3]Specials!$C$98/1000</f>
        <v>0</v>
      </c>
      <c r="AB122" s="8"/>
      <c r="AC122" s="101" t="s">
        <v>185</v>
      </c>
      <c r="AD122" s="101" t="s">
        <v>186</v>
      </c>
      <c r="AE122" s="101" t="s">
        <v>187</v>
      </c>
      <c r="AG122" s="109"/>
      <c r="AK122" s="109"/>
      <c r="AO122" s="109"/>
      <c r="AS122" s="109"/>
      <c r="AW122" s="109"/>
      <c r="BA122" s="109"/>
      <c r="BE122" s="109"/>
    </row>
    <row r="123" spans="1:57" ht="16.5" x14ac:dyDescent="0.25">
      <c r="A123" s="204"/>
      <c r="B123" s="9"/>
      <c r="C123" s="39" t="s">
        <v>60</v>
      </c>
      <c r="D123" s="8"/>
      <c r="E123" s="75" t="s">
        <v>179</v>
      </c>
      <c r="F123" s="75" t="s">
        <v>180</v>
      </c>
      <c r="G123" s="75" t="s">
        <v>181</v>
      </c>
      <c r="H123" s="8"/>
      <c r="I123" s="75" t="s">
        <v>182</v>
      </c>
      <c r="J123" s="75" t="s">
        <v>183</v>
      </c>
      <c r="K123" s="75" t="s">
        <v>184</v>
      </c>
      <c r="L123" s="8"/>
      <c r="M123" s="70">
        <v>1345</v>
      </c>
      <c r="N123" s="70">
        <v>1345</v>
      </c>
      <c r="O123" s="70">
        <v>1345</v>
      </c>
      <c r="P123" s="8"/>
      <c r="Q123" s="70">
        <v>3</v>
      </c>
      <c r="R123" s="40">
        <v>0.5</v>
      </c>
      <c r="S123" s="40">
        <v>0.5</v>
      </c>
      <c r="T123" s="8"/>
      <c r="U123" s="75">
        <v>234</v>
      </c>
      <c r="V123" s="75">
        <v>234</v>
      </c>
      <c r="W123" s="75">
        <v>234</v>
      </c>
      <c r="X123" s="8"/>
      <c r="Y123" s="70">
        <f>+[3]Specials!$C$98/1000</f>
        <v>0</v>
      </c>
      <c r="Z123" s="70">
        <f>+[3]Specials!$C$98/1000</f>
        <v>0</v>
      </c>
      <c r="AA123" s="70">
        <f>+[3]Specials!$C$98/1000</f>
        <v>0</v>
      </c>
      <c r="AB123" s="8"/>
      <c r="AC123" s="101" t="s">
        <v>185</v>
      </c>
      <c r="AD123" s="101" t="s">
        <v>186</v>
      </c>
      <c r="AE123" s="101" t="s">
        <v>187</v>
      </c>
      <c r="AG123" s="109"/>
      <c r="AK123" s="109"/>
      <c r="AO123" s="109"/>
      <c r="AS123" s="109"/>
      <c r="AW123" s="109"/>
      <c r="BA123" s="109"/>
      <c r="BE123" s="109"/>
    </row>
    <row r="124" spans="1:57" ht="16.5" x14ac:dyDescent="0.25">
      <c r="A124" s="204"/>
      <c r="B124" s="9"/>
      <c r="C124" s="39" t="s">
        <v>61</v>
      </c>
      <c r="D124" s="8"/>
      <c r="E124" s="75" t="s">
        <v>179</v>
      </c>
      <c r="F124" s="75" t="s">
        <v>180</v>
      </c>
      <c r="G124" s="75" t="s">
        <v>181</v>
      </c>
      <c r="H124" s="8"/>
      <c r="I124" s="75" t="s">
        <v>182</v>
      </c>
      <c r="J124" s="75" t="s">
        <v>183</v>
      </c>
      <c r="K124" s="75" t="s">
        <v>184</v>
      </c>
      <c r="L124" s="8"/>
      <c r="M124" s="70">
        <v>1345</v>
      </c>
      <c r="N124" s="70">
        <v>1345</v>
      </c>
      <c r="O124" s="70">
        <v>1345</v>
      </c>
      <c r="P124" s="8"/>
      <c r="Q124" s="70">
        <v>3</v>
      </c>
      <c r="R124" s="40">
        <v>0.5</v>
      </c>
      <c r="S124" s="40">
        <v>0.5</v>
      </c>
      <c r="T124" s="8"/>
      <c r="U124" s="75">
        <v>234</v>
      </c>
      <c r="V124" s="75">
        <v>234</v>
      </c>
      <c r="W124" s="75">
        <v>234</v>
      </c>
      <c r="X124" s="8"/>
      <c r="Y124" s="70">
        <f>+[3]Specials!$C$98/1000</f>
        <v>0</v>
      </c>
      <c r="Z124" s="70">
        <f>+[3]Specials!$C$98/1000</f>
        <v>0</v>
      </c>
      <c r="AA124" s="70">
        <f>+[3]Specials!$C$98/1000</f>
        <v>0</v>
      </c>
      <c r="AB124" s="8"/>
      <c r="AC124" s="101" t="s">
        <v>185</v>
      </c>
      <c r="AD124" s="101" t="s">
        <v>186</v>
      </c>
      <c r="AE124" s="101" t="s">
        <v>187</v>
      </c>
      <c r="AG124" s="109"/>
      <c r="AK124" s="109"/>
      <c r="AO124" s="109"/>
      <c r="AS124" s="109"/>
      <c r="AW124" s="109"/>
      <c r="BA124" s="109"/>
      <c r="BE124" s="109"/>
    </row>
    <row r="125" spans="1:57" ht="16.5" x14ac:dyDescent="0.25">
      <c r="A125" s="204"/>
      <c r="B125" s="9"/>
      <c r="C125" s="37" t="s">
        <v>34</v>
      </c>
      <c r="D125" s="6"/>
      <c r="E125" s="75" t="s">
        <v>179</v>
      </c>
      <c r="F125" s="75" t="s">
        <v>180</v>
      </c>
      <c r="G125" s="75" t="s">
        <v>181</v>
      </c>
      <c r="H125" s="6"/>
      <c r="I125" s="75" t="s">
        <v>182</v>
      </c>
      <c r="J125" s="75" t="s">
        <v>183</v>
      </c>
      <c r="K125" s="75" t="s">
        <v>184</v>
      </c>
      <c r="L125" s="6"/>
      <c r="M125" s="70">
        <v>1345</v>
      </c>
      <c r="N125" s="70">
        <v>1345</v>
      </c>
      <c r="O125" s="70">
        <v>1345</v>
      </c>
      <c r="P125" s="6"/>
      <c r="Q125" s="70">
        <v>3</v>
      </c>
      <c r="R125" s="40">
        <v>0.5</v>
      </c>
      <c r="S125" s="40">
        <v>0.5</v>
      </c>
      <c r="T125" s="6"/>
      <c r="U125" s="75">
        <v>234</v>
      </c>
      <c r="V125" s="75">
        <v>234</v>
      </c>
      <c r="W125" s="75">
        <v>234</v>
      </c>
      <c r="X125" s="6"/>
      <c r="Y125" s="70">
        <f>+[3]Specials!$C$98/1000</f>
        <v>0</v>
      </c>
      <c r="Z125" s="70">
        <f>+[3]Specials!$C$98/1000</f>
        <v>0</v>
      </c>
      <c r="AA125" s="70">
        <f>+[3]Specials!$C$98/1000</f>
        <v>0</v>
      </c>
      <c r="AB125" s="6"/>
      <c r="AC125" s="101" t="s">
        <v>185</v>
      </c>
      <c r="AD125" s="101" t="s">
        <v>186</v>
      </c>
      <c r="AE125" s="101" t="s">
        <v>187</v>
      </c>
      <c r="AG125" s="108"/>
      <c r="AK125" s="108"/>
      <c r="AO125" s="108"/>
      <c r="AS125" s="108"/>
      <c r="AW125" s="108"/>
      <c r="BA125" s="108"/>
      <c r="BE125" s="108"/>
    </row>
    <row r="126" spans="1:57" x14ac:dyDescent="0.25">
      <c r="Q126" s="67">
        <f>(Q114+Q117-R114-R117)</f>
        <v>5</v>
      </c>
      <c r="R126">
        <f>Q126*Q111</f>
        <v>15</v>
      </c>
    </row>
    <row r="127" spans="1:57" ht="16.5" hidden="1" outlineLevel="1" collapsed="1" x14ac:dyDescent="0.25">
      <c r="A127" s="204" t="s">
        <v>64</v>
      </c>
      <c r="B127" s="9"/>
      <c r="C127" s="37" t="s">
        <v>19</v>
      </c>
      <c r="D127" s="6"/>
      <c r="E127" s="75">
        <f>+[3]Retail!$C$41/1000</f>
        <v>2.0205003500000003</v>
      </c>
      <c r="F127" s="40">
        <f>+[3]Retail!$C$42/1000</f>
        <v>2.1190549700000001</v>
      </c>
      <c r="G127" s="40">
        <f>+[3]Retail!$C$43/1000</f>
        <v>1.80089528337227</v>
      </c>
      <c r="H127" s="6"/>
      <c r="I127" s="75">
        <f>+[3]SME!$C$41/1000</f>
        <v>11.568439859999998</v>
      </c>
      <c r="J127" s="40">
        <f>+[3]SME!$C$42/1000</f>
        <v>11.922813720000001</v>
      </c>
      <c r="K127" s="40">
        <f>+[3]SME!$C$43/1000</f>
        <v>11.453023027310325</v>
      </c>
      <c r="L127" s="6"/>
      <c r="M127" s="70">
        <f>+[3]MidCorp!$C$41/1000</f>
        <v>43.196668170000002</v>
      </c>
      <c r="N127" s="40">
        <f>+[3]MidCorp!$C$42/1000</f>
        <v>43.184557829999989</v>
      </c>
      <c r="O127" s="40">
        <f>+[3]MidCorp!$C$43/1000</f>
        <v>45.109579333571133</v>
      </c>
      <c r="P127" s="6"/>
      <c r="Q127" s="70">
        <f>+[3]MGA!$C$41/1000</f>
        <v>1.06793541</v>
      </c>
      <c r="R127" s="40">
        <f>+[3]MGA!$C$42/1000</f>
        <v>0.72135705999999999</v>
      </c>
      <c r="S127" s="40">
        <f>+[3]MGA!$C$43/1000</f>
        <v>1.17015</v>
      </c>
      <c r="T127" s="6"/>
      <c r="U127" s="75">
        <f>+[3]Bancassurance!$C$41/1000</f>
        <v>0.56855008000000107</v>
      </c>
      <c r="V127" s="40">
        <f>+[3]Bancassurance!$C$42/1000</f>
        <v>0.22720669999999982</v>
      </c>
      <c r="W127" s="40">
        <f>+[3]Bancassurance!$C$43/1000</f>
        <v>0.46499000000000001</v>
      </c>
      <c r="X127" s="6"/>
      <c r="Y127" s="70">
        <f>+[3]Specials!$C$41/1000</f>
        <v>0</v>
      </c>
      <c r="Z127" s="40">
        <f>+[3]Specials!$C$42/1000</f>
        <v>0</v>
      </c>
      <c r="AA127" s="40">
        <f>+[3]Specials!$C$43/1000</f>
        <v>0</v>
      </c>
      <c r="AB127" s="6"/>
      <c r="AC127" s="82">
        <f>+'[3]Total P&amp;C'!$C$41/1000</f>
        <v>58.422093870000005</v>
      </c>
      <c r="AD127" s="58">
        <f>+'[3]Total P&amp;C'!$C$42/1000</f>
        <v>58.174990279999996</v>
      </c>
      <c r="AE127" s="58">
        <f>+'[3]Total P&amp;C'!$C$43/1000</f>
        <v>59.998637644253726</v>
      </c>
      <c r="AG127" s="108"/>
      <c r="AK127" s="108"/>
      <c r="AO127" s="108"/>
      <c r="AS127" s="108"/>
      <c r="AW127" s="108"/>
      <c r="BA127" s="108"/>
      <c r="BE127" s="108"/>
    </row>
    <row r="128" spans="1:57" ht="16.5" hidden="1" outlineLevel="1" x14ac:dyDescent="0.25">
      <c r="A128" s="204"/>
      <c r="B128" s="9"/>
      <c r="C128" s="37" t="s">
        <v>55</v>
      </c>
      <c r="D128" s="6"/>
      <c r="E128" s="75">
        <f>+[3]Retail!$N$41/1000</f>
        <v>2.0103461300000003</v>
      </c>
      <c r="F128" s="40">
        <f>+[3]Retail!$N$42/1000</f>
        <v>2.0985460600000003</v>
      </c>
      <c r="G128" s="40">
        <f>+[3]Retail!$N$43/1000</f>
        <v>1.7948952092239718</v>
      </c>
      <c r="H128" s="6"/>
      <c r="I128" s="75">
        <f>+[3]SME!$N$41/1000</f>
        <v>5.9451693300000006</v>
      </c>
      <c r="J128" s="40">
        <f>+[3]SME!$N$42/1000</f>
        <v>6.2807755000000007</v>
      </c>
      <c r="K128" s="40">
        <f>+[3]SME!$N$43/1000</f>
        <v>5.752333359134898</v>
      </c>
      <c r="L128" s="6"/>
      <c r="M128" s="70">
        <f>+[3]MidCorp!$N$41/1000</f>
        <v>16.334504120000005</v>
      </c>
      <c r="N128" s="40">
        <f>+[3]MidCorp!$N$42/1000</f>
        <v>16.868902739999989</v>
      </c>
      <c r="O128" s="40">
        <f>+[3]MidCorp!$N$43/1000</f>
        <v>17.695976721155088</v>
      </c>
      <c r="P128" s="6"/>
      <c r="Q128" s="70">
        <f>+[3]MGA!$N$41/1000</f>
        <v>0.72203911999999981</v>
      </c>
      <c r="R128" s="40">
        <f>+[3]MGA!$N$42/1000</f>
        <v>0.56484365999999964</v>
      </c>
      <c r="S128" s="40">
        <f>+[3]MGA!$N$43/1000</f>
        <v>1.095</v>
      </c>
      <c r="T128" s="6"/>
      <c r="U128" s="70">
        <f>+[3]Bancassurance!$N$41/1000</f>
        <v>0.3839864199999995</v>
      </c>
      <c r="V128" s="40">
        <f>+[3]Bancassurance!$N$42/1000</f>
        <v>0.15421565999999981</v>
      </c>
      <c r="W128" s="40">
        <f>+[3]Bancassurance!$N$43/1000</f>
        <v>0.52588297610942858</v>
      </c>
      <c r="X128" s="6"/>
      <c r="Y128" s="70">
        <f>+[3]Specials!$N$41/1000</f>
        <v>0</v>
      </c>
      <c r="Z128" s="40">
        <f>+[3]Specials!$N$42/1000</f>
        <v>0</v>
      </c>
      <c r="AA128" s="40">
        <f>+[3]Specials!$N$43/1000</f>
        <v>0</v>
      </c>
      <c r="AB128" s="6"/>
      <c r="AC128" s="82">
        <f>+'[3]Total P&amp;C'!$N$41/1000</f>
        <v>25.396045120000011</v>
      </c>
      <c r="AD128" s="58">
        <f>+'[3]Total P&amp;C'!$N$42/1000</f>
        <v>25.967283619999986</v>
      </c>
      <c r="AE128" s="58">
        <f>+'[3]Total P&amp;C'!$N$43/1000</f>
        <v>26.864088265623383</v>
      </c>
      <c r="AG128" s="108"/>
      <c r="AK128" s="108"/>
      <c r="AO128" s="108"/>
      <c r="AS128" s="108"/>
      <c r="AW128" s="108"/>
      <c r="BA128" s="108"/>
      <c r="BE128" s="108"/>
    </row>
    <row r="129" spans="1:57" ht="16.5" hidden="1" outlineLevel="1" x14ac:dyDescent="0.25">
      <c r="A129" s="204"/>
      <c r="B129" s="9"/>
      <c r="C129" s="37" t="s">
        <v>21</v>
      </c>
      <c r="D129" s="6"/>
      <c r="E129" s="72">
        <f>+E130+E135+E136+E137+E138</f>
        <v>1.5915906232525234</v>
      </c>
      <c r="F129" s="41">
        <f>+F130+F135+F136+F137+F138</f>
        <v>1.8794443901793598</v>
      </c>
      <c r="G129" s="41">
        <f>+G130+G135+G136+G137+G138</f>
        <v>1.007007848138735</v>
      </c>
      <c r="H129" s="6"/>
      <c r="I129" s="72">
        <f>+I130+I135+I136+I137+I138</f>
        <v>1.1386927258470529</v>
      </c>
      <c r="J129" s="41">
        <f>+J130+J135+J136+J137+J138</f>
        <v>0.84704524942819481</v>
      </c>
      <c r="K129" s="41">
        <f>+K130+K135+K136+K137+K138</f>
        <v>0.92807152313994545</v>
      </c>
      <c r="L129" s="6"/>
      <c r="M129" s="71">
        <f>+M130+M135+M136+M137+M138</f>
        <v>0.81073042760969938</v>
      </c>
      <c r="N129" s="41">
        <f>+N130+N135+N136+N137+N138</f>
        <v>1.0781042590799839</v>
      </c>
      <c r="O129" s="41">
        <f>+O130+O135+O136+O137+O138</f>
        <v>0.91189194750158309</v>
      </c>
      <c r="P129" s="6"/>
      <c r="Q129" s="71">
        <f>+Q130+Q135+Q136+Q137+Q138</f>
        <v>2.5145867442749603E-3</v>
      </c>
      <c r="R129" s="41">
        <f>+R130+R135+R136+R137+R138</f>
        <v>-0.32224350362718063</v>
      </c>
      <c r="S129" s="41">
        <f>+S130+S135+S136+S137+S138</f>
        <v>0.96825496643143039</v>
      </c>
      <c r="T129" s="6"/>
      <c r="U129" s="71">
        <f>+U130+U135+U136+U137+U138</f>
        <v>0.29495037871391405</v>
      </c>
      <c r="V129" s="41">
        <f>+V130+V135+V136+V137+V138</f>
        <v>1.0668273247995712</v>
      </c>
      <c r="W129" s="41">
        <f>+W130+W135+W136+W137+W138</f>
        <v>0.82441390991400509</v>
      </c>
      <c r="X129" s="6"/>
      <c r="Y129" s="96">
        <f>+Y130+Y135+Y136+Y137+Y138</f>
        <v>0</v>
      </c>
      <c r="Z129" s="41">
        <f>+Z130+Z135+Z136+Z137+Z138</f>
        <v>0</v>
      </c>
      <c r="AA129" s="41">
        <f>+AA130+AA135+AA136+AA137+AA138</f>
        <v>0</v>
      </c>
      <c r="AB129" s="6"/>
      <c r="AC129" s="86">
        <f>+AC130+AC135+AC136+AC137+AC138</f>
        <v>0.91893745147039585</v>
      </c>
      <c r="AD129" s="59">
        <f>+AD130+AD135+AD136+AD137+AD138</f>
        <v>1.0561047813594919</v>
      </c>
      <c r="AE129" s="59">
        <f>+AE130+AE135+AE136+AE137+AE138</f>
        <v>0.92229645776337121</v>
      </c>
      <c r="AG129" s="109"/>
      <c r="AK129" s="109"/>
      <c r="AO129" s="109"/>
      <c r="AS129" s="109"/>
      <c r="AW129" s="109"/>
      <c r="BA129" s="109"/>
      <c r="BE129" s="109"/>
    </row>
    <row r="130" spans="1:57" ht="16.5" hidden="1" outlineLevel="1" x14ac:dyDescent="0.25">
      <c r="A130" s="204"/>
      <c r="B130" s="9"/>
      <c r="C130" s="37" t="s">
        <v>56</v>
      </c>
      <c r="D130" s="6"/>
      <c r="E130" s="71">
        <f>+E131+E132+E133+E134</f>
        <v>0.42754289779939531</v>
      </c>
      <c r="F130" s="41">
        <f>+F131+F132+F133+F134</f>
        <v>0.77181604010159277</v>
      </c>
      <c r="G130" s="41">
        <f>+G131+G132+G133+G134</f>
        <v>0.48893734710209152</v>
      </c>
      <c r="H130" s="6"/>
      <c r="I130" s="71">
        <f>+I131+I132+I133+I134</f>
        <v>0.47881121831730894</v>
      </c>
      <c r="J130" s="41">
        <f>+J131+J132+J133+J134</f>
        <v>0.50184608572619727</v>
      </c>
      <c r="K130" s="41">
        <f>+K131+K132+K133+K134</f>
        <v>0.50789207724382901</v>
      </c>
      <c r="L130" s="6"/>
      <c r="M130" s="72">
        <f>+M131+M132+M133+M134</f>
        <v>0.65459124326328166</v>
      </c>
      <c r="N130" s="41">
        <f>+N131+N132+N133+N134</f>
        <v>0.67752724561621414</v>
      </c>
      <c r="O130" s="41">
        <f>+O131+O132+O133+O134</f>
        <v>0.63955941118730064</v>
      </c>
      <c r="P130" s="6"/>
      <c r="Q130" s="72">
        <f>+Q131+Q132+Q133+Q134</f>
        <v>0.7018995868257113</v>
      </c>
      <c r="R130" s="41">
        <f>+R131+R132+R133+R134</f>
        <v>0.56811782219526064</v>
      </c>
      <c r="S130" s="41">
        <f>+S131+S132+S133+S134</f>
        <v>0.57424867123609413</v>
      </c>
      <c r="T130" s="6"/>
      <c r="U130" s="72">
        <f>+U131+U132+U133+U134</f>
        <v>0.57086623011303439</v>
      </c>
      <c r="V130" s="41">
        <f>+V131+V132+V133+V134</f>
        <v>0.28206597176966369</v>
      </c>
      <c r="W130" s="41">
        <f>+W131+W132+W133+W134</f>
        <v>0.47703279987202263</v>
      </c>
      <c r="X130" s="6"/>
      <c r="Y130" s="96">
        <f>+Y131+Y132+Y133+Y134</f>
        <v>0</v>
      </c>
      <c r="Z130" s="41">
        <f>+Z131+Z132+Z133+Z134</f>
        <v>0</v>
      </c>
      <c r="AA130" s="41">
        <f>+AA131+AA132+AA133+AA134</f>
        <v>0</v>
      </c>
      <c r="AB130" s="6"/>
      <c r="AC130" s="100">
        <f>+AC131+AC132+AC133+AC134</f>
        <v>0.59554746058035013</v>
      </c>
      <c r="AD130" s="59">
        <f>+AD131+AD132+AD133+AD134</f>
        <v>0.63867427616597228</v>
      </c>
      <c r="AE130" s="59">
        <f>+AE131+AE132+AE133+AE134</f>
        <v>0.59545851168275932</v>
      </c>
      <c r="AG130" s="109"/>
      <c r="AK130" s="109"/>
      <c r="AO130" s="109"/>
      <c r="AS130" s="109"/>
      <c r="AW130" s="109"/>
      <c r="BA130" s="109"/>
      <c r="BE130" s="109"/>
    </row>
    <row r="131" spans="1:57" ht="16.5" hidden="1" outlineLevel="1" x14ac:dyDescent="0.25">
      <c r="A131" s="204"/>
      <c r="B131" s="9"/>
      <c r="C131" s="38" t="s">
        <v>23</v>
      </c>
      <c r="D131" s="6"/>
      <c r="E131" s="74">
        <f>-SUM([3]Retail!$O$41,[3]Retail!$R$41:$V$41,[3]Retail!$Y$41,[3]Retail!$AB$41,[3]Retail!$AU$41,[3]Retail!$AX$41,[3]Retail!$BA$41,[3]Retail!$BD$41)/1000/E128</f>
        <v>0.36698878979885052</v>
      </c>
      <c r="F131" s="42">
        <f>-SUM([3]Retail!$O$42,[3]Retail!$R$42:$V$42,[3]Retail!$Y$42,[3]Retail!$AB$42,[3]Retail!$AU$42,[3]Retail!$AX$42,[3]Retail!$BA$42,[3]Retail!$BD$42)/1000/F128</f>
        <v>0.69686586345947943</v>
      </c>
      <c r="G131" s="42">
        <f>-SUM([3]Retail!$O$43,[3]Retail!$R$43:$V$43,[3]Retail!$Y$43,[3]Retail!$AB$43,[3]Retail!$AU$43,[3]Retail!$AX$43,[3]Retail!$BA$43,[3]Retail!$BD$43)/1000/G128</f>
        <v>0.40582156895500809</v>
      </c>
      <c r="H131" s="6"/>
      <c r="I131" s="74">
        <f>-SUM([3]SME!$O$41,[3]SME!$R$41:$V$41,[3]SME!$Y$41,[3]SME!$AB$41,[3]SME!$AU$41,[3]SME!$AX$41,[3]SME!$BA$41,[3]SME!$BD$41)/1000/I128</f>
        <v>0.36517512335501684</v>
      </c>
      <c r="J131" s="42">
        <f>-SUM([3]SME!$O$42,[3]SME!$R$42:$V$42,[3]SME!$Y$42,[3]SME!$AB$42,[3]SME!$AU$42,[3]SME!$AX$42,[3]SME!$BA$42,[3]SME!$BD$42)/1000/J128</f>
        <v>0.40029389341696647</v>
      </c>
      <c r="K131" s="42">
        <f>-SUM([3]SME!$O$43,[3]SME!$R$43:$V$43,[3]SME!$Y$43,[3]SME!$AB$43,[3]SME!$AU$43,[3]SME!$AX$43,[3]SME!$BA$43,[3]SME!$BD$43)/1000/K128</f>
        <v>0.38149449905779181</v>
      </c>
      <c r="L131" s="6"/>
      <c r="M131" s="74">
        <f>-SUM([3]MidCorp!$O$41,[3]MidCorp!$R$41:$V$41,[3]MidCorp!$Y$41,[3]MidCorp!$AB$41,[3]MidCorp!$AU$41,[3]MidCorp!$AX$41,[3]MidCorp!$BA$41,[3]MidCorp!$BD$41)/1000/M128</f>
        <v>0.47477165300755991</v>
      </c>
      <c r="N131" s="42">
        <f>-SUM([3]MidCorp!$O$42,[3]MidCorp!$R$42:$V$42,[3]MidCorp!$Y$42,[3]MidCorp!$AB$42,[3]MidCorp!$AU$42,[3]MidCorp!$AX$42,[3]MidCorp!$BA$42,[3]MidCorp!$BD$42)/1000/N128</f>
        <v>0.514484431329573</v>
      </c>
      <c r="O131" s="42">
        <f>-SUM([3]MidCorp!$O$43,[3]MidCorp!$R$43:$V$43,[3]MidCorp!$Y$43,[3]MidCorp!$AB$43,[3]MidCorp!$AU$43,[3]MidCorp!$AX$43,[3]MidCorp!$BA$43,[3]MidCorp!$BD$43)/1000/O128</f>
        <v>0.48169859884162769</v>
      </c>
      <c r="P131" s="6"/>
      <c r="Q131" s="73">
        <f>-SUM([3]MGA!$O$41,[3]MGA!$R$41:$V$41,[3]MGA!$Y$41,[3]MGA!$AB$41,[3]MGA!$AU$41,[3]MGA!$AX$41,[3]MGA!$BA$41,[3]MGA!$BD$41)/1000/Q128</f>
        <v>0.65700570351368237</v>
      </c>
      <c r="R131" s="42">
        <f>-SUM([3]MGA!$O$42,[3]MGA!$R$42:$V$42,[3]MGA!$Y$42,[3]MGA!$AB$42,[3]MGA!$AU$42,[3]MGA!$AX$42,[3]MGA!$BA$42,[3]MGA!$BD$42)/1000/R128</f>
        <v>0.50386506949551357</v>
      </c>
      <c r="S131" s="42">
        <f>-SUM([3]MGA!$O$43,[3]MGA!$R$43:$V$43,[3]MGA!$Y$43,[3]MGA!$AB$43,[3]MGA!$AU$43,[3]MGA!$AX$43,[3]MGA!$BA$43,[3]MGA!$BD$43)/1000/S128</f>
        <v>0.46588707146509639</v>
      </c>
      <c r="T131" s="6"/>
      <c r="U131" s="73">
        <f>-SUM([3]Bancassurance!$O$41,[3]Bancassurance!$R$41:$V$41,[3]Bancassurance!$Y$41,[3]Bancassurance!$AB$41,[3]Bancassurance!$AU$41,[3]Bancassurance!$AX$41,[3]Bancassurance!$BA$41,[3]Bancassurance!$BD$41)/1000/U128</f>
        <v>0.53740153102289467</v>
      </c>
      <c r="V131" s="42">
        <f>IFERROR(-SUM([3]Bancassurance!$O$42,[3]Bancassurance!$R$42:$V$42,[3]Bancassurance!$Y$42,[3]Bancassurance!$AB$42,[3]Bancassurance!$AU$42,[3]Bancassurance!$AX$42,[3]Bancassurance!$BA$42,[3]Bancassurance!$BD$42)/1000/V128,0)</f>
        <v>8.1693843543515707E-2</v>
      </c>
      <c r="W131" s="42">
        <f>-SUM([3]Bancassurance!$O$43,[3]Bancassurance!$R$43:$V$43,[3]Bancassurance!$Y$43,[3]Bancassurance!$AB$43,[3]Bancassurance!$AU$43,[3]Bancassurance!$AX$43,[3]Bancassurance!$BA$43,[3]Bancassurance!$BD$43)/1000/W128</f>
        <v>0.37676724895865793</v>
      </c>
      <c r="X131" s="6"/>
      <c r="Y131" s="97">
        <f>IFERROR(-SUM([3]Specials!$O$41,[3]Specials!$R$41:$V$41,[3]Specials!$Y$41,[3]Specials!$AB$41,[3]Specials!$AU$41,[3]Specials!$AX$41,[3]Specials!$BA$41,[3]Specials!$BD$41)/1000/Y128,0)</f>
        <v>0</v>
      </c>
      <c r="Z131" s="42">
        <f>IFERROR(-SUM([3]Specials!$O$42,[3]Specials!$R$42:$V$42,[3]Specials!$Y$42,[3]Specials!$AB$42,[3]Specials!$AU$42,[3]Specials!$AX$42,[3]Specials!$BA$42,[3]Specials!$BD$42)/1000/Z128,0)</f>
        <v>0</v>
      </c>
      <c r="AA131" s="42">
        <f>IFERROR(-SUM([3]Specials!$O$43,[3]Specials!$R$43:$V$43,[3]Specials!$Y$43,[3]Specials!$AB$43,[3]Specials!$AU$43,[3]Specials!$AX$43,[3]Specials!$BA$43,[3]Specials!$BD$43)/1000/AA128,0)</f>
        <v>0</v>
      </c>
      <c r="AB131" s="6"/>
      <c r="AC131" s="85">
        <f>-SUM('[3]Total P&amp;C'!$O$41,'[3]Total P&amp;C'!$R$41:$V$41,'[3]Total P&amp;C'!$Y$41,'[3]Total P&amp;C'!$AB$41,'[3]Total P&amp;C'!$AU$41,'[3]Total P&amp;C'!$AX$41,'[3]Total P&amp;C'!$BA$41,'[3]Total P&amp;C'!$BD$41)/1000/AC128</f>
        <v>0.44671131332774666</v>
      </c>
      <c r="AD131" s="60">
        <f>-SUM('[3]Total P&amp;C'!$O$42,'[3]Total P&amp;C'!$R$42:$V$42,'[3]Total P&amp;C'!$Y$42,'[3]Total P&amp;C'!$AB$42,'[3]Total P&amp;C'!$AU$42,'[3]Total P&amp;C'!$AX$42,'[3]Total P&amp;C'!$BA$42,'[3]Total P&amp;C'!$BD$42)/1000/AD128</f>
        <v>0.49955076872330401</v>
      </c>
      <c r="AE131" s="60">
        <f>-SUM('[3]Total P&amp;C'!$O$43,'[3]Total P&amp;C'!$R$43:$V$43,'[3]Total P&amp;C'!$Y$43,'[3]Total P&amp;C'!$AB$43,'[3]Total P&amp;C'!$AU$43,'[3]Total P&amp;C'!$AX$43,'[3]Total P&amp;C'!$BA$43,'[3]Total P&amp;C'!$BD$43)/1000/AE128</f>
        <v>0.45247393546870912</v>
      </c>
      <c r="AG131" s="109"/>
      <c r="AK131" s="109"/>
      <c r="AO131" s="109"/>
      <c r="AS131" s="109"/>
      <c r="AW131" s="109"/>
      <c r="BA131" s="109"/>
      <c r="BE131" s="109"/>
    </row>
    <row r="132" spans="1:57" ht="16.5" hidden="1" outlineLevel="1" x14ac:dyDescent="0.25">
      <c r="A132" s="204"/>
      <c r="B132" s="9"/>
      <c r="C132" s="38" t="s">
        <v>24</v>
      </c>
      <c r="D132" s="7"/>
      <c r="E132" s="97">
        <f>-([3]Retail!$P$41+[3]Retail!$W$41+[3]Retail!$AV$41+[3]Retail!$AY$41)/1000/E128</f>
        <v>6.8346439426329026E-4</v>
      </c>
      <c r="F132" s="42">
        <f>-([3]Retail!$P$42+[3]Retail!$W$42+[3]Retail!$AV$42+[3]Retail!$AY$42)/1000/F128</f>
        <v>0</v>
      </c>
      <c r="G132" s="42">
        <f>-([3]Retail!$P$43+[3]Retail!$W$43+[3]Retail!$AV$43+[3]Retail!$AY$43)/1000/G128</f>
        <v>0</v>
      </c>
      <c r="H132" s="7"/>
      <c r="I132" s="97">
        <f>-([3]SME!$P$41+[3]SME!$W$41+[3]SME!$AV$41+[3]SME!$AY$41)/1000/I128</f>
        <v>1.1241227337758602E-4</v>
      </c>
      <c r="J132" s="42">
        <f>-([3]SME!$P$42+[3]SME!$W$42+[3]SME!$AV$42+[3]SME!$AY$42)/1000/J128</f>
        <v>0</v>
      </c>
      <c r="K132" s="42">
        <f>-([3]SME!$P$43+[3]SME!$W$43+[3]SME!$AV$43+[3]SME!$AY$43)/1000/K128</f>
        <v>0</v>
      </c>
      <c r="L132" s="7"/>
      <c r="M132" s="97">
        <f>-([3]MidCorp!$P$41+[3]MidCorp!$W$41+[3]MidCorp!$AV$41+[3]MidCorp!$AY$41)/1000/M128</f>
        <v>0</v>
      </c>
      <c r="N132" s="42">
        <f>-([3]MidCorp!$P$42+[3]MidCorp!$W$42+[3]MidCorp!$AV$42+[3]MidCorp!$AY$42)/1000/N128</f>
        <v>0</v>
      </c>
      <c r="O132" s="42">
        <f>-([3]MidCorp!$P$43+[3]MidCorp!$W$43+[3]MidCorp!$AV$43+[3]MidCorp!$AY$43)/1000/O128</f>
        <v>0</v>
      </c>
      <c r="P132" s="7"/>
      <c r="Q132" s="97">
        <f>-([3]MGA!$P$41+[3]MGA!$W$41+[3]MGA!$AV$41+[3]MGA!$AY$41)/1000/Q128</f>
        <v>0</v>
      </c>
      <c r="R132" s="42">
        <f>-([3]MGA!$P$42+[3]MGA!$W$42+[3]MGA!$AV$42+[3]MGA!$AY$42)/1000/R128</f>
        <v>0</v>
      </c>
      <c r="S132" s="42">
        <f>-([3]MGA!$P$43+[3]MGA!$W$43+[3]MGA!$AV$43+[3]MGA!$AY$43)/1000/S128</f>
        <v>0</v>
      </c>
      <c r="T132" s="7"/>
      <c r="U132" s="97">
        <f>-([3]Bancassurance!$P$41+[3]Bancassurance!$W$41+[3]Bancassurance!$AV$41+[3]Bancassurance!$AY$41)/1000/U128</f>
        <v>0</v>
      </c>
      <c r="V132" s="42">
        <f>IFERROR(-([3]Bancassurance!$P$42+[3]Bancassurance!$W$42+[3]Bancassurance!$AV$42+[3]Bancassurance!$AY$42)/1000/V128,0)</f>
        <v>0</v>
      </c>
      <c r="W132" s="42">
        <f>-([3]Bancassurance!$P$43+[3]Bancassurance!$W$43+[3]Bancassurance!$AV$43+[3]Bancassurance!$AY$43)/1000/W128</f>
        <v>0</v>
      </c>
      <c r="X132" s="7"/>
      <c r="Y132" s="97">
        <f>IFERROR(-([3]Specials!$P$41+[3]Specials!$W$41+[3]Specials!$AV$41+[3]Specials!$AY$41)/1000/Y128,0)</f>
        <v>0</v>
      </c>
      <c r="Z132" s="42">
        <f>IFERROR(-([3]Specials!$P$42+[3]Specials!$W$42+[3]Specials!$AV$42+[3]Specials!$AY$42)/1000/Z128,0)</f>
        <v>0</v>
      </c>
      <c r="AA132" s="42">
        <f>IFERROR(-([3]Specials!$P$43+[3]Specials!$W$43+[3]Specials!$AV$43+[3]Specials!$AY$43)/1000/AA128,0)</f>
        <v>0</v>
      </c>
      <c r="AB132" s="7"/>
      <c r="AC132" s="99">
        <f>-('[3]Total P&amp;C'!$P$41+'[3]Total P&amp;C'!$W$41+'[3]Total P&amp;C'!$AV$41+'[3]Total P&amp;C'!$AY$41)/1000/AC128</f>
        <v>8.0418426977499366E-5</v>
      </c>
      <c r="AD132" s="60">
        <f>-('[3]Total P&amp;C'!$P$42+'[3]Total P&amp;C'!$W$42+'[3]Total P&amp;C'!$AV$42+'[3]Total P&amp;C'!$AY$42)/1000/AD128</f>
        <v>0</v>
      </c>
      <c r="AE132" s="60">
        <f>-('[3]Total P&amp;C'!$P$43+'[3]Total P&amp;C'!$W$43+'[3]Total P&amp;C'!$AV$43+'[3]Total P&amp;C'!$AY$43)/1000/AE128</f>
        <v>0</v>
      </c>
      <c r="AG132" s="109"/>
      <c r="AK132" s="109"/>
      <c r="AO132" s="109"/>
      <c r="AS132" s="109"/>
      <c r="AW132" s="109"/>
      <c r="BA132" s="109"/>
      <c r="BE132" s="109"/>
    </row>
    <row r="133" spans="1:57" ht="16.5" hidden="1" outlineLevel="1" x14ac:dyDescent="0.25">
      <c r="A133" s="204"/>
      <c r="B133" s="9"/>
      <c r="C133" s="38" t="s">
        <v>25</v>
      </c>
      <c r="D133" s="7"/>
      <c r="E133" s="74">
        <f>-([3]Retail!$Q$41+[3]Retail!$X$41+[3]Retail!$AW$41+[3]Retail!$AZ$41)/1000/E128</f>
        <v>3.7378193512625238E-2</v>
      </c>
      <c r="F133" s="42">
        <f>-([3]Retail!$Q$42+[3]Retail!$X$42+[3]Retail!$AW$42+[3]Retail!$AZ$42)/1000/F128</f>
        <v>3.2109577756235283E-2</v>
      </c>
      <c r="G133" s="42">
        <f>-([3]Retail!$Q$43+[3]Retail!$X$43+[3]Retail!$AW$43+[3]Retail!$AZ$43)/1000/G128</f>
        <v>4.5960269637703229E-2</v>
      </c>
      <c r="H133" s="7"/>
      <c r="I133" s="74">
        <f>-([3]SME!$Q$41+[3]SME!$X$41+[3]SME!$AW$41+[3]SME!$AZ$41)/1000/I128</f>
        <v>8.4162887342148496E-2</v>
      </c>
      <c r="J133" s="42">
        <f>-([3]SME!$Q$42+[3]SME!$X$42+[3]SME!$AW$42+[3]SME!$AZ$42)/1000/J128</f>
        <v>6.4713564658871348E-2</v>
      </c>
      <c r="K133" s="42">
        <f>-([3]SME!$Q$43+[3]SME!$X$43+[3]SME!$AW$43+[3]SME!$AZ$43)/1000/K128</f>
        <v>9.122306571863438E-2</v>
      </c>
      <c r="L133" s="7"/>
      <c r="M133" s="73">
        <f>-([3]MidCorp!$Q$41+[3]MidCorp!$X$41+[3]MidCorp!$AW$41+[3]MidCorp!$AZ$41)/1000/M128</f>
        <v>0.13692345426944003</v>
      </c>
      <c r="N133" s="42">
        <f>-([3]MidCorp!$Q$42+[3]MidCorp!$X$42+[3]MidCorp!$AW$42+[3]MidCorp!$AZ$42)/1000/N128</f>
        <v>0.11573532414931872</v>
      </c>
      <c r="O133" s="42">
        <f>-([3]MidCorp!$Q$43+[3]MidCorp!$X$43+[3]MidCorp!$AW$43+[3]MidCorp!$AZ$43)/1000/O128</f>
        <v>0.10998200201759459</v>
      </c>
      <c r="P133" s="7"/>
      <c r="Q133" s="74">
        <f>-([3]MGA!$Q$41+[3]MGA!$X$41+[3]MGA!$AW$41+[3]MGA!$AZ$41)/1000/Q128</f>
        <v>0</v>
      </c>
      <c r="R133" s="42">
        <f>-([3]MGA!$Q$42+[3]MGA!$X$42+[3]MGA!$AW$42+[3]MGA!$AZ$42)/1000/R128</f>
        <v>0</v>
      </c>
      <c r="S133" s="42">
        <f>-([3]MGA!$Q$43+[3]MGA!$X$43+[3]MGA!$AW$43+[3]MGA!$AZ$43)/1000/S128</f>
        <v>5.8327588600748395E-2</v>
      </c>
      <c r="T133" s="7"/>
      <c r="U133" s="74">
        <f>-([3]Bancassurance!$Q$41+[3]Bancassurance!$X$41+[3]Bancassurance!$AW$41+[3]Bancassurance!$AZ$41)/1000/U128</f>
        <v>0</v>
      </c>
      <c r="V133" s="42">
        <f>IFERROR(-([3]Bancassurance!$Q$42+[3]Bancassurance!$X$42+[3]Bancassurance!$AW$42+[3]Bancassurance!$AZ$42)/1000/V128,0)</f>
        <v>0</v>
      </c>
      <c r="W133" s="42">
        <f>-([3]Bancassurance!$Q$43+[3]Bancassurance!$X$43+[3]Bancassurance!$AW$43+[3]Bancassurance!$AZ$43)/1000/W128</f>
        <v>6.450679514812982E-2</v>
      </c>
      <c r="X133" s="7"/>
      <c r="Y133" s="97">
        <f>IFERROR(-([3]Specials!$Q$41+[3]Specials!$X$41+[3]Specials!$AW$41+[3]Specials!$AZ$41)/1000/Y128,0)</f>
        <v>0</v>
      </c>
      <c r="Z133" s="42">
        <f>IFERROR(-([3]Specials!$Q$42+[3]Specials!$X$42+[3]Specials!$AW$42+[3]Specials!$AZ$42)/1000/Z128,0)</f>
        <v>0</v>
      </c>
      <c r="AA133" s="42">
        <f>IFERROR(-([3]Specials!$Q$43+[3]Specials!$X$43+[3]Specials!$AW$43+[3]Specials!$AZ$43)/1000/AA128,0)</f>
        <v>0</v>
      </c>
      <c r="AB133" s="7"/>
      <c r="AC133" s="84">
        <f>-('[3]Total P&amp;C'!$Q$41+'[3]Total P&amp;C'!$X$41+'[3]Total P&amp;C'!$AW$41+'[3]Total P&amp;C'!$AZ$41)/1000/AC128</f>
        <v>0.11072914848853768</v>
      </c>
      <c r="AD133" s="60">
        <f>-('[3]Total P&amp;C'!$Q$42+'[3]Total P&amp;C'!$X$42+'[3]Total P&amp;C'!$AW$42+'[3]Total P&amp;C'!$AZ$42)/1000/AD128</f>
        <v>9.3431517962252963E-2</v>
      </c>
      <c r="AE133" s="60">
        <f>-('[3]Total P&amp;C'!$Q$43+'[3]Total P&amp;C'!$X$43+'[3]Total P&amp;C'!$AW$43+'[3]Total P&amp;C'!$AZ$43)/1000/AE128</f>
        <v>9.8691978972347716E-2</v>
      </c>
      <c r="AG133" s="109"/>
      <c r="AK133" s="109"/>
      <c r="AO133" s="109"/>
      <c r="AS133" s="109"/>
      <c r="AW133" s="109"/>
      <c r="BA133" s="109"/>
      <c r="BE133" s="109"/>
    </row>
    <row r="134" spans="1:57" ht="16.5" hidden="1" outlineLevel="1" x14ac:dyDescent="0.25">
      <c r="A134" s="204"/>
      <c r="B134" s="9"/>
      <c r="C134" s="38" t="s">
        <v>53</v>
      </c>
      <c r="D134" s="7"/>
      <c r="E134" s="74">
        <f>-[3]Retail!$AT$41/1000/E128</f>
        <v>2.249245009365625E-2</v>
      </c>
      <c r="F134" s="42">
        <f>-[3]Retail!$AT$42/1000/F128</f>
        <v>4.2840598885878156E-2</v>
      </c>
      <c r="G134" s="42">
        <f>-[3]Retail!$AT$43/1000/G128</f>
        <v>3.7155508509380222E-2</v>
      </c>
      <c r="H134" s="7"/>
      <c r="I134" s="74">
        <f>-[3]SME!$AT$41/1000/I128</f>
        <v>2.9360795346766024E-2</v>
      </c>
      <c r="J134" s="42">
        <f>-[3]SME!$AT$42/1000/J128</f>
        <v>3.6838627650359418E-2</v>
      </c>
      <c r="K134" s="42">
        <f>-[3]SME!$AT$43/1000/K128</f>
        <v>3.517451246740283E-2</v>
      </c>
      <c r="L134" s="7"/>
      <c r="M134" s="74">
        <f>-[3]MidCorp!$AT$41/1000/M128</f>
        <v>4.2896135986281753E-2</v>
      </c>
      <c r="N134" s="42">
        <f>-[3]MidCorp!$AT$42/1000/N128</f>
        <v>4.7307490137322376E-2</v>
      </c>
      <c r="O134" s="42">
        <f>-[3]MidCorp!$AT$43/1000/O128</f>
        <v>4.7878810328078357E-2</v>
      </c>
      <c r="P134" s="7"/>
      <c r="Q134" s="74">
        <f>-[3]MGA!$AT$41/1000/Q128</f>
        <v>4.4893883312028877E-2</v>
      </c>
      <c r="R134" s="42">
        <f>-[3]MGA!$AT$42/1000/R128</f>
        <v>6.425275269974709E-2</v>
      </c>
      <c r="S134" s="42">
        <f>-[3]MGA!$AT$43/1000/S128</f>
        <v>5.0034011170249325E-2</v>
      </c>
      <c r="T134" s="7"/>
      <c r="U134" s="74">
        <f>-[3]Bancassurance!$AT$41/1000/U128</f>
        <v>3.3464699090139736E-2</v>
      </c>
      <c r="V134" s="42">
        <f>IFERROR(-[3]Bancassurance!$AT$42/1000/V128,0)</f>
        <v>0.200372128226148</v>
      </c>
      <c r="W134" s="42">
        <f>-[3]Bancassurance!$AT$43/1000/W128</f>
        <v>3.5758755765234879E-2</v>
      </c>
      <c r="X134" s="7"/>
      <c r="Y134" s="97">
        <f>IFERROR(-[3]Specials!$AT$41/1000/Y128,0)</f>
        <v>0</v>
      </c>
      <c r="Z134" s="42">
        <f>IFERROR(-[3]Specials!$AT$42/1000/Z128,0)</f>
        <v>0</v>
      </c>
      <c r="AA134" s="42">
        <f>IFERROR(-[3]Specials!$AT$43/1000/AA128,0)</f>
        <v>0</v>
      </c>
      <c r="AB134" s="7"/>
      <c r="AC134" s="85">
        <f>-'[3]Total P&amp;C'!$AT$41/1000/AC128</f>
        <v>3.8026580337088306E-2</v>
      </c>
      <c r="AD134" s="60">
        <f>-'[3]Total P&amp;C'!$AT$42/1000/AD128</f>
        <v>4.56919894804153E-2</v>
      </c>
      <c r="AE134" s="60">
        <f>-'[3]Total P&amp;C'!$AT$43/1000/AE128</f>
        <v>4.4292597241702543E-2</v>
      </c>
      <c r="AG134" s="109"/>
      <c r="AK134" s="109"/>
      <c r="AO134" s="109"/>
      <c r="AS134" s="109"/>
      <c r="AW134" s="109"/>
      <c r="BA134" s="109"/>
      <c r="BE134" s="109"/>
    </row>
    <row r="135" spans="1:57" ht="16.5" hidden="1" outlineLevel="1" x14ac:dyDescent="0.25">
      <c r="A135" s="204"/>
      <c r="B135" s="9"/>
      <c r="C135" s="37" t="s">
        <v>27</v>
      </c>
      <c r="D135" s="7"/>
      <c r="E135" s="72">
        <f>-([3]Retail!$Z$41+[3]Retail!$AA$41+[3]Retail!$BB$41+[3]Retail!$BC$41)/1000/E128</f>
        <v>-4.2417511456099351E-2</v>
      </c>
      <c r="F135" s="41">
        <f>-([3]Retail!$Z$42+[3]Retail!$AA$42+[3]Retail!$BB$42+[3]Retail!$BC$42)/1000/F128</f>
        <v>-7.1616288469741746E-2</v>
      </c>
      <c r="G135" s="41">
        <f>-([3]Retail!$Z$43+[3]Retail!$AA$43+[3]Retail!$BB$43+[3]Retail!$BC$43)/1000/G128</f>
        <v>-3.3851740610812579E-2</v>
      </c>
      <c r="H135" s="7"/>
      <c r="I135" s="72">
        <f>-([3]SME!$Z$41+[3]SME!$AA$41+[3]SME!$BB$41+[3]SME!$BC$41)/1000/I128</f>
        <v>-4.9551212698596081E-2</v>
      </c>
      <c r="J135" s="41">
        <f>-([3]SME!$Z$42+[3]SME!$AA$42+[3]SME!$BB$42+[3]SME!$BC$42)/1000/J128</f>
        <v>-4.7026805845870455E-2</v>
      </c>
      <c r="K135" s="41">
        <f>-([3]SME!$Z$43+[3]SME!$AA$43+[3]SME!$BB$43+[3]SME!$BC$43)/1000/K128</f>
        <v>-4.0435017744777528E-2</v>
      </c>
      <c r="L135" s="7"/>
      <c r="M135" s="71">
        <f>-([3]MidCorp!$Z$41+[3]MidCorp!$AA$41+[3]MidCorp!$BB$41+[3]MidCorp!$BC$41)/1000/M128</f>
        <v>-7.0669054996693681E-2</v>
      </c>
      <c r="N135" s="41">
        <f>-([3]MidCorp!$Z$42+[3]MidCorp!$AA$42+[3]MidCorp!$BB$42+[3]MidCorp!$BC$42)/1000/N128</f>
        <v>-6.695397545460037E-2</v>
      </c>
      <c r="O135" s="41">
        <f>-([3]MidCorp!$Z$43+[3]MidCorp!$AA$43+[3]MidCorp!$BB$43+[3]MidCorp!$BC$43)/1000/O128</f>
        <v>-5.1156698538167497E-2</v>
      </c>
      <c r="P135" s="7"/>
      <c r="Q135" s="72">
        <f>-([3]MGA!$Z$41+[3]MGA!$AA$41+[3]MGA!$BB$41+[3]MGA!$BC$41)/1000/Q128</f>
        <v>-3.679763223909531E-2</v>
      </c>
      <c r="R135" s="41">
        <f>-([3]MGA!$Z$42+[3]MGA!$AA$42+[3]MGA!$BB$42+[3]MGA!$BC$42)/1000/R128</f>
        <v>-3.2781708127873843E-2</v>
      </c>
      <c r="S135" s="41">
        <f>-([3]MGA!$Z$43+[3]MGA!$AA$43+[3]MGA!$BB$43+[3]MGA!$BC$43)/1000/S128</f>
        <v>-2.863845673972357E-2</v>
      </c>
      <c r="T135" s="7"/>
      <c r="U135" s="72">
        <f>-([3]Bancassurance!$Z$41+[3]Bancassurance!$AA$41+[3]Bancassurance!$BB$41+[3]Bancassurance!$BC$41)/1000/U128</f>
        <v>-5.8745515010661123E-2</v>
      </c>
      <c r="V135" s="41">
        <f>IFERROR(-([3]Bancassurance!$Z$42+[3]Bancassurance!$AA$42+[3]Bancassurance!$BB$42+[3]Bancassurance!$BC$42)/1000/V128,0)</f>
        <v>-6.3647232712942467E-3</v>
      </c>
      <c r="W135" s="41">
        <f>-([3]Bancassurance!$Z$43+[3]Bancassurance!$AA$43+[3]Bancassurance!$BB$43+[3]Bancassurance!$BC$43)/1000/W128</f>
        <v>-7.638888745281526E-2</v>
      </c>
      <c r="X135" s="7"/>
      <c r="Y135" s="41">
        <f>IFERROR(-([3]Specials!$Z$41+[3]Specials!$AA$41+[3]Specials!$BB$41+[3]Specials!$BC$41)/1000/Y128,0)</f>
        <v>0</v>
      </c>
      <c r="Z135" s="41">
        <f>IFERROR(-([3]Specials!$Z$42+[3]Specials!$AA$42+[3]Specials!$BB$42+[3]Specials!$BC$42)/1000/Z128,0)</f>
        <v>0</v>
      </c>
      <c r="AA135" s="41">
        <f>IFERROR(-([3]Specials!$Z$43+[3]Specials!$AA$43+[3]Specials!$BB$43+[3]Specials!$BC$43)/1000/AA128,0)</f>
        <v>0</v>
      </c>
      <c r="AB135" s="7"/>
      <c r="AC135" s="86">
        <f>-('[3]Total P&amp;C'!$Z$41+'[3]Total P&amp;C'!$AA$41+'[3]Total P&amp;C'!$BB$41+'[3]Total P&amp;C'!$BC$41)/1000/AC128</f>
        <v>-6.234573149159689E-2</v>
      </c>
      <c r="AD135" s="59">
        <f>-('[3]Total P&amp;C'!$Z$42+'[3]Total P&amp;C'!$AA$42+'[3]Total P&amp;C'!$BB$42+'[3]Total P&amp;C'!$BC$42)/1000/AD128</f>
        <v>-6.1407773463522587E-2</v>
      </c>
      <c r="AE135" s="59">
        <f>-('[3]Total P&amp;C'!$Z$43+'[3]Total P&amp;C'!$AA$43+'[3]Total P&amp;C'!$BB$43+'[3]Total P&amp;C'!$BC$43)/1000/AE128</f>
        <v>-4.7280759652283469E-2</v>
      </c>
      <c r="AG135" s="109"/>
      <c r="AK135" s="109"/>
      <c r="AO135" s="109"/>
      <c r="AS135" s="109"/>
      <c r="AW135" s="109"/>
      <c r="BA135" s="109"/>
      <c r="BE135" s="109"/>
    </row>
    <row r="136" spans="1:57" ht="16.5" hidden="1" outlineLevel="1" x14ac:dyDescent="0.25">
      <c r="A136" s="204"/>
      <c r="B136" s="9"/>
      <c r="C136" s="37" t="s">
        <v>57</v>
      </c>
      <c r="D136" s="7"/>
      <c r="E136" s="72">
        <f>-SUM([3]Retail!$AC$41:$AI$41,[3]Retail!$BE$41:$BG$41)/1000/E128</f>
        <v>0.84501402750977939</v>
      </c>
      <c r="F136" s="41">
        <f>-SUM([3]Retail!$AC$42:$AI$42,[3]Retail!$BE$42:$BG$42)/1000/F128</f>
        <v>0.65225683919465582</v>
      </c>
      <c r="G136" s="41">
        <f>-SUM([3]Retail!$AC$43:$AI$43,[3]Retail!$BE$43:$BG$43)/1000/G128</f>
        <v>1.7606749137243364E-2</v>
      </c>
      <c r="H136" s="7"/>
      <c r="I136" s="72">
        <f>-SUM([3]SME!$AC$41:$AI$41,[3]SME!$BE$41:$BG$41)/1000/I128</f>
        <v>0.34848699591202387</v>
      </c>
      <c r="J136" s="41">
        <f>-SUM([3]SME!$AC$42:$AI$42,[3]SME!$BE$42:$BG$42)/1000/J128</f>
        <v>-0.10809255162837847</v>
      </c>
      <c r="K136" s="41">
        <f>-SUM([3]SME!$AC$43:$AI$43,[3]SME!$BE$43:$BG$43)/1000/K128</f>
        <v>-4.3101323727879243E-4</v>
      </c>
      <c r="L136" s="7"/>
      <c r="M136" s="71">
        <f>-SUM([3]MidCorp!$AC$41:$AI$41,[3]MidCorp!$BE$41:$BG$41)/1000/M128</f>
        <v>-0.13867994053314431</v>
      </c>
      <c r="N136" s="41">
        <f>-SUM([3]MidCorp!$AC$42:$AI$42,[3]MidCorp!$BE$42:$BG$42)/1000/N128</f>
        <v>7.3931349253839998E-2</v>
      </c>
      <c r="O136" s="41">
        <f>-SUM([3]MidCorp!$AC$43:$AI$43,[3]MidCorp!$BE$43:$BG$43)/1000/O128</f>
        <v>-1.8959619134217641E-2</v>
      </c>
      <c r="P136" s="7"/>
      <c r="Q136" s="71">
        <f>-SUM([3]MGA!$AC$41:$AI$41,[3]MGA!$BE$41:$BG$41)/1000/Q128</f>
        <v>-1.2040339171650423</v>
      </c>
      <c r="R136" s="41">
        <f>-SUM([3]MGA!$AC$42:$AI$42,[3]MGA!$BE$42:$BG$42)/1000/R128</f>
        <v>-1.2948347158574827</v>
      </c>
      <c r="S136" s="41">
        <f>-SUM([3]MGA!$AC$43:$AI$43,[3]MGA!$BE$43:$BG$43)/1000/S128</f>
        <v>-1.4118051830097726E-2</v>
      </c>
      <c r="T136" s="7"/>
      <c r="U136" s="71">
        <f>-SUM([3]Bancassurance!$AC$41:$AI$41,[3]Bancassurance!$BE$41:$BG$41)/1000/U128</f>
        <v>-0.76829000879770804</v>
      </c>
      <c r="V136" s="41">
        <f>IFERROR(-SUM([3]Bancassurance!$AC$42:$AI$42,[3]Bancassurance!$BE$42:$BG$42)/1000/V128,0)</f>
        <v>0.34540149813579285</v>
      </c>
      <c r="W136" s="41">
        <f>-SUM([3]Bancassurance!$AC$43:$AI$43,[3]Bancassurance!$BE$43:$BG$43)/1000/W128</f>
        <v>-1.5499603326949846E-2</v>
      </c>
      <c r="X136" s="7"/>
      <c r="Y136" s="96">
        <f>IFERROR(-SUM([3]Specials!$AC$41:$AI$41,[3]Specials!$BE$41:$BG$41)/1000/Y128,0)</f>
        <v>0</v>
      </c>
      <c r="Z136" s="41">
        <f>IFERROR(-SUM([3]Specials!$AC$42:$AI$42,[3]Specials!$BE$42:$BG$42)/1000/Z128,0)</f>
        <v>0</v>
      </c>
      <c r="AA136" s="41">
        <f>IFERROR(-SUM([3]Specials!$AC$43:$AI$43,[3]Specials!$BE$43:$BG$43)/1000/AA128,0)</f>
        <v>0</v>
      </c>
      <c r="AB136" s="7"/>
      <c r="AC136" s="83">
        <f>-SUM('[3]Total P&amp;C'!$AC$41:$AI$41,'[3]Total P&amp;C'!$BE$41:$BG$41)/1000/AC128</f>
        <v>1.3820047505097341E-2</v>
      </c>
      <c r="AD136" s="59">
        <f>-SUM('[3]Total P&amp;C'!$AC$42:$AI$42,'[3]Total P&amp;C'!$BE$42:$BG$42)/1000/AD128</f>
        <v>4.7343906586098189E-2</v>
      </c>
      <c r="AE136" s="59">
        <f>-SUM('[3]Total P&amp;C'!$AC$43:$AI$43,'[3]Total P&amp;C'!$BE$43:$BG$43)/1000/AE128</f>
        <v>-1.2283919037371223E-2</v>
      </c>
      <c r="AG136" s="109"/>
      <c r="AK136" s="109"/>
      <c r="AO136" s="109"/>
      <c r="AS136" s="109"/>
      <c r="AW136" s="109"/>
      <c r="BA136" s="109"/>
      <c r="BE136" s="109"/>
    </row>
    <row r="137" spans="1:57" ht="16.5" hidden="1" outlineLevel="1" x14ac:dyDescent="0.25">
      <c r="A137" s="204"/>
      <c r="B137" s="9"/>
      <c r="C137" s="37" t="s">
        <v>29</v>
      </c>
      <c r="D137" s="7"/>
      <c r="E137" s="71">
        <f>-SUM([3]Retail!$AJ$41:$AK$41,[3]Retail!$BH$41:$BI$41)/1000/E128</f>
        <v>-0.14249072123714332</v>
      </c>
      <c r="F137" s="41">
        <f>-SUM([3]Retail!$AJ$42:$AK$42,[3]Retail!$BH$42:$BI$42)/1000/F128</f>
        <v>3.8561822178923233E-2</v>
      </c>
      <c r="G137" s="41">
        <f>-SUM([3]Retail!$AJ$43:$AK$43,[3]Retail!$BH$43:$BI$43)/1000/G128</f>
        <v>0</v>
      </c>
      <c r="H137" s="7"/>
      <c r="I137" s="71">
        <f>-SUM([3]SME!$AJ$41:$AK$41,[3]SME!$BH$41:$BI$41)/1000/I128</f>
        <v>-6.0972661984717569E-2</v>
      </c>
      <c r="J137" s="41">
        <f>-SUM([3]SME!$AJ$42:$AK$42,[3]SME!$BH$42:$BI$42)/1000/J128</f>
        <v>5.4298223205080334E-2</v>
      </c>
      <c r="K137" s="41">
        <f>-SUM([3]SME!$AJ$43:$AK$43,[3]SME!$BH$43:$BI$43)/1000/K128</f>
        <v>0</v>
      </c>
      <c r="L137" s="7"/>
      <c r="M137" s="72">
        <f>-SUM([3]MidCorp!$AJ$41:$AK$41,[3]MidCorp!$BH$41:$BI$41)/1000/M128</f>
        <v>3.0729038133788172E-2</v>
      </c>
      <c r="N137" s="41">
        <f>-SUM([3]MidCorp!$AJ$42:$AK$42,[3]MidCorp!$BH$42:$BI$42)/1000/N128</f>
        <v>7.6398126177114986E-2</v>
      </c>
      <c r="O137" s="41">
        <f>-SUM([3]MidCorp!$AJ$43:$AK$43,[3]MidCorp!$BH$43:$BI$43)/1000/O128</f>
        <v>0</v>
      </c>
      <c r="P137" s="7"/>
      <c r="Q137" s="72">
        <f>-SUM([3]MGA!$AJ$41:$AK$41,[3]MGA!$BH$41:$BI$41)/1000/Q128</f>
        <v>8.8794413244534465E-2</v>
      </c>
      <c r="R137" s="41">
        <f>-SUM([3]MGA!$AJ$42:$AK$42,[3]MGA!$BH$42:$BI$42)/1000/R128</f>
        <v>-3.6286925837142291E-2</v>
      </c>
      <c r="S137" s="41">
        <f>-SUM([3]MGA!$AJ$43:$AK$43,[3]MGA!$BH$43:$BI$43)/1000/S128</f>
        <v>0</v>
      </c>
      <c r="T137" s="7"/>
      <c r="U137" s="72">
        <f>-SUM([3]Bancassurance!$AJ$41:$AK$41,[3]Bancassurance!$BH$41:$BI$41)/1000/U128</f>
        <v>9.7651969046197093E-2</v>
      </c>
      <c r="V137" s="41">
        <f>IFERROR(-SUM([3]Bancassurance!$AJ$42:$AK$42,[3]Bancassurance!$BH$42:$BI$42)/1000/V128,0)</f>
        <v>-4.2637044772236544E-2</v>
      </c>
      <c r="W137" s="41">
        <f>-SUM([3]Bancassurance!$AJ$43:$AK$43,[3]Bancassurance!$BH$43:$BI$43)/1000/W128</f>
        <v>0</v>
      </c>
      <c r="X137" s="7"/>
      <c r="Y137" s="96">
        <f>IFERROR(-SUM([3]Specials!$AJ$41:$AK$41,[3]Specials!$BH$41:$BI$41)/1000/Y128,0)</f>
        <v>0</v>
      </c>
      <c r="Z137" s="41">
        <f>IFERROR(-SUM([3]Specials!$AJ$42:$AK$42,[3]Specials!$BH$42:$BI$42)/1000/Z128,0)</f>
        <v>0</v>
      </c>
      <c r="AA137" s="41">
        <f>IFERROR(-SUM([3]Specials!$AJ$43:$AK$43,[3]Specials!$BH$43:$BI$43)/1000/AA128,0)</f>
        <v>0</v>
      </c>
      <c r="AB137" s="7"/>
      <c r="AC137" s="86">
        <f>-SUM('[3]Total P&amp;C'!$AJ$41:$AK$41,'[3]Total P&amp;C'!$BH$41:$BI$41)/1000/AC128</f>
        <v>-1.7864698926790892E-3</v>
      </c>
      <c r="AD137" s="59">
        <f>-SUM('[3]Total P&amp;C'!$AJ$42:$AK$42,'[3]Total P&amp;C'!$BH$42:$BI$42)/1000/AD128</f>
        <v>6.488038466612632E-2</v>
      </c>
      <c r="AE137" s="59">
        <f>-SUM('[3]Total P&amp;C'!$AJ$43:$AK$43,'[3]Total P&amp;C'!$BH$43:$BI$43)/1000/AE128</f>
        <v>0</v>
      </c>
      <c r="AG137" s="109"/>
      <c r="AK137" s="109"/>
      <c r="AO137" s="109"/>
      <c r="AS137" s="109"/>
      <c r="AW137" s="109"/>
      <c r="BA137" s="109"/>
      <c r="BE137" s="109"/>
    </row>
    <row r="138" spans="1:57" ht="16.5" hidden="1" outlineLevel="1" x14ac:dyDescent="0.25">
      <c r="A138" s="204"/>
      <c r="B138" s="9"/>
      <c r="C138" s="37" t="s">
        <v>58</v>
      </c>
      <c r="D138" s="7"/>
      <c r="E138" s="71">
        <f>+E139+E140+E141</f>
        <v>0.50394193063659143</v>
      </c>
      <c r="F138" s="41">
        <f>+F139+F140+F141</f>
        <v>0.48842597717392977</v>
      </c>
      <c r="G138" s="41">
        <f>+G139+G140+G141</f>
        <v>0.53431549251021282</v>
      </c>
      <c r="H138" s="7"/>
      <c r="I138" s="71">
        <f>+I139+I140+I141</f>
        <v>0.42191838630103395</v>
      </c>
      <c r="J138" s="41">
        <f>+J139+J140+J141</f>
        <v>0.44602029797116605</v>
      </c>
      <c r="K138" s="41">
        <f>+K139+K140+K141</f>
        <v>0.46104547687817271</v>
      </c>
      <c r="L138" s="7"/>
      <c r="M138" s="71">
        <f>+M139+M140+M141</f>
        <v>0.33475914174246763</v>
      </c>
      <c r="N138" s="41">
        <f>+N139+N140+N141</f>
        <v>0.31720151348741515</v>
      </c>
      <c r="O138" s="41">
        <f>+O139+O140+O141</f>
        <v>0.34244885398666758</v>
      </c>
      <c r="P138" s="7"/>
      <c r="Q138" s="72">
        <f>+Q139+Q140+Q141</f>
        <v>0.45265213607816673</v>
      </c>
      <c r="R138" s="41">
        <f>+R139+R140+R141</f>
        <v>0.47354202400005757</v>
      </c>
      <c r="S138" s="41">
        <f>+S139+S140+S141</f>
        <v>0.43676280376515758</v>
      </c>
      <c r="T138" s="7"/>
      <c r="U138" s="72">
        <f>+U139+U140+U141</f>
        <v>0.45346770336305176</v>
      </c>
      <c r="V138" s="41">
        <f>+V139+V140+V141</f>
        <v>0.48836162293764529</v>
      </c>
      <c r="W138" s="41">
        <f>+W139+W140+W141</f>
        <v>0.4392696008217476</v>
      </c>
      <c r="X138" s="7"/>
      <c r="Y138" s="96">
        <f>+Y139+Y140+Y141</f>
        <v>0</v>
      </c>
      <c r="Z138" s="41">
        <f>+Z139+Z140+Z141</f>
        <v>0</v>
      </c>
      <c r="AA138" s="41">
        <f>+AA139+AA140+AA141</f>
        <v>0</v>
      </c>
      <c r="AB138" s="7"/>
      <c r="AC138" s="86">
        <f>+AC139+AC140+AC141</f>
        <v>0.37370214476922442</v>
      </c>
      <c r="AD138" s="59">
        <f>+AD139+AD140+AD141</f>
        <v>0.3666139874048176</v>
      </c>
      <c r="AE138" s="59">
        <f>+AE139+AE140+AE141</f>
        <v>0.3864026247702666</v>
      </c>
      <c r="AG138" s="109"/>
      <c r="AK138" s="109"/>
      <c r="AO138" s="109"/>
      <c r="AS138" s="109"/>
      <c r="AW138" s="109"/>
      <c r="BA138" s="109"/>
      <c r="BE138" s="109"/>
    </row>
    <row r="139" spans="1:57" ht="16.5" hidden="1" outlineLevel="1" x14ac:dyDescent="0.25">
      <c r="A139" s="204"/>
      <c r="B139" s="9"/>
      <c r="C139" s="39" t="s">
        <v>59</v>
      </c>
      <c r="D139" s="8"/>
      <c r="E139" s="97">
        <f>-SUM([3]Retail!$AL$41:$AN$41,[3]Retail!$BJ$41)/1000/E128</f>
        <v>0.22297944782274887</v>
      </c>
      <c r="F139" s="42">
        <f>-SUM([3]Retail!$AL$42:$AN$42,[3]Retail!$BJ$42)/1000/F128</f>
        <v>0.22107523339278071</v>
      </c>
      <c r="G139" s="42">
        <f>-SUM([3]Retail!$AL$43:$AN$43,[3]Retail!$BJ$43)/1000/G128</f>
        <v>0.21936165722942005</v>
      </c>
      <c r="H139" s="8"/>
      <c r="I139" s="74">
        <f>-SUM([3]SME!$AL$41:$AN$41,[3]SME!$BJ$41)/1000/I128</f>
        <v>0.22453833960016062</v>
      </c>
      <c r="J139" s="42">
        <f>-SUM([3]SME!$AL$42:$AN$42,[3]SME!$BJ$42)/1000/J128</f>
        <v>0.22357978724124114</v>
      </c>
      <c r="K139" s="42">
        <f>-SUM([3]SME!$AL$43:$AN$43,[3]SME!$BJ$43)/1000/K128</f>
        <v>0.22623589086038876</v>
      </c>
      <c r="L139" s="8"/>
      <c r="M139" s="74">
        <f>-SUM([3]MidCorp!$AL$41:$AN$41,[3]MidCorp!$BJ$41)/1000/M128</f>
        <v>0.19938147531594622</v>
      </c>
      <c r="N139" s="42">
        <f>-SUM([3]MidCorp!$AL$42:$AN$42,[3]MidCorp!$BJ$42)/1000/N128</f>
        <v>0.20001650267384272</v>
      </c>
      <c r="O139" s="42">
        <f>-SUM([3]MidCorp!$AL$43:$AN$43,[3]MidCorp!$BJ$43)/1000/O128</f>
        <v>0.20286488120097532</v>
      </c>
      <c r="P139" s="8"/>
      <c r="Q139" s="74">
        <f>-SUM([3]MGA!$AL$41:$AN$41,[3]MGA!$BJ$41)/1000/Q128</f>
        <v>0.34909587724277286</v>
      </c>
      <c r="R139" s="42">
        <f>-SUM([3]MGA!$AL$42:$AN$42,[3]MGA!$BJ$42)/1000/R128</f>
        <v>0.35255748466752784</v>
      </c>
      <c r="S139" s="42">
        <f>-SUM([3]MGA!$AL$43:$AN$43,[3]MGA!$BJ$43)/1000/S128</f>
        <v>0.35130743590633745</v>
      </c>
      <c r="T139" s="8"/>
      <c r="U139" s="74">
        <f>-SUM([3]Bancassurance!$AL$41:$AN$41,[3]Bancassurance!$BJ$41)/1000/U128</f>
        <v>0.14714538602693306</v>
      </c>
      <c r="V139" s="42">
        <f>IFERROR(-SUM([3]Bancassurance!$AL$42:$AN$42,[3]Bancassurance!$BJ$42)/1000/V128,0)</f>
        <v>0.1430429309189484</v>
      </c>
      <c r="W139" s="42">
        <f>-SUM([3]Bancassurance!$AL$43:$AN$43,[3]Bancassurance!$BJ$43)/1000/W128</f>
        <v>0.15</v>
      </c>
      <c r="X139" s="8"/>
      <c r="Y139" s="97">
        <f>IFERROR(-SUM([3]Specials!$AL$41:$AN$41,[3]Specials!$BJ$41)/1000/Y128,0)</f>
        <v>0</v>
      </c>
      <c r="Z139" s="42">
        <f>IFERROR(-SUM([3]Specials!$AL$42:$AN$42,[3]Specials!$BJ$42)/1000/Z128,0)</f>
        <v>0</v>
      </c>
      <c r="AA139" s="42">
        <f>IFERROR(-SUM([3]Specials!$AL$43:$AN$43,[3]Specials!$BJ$43)/1000/AA128,0)</f>
        <v>0</v>
      </c>
      <c r="AB139" s="8"/>
      <c r="AC139" s="85">
        <f>-SUM('[3]Total P&amp;C'!$AL$41:$AN$41,'[3]Total P&amp;C'!$BJ$41)/1000/AC128</f>
        <v>0.21060541256433227</v>
      </c>
      <c r="AD139" s="60">
        <f>-SUM('[3]Total P&amp;C'!$AL$42:$AN$42,'[3]Total P&amp;C'!$BJ$42)/1000/AD128</f>
        <v>0.21039740852185468</v>
      </c>
      <c r="AE139" s="60">
        <f>-SUM('[3]Total P&amp;C'!$AL$43:$AN$43,'[3]Total P&amp;C'!$BJ$43)/1000/AE128</f>
        <v>0.21398722699406464</v>
      </c>
      <c r="AG139" s="109"/>
      <c r="AK139" s="109"/>
      <c r="AO139" s="109"/>
      <c r="AS139" s="109"/>
      <c r="AW139" s="109"/>
      <c r="BA139" s="109"/>
      <c r="BE139" s="109"/>
    </row>
    <row r="140" spans="1:57" ht="16.5" hidden="1" outlineLevel="1" x14ac:dyDescent="0.25">
      <c r="A140" s="204"/>
      <c r="B140" s="9"/>
      <c r="C140" s="39" t="s">
        <v>60</v>
      </c>
      <c r="D140" s="8"/>
      <c r="E140" s="74">
        <f>-SUM([3]Retail!$AO$41:$AP$41)/1000/E128</f>
        <v>0.14711974002208267</v>
      </c>
      <c r="F140" s="42">
        <f>-SUM([3]Retail!$AO$42:$AP$42)/1000/F128</f>
        <v>0.13234452428458968</v>
      </c>
      <c r="G140" s="42">
        <f>-SUM([3]Retail!$AO$43:$AP$43)/1000/G128</f>
        <v>0.15985056123201979</v>
      </c>
      <c r="H140" s="8"/>
      <c r="I140" s="74">
        <f>-SUM([3]SME!$AO$41:$AP$41)/1000/I128</f>
        <v>0.11593409400838713</v>
      </c>
      <c r="J140" s="42">
        <f>-SUM([3]SME!$AO$42:$AP$42)/1000/J128</f>
        <v>0.1438154953954332</v>
      </c>
      <c r="K140" s="42">
        <f>-SUM([3]SME!$AO$43:$AP$43)/1000/K128</f>
        <v>0.13363776861946572</v>
      </c>
      <c r="L140" s="8"/>
      <c r="M140" s="97">
        <f>-SUM([3]MidCorp!$AO$41:$AP$41)/1000/M128</f>
        <v>6.5489632996584626E-2</v>
      </c>
      <c r="N140" s="42">
        <f>-SUM([3]MidCorp!$AO$42:$AP$42)/1000/N128</f>
        <v>5.0179457019028408E-2</v>
      </c>
      <c r="O140" s="42">
        <f>-SUM([3]MidCorp!$AO$43:$AP$43)/1000/O128</f>
        <v>6.1632040481207288E-2</v>
      </c>
      <c r="P140" s="8"/>
      <c r="Q140" s="73">
        <f>-SUM([3]MGA!$AO$41:$AP$41)/1000/Q128</f>
        <v>4.2088495149681097E-2</v>
      </c>
      <c r="R140" s="42">
        <f>-SUM([3]MGA!$AO$42:$AP$42)/1000/R128</f>
        <v>3.9843201922457647E-2</v>
      </c>
      <c r="S140" s="42">
        <f>-SUM([3]MGA!$AO$43:$AP$43)/1000/S128</f>
        <v>3.3641106115087707E-2</v>
      </c>
      <c r="T140" s="8"/>
      <c r="U140" s="73">
        <f>-SUM([3]Bancassurance!$AO$41:$AP$41)/1000/U128</f>
        <v>0.15116308019434668</v>
      </c>
      <c r="V140" s="42">
        <f>IFERROR(-SUM([3]Bancassurance!$AO$42:$AP$42)/1000/V128,0)</f>
        <v>7.8855999449083281E-2</v>
      </c>
      <c r="W140" s="42">
        <f>-SUM([3]Bancassurance!$AO$43:$AP$43)/1000/W128</f>
        <v>0.13071984914493379</v>
      </c>
      <c r="X140" s="8"/>
      <c r="Y140" s="97">
        <f>IFERROR(-SUM([3]Specials!$AO$41:$AP$41)/1000/Y128,0)</f>
        <v>0</v>
      </c>
      <c r="Z140" s="42">
        <f>IFERROR(-SUM([3]Specials!$AO$42:$AP$42)/1000/Z128,0)</f>
        <v>0</v>
      </c>
      <c r="AA140" s="42">
        <f>IFERROR(-SUM([3]Specials!$AO$43:$AP$43)/1000/AA128,0)</f>
        <v>0</v>
      </c>
      <c r="AB140" s="8"/>
      <c r="AC140" s="99">
        <f>-SUM('[3]Total P&amp;C'!$AO$41:$AP$41)/1000/AC128</f>
        <v>8.4390471030947642E-2</v>
      </c>
      <c r="AD140" s="60">
        <f>-SUM('[3]Total P&amp;C'!$AO$42:$AP$42)/1000/AD128</f>
        <v>7.9413093035720486E-2</v>
      </c>
      <c r="AE140" s="60">
        <f>-SUM('[3]Total P&amp;C'!$AO$43:$AP$43)/1000/AE128</f>
        <v>8.3824304286272092E-2</v>
      </c>
      <c r="AG140" s="109"/>
      <c r="AK140" s="109"/>
      <c r="AO140" s="109"/>
      <c r="AS140" s="109"/>
      <c r="AW140" s="109"/>
      <c r="BA140" s="109"/>
      <c r="BE140" s="109"/>
    </row>
    <row r="141" spans="1:57" ht="16.5" hidden="1" outlineLevel="1" x14ac:dyDescent="0.25">
      <c r="A141" s="204"/>
      <c r="B141" s="9"/>
      <c r="C141" s="39" t="s">
        <v>61</v>
      </c>
      <c r="D141" s="8"/>
      <c r="E141" s="74">
        <f>-SUM([3]Retail!$AQ$41:$AR$41)/1000/E128</f>
        <v>0.13384274279175992</v>
      </c>
      <c r="F141" s="42">
        <f>-SUM([3]Retail!$AQ$42:$AR$42)/1000/F128</f>
        <v>0.13500621949655942</v>
      </c>
      <c r="G141" s="42">
        <f>-SUM([3]Retail!$AQ$43:$AR$43)/1000/G128</f>
        <v>0.155103274048773</v>
      </c>
      <c r="H141" s="8"/>
      <c r="I141" s="74">
        <f>-SUM([3]SME!$AQ$41:$AR$41)/1000/I128</f>
        <v>8.1445952692486209E-2</v>
      </c>
      <c r="J141" s="42">
        <f>-SUM([3]SME!$AQ$42:$AR$42)/1000/J128</f>
        <v>7.8625015334491719E-2</v>
      </c>
      <c r="K141" s="42">
        <f>-SUM([3]SME!$AQ$43:$AR$43)/1000/K128</f>
        <v>0.10117181739831821</v>
      </c>
      <c r="L141" s="8"/>
      <c r="M141" s="74">
        <f>-SUM([3]MidCorp!$AQ$41:$AR$41)/1000/M128</f>
        <v>6.9888033429936755E-2</v>
      </c>
      <c r="N141" s="42">
        <f>-SUM([3]MidCorp!$AQ$42:$AR$42)/1000/N128</f>
        <v>6.7005553794544023E-2</v>
      </c>
      <c r="O141" s="42">
        <f>-SUM([3]MidCorp!$AQ$43:$AR$43)/1000/O128</f>
        <v>7.7951932304484967E-2</v>
      </c>
      <c r="P141" s="8"/>
      <c r="Q141" s="73">
        <f>-SUM([3]MGA!$AQ$41:$AR$41)/1000/Q128</f>
        <v>6.1467763685712787E-2</v>
      </c>
      <c r="R141" s="42">
        <f>-SUM([3]MGA!$AQ$42:$AR$42)/1000/R128</f>
        <v>8.1141337410072067E-2</v>
      </c>
      <c r="S141" s="42">
        <f>-SUM([3]MGA!$AQ$43:$AR$43)/1000/S128</f>
        <v>5.1814261743732451E-2</v>
      </c>
      <c r="T141" s="8"/>
      <c r="U141" s="74">
        <f>-SUM([3]Bancassurance!$AQ$41:$AR$41)/1000/U128</f>
        <v>0.15515923714177204</v>
      </c>
      <c r="V141" s="42">
        <f>IFERROR(-SUM([3]Bancassurance!$AQ$42:$AR$42)/1000/V128,0)</f>
        <v>0.26646269256961358</v>
      </c>
      <c r="W141" s="42">
        <f>-SUM([3]Bancassurance!$AQ$43:$AR$43)/1000/W128</f>
        <v>0.15854975167681387</v>
      </c>
      <c r="X141" s="8"/>
      <c r="Y141" s="97">
        <f>IFERROR(-SUM([3]Specials!$AQ$41:$AR$41)/1000/Y128,0)</f>
        <v>0</v>
      </c>
      <c r="Z141" s="42">
        <f>IFERROR(-SUM([3]Specials!$AQ$42:$AR$42)/1000/Z128,0)</f>
        <v>0</v>
      </c>
      <c r="AA141" s="42">
        <f>IFERROR(-SUM([3]Specials!$AQ$43:$AR$43)/1000/AA128,0)</f>
        <v>0</v>
      </c>
      <c r="AB141" s="8"/>
      <c r="AC141" s="85">
        <f>-SUM('[3]Total P&amp;C'!$AQ$41:$AR$41)/1000/AC128</f>
        <v>7.8706261173944511E-2</v>
      </c>
      <c r="AD141" s="60">
        <f>-SUM('[3]Total P&amp;C'!$AQ$42:$AR$42)/1000/AD128</f>
        <v>7.6803485847242461E-2</v>
      </c>
      <c r="AE141" s="60">
        <f>-SUM('[3]Total P&amp;C'!$AQ$43:$AR$43)/1000/AE128</f>
        <v>8.8591093489929898E-2</v>
      </c>
      <c r="AG141" s="109"/>
      <c r="AK141" s="109"/>
      <c r="AO141" s="109"/>
      <c r="AS141" s="109"/>
      <c r="AW141" s="109"/>
      <c r="BA141" s="109"/>
      <c r="BE141" s="109"/>
    </row>
    <row r="142" spans="1:57" ht="16.5" hidden="1" outlineLevel="1" x14ac:dyDescent="0.25">
      <c r="A142" s="204"/>
      <c r="B142" s="9"/>
      <c r="C142" s="37" t="s">
        <v>34</v>
      </c>
      <c r="D142" s="6"/>
      <c r="E142" s="98">
        <f>+[3]Retail!$BK$41/1000</f>
        <v>-1.1893019199999995</v>
      </c>
      <c r="F142" s="40">
        <f>+[3]Retail!$BK$42/1000</f>
        <v>-1.845554559999999</v>
      </c>
      <c r="G142" s="40">
        <f>+[3]Retail!$BK$43/1000</f>
        <v>-1.2578353051185076E-2</v>
      </c>
      <c r="H142" s="6"/>
      <c r="I142" s="70">
        <f>+[3]SME!$BK$41/1000</f>
        <v>-0.82455173999999787</v>
      </c>
      <c r="J142" s="40">
        <f>+[3]SME!$BK$42/1000</f>
        <v>0.96067445000000429</v>
      </c>
      <c r="K142" s="40">
        <f>+[3]SME!$BK$43/1000</f>
        <v>0.41375657691385553</v>
      </c>
      <c r="L142" s="6"/>
      <c r="M142" s="75">
        <f>+[3]MidCorp!$BK$41/1000</f>
        <v>3.091624610000002</v>
      </c>
      <c r="N142" s="40">
        <f>+[3]MidCorp!$BK$42/1000</f>
        <v>-1.3175331500000069</v>
      </c>
      <c r="O142" s="40">
        <f>+[3]MidCorp!$BK$43/1000</f>
        <v>1.559158045958295</v>
      </c>
      <c r="P142" s="6"/>
      <c r="Q142" s="75">
        <f>+[3]MGA!$BK$41/1000</f>
        <v>0.72022348999999986</v>
      </c>
      <c r="R142" s="40">
        <f>+[3]MGA!$BK$42/1000</f>
        <v>0.74686085999999929</v>
      </c>
      <c r="S142" s="40">
        <f>+[3]MGA!$BK$43/1000</f>
        <v>3.4760811757583623E-2</v>
      </c>
      <c r="T142" s="6"/>
      <c r="U142" s="75">
        <f>+[3]Bancassurance!$BK$41/1000</f>
        <v>0.27072947999999963</v>
      </c>
      <c r="V142" s="40">
        <f>+[3]Bancassurance!$BK$42/1000</f>
        <v>-1.0305820000000182E-2</v>
      </c>
      <c r="W142" s="40">
        <f>+[3]Bancassurance!$BK$43/1000</f>
        <v>9.2337735617841171E-2</v>
      </c>
      <c r="X142" s="6"/>
      <c r="Y142" s="70">
        <f>+[3]Specials!$BK$41/1000</f>
        <v>-1.005578E-2</v>
      </c>
      <c r="Z142" s="40">
        <f>+[3]Specials!$BK$42/1000</f>
        <v>8.9694499999970981E-3</v>
      </c>
      <c r="AA142" s="40">
        <f>+[3]Specials!$BK$43/1000</f>
        <v>0</v>
      </c>
      <c r="AB142" s="6"/>
      <c r="AC142" s="101">
        <f>+'[3]Total P&amp;C'!$BK$41/1000</f>
        <v>2.0586681400000142</v>
      </c>
      <c r="AD142" s="58">
        <f>+'[3]Total P&amp;C'!$BK$42/1000</f>
        <v>-1.4568887700000106</v>
      </c>
      <c r="AE142" s="58">
        <f>+'[3]Total P&amp;C'!$BK$43/1000</f>
        <v>2.0874348171963844</v>
      </c>
      <c r="AG142" s="108"/>
      <c r="AK142" s="108"/>
      <c r="AO142" s="108"/>
      <c r="AS142" s="108"/>
      <c r="AW142" s="108"/>
      <c r="BA142" s="108"/>
      <c r="BE142" s="108"/>
    </row>
    <row r="143" spans="1:57" hidden="1" outlineLevel="1" x14ac:dyDescent="0.25"/>
    <row r="144" spans="1:57" ht="16.5" hidden="1" outlineLevel="1" collapsed="1" x14ac:dyDescent="0.25">
      <c r="A144" s="204" t="s">
        <v>65</v>
      </c>
      <c r="B144" s="9"/>
      <c r="C144" s="37" t="s">
        <v>19</v>
      </c>
      <c r="D144" s="6"/>
      <c r="E144" s="70">
        <f>+[3]Retail!$C$45/1000</f>
        <v>0</v>
      </c>
      <c r="F144" s="40">
        <f>+[3]Retail!$C$46/1000</f>
        <v>0</v>
      </c>
      <c r="G144" s="40">
        <f>+[3]Retail!$C$47/1000</f>
        <v>0</v>
      </c>
      <c r="H144" s="6"/>
      <c r="I144" s="70">
        <f>+[3]SME!$C$45/1000</f>
        <v>0</v>
      </c>
      <c r="J144" s="40">
        <f>+[3]SME!$C$46/1000</f>
        <v>0</v>
      </c>
      <c r="K144" s="40">
        <f>+[3]SME!$C$47/1000</f>
        <v>0</v>
      </c>
      <c r="L144" s="6"/>
      <c r="M144" s="75">
        <f>+[3]MidCorp!$C$45/1000</f>
        <v>20.774809789999999</v>
      </c>
      <c r="N144" s="40">
        <f>+[3]MidCorp!$C$46/1000</f>
        <v>19.324455620000002</v>
      </c>
      <c r="O144" s="40">
        <f>+[3]MidCorp!$C$47/1000</f>
        <v>20.573959486138609</v>
      </c>
      <c r="P144" s="6"/>
      <c r="Q144" s="70"/>
      <c r="R144" s="40"/>
      <c r="S144" s="40"/>
      <c r="T144" s="6"/>
      <c r="U144" s="70"/>
      <c r="V144" s="40"/>
      <c r="W144" s="40"/>
      <c r="X144" s="6"/>
      <c r="Y144" s="70"/>
      <c r="Z144" s="40"/>
      <c r="AA144" s="40"/>
      <c r="AB144" s="6"/>
      <c r="AC144" s="87">
        <f>+'[3]Total P&amp;C'!$C$45/1000</f>
        <v>20.774809789999999</v>
      </c>
      <c r="AD144" s="58">
        <f>+'[3]Total P&amp;C'!$C$46/1000</f>
        <v>19.324455620000002</v>
      </c>
      <c r="AE144" s="58">
        <f>+'[3]Total P&amp;C'!$C$47/1000</f>
        <v>20.573959486138609</v>
      </c>
      <c r="AG144" s="108"/>
      <c r="AK144" s="108"/>
      <c r="AO144" s="108"/>
      <c r="AS144" s="108"/>
      <c r="AW144" s="108"/>
      <c r="BA144" s="108"/>
      <c r="BE144" s="108"/>
    </row>
    <row r="145" spans="1:57" ht="16.5" hidden="1" outlineLevel="1" x14ac:dyDescent="0.25">
      <c r="A145" s="204"/>
      <c r="B145" s="9"/>
      <c r="C145" s="37" t="s">
        <v>55</v>
      </c>
      <c r="D145" s="6"/>
      <c r="E145" s="70">
        <f>+[3]Retail!$N$45/1000</f>
        <v>0</v>
      </c>
      <c r="F145" s="40">
        <f>+[3]Retail!$N$46/1000</f>
        <v>0</v>
      </c>
      <c r="G145" s="40">
        <f>+[3]Retail!$N$47/1000</f>
        <v>0</v>
      </c>
      <c r="H145" s="6"/>
      <c r="I145" s="70">
        <f>+[3]SME!$N$45/1000</f>
        <v>0</v>
      </c>
      <c r="J145" s="40">
        <f>+[3]SME!$N$46/1000</f>
        <v>0</v>
      </c>
      <c r="K145" s="40">
        <f>+[3]SME!$N$47/1000</f>
        <v>0</v>
      </c>
      <c r="L145" s="6"/>
      <c r="M145" s="70">
        <f>+[3]MidCorp!$N$45/1000</f>
        <v>8.0883617800000014</v>
      </c>
      <c r="N145" s="40">
        <f>+[3]MidCorp!$N$46/1000</f>
        <v>8.2244270600000018</v>
      </c>
      <c r="O145" s="40">
        <f>+[3]MidCorp!$N$47/1000</f>
        <v>9.180767293935908</v>
      </c>
      <c r="P145" s="6"/>
      <c r="Q145" s="70"/>
      <c r="R145" s="40"/>
      <c r="S145" s="40"/>
      <c r="T145" s="6"/>
      <c r="U145" s="70"/>
      <c r="V145" s="40"/>
      <c r="W145" s="40"/>
      <c r="X145" s="6"/>
      <c r="Y145" s="70"/>
      <c r="Z145" s="40"/>
      <c r="AA145" s="40"/>
      <c r="AB145" s="6"/>
      <c r="AC145" s="82">
        <f>+'[3]Total P&amp;C'!$N$45/1000</f>
        <v>8.0883617800000014</v>
      </c>
      <c r="AD145" s="58">
        <f>+'[3]Total P&amp;C'!$N$46/1000</f>
        <v>8.2244270600000018</v>
      </c>
      <c r="AE145" s="58">
        <f>+'[3]Total P&amp;C'!$N$47/1000</f>
        <v>9.180767293935908</v>
      </c>
      <c r="AG145" s="108"/>
      <c r="AK145" s="108"/>
      <c r="AO145" s="108"/>
      <c r="AS145" s="108"/>
      <c r="AW145" s="108"/>
      <c r="BA145" s="108"/>
      <c r="BE145" s="108"/>
    </row>
    <row r="146" spans="1:57" ht="16.5" hidden="1" outlineLevel="1" x14ac:dyDescent="0.25">
      <c r="A146" s="204"/>
      <c r="B146" s="9"/>
      <c r="C146" s="37" t="s">
        <v>21</v>
      </c>
      <c r="D146" s="6"/>
      <c r="E146" s="96">
        <f>+E147+E152+E153+E154+E155</f>
        <v>0</v>
      </c>
      <c r="F146" s="41">
        <f>+F147+F152+F153+F154+F155</f>
        <v>0</v>
      </c>
      <c r="G146" s="41">
        <f>+G147+G152+G153+G154+G155</f>
        <v>0</v>
      </c>
      <c r="H146" s="6"/>
      <c r="I146" s="96">
        <f>+I147+I152+I153+I154+I155</f>
        <v>0</v>
      </c>
      <c r="J146" s="41">
        <f>+J147+J152+J153+J154+J155</f>
        <v>0</v>
      </c>
      <c r="K146" s="41">
        <f>+K147+K152+K153+K154+K155</f>
        <v>0</v>
      </c>
      <c r="L146" s="6"/>
      <c r="M146" s="72">
        <f>+M147+M152+M153+M154+M155</f>
        <v>0.96284639730840538</v>
      </c>
      <c r="N146" s="41">
        <f>+N147+N152+N153+N154+N155</f>
        <v>0.60540740451286834</v>
      </c>
      <c r="O146" s="41">
        <f>+O147+O152+O153+O154+O155</f>
        <v>0.7910471452015041</v>
      </c>
      <c r="P146" s="6"/>
      <c r="Q146" s="96"/>
      <c r="R146" s="41"/>
      <c r="S146" s="41"/>
      <c r="T146" s="6"/>
      <c r="U146" s="96"/>
      <c r="V146" s="41"/>
      <c r="W146" s="41"/>
      <c r="X146" s="6"/>
      <c r="Y146" s="96"/>
      <c r="Z146" s="41"/>
      <c r="AA146" s="41"/>
      <c r="AB146" s="6"/>
      <c r="AC146" s="83">
        <f>+AC147+AC152+AC153+AC154+AC155</f>
        <v>0.97337833471637847</v>
      </c>
      <c r="AD146" s="59">
        <f>+AD147+AD152+AD153+AD154+AD155</f>
        <v>0.61579599321049849</v>
      </c>
      <c r="AE146" s="59">
        <f>+AE147+AE152+AE153+AE154+AE155</f>
        <v>0.79201452154783991</v>
      </c>
      <c r="AG146" s="109"/>
      <c r="AK146" s="109"/>
      <c r="AO146" s="109"/>
      <c r="AS146" s="109"/>
      <c r="AW146" s="109"/>
      <c r="BA146" s="109"/>
      <c r="BE146" s="109"/>
    </row>
    <row r="147" spans="1:57" ht="16.5" hidden="1" outlineLevel="1" x14ac:dyDescent="0.25">
      <c r="A147" s="204"/>
      <c r="B147" s="9"/>
      <c r="C147" s="37" t="s">
        <v>56</v>
      </c>
      <c r="D147" s="6"/>
      <c r="E147" s="96">
        <f>+E148+E149+E150+E151</f>
        <v>0</v>
      </c>
      <c r="F147" s="41">
        <f>+F148+F149+F150+F151</f>
        <v>0</v>
      </c>
      <c r="G147" s="41">
        <f>+G148+G149+G150+G151</f>
        <v>0</v>
      </c>
      <c r="H147" s="6"/>
      <c r="I147" s="96">
        <f>+I148+I149+I150+I151</f>
        <v>0</v>
      </c>
      <c r="J147" s="41">
        <f>+J148+J149+J150+J151</f>
        <v>0</v>
      </c>
      <c r="K147" s="41">
        <f>+K148+K149+K150+K151</f>
        <v>0</v>
      </c>
      <c r="L147" s="6"/>
      <c r="M147" s="72">
        <f>+M148+M149+M150+M151</f>
        <v>0.64485361583319278</v>
      </c>
      <c r="N147" s="41">
        <f>+N148+N149+N150+N151</f>
        <v>0.61492540733895207</v>
      </c>
      <c r="O147" s="41">
        <f>+O148+O149+O150+O151</f>
        <v>0.59873299055050433</v>
      </c>
      <c r="P147" s="6"/>
      <c r="Q147" s="96"/>
      <c r="R147" s="41"/>
      <c r="S147" s="41"/>
      <c r="T147" s="6"/>
      <c r="U147" s="96"/>
      <c r="V147" s="41"/>
      <c r="W147" s="41"/>
      <c r="X147" s="6"/>
      <c r="Y147" s="96"/>
      <c r="Z147" s="41"/>
      <c r="AA147" s="41"/>
      <c r="AB147" s="6"/>
      <c r="AC147" s="83">
        <f>+AC148+AC149+AC150+AC151</f>
        <v>0.65457873720381499</v>
      </c>
      <c r="AD147" s="59">
        <f>+AD148+AD149+AD150+AD151</f>
        <v>0.62966463587312782</v>
      </c>
      <c r="AE147" s="59">
        <f>+AE148+AE149+AE150+AE151</f>
        <v>0.59970036689684014</v>
      </c>
      <c r="AG147" s="109"/>
      <c r="AK147" s="109"/>
      <c r="AO147" s="109"/>
      <c r="AS147" s="109"/>
      <c r="AW147" s="109"/>
      <c r="BA147" s="109"/>
      <c r="BE147" s="109"/>
    </row>
    <row r="148" spans="1:57" ht="16.5" hidden="1" outlineLevel="1" x14ac:dyDescent="0.25">
      <c r="A148" s="204"/>
      <c r="B148" s="9"/>
      <c r="C148" s="38" t="s">
        <v>23</v>
      </c>
      <c r="D148" s="6"/>
      <c r="E148" s="97">
        <f>IFERROR(-SUM([3]Retail!$O$45,[3]Retail!$R$45:$V$45,[3]Retail!$Y$45,[3]Retail!$AB$45,[3]Retail!$AU$45,[3]Retail!$AX$45,[3]Retail!$BA$45,[3]Retail!$BD$45)/1000/E145,0)</f>
        <v>0</v>
      </c>
      <c r="F148" s="42">
        <f>IFERROR(-SUM([3]Retail!$O$46,[3]Retail!$R$46:$V$46,[3]Retail!$Y$46,[3]Retail!$AB$46,[3]Retail!$AU$46,[3]Retail!$AX$46,[3]Retail!$BA$46,[3]Retail!$BD$46)/1000/F145,0)</f>
        <v>0</v>
      </c>
      <c r="G148" s="42">
        <f>IFERROR(-SUM([3]Retail!$O$47,[3]Retail!$R$47:$V$47,[3]Retail!$Y$47,[3]Retail!$AB$47,[3]Retail!$AU$47,[3]Retail!$AX$47,[3]Retail!$BA$47,[3]Retail!$BD$47)/1000/G145,0)</f>
        <v>0</v>
      </c>
      <c r="H148" s="6"/>
      <c r="I148" s="97">
        <f>IFERROR(-SUM([3]SME!$O$45,[3]SME!$R$45:$V$45,[3]SME!$Y$45,[3]SME!$AB$45,[3]SME!$AU$45,[3]SME!$AX$45,[3]SME!$BA$45,[3]SME!$BD$45)/1000/I145,0)</f>
        <v>0</v>
      </c>
      <c r="J148" s="42">
        <f>IFERROR(-SUM([3]SME!$O$46,[3]SME!$R$46:$V$46,[3]SME!$Y$46,[3]SME!$AB$46,[3]SME!$AU$46,[3]SME!$AX$46,[3]SME!$BA$46,[3]SME!$BD$46)/1000/J145,0)</f>
        <v>0</v>
      </c>
      <c r="K148" s="42">
        <f>IFERROR(-SUM([3]SME!$O$47,[3]SME!$R$47:$V$47,[3]SME!$Y$47,[3]SME!$AB$47,[3]SME!$AU$47,[3]SME!$AX$47,[3]SME!$BA$47,[3]SME!$BD$47)/1000/K145,0)</f>
        <v>0</v>
      </c>
      <c r="L148" s="6"/>
      <c r="M148" s="73">
        <f>-SUM([3]MidCorp!$O$45,[3]MidCorp!$R$45:$V$45,[3]MidCorp!$Y$45,[3]MidCorp!$AB$45,[3]MidCorp!$AU$45,[3]MidCorp!$AX$45,[3]MidCorp!$BA$45,[3]MidCorp!$BD$45)/1000/M145</f>
        <v>0.50775795238262822</v>
      </c>
      <c r="N148" s="42">
        <f>IFERROR(-SUM([3]MidCorp!$O$46,[3]MidCorp!$R$46:$V$46,[3]MidCorp!$Y$46,[3]MidCorp!$AB$46,[3]MidCorp!$AU$46,[3]MidCorp!$AX$46,[3]MidCorp!$BA$46,[3]MidCorp!$BD$46)/1000/N145,0)</f>
        <v>0.56188883265504941</v>
      </c>
      <c r="O148" s="42">
        <f>-SUM([3]MidCorp!$O$47,[3]MidCorp!$R$47:$V$47,[3]MidCorp!$Y$47,[3]MidCorp!$AB$47,[3]MidCorp!$AU$47,[3]MidCorp!$AX$47,[3]MidCorp!$BA$47,[3]MidCorp!$BD$47)/1000/O145</f>
        <v>0.42603469254548376</v>
      </c>
      <c r="P148" s="6"/>
      <c r="Q148" s="97"/>
      <c r="R148" s="42"/>
      <c r="S148" s="42"/>
      <c r="T148" s="6"/>
      <c r="U148" s="97"/>
      <c r="V148" s="42"/>
      <c r="W148" s="42"/>
      <c r="X148" s="6"/>
      <c r="Y148" s="97"/>
      <c r="Z148" s="42"/>
      <c r="AA148" s="42"/>
      <c r="AB148" s="6"/>
      <c r="AC148" s="84">
        <f>-SUM('[3]Total P&amp;C'!$O$45,'[3]Total P&amp;C'!$R$45:$V$45,'[3]Total P&amp;C'!$Y$45,'[3]Total P&amp;C'!$AB$45,'[3]Total P&amp;C'!$AU$45,'[3]Total P&amp;C'!$AX$45,'[3]Total P&amp;C'!$BA$45,'[3]Total P&amp;C'!$BD$45)/1000/AC145</f>
        <v>0.50475206433492525</v>
      </c>
      <c r="AD148" s="60">
        <f>-SUM('[3]Total P&amp;C'!$O$46,'[3]Total P&amp;C'!$R$46:$V$46,'[3]Total P&amp;C'!$Y$46,'[3]Total P&amp;C'!$AB$46,'[3]Total P&amp;C'!$AU$46,'[3]Total P&amp;C'!$AX$46,'[3]Total P&amp;C'!$BA$46,'[3]Total P&amp;C'!$BD$46)/1000/AD145</f>
        <v>0.56074755801895326</v>
      </c>
      <c r="AE148" s="60">
        <f>-SUM('[3]Total P&amp;C'!$O$47,'[3]Total P&amp;C'!$R$47:$V$47,'[3]Total P&amp;C'!$Y$47,'[3]Total P&amp;C'!$AB$47,'[3]Total P&amp;C'!$AU$47,'[3]Total P&amp;C'!$AX$47,'[3]Total P&amp;C'!$BA$47,'[3]Total P&amp;C'!$BD$47)/1000/AE145</f>
        <v>0.42603469254548376</v>
      </c>
      <c r="AG148" s="109"/>
      <c r="AK148" s="109"/>
      <c r="AO148" s="109"/>
      <c r="AS148" s="109"/>
      <c r="AW148" s="109"/>
      <c r="BA148" s="109"/>
      <c r="BE148" s="109"/>
    </row>
    <row r="149" spans="1:57" ht="16.5" hidden="1" outlineLevel="1" x14ac:dyDescent="0.25">
      <c r="A149" s="204"/>
      <c r="B149" s="9"/>
      <c r="C149" s="38" t="s">
        <v>24</v>
      </c>
      <c r="D149" s="7"/>
      <c r="E149" s="97">
        <f>IFERROR(-([3]Retail!$P$45+[3]Retail!$W$45+[3]Retail!$AV$45+[3]Retail!$AY$45)/1000/E145,0)</f>
        <v>0</v>
      </c>
      <c r="F149" s="42">
        <f>IFERROR(-([3]Retail!$P$46+[3]Retail!$W$46+[3]Retail!$AV$46+[3]Retail!$AY$46)/1000/F145,0)</f>
        <v>0</v>
      </c>
      <c r="G149" s="42">
        <f>IFERROR(-([3]Retail!$P$47+[3]Retail!$W$47+[3]Retail!$AV$47+[3]Retail!$AY$47)/1000/G145,0)</f>
        <v>0</v>
      </c>
      <c r="H149" s="7"/>
      <c r="I149" s="97">
        <f>IFERROR(-([3]SME!$P$45+[3]SME!$W$45+[3]SME!$AV$45+[3]SME!$AY$45)/1000/I145,0)</f>
        <v>0</v>
      </c>
      <c r="J149" s="42">
        <f>IFERROR(-([3]SME!$P$46+[3]SME!$W$46+[3]SME!$AV$46+[3]SME!$AY$46)/1000/J145,0)</f>
        <v>0</v>
      </c>
      <c r="K149" s="42">
        <f>IFERROR(-([3]SME!$P$47+[3]SME!$W$47+[3]SME!$AV$47+[3]SME!$AY$47)/1000/K145,0)</f>
        <v>0</v>
      </c>
      <c r="L149" s="7"/>
      <c r="M149" s="97">
        <f>-([3]MidCorp!$P$45+[3]MidCorp!$W$45+[3]MidCorp!$AV$45+[3]MidCorp!$AY$45)/1000/M145</f>
        <v>0</v>
      </c>
      <c r="N149" s="42">
        <f>IFERROR(-([3]MidCorp!$P$46+[3]MidCorp!$W$46+[3]MidCorp!$AV$46+[3]MidCorp!$AY$46)/1000/N145,0)</f>
        <v>0</v>
      </c>
      <c r="O149" s="42">
        <f>-([3]MidCorp!$P$47+[3]MidCorp!$W$47+[3]MidCorp!$AV$47+[3]MidCorp!$AY$47)/1000/O145</f>
        <v>0</v>
      </c>
      <c r="P149" s="7"/>
      <c r="Q149" s="97"/>
      <c r="R149" s="42"/>
      <c r="S149" s="42"/>
      <c r="T149" s="7"/>
      <c r="U149" s="97"/>
      <c r="V149" s="42"/>
      <c r="W149" s="42"/>
      <c r="X149" s="7"/>
      <c r="Y149" s="97"/>
      <c r="Z149" s="42"/>
      <c r="AA149" s="42"/>
      <c r="AB149" s="7"/>
      <c r="AC149" s="99">
        <f>-('[3]Total P&amp;C'!$P$45+'[3]Total P&amp;C'!$W$45+'[3]Total P&amp;C'!$AV$45+'[3]Total P&amp;C'!$AY$45)/1000/AC145</f>
        <v>0</v>
      </c>
      <c r="AD149" s="60">
        <f>-('[3]Total P&amp;C'!$P$46+'[3]Total P&amp;C'!$W$46+'[3]Total P&amp;C'!$AV$46+'[3]Total P&amp;C'!$AY$46)/1000/AD145</f>
        <v>0</v>
      </c>
      <c r="AE149" s="60">
        <f>-('[3]Total P&amp;C'!$P$47+'[3]Total P&amp;C'!$W$47+'[3]Total P&amp;C'!$AV$47+'[3]Total P&amp;C'!$AY$47)/1000/AE145</f>
        <v>0</v>
      </c>
      <c r="AG149" s="109"/>
      <c r="AK149" s="109"/>
      <c r="AO149" s="109"/>
      <c r="AS149" s="109"/>
      <c r="AW149" s="109"/>
      <c r="BA149" s="109"/>
      <c r="BE149" s="109"/>
    </row>
    <row r="150" spans="1:57" ht="16.5" hidden="1" outlineLevel="1" x14ac:dyDescent="0.25">
      <c r="A150" s="204"/>
      <c r="B150" s="9"/>
      <c r="C150" s="38" t="s">
        <v>25</v>
      </c>
      <c r="D150" s="7"/>
      <c r="E150" s="97">
        <f>IFERROR(-([3]Retail!$Q$45+[3]Retail!$X$45+[3]Retail!$AW$45+[3]Retail!$AZ$45)/1000/E145,0)</f>
        <v>0</v>
      </c>
      <c r="F150" s="42">
        <f>IFERROR(-([3]Retail!$Q$46+[3]Retail!$X$46+[3]Retail!$AW$46+[3]Retail!$AZ$46)/1000/F145,0)</f>
        <v>0</v>
      </c>
      <c r="G150" s="42">
        <f>IFERROR(-([3]Retail!$Q$47+[3]Retail!$X$47+[3]Retail!$AW$47+[3]Retail!$AZ$47)/1000/G145,0)</f>
        <v>0</v>
      </c>
      <c r="H150" s="7"/>
      <c r="I150" s="97">
        <f>IFERROR(-([3]SME!$Q$45+[3]SME!$X$45+[3]SME!$AW$45+[3]SME!$AZ$45)/1000/I145,0)</f>
        <v>0</v>
      </c>
      <c r="J150" s="42">
        <f>IFERROR(-([3]SME!$Q$46+[3]SME!$X$46+[3]SME!$AW$46+[3]SME!$AZ$46)/1000/J145,0)</f>
        <v>0</v>
      </c>
      <c r="K150" s="42">
        <f>IFERROR(-([3]SME!$Q$47+[3]SME!$X$47+[3]SME!$AW$47+[3]SME!$AZ$47)/1000/K145,0)</f>
        <v>0</v>
      </c>
      <c r="L150" s="7"/>
      <c r="M150" s="74">
        <f>-([3]MidCorp!$Q$45+[3]MidCorp!$X$45+[3]MidCorp!$AW$45+[3]MidCorp!$AZ$45)/1000/M145</f>
        <v>7.878161385324306E-2</v>
      </c>
      <c r="N150" s="42">
        <f>IFERROR(-([3]MidCorp!$Q$46+[3]MidCorp!$X$46+[3]MidCorp!$AW$46+[3]MidCorp!$AZ$46)/1000/N145,0)</f>
        <v>0</v>
      </c>
      <c r="O150" s="42">
        <f>-([3]MidCorp!$Q$47+[3]MidCorp!$X$47+[3]MidCorp!$AW$47+[3]MidCorp!$AZ$47)/1000/O145</f>
        <v>0.12120095781047112</v>
      </c>
      <c r="P150" s="7"/>
      <c r="Q150" s="97"/>
      <c r="R150" s="42"/>
      <c r="S150" s="42"/>
      <c r="T150" s="7"/>
      <c r="U150" s="97"/>
      <c r="V150" s="42"/>
      <c r="W150" s="42"/>
      <c r="X150" s="7"/>
      <c r="Y150" s="97"/>
      <c r="Z150" s="42"/>
      <c r="AA150" s="42"/>
      <c r="AB150" s="7"/>
      <c r="AC150" s="85">
        <f>-('[3]Total P&amp;C'!$Q$45+'[3]Total P&amp;C'!$X$45+'[3]Total P&amp;C'!$AW$45+'[3]Total P&amp;C'!$AZ$45)/1000/AC145</f>
        <v>7.878161385324306E-2</v>
      </c>
      <c r="AD150" s="60">
        <f>-('[3]Total P&amp;C'!$Q$46+'[3]Total P&amp;C'!$X$46+'[3]Total P&amp;C'!$AW$46+'[3]Total P&amp;C'!$AZ$46)/1000/AD145</f>
        <v>0</v>
      </c>
      <c r="AE150" s="60">
        <f>-('[3]Total P&amp;C'!$Q$47+'[3]Total P&amp;C'!$X$47+'[3]Total P&amp;C'!$AW$47+'[3]Total P&amp;C'!$AZ$47)/1000/AE145</f>
        <v>0.12120095781047112</v>
      </c>
      <c r="AG150" s="109"/>
      <c r="AK150" s="109"/>
      <c r="AO150" s="109"/>
      <c r="AS150" s="109"/>
      <c r="AW150" s="109"/>
      <c r="BA150" s="109"/>
      <c r="BE150" s="109"/>
    </row>
    <row r="151" spans="1:57" ht="16.5" hidden="1" outlineLevel="1" x14ac:dyDescent="0.25">
      <c r="A151" s="204"/>
      <c r="B151" s="9"/>
      <c r="C151" s="38" t="s">
        <v>53</v>
      </c>
      <c r="D151" s="7"/>
      <c r="E151" s="97">
        <f>IFERROR(-[3]Retail!$AT$45/1000/E145,0)</f>
        <v>0</v>
      </c>
      <c r="F151" s="42">
        <f>IFERROR(-[3]Retail!$AT$46/1000/F145,0)</f>
        <v>0</v>
      </c>
      <c r="G151" s="42">
        <f>IFERROR(-[3]Retail!$AT$47/1000/G145,0)</f>
        <v>0</v>
      </c>
      <c r="H151" s="7"/>
      <c r="I151" s="97">
        <f>IFERROR(-[3]SME!$AT$45/1000/I145,0)</f>
        <v>0</v>
      </c>
      <c r="J151" s="42">
        <f>IFERROR(-[3]SME!$AT$46/1000/J145,0)</f>
        <v>0</v>
      </c>
      <c r="K151" s="42">
        <f>-IFERROR([3]SME!$AT$47/1000/K145,0)</f>
        <v>0</v>
      </c>
      <c r="L151" s="7"/>
      <c r="M151" s="73">
        <f>-[3]MidCorp!$AT$45/1000/M145</f>
        <v>5.8314049597321553E-2</v>
      </c>
      <c r="N151" s="42">
        <f>IFERROR(-[3]MidCorp!$AT$46/1000/N145,0)</f>
        <v>5.3036574683902646E-2</v>
      </c>
      <c r="O151" s="42">
        <f>-[3]MidCorp!$AT$47/1000/O145</f>
        <v>5.1497340194549455E-2</v>
      </c>
      <c r="P151" s="7"/>
      <c r="Q151" s="97"/>
      <c r="R151" s="42"/>
      <c r="S151" s="42"/>
      <c r="T151" s="7"/>
      <c r="U151" s="97"/>
      <c r="V151" s="42"/>
      <c r="W151" s="42"/>
      <c r="X151" s="7"/>
      <c r="Y151" s="97"/>
      <c r="Z151" s="42"/>
      <c r="AA151" s="42"/>
      <c r="AB151" s="7"/>
      <c r="AC151" s="84">
        <f>-'[3]Total P&amp;C'!$AT$45/1000/AC145</f>
        <v>7.1045059015646561E-2</v>
      </c>
      <c r="AD151" s="60">
        <f>-'[3]Total P&amp;C'!$AT$46/1000/AD145</f>
        <v>6.891707785417453E-2</v>
      </c>
      <c r="AE151" s="60">
        <f>-'[3]Total P&amp;C'!$AT$47/1000/AE145</f>
        <v>5.2464716540885262E-2</v>
      </c>
      <c r="AG151" s="109"/>
      <c r="AK151" s="109"/>
      <c r="AO151" s="109"/>
      <c r="AS151" s="109"/>
      <c r="AW151" s="109"/>
      <c r="BA151" s="109"/>
      <c r="BE151" s="109"/>
    </row>
    <row r="152" spans="1:57" ht="16.5" hidden="1" outlineLevel="1" x14ac:dyDescent="0.25">
      <c r="A152" s="204"/>
      <c r="B152" s="9"/>
      <c r="C152" s="37" t="s">
        <v>27</v>
      </c>
      <c r="D152" s="7"/>
      <c r="E152" s="71">
        <f>IFERROR(-([3]Retail!$Z$45+[3]Retail!$AA$45+[3]Retail!$BB$45+[3]Retail!$BC$45)/1000/E145,0)</f>
        <v>0</v>
      </c>
      <c r="F152" s="41">
        <f>IFERROR(-([3]Retail!$Z$46+[3]Retail!$AA$46+[3]Retail!$BB$46+[3]Retail!$BC$46)/1000/F145,0)</f>
        <v>0</v>
      </c>
      <c r="G152" s="41">
        <f>IFERROR(-([3]Retail!$Z$47+[3]Retail!$AA$47+[3]Retail!$BB$47+[3]Retail!$BC$47)/1000/G145,0)</f>
        <v>0</v>
      </c>
      <c r="H152" s="7"/>
      <c r="I152" s="72">
        <f>IFERROR(-([3]SME!$Z$45+[3]SME!$AA$45+[3]SME!$BB$45+[3]SME!$BC$45)/1000/I145,0)</f>
        <v>0</v>
      </c>
      <c r="J152" s="41">
        <f>IFERROR(-([3]SME!$Z$46+[3]SME!$AA$46+[3]SME!$BB$46+[3]SME!$BC$46)/1000/J145,0)</f>
        <v>0</v>
      </c>
      <c r="K152" s="41">
        <f>IFERROR(-([3]SME!$Z$47+[3]SME!$AA$47+[3]SME!$BB$47+[3]SME!$BC$47)/1000/K145,0)</f>
        <v>0</v>
      </c>
      <c r="L152" s="7"/>
      <c r="M152" s="71">
        <f>-([3]MidCorp!$Z$45+[3]MidCorp!$AA$45+[3]MidCorp!$BB$45+[3]MidCorp!$BC$45)/1000/M145</f>
        <v>-6.8494729225625717E-2</v>
      </c>
      <c r="N152" s="41">
        <f>IFERROR(-([3]MidCorp!$Z$46+[3]MidCorp!$AA$46+[3]MidCorp!$BB$46+[3]MidCorp!$BC$46)/1000/N145,0)</f>
        <v>-5.9140843058312666E-2</v>
      </c>
      <c r="O152" s="41">
        <f>-([3]MidCorp!$Z$47+[3]MidCorp!$AA$47+[3]MidCorp!$BB$47+[3]MidCorp!$BC$47)/1000/O145</f>
        <v>-4.8529923414496696E-2</v>
      </c>
      <c r="P152" s="7"/>
      <c r="Q152" s="71"/>
      <c r="R152" s="41"/>
      <c r="S152" s="41"/>
      <c r="T152" s="7"/>
      <c r="U152" s="71"/>
      <c r="V152" s="41"/>
      <c r="W152" s="41"/>
      <c r="X152" s="7"/>
      <c r="Y152" s="41"/>
      <c r="Z152" s="41"/>
      <c r="AA152" s="41"/>
      <c r="AB152" s="7"/>
      <c r="AC152" s="86">
        <f>-('[3]Total P&amp;C'!$Z$45+'[3]Total P&amp;C'!$AA$45+'[3]Total P&amp;C'!$BB$45+'[3]Total P&amp;C'!$BC$45)/1000/AC145</f>
        <v>-6.8122892495048604E-2</v>
      </c>
      <c r="AD152" s="59">
        <f>-('[3]Total P&amp;C'!$Z$46+'[3]Total P&amp;C'!$AA$46+'[3]Total P&amp;C'!$BB$46+'[3]Total P&amp;C'!$BC$46)/1000/AD145</f>
        <v>-5.9011912496674257E-2</v>
      </c>
      <c r="AE152" s="59">
        <f>-('[3]Total P&amp;C'!$Z$47+'[3]Total P&amp;C'!$AA$47+'[3]Total P&amp;C'!$BB$47+'[3]Total P&amp;C'!$BC$47)/1000/AE145</f>
        <v>-4.8529923414496696E-2</v>
      </c>
      <c r="AG152" s="109"/>
      <c r="AK152" s="109"/>
      <c r="AO152" s="109"/>
      <c r="AS152" s="109"/>
      <c r="AW152" s="109"/>
      <c r="BA152" s="109"/>
      <c r="BE152" s="109"/>
    </row>
    <row r="153" spans="1:57" ht="16.5" hidden="1" outlineLevel="1" x14ac:dyDescent="0.25">
      <c r="A153" s="204"/>
      <c r="B153" s="9"/>
      <c r="C153" s="37" t="s">
        <v>57</v>
      </c>
      <c r="D153" s="7"/>
      <c r="E153" s="96">
        <f>IFERROR(-SUM([3]Retail!$AC$45:$AI$45,[3]Retail!$BE$45:$BG$45)/1000/E145,0)</f>
        <v>0</v>
      </c>
      <c r="F153" s="41">
        <f>IFERROR(-SUM([3]Retail!$AC$46:$AI$46,[3]Retail!$BE$46:$BG$46)/1000/F145,0)</f>
        <v>0</v>
      </c>
      <c r="G153" s="41">
        <f>IFERROR(-SUM([3]Retail!$AC$47:$AI$47,[3]Retail!$BE$47:$BG$47)/1000/G145,0)</f>
        <v>0</v>
      </c>
      <c r="H153" s="7"/>
      <c r="I153" s="96">
        <f>IFERROR(-SUM([3]SME!$AC$45:$AI$45,[3]SME!$BE$45:$BG$45)/1000/I145,0)</f>
        <v>0</v>
      </c>
      <c r="J153" s="41">
        <f>IFERROR(-SUM([3]SME!$AC$46:$AI$46,[3]SME!$BE$46:$BG$46)/1000/J145,0)</f>
        <v>0</v>
      </c>
      <c r="K153" s="41">
        <f>IFERROR(-SUM([3]SME!$AC$47:$AI$47,[3]SME!$BE$47:$BG$47)/1000/K145,0)</f>
        <v>0</v>
      </c>
      <c r="L153" s="7"/>
      <c r="M153" s="72">
        <f>-SUM([3]MidCorp!$AC$45:$AI$45,[3]MidCorp!$BE$45:$BG$45)/1000/M145</f>
        <v>0.14883576708657062</v>
      </c>
      <c r="N153" s="41">
        <f>IFERROR(-SUM([3]MidCorp!$AC$46:$AI$46,[3]MidCorp!$BE$46:$BG$46)/1000/N145,0)</f>
        <v>-0.30920617466087658</v>
      </c>
      <c r="O153" s="41">
        <f>-SUM([3]MidCorp!$AC$47:$AI$47,[3]MidCorp!$BE$47:$BG$47)/1000/O145</f>
        <v>-9.8863007306004488E-3</v>
      </c>
      <c r="P153" s="7"/>
      <c r="Q153" s="96"/>
      <c r="R153" s="41"/>
      <c r="S153" s="41"/>
      <c r="T153" s="7"/>
      <c r="U153" s="96"/>
      <c r="V153" s="41"/>
      <c r="W153" s="41"/>
      <c r="X153" s="7"/>
      <c r="Y153" s="96"/>
      <c r="Z153" s="41"/>
      <c r="AA153" s="41"/>
      <c r="AB153" s="7"/>
      <c r="AC153" s="83">
        <f>-SUM('[3]Total P&amp;C'!$AC$45:$AI$45,'[3]Total P&amp;C'!$BE$45:$BG$45)/1000/AC145</f>
        <v>0.14942903184530898</v>
      </c>
      <c r="AD153" s="59">
        <f>-SUM('[3]Total P&amp;C'!$AC$46:$AI$46,'[3]Total P&amp;C'!$BE$46:$BG$46)/1000/AD145</f>
        <v>-0.31391592522677186</v>
      </c>
      <c r="AE153" s="59">
        <f>-SUM('[3]Total P&amp;C'!$AC$47:$AI$47,'[3]Total P&amp;C'!$BE$47:$BG$47)/1000/AE145</f>
        <v>-9.8863007306004488E-3</v>
      </c>
      <c r="AG153" s="109"/>
      <c r="AK153" s="109"/>
      <c r="AO153" s="109"/>
      <c r="AS153" s="109"/>
      <c r="AW153" s="109"/>
      <c r="BA153" s="109"/>
      <c r="BE153" s="109"/>
    </row>
    <row r="154" spans="1:57" ht="16.5" hidden="1" outlineLevel="1" x14ac:dyDescent="0.25">
      <c r="A154" s="204"/>
      <c r="B154" s="9"/>
      <c r="C154" s="37" t="s">
        <v>29</v>
      </c>
      <c r="D154" s="7"/>
      <c r="E154" s="96">
        <f>IFERROR(-SUM([3]Retail!$AJ$45:$AK$45,[3]Retail!$BH$45:$BI$45)/1000/E145,0)</f>
        <v>0</v>
      </c>
      <c r="F154" s="41">
        <f>IFERROR(-SUM([3]Retail!$AJ$46:$AK$46,[3]Retail!$BH$46:$BI$46)/1000/F145,0)</f>
        <v>0</v>
      </c>
      <c r="G154" s="41">
        <f>IFERROR(-SUM([3]Retail!$AJ$47:$AK$47,[3]Retail!$BH$47:$BI$47)/1000/G145,0)</f>
        <v>0</v>
      </c>
      <c r="H154" s="7"/>
      <c r="I154" s="96">
        <f>IFERROR(-SUM([3]SME!$AJ$45:$AK$45,[3]SME!$BH$45:$BI$45)/1000/I145,0)</f>
        <v>0</v>
      </c>
      <c r="J154" s="41">
        <f>IFERROR(-SUM([3]SME!$AJ$46:$AK$46,[3]SME!$BH$46:$BI$46)/1000/J145,0)</f>
        <v>0</v>
      </c>
      <c r="K154" s="41">
        <f>IFERROR(-SUM([3]SME!$AJ$47:$AK$47,[3]SME!$BH$47:$BI$47)/1000/K145,0)</f>
        <v>0</v>
      </c>
      <c r="L154" s="7"/>
      <c r="M154" s="71">
        <f>-SUM([3]MidCorp!$AJ$45:$AK$45,[3]MidCorp!$BH$45:$BI$45)/1000/M145</f>
        <v>-3.0428969016764212E-2</v>
      </c>
      <c r="N154" s="41">
        <f>IFERROR(-SUM([3]MidCorp!$AJ$46:$AK$46,[3]MidCorp!$BH$46:$BI$46)/1000/N145,0)</f>
        <v>6.0917686587155379E-2</v>
      </c>
      <c r="O154" s="41">
        <f>-SUM([3]MidCorp!$AJ$47:$AK$47,[3]MidCorp!$BH$47:$BI$47)/1000/O145</f>
        <v>0</v>
      </c>
      <c r="P154" s="7"/>
      <c r="Q154" s="96"/>
      <c r="R154" s="41"/>
      <c r="S154" s="41"/>
      <c r="T154" s="7"/>
      <c r="U154" s="96"/>
      <c r="V154" s="41"/>
      <c r="W154" s="41"/>
      <c r="X154" s="7"/>
      <c r="Y154" s="96"/>
      <c r="Z154" s="41"/>
      <c r="AA154" s="41"/>
      <c r="AB154" s="7"/>
      <c r="AC154" s="86">
        <f>-SUM('[3]Total P&amp;C'!$AJ$45:$AK$45,'[3]Total P&amp;C'!$BH$45:$BI$45)/1000/AC145</f>
        <v>-3.0587254468728751E-2</v>
      </c>
      <c r="AD154" s="59">
        <f>-SUM('[3]Total P&amp;C'!$AJ$46:$AK$46,'[3]Total P&amp;C'!$BH$46:$BI$46)/1000/AD145</f>
        <v>6.1147866754866657E-2</v>
      </c>
      <c r="AE154" s="59">
        <f>-SUM('[3]Total P&amp;C'!$AJ$47:$AK$47,'[3]Total P&amp;C'!$BH$47:$BI$47)/1000/AE145</f>
        <v>0</v>
      </c>
      <c r="AG154" s="109"/>
      <c r="AK154" s="109"/>
      <c r="AO154" s="109"/>
      <c r="AS154" s="109"/>
      <c r="AW154" s="109"/>
      <c r="BA154" s="109"/>
      <c r="BE154" s="109"/>
    </row>
    <row r="155" spans="1:57" ht="16.5" hidden="1" outlineLevel="1" x14ac:dyDescent="0.25">
      <c r="A155" s="204"/>
      <c r="B155" s="9"/>
      <c r="C155" s="37" t="s">
        <v>58</v>
      </c>
      <c r="D155" s="7"/>
      <c r="E155" s="96">
        <f>+E156+E157+E158</f>
        <v>0</v>
      </c>
      <c r="F155" s="41">
        <f>+F156+F157+F158</f>
        <v>0</v>
      </c>
      <c r="G155" s="41">
        <f>+G156+G157+G158</f>
        <v>0</v>
      </c>
      <c r="H155" s="7"/>
      <c r="I155" s="96">
        <f>+I156+I157+I158</f>
        <v>0</v>
      </c>
      <c r="J155" s="41">
        <f>+J156+J157+J158</f>
        <v>0</v>
      </c>
      <c r="K155" s="41">
        <f>+K156+K157+K158</f>
        <v>0</v>
      </c>
      <c r="L155" s="7"/>
      <c r="M155" s="72">
        <f>+M156+M157+M158</f>
        <v>0.26808071263103184</v>
      </c>
      <c r="N155" s="41">
        <f>+N156+N157+N158</f>
        <v>0.29791132830595013</v>
      </c>
      <c r="O155" s="41">
        <f>+O156+O157+O158</f>
        <v>0.25073037879609694</v>
      </c>
      <c r="P155" s="7"/>
      <c r="Q155" s="96"/>
      <c r="R155" s="41"/>
      <c r="S155" s="41"/>
      <c r="T155" s="7"/>
      <c r="U155" s="96"/>
      <c r="V155" s="41"/>
      <c r="W155" s="41"/>
      <c r="X155" s="7"/>
      <c r="Y155" s="96"/>
      <c r="Z155" s="41"/>
      <c r="AA155" s="41"/>
      <c r="AB155" s="7"/>
      <c r="AC155" s="83">
        <f>+AC156+AC157+AC158</f>
        <v>0.26808071263103184</v>
      </c>
      <c r="AD155" s="59">
        <f>+AD156+AD157+AD158</f>
        <v>0.29791132830595013</v>
      </c>
      <c r="AE155" s="59">
        <f>+AE156+AE157+AE158</f>
        <v>0.25073037879609694</v>
      </c>
      <c r="AG155" s="109"/>
      <c r="AK155" s="109"/>
      <c r="AO155" s="109"/>
      <c r="AS155" s="109"/>
      <c r="AW155" s="109"/>
      <c r="BA155" s="109"/>
      <c r="BE155" s="109"/>
    </row>
    <row r="156" spans="1:57" ht="16.5" hidden="1" outlineLevel="1" x14ac:dyDescent="0.25">
      <c r="A156" s="204"/>
      <c r="B156" s="9"/>
      <c r="C156" s="39" t="s">
        <v>59</v>
      </c>
      <c r="D156" s="8"/>
      <c r="E156" s="97">
        <f>IFERROR(-SUM([3]Retail!$AL$45:$AN$45,[3]Retail!$BJ$45)/1000/E145,0)</f>
        <v>0</v>
      </c>
      <c r="F156" s="42">
        <f>IFERROR(-SUM([3]Retail!$AL$46:$AN$46,[3]Retail!$BJ$46)/1000/F145,0)</f>
        <v>0</v>
      </c>
      <c r="G156" s="42">
        <f>IFERROR(-SUM([3]Retail!$AL$47:$AN$47,[3]Retail!$BJ$47)/1000/G145,0)</f>
        <v>0</v>
      </c>
      <c r="H156" s="8"/>
      <c r="I156" s="97">
        <f>IFERROR(-SUM([3]SME!$AL$45:$AN$45,[3]SME!$BJ$45)/1000/I145,0)</f>
        <v>0</v>
      </c>
      <c r="J156" s="42">
        <f>IFERROR(-SUM([3]SME!$AL$46:$AN$46,[3]SME!$BJ$46)/1000/J145,0)</f>
        <v>0</v>
      </c>
      <c r="K156" s="42">
        <f>IFERROR(-SUM([3]SME!$AL$47:$AN$47,[3]SME!$BJ$47)/1000/K145,0)</f>
        <v>0</v>
      </c>
      <c r="L156" s="8"/>
      <c r="M156" s="73">
        <f>-SUM([3]MidCorp!$AL$45:$AN$45,[3]MidCorp!$BJ$45)/1000/M145</f>
        <v>0.17464464849889555</v>
      </c>
      <c r="N156" s="42">
        <f>IFERROR(-SUM([3]MidCorp!$AL$46:$AN$46,[3]MidCorp!$BJ$46)/1000/N145,0)</f>
        <v>0.17069651779488215</v>
      </c>
      <c r="O156" s="42">
        <f>-SUM([3]MidCorp!$AL$47:$AN$47,[3]MidCorp!$BJ$47)/1000/O145</f>
        <v>0.14257401948908532</v>
      </c>
      <c r="P156" s="8"/>
      <c r="Q156" s="97"/>
      <c r="R156" s="42"/>
      <c r="S156" s="42"/>
      <c r="T156" s="8"/>
      <c r="U156" s="97"/>
      <c r="V156" s="42"/>
      <c r="W156" s="42"/>
      <c r="X156" s="8"/>
      <c r="Y156" s="97"/>
      <c r="Z156" s="42"/>
      <c r="AA156" s="42"/>
      <c r="AB156" s="8"/>
      <c r="AC156" s="84">
        <f>-SUM('[3]Total P&amp;C'!$AL$45:$AN$45,'[3]Total P&amp;C'!$BJ$45)/1000/AC145</f>
        <v>0.17464464849889555</v>
      </c>
      <c r="AD156" s="60">
        <f>-SUM('[3]Total P&amp;C'!$AL$46:$AN$46,'[3]Total P&amp;C'!$BJ$46)/1000/AD145</f>
        <v>0.17069651779488215</v>
      </c>
      <c r="AE156" s="60">
        <f>-SUM('[3]Total P&amp;C'!$AL$47:$AN$47,'[3]Total P&amp;C'!$BJ$47)/1000/AE145</f>
        <v>0.14257401948908532</v>
      </c>
      <c r="AG156" s="109"/>
      <c r="AK156" s="109"/>
      <c r="AO156" s="109"/>
      <c r="AS156" s="109"/>
      <c r="AW156" s="109"/>
      <c r="BA156" s="109"/>
      <c r="BE156" s="109"/>
    </row>
    <row r="157" spans="1:57" ht="16.5" hidden="1" outlineLevel="1" x14ac:dyDescent="0.25">
      <c r="A157" s="204"/>
      <c r="B157" s="9"/>
      <c r="C157" s="39" t="s">
        <v>60</v>
      </c>
      <c r="D157" s="8"/>
      <c r="E157" s="97">
        <f>IFERROR(-SUM([3]Retail!$AO$45:$AP$45)/1000/E145,0)</f>
        <v>0</v>
      </c>
      <c r="F157" s="42">
        <f>IFERROR(-SUM([3]Retail!$AO$46:$AP$46)/1000/F145,0)</f>
        <v>0</v>
      </c>
      <c r="G157" s="42">
        <f>IFERROR(-SUM([3]Retail!$AO$47:$AP$47)/1000/G145,0)</f>
        <v>0</v>
      </c>
      <c r="H157" s="8"/>
      <c r="I157" s="97">
        <f>IFERROR(-SUM([3]SME!$AO$45:$AP$45)/1000/I145,0)</f>
        <v>0</v>
      </c>
      <c r="J157" s="42">
        <f>IFERROR(-SUM([3]SME!$AO$46:$AP$46)/1000/J145,0)</f>
        <v>0</v>
      </c>
      <c r="K157" s="42">
        <f>IFERROR(-SUM([3]SME!$AO$47:$AP$47)/1000/K145,0)</f>
        <v>0</v>
      </c>
      <c r="L157" s="8"/>
      <c r="M157" s="74">
        <f>-SUM([3]MidCorp!$AO$45:$AP$45)/1000/M145</f>
        <v>3.8791562313128865E-2</v>
      </c>
      <c r="N157" s="42">
        <f>IFERROR(-SUM([3]MidCorp!$AO$46:$AP$46)/1000/N145,0)</f>
        <v>5.5647217327257796E-2</v>
      </c>
      <c r="O157" s="42">
        <f>-SUM([3]MidCorp!$AO$47:$AP$47)/1000/O145</f>
        <v>4.1416165538049846E-2</v>
      </c>
      <c r="P157" s="8"/>
      <c r="Q157" s="97"/>
      <c r="R157" s="42"/>
      <c r="S157" s="42"/>
      <c r="T157" s="8"/>
      <c r="U157" s="97"/>
      <c r="V157" s="42"/>
      <c r="W157" s="42"/>
      <c r="X157" s="8"/>
      <c r="Y157" s="97"/>
      <c r="Z157" s="42"/>
      <c r="AA157" s="42"/>
      <c r="AB157" s="8"/>
      <c r="AC157" s="85">
        <f>-SUM('[3]Total P&amp;C'!$AO$45:$AP$45)/1000/AC145</f>
        <v>3.8791562313128865E-2</v>
      </c>
      <c r="AD157" s="60">
        <f>-SUM('[3]Total P&amp;C'!$AO$46:$AP$46)/1000/AD145</f>
        <v>5.5647217327257796E-2</v>
      </c>
      <c r="AE157" s="60">
        <f>-SUM('[3]Total P&amp;C'!$AO$47:$AP$47)/1000/AE145</f>
        <v>4.1416165538049846E-2</v>
      </c>
      <c r="AG157" s="109"/>
      <c r="AK157" s="109"/>
      <c r="AO157" s="109"/>
      <c r="AS157" s="109"/>
      <c r="AW157" s="109"/>
      <c r="BA157" s="109"/>
      <c r="BE157" s="109"/>
    </row>
    <row r="158" spans="1:57" ht="16.5" hidden="1" outlineLevel="1" x14ac:dyDescent="0.25">
      <c r="A158" s="204"/>
      <c r="B158" s="9"/>
      <c r="C158" s="39" t="s">
        <v>61</v>
      </c>
      <c r="D158" s="8"/>
      <c r="E158" s="97">
        <f>IFERROR(-SUM([3]Retail!$AQ$45:$AR$45)/1000/E145,0)</f>
        <v>0</v>
      </c>
      <c r="F158" s="42">
        <f>IFERROR(-SUM([3]Retail!$AQ$46:$AR$46)/1000/F145,0)</f>
        <v>0</v>
      </c>
      <c r="G158" s="42">
        <f>IFERROR(-SUM([3]Retail!$AQ$47:$AR$47)/1000/G145,0)</f>
        <v>0</v>
      </c>
      <c r="H158" s="8"/>
      <c r="I158" s="97">
        <f>IFERROR(-SUM([3]SME!$AQ$45:$AR$45)/1000/I145,0)</f>
        <v>0</v>
      </c>
      <c r="J158" s="42">
        <f>IFERROR(-SUM([3]SME!$AQ$46:$AR$46)/1000/J145,0)</f>
        <v>0</v>
      </c>
      <c r="K158" s="42">
        <f>IFERROR(-SUM([3]SME!$AQ$47:$AR$47)/1000/K145,0)</f>
        <v>0</v>
      </c>
      <c r="L158" s="8"/>
      <c r="M158" s="74">
        <f>-SUM([3]MidCorp!$AQ$45:$AR$45)/1000/M145</f>
        <v>5.4644501819007402E-2</v>
      </c>
      <c r="N158" s="42">
        <f>IFERROR(-SUM([3]MidCorp!$AQ$46:$AR$46)/1000/N145,0)</f>
        <v>7.1567593183810174E-2</v>
      </c>
      <c r="O158" s="42">
        <f>-SUM([3]MidCorp!$AQ$47:$AR$47)/1000/O145</f>
        <v>6.6740193768961786E-2</v>
      </c>
      <c r="P158" s="8"/>
      <c r="Q158" s="97"/>
      <c r="R158" s="42"/>
      <c r="S158" s="42"/>
      <c r="T158" s="8"/>
      <c r="U158" s="97"/>
      <c r="V158" s="42"/>
      <c r="W158" s="42"/>
      <c r="X158" s="8"/>
      <c r="Y158" s="97"/>
      <c r="Z158" s="42"/>
      <c r="AA158" s="42"/>
      <c r="AB158" s="8"/>
      <c r="AC158" s="85">
        <f>-SUM('[3]Total P&amp;C'!$AQ$45:$AR$45)/1000/AC145</f>
        <v>5.4644501819007402E-2</v>
      </c>
      <c r="AD158" s="60">
        <f>-SUM('[3]Total P&amp;C'!$AQ$46:$AR$46)/1000/AD145</f>
        <v>7.1567593183810174E-2</v>
      </c>
      <c r="AE158" s="60">
        <f>-SUM('[3]Total P&amp;C'!$AQ$47:$AR$47)/1000/AE145</f>
        <v>6.6740193768961786E-2</v>
      </c>
      <c r="AG158" s="109"/>
      <c r="AK158" s="109"/>
      <c r="AO158" s="109"/>
      <c r="AS158" s="109"/>
      <c r="AW158" s="109"/>
      <c r="BA158" s="109"/>
      <c r="BE158" s="109"/>
    </row>
    <row r="159" spans="1:57" ht="16.5" hidden="1" outlineLevel="1" x14ac:dyDescent="0.25">
      <c r="A159" s="204"/>
      <c r="B159" s="9"/>
      <c r="C159" s="37" t="s">
        <v>34</v>
      </c>
      <c r="D159" s="6"/>
      <c r="E159" s="70">
        <f>+[3]Retail!$BK$45/1000</f>
        <v>0</v>
      </c>
      <c r="F159" s="40">
        <f>+[3]Retail!$BK$46/1000</f>
        <v>0</v>
      </c>
      <c r="G159" s="40">
        <f>+[3]Retail!$BK$47/1000</f>
        <v>0</v>
      </c>
      <c r="H159" s="6"/>
      <c r="I159" s="70">
        <f>+[3]SME!$BK$45/1000</f>
        <v>-8.5186120000000032E-2</v>
      </c>
      <c r="J159" s="40">
        <f>+[3]SME!$BK$46/1000</f>
        <v>-8.5440189999999999E-2</v>
      </c>
      <c r="K159" s="40">
        <f>+[3]SME!$BK$47/1000</f>
        <v>0</v>
      </c>
      <c r="L159" s="6"/>
      <c r="M159" s="70">
        <f>+[3]MidCorp!$BK$45/1000</f>
        <v>0.30051177999999845</v>
      </c>
      <c r="N159" s="40">
        <f>+[3]MidCorp!$BK$46/1000</f>
        <v>3.2452980200000034</v>
      </c>
      <c r="O159" s="40">
        <f>+[3]MidCorp!$BK$47/1000</f>
        <v>1.9183475353085684</v>
      </c>
      <c r="P159" s="6"/>
      <c r="Q159" s="70"/>
      <c r="R159" s="40"/>
      <c r="S159" s="40"/>
      <c r="T159" s="6"/>
      <c r="U159" s="70"/>
      <c r="V159" s="40"/>
      <c r="W159" s="40"/>
      <c r="X159" s="6"/>
      <c r="Y159" s="70"/>
      <c r="Z159" s="40"/>
      <c r="AA159" s="40"/>
      <c r="AB159" s="6"/>
      <c r="AC159" s="82">
        <f>+'[3]Total P&amp;C'!$BK$45/1000</f>
        <v>0.21532565999999864</v>
      </c>
      <c r="AD159" s="58">
        <f>+'[3]Total P&amp;C'!$BK$46/1000</f>
        <v>3.1598578300000022</v>
      </c>
      <c r="AE159" s="58">
        <f>+'[3]Total P&amp;C'!$BK$47/1000</f>
        <v>1.9094662781872027</v>
      </c>
      <c r="AG159" s="108"/>
      <c r="AK159" s="108"/>
      <c r="AO159" s="108"/>
      <c r="AS159" s="108"/>
      <c r="AW159" s="108"/>
      <c r="BA159" s="108"/>
      <c r="BE159" s="108"/>
    </row>
    <row r="160" spans="1:57" collapsed="1" x14ac:dyDescent="0.25"/>
    <row r="161" spans="1:57" ht="16.5" x14ac:dyDescent="0.25">
      <c r="A161" s="204" t="s">
        <v>68</v>
      </c>
      <c r="B161" s="9"/>
      <c r="C161" s="37" t="s">
        <v>19</v>
      </c>
      <c r="D161" s="6"/>
      <c r="E161" s="75" t="s">
        <v>188</v>
      </c>
      <c r="F161" s="75" t="s">
        <v>189</v>
      </c>
      <c r="G161" s="75" t="s">
        <v>190</v>
      </c>
      <c r="H161" s="6"/>
      <c r="I161" s="75">
        <v>129</v>
      </c>
      <c r="J161" s="75">
        <v>129</v>
      </c>
      <c r="K161" s="75">
        <v>129</v>
      </c>
      <c r="L161" s="6"/>
      <c r="M161" s="75" t="s">
        <v>191</v>
      </c>
      <c r="N161" s="75" t="s">
        <v>191</v>
      </c>
      <c r="O161" s="75" t="s">
        <v>191</v>
      </c>
      <c r="P161" s="6"/>
      <c r="Q161" s="75" t="s">
        <v>192</v>
      </c>
      <c r="R161" s="75" t="s">
        <v>193</v>
      </c>
      <c r="S161" s="75" t="s">
        <v>194</v>
      </c>
      <c r="T161" s="6"/>
      <c r="U161" s="70">
        <v>444</v>
      </c>
      <c r="V161" s="70">
        <v>444</v>
      </c>
      <c r="W161" s="70">
        <v>444</v>
      </c>
      <c r="X161" s="6"/>
      <c r="Y161" s="70">
        <v>12345</v>
      </c>
      <c r="Z161" s="70">
        <v>12345</v>
      </c>
      <c r="AA161" s="70">
        <v>12345</v>
      </c>
      <c r="AB161" s="6"/>
      <c r="AC161" s="87">
        <v>123455</v>
      </c>
      <c r="AD161" s="87">
        <v>123455</v>
      </c>
      <c r="AE161" s="87">
        <v>123455</v>
      </c>
      <c r="AG161" s="108"/>
      <c r="AK161" s="108"/>
      <c r="AO161" s="108"/>
      <c r="AS161" s="108"/>
      <c r="AW161" s="108"/>
      <c r="BA161" s="108"/>
      <c r="BE161" s="108"/>
    </row>
    <row r="162" spans="1:57" ht="16.5" x14ac:dyDescent="0.25">
      <c r="A162" s="202"/>
      <c r="B162" s="9"/>
      <c r="C162" s="37" t="s">
        <v>55</v>
      </c>
      <c r="D162" s="6"/>
      <c r="E162" s="75" t="s">
        <v>188</v>
      </c>
      <c r="F162" s="75" t="s">
        <v>189</v>
      </c>
      <c r="G162" s="75" t="s">
        <v>190</v>
      </c>
      <c r="H162" s="6"/>
      <c r="I162" s="75">
        <v>129</v>
      </c>
      <c r="J162" s="75">
        <v>129</v>
      </c>
      <c r="K162" s="75">
        <v>129</v>
      </c>
      <c r="L162" s="6"/>
      <c r="M162" s="75" t="s">
        <v>191</v>
      </c>
      <c r="N162" s="75" t="s">
        <v>191</v>
      </c>
      <c r="O162" s="75" t="s">
        <v>191</v>
      </c>
      <c r="P162" s="6"/>
      <c r="Q162" s="75" t="s">
        <v>192</v>
      </c>
      <c r="R162" s="75" t="s">
        <v>193</v>
      </c>
      <c r="S162" s="75" t="s">
        <v>194</v>
      </c>
      <c r="T162" s="6"/>
      <c r="U162" s="70">
        <v>444</v>
      </c>
      <c r="V162" s="70">
        <v>444</v>
      </c>
      <c r="W162" s="70">
        <v>444</v>
      </c>
      <c r="X162" s="6"/>
      <c r="Y162" s="70">
        <v>12345</v>
      </c>
      <c r="Z162" s="70">
        <v>12345</v>
      </c>
      <c r="AA162" s="70">
        <v>12345</v>
      </c>
      <c r="AB162" s="6"/>
      <c r="AC162" s="87">
        <v>123455</v>
      </c>
      <c r="AD162" s="87">
        <v>123455</v>
      </c>
      <c r="AE162" s="87">
        <v>123455</v>
      </c>
      <c r="AG162" s="108"/>
      <c r="AK162" s="108"/>
      <c r="AO162" s="108"/>
      <c r="AS162" s="108"/>
      <c r="AW162" s="108"/>
      <c r="BA162" s="108"/>
      <c r="BE162" s="108"/>
    </row>
    <row r="163" spans="1:57" ht="16.5" x14ac:dyDescent="0.25">
      <c r="A163" s="202"/>
      <c r="B163" s="9"/>
      <c r="C163" s="37" t="s">
        <v>21</v>
      </c>
      <c r="D163" s="6"/>
      <c r="E163" s="75" t="s">
        <v>188</v>
      </c>
      <c r="F163" s="75" t="s">
        <v>189</v>
      </c>
      <c r="G163" s="75" t="s">
        <v>190</v>
      </c>
      <c r="H163" s="6"/>
      <c r="I163" s="75">
        <v>129</v>
      </c>
      <c r="J163" s="75">
        <v>129</v>
      </c>
      <c r="K163" s="75">
        <v>129</v>
      </c>
      <c r="L163" s="6"/>
      <c r="M163" s="75" t="s">
        <v>191</v>
      </c>
      <c r="N163" s="75" t="s">
        <v>191</v>
      </c>
      <c r="O163" s="75" t="s">
        <v>191</v>
      </c>
      <c r="P163" s="6"/>
      <c r="Q163" s="75" t="s">
        <v>192</v>
      </c>
      <c r="R163" s="75" t="s">
        <v>193</v>
      </c>
      <c r="S163" s="75" t="s">
        <v>194</v>
      </c>
      <c r="T163" s="6"/>
      <c r="U163" s="70">
        <v>444</v>
      </c>
      <c r="V163" s="70">
        <v>444</v>
      </c>
      <c r="W163" s="70">
        <v>444</v>
      </c>
      <c r="X163" s="6"/>
      <c r="Y163" s="70">
        <v>12345</v>
      </c>
      <c r="Z163" s="70">
        <v>12345</v>
      </c>
      <c r="AA163" s="70">
        <v>12345</v>
      </c>
      <c r="AB163" s="6"/>
      <c r="AC163" s="87">
        <v>123455</v>
      </c>
      <c r="AD163" s="87">
        <v>123455</v>
      </c>
      <c r="AE163" s="87">
        <v>123455</v>
      </c>
      <c r="AG163" s="109"/>
      <c r="AK163" s="109"/>
      <c r="AO163" s="109"/>
      <c r="AS163" s="109"/>
      <c r="AW163" s="109"/>
      <c r="BA163" s="109"/>
      <c r="BE163" s="109"/>
    </row>
    <row r="164" spans="1:57" ht="16.5" x14ac:dyDescent="0.25">
      <c r="A164" s="202"/>
      <c r="B164" s="9"/>
      <c r="C164" s="37" t="s">
        <v>56</v>
      </c>
      <c r="D164" s="6"/>
      <c r="E164" s="75" t="s">
        <v>188</v>
      </c>
      <c r="F164" s="75" t="s">
        <v>189</v>
      </c>
      <c r="G164" s="75" t="s">
        <v>190</v>
      </c>
      <c r="H164" s="6"/>
      <c r="I164" s="75">
        <v>129</v>
      </c>
      <c r="J164" s="75">
        <v>129</v>
      </c>
      <c r="K164" s="75">
        <v>129</v>
      </c>
      <c r="L164" s="6"/>
      <c r="M164" s="75" t="s">
        <v>191</v>
      </c>
      <c r="N164" s="75" t="s">
        <v>191</v>
      </c>
      <c r="O164" s="75" t="s">
        <v>191</v>
      </c>
      <c r="P164" s="6"/>
      <c r="Q164" s="75" t="s">
        <v>192</v>
      </c>
      <c r="R164" s="75" t="s">
        <v>193</v>
      </c>
      <c r="S164" s="75" t="s">
        <v>194</v>
      </c>
      <c r="T164" s="6"/>
      <c r="U164" s="70">
        <v>444</v>
      </c>
      <c r="V164" s="70">
        <v>444</v>
      </c>
      <c r="W164" s="70">
        <v>444</v>
      </c>
      <c r="X164" s="6"/>
      <c r="Y164" s="70">
        <v>12345</v>
      </c>
      <c r="Z164" s="70">
        <v>12345</v>
      </c>
      <c r="AA164" s="70">
        <v>12345</v>
      </c>
      <c r="AB164" s="6"/>
      <c r="AC164" s="87">
        <v>123455</v>
      </c>
      <c r="AD164" s="87">
        <v>123455</v>
      </c>
      <c r="AE164" s="87">
        <v>123455</v>
      </c>
      <c r="AG164" s="109"/>
      <c r="AK164" s="109"/>
      <c r="AO164" s="109"/>
      <c r="AS164" s="109"/>
      <c r="AW164" s="109"/>
      <c r="BA164" s="109"/>
      <c r="BE164" s="109"/>
    </row>
    <row r="165" spans="1:57" ht="16.5" x14ac:dyDescent="0.25">
      <c r="A165" s="202"/>
      <c r="B165" s="9"/>
      <c r="C165" s="38" t="s">
        <v>23</v>
      </c>
      <c r="D165" s="6"/>
      <c r="E165" s="75" t="s">
        <v>188</v>
      </c>
      <c r="F165" s="75" t="s">
        <v>189</v>
      </c>
      <c r="G165" s="75" t="s">
        <v>190</v>
      </c>
      <c r="H165" s="6"/>
      <c r="I165" s="75">
        <v>129</v>
      </c>
      <c r="J165" s="75">
        <v>129</v>
      </c>
      <c r="K165" s="75">
        <v>129</v>
      </c>
      <c r="L165" s="6"/>
      <c r="M165" s="75" t="s">
        <v>191</v>
      </c>
      <c r="N165" s="75" t="s">
        <v>191</v>
      </c>
      <c r="O165" s="75" t="s">
        <v>191</v>
      </c>
      <c r="P165" s="6"/>
      <c r="Q165" s="75" t="s">
        <v>192</v>
      </c>
      <c r="R165" s="75" t="s">
        <v>193</v>
      </c>
      <c r="S165" s="75" t="s">
        <v>194</v>
      </c>
      <c r="T165" s="6"/>
      <c r="U165" s="70">
        <v>444</v>
      </c>
      <c r="V165" s="70">
        <v>444</v>
      </c>
      <c r="W165" s="70">
        <v>444</v>
      </c>
      <c r="X165" s="6"/>
      <c r="Y165" s="70">
        <v>12345</v>
      </c>
      <c r="Z165" s="70">
        <v>12345</v>
      </c>
      <c r="AA165" s="70">
        <v>12345</v>
      </c>
      <c r="AB165" s="6"/>
      <c r="AC165" s="87">
        <v>123455</v>
      </c>
      <c r="AD165" s="87">
        <v>123455</v>
      </c>
      <c r="AE165" s="87">
        <v>123455</v>
      </c>
      <c r="AG165" s="109"/>
      <c r="AK165" s="109"/>
      <c r="AO165" s="109"/>
      <c r="AS165" s="109"/>
      <c r="AW165" s="109"/>
      <c r="BA165" s="109"/>
      <c r="BE165" s="109"/>
    </row>
    <row r="166" spans="1:57" ht="16.5" x14ac:dyDescent="0.25">
      <c r="A166" s="202"/>
      <c r="B166" s="9"/>
      <c r="C166" s="38" t="s">
        <v>24</v>
      </c>
      <c r="D166" s="7"/>
      <c r="E166" s="75" t="s">
        <v>188</v>
      </c>
      <c r="F166" s="75" t="s">
        <v>189</v>
      </c>
      <c r="G166" s="75" t="s">
        <v>190</v>
      </c>
      <c r="H166" s="7"/>
      <c r="I166" s="75">
        <v>129</v>
      </c>
      <c r="J166" s="75">
        <v>129</v>
      </c>
      <c r="K166" s="75">
        <v>129</v>
      </c>
      <c r="L166" s="7"/>
      <c r="M166" s="75" t="s">
        <v>191</v>
      </c>
      <c r="N166" s="75" t="s">
        <v>191</v>
      </c>
      <c r="O166" s="75" t="s">
        <v>191</v>
      </c>
      <c r="P166" s="7"/>
      <c r="Q166" s="75" t="s">
        <v>192</v>
      </c>
      <c r="R166" s="75" t="s">
        <v>193</v>
      </c>
      <c r="S166" s="75" t="s">
        <v>194</v>
      </c>
      <c r="T166" s="7"/>
      <c r="U166" s="70">
        <v>444</v>
      </c>
      <c r="V166" s="70">
        <v>444</v>
      </c>
      <c r="W166" s="70">
        <v>444</v>
      </c>
      <c r="X166" s="7"/>
      <c r="Y166" s="70">
        <v>12345</v>
      </c>
      <c r="Z166" s="70">
        <v>12345</v>
      </c>
      <c r="AA166" s="70">
        <v>12345</v>
      </c>
      <c r="AB166" s="7"/>
      <c r="AC166" s="87">
        <v>123455</v>
      </c>
      <c r="AD166" s="87">
        <v>123455</v>
      </c>
      <c r="AE166" s="87">
        <v>123455</v>
      </c>
      <c r="AG166" s="109"/>
      <c r="AK166" s="109"/>
      <c r="AO166" s="109"/>
      <c r="AS166" s="109"/>
      <c r="AW166" s="109"/>
      <c r="BA166" s="109"/>
      <c r="BE166" s="109"/>
    </row>
    <row r="167" spans="1:57" ht="16.5" x14ac:dyDescent="0.25">
      <c r="A167" s="202"/>
      <c r="B167" s="9"/>
      <c r="C167" s="38" t="s">
        <v>25</v>
      </c>
      <c r="D167" s="7"/>
      <c r="E167" s="75" t="s">
        <v>188</v>
      </c>
      <c r="F167" s="75" t="s">
        <v>189</v>
      </c>
      <c r="G167" s="75" t="s">
        <v>190</v>
      </c>
      <c r="H167" s="7"/>
      <c r="I167" s="75">
        <v>129</v>
      </c>
      <c r="J167" s="75">
        <v>129</v>
      </c>
      <c r="K167" s="75">
        <v>129</v>
      </c>
      <c r="L167" s="7"/>
      <c r="M167" s="75" t="s">
        <v>191</v>
      </c>
      <c r="N167" s="75" t="s">
        <v>191</v>
      </c>
      <c r="O167" s="75" t="s">
        <v>191</v>
      </c>
      <c r="P167" s="7"/>
      <c r="Q167" s="75" t="s">
        <v>192</v>
      </c>
      <c r="R167" s="75" t="s">
        <v>193</v>
      </c>
      <c r="S167" s="75" t="s">
        <v>194</v>
      </c>
      <c r="T167" s="7"/>
      <c r="U167" s="70">
        <v>444</v>
      </c>
      <c r="V167" s="70">
        <v>444</v>
      </c>
      <c r="W167" s="70">
        <v>444</v>
      </c>
      <c r="X167" s="7"/>
      <c r="Y167" s="70">
        <v>12345</v>
      </c>
      <c r="Z167" s="70">
        <v>12345</v>
      </c>
      <c r="AA167" s="70">
        <v>12345</v>
      </c>
      <c r="AB167" s="7"/>
      <c r="AC167" s="87">
        <v>123455</v>
      </c>
      <c r="AD167" s="87">
        <v>123455</v>
      </c>
      <c r="AE167" s="87">
        <v>123455</v>
      </c>
      <c r="AG167" s="109"/>
      <c r="AK167" s="109"/>
      <c r="AO167" s="109"/>
      <c r="AS167" s="109"/>
      <c r="AW167" s="109"/>
      <c r="BA167" s="109"/>
      <c r="BE167" s="109"/>
    </row>
    <row r="168" spans="1:57" ht="16.5" x14ac:dyDescent="0.25">
      <c r="A168" s="202"/>
      <c r="B168" s="9"/>
      <c r="C168" s="38" t="s">
        <v>53</v>
      </c>
      <c r="D168" s="7"/>
      <c r="E168" s="75" t="s">
        <v>188</v>
      </c>
      <c r="F168" s="75" t="s">
        <v>189</v>
      </c>
      <c r="G168" s="75" t="s">
        <v>190</v>
      </c>
      <c r="H168" s="7"/>
      <c r="I168" s="75">
        <v>129</v>
      </c>
      <c r="J168" s="75">
        <v>129</v>
      </c>
      <c r="K168" s="75">
        <v>129</v>
      </c>
      <c r="L168" s="7"/>
      <c r="M168" s="75" t="s">
        <v>191</v>
      </c>
      <c r="N168" s="75" t="s">
        <v>191</v>
      </c>
      <c r="O168" s="75" t="s">
        <v>191</v>
      </c>
      <c r="P168" s="7"/>
      <c r="Q168" s="75" t="s">
        <v>192</v>
      </c>
      <c r="R168" s="75" t="s">
        <v>193</v>
      </c>
      <c r="S168" s="75" t="s">
        <v>194</v>
      </c>
      <c r="T168" s="7"/>
      <c r="U168" s="70">
        <v>444</v>
      </c>
      <c r="V168" s="70">
        <v>444</v>
      </c>
      <c r="W168" s="70">
        <v>444</v>
      </c>
      <c r="X168" s="7"/>
      <c r="Y168" s="70">
        <v>12345</v>
      </c>
      <c r="Z168" s="70">
        <v>12345</v>
      </c>
      <c r="AA168" s="70">
        <v>12345</v>
      </c>
      <c r="AB168" s="7"/>
      <c r="AC168" s="87">
        <v>123455</v>
      </c>
      <c r="AD168" s="87">
        <v>123455</v>
      </c>
      <c r="AE168" s="87">
        <v>123455</v>
      </c>
      <c r="AG168" s="109"/>
      <c r="AK168" s="109"/>
      <c r="AO168" s="109"/>
      <c r="AS168" s="109"/>
      <c r="AW168" s="109"/>
      <c r="BA168" s="109"/>
      <c r="BE168" s="109"/>
    </row>
    <row r="169" spans="1:57" ht="16.5" x14ac:dyDescent="0.25">
      <c r="A169" s="202"/>
      <c r="B169" s="9"/>
      <c r="C169" s="37" t="s">
        <v>27</v>
      </c>
      <c r="D169" s="7"/>
      <c r="E169" s="75" t="s">
        <v>188</v>
      </c>
      <c r="F169" s="75" t="s">
        <v>189</v>
      </c>
      <c r="G169" s="75" t="s">
        <v>190</v>
      </c>
      <c r="H169" s="7"/>
      <c r="I169" s="75">
        <v>129</v>
      </c>
      <c r="J169" s="75">
        <v>129</v>
      </c>
      <c r="K169" s="75">
        <v>129</v>
      </c>
      <c r="L169" s="7"/>
      <c r="M169" s="75" t="s">
        <v>191</v>
      </c>
      <c r="N169" s="75" t="s">
        <v>191</v>
      </c>
      <c r="O169" s="75" t="s">
        <v>191</v>
      </c>
      <c r="P169" s="7"/>
      <c r="Q169" s="75" t="s">
        <v>192</v>
      </c>
      <c r="R169" s="75" t="s">
        <v>193</v>
      </c>
      <c r="S169" s="75" t="s">
        <v>194</v>
      </c>
      <c r="T169" s="7"/>
      <c r="U169" s="70">
        <v>444</v>
      </c>
      <c r="V169" s="70">
        <v>444</v>
      </c>
      <c r="W169" s="70">
        <v>444</v>
      </c>
      <c r="X169" s="7"/>
      <c r="Y169" s="70">
        <v>12345</v>
      </c>
      <c r="Z169" s="70">
        <v>12345</v>
      </c>
      <c r="AA169" s="70">
        <v>12345</v>
      </c>
      <c r="AB169" s="7"/>
      <c r="AC169" s="87">
        <v>123455</v>
      </c>
      <c r="AD169" s="87">
        <v>123455</v>
      </c>
      <c r="AE169" s="87">
        <v>123455</v>
      </c>
      <c r="AG169" s="109"/>
      <c r="AK169" s="109"/>
      <c r="AO169" s="109"/>
      <c r="AS169" s="109"/>
      <c r="AW169" s="109"/>
      <c r="BA169" s="109"/>
      <c r="BE169" s="109"/>
    </row>
    <row r="170" spans="1:57" ht="16.5" x14ac:dyDescent="0.25">
      <c r="A170" s="202"/>
      <c r="B170" s="9"/>
      <c r="C170" s="37" t="s">
        <v>57</v>
      </c>
      <c r="D170" s="7"/>
      <c r="E170" s="75" t="s">
        <v>188</v>
      </c>
      <c r="F170" s="75" t="s">
        <v>189</v>
      </c>
      <c r="G170" s="75" t="s">
        <v>190</v>
      </c>
      <c r="H170" s="7"/>
      <c r="I170" s="75">
        <v>129</v>
      </c>
      <c r="J170" s="75">
        <v>129</v>
      </c>
      <c r="K170" s="75">
        <v>129</v>
      </c>
      <c r="L170" s="7"/>
      <c r="M170" s="75" t="s">
        <v>191</v>
      </c>
      <c r="N170" s="75" t="s">
        <v>191</v>
      </c>
      <c r="O170" s="75" t="s">
        <v>191</v>
      </c>
      <c r="P170" s="7"/>
      <c r="Q170" s="75" t="s">
        <v>192</v>
      </c>
      <c r="R170" s="75" t="s">
        <v>193</v>
      </c>
      <c r="S170" s="75" t="s">
        <v>194</v>
      </c>
      <c r="T170" s="7"/>
      <c r="U170" s="70">
        <v>444</v>
      </c>
      <c r="V170" s="70">
        <v>444</v>
      </c>
      <c r="W170" s="70">
        <v>444</v>
      </c>
      <c r="X170" s="7"/>
      <c r="Y170" s="70">
        <v>12345</v>
      </c>
      <c r="Z170" s="70">
        <v>12345</v>
      </c>
      <c r="AA170" s="70">
        <v>12345</v>
      </c>
      <c r="AB170" s="7"/>
      <c r="AC170" s="87">
        <v>123455</v>
      </c>
      <c r="AD170" s="87">
        <v>123455</v>
      </c>
      <c r="AE170" s="87">
        <v>123455</v>
      </c>
      <c r="AG170" s="109"/>
      <c r="AK170" s="109"/>
      <c r="AO170" s="109"/>
      <c r="AS170" s="109"/>
      <c r="AW170" s="109"/>
      <c r="BA170" s="109"/>
      <c r="BE170" s="109"/>
    </row>
    <row r="171" spans="1:57" ht="16.5" x14ac:dyDescent="0.25">
      <c r="A171" s="202"/>
      <c r="B171" s="9"/>
      <c r="C171" s="37" t="s">
        <v>29</v>
      </c>
      <c r="D171" s="7"/>
      <c r="E171" s="75" t="s">
        <v>188</v>
      </c>
      <c r="F171" s="75" t="s">
        <v>189</v>
      </c>
      <c r="G171" s="75" t="s">
        <v>190</v>
      </c>
      <c r="H171" s="7"/>
      <c r="I171" s="75">
        <v>129</v>
      </c>
      <c r="J171" s="75">
        <v>129</v>
      </c>
      <c r="K171" s="75">
        <v>129</v>
      </c>
      <c r="L171" s="7"/>
      <c r="M171" s="75" t="s">
        <v>191</v>
      </c>
      <c r="N171" s="75" t="s">
        <v>191</v>
      </c>
      <c r="O171" s="75" t="s">
        <v>191</v>
      </c>
      <c r="P171" s="7"/>
      <c r="Q171" s="75" t="s">
        <v>192</v>
      </c>
      <c r="R171" s="75" t="s">
        <v>193</v>
      </c>
      <c r="S171" s="75" t="s">
        <v>194</v>
      </c>
      <c r="T171" s="7"/>
      <c r="U171" s="70">
        <v>444</v>
      </c>
      <c r="V171" s="70">
        <v>444</v>
      </c>
      <c r="W171" s="70">
        <v>444</v>
      </c>
      <c r="X171" s="7"/>
      <c r="Y171" s="70">
        <v>12345</v>
      </c>
      <c r="Z171" s="70">
        <v>12345</v>
      </c>
      <c r="AA171" s="70">
        <v>12345</v>
      </c>
      <c r="AB171" s="7"/>
      <c r="AC171" s="87">
        <v>123455</v>
      </c>
      <c r="AD171" s="87">
        <v>123455</v>
      </c>
      <c r="AE171" s="87">
        <v>123455</v>
      </c>
      <c r="AG171" s="109"/>
      <c r="AK171" s="109"/>
      <c r="AO171" s="109"/>
      <c r="AS171" s="109"/>
      <c r="AW171" s="109"/>
      <c r="BA171" s="109"/>
      <c r="BE171" s="109"/>
    </row>
    <row r="172" spans="1:57" ht="16.5" x14ac:dyDescent="0.25">
      <c r="A172" s="202"/>
      <c r="B172" s="9"/>
      <c r="C172" s="37" t="s">
        <v>58</v>
      </c>
      <c r="D172" s="7"/>
      <c r="E172" s="75" t="s">
        <v>188</v>
      </c>
      <c r="F172" s="75" t="s">
        <v>189</v>
      </c>
      <c r="G172" s="75" t="s">
        <v>190</v>
      </c>
      <c r="H172" s="7"/>
      <c r="I172" s="75">
        <v>129</v>
      </c>
      <c r="J172" s="75">
        <v>129</v>
      </c>
      <c r="K172" s="75">
        <v>129</v>
      </c>
      <c r="L172" s="7"/>
      <c r="M172" s="75" t="s">
        <v>191</v>
      </c>
      <c r="N172" s="75" t="s">
        <v>191</v>
      </c>
      <c r="O172" s="75" t="s">
        <v>191</v>
      </c>
      <c r="P172" s="7"/>
      <c r="Q172" s="75" t="s">
        <v>192</v>
      </c>
      <c r="R172" s="75" t="s">
        <v>193</v>
      </c>
      <c r="S172" s="75" t="s">
        <v>194</v>
      </c>
      <c r="T172" s="7"/>
      <c r="U172" s="70">
        <v>444</v>
      </c>
      <c r="V172" s="70">
        <v>444</v>
      </c>
      <c r="W172" s="70">
        <v>444</v>
      </c>
      <c r="X172" s="7"/>
      <c r="Y172" s="70">
        <v>12345</v>
      </c>
      <c r="Z172" s="70">
        <v>12345</v>
      </c>
      <c r="AA172" s="70">
        <v>12345</v>
      </c>
      <c r="AB172" s="7"/>
      <c r="AC172" s="87">
        <v>123455</v>
      </c>
      <c r="AD172" s="87">
        <v>123455</v>
      </c>
      <c r="AE172" s="87">
        <v>123455</v>
      </c>
      <c r="AG172" s="109"/>
      <c r="AK172" s="109"/>
      <c r="AO172" s="109"/>
      <c r="AS172" s="109"/>
      <c r="AW172" s="109"/>
      <c r="BA172" s="109"/>
      <c r="BE172" s="109"/>
    </row>
    <row r="173" spans="1:57" ht="16.5" x14ac:dyDescent="0.25">
      <c r="A173" s="202"/>
      <c r="B173" s="9"/>
      <c r="C173" s="39" t="s">
        <v>59</v>
      </c>
      <c r="D173" s="8"/>
      <c r="E173" s="75" t="s">
        <v>188</v>
      </c>
      <c r="F173" s="75" t="s">
        <v>189</v>
      </c>
      <c r="G173" s="75" t="s">
        <v>190</v>
      </c>
      <c r="H173" s="8"/>
      <c r="I173" s="75">
        <v>129</v>
      </c>
      <c r="J173" s="75">
        <v>129</v>
      </c>
      <c r="K173" s="75">
        <v>129</v>
      </c>
      <c r="L173" s="8"/>
      <c r="M173" s="75" t="s">
        <v>191</v>
      </c>
      <c r="N173" s="75" t="s">
        <v>191</v>
      </c>
      <c r="O173" s="75" t="s">
        <v>191</v>
      </c>
      <c r="P173" s="8"/>
      <c r="Q173" s="75" t="s">
        <v>192</v>
      </c>
      <c r="R173" s="75" t="s">
        <v>193</v>
      </c>
      <c r="S173" s="75" t="s">
        <v>194</v>
      </c>
      <c r="T173" s="8"/>
      <c r="U173" s="70">
        <v>444</v>
      </c>
      <c r="V173" s="70">
        <v>444</v>
      </c>
      <c r="W173" s="70">
        <v>444</v>
      </c>
      <c r="X173" s="8"/>
      <c r="Y173" s="70">
        <v>12345</v>
      </c>
      <c r="Z173" s="70">
        <v>12345</v>
      </c>
      <c r="AA173" s="70">
        <v>12345</v>
      </c>
      <c r="AB173" s="8"/>
      <c r="AC173" s="87">
        <v>123455</v>
      </c>
      <c r="AD173" s="87">
        <v>123455</v>
      </c>
      <c r="AE173" s="87">
        <v>123455</v>
      </c>
      <c r="AG173" s="109"/>
      <c r="AK173" s="109"/>
      <c r="AO173" s="109"/>
      <c r="AS173" s="109"/>
      <c r="AW173" s="109"/>
      <c r="BA173" s="109"/>
      <c r="BE173" s="109"/>
    </row>
    <row r="174" spans="1:57" ht="16.5" x14ac:dyDescent="0.25">
      <c r="A174" s="202"/>
      <c r="B174" s="9"/>
      <c r="C174" s="39" t="s">
        <v>60</v>
      </c>
      <c r="D174" s="8"/>
      <c r="E174" s="75" t="s">
        <v>188</v>
      </c>
      <c r="F174" s="75" t="s">
        <v>189</v>
      </c>
      <c r="G174" s="75" t="s">
        <v>190</v>
      </c>
      <c r="H174" s="8"/>
      <c r="I174" s="75">
        <v>129</v>
      </c>
      <c r="J174" s="75">
        <v>129</v>
      </c>
      <c r="K174" s="75">
        <v>129</v>
      </c>
      <c r="L174" s="8"/>
      <c r="M174" s="75" t="s">
        <v>191</v>
      </c>
      <c r="N174" s="75" t="s">
        <v>191</v>
      </c>
      <c r="O174" s="75" t="s">
        <v>191</v>
      </c>
      <c r="P174" s="8"/>
      <c r="Q174" s="75" t="s">
        <v>192</v>
      </c>
      <c r="R174" s="75" t="s">
        <v>193</v>
      </c>
      <c r="S174" s="75" t="s">
        <v>194</v>
      </c>
      <c r="T174" s="8"/>
      <c r="U174" s="70">
        <v>444</v>
      </c>
      <c r="V174" s="70">
        <v>444</v>
      </c>
      <c r="W174" s="70">
        <v>444</v>
      </c>
      <c r="X174" s="8"/>
      <c r="Y174" s="70">
        <v>12345</v>
      </c>
      <c r="Z174" s="70">
        <v>12345</v>
      </c>
      <c r="AA174" s="70">
        <v>12345</v>
      </c>
      <c r="AB174" s="8"/>
      <c r="AC174" s="87">
        <v>123455</v>
      </c>
      <c r="AD174" s="87">
        <v>123455</v>
      </c>
      <c r="AE174" s="87">
        <v>123455</v>
      </c>
      <c r="AG174" s="109"/>
      <c r="AK174" s="109"/>
      <c r="AO174" s="109"/>
      <c r="AS174" s="109"/>
      <c r="AW174" s="109"/>
      <c r="BA174" s="109"/>
      <c r="BE174" s="109"/>
    </row>
    <row r="175" spans="1:57" ht="16.5" x14ac:dyDescent="0.25">
      <c r="A175" s="202"/>
      <c r="B175" s="9"/>
      <c r="C175" s="39" t="s">
        <v>61</v>
      </c>
      <c r="D175" s="8"/>
      <c r="E175" s="75" t="s">
        <v>188</v>
      </c>
      <c r="F175" s="75" t="s">
        <v>189</v>
      </c>
      <c r="G175" s="75" t="s">
        <v>190</v>
      </c>
      <c r="H175" s="8"/>
      <c r="I175" s="75">
        <v>129</v>
      </c>
      <c r="J175" s="75">
        <v>129</v>
      </c>
      <c r="K175" s="75">
        <v>129</v>
      </c>
      <c r="L175" s="8"/>
      <c r="M175" s="75" t="s">
        <v>191</v>
      </c>
      <c r="N175" s="75" t="s">
        <v>191</v>
      </c>
      <c r="O175" s="75" t="s">
        <v>191</v>
      </c>
      <c r="P175" s="8"/>
      <c r="Q175" s="75" t="s">
        <v>192</v>
      </c>
      <c r="R175" s="75" t="s">
        <v>193</v>
      </c>
      <c r="S175" s="75" t="s">
        <v>194</v>
      </c>
      <c r="T175" s="8"/>
      <c r="U175" s="70">
        <v>444</v>
      </c>
      <c r="V175" s="70">
        <v>444</v>
      </c>
      <c r="W175" s="70">
        <v>444</v>
      </c>
      <c r="X175" s="8"/>
      <c r="Y175" s="70">
        <v>12345</v>
      </c>
      <c r="Z175" s="70">
        <v>12345</v>
      </c>
      <c r="AA175" s="70">
        <v>12345</v>
      </c>
      <c r="AB175" s="8"/>
      <c r="AC175" s="87">
        <v>123455</v>
      </c>
      <c r="AD175" s="87">
        <v>123455</v>
      </c>
      <c r="AE175" s="87">
        <v>123455</v>
      </c>
      <c r="AG175" s="109"/>
      <c r="AK175" s="109"/>
      <c r="AO175" s="109"/>
      <c r="AS175" s="109"/>
      <c r="AW175" s="109"/>
      <c r="BA175" s="109"/>
      <c r="BE175" s="109"/>
    </row>
    <row r="176" spans="1:57" ht="16.5" x14ac:dyDescent="0.25">
      <c r="A176" s="202"/>
      <c r="B176" s="9"/>
      <c r="C176" s="37" t="s">
        <v>34</v>
      </c>
      <c r="D176" s="6"/>
      <c r="E176" s="75" t="s">
        <v>188</v>
      </c>
      <c r="F176" s="75" t="s">
        <v>189</v>
      </c>
      <c r="G176" s="75" t="s">
        <v>190</v>
      </c>
      <c r="H176" s="6"/>
      <c r="I176" s="75">
        <v>129</v>
      </c>
      <c r="J176" s="75">
        <v>129</v>
      </c>
      <c r="K176" s="75">
        <v>129</v>
      </c>
      <c r="L176" s="6"/>
      <c r="M176" s="75" t="s">
        <v>191</v>
      </c>
      <c r="N176" s="75" t="s">
        <v>191</v>
      </c>
      <c r="O176" s="75" t="s">
        <v>191</v>
      </c>
      <c r="P176" s="6"/>
      <c r="Q176" s="75" t="s">
        <v>192</v>
      </c>
      <c r="R176" s="75" t="s">
        <v>193</v>
      </c>
      <c r="S176" s="75" t="s">
        <v>194</v>
      </c>
      <c r="T176" s="6"/>
      <c r="U176" s="70">
        <v>444</v>
      </c>
      <c r="V176" s="70">
        <v>444</v>
      </c>
      <c r="W176" s="70">
        <v>444</v>
      </c>
      <c r="X176" s="6"/>
      <c r="Y176" s="70">
        <v>12345</v>
      </c>
      <c r="Z176" s="70">
        <v>12345</v>
      </c>
      <c r="AA176" s="70">
        <v>12345</v>
      </c>
      <c r="AB176" s="6"/>
      <c r="AC176" s="87">
        <v>123455</v>
      </c>
      <c r="AD176" s="87">
        <v>123455</v>
      </c>
      <c r="AE176" s="87">
        <v>123455</v>
      </c>
      <c r="AG176" s="108"/>
      <c r="AK176" s="108"/>
      <c r="AO176" s="108"/>
      <c r="AS176" s="108"/>
      <c r="AW176" s="108"/>
      <c r="BA176" s="108"/>
      <c r="BE176" s="108"/>
    </row>
    <row r="177" spans="1:57" x14ac:dyDescent="0.25">
      <c r="M177" s="67">
        <f>SUM(M164,M169:M171)</f>
        <v>0</v>
      </c>
      <c r="N177" s="67">
        <f>M177-O177</f>
        <v>0</v>
      </c>
      <c r="O177" s="67">
        <f>SUM(O164,O169:O171)</f>
        <v>0</v>
      </c>
      <c r="Q177" s="67" t="e">
        <f>(Q165+Q168-R165-R168)</f>
        <v>#VALUE!</v>
      </c>
      <c r="R177" t="e">
        <f>Q177*Q162</f>
        <v>#VALUE!</v>
      </c>
    </row>
    <row r="178" spans="1:57" ht="16.5" hidden="1" outlineLevel="1" x14ac:dyDescent="0.25">
      <c r="A178" s="202" t="s">
        <v>42</v>
      </c>
      <c r="B178" s="9"/>
      <c r="C178" s="37" t="s">
        <v>19</v>
      </c>
      <c r="D178" s="6"/>
      <c r="E178" s="75">
        <f>+[3]Retail!$C$53/1000</f>
        <v>1.2185501199999993</v>
      </c>
      <c r="F178" s="40">
        <f>+[3]Retail!$C$54/1000</f>
        <v>1.0235148199999993</v>
      </c>
      <c r="G178" s="40">
        <f>+[3]Retail!$C$55/1000</f>
        <v>1.1549591886022801</v>
      </c>
      <c r="H178" s="6"/>
      <c r="I178" s="75">
        <f>+[3]SME!$C$53/1000</f>
        <v>0.40433286000000007</v>
      </c>
      <c r="J178" s="40">
        <f>+[3]SME!$C$54/1000</f>
        <v>2.4586641199999995</v>
      </c>
      <c r="K178" s="40">
        <f>+[3]SME!$C$55/1000</f>
        <v>0.37413000000000002</v>
      </c>
      <c r="L178" s="6"/>
      <c r="M178" s="75">
        <f>+[3]MidCorp!$C$53/1000</f>
        <v>5.8662681300000079</v>
      </c>
      <c r="N178" s="40">
        <f>+[3]MidCorp!$C$54/1000</f>
        <v>3.7568863499999985</v>
      </c>
      <c r="O178" s="40">
        <f>+[3]MidCorp!$C$55/1000</f>
        <v>5.0179404784264108</v>
      </c>
      <c r="P178" s="6"/>
      <c r="Q178" s="70">
        <f>+[3]MGA!$C$53/1000</f>
        <v>7.1004310000000001E-2</v>
      </c>
      <c r="R178" s="40">
        <f>+[3]MGA!$C$54/1000</f>
        <v>8.5579470000000019E-2</v>
      </c>
      <c r="S178" s="40">
        <f>+[3]MGA!$C$55/1000</f>
        <v>9.4920000000000004E-2</v>
      </c>
      <c r="T178" s="6"/>
      <c r="U178" s="70">
        <f>+[3]Bancassurance!$C$53/1000</f>
        <v>0</v>
      </c>
      <c r="V178" s="40">
        <f>+[3]Bancassurance!$C$54/1000</f>
        <v>0</v>
      </c>
      <c r="W178" s="40">
        <f>+[3]Bancassurance!$C$55/1000</f>
        <v>0</v>
      </c>
      <c r="X178" s="6"/>
      <c r="Y178" s="70">
        <f>+[3]Specials!$C$53/1000</f>
        <v>0</v>
      </c>
      <c r="Z178" s="40">
        <f>+[3]Specials!$C$54/1000</f>
        <v>0</v>
      </c>
      <c r="AA178" s="40">
        <f>+[3]Specials!$C$55/1000</f>
        <v>0</v>
      </c>
      <c r="AB178" s="6"/>
      <c r="AC178" s="87">
        <f>+'[3]Total P&amp;C'!$C$53/1000</f>
        <v>7.5601554200000072</v>
      </c>
      <c r="AD178" s="58">
        <f>+'[3]Total P&amp;C'!$C$54/1000</f>
        <v>7.3246447599999964</v>
      </c>
      <c r="AE178" s="58">
        <f>+'[3]Total P&amp;C'!$C$55/1000</f>
        <v>6.6419496670286904</v>
      </c>
      <c r="AG178" s="108"/>
      <c r="AK178" s="108"/>
      <c r="AO178" s="108"/>
      <c r="AS178" s="108"/>
      <c r="AW178" s="108"/>
      <c r="BA178" s="108"/>
      <c r="BE178" s="108"/>
    </row>
    <row r="179" spans="1:57" ht="16.5" hidden="1" outlineLevel="1" x14ac:dyDescent="0.25">
      <c r="A179" s="202"/>
      <c r="B179" s="9"/>
      <c r="C179" s="37" t="s">
        <v>55</v>
      </c>
      <c r="D179" s="6"/>
      <c r="E179" s="70">
        <f>+[3]Retail!$N$53/1000</f>
        <v>1.1005569900000001</v>
      </c>
      <c r="F179" s="40">
        <f>+[3]Retail!$N$54/1000</f>
        <v>0.88749872000000063</v>
      </c>
      <c r="G179" s="40">
        <f>+[3]Retail!$N$55/1000</f>
        <v>1.2191156129332839</v>
      </c>
      <c r="H179" s="6"/>
      <c r="I179" s="70">
        <f>+[3]SME!$N$53/1000</f>
        <v>-0.41640734000000018</v>
      </c>
      <c r="J179" s="40">
        <f>+[3]SME!$N$54/1000</f>
        <v>1.8055314499999993</v>
      </c>
      <c r="K179" s="40">
        <f>+[3]SME!$N$55/1000</f>
        <v>0.16665027249864792</v>
      </c>
      <c r="L179" s="6"/>
      <c r="M179" s="75">
        <f>+[3]MidCorp!$N$53/1000</f>
        <v>4.0425233700000076</v>
      </c>
      <c r="N179" s="40">
        <f>+[3]MidCorp!$N$54/1000</f>
        <v>1.7345666299999993</v>
      </c>
      <c r="O179" s="40">
        <f>+[3]MidCorp!$N$55/1000</f>
        <v>3.2016311764955327</v>
      </c>
      <c r="P179" s="6"/>
      <c r="Q179" s="70">
        <f>+[3]MGA!$N$53/1000</f>
        <v>6.2240860000000023E-2</v>
      </c>
      <c r="R179" s="40">
        <f>+[3]MGA!$N$54/1000</f>
        <v>7.6919479999999971E-2</v>
      </c>
      <c r="S179" s="40">
        <f>+[3]MGA!$N$55/1000</f>
        <v>9.0644932800574465E-2</v>
      </c>
      <c r="T179" s="6"/>
      <c r="U179" s="70">
        <f>+[3]Bancassurance!$N$53/1000</f>
        <v>0</v>
      </c>
      <c r="V179" s="40">
        <f>+[3]Bancassurance!$N$54/1000</f>
        <v>0</v>
      </c>
      <c r="W179" s="40">
        <f>+[3]Bancassurance!$N$55/1000</f>
        <v>0</v>
      </c>
      <c r="X179" s="6"/>
      <c r="Y179" s="70">
        <f>+[3]Specials!$N$53/1000</f>
        <v>0</v>
      </c>
      <c r="Z179" s="40">
        <f>+[3]Specials!$N$54/1000</f>
        <v>0</v>
      </c>
      <c r="AA179" s="40">
        <f>+[3]Specials!$N$55/1000</f>
        <v>0</v>
      </c>
      <c r="AB179" s="6"/>
      <c r="AC179" s="87">
        <f>+'[3]Total P&amp;C'!$N$53/1000</f>
        <v>4.7889138800000071</v>
      </c>
      <c r="AD179" s="58">
        <f>+'[3]Total P&amp;C'!$N$54/1000</f>
        <v>4.5045162799999989</v>
      </c>
      <c r="AE179" s="58">
        <f>+'[3]Total P&amp;C'!$N$55/1000</f>
        <v>4.6780419947280389</v>
      </c>
      <c r="AG179" s="108"/>
      <c r="AK179" s="108"/>
      <c r="AO179" s="108"/>
      <c r="AS179" s="108"/>
      <c r="AW179" s="108"/>
      <c r="BA179" s="108"/>
      <c r="BE179" s="108"/>
    </row>
    <row r="180" spans="1:57" ht="16.5" hidden="1" outlineLevel="1" x14ac:dyDescent="0.25">
      <c r="A180" s="202"/>
      <c r="B180" s="9"/>
      <c r="C180" s="37" t="s">
        <v>21</v>
      </c>
      <c r="D180" s="6"/>
      <c r="E180" s="71">
        <f>+E181+E186+E187+E188+E189</f>
        <v>-0.76039292613097664</v>
      </c>
      <c r="F180" s="41">
        <f>+F181+F186+F187+F188+F189</f>
        <v>0.32671422895122554</v>
      </c>
      <c r="G180" s="41">
        <f>+G181+G186+G187+G188+G189</f>
        <v>0.74793918621383071</v>
      </c>
      <c r="H180" s="6"/>
      <c r="I180" s="71">
        <f>+I181+I186+I187+I188+I189</f>
        <v>8.0843915959790763E-2</v>
      </c>
      <c r="J180" s="41">
        <f>+J181+J186+J187+J188+J189</f>
        <v>9.0140839141849657E-2</v>
      </c>
      <c r="K180" s="41">
        <f>+K181+K186+K187+K188+K189</f>
        <v>0.74261305189328031</v>
      </c>
      <c r="L180" s="6"/>
      <c r="M180" s="71">
        <f>+M181+M186+M187+M188+M189</f>
        <v>-4.3703292184059966E-2</v>
      </c>
      <c r="N180" s="41">
        <f>+N181+N186+N187+N188+N189</f>
        <v>4.7755496137961401E-2</v>
      </c>
      <c r="O180" s="41">
        <f>+O181+O186+O187+O188+O189</f>
        <v>0.42102375835334721</v>
      </c>
      <c r="P180" s="6"/>
      <c r="Q180" s="72">
        <f>+Q181+Q186+Q187+Q188+Q189</f>
        <v>0.83449087946406886</v>
      </c>
      <c r="R180" s="41">
        <f>+R181+R186+R187+R188+R189</f>
        <v>0.4858353176594537</v>
      </c>
      <c r="S180" s="41">
        <f>+S181+S186+S187+S188+S189</f>
        <v>0.49963999126990216</v>
      </c>
      <c r="T180" s="6"/>
      <c r="U180" s="96">
        <f>+U181+U186+U187+U188+U189</f>
        <v>0</v>
      </c>
      <c r="V180" s="41">
        <f>+V181+V186+V187+V188+V189</f>
        <v>0</v>
      </c>
      <c r="W180" s="41">
        <f>+W181+W186+W187+W188+W189</f>
        <v>0</v>
      </c>
      <c r="X180" s="6"/>
      <c r="Y180" s="96">
        <f>+Y181+Y186+Y187+Y188+Y189</f>
        <v>0</v>
      </c>
      <c r="Z180" s="41">
        <f>+Z181+Z186+Z187+Z188+Z189</f>
        <v>0</v>
      </c>
      <c r="AA180" s="41">
        <f>+AA181+AA186+AA187+AA188+AA189</f>
        <v>0</v>
      </c>
      <c r="AB180" s="6"/>
      <c r="AC180" s="86">
        <f>+AC181+AC186+AC187+AC188+AC189</f>
        <v>-0.20782413819477563</v>
      </c>
      <c r="AD180" s="59">
        <f>+AD181+AD186+AD187+AD188+AD189</f>
        <v>0.127186944032979</v>
      </c>
      <c r="AE180" s="59">
        <f>+AE181+AE186+AE187+AE188+AE189</f>
        <v>0.51919876603431458</v>
      </c>
      <c r="AG180" s="109"/>
      <c r="AK180" s="109"/>
      <c r="AO180" s="109"/>
      <c r="AS180" s="109"/>
      <c r="AW180" s="109"/>
      <c r="BA180" s="109"/>
      <c r="BE180" s="109"/>
    </row>
    <row r="181" spans="1:57" ht="16.5" hidden="1" outlineLevel="1" x14ac:dyDescent="0.25">
      <c r="A181" s="202"/>
      <c r="B181" s="9"/>
      <c r="C181" s="37" t="s">
        <v>56</v>
      </c>
      <c r="D181" s="6"/>
      <c r="E181" s="72">
        <f>+E182+E183+E184+E185</f>
        <v>0.23912321887120083</v>
      </c>
      <c r="F181" s="41">
        <f>+F182+F183+F184+F185</f>
        <v>0.27812809690587481</v>
      </c>
      <c r="G181" s="41">
        <f>+G182+G183+G184+G185</f>
        <v>0.21468849804313042</v>
      </c>
      <c r="H181" s="6"/>
      <c r="I181" s="71">
        <f>+I182+I183+I184+I185</f>
        <v>-0.13006125204229105</v>
      </c>
      <c r="J181" s="41">
        <f>+J182+J183+J184+J185</f>
        <v>0.12960169151304457</v>
      </c>
      <c r="K181" s="41">
        <f>+K182+K183+K184+K185</f>
        <v>0.28387922204950639</v>
      </c>
      <c r="L181" s="6"/>
      <c r="M181" s="71">
        <f>+M182+M183+M184+M185</f>
        <v>0.190980820476988</v>
      </c>
      <c r="N181" s="41">
        <f>+N182+N183+N184+N185</f>
        <v>0.39657070999918886</v>
      </c>
      <c r="O181" s="41">
        <f>+O182+O183+O184+O185</f>
        <v>0.22109039263741662</v>
      </c>
      <c r="P181" s="6"/>
      <c r="Q181" s="71">
        <f>+Q182+Q183+Q184+Q185</f>
        <v>4.6330336695219167E-2</v>
      </c>
      <c r="R181" s="41">
        <f>+R182+R183+R184+R185</f>
        <v>2.1975577578007558E-2</v>
      </c>
      <c r="S181" s="41">
        <f>+S182+S183+S184+S185</f>
        <v>0.14677287497998226</v>
      </c>
      <c r="T181" s="6"/>
      <c r="U181" s="96">
        <f>+U182+U183+U184+U185</f>
        <v>0</v>
      </c>
      <c r="V181" s="41">
        <f>+V182+V183+V184+V185</f>
        <v>0</v>
      </c>
      <c r="W181" s="41">
        <f>+W182+W183+W184+W185</f>
        <v>0</v>
      </c>
      <c r="X181" s="6"/>
      <c r="Y181" s="96">
        <f>+Y182+Y183+Y184+Y185</f>
        <v>0</v>
      </c>
      <c r="Z181" s="41">
        <f>+Z182+Z183+Z184+Z185</f>
        <v>0</v>
      </c>
      <c r="AA181" s="41">
        <f>+AA182+AA183+AA184+AA185</f>
        <v>0</v>
      </c>
      <c r="AB181" s="6"/>
      <c r="AC181" s="100">
        <f>+AC182+AC183+AC184+AC185</f>
        <v>0.22807995453031585</v>
      </c>
      <c r="AD181" s="59">
        <f>+AD182+AD183+AD184+AD185</f>
        <v>0.25982965922369816</v>
      </c>
      <c r="AE181" s="59">
        <f>+AE182+AE183+AE184+AE185</f>
        <v>0.22021879282719467</v>
      </c>
      <c r="AG181" s="109"/>
      <c r="AK181" s="109"/>
      <c r="AO181" s="109"/>
      <c r="AS181" s="109"/>
      <c r="AW181" s="109"/>
      <c r="BA181" s="109"/>
      <c r="BE181" s="109"/>
    </row>
    <row r="182" spans="1:57" ht="16.5" hidden="1" outlineLevel="1" x14ac:dyDescent="0.25">
      <c r="A182" s="202"/>
      <c r="B182" s="9"/>
      <c r="C182" s="38" t="s">
        <v>23</v>
      </c>
      <c r="D182" s="6"/>
      <c r="E182" s="73">
        <f>-SUM([3]Retail!$O$53,[3]Retail!$R$53:$V$53,[3]Retail!$Y$53,[3]Retail!$AB$53,[3]Retail!$AU$53,[3]Retail!$AX$53,[3]Retail!$BA$53,[3]Retail!$BD$53)/1000/E179</f>
        <v>0.21347232549947276</v>
      </c>
      <c r="F182" s="42">
        <f>-SUM([3]Retail!$O$54,[3]Retail!$R$54:$V$54,[3]Retail!$Y$54,[3]Retail!$AB$54,[3]Retail!$AU$54,[3]Retail!$AX$54,[3]Retail!$BA$54,[3]Retail!$BD$54)/1000/F179</f>
        <v>0.26076523242760269</v>
      </c>
      <c r="G182" s="42">
        <f>-SUM([3]Retail!$O$55,[3]Retail!$R$55:$V$55,[3]Retail!$Y$55,[3]Retail!$AB$55,[3]Retail!$AU$55,[3]Retail!$AX$55,[3]Retail!$BA$55,[3]Retail!$BD$55)/1000/G179</f>
        <v>0.19772884763663526</v>
      </c>
      <c r="H182" s="6"/>
      <c r="I182" s="74">
        <f>-SUM([3]SME!$O$53,[3]SME!$R$53:$V$53,[3]SME!$Y$53,[3]SME!$AB$53,[3]SME!$AU$53,[3]SME!$AX$53,[3]SME!$BA$53,[3]SME!$BD$53)/1000/I179</f>
        <v>-9.4514952594255394E-2</v>
      </c>
      <c r="J182" s="42">
        <f>-SUM([3]SME!$O$54,[3]SME!$R$54:$V$54,[3]SME!$Y$54,[3]SME!$AB$54,[3]SME!$AU$54,[3]SME!$AX$54,[3]SME!$BA$54,[3]SME!$BD$54)/1000/J179</f>
        <v>0.12197076932667114</v>
      </c>
      <c r="K182" s="42">
        <f>-SUM([3]SME!$O$55,[3]SME!$R$55:$V$55,[3]SME!$Y$55,[3]SME!$AB$55,[3]SME!$AU$55,[3]SME!$AX$55,[3]SME!$BA$55,[3]SME!$BD$55)/1000/K179</f>
        <v>0.25876185047195283</v>
      </c>
      <c r="L182" s="6"/>
      <c r="M182" s="74">
        <f>-SUM([3]MidCorp!$O$53,[3]MidCorp!$R$53:$V$53,[3]MidCorp!$Y$53,[3]MidCorp!$AB$53,[3]MidCorp!$AU$53,[3]MidCorp!$AX$53,[3]MidCorp!$BA$53,[3]MidCorp!$BD$53)/1000/M179</f>
        <v>0.15188542991651247</v>
      </c>
      <c r="N182" s="42">
        <f>-SUM([3]MidCorp!$O$54,[3]MidCorp!$R$54:$V$54,[3]MidCorp!$Y$54,[3]MidCorp!$AB$54,[3]MidCorp!$AU$54,[3]MidCorp!$AX$54,[3]MidCorp!$BA$54,[3]MidCorp!$BD$54)/1000/N179</f>
        <v>0.33530746524277377</v>
      </c>
      <c r="O182" s="42">
        <f>-SUM([3]MidCorp!$O$55,[3]MidCorp!$R$55:$V$55,[3]MidCorp!$Y$55,[3]MidCorp!$AB$55,[3]MidCorp!$AU$55,[3]MidCorp!$AX$55,[3]MidCorp!$BA$55,[3]MidCorp!$BD$55)/1000/O179</f>
        <v>0.17452313064017724</v>
      </c>
      <c r="P182" s="6"/>
      <c r="Q182" s="74">
        <f>-SUM([3]MGA!$O$53,[3]MGA!$R$53:$V$53,[3]MGA!$Y$53,[3]MGA!$AB$53,[3]MGA!$AU$53,[3]MGA!$AX$53,[3]MGA!$BA$53,[3]MGA!$BD$53)/1000/Q179</f>
        <v>1.6176993698351846E-2</v>
      </c>
      <c r="R182" s="42">
        <f>-SUM([3]MGA!$O$54,[3]MGA!$R$54:$V$54,[3]MGA!$Y$54,[3]MGA!$AB$54,[3]MGA!$AU$54,[3]MGA!$AX$54,[3]MGA!$BA$54,[3]MGA!$BD$54)/1000/R179</f>
        <v>9.3630378156482532E-4</v>
      </c>
      <c r="S182" s="42">
        <f>-SUM([3]MGA!$O$55,[3]MGA!$R$55:$V$55,[3]MGA!$Y$55,[3]MGA!$AB$55,[3]MGA!$AU$55,[3]MGA!$AX$55,[3]MGA!$BA$55,[3]MGA!$BD$55)/1000/S179</f>
        <v>0.12544823019432486</v>
      </c>
      <c r="T182" s="6"/>
      <c r="U182" s="97">
        <f>IFERROR(-SUM([3]Bancassurance!$O$53,[3]Bancassurance!$R$53:$V$53,[3]Bancassurance!$Y$53,[3]Bancassurance!$AB$53,[3]Bancassurance!$AU$53,[3]Bancassurance!$AX$53,[3]Bancassurance!$BA$53,[3]Bancassurance!$BD$53)/1000/U179,0)</f>
        <v>0</v>
      </c>
      <c r="V182" s="42">
        <f>IFERROR(-SUM([3]Bancassurance!$O$54,[3]Bancassurance!$R$54:$V$54,[3]Bancassurance!$Y$54,[3]Bancassurance!$AB$54,[3]Bancassurance!$AU$54,[3]Bancassurance!$AX$54,[3]Bancassurance!$BA$54,[3]Bancassurance!$BD$54)/1000/V179,0)</f>
        <v>0</v>
      </c>
      <c r="W182" s="42">
        <f>IFERROR(-SUM([3]Bancassurance!$O$55,[3]Bancassurance!$R$55:$V$55,[3]Bancassurance!$Y$55,[3]Bancassurance!$AB$55,[3]Bancassurance!$AU$55,[3]Bancassurance!$AX$55,[3]Bancassurance!$BA$55,[3]Bancassurance!$BD$55)/1000/W179,0)</f>
        <v>0</v>
      </c>
      <c r="X182" s="6"/>
      <c r="Y182" s="97">
        <f>IFERROR(-SUM([3]Specials!$O$53,[3]Specials!$R$53:$V$53,[3]Specials!$Y$53,[3]Specials!$AB$53,[3]Specials!$AU$53,[3]Specials!$AX$53,[3]Specials!$BA$53,[3]Specials!$BD$53)/1000/Y179,0)</f>
        <v>0</v>
      </c>
      <c r="Z182" s="42">
        <f>IFERROR(-SUM([3]Specials!$O$54,[3]Specials!$R$54:$V$54,[3]Specials!$Y$54,[3]Specials!$AB$54,[3]Specials!$AU$54,[3]Specials!$AX$54,[3]Specials!$BA$54,[3]Specials!$BD$54)/1000/Z179,0)</f>
        <v>0</v>
      </c>
      <c r="AA182" s="42">
        <f>IFERROR(-SUM([3]Specials!$O$55,[3]Specials!$R$55:$V$55,[3]Specials!$Y$55,[3]Specials!$AB$55,[3]Specials!$AU$55,[3]Specials!$AX$55,[3]Specials!$BA$55,[3]Specials!$BD$55)/1000/AA179,0)</f>
        <v>0</v>
      </c>
      <c r="AB182" s="6"/>
      <c r="AC182" s="99">
        <f>-SUM('[3]Total P&amp;C'!$O$53,'[3]Total P&amp;C'!$R$53:$V$53,'[3]Total P&amp;C'!$Y$53,'[3]Total P&amp;C'!$AB$53,'[3]Total P&amp;C'!$AU$53,'[3]Total P&amp;C'!$AX$53,'[3]Total P&amp;C'!$BA$53,'[3]Total P&amp;C'!$BD$53)/1000/AC179</f>
        <v>0.18570023856849951</v>
      </c>
      <c r="AD182" s="60">
        <f>-SUM('[3]Total P&amp;C'!$O$54,'[3]Total P&amp;C'!$R$54:$V$54,'[3]Total P&amp;C'!$Y$54,'[3]Total P&amp;C'!$AB$54,'[3]Total P&amp;C'!$AU$54,'[3]Total P&amp;C'!$AX$54,'[3]Total P&amp;C'!$BA$54,'[3]Total P&amp;C'!$BD$54)/1000/AD179</f>
        <v>0.22939999897169877</v>
      </c>
      <c r="AE182" s="60">
        <f>-SUM('[3]Total P&amp;C'!$O$55,'[3]Total P&amp;C'!$R$55:$V$55,'[3]Total P&amp;C'!$Y$55,'[3]Total P&amp;C'!$AB$55,'[3]Total P&amp;C'!$AU$55,'[3]Total P&amp;C'!$AX$55,'[3]Total P&amp;C'!$BA$55,'[3]Total P&amp;C'!$BD$55)/1000/AE179</f>
        <v>0.1826206352167023</v>
      </c>
      <c r="AG182" s="109"/>
      <c r="AK182" s="109"/>
      <c r="AO182" s="109"/>
      <c r="AS182" s="109"/>
      <c r="AW182" s="109"/>
      <c r="BA182" s="109"/>
      <c r="BE182" s="109"/>
    </row>
    <row r="183" spans="1:57" ht="16.5" hidden="1" outlineLevel="1" x14ac:dyDescent="0.25">
      <c r="A183" s="202"/>
      <c r="B183" s="9"/>
      <c r="C183" s="38" t="s">
        <v>24</v>
      </c>
      <c r="D183" s="7"/>
      <c r="E183" s="97">
        <f>-([3]Retail!$P$53+[3]Retail!$W$53+[3]Retail!$AV$53+[3]Retail!$AY$53)/1000/E179</f>
        <v>0</v>
      </c>
      <c r="F183" s="42">
        <f>-([3]Retail!$P$54+[3]Retail!$W$54+[3]Retail!$AV$54+[3]Retail!$AY$54)/1000/F179</f>
        <v>0</v>
      </c>
      <c r="G183" s="42">
        <f>-([3]Retail!$P$55+[3]Retail!$W$55+[3]Retail!$AV$55+[3]Retail!$AY$55)/1000/G179</f>
        <v>0</v>
      </c>
      <c r="H183" s="7"/>
      <c r="I183" s="97">
        <f>-([3]SME!$P$53+[3]SME!$W$53+[3]SME!$AV$53+[3]SME!$AY$53)/1000/I179</f>
        <v>0</v>
      </c>
      <c r="J183" s="42">
        <f>-([3]SME!$P$54+[3]SME!$W$54+[3]SME!$AV$54+[3]SME!$AY$54)/1000/J179</f>
        <v>0</v>
      </c>
      <c r="K183" s="42">
        <f>-([3]SME!$P$55+[3]SME!$W$55+[3]SME!$AV$55+[3]SME!$AY$55)/1000/K179</f>
        <v>0</v>
      </c>
      <c r="L183" s="7"/>
      <c r="M183" s="97">
        <f>-([3]MidCorp!$P$53+[3]MidCorp!$W$53+[3]MidCorp!$AV$53+[3]MidCorp!$AY$53)/1000/M179</f>
        <v>0</v>
      </c>
      <c r="N183" s="42">
        <f>-([3]MidCorp!$P$54+[3]MidCorp!$W$54+[3]MidCorp!$AV$54+[3]MidCorp!$AY$54)/1000/N179</f>
        <v>0</v>
      </c>
      <c r="O183" s="42">
        <f>-([3]MidCorp!$P$55+[3]MidCorp!$W$55+[3]MidCorp!$AV$55+[3]MidCorp!$AY$55)/1000/O179</f>
        <v>0</v>
      </c>
      <c r="P183" s="7"/>
      <c r="Q183" s="97">
        <f>-([3]MGA!$P$53+[3]MGA!$W$53+[3]MGA!$AV$53+[3]MGA!$AY$53)/1000/Q179</f>
        <v>0</v>
      </c>
      <c r="R183" s="42">
        <f>-([3]MGA!$P$54+[3]MGA!$W$54+[3]MGA!$AV$54+[3]MGA!$AY$54)/1000/R179</f>
        <v>0</v>
      </c>
      <c r="S183" s="42">
        <f>-([3]MGA!$P$55+[3]MGA!$W$55+[3]MGA!$AV$55+[3]MGA!$AY$55)/1000/S179</f>
        <v>0</v>
      </c>
      <c r="T183" s="7"/>
      <c r="U183" s="97">
        <f>IFERROR(-([3]Bancassurance!$P$53+[3]Bancassurance!$W$53+[3]Bancassurance!$AV$53+[3]Bancassurance!$AY$53)/1000/U179,0)</f>
        <v>0</v>
      </c>
      <c r="V183" s="42">
        <f>IFERROR(-([3]Bancassurance!$P$54+[3]Bancassurance!$W$54+[3]Bancassurance!$AV$54+[3]Bancassurance!$AY$54)/1000/V179,0)</f>
        <v>0</v>
      </c>
      <c r="W183" s="42">
        <f>IFERROR(-([3]Bancassurance!$P$55+[3]Bancassurance!$W$55+[3]Bancassurance!$AV$55+[3]Bancassurance!$AY$55)/1000/W179,0)</f>
        <v>0</v>
      </c>
      <c r="X183" s="7"/>
      <c r="Y183" s="97">
        <f>IFERROR(-([3]Specials!$P$53+[3]Specials!$W$53+[3]Specials!$AV$53+[3]Specials!$AY$53)/1000/Y179,0)</f>
        <v>0</v>
      </c>
      <c r="Z183" s="42">
        <f>IFERROR(-([3]Specials!$P$54+[3]Specials!$W$54+[3]Specials!$AV$54+[3]Specials!$AY$54)/1000/Z179,0)</f>
        <v>0</v>
      </c>
      <c r="AA183" s="42">
        <f>IFERROR(-([3]Specials!$P$55+[3]Specials!$W$55+[3]Specials!$AV$55+[3]Specials!$AY$55)/1000/AA179,0)</f>
        <v>0</v>
      </c>
      <c r="AB183" s="7"/>
      <c r="AC183" s="99">
        <f>-('[3]Total P&amp;C'!$P$53+'[3]Total P&amp;C'!$W$53+'[3]Total P&amp;C'!$AV$53+'[3]Total P&amp;C'!$AY$53)/1000/AC179</f>
        <v>0</v>
      </c>
      <c r="AD183" s="60">
        <f>-('[3]Total P&amp;C'!$P$54+'[3]Total P&amp;C'!$W$54+'[3]Total P&amp;C'!$AV$54+'[3]Total P&amp;C'!$AY$54)/1000/AD179</f>
        <v>0</v>
      </c>
      <c r="AE183" s="60">
        <f>-('[3]Total P&amp;C'!$P$55+'[3]Total P&amp;C'!$W$55+'[3]Total P&amp;C'!$AV$55+'[3]Total P&amp;C'!$AY$55)/1000/AE179</f>
        <v>0</v>
      </c>
      <c r="AG183" s="109"/>
      <c r="AK183" s="109"/>
      <c r="AO183" s="109"/>
      <c r="AS183" s="109"/>
      <c r="AW183" s="109"/>
      <c r="BA183" s="109"/>
      <c r="BE183" s="109"/>
    </row>
    <row r="184" spans="1:57" ht="16.5" hidden="1" outlineLevel="1" x14ac:dyDescent="0.25">
      <c r="A184" s="202"/>
      <c r="B184" s="9"/>
      <c r="C184" s="38" t="s">
        <v>25</v>
      </c>
      <c r="D184" s="7"/>
      <c r="E184" s="97">
        <f>-([3]Retail!$Q$53+[3]Retail!$X$53+[3]Retail!$AW$53+[3]Retail!$AZ$53)/1000/E179</f>
        <v>0</v>
      </c>
      <c r="F184" s="42">
        <f>-([3]Retail!$Q$54+[3]Retail!$X$54+[3]Retail!$AW$54+[3]Retail!$AZ$54)/1000/F179</f>
        <v>0</v>
      </c>
      <c r="G184" s="42">
        <f>-([3]Retail!$Q$55+[3]Retail!$X$55+[3]Retail!$AW$55+[3]Retail!$AZ$55)/1000/G179</f>
        <v>0</v>
      </c>
      <c r="H184" s="7"/>
      <c r="I184" s="97">
        <f>-([3]SME!$Q$53+[3]SME!$X$53+[3]SME!$AW$53+[3]SME!$AZ$53)/1000/I179</f>
        <v>0</v>
      </c>
      <c r="J184" s="42">
        <f>-([3]SME!$Q$54+[3]SME!$X$54+[3]SME!$AW$54+[3]SME!$AZ$54)/1000/J179</f>
        <v>0</v>
      </c>
      <c r="K184" s="42">
        <f>-([3]SME!$Q$55+[3]SME!$X$55+[3]SME!$AW$55+[3]SME!$AZ$55)/1000/K179</f>
        <v>0</v>
      </c>
      <c r="L184" s="7"/>
      <c r="M184" s="97">
        <f>-([3]MidCorp!$Q$53+[3]MidCorp!$X$53+[3]MidCorp!$AW$53+[3]MidCorp!$AZ$53)/1000/M179</f>
        <v>0</v>
      </c>
      <c r="N184" s="42">
        <f>-([3]MidCorp!$Q$54+[3]MidCorp!$X$54+[3]MidCorp!$AW$54+[3]MidCorp!$AZ$54)/1000/N179</f>
        <v>0</v>
      </c>
      <c r="O184" s="42">
        <f>-([3]MidCorp!$Q$55+[3]MidCorp!$X$55+[3]MidCorp!$AW$55+[3]MidCorp!$AZ$55)/1000/O179</f>
        <v>0</v>
      </c>
      <c r="P184" s="7"/>
      <c r="Q184" s="97">
        <f>-([3]MGA!$Q$53+[3]MGA!$X$53+[3]MGA!$AW$53+[3]MGA!$AZ$53)/1000/Q179</f>
        <v>0</v>
      </c>
      <c r="R184" s="42">
        <f>-([3]MGA!$Q$54+[3]MGA!$X$54+[3]MGA!$AW$54+[3]MGA!$AZ$54)/1000/R179</f>
        <v>0</v>
      </c>
      <c r="S184" s="42">
        <f>-([3]MGA!$Q$55+[3]MGA!$X$55+[3]MGA!$AW$55+[3]MGA!$AZ$55)/1000/S179</f>
        <v>0</v>
      </c>
      <c r="T184" s="7"/>
      <c r="U184" s="97">
        <f>IFERROR(-([3]Bancassurance!$Q$53+[3]Bancassurance!$X$53+[3]Bancassurance!$AW$53+[3]Bancassurance!$AZ$53)/1000/U179,0)</f>
        <v>0</v>
      </c>
      <c r="V184" s="42">
        <f>IFERROR(-([3]Bancassurance!$Q$54+[3]Bancassurance!$X$54+[3]Bancassurance!$AW$54+[3]Bancassurance!$AZ$54)/1000/V179,0)</f>
        <v>0</v>
      </c>
      <c r="W184" s="42">
        <f>IFERROR(-([3]Bancassurance!$Q$55+[3]Bancassurance!$X$55+[3]Bancassurance!$AW$55+[3]Bancassurance!$AZ$55)/1000/W179,0)</f>
        <v>0</v>
      </c>
      <c r="X184" s="7"/>
      <c r="Y184" s="97">
        <f>IFERROR(-([3]Specials!$Q$53+[3]Specials!$X$53+[3]Specials!$AW$53+[3]Specials!$AZ$53)/1000/Y179,0)</f>
        <v>0</v>
      </c>
      <c r="Z184" s="42">
        <f>IFERROR(-([3]Specials!$Q$54+[3]Specials!$X$54+[3]Specials!$AW$54+[3]Specials!$AZ$54)/1000/Z179,0)</f>
        <v>0</v>
      </c>
      <c r="AA184" s="42">
        <f>IFERROR(-([3]Specials!$Q$55+[3]Specials!$X$55+[3]Specials!$AW$55+[3]Specials!$AZ$55)/1000/AA179,0)</f>
        <v>0</v>
      </c>
      <c r="AB184" s="7"/>
      <c r="AC184" s="99">
        <f>-('[3]Total P&amp;C'!$Q$53+'[3]Total P&amp;C'!$X$53+'[3]Total P&amp;C'!$AW$53+'[3]Total P&amp;C'!$AZ$53)/1000/AC179</f>
        <v>0</v>
      </c>
      <c r="AD184" s="60">
        <f>-('[3]Total P&amp;C'!$Q$54+'[3]Total P&amp;C'!$X$54+'[3]Total P&amp;C'!$AW$54+'[3]Total P&amp;C'!$AZ$54)/1000/AD179</f>
        <v>0</v>
      </c>
      <c r="AE184" s="60">
        <f>-('[3]Total P&amp;C'!$Q$55+'[3]Total P&amp;C'!$X$55+'[3]Total P&amp;C'!$AW$55+'[3]Total P&amp;C'!$AZ$55)/1000/AE179</f>
        <v>0</v>
      </c>
      <c r="AG184" s="109"/>
      <c r="AK184" s="109"/>
      <c r="AO184" s="109"/>
      <c r="AS184" s="109"/>
      <c r="AW184" s="109"/>
      <c r="BA184" s="109"/>
      <c r="BE184" s="109"/>
    </row>
    <row r="185" spans="1:57" ht="16.5" hidden="1" outlineLevel="1" x14ac:dyDescent="0.25">
      <c r="A185" s="202"/>
      <c r="B185" s="9"/>
      <c r="C185" s="38" t="s">
        <v>53</v>
      </c>
      <c r="D185" s="7"/>
      <c r="E185" s="73">
        <f>-[3]Retail!$AT$53/1000/E179</f>
        <v>2.5650893371728073E-2</v>
      </c>
      <c r="F185" s="42">
        <f>-[3]Retail!$AT$54/1000/F179</f>
        <v>1.7362864478272139E-2</v>
      </c>
      <c r="G185" s="42">
        <f>-[3]Retail!$AT$55/1000/G179</f>
        <v>1.6959650406495167E-2</v>
      </c>
      <c r="H185" s="7"/>
      <c r="I185" s="74">
        <f>-[3]SME!$AT$53/1000/I179</f>
        <v>-3.5546299448035647E-2</v>
      </c>
      <c r="J185" s="42">
        <f>-[3]SME!$AT$54/1000/J179</f>
        <v>7.6309221863734384E-3</v>
      </c>
      <c r="K185" s="42">
        <f>-[3]SME!$AT$55/1000/K179</f>
        <v>2.5117371577553577E-2</v>
      </c>
      <c r="L185" s="7"/>
      <c r="M185" s="74">
        <f>-[3]MidCorp!$AT$53/1000/M179</f>
        <v>3.9095390560475528E-2</v>
      </c>
      <c r="N185" s="42">
        <f>-[3]MidCorp!$AT$54/1000/N179</f>
        <v>6.1263244756415078E-2</v>
      </c>
      <c r="O185" s="42">
        <f>-[3]MidCorp!$AT$55/1000/O179</f>
        <v>4.656726199723938E-2</v>
      </c>
      <c r="P185" s="7"/>
      <c r="Q185" s="73">
        <f>-[3]MGA!$AT$53/1000/Q179</f>
        <v>3.0153342996867321E-2</v>
      </c>
      <c r="R185" s="42">
        <f>-[3]MGA!$AT$54/1000/R179</f>
        <v>2.1039273796442732E-2</v>
      </c>
      <c r="S185" s="42">
        <f>-[3]MGA!$AT$55/1000/S179</f>
        <v>2.1324644785657414E-2</v>
      </c>
      <c r="T185" s="7"/>
      <c r="U185" s="97">
        <f>IFERROR(-[3]Bancassurance!$AT$53/1000/U179,0)</f>
        <v>0</v>
      </c>
      <c r="V185" s="42">
        <f>IFERROR(-[3]Bancassurance!$AT$54/1000/V179,0)</f>
        <v>0</v>
      </c>
      <c r="W185" s="42">
        <f>IFERROR(-[3]Bancassurance!$AT$55/1000/W179,0)</f>
        <v>0</v>
      </c>
      <c r="X185" s="7"/>
      <c r="Y185" s="97">
        <f>IFERROR(-[3]Specials!$AT$53/1000/Y179,0)</f>
        <v>0</v>
      </c>
      <c r="Z185" s="42">
        <f>IFERROR(-[3]Specials!$AT$54/1000/Z179,0)</f>
        <v>0</v>
      </c>
      <c r="AA185" s="42">
        <f>IFERROR(-[3]Specials!$AT$55/1000/AA179,0)</f>
        <v>0</v>
      </c>
      <c r="AB185" s="7"/>
      <c r="AC185" s="84">
        <f>-'[3]Total P&amp;C'!$AT$53/1000/AC179</f>
        <v>4.2379715961816326E-2</v>
      </c>
      <c r="AD185" s="60">
        <f>-'[3]Total P&amp;C'!$AT$54/1000/AD179</f>
        <v>3.0429660251999373E-2</v>
      </c>
      <c r="AE185" s="60">
        <f>-'[3]Total P&amp;C'!$AT$55/1000/AE179</f>
        <v>3.7598157610492372E-2</v>
      </c>
      <c r="AG185" s="109"/>
      <c r="AK185" s="109"/>
      <c r="AO185" s="109"/>
      <c r="AS185" s="109"/>
      <c r="AW185" s="109"/>
      <c r="BA185" s="109"/>
      <c r="BE185" s="109"/>
    </row>
    <row r="186" spans="1:57" ht="16.5" hidden="1" outlineLevel="1" x14ac:dyDescent="0.25">
      <c r="A186" s="202"/>
      <c r="B186" s="9"/>
      <c r="C186" s="37" t="s">
        <v>27</v>
      </c>
      <c r="D186" s="7"/>
      <c r="E186" s="71">
        <f>-([3]Retail!$Z$53+[3]Retail!$AA$53+[3]Retail!$BB$53+[3]Retail!$BC$53)/1000/E179</f>
        <v>-8.1863366294188927E-3</v>
      </c>
      <c r="F186" s="41">
        <f>-([3]Retail!$Z$54+[3]Retail!$AA$54+[3]Retail!$BB$54+[3]Retail!$BC$54)/1000/F179</f>
        <v>-2.1750780665914633E-2</v>
      </c>
      <c r="G186" s="41">
        <f>-([3]Retail!$Z$55+[3]Retail!$AA$55+[3]Retail!$BB$55+[3]Retail!$BC$55)/1000/G179</f>
        <v>-5.545295729120125E-3</v>
      </c>
      <c r="H186" s="7"/>
      <c r="I186" s="72">
        <f>-([3]SME!$Z$53+[3]SME!$AA$53+[3]SME!$BB$53+[3]SME!$BC$53)/1000/I179</f>
        <v>6.2657877260280746E-3</v>
      </c>
      <c r="J186" s="41">
        <f>-([3]SME!$Z$54+[3]SME!$AA$54+[3]SME!$BB$54+[3]SME!$BC$54)/1000/J179</f>
        <v>-7.6064972448970673E-3</v>
      </c>
      <c r="K186" s="41">
        <f>-([3]SME!$Z$55+[3]SME!$AA$55+[3]SME!$BB$55+[3]SME!$BC$55)/1000/K179</f>
        <v>-1.0856896557384232E-2</v>
      </c>
      <c r="L186" s="7"/>
      <c r="M186" s="71">
        <f>-([3]MidCorp!$Z$53+[3]MidCorp!$AA$53+[3]MidCorp!$BB$53+[3]MidCorp!$BC$53)/1000/M179</f>
        <v>-8.1432701773100549E-3</v>
      </c>
      <c r="N186" s="41">
        <f>-([3]MidCorp!$Z$54+[3]MidCorp!$AA$54+[3]MidCorp!$BB$54+[3]MidCorp!$BC$54)/1000/N179</f>
        <v>-2.0551767446373631E-2</v>
      </c>
      <c r="O186" s="41">
        <f>-([3]MidCorp!$Z$55+[3]MidCorp!$AA$55+[3]MidCorp!$BB$55+[3]MidCorp!$BC$55)/1000/O179</f>
        <v>-5.6650870120132733E-3</v>
      </c>
      <c r="P186" s="7"/>
      <c r="Q186" s="72">
        <f>-([3]MGA!$Z$53+[3]MGA!$AA$53+[3]MGA!$BB$53+[3]MGA!$BC$53)/1000/Q179</f>
        <v>-7.5272096176048908E-4</v>
      </c>
      <c r="R186" s="41">
        <f>-([3]MGA!$Z$54+[3]MGA!$AA$54+[3]MGA!$BB$54+[3]MGA!$BC$54)/1000/R179</f>
        <v>-1.2480583592088775E-5</v>
      </c>
      <c r="S186" s="41">
        <f>-([3]MGA!$Z$55+[3]MGA!$AA$55+[3]MGA!$BB$55+[3]MGA!$BC$55)/1000/S179</f>
        <v>-5.5886740973519642E-3</v>
      </c>
      <c r="T186" s="7"/>
      <c r="U186" s="41">
        <f>IFERROR(-([3]Bancassurance!$Z$53+[3]Bancassurance!$AA$53+[3]Bancassurance!$BB$53+[3]Bancassurance!$BC$53)/1000/U179,0)</f>
        <v>0</v>
      </c>
      <c r="V186" s="41">
        <f>IFERROR(-([3]Bancassurance!$Z$54+[3]Bancassurance!$AA$54+[3]Bancassurance!$BB$54+[3]Bancassurance!$BC$54)/1000/V179,0)</f>
        <v>0</v>
      </c>
      <c r="W186" s="41">
        <f>IFERROR(-([3]Bancassurance!$Z$55+[3]Bancassurance!$AA$55+[3]Bancassurance!$BB$55+[3]Bancassurance!$BC$55)/1000/W179,0)</f>
        <v>0</v>
      </c>
      <c r="X186" s="7"/>
      <c r="Y186" s="41">
        <f>IFERROR(-([3]Specials!$Z$53+[3]Specials!$AA$53+[3]Specials!$BB$53+[3]Specials!$BC$53)/1000/Y179,0)</f>
        <v>0</v>
      </c>
      <c r="Z186" s="41">
        <f>IFERROR(-([3]Specials!$Z$54+[3]Specials!$AA$54+[3]Specials!$BB$54+[3]Specials!$BC$54)/1000/Z179,0)</f>
        <v>0</v>
      </c>
      <c r="AA186" s="41">
        <f>IFERROR(-([3]Specials!$Z$55+[3]Specials!$AA$55+[3]Specials!$BB$55+[3]Specials!$BC$55)/1000/AA179,0)</f>
        <v>0</v>
      </c>
      <c r="AB186" s="7"/>
      <c r="AC186" s="86">
        <f>-('[3]Total P&amp;C'!$Z$53+'[3]Total P&amp;C'!$AA$53+'[3]Total P&amp;C'!$BB$53+'[3]Total P&amp;C'!$BC$53)/1000/AC179</f>
        <v>-9.310014988200192E-3</v>
      </c>
      <c r="AD186" s="59">
        <f>-('[3]Total P&amp;C'!$Z$54+'[3]Total P&amp;C'!$AA$54+'[3]Total P&amp;C'!$BB$54+'[3]Total P&amp;C'!$BC$54)/1000/AD179</f>
        <v>-1.5248458598089473E-2</v>
      </c>
      <c r="AE186" s="59">
        <f>-('[3]Total P&amp;C'!$Z$55+'[3]Total P&amp;C'!$AA$55+'[3]Total P&amp;C'!$BB$55+'[3]Total P&amp;C'!$BC$55)/1000/AE179</f>
        <v>-5.8173410126222697E-3</v>
      </c>
      <c r="AG186" s="109"/>
      <c r="AK186" s="109"/>
      <c r="AO186" s="109"/>
      <c r="AS186" s="109"/>
      <c r="AW186" s="109"/>
      <c r="BA186" s="109"/>
      <c r="BE186" s="109"/>
    </row>
    <row r="187" spans="1:57" ht="16.5" hidden="1" outlineLevel="1" x14ac:dyDescent="0.25">
      <c r="A187" s="202"/>
      <c r="B187" s="9"/>
      <c r="C187" s="37" t="s">
        <v>57</v>
      </c>
      <c r="D187" s="7"/>
      <c r="E187" s="71">
        <f>-SUM([3]Retail!$AC$53:$AI$53,[3]Retail!$BE$53:$BG$53)/1000/E179</f>
        <v>-1.9449664028756928</v>
      </c>
      <c r="F187" s="41">
        <f>-SUM([3]Retail!$AC$54:$AI$54,[3]Retail!$BE$54:$BG$54)/1000/F179</f>
        <v>-0.59230866270995819</v>
      </c>
      <c r="G187" s="41">
        <f>-SUM([3]Retail!$AC$55:$AI$55,[3]Retail!$BE$55:$BG$55)/1000/G179</f>
        <v>-3.1777834245217823E-3</v>
      </c>
      <c r="H187" s="7"/>
      <c r="I187" s="72">
        <f>-SUM([3]SME!$AC$53:$AI$53,[3]SME!$BE$53:$BG$53)/1000/I179</f>
        <v>0.14043880686637264</v>
      </c>
      <c r="J187" s="41">
        <f>-SUM([3]SME!$AC$54:$AI$54,[3]SME!$BE$54:$BG$54)/1000/J179</f>
        <v>-0.24860209995234364</v>
      </c>
      <c r="K187" s="41">
        <f>-SUM([3]SME!$AC$55:$AI$55,[3]SME!$BE$55:$BG$55)/1000/K179</f>
        <v>-4.6194783245500359E-3</v>
      </c>
      <c r="L187" s="7"/>
      <c r="M187" s="71">
        <f>-SUM([3]MidCorp!$AC$53:$AI$53,[3]MidCorp!$BE$53:$BG$53)/1000/M179</f>
        <v>-0.44135746826863664</v>
      </c>
      <c r="N187" s="41">
        <f>-SUM([3]MidCorp!$AC$54:$AI$54,[3]MidCorp!$BE$54:$BG$54)/1000/N179</f>
        <v>-0.57380559661752439</v>
      </c>
      <c r="O187" s="41">
        <f>-SUM([3]MidCorp!$AC$55:$AI$55,[3]MidCorp!$BE$55:$BG$55)/1000/O179</f>
        <v>-3.0522468519858115E-3</v>
      </c>
      <c r="P187" s="7"/>
      <c r="Q187" s="72">
        <f>-SUM([3]MGA!$AC$53:$AI$53,[3]MGA!$BE$53:$BG$53)/1000/Q179</f>
        <v>0.39909650991326262</v>
      </c>
      <c r="R187" s="41">
        <f>-SUM([3]MGA!$AC$54:$AI$54,[3]MGA!$BE$54:$BG$54)/1000/R179</f>
        <v>4.5735098573209183E-2</v>
      </c>
      <c r="S187" s="41">
        <f>-SUM([3]MGA!$AC$55:$AI$55,[3]MGA!$BE$55:$BG$55)/1000/S179</f>
        <v>-2.9958042129850825E-2</v>
      </c>
      <c r="T187" s="7"/>
      <c r="U187" s="96">
        <f>IFERROR(-SUM([3]Bancassurance!$AC$53:$AI$53,[3]Bancassurance!$BE$53:$BG$53)/1000/U179,0)</f>
        <v>0</v>
      </c>
      <c r="V187" s="41">
        <f>IFERROR(-SUM([3]Bancassurance!$AC$54:$AI$54,[3]Bancassurance!$BE$54:$BG$54)/1000/V179,0)</f>
        <v>0</v>
      </c>
      <c r="W187" s="41">
        <f>IFERROR(-SUM([3]Bancassurance!$AC$55:$AI$55,[3]Bancassurance!$BE$55:$BG$55)/1000/W179,0)</f>
        <v>0</v>
      </c>
      <c r="X187" s="7"/>
      <c r="Y187" s="96">
        <f>IFERROR(-SUM([3]Specials!$AC$53:$AI$53,[3]Specials!$BE$53:$BG$53)/1000/Y179,0)</f>
        <v>0</v>
      </c>
      <c r="Z187" s="41">
        <f>IFERROR(-SUM([3]Specials!$AC$54:$AI$54,[3]Specials!$BE$54:$BG$54)/1000/Z179,0)</f>
        <v>0</v>
      </c>
      <c r="AA187" s="41">
        <f>IFERROR(-SUM([3]Specials!$AC$55:$AI$55,[3]Specials!$BE$55:$BG$55)/1000/AA179,0)</f>
        <v>0</v>
      </c>
      <c r="AB187" s="7"/>
      <c r="AC187" s="86">
        <f>-SUM('[3]Total P&amp;C'!$AC$53:$AI$53,'[3]Total P&amp;C'!$BE$53:$BG$53)/1000/AC179</f>
        <v>-0.82657236884785956</v>
      </c>
      <c r="AD187" s="59">
        <f>-SUM('[3]Total P&amp;C'!$AC$54:$AI$54,'[3]Total P&amp;C'!$BE$54:$BG$54)/1000/AD179</f>
        <v>-0.43652150148295132</v>
      </c>
      <c r="AE187" s="59">
        <f>-SUM('[3]Total P&amp;C'!$AC$55:$AI$55,'[3]Total P&amp;C'!$BE$55:$BG$55)/1000/AE179</f>
        <v>-3.6621381602868967E-3</v>
      </c>
      <c r="AG187" s="109"/>
      <c r="AK187" s="109"/>
      <c r="AO187" s="109"/>
      <c r="AS187" s="109"/>
      <c r="AW187" s="109"/>
      <c r="BA187" s="109"/>
      <c r="BE187" s="109"/>
    </row>
    <row r="188" spans="1:57" ht="16.5" hidden="1" outlineLevel="1" x14ac:dyDescent="0.25">
      <c r="A188" s="202"/>
      <c r="B188" s="9"/>
      <c r="C188" s="37" t="s">
        <v>29</v>
      </c>
      <c r="D188" s="7"/>
      <c r="E188" s="72">
        <f>-SUM([3]Retail!$AJ$53:$AK$53,[3]Retail!$BH$53:$BI$53)/1000/E179</f>
        <v>0.3667341842969894</v>
      </c>
      <c r="F188" s="41">
        <f>-SUM([3]Retail!$AJ$54:$AK$54,[3]Retail!$BH$54:$BI$54)/1000/F179</f>
        <v>7.726087762695584E-2</v>
      </c>
      <c r="G188" s="41">
        <f>-SUM([3]Retail!$AJ$55:$AK$55,[3]Retail!$BH$55:$BI$55)/1000/G179</f>
        <v>0</v>
      </c>
      <c r="H188" s="7"/>
      <c r="I188" s="71">
        <f>-SUM([3]SME!$AJ$53:$AK$53,[3]SME!$BH$53:$BI$53)/1000/I179</f>
        <v>-9.5307157650006795E-3</v>
      </c>
      <c r="J188" s="41">
        <f>-SUM([3]SME!$AJ$54:$AK$54,[3]SME!$BH$54:$BI$54)/1000/J179</f>
        <v>2.1599529601104436E-2</v>
      </c>
      <c r="K188" s="41">
        <f>-SUM([3]SME!$AJ$55:$AK$55,[3]SME!$BH$55:$BI$55)/1000/K179</f>
        <v>0</v>
      </c>
      <c r="L188" s="7"/>
      <c r="M188" s="72">
        <f>-SUM([3]MidCorp!$AJ$53:$AK$53,[3]MidCorp!$BH$53:$BI$53)/1000/M179</f>
        <v>2.146533787385373E-2</v>
      </c>
      <c r="N188" s="41">
        <f>-SUM([3]MidCorp!$AJ$54:$AK$54,[3]MidCorp!$BH$54:$BI$54)/1000/N179</f>
        <v>5.3339911191534931E-2</v>
      </c>
      <c r="O188" s="41">
        <f>-SUM([3]MidCorp!$AJ$55:$AK$55,[3]MidCorp!$BH$55:$BI$55)/1000/O179</f>
        <v>0</v>
      </c>
      <c r="P188" s="7"/>
      <c r="Q188" s="71">
        <f>-SUM([3]MGA!$AJ$53:$AK$53,[3]MGA!$BH$53:$BI$53)/1000/Q179</f>
        <v>-8.6999119228108324E-3</v>
      </c>
      <c r="R188" s="41">
        <f>-SUM([3]MGA!$AJ$54:$AK$54,[3]MGA!$BH$54:$BI$54)/1000/R179</f>
        <v>1.2695093622577796E-2</v>
      </c>
      <c r="S188" s="41">
        <f>-SUM([3]MGA!$AJ$55:$AK$55,[3]MGA!$BH$55:$BI$55)/1000/S179</f>
        <v>0</v>
      </c>
      <c r="T188" s="7"/>
      <c r="U188" s="96">
        <f>IFERROR(-SUM([3]Bancassurance!$AJ$53:$AK$53,[3]Bancassurance!$BH$53:$BI$53)/1000/U179,0)</f>
        <v>0</v>
      </c>
      <c r="V188" s="41">
        <f>IFERROR(-SUM([3]Bancassurance!$AJ$54:$AK$54,[3]Bancassurance!$BH$54:$BI$54)/1000/V179,0)</f>
        <v>0</v>
      </c>
      <c r="W188" s="41">
        <f>IFERROR(-SUM([3]Bancassurance!$AJ$55:$AK$55,[3]Bancassurance!$BH$55:$BI$55)/1000/W179,0)</f>
        <v>0</v>
      </c>
      <c r="X188" s="7"/>
      <c r="Y188" s="96">
        <f>IFERROR(-SUM([3]Specials!$AJ$53:$AK$53,[3]Specials!$BH$53:$BI$53)/1000/Y179,0)</f>
        <v>0</v>
      </c>
      <c r="Z188" s="41">
        <f>IFERROR(-SUM([3]Specials!$AJ$54:$AK$54,[3]Specials!$BH$54:$BI$54)/1000/Z179,0)</f>
        <v>0</v>
      </c>
      <c r="AA188" s="41">
        <f>IFERROR(-SUM([3]Specials!$AJ$55:$AK$55,[3]Specials!$BH$55:$BI$55)/1000/AA179,0)</f>
        <v>0</v>
      </c>
      <c r="AB188" s="7"/>
      <c r="AC188" s="83">
        <f>-SUM('[3]Total P&amp;C'!$AJ$53:$AK$53,'[3]Total P&amp;C'!$BH$53:$BI$53)/1000/AC179</f>
        <v>0.10311590109446679</v>
      </c>
      <c r="AD188" s="59">
        <f>-SUM('[3]Total P&amp;C'!$AJ$54:$AK$54,'[3]Total P&amp;C'!$BH$54:$BI$54)/1000/AD179</f>
        <v>4.4636466493134762E-2</v>
      </c>
      <c r="AE188" s="59">
        <f>-SUM('[3]Total P&amp;C'!$AJ$55:$AK$55,'[3]Total P&amp;C'!$BH$55:$BI$55)/1000/AE179</f>
        <v>0</v>
      </c>
      <c r="AG188" s="109"/>
      <c r="AK188" s="109"/>
      <c r="AO188" s="109"/>
      <c r="AS188" s="109"/>
      <c r="AW188" s="109"/>
      <c r="BA188" s="109"/>
      <c r="BE188" s="109"/>
    </row>
    <row r="189" spans="1:57" ht="16.5" hidden="1" outlineLevel="1" x14ac:dyDescent="0.25">
      <c r="A189" s="202"/>
      <c r="B189" s="9"/>
      <c r="C189" s="37" t="s">
        <v>58</v>
      </c>
      <c r="D189" s="7"/>
      <c r="E189" s="72">
        <f>+E190+E191+E192</f>
        <v>0.58690241020594491</v>
      </c>
      <c r="F189" s="41">
        <f>+F190+F191+F192</f>
        <v>0.58538469779426772</v>
      </c>
      <c r="G189" s="41">
        <f>+G190+G191+G192</f>
        <v>0.54197376732434221</v>
      </c>
      <c r="H189" s="7"/>
      <c r="I189" s="71">
        <f>+I190+I191+I192</f>
        <v>7.3731289174681774E-2</v>
      </c>
      <c r="J189" s="41">
        <f>+J190+J191+J192</f>
        <v>0.19514821522494136</v>
      </c>
      <c r="K189" s="41">
        <f>+K190+K191+K192</f>
        <v>0.47421020472570824</v>
      </c>
      <c r="L189" s="7"/>
      <c r="M189" s="71">
        <f>+M190+M191+M192</f>
        <v>0.19335128791104497</v>
      </c>
      <c r="N189" s="41">
        <f>+N190+N191+N192</f>
        <v>0.19220223901113567</v>
      </c>
      <c r="O189" s="41">
        <f>+O190+O191+O192</f>
        <v>0.20865069957992968</v>
      </c>
      <c r="P189" s="7"/>
      <c r="Q189" s="72">
        <f>+Q190+Q191+Q192</f>
        <v>0.39851666574015837</v>
      </c>
      <c r="R189" s="41">
        <f>+R190+R191+R192</f>
        <v>0.40544202846925126</v>
      </c>
      <c r="S189" s="41">
        <f>+S190+S191+S192</f>
        <v>0.38841383251712269</v>
      </c>
      <c r="T189" s="7"/>
      <c r="U189" s="96">
        <f>+U190+U191+U192</f>
        <v>0</v>
      </c>
      <c r="V189" s="41">
        <f>+V190+V191+V192</f>
        <v>0</v>
      </c>
      <c r="W189" s="41">
        <f>+W190+W191+W192</f>
        <v>0</v>
      </c>
      <c r="X189" s="7"/>
      <c r="Y189" s="96">
        <f>+Y190+Y191+Y192</f>
        <v>0</v>
      </c>
      <c r="Z189" s="41">
        <f>+Z190+Z191+Z192</f>
        <v>0</v>
      </c>
      <c r="AA189" s="41">
        <f>+AA190+AA191+AA192</f>
        <v>0</v>
      </c>
      <c r="AB189" s="7"/>
      <c r="AC189" s="86">
        <f>+AC190+AC191+AC192</f>
        <v>0.2968623900165015</v>
      </c>
      <c r="AD189" s="59">
        <f>+AD190+AD191+AD192</f>
        <v>0.27449077839718689</v>
      </c>
      <c r="AE189" s="59">
        <f>+AE190+AE191+AE192</f>
        <v>0.30845945238002909</v>
      </c>
      <c r="AG189" s="109"/>
      <c r="AK189" s="109"/>
      <c r="AO189" s="109"/>
      <c r="AS189" s="109"/>
      <c r="AW189" s="109"/>
      <c r="BA189" s="109"/>
      <c r="BE189" s="109"/>
    </row>
    <row r="190" spans="1:57" ht="16.5" hidden="1" outlineLevel="1" x14ac:dyDescent="0.25">
      <c r="A190" s="202"/>
      <c r="B190" s="9"/>
      <c r="C190" s="39" t="s">
        <v>59</v>
      </c>
      <c r="D190" s="8"/>
      <c r="E190" s="73">
        <f>-SUM([3]Retail!$AL$53:$AN$53,[3]Retail!$BJ$53)/1000/E179</f>
        <v>0.25312515619931686</v>
      </c>
      <c r="F190" s="42">
        <f>-SUM([3]Retail!$AL$54:$AN$54,[3]Retail!$BJ$54)/1000/F179</f>
        <v>0.2863261368985407</v>
      </c>
      <c r="G190" s="42">
        <f>-SUM([3]Retail!$AL$55:$AN$55,[3]Retail!$BJ$55)/1000/G179</f>
        <v>0.24413927793433124</v>
      </c>
      <c r="H190" s="8"/>
      <c r="I190" s="74">
        <f>-SUM([3]SME!$AL$53:$AN$53,[3]SME!$BJ$53)/1000/I179</f>
        <v>0.1756086239978383</v>
      </c>
      <c r="J190" s="42">
        <f>-SUM([3]SME!$AL$54:$AN$54,[3]SME!$BJ$54)/1000/J179</f>
        <v>0.1530141554720636</v>
      </c>
      <c r="K190" s="42">
        <f>-SUM([3]SME!$AL$55:$AN$55,[3]SME!$BJ$55)/1000/K179</f>
        <v>0.19635863147164215</v>
      </c>
      <c r="L190" s="8"/>
      <c r="M190" s="73">
        <f>-SUM([3]MidCorp!$AL$53:$AN$53,[3]MidCorp!$BJ$53)/1000/M179</f>
        <v>0.1353488551384672</v>
      </c>
      <c r="N190" s="42">
        <f>-SUM([3]MidCorp!$AL$54:$AN$54,[3]MidCorp!$BJ$54)/1000/N179</f>
        <v>0.11964486483866006</v>
      </c>
      <c r="O190" s="42">
        <f>-SUM([3]MidCorp!$AL$55:$AN$55,[3]MidCorp!$BJ$55)/1000/O179</f>
        <v>0.12941879554963664</v>
      </c>
      <c r="P190" s="8"/>
      <c r="Q190" s="74">
        <f>-SUM([3]MGA!$AL$53:$AN$53,[3]MGA!$BJ$53)/1000/Q179</f>
        <v>0.30895138659716453</v>
      </c>
      <c r="R190" s="42">
        <f>-SUM([3]MGA!$AL$54:$AN$54,[3]MGA!$BJ$54)/1000/R179</f>
        <v>0.31520025876409979</v>
      </c>
      <c r="S190" s="42">
        <f>-SUM([3]MGA!$AL$55:$AN$55,[3]MGA!$BJ$55)/1000/S179</f>
        <v>0.31159589850518604</v>
      </c>
      <c r="T190" s="8"/>
      <c r="U190" s="97">
        <f>IFERROR(-SUM([3]Bancassurance!$AL$53:$AN$53,[3]Bancassurance!$BJ$53)/1000/U179,0)</f>
        <v>0</v>
      </c>
      <c r="V190" s="42">
        <f>IFERROR(-SUM([3]Bancassurance!$AL$54:$AN$54,[3]Bancassurance!$BJ$54)/1000/V179,0)</f>
        <v>0</v>
      </c>
      <c r="W190" s="42">
        <f>IFERROR(-SUM([3]Bancassurance!$AL$55:$AN$55,[3]Bancassurance!$BJ$55)/1000/W179,0)</f>
        <v>0</v>
      </c>
      <c r="X190" s="8"/>
      <c r="Y190" s="97">
        <f>IFERROR(-SUM([3]Specials!$AL$53:$AN$53,[3]Specials!$BJ$53)/1000/Y179,0)</f>
        <v>0</v>
      </c>
      <c r="Z190" s="42">
        <f>IFERROR(-SUM([3]Specials!$AL$54:$AN$54,[3]Specials!$BJ$54)/1000/Z179,0)</f>
        <v>0</v>
      </c>
      <c r="AA190" s="42">
        <f>IFERROR(-SUM([3]Specials!$AL$55:$AN$55,[3]Specials!$BJ$55)/1000/AA179,0)</f>
        <v>0</v>
      </c>
      <c r="AB190" s="8"/>
      <c r="AC190" s="85">
        <f>-SUM('[3]Total P&amp;C'!$AL$53:$AN$53,'[3]Total P&amp;C'!$BJ$53)/1000/AC179</f>
        <v>0.16117104406980864</v>
      </c>
      <c r="AD190" s="60">
        <f>-SUM('[3]Total P&amp;C'!$AL$54:$AN$54,'[3]Total P&amp;C'!$BJ$54)/1000/AD179</f>
        <v>0.16919969262493165</v>
      </c>
      <c r="AE190" s="60">
        <f>-SUM('[3]Total P&amp;C'!$AL$55:$AN$55,'[3]Total P&amp;C'!$BJ$55)/1000/AE179</f>
        <v>0.16523003977100972</v>
      </c>
      <c r="AG190" s="109"/>
      <c r="AK190" s="109"/>
      <c r="AO190" s="109"/>
      <c r="AS190" s="109"/>
      <c r="AW190" s="109"/>
      <c r="BA190" s="109"/>
      <c r="BE190" s="109"/>
    </row>
    <row r="191" spans="1:57" ht="16.5" hidden="1" outlineLevel="1" x14ac:dyDescent="0.25">
      <c r="A191" s="202"/>
      <c r="B191" s="9"/>
      <c r="C191" s="39" t="s">
        <v>60</v>
      </c>
      <c r="D191" s="8"/>
      <c r="E191" s="73">
        <f>-SUM([3]Retail!$AO$53:$AP$53)/1000/E179</f>
        <v>0.22142150039862993</v>
      </c>
      <c r="F191" s="42">
        <f>-SUM([3]Retail!$AO$54:$AP$54)/1000/F179</f>
        <v>0.22215869787395282</v>
      </c>
      <c r="G191" s="42">
        <f>-SUM([3]Retail!$AO$55:$AP$55)/1000/G179</f>
        <v>0.19810495925793789</v>
      </c>
      <c r="H191" s="8"/>
      <c r="I191" s="74">
        <f>-SUM([3]SME!$AO$53:$AP$53)/1000/I179</f>
        <v>-1.8989530780125049E-2</v>
      </c>
      <c r="J191" s="42">
        <f>-SUM([3]SME!$AO$54:$AP$54)/1000/J179</f>
        <v>1.9116244139640998E-2</v>
      </c>
      <c r="K191" s="42">
        <f>-SUM([3]SME!$AO$55:$AP$55)/1000/K179</f>
        <v>5.5523602024877279E-2</v>
      </c>
      <c r="L191" s="8"/>
      <c r="M191" s="74">
        <f>-SUM([3]MidCorp!$AO$53:$AP$53)/1000/M179</f>
        <v>1.7992771678151085E-2</v>
      </c>
      <c r="N191" s="42">
        <f>-SUM([3]MidCorp!$AO$54:$AP$54)/1000/N179</f>
        <v>1.8534739135388542E-2</v>
      </c>
      <c r="O191" s="42">
        <f>-SUM([3]MidCorp!$AO$55:$AP$55)/1000/O179</f>
        <v>2.0220492198565448E-2</v>
      </c>
      <c r="P191" s="8"/>
      <c r="Q191" s="73">
        <f>-SUM([3]MGA!$AO$53:$AP$53)/1000/Q179</f>
        <v>3.0627629502548631E-2</v>
      </c>
      <c r="R191" s="42">
        <f>-SUM([3]MGA!$AO$54:$AP$54)/1000/R179</f>
        <v>2.0871695960503124E-2</v>
      </c>
      <c r="S191" s="42">
        <f>-SUM([3]MGA!$AO$55:$AP$55)/1000/S179</f>
        <v>2.4477222704816018E-2</v>
      </c>
      <c r="T191" s="8"/>
      <c r="U191" s="97">
        <f>IFERROR(-SUM([3]Bancassurance!$AO$53:$AP$53)/1000/U179,0)</f>
        <v>0</v>
      </c>
      <c r="V191" s="42">
        <f>IFERROR(-SUM([3]Bancassurance!$AO$54:$AP$54)/1000/V179,0)</f>
        <v>0</v>
      </c>
      <c r="W191" s="42">
        <f>IFERROR(-SUM([3]Bancassurance!$AO$55:$AP$55)/1000/W179,0)</f>
        <v>0</v>
      </c>
      <c r="X191" s="8"/>
      <c r="Y191" s="97">
        <f>IFERROR(-SUM([3]Specials!$AO$53:$AP$53)/1000/Y179,0)</f>
        <v>0</v>
      </c>
      <c r="Z191" s="42">
        <f>IFERROR(-SUM([3]Specials!$AO$54:$AP$54)/1000/Z179,0)</f>
        <v>0</v>
      </c>
      <c r="AA191" s="42">
        <f>IFERROR(-SUM([3]Specials!$AO$55:$AP$55)/1000/AA179,0)</f>
        <v>0</v>
      </c>
      <c r="AB191" s="8"/>
      <c r="AC191" s="99">
        <f>-SUM('[3]Total P&amp;C'!$AO$53:$AP$53)/1000/AC179</f>
        <v>6.8123348670450418E-2</v>
      </c>
      <c r="AD191" s="60">
        <f>-SUM('[3]Total P&amp;C'!$AO$54:$AP$54)/1000/AD179</f>
        <v>5.892657579650263E-2</v>
      </c>
      <c r="AE191" s="60">
        <f>-SUM('[3]Total P&amp;C'!$AO$55:$AP$55)/1000/AE179</f>
        <v>6.7917980862658364E-2</v>
      </c>
      <c r="AG191" s="109"/>
      <c r="AK191" s="109"/>
      <c r="AO191" s="109"/>
      <c r="AS191" s="109"/>
      <c r="AW191" s="109"/>
      <c r="BA191" s="109"/>
      <c r="BE191" s="109"/>
    </row>
    <row r="192" spans="1:57" ht="16.5" hidden="1" outlineLevel="1" x14ac:dyDescent="0.25">
      <c r="A192" s="202"/>
      <c r="B192" s="9"/>
      <c r="C192" s="39" t="s">
        <v>61</v>
      </c>
      <c r="D192" s="8"/>
      <c r="E192" s="73">
        <f>-SUM([3]Retail!$AQ$53:$AR$53)/1000/E179</f>
        <v>0.11235575360799806</v>
      </c>
      <c r="F192" s="42">
        <f>-SUM([3]Retail!$AQ$54:$AR$54)/1000/F179</f>
        <v>7.689986302177422E-2</v>
      </c>
      <c r="G192" s="42">
        <f>-SUM([3]Retail!$AQ$55:$AR$55)/1000/G179</f>
        <v>9.9729530132073085E-2</v>
      </c>
      <c r="H192" s="8"/>
      <c r="I192" s="74">
        <f>-SUM([3]SME!$AQ$53:$AR$53)/1000/I179</f>
        <v>-8.2887804043031477E-2</v>
      </c>
      <c r="J192" s="42">
        <f>-SUM([3]SME!$AQ$54:$AR$54)/1000/J179</f>
        <v>2.3017815613236767E-2</v>
      </c>
      <c r="K192" s="42">
        <f>-SUM([3]SME!$AQ$55:$AR$55)/1000/K179</f>
        <v>0.22232797122918879</v>
      </c>
      <c r="L192" s="8"/>
      <c r="M192" s="74">
        <f>-SUM([3]MidCorp!$AQ$53:$AR$53)/1000/M179</f>
        <v>4.0009661094426698E-2</v>
      </c>
      <c r="N192" s="42">
        <f>-SUM([3]MidCorp!$AQ$54:$AR$54)/1000/N179</f>
        <v>5.4022635037087069E-2</v>
      </c>
      <c r="O192" s="42">
        <f>-SUM([3]MidCorp!$AQ$55:$AR$55)/1000/O179</f>
        <v>5.9011411831727582E-2</v>
      </c>
      <c r="P192" s="8"/>
      <c r="Q192" s="73">
        <f>-SUM([3]MGA!$AQ$53:$AR$53)/1000/Q179</f>
        <v>5.8937649640445185E-2</v>
      </c>
      <c r="R192" s="42">
        <f>-SUM([3]MGA!$AQ$54:$AR$54)/1000/R179</f>
        <v>6.9370073744648333E-2</v>
      </c>
      <c r="S192" s="42">
        <f>-SUM([3]MGA!$AQ$55:$AR$55)/1000/S179</f>
        <v>5.2340711307120653E-2</v>
      </c>
      <c r="T192" s="8"/>
      <c r="U192" s="97">
        <f>IFERROR(-SUM([3]Bancassurance!$AQ$53:$AR$53)/1000/U179,0)</f>
        <v>0</v>
      </c>
      <c r="V192" s="42">
        <f>IFERROR(-SUM([3]Bancassurance!$AQ$54:$AR$54)/1000/V179,0)</f>
        <v>0</v>
      </c>
      <c r="W192" s="42">
        <f>IFERROR(-SUM([3]Bancassurance!$AQ$55:$AR$55)/1000/W179,0)</f>
        <v>0</v>
      </c>
      <c r="X192" s="8"/>
      <c r="Y192" s="97">
        <f>IFERROR(-SUM([3]Specials!$AQ$53:$AR$53)/1000/Y179,0)</f>
        <v>0</v>
      </c>
      <c r="Z192" s="42">
        <f>IFERROR(-SUM([3]Specials!$AQ$54:$AR$54)/1000/Z179,0)</f>
        <v>0</v>
      </c>
      <c r="AA192" s="42">
        <f>IFERROR(-SUM([3]Specials!$AQ$55:$AR$55)/1000/AA179,0)</f>
        <v>0</v>
      </c>
      <c r="AB192" s="8"/>
      <c r="AC192" s="85">
        <f>-SUM('[3]Total P&amp;C'!$AQ$53:$AR$53)/1000/AC179</f>
        <v>6.7567997276242422E-2</v>
      </c>
      <c r="AD192" s="60">
        <f>-SUM('[3]Total P&amp;C'!$AQ$54:$AR$54)/1000/AD179</f>
        <v>4.6364509975752616E-2</v>
      </c>
      <c r="AE192" s="60">
        <f>-SUM('[3]Total P&amp;C'!$AQ$55:$AR$55)/1000/AE179</f>
        <v>7.5311431746360999E-2</v>
      </c>
      <c r="AG192" s="109"/>
      <c r="AK192" s="109"/>
      <c r="AO192" s="109"/>
      <c r="AS192" s="109"/>
      <c r="AW192" s="109"/>
      <c r="BA192" s="109"/>
      <c r="BE192" s="109"/>
    </row>
    <row r="193" spans="1:57" ht="16.5" hidden="1" outlineLevel="1" x14ac:dyDescent="0.25">
      <c r="A193" s="202"/>
      <c r="B193" s="9"/>
      <c r="C193" s="37" t="s">
        <v>34</v>
      </c>
      <c r="D193" s="6"/>
      <c r="E193" s="75">
        <f>+[3]Retail!$BK$53/1000</f>
        <v>1.9374127400000003</v>
      </c>
      <c r="F193" s="40">
        <f>+[3]Retail!$BK$54/1000</f>
        <v>0.59754026000000082</v>
      </c>
      <c r="G193" s="40">
        <f>+[3]Retail!$BK$55/1000</f>
        <v>0.30729127349538771</v>
      </c>
      <c r="H193" s="6"/>
      <c r="I193" s="70">
        <f>+[3]SME!$BK$53/1000</f>
        <v>-0.3827433400000001</v>
      </c>
      <c r="J193" s="40">
        <f>+[3]SME!$BK$54/1000</f>
        <v>1.6427793299999986</v>
      </c>
      <c r="K193" s="40">
        <f>+[3]SME!$BK$55/1000</f>
        <v>4.2893605039580181E-2</v>
      </c>
      <c r="L193" s="6"/>
      <c r="M193" s="75">
        <f>+[3]MidCorp!$BK$53/1000</f>
        <v>4.2191949500000074</v>
      </c>
      <c r="N193" s="40">
        <f>+[3]MidCorp!$BK$54/1000</f>
        <v>1.6517315399999977</v>
      </c>
      <c r="O193" s="40">
        <f>+[3]MidCorp!$BK$55/1000</f>
        <v>1.8536683857061353</v>
      </c>
      <c r="P193" s="6"/>
      <c r="Q193" s="70">
        <f>+[3]MGA!$BK$53/1000</f>
        <v>1.0301430000000028E-2</v>
      </c>
      <c r="R193" s="40">
        <f>+[3]MGA!$BK$54/1000</f>
        <v>3.9549279999999971E-2</v>
      </c>
      <c r="S193" s="40">
        <f>+[3]MGA!$BK$55/1000</f>
        <v>4.5355099367434572E-2</v>
      </c>
      <c r="T193" s="6"/>
      <c r="U193" s="70">
        <f>+[3]Bancassurance!$BK$53/1000</f>
        <v>0</v>
      </c>
      <c r="V193" s="40">
        <f>+[3]Bancassurance!$BK$54/1000</f>
        <v>0</v>
      </c>
      <c r="W193" s="40">
        <f>+[3]Bancassurance!$BK$55/1000</f>
        <v>0</v>
      </c>
      <c r="X193" s="6"/>
      <c r="Y193" s="70">
        <f>+[3]Specials!$BK$53/1000</f>
        <v>0</v>
      </c>
      <c r="Z193" s="40">
        <f>+[3]Specials!$BK$54/1000</f>
        <v>2.0999999999999997E-7</v>
      </c>
      <c r="AA193" s="40">
        <f>+[3]Specials!$BK$55/1000</f>
        <v>0</v>
      </c>
      <c r="AB193" s="6"/>
      <c r="AC193" s="87">
        <f>+'[3]Total P&amp;C'!$BK$53/1000</f>
        <v>5.7841657800000084</v>
      </c>
      <c r="AD193" s="58">
        <f>+'[3]Total P&amp;C'!$BK$54/1000</f>
        <v>3.9316006199999958</v>
      </c>
      <c r="AE193" s="58">
        <f>+'[3]Total P&amp;C'!$BK$55/1000</f>
        <v>2.2492083636085374</v>
      </c>
      <c r="AG193" s="108"/>
      <c r="AK193" s="108"/>
      <c r="AO193" s="108"/>
      <c r="AS193" s="108"/>
      <c r="AW193" s="108"/>
      <c r="BA193" s="108"/>
      <c r="BE193" s="108"/>
    </row>
    <row r="194" spans="1:57" hidden="1" outlineLevel="1" x14ac:dyDescent="0.25"/>
    <row r="195" spans="1:57" ht="16.5" hidden="1" outlineLevel="1" x14ac:dyDescent="0.25">
      <c r="A195" s="202" t="s">
        <v>43</v>
      </c>
      <c r="B195" s="9"/>
      <c r="C195" s="37" t="s">
        <v>19</v>
      </c>
      <c r="D195" s="6"/>
      <c r="E195" s="75">
        <f>+[3]Retail!$C$61/1000</f>
        <v>6.3370639999999909E-2</v>
      </c>
      <c r="F195" s="40">
        <f>+[3]Retail!$C$62/1000</f>
        <v>7.1586830000000018E-2</v>
      </c>
      <c r="G195" s="40">
        <f>+[3]Retail!$C$63/1000</f>
        <v>0</v>
      </c>
      <c r="H195" s="6"/>
      <c r="I195" s="75">
        <f>+[3]SME!$C$61/1000</f>
        <v>0.38157938000000002</v>
      </c>
      <c r="J195" s="40">
        <f>+[3]SME!$C$62/1000</f>
        <v>0.36467952999999997</v>
      </c>
      <c r="K195" s="40">
        <f>+[3]SME!$C$63/1000</f>
        <v>0.31595999999999996</v>
      </c>
      <c r="L195" s="6"/>
      <c r="M195" s="75">
        <f>+[3]MidCorp!$C$61/1000</f>
        <v>1.8923619999999999</v>
      </c>
      <c r="N195" s="40">
        <f>+[3]MidCorp!$C$62/1000</f>
        <v>1.70135163</v>
      </c>
      <c r="O195" s="40">
        <f>+[3]MidCorp!$C$63/1000</f>
        <v>1.6033299999999999</v>
      </c>
      <c r="P195" s="6"/>
      <c r="Q195" s="75">
        <f>+[3]MGA!$C$61/1000</f>
        <v>1.2683266199999998</v>
      </c>
      <c r="R195" s="40">
        <f>+[3]MGA!$C$62/1000</f>
        <v>1.1094641200000002</v>
      </c>
      <c r="S195" s="40">
        <f>+[3]MGA!$C$63/1000</f>
        <v>0.23235</v>
      </c>
      <c r="T195" s="6"/>
      <c r="U195" s="70">
        <f>+[3]Bancassurance!$C$61/1000</f>
        <v>0</v>
      </c>
      <c r="V195" s="40">
        <f>+[3]Bancassurance!$C$62/1000</f>
        <v>0</v>
      </c>
      <c r="W195" s="40">
        <f>+[3]Bancassurance!$C$63/1000</f>
        <v>0</v>
      </c>
      <c r="X195" s="6"/>
      <c r="Y195" s="70">
        <f>+[3]Specials!$C$61/1000</f>
        <v>0</v>
      </c>
      <c r="Z195" s="40">
        <f>+[3]Specials!$C$62/1000</f>
        <v>0</v>
      </c>
      <c r="AA195" s="40">
        <f>+[3]Specials!$C$63/1000</f>
        <v>0</v>
      </c>
      <c r="AB195" s="6"/>
      <c r="AC195" s="87">
        <f>+'[3]Total P&amp;C'!$C$61/1000</f>
        <v>3.6056386399999996</v>
      </c>
      <c r="AD195" s="58">
        <f>+'[3]Total P&amp;C'!$C$62/1000</f>
        <v>3.2470821100000005</v>
      </c>
      <c r="AE195" s="58">
        <f>+'[3]Total P&amp;C'!$C$63/1000</f>
        <v>2.15164</v>
      </c>
      <c r="AG195" s="108"/>
      <c r="AK195" s="108"/>
      <c r="AO195" s="108"/>
      <c r="AS195" s="108"/>
      <c r="AW195" s="108"/>
      <c r="BA195" s="108"/>
      <c r="BE195" s="108"/>
    </row>
    <row r="196" spans="1:57" ht="16.5" hidden="1" outlineLevel="1" x14ac:dyDescent="0.25">
      <c r="A196" s="202"/>
      <c r="B196" s="9"/>
      <c r="C196" s="37" t="s">
        <v>55</v>
      </c>
      <c r="D196" s="6"/>
      <c r="E196" s="75">
        <f>+[3]Retail!$N$61/1000</f>
        <v>6.1564569999999923E-2</v>
      </c>
      <c r="F196" s="40">
        <f>+[3]Retail!$N$62/1000</f>
        <v>7.2085030000000078E-2</v>
      </c>
      <c r="G196" s="40">
        <f>+[3]Retail!$N$63/1000</f>
        <v>0</v>
      </c>
      <c r="H196" s="6"/>
      <c r="I196" s="75">
        <f>+[3]SME!$N$61/1000</f>
        <v>0.20755725000000003</v>
      </c>
      <c r="J196" s="40">
        <f>+[3]SME!$N$62/1000</f>
        <v>0.20802046999999999</v>
      </c>
      <c r="K196" s="40">
        <f>+[3]SME!$N$63/1000</f>
        <v>0.18809983677189798</v>
      </c>
      <c r="L196" s="6"/>
      <c r="M196" s="98">
        <f>+[3]MidCorp!$N$61/1000</f>
        <v>0.86120008999999975</v>
      </c>
      <c r="N196" s="40">
        <f>+[3]MidCorp!$N$62/1000</f>
        <v>0.77956283999999965</v>
      </c>
      <c r="O196" s="40">
        <f>+[3]MidCorp!$N$63/1000</f>
        <v>0.8665907897237648</v>
      </c>
      <c r="P196" s="6"/>
      <c r="Q196" s="75">
        <f>+[3]MGA!$N$61/1000</f>
        <v>1.1455273699999993</v>
      </c>
      <c r="R196" s="40">
        <f>+[3]MGA!$N$62/1000</f>
        <v>1.0065372999999995</v>
      </c>
      <c r="S196" s="40">
        <f>+[3]MGA!$N$63/1000</f>
        <v>0.22189628565338904</v>
      </c>
      <c r="T196" s="6"/>
      <c r="U196" s="70">
        <f>+[3]Bancassurance!$N$61/1000</f>
        <v>0</v>
      </c>
      <c r="V196" s="40">
        <f>+[3]Bancassurance!$N$62/1000</f>
        <v>0</v>
      </c>
      <c r="W196" s="40">
        <f>+[3]Bancassurance!$N$63/1000</f>
        <v>0</v>
      </c>
      <c r="X196" s="6"/>
      <c r="Y196" s="70">
        <f>+[3]Specials!$N$61/1000</f>
        <v>0</v>
      </c>
      <c r="Z196" s="40">
        <f>+[3]Specials!$N$62/1000</f>
        <v>0</v>
      </c>
      <c r="AA196" s="40">
        <f>+[3]Specials!$N$63/1000</f>
        <v>0</v>
      </c>
      <c r="AB196" s="6"/>
      <c r="AC196" s="87">
        <f>+'[3]Total P&amp;C'!$N$61/1000</f>
        <v>2.2758492799999992</v>
      </c>
      <c r="AD196" s="58">
        <f>+'[3]Total P&amp;C'!$N$62/1000</f>
        <v>2.0662056399999993</v>
      </c>
      <c r="AE196" s="58">
        <f>+'[3]Total P&amp;C'!$N$63/1000</f>
        <v>1.2765869121490518</v>
      </c>
      <c r="AG196" s="108"/>
      <c r="AK196" s="108"/>
      <c r="AO196" s="108"/>
      <c r="AS196" s="108"/>
      <c r="AW196" s="108"/>
      <c r="BA196" s="108"/>
      <c r="BE196" s="108"/>
    </row>
    <row r="197" spans="1:57" ht="16.5" hidden="1" outlineLevel="1" x14ac:dyDescent="0.25">
      <c r="A197" s="202"/>
      <c r="B197" s="9"/>
      <c r="C197" s="37" t="s">
        <v>21</v>
      </c>
      <c r="D197" s="6"/>
      <c r="E197" s="71">
        <f>+E198+E203+E204+E205+E206</f>
        <v>0.14705584721861981</v>
      </c>
      <c r="F197" s="41">
        <f>+F198+F203+F204+F205+F206</f>
        <v>0.32037900240868272</v>
      </c>
      <c r="G197" s="41" t="e">
        <f>+G198+G203+G204+G205+G206</f>
        <v>#DIV/0!</v>
      </c>
      <c r="H197" s="6"/>
      <c r="I197" s="71">
        <f>+I198+I203+I204+I205+I206</f>
        <v>0.72930687798185789</v>
      </c>
      <c r="J197" s="41">
        <f>+J198+J203+J204+J205+J206</f>
        <v>0.52733050742554344</v>
      </c>
      <c r="K197" s="41">
        <f>+K198+K203+K204+K205+K206</f>
        <v>0.86162394146728793</v>
      </c>
      <c r="L197" s="6"/>
      <c r="M197" s="71">
        <f>+M198+M203+M204+M205+M206</f>
        <v>0.33306148400425761</v>
      </c>
      <c r="N197" s="41">
        <f>+N198+N203+N204+N205+N206</f>
        <v>0.1740580400163764</v>
      </c>
      <c r="O197" s="41">
        <f>+O198+O203+O204+O205+O206</f>
        <v>0.39592926841002457</v>
      </c>
      <c r="P197" s="6"/>
      <c r="Q197" s="71">
        <f>+Q198+Q203+Q204+Q205+Q206</f>
        <v>0.50765076001632381</v>
      </c>
      <c r="R197" s="41">
        <f>+R198+R203+R204+R205+R206</f>
        <v>0.51020101291824949</v>
      </c>
      <c r="S197" s="41">
        <f>+S198+S203+S204+S205+S206</f>
        <v>0.87238577523802152</v>
      </c>
      <c r="T197" s="6"/>
      <c r="U197" s="96">
        <f>+U198+U203+U204+U205+U206</f>
        <v>0</v>
      </c>
      <c r="V197" s="41">
        <f>+V198+V203+V204+V205+V206</f>
        <v>0</v>
      </c>
      <c r="W197" s="41">
        <f>+W198+W203+W204+W205+W206</f>
        <v>0</v>
      </c>
      <c r="X197" s="6"/>
      <c r="Y197" s="96">
        <f>+Y198+Y203+Y204+Y205+Y206</f>
        <v>0</v>
      </c>
      <c r="Z197" s="41">
        <f>+Z198+Z203+Z204+Z205+Z206</f>
        <v>0</v>
      </c>
      <c r="AA197" s="41">
        <f>+AA198+AA203+AA204+AA205+AA206</f>
        <v>0</v>
      </c>
      <c r="AB197" s="6"/>
      <c r="AC197" s="86">
        <f>+AC198+AC203+AC204+AC205+AC206</f>
        <v>0.4555469244430812</v>
      </c>
      <c r="AD197" s="59">
        <f>+AD198+AD203+AD204+AD205+AD206</f>
        <v>0.39312728330370833</v>
      </c>
      <c r="AE197" s="59">
        <f>+AE198+AE203+AE204+AE205+AE206</f>
        <v>0.55770952510221794</v>
      </c>
      <c r="AG197" s="109"/>
      <c r="AK197" s="109"/>
      <c r="AO197" s="109"/>
      <c r="AS197" s="109"/>
      <c r="AW197" s="109"/>
      <c r="BA197" s="109"/>
      <c r="BE197" s="109"/>
    </row>
    <row r="198" spans="1:57" ht="16.5" hidden="1" outlineLevel="1" x14ac:dyDescent="0.25">
      <c r="A198" s="202"/>
      <c r="B198" s="9"/>
      <c r="C198" s="37" t="s">
        <v>56</v>
      </c>
      <c r="D198" s="6"/>
      <c r="E198" s="71">
        <f>+E199+E200+E201+E202</f>
        <v>8.5447685251436117E-2</v>
      </c>
      <c r="F198" s="41">
        <f>+F199+F200+F201+F202</f>
        <v>3.8008585138967099E-2</v>
      </c>
      <c r="G198" s="41" t="e">
        <f>+G199+G200+G201+G202</f>
        <v>#DIV/0!</v>
      </c>
      <c r="H198" s="6"/>
      <c r="I198" s="71">
        <f>+I199+I200+I201+I202</f>
        <v>0.31588474987021647</v>
      </c>
      <c r="J198" s="41">
        <f>+J199+J200+J201+J202</f>
        <v>0.55587063138545934</v>
      </c>
      <c r="K198" s="41">
        <f>+K199+K200+K201+K202</f>
        <v>0.36985942942499977</v>
      </c>
      <c r="L198" s="6"/>
      <c r="M198" s="71">
        <f>+M199+M200+M201+M202</f>
        <v>4.5452317590909702E-2</v>
      </c>
      <c r="N198" s="41">
        <f>+N199+N200+N201+N202</f>
        <v>8.3787818824201582E-2</v>
      </c>
      <c r="O198" s="41">
        <f>+O199+O200+O201+O202</f>
        <v>9.1185593524651692E-2</v>
      </c>
      <c r="P198" s="6"/>
      <c r="Q198" s="96">
        <f>+Q199+Q200+Q201+Q202</f>
        <v>0.54813226330855847</v>
      </c>
      <c r="R198" s="41">
        <f>+R199+R200+R201+R202</f>
        <v>0.58009144817584024</v>
      </c>
      <c r="S198" s="41">
        <f>+S199+S200+S201+S202</f>
        <v>0.54494291878340873</v>
      </c>
      <c r="T198" s="6"/>
      <c r="U198" s="96">
        <f>+U199+U200+U201+U202</f>
        <v>0</v>
      </c>
      <c r="V198" s="41">
        <f>+V199+V200+V201+V202</f>
        <v>0</v>
      </c>
      <c r="W198" s="41">
        <f>+W199+W200+W201+W202</f>
        <v>0</v>
      </c>
      <c r="X198" s="6"/>
      <c r="Y198" s="96">
        <f>+Y199+Y200+Y201+Y202</f>
        <v>0</v>
      </c>
      <c r="Z198" s="41">
        <f>+Z199+Z200+Z201+Z202</f>
        <v>0</v>
      </c>
      <c r="AA198" s="41">
        <f>+AA199+AA200+AA201+AA202</f>
        <v>0</v>
      </c>
      <c r="AB198" s="6"/>
      <c r="AC198" s="83">
        <f>+AC199+AC200+AC201+AC202</f>
        <v>0.3252391168891467</v>
      </c>
      <c r="AD198" s="59">
        <f>+AD199+AD200+AD201+AD202</f>
        <v>0.37389322003786624</v>
      </c>
      <c r="AE198" s="59">
        <f>+AE199+AE200+AE201+AE202</f>
        <v>0.2146540021871633</v>
      </c>
      <c r="AG198" s="109"/>
      <c r="AK198" s="109"/>
      <c r="AO198" s="109"/>
      <c r="AS198" s="109"/>
      <c r="AW198" s="109"/>
      <c r="BA198" s="109"/>
      <c r="BE198" s="109"/>
    </row>
    <row r="199" spans="1:57" ht="16.5" hidden="1" outlineLevel="1" x14ac:dyDescent="0.25">
      <c r="A199" s="202"/>
      <c r="B199" s="9"/>
      <c r="C199" s="38" t="s">
        <v>23</v>
      </c>
      <c r="D199" s="6"/>
      <c r="E199" s="74">
        <f>-SUM([3]Retail!$O$61,[3]Retail!$R$61:$V$61,[3]Retail!$Y$61,[3]Retail!$AB$61,[3]Retail!$AU$61,[3]Retail!$AX$61,[3]Retail!$BA$61,[3]Retail!$BD$61)/1000/E196</f>
        <v>8.5447685251436117E-2</v>
      </c>
      <c r="F199" s="42">
        <f>-SUM([3]Retail!$O$62,[3]Retail!$R$62:$V$62,[3]Retail!$Y$62,[3]Retail!$AB$62,[3]Retail!$AU$62,[3]Retail!$AX$62,[3]Retail!$BA$62,[3]Retail!$BD$62)/1000/F196</f>
        <v>3.8008585138967099E-2</v>
      </c>
      <c r="G199" s="42" t="e">
        <f>-SUM([3]Retail!$O$63,[3]Retail!$R$63:$V$63,[3]Retail!$Y$63,[3]Retail!$AB$63,[3]Retail!$AU$63,[3]Retail!$AX$63,[3]Retail!$BA$63,[3]Retail!$BD$63)/1000/G196</f>
        <v>#DIV/0!</v>
      </c>
      <c r="H199" s="6"/>
      <c r="I199" s="74">
        <f>-SUM([3]SME!$O$61,[3]SME!$R$61:$V$61,[3]SME!$Y$61,[3]SME!$AB$61,[3]SME!$AU$61,[3]SME!$AX$61,[3]SME!$BA$61,[3]SME!$BD$61)/1000/I196</f>
        <v>0.31588474987021647</v>
      </c>
      <c r="J199" s="42">
        <f>-SUM([3]SME!$O$62,[3]SME!$R$62:$V$62,[3]SME!$Y$62,[3]SME!$AB$62,[3]SME!$AU$62,[3]SME!$AX$62,[3]SME!$BA$62,[3]SME!$BD$62)/1000/J196</f>
        <v>0.55587063138545934</v>
      </c>
      <c r="K199" s="42">
        <f>-SUM([3]SME!$O$63,[3]SME!$R$63:$V$63,[3]SME!$Y$63,[3]SME!$AB$63,[3]SME!$AU$63,[3]SME!$AX$63,[3]SME!$BA$63,[3]SME!$BD$63)/1000/K196</f>
        <v>0.36985942942499977</v>
      </c>
      <c r="L199" s="6"/>
      <c r="M199" s="74">
        <f>-SUM([3]MidCorp!$O$61,[3]MidCorp!$R$61:$V$61,[3]MidCorp!$Y$61,[3]MidCorp!$AB$61,[3]MidCorp!$AU$61,[3]MidCorp!$AX$61,[3]MidCorp!$BA$61,[3]MidCorp!$BD$61)/1000/M196</f>
        <v>4.5452317590909702E-2</v>
      </c>
      <c r="N199" s="42">
        <f>-SUM([3]MidCorp!$O$62,[3]MidCorp!$R$62:$V$62,[3]MidCorp!$Y$62,[3]MidCorp!$AB$62,[3]MidCorp!$AU$62,[3]MidCorp!$AX$62,[3]MidCorp!$BA$62,[3]MidCorp!$BD$62)/1000/N196</f>
        <v>8.3787818824201582E-2</v>
      </c>
      <c r="O199" s="42">
        <f>-SUM([3]MidCorp!$O$63,[3]MidCorp!$R$63:$V$63,[3]MidCorp!$Y$63,[3]MidCorp!$AB$63,[3]MidCorp!$AU$63,[3]MidCorp!$AX$63,[3]MidCorp!$BA$63,[3]MidCorp!$BD$63)/1000/O196</f>
        <v>9.1185593524651692E-2</v>
      </c>
      <c r="P199" s="6"/>
      <c r="Q199" s="97">
        <f>-SUM([3]MGA!$O$61,[3]MGA!$R$61:$V$61,[3]MGA!$Y$61,[3]MGA!$AB$61,[3]MGA!$AU$61,[3]MGA!$AX$61,[3]MGA!$BA$61,[3]MGA!$BD$61)/1000/Q196</f>
        <v>0.54813226330855847</v>
      </c>
      <c r="R199" s="42">
        <f>-SUM([3]MGA!$O$62,[3]MGA!$R$62:$V$62,[3]MGA!$Y$62,[3]MGA!$AB$62,[3]MGA!$AU$62,[3]MGA!$AX$62,[3]MGA!$BA$62,[3]MGA!$BD$62)/1000/R196</f>
        <v>0.58009144817584024</v>
      </c>
      <c r="S199" s="42">
        <f>-SUM([3]MGA!$O$63,[3]MGA!$R$63:$V$63,[3]MGA!$Y$63,[3]MGA!$AB$63,[3]MGA!$AU$63,[3]MGA!$AX$63,[3]MGA!$BA$63,[3]MGA!$BD$63)/1000/S196</f>
        <v>0.54494291878340873</v>
      </c>
      <c r="T199" s="6"/>
      <c r="U199" s="97">
        <f>IFERROR(-SUM([3]Bancassurance!$O$61,[3]Bancassurance!$R$61:$V$61,[3]Bancassurance!$Y$61,[3]Bancassurance!$AB$61,[3]Bancassurance!$AU$61,[3]Bancassurance!$AX$61,[3]Bancassurance!$BA$61,[3]Bancassurance!$BD$61)/1000/U196,0)</f>
        <v>0</v>
      </c>
      <c r="V199" s="42">
        <f>IFERROR(-SUM([3]Bancassurance!$O$62,[3]Bancassurance!$R$62:$V$62,[3]Bancassurance!$Y$62,[3]Bancassurance!$AB$62,[3]Bancassurance!$AU$62,[3]Bancassurance!$AX$62,[3]Bancassurance!$BA$62,[3]Bancassurance!$BD$62)/1000/V196,0)</f>
        <v>0</v>
      </c>
      <c r="W199" s="42">
        <f>IFERROR(-SUM([3]Bancassurance!$O$63,[3]Bancassurance!$R$63:$V$63,[3]Bancassurance!$Y$63,[3]Bancassurance!$AB$63,[3]Bancassurance!$AU$63,[3]Bancassurance!$AX$63,[3]Bancassurance!$BA$63,[3]Bancassurance!$BD$63)/1000/W196,0)</f>
        <v>0</v>
      </c>
      <c r="X199" s="6"/>
      <c r="Y199" s="97">
        <f>IFERROR(-SUM([3]Specials!$O$61,[3]Specials!$R$61:$V$61,[3]Specials!$Y$61,[3]Specials!$AB$61,[3]Specials!$AU$61,[3]Specials!$AX$61,[3]Specials!$BA$61,[3]Specials!$BD$61)/1000/Y196,0)</f>
        <v>0</v>
      </c>
      <c r="Z199" s="42">
        <f>IFERROR(-SUM([3]Specials!$O$62,[3]Specials!$R$62:$V$62,[3]Specials!$Y$62,[3]Specials!$AB$62,[3]Specials!$AU$62,[3]Specials!$AX$62,[3]Specials!$BA$62,[3]Specials!$BD$62)/1000/Z196,0)</f>
        <v>0</v>
      </c>
      <c r="AA199" s="42">
        <f>IFERROR(-SUM([3]Specials!$O$63,[3]Specials!$R$63:$V$63,[3]Specials!$Y$63,[3]Specials!$AB$63,[3]Specials!$AU$63,[3]Specials!$AX$63,[3]Specials!$BA$63,[3]Specials!$BD$63)/1000/AA196,0)</f>
        <v>0</v>
      </c>
      <c r="AB199" s="6"/>
      <c r="AC199" s="84">
        <f>-SUM('[3]Total P&amp;C'!$O$61,'[3]Total P&amp;C'!$R$61:$V$61,'[3]Total P&amp;C'!$Y$61,'[3]Total P&amp;C'!$AB$61,'[3]Total P&amp;C'!$AU$61,'[3]Total P&amp;C'!$AX$61,'[3]Total P&amp;C'!$BA$61,'[3]Total P&amp;C'!$BD$61)/1000/AC196</f>
        <v>0.3252391168891467</v>
      </c>
      <c r="AD199" s="60">
        <f>-SUM('[3]Total P&amp;C'!$O$62,'[3]Total P&amp;C'!$R$62:$V$62,'[3]Total P&amp;C'!$Y$62,'[3]Total P&amp;C'!$AB$62,'[3]Total P&amp;C'!$AU$62,'[3]Total P&amp;C'!$AX$62,'[3]Total P&amp;C'!$BA$62,'[3]Total P&amp;C'!$BD$62)/1000/AD196</f>
        <v>0.37389322003786624</v>
      </c>
      <c r="AE199" s="60">
        <f>-SUM('[3]Total P&amp;C'!$O$63,'[3]Total P&amp;C'!$R$63:$V$63,'[3]Total P&amp;C'!$Y$63,'[3]Total P&amp;C'!$AB$63,'[3]Total P&amp;C'!$AU$63,'[3]Total P&amp;C'!$AX$63,'[3]Total P&amp;C'!$BA$63,'[3]Total P&amp;C'!$BD$63)/1000/AE196</f>
        <v>0.2146540021871633</v>
      </c>
      <c r="AG199" s="109"/>
      <c r="AK199" s="109"/>
      <c r="AO199" s="109"/>
      <c r="AS199" s="109"/>
      <c r="AW199" s="109"/>
      <c r="BA199" s="109"/>
      <c r="BE199" s="109"/>
    </row>
    <row r="200" spans="1:57" ht="16.5" hidden="1" outlineLevel="1" x14ac:dyDescent="0.25">
      <c r="A200" s="202"/>
      <c r="B200" s="9"/>
      <c r="C200" s="38" t="s">
        <v>24</v>
      </c>
      <c r="D200" s="7"/>
      <c r="E200" s="97">
        <f>-([3]Retail!$P$61+[3]Retail!$W$61+[3]Retail!$AV$61+[3]Retail!$AY$61)/1000/E196</f>
        <v>0</v>
      </c>
      <c r="F200" s="42">
        <f>-([3]Retail!$P$62+[3]Retail!$W$62+[3]Retail!$AV$62+[3]Retail!$AY$62)/1000/F196</f>
        <v>0</v>
      </c>
      <c r="G200" s="42" t="e">
        <f>-([3]Retail!$P$63+[3]Retail!$W$63+[3]Retail!$AV$63+[3]Retail!$AY$63)/1000/G196</f>
        <v>#DIV/0!</v>
      </c>
      <c r="H200" s="7"/>
      <c r="I200" s="97">
        <f>-([3]SME!$P$61+[3]SME!$W$61+[3]SME!$AV$61+[3]SME!$AY$61)/1000/I196</f>
        <v>0</v>
      </c>
      <c r="J200" s="42">
        <f>-([3]SME!$P$62+[3]SME!$W$62+[3]SME!$AV$62+[3]SME!$AY$62)/1000/J196</f>
        <v>0</v>
      </c>
      <c r="K200" s="42">
        <f>-([3]SME!$P$63+[3]SME!$W$63+[3]SME!$AV$63+[3]SME!$AY$63)/1000/K196</f>
        <v>0</v>
      </c>
      <c r="L200" s="7"/>
      <c r="M200" s="97">
        <f>-([3]MidCorp!$P$61+[3]MidCorp!$W$61+[3]MidCorp!$AV$61+[3]MidCorp!$AY$61)/1000/M196</f>
        <v>0</v>
      </c>
      <c r="N200" s="42">
        <f>-([3]MidCorp!$P$62+[3]MidCorp!$W$62+[3]MidCorp!$AV$62+[3]MidCorp!$AY$62)/1000/N196</f>
        <v>0</v>
      </c>
      <c r="O200" s="42">
        <f>-([3]MidCorp!$P$63+[3]MidCorp!$W$63+[3]MidCorp!$AV$63+[3]MidCorp!$AY$63)/1000/O196</f>
        <v>0</v>
      </c>
      <c r="P200" s="7"/>
      <c r="Q200" s="97">
        <f>-([3]MGA!$P$61+[3]MGA!$W$61+[3]MGA!$AV$61+[3]MGA!$AY$61)/1000/Q196</f>
        <v>0</v>
      </c>
      <c r="R200" s="42">
        <f>-([3]MGA!$P$62+[3]MGA!$W$62+[3]MGA!$AV$62+[3]MGA!$AY$62)/1000/R196</f>
        <v>0</v>
      </c>
      <c r="S200" s="42">
        <f>-([3]MGA!$P$63+[3]MGA!$W$63+[3]MGA!$AV$63+[3]MGA!$AY$63)/1000/S196</f>
        <v>0</v>
      </c>
      <c r="T200" s="7"/>
      <c r="U200" s="97">
        <f>IFERROR(-([3]Bancassurance!$P$61+[3]Bancassurance!$W$61+[3]Bancassurance!$AV$61+[3]Bancassurance!$AY$61)/1000/U196,0)</f>
        <v>0</v>
      </c>
      <c r="V200" s="42">
        <f>IFERROR(-([3]Bancassurance!$P$62+[3]Bancassurance!$W$62+[3]Bancassurance!$AV$62+[3]Bancassurance!$AY$62)/1000/V196,0)</f>
        <v>0</v>
      </c>
      <c r="W200" s="42">
        <f>IFERROR(-([3]Bancassurance!$P$63+[3]Bancassurance!$W$63+[3]Bancassurance!$AV$63+[3]Bancassurance!$AY$63)/1000/W196,0)</f>
        <v>0</v>
      </c>
      <c r="X200" s="7"/>
      <c r="Y200" s="97">
        <f>IFERROR(-([3]Specials!$P$61+[3]Specials!$W$61+[3]Specials!$AV$61+[3]Specials!$AY$61)/1000/Y196,0)</f>
        <v>0</v>
      </c>
      <c r="Z200" s="42">
        <f>IFERROR(-([3]Specials!$P$62+[3]Specials!$W$62+[3]Specials!$AV$62+[3]Specials!$AY$62)/1000/Z196,0)</f>
        <v>0</v>
      </c>
      <c r="AA200" s="42">
        <f>IFERROR(-([3]Specials!$P$63+[3]Specials!$W$63+[3]Specials!$AV$63+[3]Specials!$AY$63)/1000/AA196,0)</f>
        <v>0</v>
      </c>
      <c r="AB200" s="7"/>
      <c r="AC200" s="99">
        <f>-('[3]Total P&amp;C'!$P$61+'[3]Total P&amp;C'!$W$61+'[3]Total P&amp;C'!$AV$61+'[3]Total P&amp;C'!$AY$61)/1000/AC196</f>
        <v>0</v>
      </c>
      <c r="AD200" s="60">
        <f>-('[3]Total P&amp;C'!$P$62+'[3]Total P&amp;C'!$W$62+'[3]Total P&amp;C'!$AV$62+'[3]Total P&amp;C'!$AY$62)/1000/AD196</f>
        <v>0</v>
      </c>
      <c r="AE200" s="60">
        <f>-('[3]Total P&amp;C'!$P$63+'[3]Total P&amp;C'!$W$63+'[3]Total P&amp;C'!$AV$63+'[3]Total P&amp;C'!$AY$63)/1000/AE196</f>
        <v>0</v>
      </c>
      <c r="AG200" s="109"/>
      <c r="AK200" s="109"/>
      <c r="AO200" s="109"/>
      <c r="AS200" s="109"/>
      <c r="AW200" s="109"/>
      <c r="BA200" s="109"/>
      <c r="BE200" s="109"/>
    </row>
    <row r="201" spans="1:57" ht="16.5" hidden="1" outlineLevel="1" x14ac:dyDescent="0.25">
      <c r="A201" s="202"/>
      <c r="B201" s="9"/>
      <c r="C201" s="38" t="s">
        <v>25</v>
      </c>
      <c r="D201" s="7"/>
      <c r="E201" s="97">
        <f>-([3]Retail!$Q$61+[3]Retail!$X$61+[3]Retail!$AW$61+[3]Retail!$AZ$61)/1000/E196</f>
        <v>0</v>
      </c>
      <c r="F201" s="42">
        <f>-([3]Retail!$Q$62+[3]Retail!$X$62+[3]Retail!$AW$62+[3]Retail!$AZ$62)/1000/F196</f>
        <v>0</v>
      </c>
      <c r="G201" s="42" t="e">
        <f>-([3]Retail!$Q$63+[3]Retail!$X$63+[3]Retail!$AW$63+[3]Retail!$AZ$63)/1000/G196</f>
        <v>#DIV/0!</v>
      </c>
      <c r="H201" s="7"/>
      <c r="I201" s="97">
        <f>-([3]SME!$Q$61+[3]SME!$X$61+[3]SME!$AW$61+[3]SME!$AZ$61)/1000/I196</f>
        <v>0</v>
      </c>
      <c r="J201" s="42">
        <f>-([3]SME!$Q$62+[3]SME!$X$62+[3]SME!$AW$62+[3]SME!$AZ$62)/1000/J196</f>
        <v>0</v>
      </c>
      <c r="K201" s="42">
        <f>-([3]SME!$Q$63+[3]SME!$X$63+[3]SME!$AW$63+[3]SME!$AZ$63)/1000/K196</f>
        <v>0</v>
      </c>
      <c r="L201" s="7"/>
      <c r="M201" s="97">
        <f>-([3]MidCorp!$Q$61+[3]MidCorp!$X$61+[3]MidCorp!$AW$61+[3]MidCorp!$AZ$61)/1000/M196</f>
        <v>0</v>
      </c>
      <c r="N201" s="42">
        <f>-([3]MidCorp!$Q$62+[3]MidCorp!$X$62+[3]MidCorp!$AW$62+[3]MidCorp!$AZ$62)/1000/N196</f>
        <v>0</v>
      </c>
      <c r="O201" s="42">
        <f>-([3]MidCorp!$Q$63+[3]MidCorp!$X$63+[3]MidCorp!$AW$63+[3]MidCorp!$AZ$63)/1000/O196</f>
        <v>0</v>
      </c>
      <c r="P201" s="7"/>
      <c r="Q201" s="97">
        <f>-([3]MGA!$Q$61+[3]MGA!$X$61+[3]MGA!$AW$61+[3]MGA!$AZ$61)/1000/Q196</f>
        <v>0</v>
      </c>
      <c r="R201" s="42">
        <f>-([3]MGA!$Q$62+[3]MGA!$X$62+[3]MGA!$AW$62+[3]MGA!$AZ$62)/1000/R196</f>
        <v>0</v>
      </c>
      <c r="S201" s="42">
        <f>-([3]MGA!$Q$63+[3]MGA!$X$63+[3]MGA!$AW$63+[3]MGA!$AZ$63)/1000/S196</f>
        <v>0</v>
      </c>
      <c r="T201" s="7"/>
      <c r="U201" s="97">
        <f>IFERROR(-([3]Bancassurance!$Q$61+[3]Bancassurance!$X$61+[3]Bancassurance!$AW$61+[3]Bancassurance!$AZ$61)/1000/U196,0)</f>
        <v>0</v>
      </c>
      <c r="V201" s="42">
        <f>IFERROR(-([3]Bancassurance!$Q$62+[3]Bancassurance!$X$62+[3]Bancassurance!$AW$62+[3]Bancassurance!$AZ$62)/1000/V196,0)</f>
        <v>0</v>
      </c>
      <c r="W201" s="42">
        <f>IFERROR(-([3]Bancassurance!$Q$63+[3]Bancassurance!$X$63+[3]Bancassurance!$AW$63+[3]Bancassurance!$AZ$63)/1000/W196,0)</f>
        <v>0</v>
      </c>
      <c r="X201" s="7"/>
      <c r="Y201" s="97">
        <f>IFERROR(-([3]Specials!$Q$61+[3]Specials!$X$61+[3]Specials!$AW$61+[3]Specials!$AZ$61)/1000/Y196,0)</f>
        <v>0</v>
      </c>
      <c r="Z201" s="42">
        <f>IFERROR(-([3]Specials!$Q$62+[3]Specials!$X$62+[3]Specials!$AW$62+[3]Specials!$AZ$62)/1000/Z196,0)</f>
        <v>0</v>
      </c>
      <c r="AA201" s="42">
        <f>IFERROR(-([3]Specials!$Q$63+[3]Specials!$X$63+[3]Specials!$AW$63+[3]Specials!$AZ$63)/1000/AA196,0)</f>
        <v>0</v>
      </c>
      <c r="AB201" s="7"/>
      <c r="AC201" s="99">
        <f>-('[3]Total P&amp;C'!$Q$61+'[3]Total P&amp;C'!$X$61+'[3]Total P&amp;C'!$AW$61+'[3]Total P&amp;C'!$AZ$61)/1000/AC196</f>
        <v>0</v>
      </c>
      <c r="AD201" s="60">
        <f>-('[3]Total P&amp;C'!$Q$62+'[3]Total P&amp;C'!$X$62+'[3]Total P&amp;C'!$AW$62+'[3]Total P&amp;C'!$AZ$62)/1000/AD196</f>
        <v>0</v>
      </c>
      <c r="AE201" s="60">
        <f>-('[3]Total P&amp;C'!$Q$63+'[3]Total P&amp;C'!$X$63+'[3]Total P&amp;C'!$AW$63+'[3]Total P&amp;C'!$AZ$63)/1000/AE196</f>
        <v>0</v>
      </c>
      <c r="AG201" s="109"/>
      <c r="AK201" s="109"/>
      <c r="AO201" s="109"/>
      <c r="AS201" s="109"/>
      <c r="AW201" s="109"/>
      <c r="BA201" s="109"/>
      <c r="BE201" s="109"/>
    </row>
    <row r="202" spans="1:57" ht="16.5" hidden="1" outlineLevel="1" x14ac:dyDescent="0.25">
      <c r="A202" s="202"/>
      <c r="B202" s="9"/>
      <c r="C202" s="38" t="s">
        <v>53</v>
      </c>
      <c r="D202" s="7"/>
      <c r="E202" s="97">
        <f>-[3]Retail!$AT$61/1000/E196</f>
        <v>0</v>
      </c>
      <c r="F202" s="42">
        <f>-[3]Retail!$AT$62/1000/F196</f>
        <v>0</v>
      </c>
      <c r="G202" s="42" t="e">
        <f>-[3]Retail!$AT$63/1000/G196</f>
        <v>#DIV/0!</v>
      </c>
      <c r="H202" s="7"/>
      <c r="I202" s="97">
        <f>-[3]SME!$AT$61/1000/I196</f>
        <v>0</v>
      </c>
      <c r="J202" s="42">
        <f>-[3]SME!$AT$62/1000/J196</f>
        <v>0</v>
      </c>
      <c r="K202" s="42">
        <f>-[3]SME!$AT$63/1000/K196</f>
        <v>0</v>
      </c>
      <c r="L202" s="7"/>
      <c r="M202" s="97">
        <f>-[3]MidCorp!$AT$61/1000/M196</f>
        <v>0</v>
      </c>
      <c r="N202" s="42">
        <f>-[3]MidCorp!$AT$62/1000/N196</f>
        <v>0</v>
      </c>
      <c r="O202" s="42">
        <f>-[3]MidCorp!$AT$63/1000/O196</f>
        <v>0</v>
      </c>
      <c r="P202" s="7"/>
      <c r="Q202" s="97">
        <f>-[3]MGA!$AT$61/1000/Q196</f>
        <v>0</v>
      </c>
      <c r="R202" s="42">
        <f>-[3]MGA!$AT$62/1000/R196</f>
        <v>0</v>
      </c>
      <c r="S202" s="42">
        <f>-[3]MGA!$AT$63/1000/S196</f>
        <v>0</v>
      </c>
      <c r="T202" s="7"/>
      <c r="U202" s="97">
        <f>IFERROR(-[3]Bancassurance!$AT$61/1000/U196,0)</f>
        <v>0</v>
      </c>
      <c r="V202" s="42">
        <f>IFERROR(-[3]Bancassurance!$AT$62/1000/V196,0)</f>
        <v>0</v>
      </c>
      <c r="W202" s="42">
        <f>IFERROR(-[3]Bancassurance!$AT$63/1000/W196,0)</f>
        <v>0</v>
      </c>
      <c r="X202" s="7"/>
      <c r="Y202" s="97">
        <f>IFERROR(-[3]Specials!$AT$61/1000/Y196,0)</f>
        <v>0</v>
      </c>
      <c r="Z202" s="42">
        <f>IFERROR(-[3]Specials!$AT$62/1000/Z196,0)</f>
        <v>0</v>
      </c>
      <c r="AA202" s="42">
        <f>IFERROR(-[3]Specials!$AT$63/1000/AA196,0)</f>
        <v>0</v>
      </c>
      <c r="AB202" s="7"/>
      <c r="AC202" s="99">
        <f>-'[3]Total P&amp;C'!$AT$61/1000/AC196</f>
        <v>0</v>
      </c>
      <c r="AD202" s="60">
        <f>-'[3]Total P&amp;C'!$AT$62/1000/AD196</f>
        <v>0</v>
      </c>
      <c r="AE202" s="60">
        <f>-'[3]Total P&amp;C'!$AT$63/1000/AE196</f>
        <v>0</v>
      </c>
      <c r="AG202" s="109"/>
      <c r="AK202" s="109"/>
      <c r="AO202" s="109"/>
      <c r="AS202" s="109"/>
      <c r="AW202" s="109"/>
      <c r="BA202" s="109"/>
      <c r="BE202" s="109"/>
    </row>
    <row r="203" spans="1:57" ht="16.5" hidden="1" outlineLevel="1" x14ac:dyDescent="0.25">
      <c r="A203" s="202"/>
      <c r="B203" s="9"/>
      <c r="C203" s="37" t="s">
        <v>27</v>
      </c>
      <c r="D203" s="7"/>
      <c r="E203" s="71">
        <f>-([3]Retail!$Z$61+[3]Retail!$AA$61+[3]Retail!$BB$61+[3]Retail!$BC$61)/1000/E196</f>
        <v>-1.643315302941288E-3</v>
      </c>
      <c r="F203" s="41">
        <f>-([3]Retail!$Z$62+[3]Retail!$AA$62+[3]Retail!$BB$62+[3]Retail!$BC$62)/1000/F196</f>
        <v>-1.0484839917525167E-3</v>
      </c>
      <c r="G203" s="41" t="e">
        <f>-([3]Retail!$Z$63+[3]Retail!$AA$63+[3]Retail!$BB$63+[3]Retail!$BC$63)/1000/G196</f>
        <v>#DIV/0!</v>
      </c>
      <c r="H203" s="7"/>
      <c r="I203" s="71">
        <f>-([3]SME!$Z$61+[3]SME!$AA$61+[3]SME!$BB$61+[3]SME!$BC$61)/1000/I196</f>
        <v>-4.6034046028264478E-3</v>
      </c>
      <c r="J203" s="41">
        <f>-([3]SME!$Z$62+[3]SME!$AA$62+[3]SME!$BB$62+[3]SME!$BC$62)/1000/J196</f>
        <v>-1.1278697716623752E-2</v>
      </c>
      <c r="K203" s="41">
        <f>-([3]SME!$Z$63+[3]SME!$AA$63+[3]SME!$BB$63+[3]SME!$BC$63)/1000/K196</f>
        <v>-4.7224201089781847E-3</v>
      </c>
      <c r="L203" s="7"/>
      <c r="M203" s="71">
        <f>-([3]MidCorp!$Z$61+[3]MidCorp!$AA$61+[3]MidCorp!$BB$61+[3]MidCorp!$BC$61)/1000/M196</f>
        <v>-8.6395717863893909E-4</v>
      </c>
      <c r="N203" s="41">
        <f>-([3]MidCorp!$Z$62+[3]MidCorp!$AA$62+[3]MidCorp!$BB$62+[3]MidCorp!$BC$62)/1000/N196</f>
        <v>-2.5928121458431764E-3</v>
      </c>
      <c r="O203" s="41">
        <f>-([3]MidCorp!$Z$63+[3]MidCorp!$AA$63+[3]MidCorp!$BB$63+[3]MidCorp!$BC$63)/1000/O196</f>
        <v>-1.3922810236527072E-3</v>
      </c>
      <c r="P203" s="7"/>
      <c r="Q203" s="71">
        <f>-([3]MGA!$Z$61+[3]MGA!$AA$61+[3]MGA!$BB$61+[3]MGA!$BC$61)/1000/Q196</f>
        <v>-1.626758162923686E-2</v>
      </c>
      <c r="R203" s="41">
        <f>-([3]MGA!$Z$62+[3]MGA!$AA$62+[3]MGA!$BB$62+[3]MGA!$BC$62)/1000/R196</f>
        <v>-1.9611752093042164E-2</v>
      </c>
      <c r="S203" s="41">
        <f>-([3]MGA!$Z$63+[3]MGA!$AA$63+[3]MGA!$BB$63+[3]MGA!$BC$63)/1000/S196</f>
        <v>-1.1909216415739287E-2</v>
      </c>
      <c r="T203" s="7"/>
      <c r="U203" s="41">
        <f>IFERROR(-([3]Bancassurance!$Z$61+[3]Bancassurance!$AA$61+[3]Bancassurance!$BB$61+[3]Bancassurance!$BC$61)/1000/U196,0)</f>
        <v>0</v>
      </c>
      <c r="V203" s="41">
        <f>IFERROR(-([3]Bancassurance!$Z$62+[3]Bancassurance!$AA$62+[3]Bancassurance!$BB$62+[3]Bancassurance!$BC$62)/1000/V196,0)</f>
        <v>0</v>
      </c>
      <c r="W203" s="41">
        <f>IFERROR(-([3]Bancassurance!$Z$63+[3]Bancassurance!$AA$63+[3]Bancassurance!$BB$63+[3]Bancassurance!$BC$63)/1000/W196,0)</f>
        <v>0</v>
      </c>
      <c r="X203" s="7"/>
      <c r="Y203" s="41">
        <f>IFERROR(-([3]Specials!$Z$61+[3]Specials!$AA$61+[3]Specials!$BB$61+[3]Specials!$BC$61)/1000/Y196,0)</f>
        <v>0</v>
      </c>
      <c r="Z203" s="41">
        <f>IFERROR(-([3]Specials!$Z$62+[3]Specials!$AA$62+[3]Specials!$BB$62+[3]Specials!$BC$62)/1000/Z196,0)</f>
        <v>0</v>
      </c>
      <c r="AA203" s="41">
        <f>IFERROR(-([3]Specials!$Z$63+[3]Specials!$AA$63+[3]Specials!$BB$63+[3]Specials!$BC$63)/1000/AA196,0)</f>
        <v>0</v>
      </c>
      <c r="AB203" s="7"/>
      <c r="AC203" s="86">
        <f>-('[3]Total P&amp;C'!$Z$61+'[3]Total P&amp;C'!$AA$61+'[3]Total P&amp;C'!$BB$61+'[3]Total P&amp;C'!$BC$61)/1000/AC196</f>
        <v>-8.9793468221234796E-3</v>
      </c>
      <c r="AD203" s="59">
        <f>-('[3]Total P&amp;C'!$Z$62+'[3]Total P&amp;C'!$AA$62+'[3]Total P&amp;C'!$BB$62+'[3]Total P&amp;C'!$BC$62)/1000/AD196</f>
        <v>-1.1704062524967265E-2</v>
      </c>
      <c r="AE203" s="59">
        <f>-('[3]Total P&amp;C'!$Z$63+'[3]Total P&amp;C'!$AA$63+'[3]Total P&amp;C'!$BB$63+'[3]Total P&amp;C'!$BC$63)/1000/AE196</f>
        <v>-3.7110166225905327E-3</v>
      </c>
      <c r="AG203" s="109"/>
      <c r="AK203" s="109"/>
      <c r="AO203" s="109"/>
      <c r="AS203" s="109"/>
      <c r="AW203" s="109"/>
      <c r="BA203" s="109"/>
      <c r="BE203" s="109"/>
    </row>
    <row r="204" spans="1:57" ht="16.5" hidden="1" outlineLevel="1" x14ac:dyDescent="0.25">
      <c r="A204" s="202"/>
      <c r="B204" s="9"/>
      <c r="C204" s="37" t="s">
        <v>57</v>
      </c>
      <c r="D204" s="7"/>
      <c r="E204" s="71">
        <f>-SUM([3]Retail!$AC$61:$AI$61,[3]Retail!$BE$61:$BG$61)/1000/E196</f>
        <v>-0.25312968156847382</v>
      </c>
      <c r="F204" s="41">
        <f>-SUM([3]Retail!$AC$62:$AI$62,[3]Retail!$BE$62:$BG$62)/1000/F196</f>
        <v>-0.31563113728328862</v>
      </c>
      <c r="G204" s="41" t="e">
        <f>-SUM([3]Retail!$AC$63:$AI$63,[3]Retail!$BE$63:$BG$63)/1000/G196</f>
        <v>#DIV/0!</v>
      </c>
      <c r="H204" s="7"/>
      <c r="I204" s="71">
        <f>-SUM([3]SME!$AC$61:$AI$61,[3]SME!$BE$61:$BG$61)/1000/I196</f>
        <v>-4.8448897834211975E-2</v>
      </c>
      <c r="J204" s="41">
        <f>-SUM([3]SME!$AC$62:$AI$62,[3]SME!$BE$62:$BG$62)/1000/J196</f>
        <v>-0.43806116773027187</v>
      </c>
      <c r="K204" s="41">
        <f>-SUM([3]SME!$AC$63:$AI$63,[3]SME!$BE$63:$BG$63)/1000/K196</f>
        <v>-2.5113847300836938E-3</v>
      </c>
      <c r="L204" s="7"/>
      <c r="M204" s="96">
        <f>-SUM([3]MidCorp!$AC$61:$AI$61,[3]MidCorp!$BE$61:$BG$61)/1000/M196</f>
        <v>2.2207847191469802E-3</v>
      </c>
      <c r="N204" s="41">
        <f>-SUM([3]MidCorp!$AC$62:$AI$62,[3]MidCorp!$BE$62:$BG$62)/1000/N196</f>
        <v>-0.15936220099972967</v>
      </c>
      <c r="O204" s="41">
        <f>-SUM([3]MidCorp!$AC$63:$AI$63,[3]MidCorp!$BE$63:$BG$63)/1000/O196</f>
        <v>-7.4041555494829686E-4</v>
      </c>
      <c r="P204" s="7"/>
      <c r="Q204" s="71">
        <f>-SUM([3]MGA!$AC$61:$AI$61,[3]MGA!$BE$61:$BG$61)/1000/Q196</f>
        <v>-0.36628353105172856</v>
      </c>
      <c r="R204" s="41">
        <f>-SUM([3]MGA!$AC$62:$AI$62,[3]MGA!$BE$62:$BG$62)/1000/R196</f>
        <v>-0.35042679491361151</v>
      </c>
      <c r="S204" s="41">
        <f>-SUM([3]MGA!$AC$63:$AI$63,[3]MGA!$BE$63:$BG$63)/1000/S196</f>
        <v>-5.6650274552817528E-2</v>
      </c>
      <c r="T204" s="7"/>
      <c r="U204" s="96">
        <f>IFERROR(-SUM([3]Bancassurance!$AC$61:$AI$61,[3]Bancassurance!$BE$61:$BG$61)/1000/U196,0)</f>
        <v>0</v>
      </c>
      <c r="V204" s="41">
        <f>IFERROR(-SUM([3]Bancassurance!$AC$62:$AI$62,[3]Bancassurance!$BE$62:$BG$62)/1000/V196,0)</f>
        <v>0</v>
      </c>
      <c r="W204" s="41">
        <f>IFERROR(-SUM([3]Bancassurance!$AC$63:$AI$63,[3]Bancassurance!$BE$63:$BG$63)/1000/W196,0)</f>
        <v>0</v>
      </c>
      <c r="X204" s="7"/>
      <c r="Y204" s="96">
        <f>IFERROR(-SUM([3]Specials!$AC$61:$AI$61,[3]Specials!$BE$61:$BG$61)/1000/Y196,0)</f>
        <v>0</v>
      </c>
      <c r="Z204" s="41">
        <f>IFERROR(-SUM([3]Specials!$AC$62:$AI$62,[3]Specials!$BE$62:$BG$62)/1000/Z196,0)</f>
        <v>0</v>
      </c>
      <c r="AA204" s="41">
        <f>IFERROR(-SUM([3]Specials!$AC$63:$AI$63,[3]Specials!$BE$63:$BG$63)/1000/AA196,0)</f>
        <v>0</v>
      </c>
      <c r="AB204" s="7"/>
      <c r="AC204" s="86">
        <f>-SUM('[3]Total P&amp;C'!$AC$61:$AI$61,'[3]Total P&amp;C'!$BE$61:$BG$61)/1000/AC196</f>
        <v>-0.19482708890107162</v>
      </c>
      <c r="AD204" s="59">
        <f>-SUM('[3]Total P&amp;C'!$AC$62:$AI$62,'[3]Total P&amp;C'!$BE$62:$BG$62)/1000/AD196</f>
        <v>-0.28595032777086044</v>
      </c>
      <c r="AE204" s="59">
        <f>-SUM('[3]Total P&amp;C'!$AC$63:$AI$63,'[3]Total P&amp;C'!$BE$63:$BG$63)/1000/AE196</f>
        <v>-1.0719610026210044E-2</v>
      </c>
      <c r="AG204" s="109"/>
      <c r="AK204" s="109"/>
      <c r="AO204" s="109"/>
      <c r="AS204" s="109"/>
      <c r="AW204" s="109"/>
      <c r="BA204" s="109"/>
      <c r="BE204" s="109"/>
    </row>
    <row r="205" spans="1:57" ht="16.5" hidden="1" outlineLevel="1" x14ac:dyDescent="0.25">
      <c r="A205" s="202"/>
      <c r="B205" s="9"/>
      <c r="C205" s="37" t="s">
        <v>29</v>
      </c>
      <c r="D205" s="7"/>
      <c r="E205" s="71">
        <f>-SUM([3]Retail!$AJ$61:$AK$61,[3]Retail!$BH$61:$BI$61)/1000/E196</f>
        <v>1.446757445069463E-2</v>
      </c>
      <c r="F205" s="41">
        <f>-SUM([3]Retail!$AJ$62:$AK$62,[3]Retail!$BH$62:$BI$62)/1000/F196</f>
        <v>1.8709848632926949E-3</v>
      </c>
      <c r="G205" s="41" t="e">
        <f>-SUM([3]Retail!$AJ$63:$AK$63,[3]Retail!$BH$63:$BI$63)/1000/G196</f>
        <v>#DIV/0!</v>
      </c>
      <c r="H205" s="7"/>
      <c r="I205" s="72">
        <f>-SUM([3]SME!$AJ$61:$AK$61,[3]SME!$BH$61:$BI$61)/1000/I196</f>
        <v>4.5845760627489511E-2</v>
      </c>
      <c r="J205" s="41">
        <f>-SUM([3]SME!$AJ$62:$AK$62,[3]SME!$BH$62:$BI$62)/1000/J196</f>
        <v>1.003713721058317E-2</v>
      </c>
      <c r="K205" s="41">
        <f>-SUM([3]SME!$AJ$63:$AK$63,[3]SME!$BH$63:$BI$63)/1000/K196</f>
        <v>0</v>
      </c>
      <c r="L205" s="7"/>
      <c r="M205" s="72">
        <f>-SUM([3]MidCorp!$AJ$61:$AK$61,[3]MidCorp!$BH$61:$BI$61)/1000/M196</f>
        <v>5.3513696218958828E-4</v>
      </c>
      <c r="N205" s="41">
        <f>-SUM([3]MidCorp!$AJ$62:$AK$62,[3]MidCorp!$BH$62:$BI$62)/1000/N196</f>
        <v>-3.9205819507764144E-3</v>
      </c>
      <c r="O205" s="41">
        <f>-SUM([3]MidCorp!$AJ$63:$AK$63,[3]MidCorp!$BH$63:$BI$63)/1000/O196</f>
        <v>0</v>
      </c>
      <c r="P205" s="7"/>
      <c r="Q205" s="72">
        <f>-SUM([3]MGA!$AJ$61:$AK$61,[3]MGA!$BH$61:$BI$61)/1000/Q196</f>
        <v>5.0744872206763637E-2</v>
      </c>
      <c r="R205" s="41">
        <f>-SUM([3]MGA!$AJ$62:$AK$62,[3]MGA!$BH$62:$BI$62)/1000/R196</f>
        <v>-2.7889060842553985E-2</v>
      </c>
      <c r="S205" s="41">
        <f>-SUM([3]MGA!$AJ$63:$AK$63,[3]MGA!$BH$63:$BI$63)/1000/S196</f>
        <v>0</v>
      </c>
      <c r="T205" s="7"/>
      <c r="U205" s="96">
        <f>IFERROR(-SUM([3]Bancassurance!$AJ$61:$AK$61,[3]Bancassurance!$BH$61:$BI$61)/1000/U196,0)</f>
        <v>0</v>
      </c>
      <c r="V205" s="41">
        <f>IFERROR(-SUM([3]Bancassurance!$AJ$62:$AK$62,[3]Bancassurance!$BH$62:$BI$62)/1000/V196,0)</f>
        <v>0</v>
      </c>
      <c r="W205" s="41">
        <f>IFERROR(-SUM([3]Bancassurance!$AJ$63:$AK$63,[3]Bancassurance!$BH$63:$BI$63)/1000/W196,0)</f>
        <v>0</v>
      </c>
      <c r="X205" s="7"/>
      <c r="Y205" s="96">
        <f>IFERROR(-SUM([3]Specials!$AJ$61:$AK$61,[3]Specials!$BH$61:$BI$61)/1000/Y196,0)</f>
        <v>0</v>
      </c>
      <c r="Z205" s="41">
        <f>IFERROR(-SUM([3]Specials!$AJ$62:$AK$62,[3]Specials!$BH$62:$BI$62)/1000/Z196,0)</f>
        <v>0</v>
      </c>
      <c r="AA205" s="41">
        <f>IFERROR(-SUM([3]Specials!$AJ$63:$AK$63,[3]Specials!$BH$63:$BI$63)/1000/AA196,0)</f>
        <v>0</v>
      </c>
      <c r="AB205" s="7"/>
      <c r="AC205" s="83">
        <f>-SUM('[3]Total P&amp;C'!$AJ$61:$AK$61,'[3]Total P&amp;C'!$BH$61:$BI$61)/1000/AC196</f>
        <v>3.0316950514403147E-2</v>
      </c>
      <c r="AD205" s="59">
        <f>-SUM('[3]Total P&amp;C'!$AJ$62:$AK$62,'[3]Total P&amp;C'!$BH$62:$BI$62)/1000/AD196</f>
        <v>-1.3989367486190781E-2</v>
      </c>
      <c r="AE205" s="59">
        <f>-SUM('[3]Total P&amp;C'!$AJ$63:$AK$63,'[3]Total P&amp;C'!$BH$63:$BI$63)/1000/AE196</f>
        <v>0</v>
      </c>
      <c r="AG205" s="109"/>
      <c r="AK205" s="109"/>
      <c r="AO205" s="109"/>
      <c r="AS205" s="109"/>
      <c r="AW205" s="109"/>
      <c r="BA205" s="109"/>
      <c r="BE205" s="109"/>
    </row>
    <row r="206" spans="1:57" ht="16.5" hidden="1" outlineLevel="1" x14ac:dyDescent="0.25">
      <c r="A206" s="202"/>
      <c r="B206" s="9"/>
      <c r="C206" s="37" t="s">
        <v>58</v>
      </c>
      <c r="D206" s="7"/>
      <c r="E206" s="72">
        <f>+E207+E208+E209</f>
        <v>0.30191358438790417</v>
      </c>
      <c r="F206" s="41">
        <f>+F207+F208+F209</f>
        <v>0.59717905368146407</v>
      </c>
      <c r="G206" s="41" t="e">
        <f>+G207+G208+G209</f>
        <v>#DIV/0!</v>
      </c>
      <c r="H206" s="7"/>
      <c r="I206" s="71">
        <f>+I207+I208+I209</f>
        <v>0.4206286699211903</v>
      </c>
      <c r="J206" s="41">
        <f>+J207+J208+J209</f>
        <v>0.41076260427639649</v>
      </c>
      <c r="K206" s="41">
        <f>+K207+K208+K209</f>
        <v>0.49899831688135005</v>
      </c>
      <c r="L206" s="7"/>
      <c r="M206" s="71">
        <f>+M207+M208+M209</f>
        <v>0.28571720191065025</v>
      </c>
      <c r="N206" s="41">
        <f>+N207+N208+N209</f>
        <v>0.25614581628852406</v>
      </c>
      <c r="O206" s="41">
        <f>+O207+O208+O209</f>
        <v>0.3068763714639739</v>
      </c>
      <c r="P206" s="7"/>
      <c r="Q206" s="71">
        <f>+Q207+Q208+Q209</f>
        <v>0.29132473718196722</v>
      </c>
      <c r="R206" s="41">
        <f>+R207+R208+R209</f>
        <v>0.3280371725916168</v>
      </c>
      <c r="S206" s="41">
        <f>+S207+S208+S209</f>
        <v>0.39600234742316959</v>
      </c>
      <c r="T206" s="7"/>
      <c r="U206" s="96">
        <f>+U207+U208+U209</f>
        <v>0</v>
      </c>
      <c r="V206" s="41">
        <f>+V207+V208+V209</f>
        <v>0</v>
      </c>
      <c r="W206" s="41">
        <f>+W207+W208+W209</f>
        <v>0</v>
      </c>
      <c r="X206" s="7"/>
      <c r="Y206" s="96">
        <f>+Y207+Y208+Y209</f>
        <v>0</v>
      </c>
      <c r="Z206" s="41">
        <f>+Z207+Z208+Z209</f>
        <v>0</v>
      </c>
      <c r="AA206" s="41">
        <f>+AA207+AA208+AA209</f>
        <v>0</v>
      </c>
      <c r="AB206" s="7"/>
      <c r="AC206" s="86">
        <f>+AC207+AC208+AC209</f>
        <v>0.30379729276272649</v>
      </c>
      <c r="AD206" s="59">
        <f>+AD207+AD208+AD209</f>
        <v>0.33087782104786057</v>
      </c>
      <c r="AE206" s="59">
        <f>+AE207+AE208+AE209</f>
        <v>0.35748614956385527</v>
      </c>
      <c r="AG206" s="109"/>
      <c r="AK206" s="109"/>
      <c r="AO206" s="109"/>
      <c r="AS206" s="109"/>
      <c r="AW206" s="109"/>
      <c r="BA206" s="109"/>
      <c r="BE206" s="109"/>
    </row>
    <row r="207" spans="1:57" ht="16.5" hidden="1" outlineLevel="1" x14ac:dyDescent="0.25">
      <c r="A207" s="202"/>
      <c r="B207" s="9"/>
      <c r="C207" s="39" t="s">
        <v>59</v>
      </c>
      <c r="D207" s="8"/>
      <c r="E207" s="74">
        <f>-SUM([3]Retail!$AL$61:$AN$61,[3]Retail!$BJ$61)/1000/E196</f>
        <v>0.19023863887947279</v>
      </c>
      <c r="F207" s="42">
        <f>-SUM([3]Retail!$AL$62:$AN$62,[3]Retail!$BJ$62)/1000/F196</f>
        <v>0.19195844130189002</v>
      </c>
      <c r="G207" s="42" t="e">
        <f>-SUM([3]Retail!$AL$63:$AN$63,[3]Retail!$BJ$63)/1000/G196</f>
        <v>#DIV/0!</v>
      </c>
      <c r="H207" s="8"/>
      <c r="I207" s="74">
        <f>-SUM([3]SME!$AL$61:$AN$61,[3]SME!$BJ$61)/1000/I196</f>
        <v>0.14409402706963975</v>
      </c>
      <c r="J207" s="42">
        <f>-SUM([3]SME!$AL$62:$AN$62,[3]SME!$BJ$62)/1000/J196</f>
        <v>0.14524536936196714</v>
      </c>
      <c r="K207" s="42">
        <f>-SUM([3]SME!$AL$63:$AN$63,[3]SME!$BJ$63)/1000/K196</f>
        <v>0.14552952396818492</v>
      </c>
      <c r="L207" s="8"/>
      <c r="M207" s="74">
        <f>-SUM([3]MidCorp!$AL$61:$AN$61,[3]MidCorp!$BJ$61)/1000/M196</f>
        <v>0.18386909365046644</v>
      </c>
      <c r="N207" s="42">
        <f>-SUM([3]MidCorp!$AL$62:$AN$62,[3]MidCorp!$BJ$62)/1000/N196</f>
        <v>0.1745966239232235</v>
      </c>
      <c r="O207" s="42">
        <f>-SUM([3]MidCorp!$AL$63:$AN$63,[3]MidCorp!$BJ$63)/1000/O196</f>
        <v>0.18666085656704579</v>
      </c>
      <c r="P207" s="8"/>
      <c r="Q207" s="97">
        <f>-SUM([3]MGA!$AL$61:$AN$61,[3]MGA!$BJ$61)/1000/Q196</f>
        <v>0.27251702418947882</v>
      </c>
      <c r="R207" s="42">
        <f>-SUM([3]MGA!$AL$62:$AN$62,[3]MGA!$BJ$62)/1000/R196</f>
        <v>0.26919499158153398</v>
      </c>
      <c r="S207" s="42">
        <f>-SUM([3]MGA!$AL$63:$AN$63,[3]MGA!$BJ$63)/1000/S196</f>
        <v>0.26907382246443018</v>
      </c>
      <c r="T207" s="8"/>
      <c r="U207" s="97">
        <f>IFERROR(-SUM([3]Bancassurance!$AL$61:$AN$61,[3]Bancassurance!$BJ$61)/1000/U196,0)</f>
        <v>0</v>
      </c>
      <c r="V207" s="42">
        <f>IFERROR(-SUM([3]Bancassurance!$AL$62:$AN$62,[3]Bancassurance!$BJ$62)/1000/V196,0)</f>
        <v>0</v>
      </c>
      <c r="W207" s="42">
        <f>IFERROR(-SUM([3]Bancassurance!$AL$63:$AN$63,[3]Bancassurance!$BJ$63)/1000/W196,0)</f>
        <v>0</v>
      </c>
      <c r="X207" s="8"/>
      <c r="Y207" s="97">
        <f>IFERROR(-SUM([3]Specials!$AL$61:$AN$61,[3]Specials!$BJ$61)/1000/Y196,0)</f>
        <v>0</v>
      </c>
      <c r="Z207" s="42">
        <f>IFERROR(-SUM([3]Specials!$AL$62:$AN$62,[3]Specials!$BJ$62)/1000/Z196,0)</f>
        <v>0</v>
      </c>
      <c r="AA207" s="42">
        <f>IFERROR(-SUM([3]Specials!$AL$63:$AN$63,[3]Specials!$BJ$63)/1000/AA196,0)</f>
        <v>0</v>
      </c>
      <c r="AB207" s="8"/>
      <c r="AC207" s="84">
        <f>-SUM('[3]Total P&amp;C'!$AL$61:$AN$61,'[3]Total P&amp;C'!$BJ$61)/1000/AC196</f>
        <v>0.22503401894874173</v>
      </c>
      <c r="AD207" s="60">
        <f>-SUM('[3]Total P&amp;C'!$AL$62:$AN$62,'[3]Total P&amp;C'!$BJ$62)/1000/AD196</f>
        <v>0.21833024325691031</v>
      </c>
      <c r="AE207" s="60">
        <f>-SUM('[3]Total P&amp;C'!$AL$63:$AN$63,'[3]Total P&amp;C'!$BJ$63)/1000/AE196</f>
        <v>0.19492534210566992</v>
      </c>
      <c r="AG207" s="109"/>
      <c r="AK207" s="109"/>
      <c r="AO207" s="109"/>
      <c r="AS207" s="109"/>
      <c r="AW207" s="109"/>
      <c r="BA207" s="109"/>
      <c r="BE207" s="109"/>
    </row>
    <row r="208" spans="1:57" ht="16.5" hidden="1" outlineLevel="1" x14ac:dyDescent="0.25">
      <c r="A208" s="202"/>
      <c r="B208" s="9"/>
      <c r="C208" s="39" t="s">
        <v>60</v>
      </c>
      <c r="D208" s="8"/>
      <c r="E208" s="74">
        <f>-SUM([3]Retail!$AO$61:$AP$61)/1000/E196</f>
        <v>8.6553028795620726E-3</v>
      </c>
      <c r="F208" s="42">
        <f>-SUM([3]Retail!$AO$62:$AP$62)/1000/F196</f>
        <v>0.11395625416261868</v>
      </c>
      <c r="G208" s="42" t="e">
        <f>-SUM([3]Retail!$AO$63:$AP$63)/1000/G196</f>
        <v>#DIV/0!</v>
      </c>
      <c r="H208" s="8"/>
      <c r="I208" s="74">
        <f>-SUM([3]SME!$AO$61:$AP$61)/1000/I196</f>
        <v>7.0441384244587929E-2</v>
      </c>
      <c r="J208" s="42">
        <f>-SUM([3]SME!$AO$62:$AP$62)/1000/J196</f>
        <v>9.2651026122573421E-2</v>
      </c>
      <c r="K208" s="42">
        <f>-SUM([3]SME!$AO$63:$AP$63)/1000/K196</f>
        <v>9.0550344281962472E-2</v>
      </c>
      <c r="L208" s="8"/>
      <c r="M208" s="73">
        <f>-SUM([3]MidCorp!$AO$61:$AP$61)/1000/M196</f>
        <v>1.1116568740720874E-2</v>
      </c>
      <c r="N208" s="42">
        <f>-SUM([3]MidCorp!$AO$62:$AP$62)/1000/N196</f>
        <v>4.1163711702830799E-3</v>
      </c>
      <c r="O208" s="42">
        <f>-SUM([3]MidCorp!$AO$63:$AP$63)/1000/O196</f>
        <v>5.4851226428809866E-3</v>
      </c>
      <c r="P208" s="8"/>
      <c r="Q208" s="74">
        <f>-SUM([3]MGA!$AO$61:$AP$61)/1000/Q196</f>
        <v>1.0552545767631906E-2</v>
      </c>
      <c r="R208" s="42">
        <f>-SUM([3]MGA!$AO$62:$AP$62)/1000/R196</f>
        <v>1.3133631510724945E-2</v>
      </c>
      <c r="S208" s="42">
        <f>-SUM([3]MGA!$AO$63:$AP$63)/1000/S196</f>
        <v>5.8694746103682784E-2</v>
      </c>
      <c r="T208" s="8"/>
      <c r="U208" s="97">
        <f>IFERROR(-SUM([3]Bancassurance!$AO$61:$AP$61)/1000/U196,0)</f>
        <v>0</v>
      </c>
      <c r="V208" s="42">
        <f>IFERROR(-SUM([3]Bancassurance!$AO$62:$AP$62)/1000/V196,0)</f>
        <v>0</v>
      </c>
      <c r="W208" s="42">
        <f>IFERROR(-SUM([3]Bancassurance!$AO$63:$AP$63)/1000/W196,0)</f>
        <v>0</v>
      </c>
      <c r="X208" s="8"/>
      <c r="Y208" s="97">
        <f>IFERROR(-SUM([3]Specials!$AO$61:$AP$61)/1000/Y196,0)</f>
        <v>0</v>
      </c>
      <c r="Z208" s="42">
        <f>IFERROR(-SUM([3]Specials!$AO$62:$AP$62)/1000/Z196,0)</f>
        <v>0</v>
      </c>
      <c r="AA208" s="42">
        <f>IFERROR(-SUM([3]Specials!$AO$63:$AP$63)/1000/AA196,0)</f>
        <v>0</v>
      </c>
      <c r="AB208" s="8"/>
      <c r="AC208" s="85">
        <f>-SUM('[3]Total P&amp;C'!$AO$61:$AP$61)/1000/AC196</f>
        <v>1.6517249332082314E-2</v>
      </c>
      <c r="AD208" s="60">
        <f>-SUM('[3]Total P&amp;C'!$AO$62:$AP$62)/1000/AD196</f>
        <v>2.2055650762815657E-2</v>
      </c>
      <c r="AE208" s="60">
        <f>-SUM('[3]Total P&amp;C'!$AO$63:$AP$63)/1000/AE196</f>
        <v>2.7895897512144701E-2</v>
      </c>
      <c r="AG208" s="109"/>
      <c r="AK208" s="109"/>
      <c r="AO208" s="109"/>
      <c r="AS208" s="109"/>
      <c r="AW208" s="109"/>
      <c r="BA208" s="109"/>
      <c r="BE208" s="109"/>
    </row>
    <row r="209" spans="1:57" ht="16.5" hidden="1" outlineLevel="1" x14ac:dyDescent="0.25">
      <c r="A209" s="202"/>
      <c r="B209" s="9"/>
      <c r="C209" s="39" t="s">
        <v>61</v>
      </c>
      <c r="D209" s="8"/>
      <c r="E209" s="73">
        <f>-SUM([3]Retail!$AQ$61:$AR$61)/1000/E196</f>
        <v>0.1030196426288693</v>
      </c>
      <c r="F209" s="42">
        <f>-SUM([3]Retail!$AQ$62:$AR$62)/1000/F196</f>
        <v>0.29126435821695545</v>
      </c>
      <c r="G209" s="42" t="e">
        <f>-SUM([3]Retail!$AQ$63:$AR$63)/1000/G196</f>
        <v>#DIV/0!</v>
      </c>
      <c r="H209" s="8"/>
      <c r="I209" s="74">
        <f>-SUM([3]SME!$AQ$61:$AR$61)/1000/I196</f>
        <v>0.20609325860696262</v>
      </c>
      <c r="J209" s="42">
        <f>-SUM([3]SME!$AQ$62:$AR$62)/1000/J196</f>
        <v>0.17286620879185594</v>
      </c>
      <c r="K209" s="42">
        <f>-SUM([3]SME!$AQ$63:$AR$63)/1000/K196</f>
        <v>0.26291844863120267</v>
      </c>
      <c r="L209" s="8"/>
      <c r="M209" s="74">
        <f>-SUM([3]MidCorp!$AQ$61:$AR$61)/1000/M196</f>
        <v>9.0731539519462931E-2</v>
      </c>
      <c r="N209" s="42">
        <f>-SUM([3]MidCorp!$AQ$62:$AR$62)/1000/N196</f>
        <v>7.7432821195017487E-2</v>
      </c>
      <c r="O209" s="42">
        <f>-SUM([3]MidCorp!$AQ$63:$AR$63)/1000/O196</f>
        <v>0.11473039225404712</v>
      </c>
      <c r="P209" s="8"/>
      <c r="Q209" s="74">
        <f>-SUM([3]MGA!$AQ$61:$AR$61)/1000/Q196</f>
        <v>8.2551672248564485E-3</v>
      </c>
      <c r="R209" s="42">
        <f>-SUM([3]MGA!$AQ$62:$AR$62)/1000/R196</f>
        <v>4.5708549499357876E-2</v>
      </c>
      <c r="S209" s="42">
        <f>-SUM([3]MGA!$AQ$63:$AR$63)/1000/S196</f>
        <v>6.8233778855056618E-2</v>
      </c>
      <c r="T209" s="8"/>
      <c r="U209" s="97">
        <f>IFERROR(-SUM([3]Bancassurance!$AQ$61:$AR$61)/1000/U196,0)</f>
        <v>0</v>
      </c>
      <c r="V209" s="42">
        <f>IFERROR(-SUM([3]Bancassurance!$AQ$62:$AR$62)/1000/V196,0)</f>
        <v>0</v>
      </c>
      <c r="W209" s="42">
        <f>IFERROR(-SUM([3]Bancassurance!$AQ$63:$AR$63)/1000/W196,0)</f>
        <v>0</v>
      </c>
      <c r="X209" s="8"/>
      <c r="Y209" s="97">
        <f>IFERROR(-SUM([3]Specials!$AQ$61:$AR$61)/1000/Y196,0)</f>
        <v>0</v>
      </c>
      <c r="Z209" s="42">
        <f>IFERROR(-SUM([3]Specials!$AQ$62:$AR$62)/1000/Z196,0)</f>
        <v>0</v>
      </c>
      <c r="AA209" s="42">
        <f>IFERROR(-SUM([3]Specials!$AQ$63:$AR$63)/1000/AA196,0)</f>
        <v>0</v>
      </c>
      <c r="AB209" s="8"/>
      <c r="AC209" s="85">
        <f>-SUM('[3]Total P&amp;C'!$AQ$61:$AR$61)/1000/AC196</f>
        <v>6.2246024481902439E-2</v>
      </c>
      <c r="AD209" s="60">
        <f>-SUM('[3]Total P&amp;C'!$AQ$62:$AR$62)/1000/AD196</f>
        <v>9.0491927028134592E-2</v>
      </c>
      <c r="AE209" s="60">
        <f>-SUM('[3]Total P&amp;C'!$AQ$63:$AR$63)/1000/AE196</f>
        <v>0.13466490994604069</v>
      </c>
      <c r="AG209" s="109"/>
      <c r="AK209" s="109"/>
      <c r="AO209" s="109"/>
      <c r="AS209" s="109"/>
      <c r="AW209" s="109"/>
      <c r="BA209" s="109"/>
      <c r="BE209" s="109"/>
    </row>
    <row r="210" spans="1:57" ht="16.5" hidden="1" outlineLevel="1" x14ac:dyDescent="0.25">
      <c r="A210" s="202"/>
      <c r="B210" s="9"/>
      <c r="C210" s="37" t="s">
        <v>34</v>
      </c>
      <c r="D210" s="6"/>
      <c r="E210" s="75">
        <f>+[3]Retail!$BK$61/1000</f>
        <v>5.2511139999999915E-2</v>
      </c>
      <c r="F210" s="40">
        <f>+[3]Retail!$BK$62/1000</f>
        <v>4.8990500000000083E-2</v>
      </c>
      <c r="G210" s="40">
        <f>+[3]Retail!$BK$63/1000</f>
        <v>-1.3205537209233478E-2</v>
      </c>
      <c r="H210" s="6"/>
      <c r="I210" s="75">
        <f>+[3]SME!$BK$61/1000</f>
        <v>5.6184320000000086E-2</v>
      </c>
      <c r="J210" s="40">
        <f>+[3]SME!$BK$62/1000</f>
        <v>9.8324929999999991E-2</v>
      </c>
      <c r="K210" s="40">
        <f>+[3]SME!$BK$63/1000</f>
        <v>2.6028514023141717E-2</v>
      </c>
      <c r="L210" s="6"/>
      <c r="M210" s="75">
        <f>+[3]MidCorp!$BK$61/1000</f>
        <v>0.57436750999999964</v>
      </c>
      <c r="N210" s="40">
        <f>+[3]MidCorp!$BK$62/1000</f>
        <v>0.64387365999999979</v>
      </c>
      <c r="O210" s="40">
        <f>+[3]MidCorp!$BK$63/1000</f>
        <v>0.52348213233756902</v>
      </c>
      <c r="P210" s="6"/>
      <c r="Q210" s="75">
        <f>+[3]MGA!$BK$61/1000</f>
        <v>0.56399952999999881</v>
      </c>
      <c r="R210" s="40">
        <f>+[3]MGA!$BK$62/1000</f>
        <v>0.49300094999999994</v>
      </c>
      <c r="S210" s="40">
        <f>+[3]MGA!$BK$63/1000</f>
        <v>2.8317122471219789E-2</v>
      </c>
      <c r="T210" s="6"/>
      <c r="U210" s="70">
        <f>+[3]Bancassurance!$BK$61/1000</f>
        <v>-7.36704E-3</v>
      </c>
      <c r="V210" s="40">
        <f>+[3]Bancassurance!$BK$62/1000</f>
        <v>-1.572525E-2</v>
      </c>
      <c r="W210" s="40">
        <f>+[3]Bancassurance!$BK$63/1000</f>
        <v>0</v>
      </c>
      <c r="X210" s="6"/>
      <c r="Y210" s="70">
        <f>+[3]Specials!$BK$61/1000</f>
        <v>-6.0231999999997576E-4</v>
      </c>
      <c r="Z210" s="40">
        <f>+[3]Specials!$BK$62/1000</f>
        <v>-1.4540960000000063E-2</v>
      </c>
      <c r="AA210" s="40">
        <f>+[3]Specials!$BK$63/1000</f>
        <v>0</v>
      </c>
      <c r="AB210" s="6"/>
      <c r="AC210" s="87">
        <f>+'[3]Total P&amp;C'!$BK$61/1000</f>
        <v>1.239093139999998</v>
      </c>
      <c r="AD210" s="58">
        <f>+'[3]Total P&amp;C'!$BK$62/1000</f>
        <v>1.2539238299999995</v>
      </c>
      <c r="AE210" s="58">
        <f>+'[3]Total P&amp;C'!$BK$63/1000</f>
        <v>0.56462223162269709</v>
      </c>
      <c r="AG210" s="108"/>
      <c r="AK210" s="108"/>
      <c r="AO210" s="108"/>
      <c r="AS210" s="108"/>
      <c r="AW210" s="108"/>
      <c r="BA210" s="108"/>
      <c r="BE210" s="108"/>
    </row>
    <row r="211" spans="1:57" hidden="1" outlineLevel="1" x14ac:dyDescent="0.25"/>
    <row r="212" spans="1:57" ht="16.5" hidden="1" outlineLevel="1" x14ac:dyDescent="0.25">
      <c r="A212" s="202" t="s">
        <v>44</v>
      </c>
      <c r="B212" s="9"/>
      <c r="C212" s="37" t="s">
        <v>19</v>
      </c>
      <c r="D212" s="6"/>
      <c r="E212" s="70">
        <f>+[3]Retail!$C$49/1000</f>
        <v>-1.13E-5</v>
      </c>
      <c r="F212" s="40">
        <f>+[3]Retail!$C$50/1000</f>
        <v>0</v>
      </c>
      <c r="G212" s="40">
        <f>+[3]Retail!$C$51/1000</f>
        <v>0</v>
      </c>
      <c r="H212" s="6"/>
      <c r="I212" s="75">
        <f>+[3]SME!$C$49/1000</f>
        <v>6.8904999999999999E-3</v>
      </c>
      <c r="J212" s="40">
        <f>+[3]SME!$C$50/1000</f>
        <v>7.2917499999999996E-3</v>
      </c>
      <c r="K212" s="40">
        <f>+[3]SME!$C$51/1000</f>
        <v>0</v>
      </c>
      <c r="L212" s="6"/>
      <c r="M212" s="75">
        <f>+[3]MidCorp!$C$49/1000</f>
        <v>21.921365100000003</v>
      </c>
      <c r="N212" s="40">
        <f>+[3]MidCorp!$C$50/1000</f>
        <v>22.417323169999996</v>
      </c>
      <c r="O212" s="40">
        <f>+[3]MidCorp!$C$51/1000</f>
        <v>20.131249767002824</v>
      </c>
      <c r="P212" s="6"/>
      <c r="Q212" s="75">
        <f>+[3]MGA!$C$49/1000</f>
        <v>0.10787987999999998</v>
      </c>
      <c r="R212" s="40">
        <f>+[3]MGA!$C$50/1000</f>
        <v>0.11686347</v>
      </c>
      <c r="S212" s="40">
        <f>+[3]MGA!$C$51/1000</f>
        <v>1.686E-2</v>
      </c>
      <c r="T212" s="6"/>
      <c r="U212" s="70">
        <f>+[3]Bancassurance!$C$49/1000</f>
        <v>0</v>
      </c>
      <c r="V212" s="40">
        <f>+[3]Bancassurance!$C$50/1000</f>
        <v>0</v>
      </c>
      <c r="W212" s="40">
        <f>+[3]Bancassurance!$C$51/1000</f>
        <v>0</v>
      </c>
      <c r="X212" s="6"/>
      <c r="Y212" s="70">
        <f>+[3]Specials!$C$49/1000</f>
        <v>0</v>
      </c>
      <c r="Z212" s="40">
        <f>+[3]Specials!$C$50/1000</f>
        <v>6.7525500000000004E-3</v>
      </c>
      <c r="AA212" s="40">
        <f>+[3]Specials!$C$51/1000</f>
        <v>0</v>
      </c>
      <c r="AB212" s="6"/>
      <c r="AC212" s="87">
        <f>+'[3]Total P&amp;C'!$C$49/1000</f>
        <v>22.036124180000002</v>
      </c>
      <c r="AD212" s="58">
        <f>+'[3]Total P&amp;C'!$C$50/1000</f>
        <v>22.548230939999996</v>
      </c>
      <c r="AE212" s="58">
        <f>+'[3]Total P&amp;C'!$C$51/1000</f>
        <v>20.148109767002826</v>
      </c>
      <c r="AG212" s="108"/>
      <c r="AK212" s="108"/>
      <c r="AO212" s="108"/>
      <c r="AS212" s="108"/>
      <c r="AW212" s="108"/>
      <c r="BA212" s="108"/>
      <c r="BE212" s="108"/>
    </row>
    <row r="213" spans="1:57" ht="16.5" hidden="1" outlineLevel="1" x14ac:dyDescent="0.25">
      <c r="A213" s="202"/>
      <c r="B213" s="9"/>
      <c r="C213" s="37" t="s">
        <v>55</v>
      </c>
      <c r="D213" s="6"/>
      <c r="E213" s="70">
        <f>+[3]Retail!$N$49/1000</f>
        <v>-1.1280000000000002E-5</v>
      </c>
      <c r="F213" s="40">
        <f>+[3]Retail!$N$50/1000</f>
        <v>0</v>
      </c>
      <c r="G213" s="40">
        <f>+[3]Retail!$N$51/1000</f>
        <v>0</v>
      </c>
      <c r="H213" s="6"/>
      <c r="I213" s="75">
        <f>+[3]SME!$N$49/1000</f>
        <v>6.4492899999999999E-3</v>
      </c>
      <c r="J213" s="40">
        <f>+[3]SME!$N$50/1000</f>
        <v>6.8124100000000022E-3</v>
      </c>
      <c r="K213" s="40">
        <f>+[3]SME!$N$51/1000</f>
        <v>0</v>
      </c>
      <c r="L213" s="6"/>
      <c r="M213" s="70">
        <f>+[3]MidCorp!$N$49/1000</f>
        <v>13.6859591</v>
      </c>
      <c r="N213" s="40">
        <f>+[3]MidCorp!$N$50/1000</f>
        <v>13.906051679999999</v>
      </c>
      <c r="O213" s="40">
        <f>+[3]MidCorp!$N$51/1000</f>
        <v>14.045686262675114</v>
      </c>
      <c r="P213" s="6"/>
      <c r="Q213" s="75">
        <f>+[3]MGA!$N$49/1000</f>
        <v>9.9852920000000053E-2</v>
      </c>
      <c r="R213" s="40">
        <f>+[3]MGA!$N$50/1000</f>
        <v>0.10783339999999997</v>
      </c>
      <c r="S213" s="40">
        <f>+[3]MGA!$N$51/1000</f>
        <v>1.6100000000000021E-2</v>
      </c>
      <c r="T213" s="6"/>
      <c r="U213" s="70">
        <f>+[3]Bancassurance!$N$49/1000</f>
        <v>0</v>
      </c>
      <c r="V213" s="40">
        <f>+[3]Bancassurance!$N$50/1000</f>
        <v>0</v>
      </c>
      <c r="W213" s="40">
        <f>+[3]Bancassurance!$N$51/1000</f>
        <v>0</v>
      </c>
      <c r="X213" s="6"/>
      <c r="Y213" s="75">
        <f>+[3]Specials!$N$49/1000</f>
        <v>1.8760000000000003E-5</v>
      </c>
      <c r="Z213" s="40">
        <f>+[3]Specials!$N$50/1000</f>
        <v>1.6842400000000003E-3</v>
      </c>
      <c r="AA213" s="40">
        <f>+[3]Specials!$N$51/1000</f>
        <v>0</v>
      </c>
      <c r="AB213" s="6"/>
      <c r="AC213" s="101">
        <f>+'[3]Total P&amp;C'!$N$49/1000</f>
        <v>13.79226879</v>
      </c>
      <c r="AD213" s="58">
        <f>+'[3]Total P&amp;C'!$N$50/1000</f>
        <v>14.022381729999999</v>
      </c>
      <c r="AE213" s="58">
        <f>+'[3]Total P&amp;C'!$N$51/1000</f>
        <v>14.061786262675113</v>
      </c>
      <c r="AG213" s="108"/>
      <c r="AK213" s="108"/>
      <c r="AO213" s="108"/>
      <c r="AS213" s="108"/>
      <c r="AW213" s="108"/>
      <c r="BA213" s="108"/>
      <c r="BE213" s="108"/>
    </row>
    <row r="214" spans="1:57" ht="16.5" hidden="1" outlineLevel="1" x14ac:dyDescent="0.25">
      <c r="A214" s="202"/>
      <c r="B214" s="9"/>
      <c r="C214" s="37" t="s">
        <v>21</v>
      </c>
      <c r="D214" s="6"/>
      <c r="E214" s="71">
        <f>+E215+E220+E221+E222+E223</f>
        <v>-329.72606382978705</v>
      </c>
      <c r="F214" s="41">
        <f>+F215+F220+F221+F222+F223</f>
        <v>0</v>
      </c>
      <c r="G214" s="41">
        <f>+G215+G220+G221+G222+G223</f>
        <v>0</v>
      </c>
      <c r="H214" s="6"/>
      <c r="I214" s="71">
        <f>+I215+I220+I221+I222+I223</f>
        <v>-0.13456830131688904</v>
      </c>
      <c r="J214" s="41">
        <f>+J215+J220+J221+J222+J223</f>
        <v>1.2766862241115842</v>
      </c>
      <c r="K214" s="41">
        <f>+K215+K220+K221+K222+K223</f>
        <v>0</v>
      </c>
      <c r="L214" s="6"/>
      <c r="M214" s="71">
        <f>+M215+M220+M221+M222+M223</f>
        <v>0.70236808686648811</v>
      </c>
      <c r="N214" s="41">
        <f>+N215+N220+N221+N222+N223</f>
        <v>0.94094603062772442</v>
      </c>
      <c r="O214" s="41">
        <f>+O215+O220+O221+O222+O223</f>
        <v>0.84525956718923678</v>
      </c>
      <c r="P214" s="6"/>
      <c r="Q214" s="72">
        <f>+Q215+Q220+Q221+Q222+Q223</f>
        <v>2.6303008464850088</v>
      </c>
      <c r="R214" s="41">
        <f>+R215+R220+R221+R222+R223</f>
        <v>3.4833272436925857</v>
      </c>
      <c r="S214" s="41">
        <f>+S215+S220+S221+S222+S223</f>
        <v>0.51347491672933976</v>
      </c>
      <c r="T214" s="6"/>
      <c r="U214" s="96">
        <f>+U215+U220+U221+U222+U223</f>
        <v>0</v>
      </c>
      <c r="V214" s="41">
        <f>+V215+V220+V221+V222+V223</f>
        <v>0</v>
      </c>
      <c r="W214" s="41">
        <f>+W215+W220+W221+W222+W223</f>
        <v>0</v>
      </c>
      <c r="X214" s="6"/>
      <c r="Y214" s="71">
        <f>+Y215+Y220+Y221+Y222+Y223</f>
        <v>-2.1545842217483999</v>
      </c>
      <c r="Z214" s="41">
        <f>+Z215+Z220+Z221+Z222+Z223</f>
        <v>-0.31111955540778036</v>
      </c>
      <c r="AA214" s="41">
        <f>+AA215+AA220+AA221+AA222+AA223</f>
        <v>0</v>
      </c>
      <c r="AB214" s="6"/>
      <c r="AC214" s="86">
        <f>+AC215+AC220+AC221+AC222+AC223</f>
        <v>0.71620088764235867</v>
      </c>
      <c r="AD214" s="59">
        <f>+AD215+AD220+AD221+AD222+AD223</f>
        <v>0.96055856268576978</v>
      </c>
      <c r="AE214" s="59">
        <f>+AE215+AE220+AE221+AE222+AE223</f>
        <v>0.84487969134895446</v>
      </c>
      <c r="AG214" s="109"/>
      <c r="AK214" s="109"/>
      <c r="AO214" s="109"/>
      <c r="AS214" s="109"/>
      <c r="AW214" s="109"/>
      <c r="BA214" s="109"/>
      <c r="BE214" s="109"/>
    </row>
    <row r="215" spans="1:57" ht="16.5" hidden="1" outlineLevel="1" x14ac:dyDescent="0.25">
      <c r="A215" s="202"/>
      <c r="B215" s="9"/>
      <c r="C215" s="37" t="s">
        <v>56</v>
      </c>
      <c r="D215" s="6"/>
      <c r="E215" s="71">
        <f>+E216+E217+E218+E219</f>
        <v>-3.5460992907801413E-3</v>
      </c>
      <c r="F215" s="41">
        <f>+F216+F217+F218+F219</f>
        <v>0</v>
      </c>
      <c r="G215" s="41">
        <f>+G216+G217+G218+G219</f>
        <v>0</v>
      </c>
      <c r="H215" s="6"/>
      <c r="I215" s="71">
        <f>+I216+I217+I218+I219</f>
        <v>-3.984934775766014E-4</v>
      </c>
      <c r="J215" s="41">
        <f>+J216+J217+J218+J219</f>
        <v>0.72753548303757387</v>
      </c>
      <c r="K215" s="41">
        <f>+K216+K217+K218+K219</f>
        <v>0</v>
      </c>
      <c r="L215" s="6"/>
      <c r="M215" s="72">
        <f>+M216+M217+M218+M219</f>
        <v>0.65688573188853105</v>
      </c>
      <c r="N215" s="41">
        <f>+N216+N217+N218+N219</f>
        <v>0.70017317740904583</v>
      </c>
      <c r="O215" s="41">
        <f>+O216+O217+O218+O219</f>
        <v>0.62536528870063046</v>
      </c>
      <c r="P215" s="6"/>
      <c r="Q215" s="71">
        <f>+Q216+Q217+Q218+Q219</f>
        <v>3.4874994141383141E-2</v>
      </c>
      <c r="R215" s="41">
        <f>+R216+R217+R218+R219</f>
        <v>5.8446640836698122E-2</v>
      </c>
      <c r="S215" s="41">
        <f>+S216+S217+S218+S219</f>
        <v>8.0037080775631E-2</v>
      </c>
      <c r="T215" s="6"/>
      <c r="U215" s="96">
        <f>+U216+U217+U218+U219</f>
        <v>0</v>
      </c>
      <c r="V215" s="41">
        <f>+V216+V217+V218+V219</f>
        <v>0</v>
      </c>
      <c r="W215" s="41">
        <f>+W216+W217+W218+W219</f>
        <v>0</v>
      </c>
      <c r="X215" s="6"/>
      <c r="Y215" s="72">
        <f>+Y216+Y217+Y218+Y219</f>
        <v>0.80170575692963753</v>
      </c>
      <c r="Z215" s="41">
        <f>+Z216+Z217+Z218+Z219</f>
        <v>0</v>
      </c>
      <c r="AA215" s="41">
        <f>+AA216+AA217+AA218+AA219</f>
        <v>0</v>
      </c>
      <c r="AB215" s="6"/>
      <c r="AC215" s="83">
        <f>+AC216+AC217+AC218+AC219</f>
        <v>0.65207590403986027</v>
      </c>
      <c r="AD215" s="59">
        <f>+AD216+AD217+AD218+AD219</f>
        <v>0.69516743929064317</v>
      </c>
      <c r="AE215" s="59">
        <f>+AE216+AE217+AE218+AE219</f>
        <v>0.62474091680479971</v>
      </c>
      <c r="AG215" s="109"/>
      <c r="AK215" s="109"/>
      <c r="AO215" s="109"/>
      <c r="AS215" s="109"/>
      <c r="AW215" s="109"/>
      <c r="BA215" s="109"/>
      <c r="BE215" s="109"/>
    </row>
    <row r="216" spans="1:57" ht="16.5" hidden="1" outlineLevel="1" x14ac:dyDescent="0.25">
      <c r="A216" s="202"/>
      <c r="B216" s="9"/>
      <c r="C216" s="38" t="s">
        <v>23</v>
      </c>
      <c r="D216" s="6"/>
      <c r="E216" s="97">
        <f>IFERROR(-SUM([3]Retail!$O$49,[3]Retail!$R$49:$V$49,[3]Retail!$Y$49,[3]Retail!$AB$49,[3]Retail!$AU$49,[3]Retail!$AX$49,[3]Retail!$BA$49,[3]Retail!$BD$49)/1000/E213,0)</f>
        <v>0</v>
      </c>
      <c r="F216" s="42">
        <f>IFERROR(-SUM([3]Retail!$O$50,[3]Retail!$R$50:$V$50,[3]Retail!$Y$50,[3]Retail!$AB$50,[3]Retail!$AU$50,[3]Retail!$AX$50,[3]Retail!$BA$50,[3]Retail!$BD$50)/1000/F213,0)</f>
        <v>0</v>
      </c>
      <c r="G216" s="42">
        <f>IFERROR(-SUM([3]Retail!$O$51,[3]Retail!$R$51:$V$51,[3]Retail!$Y$51,[3]Retail!$AB$51,[3]Retail!$AU$51,[3]Retail!$AX$51,[3]Retail!$BA$51,[3]Retail!$BD$51)/1000/G213,0)</f>
        <v>0</v>
      </c>
      <c r="H216" s="6"/>
      <c r="I216" s="97">
        <f>-SUM([3]SME!$O$49,[3]SME!$R$49:$V$49,[3]SME!$Y$49,[3]SME!$AB$49,[3]SME!$AU$49,[3]SME!$AX$49,[3]SME!$BA$49,[3]SME!$BD$49)/1000/I213</f>
        <v>4.6516748355245304E-6</v>
      </c>
      <c r="J216" s="42">
        <f>-SUM([3]SME!$O$50,[3]SME!$R$50:$V$50,[3]SME!$Y$50,[3]SME!$AB$50,[3]SME!$AU$50,[3]SME!$AX$50,[3]SME!$BA$50,[3]SME!$BD$50)/1000/J213</f>
        <v>0.72791713945578707</v>
      </c>
      <c r="K216" s="42">
        <f>IFERROR(-SUM([3]SME!$O$51,[3]SME!$R$51:$V$51,[3]SME!$Y$51,[3]SME!$AB$51,[3]SME!$AU$51,[3]SME!$AX$51,[3]SME!$BA$51,[3]SME!$BD$51)/1000/K213,0)</f>
        <v>0</v>
      </c>
      <c r="L216" s="6"/>
      <c r="M216" s="73">
        <f>-SUM([3]MidCorp!$O$49,[3]MidCorp!$R$49:$V$49,[3]MidCorp!$Y$49,[3]MidCorp!$AB$49,[3]MidCorp!$AU$49,[3]MidCorp!$AX$49,[3]MidCorp!$BA$49,[3]MidCorp!$BD$49)/1000/M213</f>
        <v>0.53461378457575548</v>
      </c>
      <c r="N216" s="42">
        <f>-SUM([3]MidCorp!$O$50,[3]MidCorp!$R$50:$V$50,[3]MidCorp!$Y$50,[3]MidCorp!$AB$50,[3]MidCorp!$AU$50,[3]MidCorp!$AX$50,[3]MidCorp!$BA$50,[3]MidCorp!$BD$50)/1000/N213</f>
        <v>0.53560802889235337</v>
      </c>
      <c r="O216" s="42">
        <f>-SUM([3]MidCorp!$O$51,[3]MidCorp!$R$51:$V$51,[3]MidCorp!$Y$51,[3]MidCorp!$AB$51,[3]MidCorp!$AU$51,[3]MidCorp!$AX$51,[3]MidCorp!$BA$51,[3]MidCorp!$BD$51)/1000/O213</f>
        <v>0.49831070145068218</v>
      </c>
      <c r="P216" s="6"/>
      <c r="Q216" s="73">
        <f>-SUM([3]MGA!$O$49,[3]MGA!$R$49:$V$49,[3]MGA!$Y$49,[3]MGA!$AB$49,[3]MGA!$AU$49,[3]MGA!$AX$49,[3]MGA!$BA$49,[3]MGA!$BD$49)/1000/Q213</f>
        <v>2.8770014937970753E-2</v>
      </c>
      <c r="R216" s="42">
        <f>-SUM([3]MGA!$O$50,[3]MGA!$R$50:$V$50,[3]MGA!$Y$50,[3]MGA!$AB$50,[3]MGA!$AU$50,[3]MGA!$AX$50,[3]MGA!$BA$50,[3]MGA!$BD$50)/1000/R213</f>
        <v>2.9387926189844739E-3</v>
      </c>
      <c r="S216" s="42">
        <f>-SUM([3]MGA!$O$51,[3]MGA!$R$51:$V$51,[3]MGA!$Y$51,[3]MGA!$AB$51,[3]MGA!$AU$51,[3]MGA!$AX$51,[3]MGA!$BA$51,[3]MGA!$BD$51)/1000/S213</f>
        <v>7.0985267525890778E-4</v>
      </c>
      <c r="T216" s="6"/>
      <c r="U216" s="97">
        <f>IFERROR(-SUM([3]Bancassurance!$O$49,[3]Bancassurance!$R$49:$V$49,[3]Bancassurance!$Y$49,[3]Bancassurance!$AB$49,[3]Bancassurance!$AU$49,[3]Bancassurance!$AX$49,[3]Bancassurance!$BA$49,[3]Bancassurance!$BD$49)/1000/U213,0)</f>
        <v>0</v>
      </c>
      <c r="V216" s="42">
        <f>IFERROR(-SUM([3]Bancassurance!$O$50,[3]Bancassurance!$R$50:$V$50,[3]Bancassurance!$Y$50,[3]Bancassurance!$AB$50,[3]Bancassurance!$AU$50,[3]Bancassurance!$AX$50,[3]Bancassurance!$BA$50,[3]Bancassurance!$BD$50)/1000/V213,0)</f>
        <v>0</v>
      </c>
      <c r="W216" s="42">
        <f>IFERROR(-SUM([3]Bancassurance!$O$51,[3]Bancassurance!$R$51:$V$51,[3]Bancassurance!$Y$51,[3]Bancassurance!$AB$51,[3]Bancassurance!$AU$51,[3]Bancassurance!$AX$51,[3]Bancassurance!$BA$51,[3]Bancassurance!$BD$51)/1000/W213,0)</f>
        <v>0</v>
      </c>
      <c r="X216" s="6"/>
      <c r="Y216" s="97">
        <f>-SUM([3]Specials!$O$49,[3]Specials!$R$49:$V$49,[3]Specials!$Y$49,[3]Specials!$AB$49,[3]Specials!$AU$49,[3]Specials!$AX$49,[3]Specials!$BA$49,[3]Specials!$BD$49)/1000/Y213</f>
        <v>0</v>
      </c>
      <c r="Z216" s="42">
        <f>-SUM([3]Specials!$O$50,[3]Specials!$R$50:$V$50,[3]Specials!$Y$50,[3]Specials!$AB$50,[3]Specials!$AU$50,[3]Specials!$AX$50,[3]Specials!$BA$50,[3]Specials!$BD$50)/1000/Z213</f>
        <v>0</v>
      </c>
      <c r="AA216" s="42">
        <f>IFERROR(-SUM([3]Specials!$O$51,[3]Specials!$R$51:$V$51,[3]Specials!$Y$51,[3]Specials!$AB$51,[3]Specials!$AU$51,[3]Specials!$AX$51,[3]Specials!$BA$51,[3]Specials!$BD$51)/1000/AA213,0)</f>
        <v>0</v>
      </c>
      <c r="AB216" s="6"/>
      <c r="AC216" s="84">
        <f>-SUM('[3]Total P&amp;C'!$O$49,'[3]Total P&amp;C'!$R$49:$V$49,'[3]Total P&amp;C'!$Y$49,'[3]Total P&amp;C'!$AB$49,'[3]Total P&amp;C'!$AU$49,'[3]Total P&amp;C'!$AX$49,'[3]Total P&amp;C'!$BA$49,'[3]Total P&amp;C'!$BD$49)/1000/AC213</f>
        <v>0.53070131545775945</v>
      </c>
      <c r="AD216" s="60">
        <f>-SUM('[3]Total P&amp;C'!$O$50,'[3]Total P&amp;C'!$R$50:$V$50,'[3]Total P&amp;C'!$Y$50,'[3]Total P&amp;C'!$AB$50,'[3]Total P&amp;C'!$AU$50,'[3]Total P&amp;C'!$AX$50,'[3]Total P&amp;C'!$BA$50,'[3]Total P&amp;C'!$BD$50)/1000/AD213</f>
        <v>0.53154084972981264</v>
      </c>
      <c r="AE216" s="60">
        <f>-SUM('[3]Total P&amp;C'!$O$51,'[3]Total P&amp;C'!$R$51:$V$51,'[3]Total P&amp;C'!$Y$51,'[3]Total P&amp;C'!$AB$51,'[3]Total P&amp;C'!$AU$51,'[3]Total P&amp;C'!$AX$51,'[3]Total P&amp;C'!$BA$51,'[3]Total P&amp;C'!$BD$51)/1000/AE213</f>
        <v>0.49774097485154101</v>
      </c>
      <c r="AG216" s="109"/>
      <c r="AK216" s="109"/>
      <c r="AO216" s="109"/>
      <c r="AS216" s="109"/>
      <c r="AW216" s="109"/>
      <c r="BA216" s="109"/>
      <c r="BE216" s="109"/>
    </row>
    <row r="217" spans="1:57" ht="16.5" hidden="1" outlineLevel="1" x14ac:dyDescent="0.25">
      <c r="A217" s="202"/>
      <c r="B217" s="9"/>
      <c r="C217" s="38" t="s">
        <v>24</v>
      </c>
      <c r="D217" s="7"/>
      <c r="E217" s="97">
        <f>IFERROR(-([3]Retail!$P$49+[3]Retail!$W$49+[3]Retail!$AV$49+[3]Retail!$AY$49)/1000/E213,0)</f>
        <v>0</v>
      </c>
      <c r="F217" s="42">
        <f>IFERROR(-([3]Retail!$P$50+[3]Retail!$W$50+[3]Retail!$AV$50+[3]Retail!$AY$50)/1000/F213,0)</f>
        <v>0</v>
      </c>
      <c r="G217" s="42">
        <f>IFERROR(-([3]Retail!$P$51+[3]Retail!$W$51+[3]Retail!$AV$51+[3]Retail!$AY$51)/1000/G213,0)</f>
        <v>0</v>
      </c>
      <c r="H217" s="7"/>
      <c r="I217" s="97">
        <f>-([3]SME!$P$49+[3]SME!$W$49+[3]SME!$AV$49+[3]SME!$AY$49)/1000/I213</f>
        <v>0</v>
      </c>
      <c r="J217" s="42">
        <f>-([3]SME!$P$50+[3]SME!$W$50+[3]SME!$AV$50+[3]SME!$AY$50)/1000/J213</f>
        <v>0</v>
      </c>
      <c r="K217" s="42">
        <f>IFERROR(-([3]SME!$P$51+[3]SME!$W$51+[3]SME!$AV$51+[3]SME!$AY$51)/1000/K213,0)</f>
        <v>0</v>
      </c>
      <c r="L217" s="7"/>
      <c r="M217" s="97">
        <f>-([3]MidCorp!$P$49+[3]MidCorp!$W$49+[3]MidCorp!$AV$49+[3]MidCorp!$AY$49)/1000/M213</f>
        <v>0</v>
      </c>
      <c r="N217" s="42">
        <f>-([3]MidCorp!$P$50+[3]MidCorp!$W$50+[3]MidCorp!$AV$50+[3]MidCorp!$AY$50)/1000/N213</f>
        <v>0</v>
      </c>
      <c r="O217" s="42">
        <f>-([3]MidCorp!$P$51+[3]MidCorp!$W$51+[3]MidCorp!$AV$51+[3]MidCorp!$AY$51)/1000/O213</f>
        <v>0</v>
      </c>
      <c r="P217" s="7"/>
      <c r="Q217" s="97">
        <f>-([3]MGA!$P$49+[3]MGA!$W$49+[3]MGA!$AV$49+[3]MGA!$AY$49)/1000/Q213</f>
        <v>0</v>
      </c>
      <c r="R217" s="42">
        <f>-([3]MGA!$P$50+[3]MGA!$W$50+[3]MGA!$AV$50+[3]MGA!$AY$50)/1000/R213</f>
        <v>0</v>
      </c>
      <c r="S217" s="42">
        <f>-([3]MGA!$P$51+[3]MGA!$W$51+[3]MGA!$AV$51+[3]MGA!$AY$51)/1000/S213</f>
        <v>0</v>
      </c>
      <c r="T217" s="7"/>
      <c r="U217" s="97">
        <f>IFERROR(-([3]Bancassurance!$P$49+[3]Bancassurance!$W$49+[3]Bancassurance!$AV$49+[3]Bancassurance!$AY$49)/1000/U213,0)</f>
        <v>0</v>
      </c>
      <c r="V217" s="42">
        <f>IFERROR(-([3]Bancassurance!$P$50+[3]Bancassurance!$W$50+[3]Bancassurance!$AV$50+[3]Bancassurance!$AY$50)/1000/V213,0)</f>
        <v>0</v>
      </c>
      <c r="W217" s="42">
        <f>IFERROR(-([3]Bancassurance!$P$51+[3]Bancassurance!$W$51+[3]Bancassurance!$AV$51+[3]Bancassurance!$AY$51)/1000/W213,0)</f>
        <v>0</v>
      </c>
      <c r="X217" s="7"/>
      <c r="Y217" s="97">
        <f>-([3]Specials!$P$49+[3]Specials!$W$49+[3]Specials!$AV$49+[3]Specials!$AY$49)/1000/Y213</f>
        <v>0</v>
      </c>
      <c r="Z217" s="42">
        <f>-([3]Specials!$P$50+[3]Specials!$W$50+[3]Specials!$AV$50+[3]Specials!$AY$50)/1000/Z213</f>
        <v>0</v>
      </c>
      <c r="AA217" s="42">
        <f>IFERROR(-([3]Specials!$P$51+[3]Specials!$W$51+[3]Specials!$AV$51+[3]Specials!$AY$51)/1000/AA213,0)</f>
        <v>0</v>
      </c>
      <c r="AB217" s="7"/>
      <c r="AC217" s="99">
        <f>-('[3]Total P&amp;C'!$P$49+'[3]Total P&amp;C'!$W$49+'[3]Total P&amp;C'!$AV$49+'[3]Total P&amp;C'!$AY$49)/1000/AC213</f>
        <v>0</v>
      </c>
      <c r="AD217" s="60">
        <f>-('[3]Total P&amp;C'!$P$50+'[3]Total P&amp;C'!$W$50+'[3]Total P&amp;C'!$AV$50+'[3]Total P&amp;C'!$AY$50)/1000/AD213</f>
        <v>0</v>
      </c>
      <c r="AE217" s="60">
        <f>-('[3]Total P&amp;C'!$P$51+'[3]Total P&amp;C'!$W$51+'[3]Total P&amp;C'!$AV$51+'[3]Total P&amp;C'!$AY$51)/1000/AE213</f>
        <v>0</v>
      </c>
      <c r="AG217" s="109"/>
      <c r="AK217" s="109"/>
      <c r="AO217" s="109"/>
      <c r="AS217" s="109"/>
      <c r="AW217" s="109"/>
      <c r="BA217" s="109"/>
      <c r="BE217" s="109"/>
    </row>
    <row r="218" spans="1:57" ht="16.5" hidden="1" outlineLevel="1" x14ac:dyDescent="0.25">
      <c r="A218" s="202"/>
      <c r="B218" s="9"/>
      <c r="C218" s="38" t="s">
        <v>25</v>
      </c>
      <c r="D218" s="7"/>
      <c r="E218" s="97">
        <f>IFERROR(-([3]Retail!$Q$49+[3]Retail!$X$49+[3]Retail!$AW$49+[3]Retail!$AZ$49)/1000/E213,0)</f>
        <v>0</v>
      </c>
      <c r="F218" s="42">
        <f>IFERROR(-([3]Retail!$Q$50+[3]Retail!$X$50+[3]Retail!$AW$50+[3]Retail!$AZ$50)/1000/F213,0)</f>
        <v>0</v>
      </c>
      <c r="G218" s="42">
        <f>IFERROR(-([3]Retail!$Q$51+[3]Retail!$X$51+[3]Retail!$AW$51+[3]Retail!$AZ$51)/1000/G213,0)</f>
        <v>0</v>
      </c>
      <c r="H218" s="7"/>
      <c r="I218" s="97">
        <f>-([3]SME!$Q$49+[3]SME!$X$49+[3]SME!$AW$49+[3]SME!$AZ$49)/1000/I213</f>
        <v>0</v>
      </c>
      <c r="J218" s="42">
        <f>-([3]SME!$Q$50+[3]SME!$X$50+[3]SME!$AW$50+[3]SME!$AZ$50)/1000/J213</f>
        <v>0</v>
      </c>
      <c r="K218" s="42">
        <f>IFERROR(-([3]SME!$Q$51+[3]SME!$X$51+[3]SME!$AW$51+[3]SME!$AZ$51)/1000/K213,0)</f>
        <v>0</v>
      </c>
      <c r="L218" s="7"/>
      <c r="M218" s="74">
        <f>-([3]MidCorp!$Q$49+[3]MidCorp!$X$49+[3]MidCorp!$AW$49+[3]MidCorp!$AZ$49)/1000/M213</f>
        <v>4.7493931207203452E-2</v>
      </c>
      <c r="N218" s="42">
        <f>-([3]MidCorp!$Q$50+[3]MidCorp!$X$50+[3]MidCorp!$AW$50+[3]MidCorp!$AZ$50)/1000/N213</f>
        <v>6.9969537176349683E-2</v>
      </c>
      <c r="O218" s="42">
        <f>-([3]MidCorp!$Q$51+[3]MidCorp!$X$51+[3]MidCorp!$AW$51+[3]MidCorp!$AZ$51)/1000/O213</f>
        <v>5.2640923827018411E-2</v>
      </c>
      <c r="P218" s="7"/>
      <c r="Q218" s="97">
        <f>-([3]MGA!$Q$49+[3]MGA!$X$49+[3]MGA!$AW$49+[3]MGA!$AZ$49)/1000/Q213</f>
        <v>0</v>
      </c>
      <c r="R218" s="42">
        <f>-([3]MGA!$Q$50+[3]MGA!$X$50+[3]MGA!$AW$50+[3]MGA!$AZ$50)/1000/R213</f>
        <v>0</v>
      </c>
      <c r="S218" s="42">
        <f>-([3]MGA!$Q$51+[3]MGA!$X$51+[3]MGA!$AW$51+[3]MGA!$AZ$51)/1000/S213</f>
        <v>0</v>
      </c>
      <c r="T218" s="7"/>
      <c r="U218" s="97">
        <f>IFERROR(-([3]Bancassurance!$Q$49+[3]Bancassurance!$X$49+[3]Bancassurance!$AW$49+[3]Bancassurance!$AZ$49)/1000/U213,0)</f>
        <v>0</v>
      </c>
      <c r="V218" s="42">
        <f>IFERROR(-([3]Bancassurance!$Q$50+[3]Bancassurance!$X$50+[3]Bancassurance!$AW$50+[3]Bancassurance!$AZ$50)/1000/V213,0)</f>
        <v>0</v>
      </c>
      <c r="W218" s="42">
        <f>IFERROR(-([3]Bancassurance!$Q$51+[3]Bancassurance!$X$51+[3]Bancassurance!$AW$51+[3]Bancassurance!$AZ$51)/1000/W213,0)</f>
        <v>0</v>
      </c>
      <c r="X218" s="7"/>
      <c r="Y218" s="97">
        <f>-([3]Specials!$Q$49+[3]Specials!$X$49+[3]Specials!$AW$49+[3]Specials!$AZ$49)/1000/Y213</f>
        <v>0</v>
      </c>
      <c r="Z218" s="42">
        <f>-([3]Specials!$Q$50+[3]Specials!$X$50+[3]Specials!$AW$50+[3]Specials!$AZ$50)/1000/Z213</f>
        <v>0</v>
      </c>
      <c r="AA218" s="42">
        <f>IFERROR(-([3]Specials!$Q$51+[3]Specials!$X$51+[3]Specials!$AW$51+[3]Specials!$AZ$51)/1000/AA213,0)</f>
        <v>0</v>
      </c>
      <c r="AB218" s="7"/>
      <c r="AC218" s="85">
        <f>-('[3]Total P&amp;C'!$Q$49+'[3]Total P&amp;C'!$X$49+'[3]Total P&amp;C'!$AW$49+'[3]Total P&amp;C'!$AZ$49)/1000/AC213</f>
        <v>4.7127851834737916E-2</v>
      </c>
      <c r="AD218" s="60">
        <f>-('[3]Total P&amp;C'!$Q$50+'[3]Total P&amp;C'!$X$50+'[3]Total P&amp;C'!$AW$50+'[3]Total P&amp;C'!$AZ$50)/1000/AD213</f>
        <v>6.9389068043863619E-2</v>
      </c>
      <c r="AE218" s="60">
        <f>-('[3]Total P&amp;C'!$Q$51+'[3]Total P&amp;C'!$X$51+'[3]Total P&amp;C'!$AW$51+'[3]Total P&amp;C'!$AZ$51)/1000/AE213</f>
        <v>5.2580652759190799E-2</v>
      </c>
      <c r="AG218" s="109"/>
      <c r="AK218" s="109"/>
      <c r="AO218" s="109"/>
      <c r="AS218" s="109"/>
      <c r="AW218" s="109"/>
      <c r="BA218" s="109"/>
      <c r="BE218" s="109"/>
    </row>
    <row r="219" spans="1:57" ht="16.5" hidden="1" outlineLevel="1" x14ac:dyDescent="0.25">
      <c r="A219" s="202"/>
      <c r="B219" s="9"/>
      <c r="C219" s="38" t="s">
        <v>53</v>
      </c>
      <c r="D219" s="7"/>
      <c r="E219" s="74">
        <f>IFERROR(-[3]Retail!$AT$49/1000/E213,0)</f>
        <v>-3.5460992907801413E-3</v>
      </c>
      <c r="F219" s="42">
        <f>IFERROR(-[3]Retail!$AT$50/1000/F213,0)</f>
        <v>0</v>
      </c>
      <c r="G219" s="42">
        <f>IFERROR(-[3]Retail!$AT$51/1000/G213,0)</f>
        <v>0</v>
      </c>
      <c r="H219" s="7"/>
      <c r="I219" s="74">
        <f>-[3]SME!$AT$49/1000/I213</f>
        <v>-4.0314515241212593E-4</v>
      </c>
      <c r="J219" s="42">
        <f>-[3]SME!$AT$50/1000/J213</f>
        <v>-3.8165641821323126E-4</v>
      </c>
      <c r="K219" s="42">
        <f>IFERROR(-[3]SME!$AT$51/1000/K213,0)</f>
        <v>0</v>
      </c>
      <c r="L219" s="7"/>
      <c r="M219" s="73">
        <f>-[3]MidCorp!$AT$49/1000/M213</f>
        <v>7.4778016105572054E-2</v>
      </c>
      <c r="N219" s="42">
        <f>-[3]MidCorp!$AT$50/1000/N213</f>
        <v>9.4595611340342722E-2</v>
      </c>
      <c r="O219" s="42">
        <f>-[3]MidCorp!$AT$51/1000/O213</f>
        <v>7.4413663422929877E-2</v>
      </c>
      <c r="P219" s="7"/>
      <c r="Q219" s="74">
        <f>-[3]MGA!$AT$49/1000/Q213</f>
        <v>6.1049792034123859E-3</v>
      </c>
      <c r="R219" s="42">
        <f>-[3]MGA!$AT$50/1000/R213</f>
        <v>5.5507848217713651E-2</v>
      </c>
      <c r="S219" s="42">
        <f>-[3]MGA!$AT$51/1000/S213</f>
        <v>7.9327228100372099E-2</v>
      </c>
      <c r="T219" s="7"/>
      <c r="U219" s="97">
        <f>IFERROR(-[3]Bancassurance!$AT$49/1000/U213,0)</f>
        <v>0</v>
      </c>
      <c r="V219" s="42">
        <f>IFERROR(-[3]Bancassurance!$AT$50/1000/V213,0)</f>
        <v>0</v>
      </c>
      <c r="W219" s="42">
        <f>IFERROR(-[3]Bancassurance!$AT$51/1000/W213,0)</f>
        <v>0</v>
      </c>
      <c r="X219" s="7"/>
      <c r="Y219" s="73">
        <f>-[3]Specials!$AT$49/1000/Y213</f>
        <v>0.80170575692963753</v>
      </c>
      <c r="Z219" s="42">
        <f>-[3]Specials!$AT$50/1000/Z213</f>
        <v>0</v>
      </c>
      <c r="AA219" s="42">
        <f>IFERROR(-[3]Specials!$AT$51/1000/AA213,0)</f>
        <v>0</v>
      </c>
      <c r="AB219" s="7"/>
      <c r="AC219" s="85">
        <f>-'[3]Total P&amp;C'!$AT$49/1000/AC213</f>
        <v>7.4246736747362971E-2</v>
      </c>
      <c r="AD219" s="60">
        <f>-'[3]Total P&amp;C'!$AT$50/1000/AD213</f>
        <v>9.4237521516967002E-2</v>
      </c>
      <c r="AE219" s="60">
        <f>-'[3]Total P&amp;C'!$AT$51/1000/AE213</f>
        <v>7.4419289194067983E-2</v>
      </c>
      <c r="AG219" s="109"/>
      <c r="AK219" s="109"/>
      <c r="AO219" s="109"/>
      <c r="AS219" s="109"/>
      <c r="AW219" s="109"/>
      <c r="BA219" s="109"/>
      <c r="BE219" s="109"/>
    </row>
    <row r="220" spans="1:57" ht="16.5" hidden="1" outlineLevel="1" x14ac:dyDescent="0.25">
      <c r="A220" s="202"/>
      <c r="B220" s="9"/>
      <c r="C220" s="37" t="s">
        <v>27</v>
      </c>
      <c r="D220" s="7"/>
      <c r="E220" s="41">
        <f>IFERROR(-([3]Retail!$Z$49+[3]Retail!$AA$49+[3]Retail!$BB$49+[3]Retail!$BC$49)/1000/E213,0)</f>
        <v>0</v>
      </c>
      <c r="F220" s="41">
        <f>IFERROR(-([3]Retail!$Z$50+[3]Retail!$AA$50+[3]Retail!$BB$50+[3]Retail!$BC$50)/1000/F213,0)</f>
        <v>0</v>
      </c>
      <c r="G220" s="41">
        <f>IFERROR(-([3]Retail!$Z$51+[3]Retail!$AA$51+[3]Retail!$BB$51+[3]Retail!$BC$51)/1000/G213,0)</f>
        <v>0</v>
      </c>
      <c r="H220" s="7"/>
      <c r="I220" s="41">
        <f>-([3]SME!$Z$49+[3]SME!$AA$49+[3]SME!$BB$49+[3]SME!$BC$49)/1000/I213</f>
        <v>0</v>
      </c>
      <c r="J220" s="41">
        <f>-([3]SME!$Z$50+[3]SME!$AA$50+[3]SME!$BB$50+[3]SME!$BC$50)/1000/J213</f>
        <v>0</v>
      </c>
      <c r="K220" s="41">
        <f>IFERROR(-([3]SME!$Z$51+[3]SME!$AA$51+[3]SME!$BB$51+[3]SME!$BC$51)/1000/K213,0)</f>
        <v>0</v>
      </c>
      <c r="L220" s="7"/>
      <c r="M220" s="71">
        <f>-([3]MidCorp!$Z$49+[3]MidCorp!$AA$49+[3]MidCorp!$BB$49+[3]MidCorp!$BC$49)/1000/M213</f>
        <v>-2.34564174607244E-2</v>
      </c>
      <c r="N220" s="41">
        <f>-([3]MidCorp!$Z$50+[3]MidCorp!$AA$50+[3]MidCorp!$BB$50+[3]MidCorp!$BC$50)/1000/N213</f>
        <v>-2.5264234455944435E-2</v>
      </c>
      <c r="O220" s="41">
        <f>-([3]MidCorp!$Z$51+[3]MidCorp!$AA$51+[3]MidCorp!$BB$51+[3]MidCorp!$BC$51)/1000/O213</f>
        <v>-1.4288652974441674E-2</v>
      </c>
      <c r="P220" s="7"/>
      <c r="Q220" s="72">
        <f>-([3]MGA!$Z$49+[3]MGA!$AA$49+[3]MGA!$BB$49+[3]MGA!$BC$49)/1000/Q213</f>
        <v>-8.7678958211737806E-4</v>
      </c>
      <c r="R220" s="41">
        <f>-([3]MGA!$Z$50+[3]MGA!$AA$50+[3]MGA!$BB$50+[3]MGA!$BC$50)/1000/R213</f>
        <v>-1.1591955739130489E-5</v>
      </c>
      <c r="S220" s="41">
        <f>-([3]MGA!$Z$51+[3]MGA!$AA$51+[3]MGA!$BB$51+[3]MGA!$BC$51)/1000/S213</f>
        <v>1.0397048288950021E-4</v>
      </c>
      <c r="T220" s="7"/>
      <c r="U220" s="41">
        <f>IFERROR(-([3]Bancassurance!$Z$49+[3]Bancassurance!$AA$49+[3]Bancassurance!$BB$49+[3]Bancassurance!$BC$49)/1000/U213,0)</f>
        <v>0</v>
      </c>
      <c r="V220" s="41">
        <f>IFERROR(-([3]Bancassurance!$Z$50+[3]Bancassurance!$AA$50+[3]Bancassurance!$BB$50+[3]Bancassurance!$BC$50)/1000/V213,0)</f>
        <v>0</v>
      </c>
      <c r="W220" s="41">
        <f>IFERROR(-([3]Bancassurance!$Z$51+[3]Bancassurance!$AA$51+[3]Bancassurance!$BB$51+[3]Bancassurance!$BC$51)/1000/W213,0)</f>
        <v>0</v>
      </c>
      <c r="X220" s="7"/>
      <c r="Y220" s="41">
        <f>-([3]Specials!$Z$49+[3]Specials!$AA$49+[3]Specials!$BB$49+[3]Specials!$BC$49)/1000/Y213</f>
        <v>0</v>
      </c>
      <c r="Z220" s="41">
        <f>-([3]Specials!$Z$50+[3]Specials!$AA$50+[3]Specials!$BB$50+[3]Specials!$BC$50)/1000/Z213</f>
        <v>0</v>
      </c>
      <c r="AA220" s="41">
        <f>IFERROR(-([3]Specials!$Z$51+[3]Specials!$AA$51+[3]Specials!$BB$51+[3]Specials!$BC$51)/1000/AA213,0)</f>
        <v>0</v>
      </c>
      <c r="AB220" s="7"/>
      <c r="AC220" s="86">
        <f>-('[3]Total P&amp;C'!$Z$49+'[3]Total P&amp;C'!$AA$49+'[3]Total P&amp;C'!$BB$49+'[3]Total P&amp;C'!$BC$49)/1000/AC213</f>
        <v>-2.3281965055148842E-2</v>
      </c>
      <c r="AD220" s="59">
        <f>-('[3]Total P&amp;C'!$Z$50+'[3]Total P&amp;C'!$AA$50+'[3]Total P&amp;C'!$BB$50+'[3]Total P&amp;C'!$BC$50)/1000/AD213</f>
        <v>-2.5054730841363282E-2</v>
      </c>
      <c r="AE220" s="59">
        <f>-('[3]Total P&amp;C'!$Z$51+'[3]Total P&amp;C'!$AA$51+'[3]Total P&amp;C'!$BB$51+'[3]Total P&amp;C'!$BC$51)/1000/AE213</f>
        <v>-1.4272174183388076E-2</v>
      </c>
      <c r="AG220" s="109"/>
      <c r="AK220" s="109"/>
      <c r="AO220" s="109"/>
      <c r="AS220" s="109"/>
      <c r="AW220" s="109"/>
      <c r="BA220" s="109"/>
      <c r="BE220" s="109"/>
    </row>
    <row r="221" spans="1:57" ht="16.5" hidden="1" outlineLevel="1" x14ac:dyDescent="0.25">
      <c r="A221" s="202"/>
      <c r="B221" s="9"/>
      <c r="C221" s="37" t="s">
        <v>57</v>
      </c>
      <c r="D221" s="7"/>
      <c r="E221" s="71">
        <f>IFERROR(-SUM([3]Retail!$AC$49:$AI$49,[3]Retail!$BE$49:$BG$49)/1000/E213,0)</f>
        <v>-354.68528368794313</v>
      </c>
      <c r="F221" s="41">
        <f>IFERROR(-SUM([3]Retail!$AC$50:$AI$50,[3]Retail!$BE$50:$BG$50)/1000/F213,0)</f>
        <v>0</v>
      </c>
      <c r="G221" s="41">
        <f>IFERROR(-SUM([3]Retail!$AC$51:$AI$51,[3]Retail!$BE$51:$BG$51)/1000/G213,0)</f>
        <v>0</v>
      </c>
      <c r="H221" s="7"/>
      <c r="I221" s="71">
        <f>-SUM([3]SME!$AC$49:$AI$49,[3]SME!$BE$49:$BG$49)/1000/I213</f>
        <v>-0.25475207348405787</v>
      </c>
      <c r="J221" s="41">
        <f>-SUM([3]SME!$AC$50:$AI$50,[3]SME!$BE$50:$BG$50)/1000/J213</f>
        <v>0.37820683135630401</v>
      </c>
      <c r="K221" s="41">
        <f>IFERROR(-SUM([3]SME!$AC$51:$AI$51,[3]SME!$BE$51:$BG$51)/1000/K213,0)</f>
        <v>0</v>
      </c>
      <c r="L221" s="7"/>
      <c r="M221" s="71">
        <f>-SUM([3]MidCorp!$AC$49:$AI$49,[3]MidCorp!$BE$49:$BG$49)/1000/M213</f>
        <v>-0.23758383656137042</v>
      </c>
      <c r="N221" s="41">
        <f>-SUM([3]MidCorp!$AC$50:$AI$50,[3]MidCorp!$BE$50:$BG$50)/1000/N213</f>
        <v>9.3978911489274609E-3</v>
      </c>
      <c r="O221" s="41">
        <f>-SUM([3]MidCorp!$AC$51:$AI$51,[3]MidCorp!$BE$51:$BG$51)/1000/O213</f>
        <v>-2.6247293473741544E-2</v>
      </c>
      <c r="P221" s="7"/>
      <c r="Q221" s="72">
        <f>-SUM([3]MGA!$AC$49:$AI$49,[3]MGA!$BE$49:$BG$49)/1000/Q213</f>
        <v>2.2689236328792375</v>
      </c>
      <c r="R221" s="41">
        <f>-SUM([3]MGA!$AC$50:$AI$50,[3]MGA!$BE$50:$BG$50)/1000/R213</f>
        <v>3.2160356624199928</v>
      </c>
      <c r="S221" s="41">
        <f>-SUM([3]MGA!$AC$51:$AI$51,[3]MGA!$BE$51:$BG$51)/1000/S213</f>
        <v>5.872539790502868E-5</v>
      </c>
      <c r="T221" s="7"/>
      <c r="U221" s="96">
        <f>IFERROR(-SUM([3]Bancassurance!$AC$49:$AI$49,[3]Bancassurance!$BE$49:$BG$49)/1000/U213,0)</f>
        <v>0</v>
      </c>
      <c r="V221" s="41">
        <f>IFERROR(-SUM([3]Bancassurance!$AC$50:$AI$50,[3]Bancassurance!$BE$50:$BG$50)/1000/V213,0)</f>
        <v>0</v>
      </c>
      <c r="W221" s="41">
        <f>IFERROR(-SUM([3]Bancassurance!$AC$51:$AI$51,[3]Bancassurance!$BE$51:$BG$51)/1000/W213,0)</f>
        <v>0</v>
      </c>
      <c r="X221" s="7"/>
      <c r="Y221" s="71">
        <f>-SUM([3]Specials!$AC$49:$AI$49,[3]Specials!$BE$49:$BG$49)/1000/Y213</f>
        <v>-2.9957356076759054</v>
      </c>
      <c r="Z221" s="41">
        <f>-SUM([3]Specials!$AC$50:$AI$50,[3]Specials!$BE$50:$BG$50)/1000/Z213</f>
        <v>-0.36180116847955163</v>
      </c>
      <c r="AA221" s="41">
        <f>IFERROR(-SUM([3]Specials!$AC$51:$AI$51,[3]Specials!$BE$51:$BG$51)/1000/AA213,0)</f>
        <v>0</v>
      </c>
      <c r="AB221" s="7"/>
      <c r="AC221" s="86">
        <f>-SUM('[3]Total P&amp;C'!$AC$49:$AI$49,'[3]Total P&amp;C'!$BE$49:$BG$49)/1000/AC213</f>
        <v>-0.21915918156928552</v>
      </c>
      <c r="AD221" s="59">
        <f>-SUM('[3]Total P&amp;C'!$AC$50:$AI$50,'[3]Total P&amp;C'!$BE$50:$BG$50)/1000/AD213</f>
        <v>3.4239940777878015E-2</v>
      </c>
      <c r="AE221" s="59">
        <f>-SUM('[3]Total P&amp;C'!$AC$51:$AI$51,'[3]Total P&amp;C'!$BE$51:$BG$51)/1000/AE213</f>
        <v>-2.6217174476345195E-2</v>
      </c>
      <c r="AG221" s="109"/>
      <c r="AK221" s="109"/>
      <c r="AO221" s="109"/>
      <c r="AS221" s="109"/>
      <c r="AW221" s="109"/>
      <c r="BA221" s="109"/>
      <c r="BE221" s="109"/>
    </row>
    <row r="222" spans="1:57" ht="16.5" hidden="1" outlineLevel="1" x14ac:dyDescent="0.25">
      <c r="A222" s="202"/>
      <c r="B222" s="9"/>
      <c r="C222" s="37" t="s">
        <v>29</v>
      </c>
      <c r="D222" s="7"/>
      <c r="E222" s="72">
        <f>IFERROR(-SUM([3]Retail!$AJ$49:$AK$49,[3]Retail!$BH$49:$BI$49)/1000/E213,0)</f>
        <v>25.449468085106378</v>
      </c>
      <c r="F222" s="41">
        <f>IFERROR(-SUM([3]Retail!$AJ$50:$AK$50,[3]Retail!$BH$50:$BI$50)/1000/F213,0)</f>
        <v>0</v>
      </c>
      <c r="G222" s="41">
        <f>IFERROR(-SUM([3]Retail!$AJ$51:$AK$51,[3]Retail!$BH$51:$BI$51)/1000/G213,0)</f>
        <v>0</v>
      </c>
      <c r="H222" s="7"/>
      <c r="I222" s="71">
        <f>-SUM([3]SME!$AJ$49:$AK$49,[3]SME!$BH$49:$BI$49)/1000/I213</f>
        <v>-4.7823868984027705E-2</v>
      </c>
      <c r="J222" s="41">
        <f>-SUM([3]SME!$AJ$50:$AK$50,[3]SME!$BH$50:$BI$50)/1000/J213</f>
        <v>1.773234435390706E-3</v>
      </c>
      <c r="K222" s="41">
        <f>IFERROR(-SUM([3]SME!$AJ$51:$AK$51,[3]SME!$BH$51:$BI$51)/1000/K213,0)</f>
        <v>0</v>
      </c>
      <c r="L222" s="7"/>
      <c r="M222" s="72">
        <f>-SUM([3]MidCorp!$AJ$49:$AK$49,[3]MidCorp!$BH$49:$BI$49)/1000/M213</f>
        <v>4.8069068100605392E-2</v>
      </c>
      <c r="N222" s="41">
        <f>-SUM([3]MidCorp!$AJ$50:$AK$50,[3]MidCorp!$BH$50:$BI$50)/1000/N213</f>
        <v>8.6337576447148637E-3</v>
      </c>
      <c r="O222" s="41">
        <f>-SUM([3]MidCorp!$AJ$51:$AK$51,[3]MidCorp!$BH$51:$BI$51)/1000/O213</f>
        <v>0</v>
      </c>
      <c r="P222" s="7"/>
      <c r="Q222" s="72">
        <f>-SUM([3]MGA!$AJ$49:$AK$49,[3]MGA!$BH$49:$BI$49)/1000/Q213</f>
        <v>2.6485454806930025E-2</v>
      </c>
      <c r="R222" s="41">
        <f>-SUM([3]MGA!$AJ$50:$AK$50,[3]MGA!$BH$50:$BI$50)/1000/R213</f>
        <v>-0.13355324046167519</v>
      </c>
      <c r="S222" s="41">
        <f>-SUM([3]MGA!$AJ$51:$AK$51,[3]MGA!$BH$51:$BI$51)/1000/S213</f>
        <v>0</v>
      </c>
      <c r="T222" s="7"/>
      <c r="U222" s="96">
        <f>IFERROR(-SUM([3]Bancassurance!$AJ$49:$AK$49,[3]Bancassurance!$BH$49:$BI$49)/1000/U213,0)</f>
        <v>0</v>
      </c>
      <c r="V222" s="41">
        <f>IFERROR(-SUM([3]Bancassurance!$AJ$50:$AK$50,[3]Bancassurance!$BH$50:$BI$50)/1000/V213,0)</f>
        <v>0</v>
      </c>
      <c r="W222" s="41">
        <f>IFERROR(-SUM([3]Bancassurance!$AJ$51:$AK$51,[3]Bancassurance!$BH$51:$BI$51)/1000/W213,0)</f>
        <v>0</v>
      </c>
      <c r="X222" s="7"/>
      <c r="Y222" s="71">
        <f>-SUM([3]Specials!$AJ$49:$AK$49,[3]Specials!$BH$49:$BI$49)/1000/Y213</f>
        <v>-1.0660980810234541E-2</v>
      </c>
      <c r="Z222" s="41">
        <f>-SUM([3]Specials!$AJ$50:$AK$50,[3]Specials!$BH$50:$BI$50)/1000/Z213</f>
        <v>3.5624376573409962E-4</v>
      </c>
      <c r="AA222" s="41">
        <f>IFERROR(-SUM([3]Specials!$AJ$51:$AK$51,[3]Specials!$BH$51:$BI$51)/1000/AA213,0)</f>
        <v>0</v>
      </c>
      <c r="AB222" s="7"/>
      <c r="AC222" s="83">
        <f>-SUM('[3]Total P&amp;C'!$AJ$49:$AK$49,'[3]Total P&amp;C'!$BH$49:$BI$49)/1000/AC213</f>
        <v>4.7847113484220313E-2</v>
      </c>
      <c r="AD222" s="59">
        <f>-SUM('[3]Total P&amp;C'!$AJ$50:$AK$50,'[3]Total P&amp;C'!$BH$50:$BI$50)/1000/AD213</f>
        <v>7.5359815496906998E-3</v>
      </c>
      <c r="AE222" s="59">
        <f>-SUM('[3]Total P&amp;C'!$AJ$51:$AK$51,'[3]Total P&amp;C'!$BH$51:$BI$51)/1000/AE213</f>
        <v>0</v>
      </c>
      <c r="AG222" s="109"/>
      <c r="AK222" s="109"/>
      <c r="AO222" s="109"/>
      <c r="AS222" s="109"/>
      <c r="AW222" s="109"/>
      <c r="BA222" s="109"/>
      <c r="BE222" s="109"/>
    </row>
    <row r="223" spans="1:57" ht="16.5" hidden="1" outlineLevel="1" x14ac:dyDescent="0.25">
      <c r="A223" s="202"/>
      <c r="B223" s="9"/>
      <c r="C223" s="37" t="s">
        <v>58</v>
      </c>
      <c r="D223" s="7"/>
      <c r="E223" s="71">
        <f>+E224+E225+E226</f>
        <v>-0.48670212765957444</v>
      </c>
      <c r="F223" s="41">
        <f>+F224+F225+F226</f>
        <v>0</v>
      </c>
      <c r="G223" s="41">
        <f>+G224+G225+G226</f>
        <v>0</v>
      </c>
      <c r="H223" s="7"/>
      <c r="I223" s="72">
        <f>+I224+I225+I226</f>
        <v>0.1684061346287731</v>
      </c>
      <c r="J223" s="41">
        <f>+J224+J225+J226</f>
        <v>0.16917067528231575</v>
      </c>
      <c r="K223" s="41">
        <f>+K224+K225+K226</f>
        <v>0</v>
      </c>
      <c r="L223" s="7"/>
      <c r="M223" s="71">
        <f>+M224+M225+M226</f>
        <v>0.25845354089944639</v>
      </c>
      <c r="N223" s="41">
        <f>+N224+N225+N226</f>
        <v>0.24800543888098073</v>
      </c>
      <c r="O223" s="41">
        <f>+O224+O225+O226</f>
        <v>0.26043022493678958</v>
      </c>
      <c r="P223" s="7"/>
      <c r="Q223" s="71">
        <f>+Q224+Q225+Q226</f>
        <v>0.30089355423957542</v>
      </c>
      <c r="R223" s="41">
        <f>+R224+R225+R226</f>
        <v>0.3424097728533087</v>
      </c>
      <c r="S223" s="41">
        <f>+S224+S225+S226</f>
        <v>0.43327514007291423</v>
      </c>
      <c r="T223" s="7"/>
      <c r="U223" s="96">
        <f>+U224+U225+U226</f>
        <v>0</v>
      </c>
      <c r="V223" s="41">
        <f>+V224+V225+V226</f>
        <v>0</v>
      </c>
      <c r="W223" s="41">
        <f>+W224+W225+W226</f>
        <v>0</v>
      </c>
      <c r="X223" s="7"/>
      <c r="Y223" s="72">
        <f>+Y224+Y225+Y226</f>
        <v>5.0106609808102338E-2</v>
      </c>
      <c r="Z223" s="41">
        <f>+Z224+Z225+Z226</f>
        <v>5.0325369306037163E-2</v>
      </c>
      <c r="AA223" s="41">
        <f>+AA224+AA225+AA226</f>
        <v>0</v>
      </c>
      <c r="AB223" s="7"/>
      <c r="AC223" s="86">
        <f>+AC224+AC225+AC226</f>
        <v>0.25871901674271236</v>
      </c>
      <c r="AD223" s="59">
        <f>+AD224+AD225+AD226</f>
        <v>0.24866993190892109</v>
      </c>
      <c r="AE223" s="59">
        <f>+AE224+AE225+AE226</f>
        <v>0.26062812320388801</v>
      </c>
      <c r="AG223" s="109"/>
      <c r="AK223" s="109"/>
      <c r="AO223" s="109"/>
      <c r="AS223" s="109"/>
      <c r="AW223" s="109"/>
      <c r="BA223" s="109"/>
      <c r="BE223" s="109"/>
    </row>
    <row r="224" spans="1:57" ht="16.5" hidden="1" outlineLevel="1" x14ac:dyDescent="0.25">
      <c r="A224" s="202"/>
      <c r="B224" s="9"/>
      <c r="C224" s="39" t="s">
        <v>59</v>
      </c>
      <c r="D224" s="8"/>
      <c r="E224" s="73">
        <f>IFERROR(-SUM([3]Retail!$AL$49:$AN$49,[3]Retail!$BJ$49)/1000/E213,0)</f>
        <v>0.175531914893617</v>
      </c>
      <c r="F224" s="42">
        <f>IFERROR(-SUM([3]Retail!$AL$50:$AN$50,[3]Retail!$BJ$50)/1000/F213,0)</f>
        <v>0</v>
      </c>
      <c r="G224" s="42">
        <f>IFERROR(-SUM([3]Retail!$AL$51:$AN$51,[3]Retail!$BJ$51)/1000/G213,0)</f>
        <v>0</v>
      </c>
      <c r="H224" s="8"/>
      <c r="I224" s="73">
        <f>-SUM([3]SME!$AL$49:$AN$49,[3]SME!$BJ$49)/1000/I213</f>
        <v>0.16839838183738057</v>
      </c>
      <c r="J224" s="42">
        <f>-SUM([3]SME!$AL$50:$AN$50,[3]SME!$BJ$50)/1000/J213</f>
        <v>0.16917067528231575</v>
      </c>
      <c r="K224" s="42">
        <f>IFERROR(-SUM([3]SME!$AL$51:$AN$51,[3]SME!$BJ$51)/1000/K213,0)</f>
        <v>0</v>
      </c>
      <c r="L224" s="8"/>
      <c r="M224" s="97">
        <f>-SUM([3]MidCorp!$AL$49:$AN$49,[3]MidCorp!$BJ$49)/1000/M213</f>
        <v>0.14703371062975046</v>
      </c>
      <c r="N224" s="42">
        <f>-SUM([3]MidCorp!$AL$50:$AN$50,[3]MidCorp!$BJ$50)/1000/N213</f>
        <v>0.14460899227723847</v>
      </c>
      <c r="O224" s="42">
        <f>-SUM([3]MidCorp!$AL$51:$AN$51,[3]MidCorp!$BJ$51)/1000/O213</f>
        <v>0.14386154518386499</v>
      </c>
      <c r="P224" s="8"/>
      <c r="Q224" s="73">
        <f>-SUM([3]MGA!$AL$49:$AN$49,[3]MGA!$BJ$49)/1000/Q213</f>
        <v>0.27388292700904476</v>
      </c>
      <c r="R224" s="42">
        <f>-SUM([3]MGA!$AL$50:$AN$50,[3]MGA!$BJ$50)/1000/R213</f>
        <v>0.25421084747397349</v>
      </c>
      <c r="S224" s="42">
        <f>-SUM([3]MGA!$AL$51:$AN$51,[3]MGA!$BJ$51)/1000/S213</f>
        <v>0.25988731019807038</v>
      </c>
      <c r="T224" s="8"/>
      <c r="U224" s="97">
        <f>IFERROR(-SUM([3]Bancassurance!$AL$49:$AN$49,[3]Bancassurance!$BJ$49)/1000/U213,0)</f>
        <v>0</v>
      </c>
      <c r="V224" s="42">
        <f>IFERROR(-SUM([3]Bancassurance!$AL$50:$AN$50,[3]Bancassurance!$BJ$50)/1000/V213,0)</f>
        <v>0</v>
      </c>
      <c r="W224" s="42">
        <f>IFERROR(-SUM([3]Bancassurance!$AL$51:$AN$51,[3]Bancassurance!$BJ$51)/1000/W213,0)</f>
        <v>0</v>
      </c>
      <c r="X224" s="8"/>
      <c r="Y224" s="73">
        <f>-SUM([3]Specials!$AL$49:$AN$49,[3]Specials!$BJ$49)/1000/Y213</f>
        <v>5.0106609808102338E-2</v>
      </c>
      <c r="Z224" s="42">
        <f>-SUM([3]Specials!$AL$50:$AN$50,[3]Specials!$BJ$50)/1000/Z213</f>
        <v>5.0325369306037163E-2</v>
      </c>
      <c r="AA224" s="42">
        <f>IFERROR(-SUM([3]Specials!$AL$51:$AN$51,[3]Specials!$BJ$51)/1000/AA213,0)</f>
        <v>0</v>
      </c>
      <c r="AB224" s="8"/>
      <c r="AC224" s="99">
        <f>-SUM('[3]Total P&amp;C'!$AL$49:$AN$49,'[3]Total P&amp;C'!$BJ$49)/1000/AC213</f>
        <v>0.14796190540309212</v>
      </c>
      <c r="AD224" s="60">
        <f>-SUM('[3]Total P&amp;C'!$AL$50:$AN$50,'[3]Total P&amp;C'!$BJ$50)/1000/AD213</f>
        <v>0.14545244875458108</v>
      </c>
      <c r="AE224" s="60">
        <f>-SUM('[3]Total P&amp;C'!$AL$51:$AN$51,'[3]Total P&amp;C'!$BJ$51)/1000/AE213</f>
        <v>0.14399438853547297</v>
      </c>
      <c r="AG224" s="109"/>
      <c r="AK224" s="109"/>
      <c r="AO224" s="109"/>
      <c r="AS224" s="109"/>
      <c r="AW224" s="109"/>
      <c r="BA224" s="109"/>
      <c r="BE224" s="109"/>
    </row>
    <row r="225" spans="1:57" ht="16.5" hidden="1" outlineLevel="1" x14ac:dyDescent="0.25">
      <c r="A225" s="202"/>
      <c r="B225" s="9"/>
      <c r="C225" s="39" t="s">
        <v>60</v>
      </c>
      <c r="D225" s="8"/>
      <c r="E225" s="97">
        <f>IFERROR(-SUM([3]Retail!$AO$49:$AP$49)/1000/E213,0)</f>
        <v>0</v>
      </c>
      <c r="F225" s="42">
        <f>IFERROR(-SUM([3]Retail!$AO$50:$AP$50)/1000/F213,0)</f>
        <v>0</v>
      </c>
      <c r="G225" s="42">
        <f>IFERROR(-SUM([3]Retail!$AO$51:$AP$51)/1000/G213,0)</f>
        <v>0</v>
      </c>
      <c r="H225" s="8"/>
      <c r="I225" s="97">
        <f>-SUM([3]SME!$AO$49:$AP$49)/1000/I213</f>
        <v>6.2022331140327075E-6</v>
      </c>
      <c r="J225" s="42">
        <f>-SUM([3]SME!$AO$50:$AP$50)/1000/J213</f>
        <v>0</v>
      </c>
      <c r="K225" s="42">
        <f>IFERROR(-SUM([3]SME!$AO$51:$AP$51)/1000/K213,0)</f>
        <v>0</v>
      </c>
      <c r="L225" s="8"/>
      <c r="M225" s="73">
        <f>-SUM([3]MidCorp!$AO$49:$AP$49)/1000/M213</f>
        <v>5.568962061270518E-2</v>
      </c>
      <c r="N225" s="42">
        <f>-SUM([3]MidCorp!$AO$50:$AP$50)/1000/N213</f>
        <v>4.9392764805257797E-2</v>
      </c>
      <c r="O225" s="42">
        <f>-SUM([3]MidCorp!$AO$51:$AP$51)/1000/O213</f>
        <v>4.9843966996900531E-2</v>
      </c>
      <c r="P225" s="8"/>
      <c r="Q225" s="74">
        <f>-SUM([3]MGA!$AO$49:$AP$49)/1000/Q213</f>
        <v>1.7131797447686049E-2</v>
      </c>
      <c r="R225" s="42">
        <f>-SUM([3]MGA!$AO$50:$AP$50)/1000/R213</f>
        <v>1.960570658070691E-2</v>
      </c>
      <c r="S225" s="42">
        <f>-SUM([3]MGA!$AO$51:$AP$51)/1000/S213</f>
        <v>0.10980817136102185</v>
      </c>
      <c r="T225" s="8"/>
      <c r="U225" s="97">
        <f>IFERROR(-SUM([3]Bancassurance!$AO$49:$AP$49)/1000/U213,0)</f>
        <v>0</v>
      </c>
      <c r="V225" s="42">
        <f>IFERROR(-SUM([3]Bancassurance!$AO$50:$AP$50)/1000/V213,0)</f>
        <v>0</v>
      </c>
      <c r="W225" s="42">
        <f>IFERROR(-SUM([3]Bancassurance!$AO$51:$AP$51)/1000/W213,0)</f>
        <v>0</v>
      </c>
      <c r="X225" s="8"/>
      <c r="Y225" s="97">
        <f>-SUM([3]Specials!$AO$49:$AP$49)/1000/Y213</f>
        <v>0</v>
      </c>
      <c r="Z225" s="42">
        <f>-SUM([3]Specials!$AO$50:$AP$50)/1000/Z213</f>
        <v>0</v>
      </c>
      <c r="AA225" s="42">
        <f>IFERROR(-SUM([3]Specials!$AO$51:$AP$51)/1000/AA213,0)</f>
        <v>0</v>
      </c>
      <c r="AB225" s="8"/>
      <c r="AC225" s="84">
        <f>-SUM('[3]Total P&amp;C'!$AO$49:$AP$49)/1000/AC213</f>
        <v>5.538440278613508E-2</v>
      </c>
      <c r="AD225" s="60">
        <f>-SUM('[3]Total P&amp;C'!$AO$50:$AP$50)/1000/AD213</f>
        <v>4.9133770800575696E-2</v>
      </c>
      <c r="AE225" s="60">
        <f>-SUM('[3]Total P&amp;C'!$AO$51:$AP$51)/1000/AE213</f>
        <v>4.9912622832811296E-2</v>
      </c>
      <c r="AG225" s="109"/>
      <c r="AK225" s="109"/>
      <c r="AO225" s="109"/>
      <c r="AS225" s="109"/>
      <c r="AW225" s="109"/>
      <c r="BA225" s="109"/>
      <c r="BE225" s="109"/>
    </row>
    <row r="226" spans="1:57" ht="16.5" hidden="1" outlineLevel="1" x14ac:dyDescent="0.25">
      <c r="A226" s="202"/>
      <c r="B226" s="9"/>
      <c r="C226" s="39" t="s">
        <v>61</v>
      </c>
      <c r="D226" s="8"/>
      <c r="E226" s="74">
        <f>IFERROR(-SUM([3]Retail!$AQ$49:$AR$49)/1000/E213,0)</f>
        <v>-0.6622340425531914</v>
      </c>
      <c r="F226" s="42">
        <f>IFERROR(-SUM([3]Retail!$AQ$50:$AR$50)/1000/F213,0)</f>
        <v>0</v>
      </c>
      <c r="G226" s="42">
        <f>IFERROR(-SUM([3]Retail!$AQ$51:$AR$51)/1000/G213,0)</f>
        <v>0</v>
      </c>
      <c r="H226" s="8"/>
      <c r="I226" s="97">
        <f>-SUM([3]SME!$AQ$49:$AR$49)/1000/I213</f>
        <v>1.5505582785081769E-6</v>
      </c>
      <c r="J226" s="42">
        <f>-SUM([3]SME!$AQ$50:$AR$50)/1000/J213</f>
        <v>0</v>
      </c>
      <c r="K226" s="42">
        <f>IFERROR(-SUM([3]SME!$AQ$51:$AR$51)/1000/K213,0)</f>
        <v>0</v>
      </c>
      <c r="L226" s="8"/>
      <c r="M226" s="74">
        <f>-SUM([3]MidCorp!$AQ$49:$AR$49)/1000/M213</f>
        <v>5.5730209656990715E-2</v>
      </c>
      <c r="N226" s="42">
        <f>-SUM([3]MidCorp!$AQ$50:$AR$50)/1000/N213</f>
        <v>5.400368179848445E-2</v>
      </c>
      <c r="O226" s="42">
        <f>-SUM([3]MidCorp!$AQ$51:$AR$51)/1000/O213</f>
        <v>6.6724712756024054E-2</v>
      </c>
      <c r="P226" s="8"/>
      <c r="Q226" s="74">
        <f>-SUM([3]MGA!$AQ$49:$AR$49)/1000/Q213</f>
        <v>9.8788297828446021E-3</v>
      </c>
      <c r="R226" s="42">
        <f>-SUM([3]MGA!$AQ$50:$AR$50)/1000/R213</f>
        <v>6.8593218798628272E-2</v>
      </c>
      <c r="S226" s="42">
        <f>-SUM([3]MGA!$AQ$51:$AR$51)/1000/S213</f>
        <v>6.3579658513822024E-2</v>
      </c>
      <c r="T226" s="8"/>
      <c r="U226" s="97">
        <f>IFERROR(-SUM([3]Bancassurance!$AQ$49:$AR$49)/1000/U213,0)</f>
        <v>0</v>
      </c>
      <c r="V226" s="42">
        <f>IFERROR(-SUM([3]Bancassurance!$AQ$50:$AR$50)/1000/V213,0)</f>
        <v>0</v>
      </c>
      <c r="W226" s="42">
        <f>IFERROR(-SUM([3]Bancassurance!$AQ$51:$AR$51)/1000/W213,0)</f>
        <v>0</v>
      </c>
      <c r="X226" s="8"/>
      <c r="Y226" s="97">
        <f>-SUM([3]Specials!$AQ$49:$AR$49)/1000/Y213</f>
        <v>0</v>
      </c>
      <c r="Z226" s="42">
        <f>-SUM([3]Specials!$AQ$50:$AR$50)/1000/Z213</f>
        <v>0</v>
      </c>
      <c r="AA226" s="42">
        <f>IFERROR(-SUM([3]Specials!$AQ$51:$AR$51)/1000/AA213,0)</f>
        <v>0</v>
      </c>
      <c r="AB226" s="8"/>
      <c r="AC226" s="85">
        <f>-SUM('[3]Total P&amp;C'!$AQ$49:$AR$49)/1000/AC213</f>
        <v>5.5372708553485195E-2</v>
      </c>
      <c r="AD226" s="60">
        <f>-SUM('[3]Total P&amp;C'!$AQ$50:$AR$50)/1000/AD213</f>
        <v>5.4083712353764322E-2</v>
      </c>
      <c r="AE226" s="60">
        <f>-SUM('[3]Total P&amp;C'!$AQ$51:$AR$51)/1000/AE213</f>
        <v>6.6721111835603739E-2</v>
      </c>
      <c r="AG226" s="109"/>
      <c r="AK226" s="109"/>
      <c r="AO226" s="109"/>
      <c r="AS226" s="109"/>
      <c r="AW226" s="109"/>
      <c r="BA226" s="109"/>
      <c r="BE226" s="109"/>
    </row>
    <row r="227" spans="1:57" ht="16.5" hidden="1" outlineLevel="1" x14ac:dyDescent="0.25">
      <c r="A227" s="202"/>
      <c r="B227" s="9"/>
      <c r="C227" s="37" t="s">
        <v>34</v>
      </c>
      <c r="D227" s="6"/>
      <c r="E227" s="70">
        <f>+[3]Retail!$BK$49/1000</f>
        <v>-3.7305900000000002E-3</v>
      </c>
      <c r="F227" s="40">
        <f>+[3]Retail!$BK$50/1000</f>
        <v>-6.8238000000000012E-4</v>
      </c>
      <c r="G227" s="40">
        <f>+[3]Retail!$BK$51/1000</f>
        <v>0</v>
      </c>
      <c r="H227" s="6"/>
      <c r="I227" s="75">
        <f>+[3]SME!$BK$49/1000</f>
        <v>7.3171599999999979E-3</v>
      </c>
      <c r="J227" s="40">
        <f>+[3]SME!$BK$50/1000</f>
        <v>-1.8848999999999988E-3</v>
      </c>
      <c r="K227" s="40">
        <f>+[3]SME!$BK$51/1000</f>
        <v>0</v>
      </c>
      <c r="L227" s="6"/>
      <c r="M227" s="75">
        <f>+[3]MidCorp!$BK$49/1000</f>
        <v>4.0733781899999997</v>
      </c>
      <c r="N227" s="40">
        <f>+[3]MidCorp!$BK$50/1000</f>
        <v>0.82120755000000012</v>
      </c>
      <c r="O227" s="40">
        <f>+[3]MidCorp!$BK$51/1000</f>
        <v>2.1734355714105389</v>
      </c>
      <c r="P227" s="6"/>
      <c r="Q227" s="70">
        <f>+[3]MGA!$BK$49/1000</f>
        <v>-0.16279029999999994</v>
      </c>
      <c r="R227" s="40">
        <f>+[3]MGA!$BK$50/1000</f>
        <v>-0.26778561999999995</v>
      </c>
      <c r="S227" s="40">
        <f>+[3]MGA!$BK$51/1000</f>
        <v>7.8330538406576403E-3</v>
      </c>
      <c r="T227" s="6"/>
      <c r="U227" s="70">
        <f>+[3]Bancassurance!$BK$49/1000</f>
        <v>0</v>
      </c>
      <c r="V227" s="40">
        <f>+[3]Bancassurance!$BK$50/1000</f>
        <v>0</v>
      </c>
      <c r="W227" s="40">
        <f>+[3]Bancassurance!$BK$51/1000</f>
        <v>0</v>
      </c>
      <c r="X227" s="6"/>
      <c r="Y227" s="75">
        <f>+[3]Specials!$BK$49/1000</f>
        <v>5.9179999999999999E-5</v>
      </c>
      <c r="Z227" s="40">
        <f>+[3]Specials!$BK$50/1000</f>
        <v>2.2082399999999998E-3</v>
      </c>
      <c r="AA227" s="40">
        <f>+[3]Specials!$BK$51/1000</f>
        <v>0</v>
      </c>
      <c r="AB227" s="6"/>
      <c r="AC227" s="87">
        <f>+'[3]Total P&amp;C'!$BK$49/1000</f>
        <v>3.9142336400000013</v>
      </c>
      <c r="AD227" s="58">
        <f>+'[3]Total P&amp;C'!$BK$50/1000</f>
        <v>0.55306289000000042</v>
      </c>
      <c r="AE227" s="58">
        <f>+'[3]Total P&amp;C'!$BK$51/1000</f>
        <v>2.1812686252511964</v>
      </c>
      <c r="AG227" s="108"/>
      <c r="AK227" s="108"/>
      <c r="AO227" s="108"/>
      <c r="AS227" s="108"/>
      <c r="AW227" s="108"/>
      <c r="BA227" s="108"/>
      <c r="BE227" s="108"/>
    </row>
    <row r="228" spans="1:57" hidden="1" outlineLevel="1" x14ac:dyDescent="0.25"/>
    <row r="229" spans="1:57" ht="16.5" hidden="1" outlineLevel="1" x14ac:dyDescent="0.25">
      <c r="A229" s="202" t="s">
        <v>45</v>
      </c>
      <c r="B229" s="9"/>
      <c r="C229" s="37" t="s">
        <v>19</v>
      </c>
      <c r="D229" s="6"/>
      <c r="E229" s="75">
        <f>+[3]Retail!$C$57/1000</f>
        <v>0.99809295999999936</v>
      </c>
      <c r="F229" s="40">
        <f>+[3]Retail!$C$58/1000</f>
        <v>1.0185793900000006</v>
      </c>
      <c r="G229" s="40">
        <f>+[3]Retail!$C$59/1000</f>
        <v>0.93951843763641796</v>
      </c>
      <c r="H229" s="6"/>
      <c r="I229" s="75">
        <f>+[3]SME!$C$57/1000</f>
        <v>1.7687021500000002</v>
      </c>
      <c r="J229" s="40">
        <f>+[3]SME!$C$58/1000</f>
        <v>1.7722497899999998</v>
      </c>
      <c r="K229" s="40">
        <f>+[3]SME!$C$59/1000</f>
        <v>1.6681350858622317</v>
      </c>
      <c r="L229" s="6"/>
      <c r="M229" s="75">
        <f>+[3]MidCorp!$C$57/1000</f>
        <v>0.26526893000000012</v>
      </c>
      <c r="N229" s="40">
        <f>+[3]MidCorp!$C$58/1000</f>
        <v>0.28977442000000009</v>
      </c>
      <c r="O229" s="40">
        <f>+[3]MidCorp!$C$59/1000</f>
        <v>0.26509026194465601</v>
      </c>
      <c r="P229" s="6"/>
      <c r="Q229" s="75">
        <f>+[3]MGA!$C$57/1000</f>
        <v>0.10141809</v>
      </c>
      <c r="R229" s="40">
        <f>+[3]MGA!$C$58/1000</f>
        <v>7.7724169999999995E-2</v>
      </c>
      <c r="S229" s="40">
        <f>+[3]MGA!$C$59/1000</f>
        <v>0</v>
      </c>
      <c r="T229" s="6"/>
      <c r="U229" s="70">
        <f>+[3]Bancassurance!$C$57/1000</f>
        <v>0</v>
      </c>
      <c r="V229" s="40">
        <f>+[3]Bancassurance!$C$58/1000</f>
        <v>0</v>
      </c>
      <c r="W229" s="40">
        <f>+[3]Bancassurance!$C$59/1000</f>
        <v>0.21</v>
      </c>
      <c r="X229" s="6"/>
      <c r="Y229" s="70">
        <f>+[3]Specials!$C$57/1000</f>
        <v>0</v>
      </c>
      <c r="Z229" s="40">
        <f>+[3]Specials!$C$58/1000</f>
        <v>0</v>
      </c>
      <c r="AA229" s="40">
        <f>+[3]Specials!$C$59/1000</f>
        <v>0</v>
      </c>
      <c r="AB229" s="6"/>
      <c r="AC229" s="87">
        <f>+'[3]Total P&amp;C'!$C$57/1000</f>
        <v>3.13348213</v>
      </c>
      <c r="AD229" s="58">
        <f>+'[3]Total P&amp;C'!$C$58/1000</f>
        <v>3.158327770000001</v>
      </c>
      <c r="AE229" s="58">
        <f>+'[3]Total P&amp;C'!$C$59/1000</f>
        <v>3.0827437854433057</v>
      </c>
      <c r="AG229" s="108"/>
      <c r="AK229" s="108"/>
      <c r="AO229" s="108"/>
      <c r="AS229" s="108"/>
      <c r="AW229" s="108"/>
      <c r="BA229" s="108"/>
      <c r="BE229" s="108"/>
    </row>
    <row r="230" spans="1:57" ht="16.5" hidden="1" outlineLevel="1" x14ac:dyDescent="0.25">
      <c r="A230" s="202"/>
      <c r="B230" s="9"/>
      <c r="C230" s="37" t="s">
        <v>55</v>
      </c>
      <c r="D230" s="6"/>
      <c r="E230" s="75">
        <f>+[3]Retail!$N$57/1000</f>
        <v>0.96876833999999934</v>
      </c>
      <c r="F230" s="40">
        <f>+[3]Retail!$N$58/1000</f>
        <v>0.97230364000000025</v>
      </c>
      <c r="G230" s="40">
        <f>+[3]Retail!$N$59/1000</f>
        <v>0.85</v>
      </c>
      <c r="H230" s="6"/>
      <c r="I230" s="75">
        <f>+[3]SME!$N$57/1000</f>
        <v>1.11178438</v>
      </c>
      <c r="J230" s="40">
        <f>+[3]SME!$N$58/1000</f>
        <v>1.10720124</v>
      </c>
      <c r="K230" s="40">
        <f>+[3]SME!$N$59/1000</f>
        <v>1.0594585050299929</v>
      </c>
      <c r="L230" s="6"/>
      <c r="M230" s="75">
        <f>+[3]MidCorp!$N$57/1000</f>
        <v>0.2097632900000001</v>
      </c>
      <c r="N230" s="40">
        <f>+[3]MidCorp!$N$58/1000</f>
        <v>0.21770490000000012</v>
      </c>
      <c r="O230" s="40">
        <f>+[3]MidCorp!$N$59/1000</f>
        <v>0.20598979860767913</v>
      </c>
      <c r="P230" s="6"/>
      <c r="Q230" s="75">
        <f>+[3]MGA!$N$57/1000</f>
        <v>7.7954689999999993E-2</v>
      </c>
      <c r="R230" s="40">
        <f>+[3]MGA!$N$58/1000</f>
        <v>5.6675369999999975E-2</v>
      </c>
      <c r="S230" s="40">
        <f>+[3]MGA!$N$59/1000</f>
        <v>0</v>
      </c>
      <c r="T230" s="6"/>
      <c r="U230" s="70">
        <f>+[3]Bancassurance!$N$57/1000</f>
        <v>0</v>
      </c>
      <c r="V230" s="40">
        <f>+[3]Bancassurance!$N$58/1000</f>
        <v>0</v>
      </c>
      <c r="W230" s="40">
        <f>+[3]Bancassurance!$N$59/1000</f>
        <v>0.216490239375</v>
      </c>
      <c r="X230" s="6"/>
      <c r="Y230" s="70">
        <f>+[3]Specials!$N$57/1000</f>
        <v>0</v>
      </c>
      <c r="Z230" s="40">
        <f>+[3]Specials!$N$58/1000</f>
        <v>0</v>
      </c>
      <c r="AA230" s="40">
        <f>+[3]Specials!$N$59/1000</f>
        <v>0</v>
      </c>
      <c r="AB230" s="6"/>
      <c r="AC230" s="87">
        <f>+'[3]Total P&amp;C'!$N$57/1000</f>
        <v>2.3682706999999996</v>
      </c>
      <c r="AD230" s="58">
        <f>+'[3]Total P&amp;C'!$N$58/1000</f>
        <v>2.35388515</v>
      </c>
      <c r="AE230" s="58">
        <f>+'[3]Total P&amp;C'!$N$59/1000</f>
        <v>2.3319385430126718</v>
      </c>
      <c r="AG230" s="108"/>
      <c r="AK230" s="108"/>
      <c r="AO230" s="108"/>
      <c r="AS230" s="108"/>
      <c r="AW230" s="108"/>
      <c r="BA230" s="108"/>
      <c r="BE230" s="108"/>
    </row>
    <row r="231" spans="1:57" ht="16.5" hidden="1" outlineLevel="1" x14ac:dyDescent="0.25">
      <c r="A231" s="202"/>
      <c r="B231" s="9"/>
      <c r="C231" s="37" t="s">
        <v>21</v>
      </c>
      <c r="D231" s="6"/>
      <c r="E231" s="71">
        <f>+E232+E237+E238+E239+E240</f>
        <v>0.76353493343929923</v>
      </c>
      <c r="F231" s="41">
        <f>+F232+F237+F238+F239+F240</f>
        <v>0.61526887835162247</v>
      </c>
      <c r="G231" s="41">
        <f>+G232+G237+G238+G239+G240</f>
        <v>0.80349044032323824</v>
      </c>
      <c r="H231" s="6"/>
      <c r="I231" s="72">
        <f>+I232+I237+I238+I239+I240</f>
        <v>1.1902791798532015</v>
      </c>
      <c r="J231" s="41">
        <f>+J232+J237+J238+J239+J240</f>
        <v>1.1203189223306866</v>
      </c>
      <c r="K231" s="41">
        <f>+K232+K237+K238+K239+K240</f>
        <v>0.87997936440641666</v>
      </c>
      <c r="L231" s="6"/>
      <c r="M231" s="71">
        <f>+M232+M237+M238+M239+M240</f>
        <v>0.64454090131786124</v>
      </c>
      <c r="N231" s="41">
        <f>+N232+N237+N238+N239+N240</f>
        <v>1.0672320650568721</v>
      </c>
      <c r="O231" s="41">
        <f>+O232+O237+O238+O239+O240</f>
        <v>1.3978084539333457</v>
      </c>
      <c r="P231" s="6"/>
      <c r="Q231" s="71">
        <f>+Q232+Q237+Q238+Q239+Q240</f>
        <v>0.13668196230399993</v>
      </c>
      <c r="R231" s="41">
        <f>+R232+R237+R238+R239+R240</f>
        <v>0.30405835903673861</v>
      </c>
      <c r="S231" s="41" t="e">
        <f>+S232+S237+S238+S239+S240</f>
        <v>#DIV/0!</v>
      </c>
      <c r="T231" s="6"/>
      <c r="U231" s="71">
        <f>+U232+U237+U238+U239+U240</f>
        <v>0</v>
      </c>
      <c r="V231" s="41">
        <f>+V232+V237+V238+V239+V240</f>
        <v>0</v>
      </c>
      <c r="W231" s="41">
        <f>+W232+W237+W238+W239+W240</f>
        <v>0.8062853914047734</v>
      </c>
      <c r="X231" s="6"/>
      <c r="Y231" s="96">
        <f>+Y232+Y237+Y238+Y239+Y240</f>
        <v>0</v>
      </c>
      <c r="Z231" s="41">
        <f>+Z232+Z237+Z238+Z239+Z240</f>
        <v>0</v>
      </c>
      <c r="AA231" s="41">
        <f>+AA232+AA237+AA238+AA239+AA240</f>
        <v>0</v>
      </c>
      <c r="AB231" s="6"/>
      <c r="AC231" s="83">
        <f>+AC232+AC237+AC238+AC239+AC240</f>
        <v>0.94711296728030281</v>
      </c>
      <c r="AD231" s="59">
        <f>+AD232+AD237+AD238+AD239+AD240</f>
        <v>0.91985269119863389</v>
      </c>
      <c r="AE231" s="59">
        <f>+AE232+AE237+AE238+AE239+AE240</f>
        <v>0.89181786086952664</v>
      </c>
      <c r="AG231" s="109"/>
      <c r="AK231" s="109"/>
      <c r="AO231" s="109"/>
      <c r="AS231" s="109"/>
      <c r="AW231" s="109"/>
      <c r="BA231" s="109"/>
      <c r="BE231" s="109"/>
    </row>
    <row r="232" spans="1:57" ht="16.5" hidden="1" outlineLevel="1" x14ac:dyDescent="0.25">
      <c r="A232" s="202"/>
      <c r="B232" s="9"/>
      <c r="C232" s="37" t="s">
        <v>56</v>
      </c>
      <c r="D232" s="6"/>
      <c r="E232" s="72">
        <f>+E233+E234+E235+E236</f>
        <v>0.642664829447255</v>
      </c>
      <c r="F232" s="41">
        <f>+F233+F234+F235+F236</f>
        <v>0.65617194439383131</v>
      </c>
      <c r="G232" s="41">
        <f>+G233+G234+G235+G236</f>
        <v>0.52754624134771111</v>
      </c>
      <c r="H232" s="6"/>
      <c r="I232" s="72">
        <f>+I233+I234+I235+I236</f>
        <v>0.92735760507806386</v>
      </c>
      <c r="J232" s="41">
        <f>+J233+J234+J235+J236</f>
        <v>0.93423999416763648</v>
      </c>
      <c r="K232" s="41">
        <f>+K233+K234+K235+K236</f>
        <v>0.58362345976230934</v>
      </c>
      <c r="L232" s="6"/>
      <c r="M232" s="71">
        <f>+M233+M234+M235+M236</f>
        <v>1.1710768838532228</v>
      </c>
      <c r="N232" s="41">
        <f>+N233+N234+N235+N236</f>
        <v>1.461604401187111</v>
      </c>
      <c r="O232" s="41">
        <f>+O233+O234+O235+O236</f>
        <v>1.212745263107291</v>
      </c>
      <c r="P232" s="6"/>
      <c r="Q232" s="71">
        <f>+Q233+Q234+Q235+Q236</f>
        <v>1.2517527810065052E-3</v>
      </c>
      <c r="R232" s="41">
        <f>+R233+R234+R235+R236</f>
        <v>3.2465601900790434E-4</v>
      </c>
      <c r="S232" s="41" t="e">
        <f>+S233+S234+S235+S236</f>
        <v>#DIV/0!</v>
      </c>
      <c r="T232" s="6"/>
      <c r="U232" s="71">
        <f>+U233+U234+U235+U236</f>
        <v>0</v>
      </c>
      <c r="V232" s="41">
        <f>+V233+V234+V235+V236</f>
        <v>0</v>
      </c>
      <c r="W232" s="41">
        <f>+W233+W234+W235+W236</f>
        <v>0.64336592295495154</v>
      </c>
      <c r="X232" s="6"/>
      <c r="Y232" s="96">
        <f>+Y233+Y234+Y235+Y236</f>
        <v>0</v>
      </c>
      <c r="Z232" s="41">
        <f>+Z233+Z234+Z235+Z236</f>
        <v>0</v>
      </c>
      <c r="AA232" s="41">
        <f>+AA233+AA234+AA235+AA236</f>
        <v>0</v>
      </c>
      <c r="AB232" s="6"/>
      <c r="AC232" s="83">
        <f>+AC233+AC234+AC235+AC236</f>
        <v>0.80619990358365712</v>
      </c>
      <c r="AD232" s="59">
        <f>+AD233+AD234+AD235+AD236</f>
        <v>0.85550907188483682</v>
      </c>
      <c r="AE232" s="59">
        <f>+AE233+AE234+AE235+AE236</f>
        <v>0.62434969361268333</v>
      </c>
      <c r="AG232" s="109"/>
      <c r="AK232" s="109"/>
      <c r="AO232" s="109"/>
      <c r="AS232" s="109"/>
      <c r="AW232" s="109"/>
      <c r="BA232" s="109"/>
      <c r="BE232" s="109"/>
    </row>
    <row r="233" spans="1:57" ht="16.5" hidden="1" outlineLevel="1" x14ac:dyDescent="0.25">
      <c r="A233" s="202"/>
      <c r="B233" s="9"/>
      <c r="C233" s="38" t="s">
        <v>23</v>
      </c>
      <c r="D233" s="6"/>
      <c r="E233" s="97">
        <f>-SUM([3]Retail!$O$57,[3]Retail!$R$57:$V$57,[3]Retail!$Y$57,[3]Retail!$AB$57,[3]Retail!$AU$57,[3]Retail!$AX$57,[3]Retail!$BA$57,[3]Retail!$BD$57)/1000/E230</f>
        <v>0.5314445247044306</v>
      </c>
      <c r="F233" s="42">
        <f>-SUM([3]Retail!$O$58,[3]Retail!$R$58:$V$58,[3]Retail!$Y$58,[3]Retail!$AB$58,[3]Retail!$AU$58,[3]Retail!$AX$58,[3]Retail!$BA$58,[3]Retail!$BD$58)/1000/F230</f>
        <v>0.52712303946532568</v>
      </c>
      <c r="G233" s="42">
        <f>-SUM([3]Retail!$O$59,[3]Retail!$R$59:$V$59,[3]Retail!$Y$59,[3]Retail!$AB$59,[3]Retail!$AU$59,[3]Retail!$AX$59,[3]Retail!$BA$59,[3]Retail!$BD$59)/1000/G230</f>
        <v>0.52754624134771111</v>
      </c>
      <c r="H233" s="6"/>
      <c r="I233" s="73">
        <f>-SUM([3]SME!$O$57,[3]SME!$R$57:$V$57,[3]SME!$Y$57,[3]SME!$AB$57,[3]SME!$AU$57,[3]SME!$AX$57,[3]SME!$BA$57,[3]SME!$BD$57)/1000/I230</f>
        <v>8.4902317120159568E-2</v>
      </c>
      <c r="J233" s="42">
        <f>-SUM([3]SME!$O$58,[3]SME!$R$58:$V$58,[3]SME!$Y$58,[3]SME!$AB$58,[3]SME!$AU$58,[3]SME!$AX$58,[3]SME!$BA$58,[3]SME!$BD$58)/1000/J230</f>
        <v>8.7390789049333076E-2</v>
      </c>
      <c r="K233" s="42">
        <f>-SUM([3]SME!$O$59,[3]SME!$R$59:$V$59,[3]SME!$Y$59,[3]SME!$AB$59,[3]SME!$AU$59,[3]SME!$AX$59,[3]SME!$BA$59,[3]SME!$BD$59)/1000/K230</f>
        <v>-0.11690212397131015</v>
      </c>
      <c r="L233" s="6"/>
      <c r="M233" s="74">
        <f>-SUM([3]MidCorp!$O$57,[3]MidCorp!$R$57:$V$57,[3]MidCorp!$Y$57,[3]MidCorp!$AB$57,[3]MidCorp!$AU$57,[3]MidCorp!$AX$57,[3]MidCorp!$BA$57,[3]MidCorp!$BD$57)/1000/M230</f>
        <v>1.1084792768076812</v>
      </c>
      <c r="N233" s="42">
        <f>-SUM([3]MidCorp!$O$58,[3]MidCorp!$R$58:$V$58,[3]MidCorp!$Y$58,[3]MidCorp!$AB$58,[3]MidCorp!$AU$58,[3]MidCorp!$AX$58,[3]MidCorp!$BA$58,[3]MidCorp!$BD$58)/1000/N230</f>
        <v>1.4035906403576579</v>
      </c>
      <c r="O233" s="42">
        <f>-SUM([3]MidCorp!$O$59,[3]MidCorp!$R$59:$V$59,[3]MidCorp!$Y$59,[3]MidCorp!$AB$59,[3]MidCorp!$AU$59,[3]MidCorp!$AX$59,[3]MidCorp!$BA$59,[3]MidCorp!$BD$59)/1000/O230</f>
        <v>1.1447711536224161</v>
      </c>
      <c r="P233" s="6"/>
      <c r="Q233" s="74">
        <f>-SUM([3]MGA!$O$57,[3]MGA!$R$57:$V$57,[3]MGA!$Y$57,[3]MGA!$AB$57,[3]MGA!$AU$57,[3]MGA!$AX$57,[3]MGA!$BA$57,[3]MGA!$BD$57)/1000/Q230</f>
        <v>1.2517527810065052E-3</v>
      </c>
      <c r="R233" s="42">
        <f>-SUM([3]MGA!$O$58,[3]MGA!$R$58:$V$58,[3]MGA!$Y$58,[3]MGA!$AB$58,[3]MGA!$AU$58,[3]MGA!$AX$58,[3]MGA!$BA$58,[3]MGA!$BD$58)/1000/R230</f>
        <v>3.2465601900790434E-4</v>
      </c>
      <c r="S233" s="42" t="e">
        <f>-SUM([3]MGA!$O$59,[3]MGA!$R$59:$V$59,[3]MGA!$Y$59,[3]MGA!$AB$59,[3]MGA!$AU$59,[3]MGA!$AX$59,[3]MGA!$BA$59,[3]MGA!$BD$59)/1000/S230</f>
        <v>#DIV/0!</v>
      </c>
      <c r="T233" s="6"/>
      <c r="U233" s="74">
        <f>IFERROR(-SUM([3]Bancassurance!$O$57,[3]Bancassurance!$R$57:$V$57,[3]Bancassurance!$Y$57,[3]Bancassurance!$AB$57,[3]Bancassurance!$AU$57,[3]Bancassurance!$AX$57,[3]Bancassurance!$BA$57,[3]Bancassurance!$BD$57)/1000/U230,0)</f>
        <v>0</v>
      </c>
      <c r="V233" s="42">
        <f>IFERROR(-SUM([3]Bancassurance!$O$58,[3]Bancassurance!$R$58:$V$58,[3]Bancassurance!$Y$58,[3]Bancassurance!$AB$58,[3]Bancassurance!$AU$58,[3]Bancassurance!$AX$58,[3]Bancassurance!$BA$58,[3]Bancassurance!$BD$58)/1000/V230,0)</f>
        <v>0</v>
      </c>
      <c r="W233" s="42">
        <f>-SUM([3]Bancassurance!$O$59,[3]Bancassurance!$R$59:$V$59,[3]Bancassurance!$Y$59,[3]Bancassurance!$AB$59,[3]Bancassurance!$AU$59,[3]Bancassurance!$AX$59,[3]Bancassurance!$BA$59,[3]Bancassurance!$BD$59)/1000/W230</f>
        <v>0.64336592295495154</v>
      </c>
      <c r="X233" s="6"/>
      <c r="Y233" s="97">
        <f>IFERROR(-SUM([3]Specials!$O$57,[3]Specials!$R$57:$V$57,[3]Specials!$Y$57,[3]Specials!$AB$57,[3]Specials!$AU$57,[3]Specials!$AX$57,[3]Specials!$BA$57,[3]Specials!$BD$57)/1000/Y230,0)</f>
        <v>0</v>
      </c>
      <c r="Z233" s="42">
        <f>IFERROR(-SUM([3]Specials!$O$58,[3]Specials!$R$58:$V$58,[3]Specials!$Y$58,[3]Specials!$AB$58,[3]Specials!$AU$58,[3]Specials!$AX$58,[3]Specials!$BA$58,[3]Specials!$BD$58)/1000/Z230,0)</f>
        <v>0</v>
      </c>
      <c r="AA233" s="42">
        <f>IFERROR(-SUM([3]Specials!$O$59,[3]Specials!$R$59:$V$59,[3]Specials!$Y$59,[3]Specials!$AB$59,[3]Specials!$AU$59,[3]Specials!$AX$59,[3]Specials!$BA$59,[3]Specials!$BD$59)/1000/AA230,0)</f>
        <v>0</v>
      </c>
      <c r="AB233" s="6"/>
      <c r="AC233" s="84">
        <f>-SUM('[3]Total P&amp;C'!$O$57,'[3]Total P&amp;C'!$R$57:$V$57,'[3]Total P&amp;C'!$Y$57,'[3]Total P&amp;C'!$AB$57,'[3]Total P&amp;C'!$AU$57,'[3]Total P&amp;C'!$AX$57,'[3]Total P&amp;C'!$BA$57,'[3]Total P&amp;C'!$BD$57)/1000/AC230</f>
        <v>0.35966901503278326</v>
      </c>
      <c r="AD233" s="60">
        <f>-SUM('[3]Total P&amp;C'!$O$58,'[3]Total P&amp;C'!$R$58:$V$58,'[3]Total P&amp;C'!$Y$58,'[3]Total P&amp;C'!$AB$58,'[3]Total P&amp;C'!$AU$58,'[3]Total P&amp;C'!$AX$58,'[3]Total P&amp;C'!$BA$58,'[3]Total P&amp;C'!$BD$58)/1000/AD230</f>
        <v>0.3985041538666404</v>
      </c>
      <c r="AE233" s="60">
        <f>-SUM('[3]Total P&amp;C'!$O$59,'[3]Total P&amp;C'!$R$59:$V$59,'[3]Total P&amp;C'!$Y$59,'[3]Total P&amp;C'!$AB$59,'[3]Total P&amp;C'!$AU$59,'[3]Total P&amp;C'!$AX$59,'[3]Total P&amp;C'!$BA$59,'[3]Total P&amp;C'!$BD$59)/1000/AE230</f>
        <v>0.30007881474805959</v>
      </c>
      <c r="AG233" s="109"/>
      <c r="AK233" s="109"/>
      <c r="AO233" s="109"/>
      <c r="AS233" s="109"/>
      <c r="AW233" s="109"/>
      <c r="BA233" s="109"/>
      <c r="BE233" s="109"/>
    </row>
    <row r="234" spans="1:57" ht="16.5" hidden="1" outlineLevel="1" x14ac:dyDescent="0.25">
      <c r="A234" s="202"/>
      <c r="B234" s="9"/>
      <c r="C234" s="38" t="s">
        <v>24</v>
      </c>
      <c r="D234" s="7"/>
      <c r="E234" s="97">
        <f>-([3]Retail!$P$57+[3]Retail!$W$57+[3]Retail!$AV$57+[3]Retail!$AY$57)/1000/E230</f>
        <v>0</v>
      </c>
      <c r="F234" s="42">
        <f>-([3]Retail!$P$58+[3]Retail!$W$58+[3]Retail!$AV$58+[3]Retail!$AY$58)/1000/F230</f>
        <v>0</v>
      </c>
      <c r="G234" s="42">
        <f>-([3]Retail!$P$59+[3]Retail!$W$59+[3]Retail!$AV$59+[3]Retail!$AY$59)/1000/G230</f>
        <v>0</v>
      </c>
      <c r="H234" s="7"/>
      <c r="I234" s="97">
        <f>-([3]SME!$P$57+[3]SME!$W$57+[3]SME!$AV$57+[3]SME!$AY$57)/1000/I230</f>
        <v>0</v>
      </c>
      <c r="J234" s="42">
        <f>-([3]SME!$P$58+[3]SME!$W$58+[3]SME!$AV$58+[3]SME!$AY$58)/1000/J230</f>
        <v>0</v>
      </c>
      <c r="K234" s="42">
        <f>-([3]SME!$P$59+[3]SME!$W$59+[3]SME!$AV$59+[3]SME!$AY$59)/1000/K230</f>
        <v>0</v>
      </c>
      <c r="L234" s="7"/>
      <c r="M234" s="97">
        <f>-([3]MidCorp!$P$57+[3]MidCorp!$W$57+[3]MidCorp!$AV$57+[3]MidCorp!$AY$57)/1000/M230</f>
        <v>0</v>
      </c>
      <c r="N234" s="42">
        <f>-([3]MidCorp!$P$58+[3]MidCorp!$W$58+[3]MidCorp!$AV$58+[3]MidCorp!$AY$58)/1000/N230</f>
        <v>0</v>
      </c>
      <c r="O234" s="42">
        <f>-([3]MidCorp!$P$59+[3]MidCorp!$W$59+[3]MidCorp!$AV$59+[3]MidCorp!$AY$59)/1000/O230</f>
        <v>0</v>
      </c>
      <c r="P234" s="7"/>
      <c r="Q234" s="97">
        <f>-([3]MGA!$P$57+[3]MGA!$W$57+[3]MGA!$AV$57+[3]MGA!$AY$57)/1000/Q230</f>
        <v>0</v>
      </c>
      <c r="R234" s="42">
        <f>-([3]MGA!$P$58+[3]MGA!$W$58+[3]MGA!$AV$58+[3]MGA!$AY$58)/1000/R230</f>
        <v>0</v>
      </c>
      <c r="S234" s="42" t="e">
        <f>-([3]MGA!$P$59+[3]MGA!$W$59+[3]MGA!$AV$59+[3]MGA!$AY$59)/1000/S230</f>
        <v>#DIV/0!</v>
      </c>
      <c r="T234" s="7"/>
      <c r="U234" s="97">
        <f>IFERROR(-([3]Bancassurance!$P$57+[3]Bancassurance!$W$57+[3]Bancassurance!$AV$57+[3]Bancassurance!$AY$57)/1000/U230,0)</f>
        <v>0</v>
      </c>
      <c r="V234" s="42">
        <f>IFERROR(-([3]Bancassurance!$P$58+[3]Bancassurance!$W$58+[3]Bancassurance!$AV$58+[3]Bancassurance!$AY$58)/1000/V230,0)</f>
        <v>0</v>
      </c>
      <c r="W234" s="42">
        <f>-([3]Bancassurance!$P$59+[3]Bancassurance!$W$59+[3]Bancassurance!$AV$59+[3]Bancassurance!$AY$59)/1000/W230</f>
        <v>0</v>
      </c>
      <c r="X234" s="7"/>
      <c r="Y234" s="97">
        <f>IFERROR(-([3]Specials!$P$57+[3]Specials!$W$57+[3]Specials!$AV$57+[3]Specials!$AY$57)/1000/Y230,0)</f>
        <v>0</v>
      </c>
      <c r="Z234" s="42">
        <f>IFERROR(-([3]Specials!$P$58+[3]Specials!$W$58+[3]Specials!$AV$58+[3]Specials!$AY$58)/1000/Z230,0)</f>
        <v>0</v>
      </c>
      <c r="AA234" s="42">
        <f>IFERROR(-([3]Specials!$P$59+[3]Specials!$W$59+[3]Specials!$AV$59+[3]Specials!$AY$59)/1000/AA230,0)</f>
        <v>0</v>
      </c>
      <c r="AB234" s="7"/>
      <c r="AC234" s="99">
        <f>-('[3]Total P&amp;C'!$P$57+'[3]Total P&amp;C'!$W$57+'[3]Total P&amp;C'!$AV$57+'[3]Total P&amp;C'!$AY$57)/1000/AC230</f>
        <v>0</v>
      </c>
      <c r="AD234" s="60">
        <f>-('[3]Total P&amp;C'!$P$58+'[3]Total P&amp;C'!$W$58+'[3]Total P&amp;C'!$AV$58+'[3]Total P&amp;C'!$AY$58)/1000/AD230</f>
        <v>0</v>
      </c>
      <c r="AE234" s="60">
        <f>-('[3]Total P&amp;C'!$P$59+'[3]Total P&amp;C'!$W$59+'[3]Total P&amp;C'!$AV$59+'[3]Total P&amp;C'!$AY$59)/1000/AE230</f>
        <v>0</v>
      </c>
      <c r="AG234" s="109"/>
      <c r="AK234" s="109"/>
      <c r="AO234" s="109"/>
      <c r="AS234" s="109"/>
      <c r="AW234" s="109"/>
      <c r="BA234" s="109"/>
      <c r="BE234" s="109"/>
    </row>
    <row r="235" spans="1:57" ht="16.5" hidden="1" outlineLevel="1" x14ac:dyDescent="0.25">
      <c r="A235" s="202"/>
      <c r="B235" s="9"/>
      <c r="C235" s="38" t="s">
        <v>25</v>
      </c>
      <c r="D235" s="7"/>
      <c r="E235" s="97">
        <f>-([3]Retail!$Q$57+[3]Retail!$X$57+[3]Retail!$AW$57+[3]Retail!$AZ$57)/1000/E230</f>
        <v>0</v>
      </c>
      <c r="F235" s="42">
        <f>-([3]Retail!$Q$58+[3]Retail!$X$58+[3]Retail!$AW$58+[3]Retail!$AZ$58)/1000/F230</f>
        <v>0</v>
      </c>
      <c r="G235" s="42">
        <f>-([3]Retail!$Q$59+[3]Retail!$X$59+[3]Retail!$AW$59+[3]Retail!$AZ$59)/1000/G230</f>
        <v>0</v>
      </c>
      <c r="H235" s="7"/>
      <c r="I235" s="97">
        <f>-([3]SME!$Q$57+[3]SME!$X$57+[3]SME!$AW$57+[3]SME!$AZ$57)/1000/I230</f>
        <v>0</v>
      </c>
      <c r="J235" s="42">
        <f>-([3]SME!$Q$58+[3]SME!$X$58+[3]SME!$AW$58+[3]SME!$AZ$58)/1000/J230</f>
        <v>0</v>
      </c>
      <c r="K235" s="42">
        <f>-([3]SME!$Q$59+[3]SME!$X$59+[3]SME!$AW$59+[3]SME!$AZ$59)/1000/K230</f>
        <v>0</v>
      </c>
      <c r="L235" s="7"/>
      <c r="M235" s="97">
        <f>-([3]MidCorp!$Q$57+[3]MidCorp!$X$57+[3]MidCorp!$AW$57+[3]MidCorp!$AZ$57)/1000/M230</f>
        <v>0</v>
      </c>
      <c r="N235" s="42">
        <f>-([3]MidCorp!$Q$58+[3]MidCorp!$X$58+[3]MidCorp!$AW$58+[3]MidCorp!$AZ$58)/1000/N230</f>
        <v>0</v>
      </c>
      <c r="O235" s="42">
        <f>-([3]MidCorp!$Q$59+[3]MidCorp!$X$59+[3]MidCorp!$AW$59+[3]MidCorp!$AZ$59)/1000/O230</f>
        <v>0</v>
      </c>
      <c r="P235" s="7"/>
      <c r="Q235" s="97">
        <f>-([3]MGA!$Q$57+[3]MGA!$X$57+[3]MGA!$AW$57+[3]MGA!$AZ$57)/1000/Q230</f>
        <v>0</v>
      </c>
      <c r="R235" s="42">
        <f>-([3]MGA!$Q$58+[3]MGA!$X$58+[3]MGA!$AW$58+[3]MGA!$AZ$58)/1000/R230</f>
        <v>0</v>
      </c>
      <c r="S235" s="42" t="e">
        <f>-([3]MGA!$Q$59+[3]MGA!$X$59+[3]MGA!$AW$59+[3]MGA!$AZ$59)/1000/S230</f>
        <v>#DIV/0!</v>
      </c>
      <c r="T235" s="7"/>
      <c r="U235" s="97">
        <f>IFERROR(-([3]Bancassurance!$Q$57+[3]Bancassurance!$X$57+[3]Bancassurance!$AW$57+[3]Bancassurance!$AZ$57)/1000/U230,0)</f>
        <v>0</v>
      </c>
      <c r="V235" s="42">
        <f>IFERROR(-([3]Bancassurance!$Q$58+[3]Bancassurance!$X$58+[3]Bancassurance!$AW$58+[3]Bancassurance!$AZ$58)/1000/V230,0)</f>
        <v>0</v>
      </c>
      <c r="W235" s="42">
        <f>-([3]Bancassurance!$Q$59+[3]Bancassurance!$X$59+[3]Bancassurance!$AW$59+[3]Bancassurance!$AZ$59)/1000/W230</f>
        <v>0</v>
      </c>
      <c r="X235" s="7"/>
      <c r="Y235" s="97">
        <f>IFERROR(-([3]Specials!$Q$57+[3]Specials!$X$57+[3]Specials!$AW$57+[3]Specials!$AZ$57)/1000/Y230,0)</f>
        <v>0</v>
      </c>
      <c r="Z235" s="42">
        <f>IFERROR(-([3]Specials!$Q$58+[3]Specials!$X$58+[3]Specials!$AW$58+[3]Specials!$AZ$58)/1000/Z230,0)</f>
        <v>0</v>
      </c>
      <c r="AA235" s="42">
        <f>IFERROR(-([3]Specials!$Q$59+[3]Specials!$X$59+[3]Specials!$AW$59+[3]Specials!$AZ$59)/1000/AA230,0)</f>
        <v>0</v>
      </c>
      <c r="AB235" s="7"/>
      <c r="AC235" s="99">
        <f>-('[3]Total P&amp;C'!$Q$57+'[3]Total P&amp;C'!$X$57+'[3]Total P&amp;C'!$AW$57+'[3]Total P&amp;C'!$AZ$57)/1000/AC230</f>
        <v>0</v>
      </c>
      <c r="AD235" s="60">
        <f>-('[3]Total P&amp;C'!$Q$58+'[3]Total P&amp;C'!$X$58+'[3]Total P&amp;C'!$AW$58+'[3]Total P&amp;C'!$AZ$58)/1000/AD230</f>
        <v>0</v>
      </c>
      <c r="AE235" s="60">
        <f>-('[3]Total P&amp;C'!$Q$59+'[3]Total P&amp;C'!$X$59+'[3]Total P&amp;C'!$AW$59+'[3]Total P&amp;C'!$AZ$59)/1000/AE230</f>
        <v>0</v>
      </c>
      <c r="AG235" s="109"/>
      <c r="AK235" s="109"/>
      <c r="AO235" s="109"/>
      <c r="AS235" s="109"/>
      <c r="AW235" s="109"/>
      <c r="BA235" s="109"/>
      <c r="BE235" s="109"/>
    </row>
    <row r="236" spans="1:57" ht="16.5" hidden="1" outlineLevel="1" x14ac:dyDescent="0.25">
      <c r="A236" s="202"/>
      <c r="B236" s="9"/>
      <c r="C236" s="38" t="s">
        <v>53</v>
      </c>
      <c r="D236" s="7"/>
      <c r="E236" s="73">
        <f>-[3]Retail!$AT$57/1000/E230</f>
        <v>0.11122030474282435</v>
      </c>
      <c r="F236" s="42">
        <f>-[3]Retail!$AT$58/1000/F230</f>
        <v>0.12904890492850563</v>
      </c>
      <c r="G236" s="42">
        <f>-[3]Retail!$AT$59/1000/G230</f>
        <v>0</v>
      </c>
      <c r="H236" s="7"/>
      <c r="I236" s="73">
        <f>-[3]SME!$AT$57/1000/I230</f>
        <v>0.84245528795790425</v>
      </c>
      <c r="J236" s="42">
        <f>-[3]SME!$AT$58/1000/J230</f>
        <v>0.84684920511830342</v>
      </c>
      <c r="K236" s="42">
        <f>-[3]SME!$AT$59/1000/K230</f>
        <v>0.70052558373361951</v>
      </c>
      <c r="L236" s="7"/>
      <c r="M236" s="74">
        <f>-[3]MidCorp!$AT$57/1000/M230</f>
        <v>6.2597607045541639E-2</v>
      </c>
      <c r="N236" s="42">
        <f>-[3]MidCorp!$AT$58/1000/N230</f>
        <v>5.8013760829453045E-2</v>
      </c>
      <c r="O236" s="42">
        <f>-[3]MidCorp!$AT$59/1000/O230</f>
        <v>6.7974109484874951E-2</v>
      </c>
      <c r="P236" s="7"/>
      <c r="Q236" s="97">
        <f>-[3]MGA!$AT$57/1000/Q230</f>
        <v>0</v>
      </c>
      <c r="R236" s="42">
        <f>-[3]MGA!$AT$58/1000/R230</f>
        <v>0</v>
      </c>
      <c r="S236" s="42" t="e">
        <f>-[3]MGA!$AT$59/1000/S230</f>
        <v>#DIV/0!</v>
      </c>
      <c r="T236" s="7"/>
      <c r="U236" s="97">
        <f>IFERROR(-[3]Bancassurance!$AT$57/1000/U230,0)</f>
        <v>0</v>
      </c>
      <c r="V236" s="42">
        <f>IFERROR(-[3]Bancassurance!$AT$58/1000/V230,0)</f>
        <v>0</v>
      </c>
      <c r="W236" s="42">
        <f>-[3]Bancassurance!$AT$59/1000/W230</f>
        <v>0</v>
      </c>
      <c r="X236" s="7"/>
      <c r="Y236" s="97">
        <f>IFERROR(-[3]Specials!$AT$57/1000/Y230,0)</f>
        <v>0</v>
      </c>
      <c r="Z236" s="42">
        <f>IFERROR(-[3]Specials!$AT$58/1000/Z230,0)</f>
        <v>0</v>
      </c>
      <c r="AA236" s="42">
        <f>IFERROR(-[3]Specials!$AT$59/1000/AA230,0)</f>
        <v>0</v>
      </c>
      <c r="AB236" s="7"/>
      <c r="AC236" s="84">
        <f>-'[3]Total P&amp;C'!$AT$57/1000/AC230</f>
        <v>0.44653088855087392</v>
      </c>
      <c r="AD236" s="60">
        <f>-'[3]Total P&amp;C'!$AT$58/1000/AD230</f>
        <v>0.45700491801819637</v>
      </c>
      <c r="AE236" s="60">
        <f>-'[3]Total P&amp;C'!$AT$59/1000/AE230</f>
        <v>0.32427087886462375</v>
      </c>
      <c r="AG236" s="109"/>
      <c r="AK236" s="109"/>
      <c r="AO236" s="109"/>
      <c r="AS236" s="109"/>
      <c r="AW236" s="109"/>
      <c r="BA236" s="109"/>
      <c r="BE236" s="109"/>
    </row>
    <row r="237" spans="1:57" ht="16.5" hidden="1" outlineLevel="1" x14ac:dyDescent="0.25">
      <c r="A237" s="202"/>
      <c r="B237" s="9"/>
      <c r="C237" s="37" t="s">
        <v>27</v>
      </c>
      <c r="D237" s="7"/>
      <c r="E237" s="71">
        <f>-([3]Retail!$Z$57+[3]Retail!$AA$57+[3]Retail!$BB$57+[3]Retail!$BC$57)/1000/E230</f>
        <v>-2.3267936274630956E-2</v>
      </c>
      <c r="F237" s="41">
        <f>-([3]Retail!$Z$58+[3]Retail!$AA$58+[3]Retail!$BB$58+[3]Retail!$BC$58)/1000/F230</f>
        <v>-2.529944246634724E-2</v>
      </c>
      <c r="G237" s="41">
        <f>-([3]Retail!$Z$59+[3]Retail!$AA$59+[3]Retail!$BB$59+[3]Retail!$BC$59)/1000/G230</f>
        <v>-2.0313399033802321E-2</v>
      </c>
      <c r="H237" s="7"/>
      <c r="I237" s="71">
        <f>-([3]SME!$Z$57+[3]SME!$AA$57+[3]SME!$BB$57+[3]SME!$BC$57)/1000/I230</f>
        <v>-2.4657209161366342E-3</v>
      </c>
      <c r="J237" s="41">
        <f>-([3]SME!$Z$58+[3]SME!$AA$58+[3]SME!$BB$58+[3]SME!$BC$58)/1000/J230</f>
        <v>-3.2742015353956796E-3</v>
      </c>
      <c r="K237" s="41">
        <f>-([3]SME!$Z$59+[3]SME!$AA$59+[3]SME!$BB$59+[3]SME!$BC$59)/1000/K230</f>
        <v>1.1470515091359688E-4</v>
      </c>
      <c r="L237" s="7"/>
      <c r="M237" s="71">
        <f>-([3]MidCorp!$Z$57+[3]MidCorp!$AA$57+[3]MidCorp!$BB$57+[3]MidCorp!$BC$57)/1000/M230</f>
        <v>-5.2278308563905508E-2</v>
      </c>
      <c r="N237" s="41">
        <f>-([3]MidCorp!$Z$58+[3]MidCorp!$AA$58+[3]MidCorp!$BB$58+[3]MidCorp!$BC$58)/1000/N230</f>
        <v>-8.4237424146172121E-2</v>
      </c>
      <c r="O237" s="41">
        <f>-([3]MidCorp!$Z$59+[3]MidCorp!$AA$59+[3]MidCorp!$BB$59+[3]MidCorp!$BC$59)/1000/O230</f>
        <v>-5.078130691383919E-2</v>
      </c>
      <c r="P237" s="7"/>
      <c r="Q237" s="72">
        <f>-([3]MGA!$Z$57+[3]MGA!$AA$57+[3]MGA!$BB$57+[3]MGA!$BC$57)/1000/Q230</f>
        <v>0</v>
      </c>
      <c r="R237" s="41">
        <f>-([3]MGA!$Z$58+[3]MGA!$AA$58+[3]MGA!$BB$58+[3]MGA!$BC$58)/1000/R230</f>
        <v>-5.293304657737569E-7</v>
      </c>
      <c r="S237" s="41" t="e">
        <f>-([3]MGA!$Z$59+[3]MGA!$AA$59+[3]MGA!$BB$59+[3]MGA!$BC$59)/1000/S230</f>
        <v>#DIV/0!</v>
      </c>
      <c r="T237" s="7"/>
      <c r="U237" s="41">
        <f>IFERROR(-([3]Bancassurance!$Z$57+[3]Bancassurance!$AA$57+[3]Bancassurance!$BB$57+[3]Bancassurance!$BC$57)/1000/U230,0)</f>
        <v>0</v>
      </c>
      <c r="V237" s="41">
        <f>IFERROR(-([3]Bancassurance!$Z$58+[3]Bancassurance!$AA$58+[3]Bancassurance!$BB$58+[3]Bancassurance!$BC$58)/1000/V230,0)</f>
        <v>0</v>
      </c>
      <c r="W237" s="41">
        <f>-([3]Bancassurance!$Z$59+[3]Bancassurance!$AA$59+[3]Bancassurance!$BB$59+[3]Bancassurance!$BC$59)/1000/W230</f>
        <v>-1.5387380409313126E-2</v>
      </c>
      <c r="X237" s="7"/>
      <c r="Y237" s="41">
        <f>IFERROR(-([3]Specials!$Z$57+[3]Specials!$AA$57+[3]Specials!$BB$57+[3]Specials!$BC$57)/1000/Y230,0)</f>
        <v>0</v>
      </c>
      <c r="Z237" s="41">
        <f>IFERROR(-([3]Specials!$Z$58+[3]Specials!$AA$58+[3]Specials!$BB$58+[3]Specials!$BC$58)/1000/Z230,0)</f>
        <v>0</v>
      </c>
      <c r="AA237" s="41">
        <f>IFERROR(-([3]Specials!$Z$59+[3]Specials!$AA$59+[3]Specials!$BB$59+[3]Specials!$BC$59)/1000/AA230,0)</f>
        <v>0</v>
      </c>
      <c r="AB237" s="7"/>
      <c r="AC237" s="86">
        <f>-('[3]Total P&amp;C'!$Z$57+'[3]Total P&amp;C'!$AA$57+'[3]Total P&amp;C'!$BB$57+'[3]Total P&amp;C'!$BC$57)/1000/AC230</f>
        <v>-1.5305961434222873E-2</v>
      </c>
      <c r="AD237" s="59">
        <f>-('[3]Total P&amp;C'!$Z$58+'[3]Total P&amp;C'!$AA$58+'[3]Total P&amp;C'!$BB$58+'[3]Total P&amp;C'!$BC$58)/1000/AD230</f>
        <v>-1.9781283721510376E-2</v>
      </c>
      <c r="AE237" s="59">
        <f>-('[3]Total P&amp;C'!$Z$59+'[3]Total P&amp;C'!$AA$59+'[3]Total P&amp;C'!$BB$59+'[3]Total P&amp;C'!$BC$59)/1000/AE230</f>
        <v>-1.3266435676920227E-2</v>
      </c>
      <c r="AG237" s="109"/>
      <c r="AK237" s="109"/>
      <c r="AO237" s="109"/>
      <c r="AS237" s="109"/>
      <c r="AW237" s="109"/>
      <c r="BA237" s="109"/>
      <c r="BE237" s="109"/>
    </row>
    <row r="238" spans="1:57" ht="16.5" hidden="1" outlineLevel="1" x14ac:dyDescent="0.25">
      <c r="A238" s="202"/>
      <c r="B238" s="9"/>
      <c r="C238" s="37" t="s">
        <v>57</v>
      </c>
      <c r="D238" s="7"/>
      <c r="E238" s="71">
        <f>-SUM([3]Retail!$AC$57:$AI$57,[3]Retail!$BE$57:$BG$57)/1000/E230</f>
        <v>-0.21764641895708542</v>
      </c>
      <c r="F238" s="41">
        <f>-SUM([3]Retail!$AC$58:$AI$58,[3]Retail!$BE$58:$BG$58)/1000/F230</f>
        <v>-0.31834502851393209</v>
      </c>
      <c r="G238" s="41">
        <f>-SUM([3]Retail!$AC$59:$AI$59,[3]Retail!$BE$59:$BG$59)/1000/G230</f>
        <v>-5.8856909133332639E-3</v>
      </c>
      <c r="H238" s="7"/>
      <c r="I238" s="71">
        <f>-SUM([3]SME!$AC$57:$AI$57,[3]SME!$BE$57:$BG$57)/1000/I230</f>
        <v>-1.9007264700013158E-2</v>
      </c>
      <c r="J238" s="41">
        <f>-SUM([3]SME!$AC$58:$AI$58,[3]SME!$BE$58:$BG$58)/1000/J230</f>
        <v>-6.7012876539047223E-2</v>
      </c>
      <c r="K238" s="41">
        <f>-SUM([3]SME!$AC$59:$AI$59,[3]SME!$BE$59:$BG$59)/1000/K230</f>
        <v>6.8630885208350028E-4</v>
      </c>
      <c r="L238" s="7"/>
      <c r="M238" s="71">
        <f>-SUM([3]MidCorp!$AC$57:$AI$57,[3]MidCorp!$BE$57:$BG$57)/1000/M230</f>
        <v>-0.88137957790421739</v>
      </c>
      <c r="N238" s="41">
        <f>-SUM([3]MidCorp!$AC$58:$AI$58,[3]MidCorp!$BE$58:$BG$58)/1000/N230</f>
        <v>-0.47236653837373466</v>
      </c>
      <c r="O238" s="41">
        <f>-SUM([3]MidCorp!$AC$59:$AI$59,[3]MidCorp!$BE$59:$BG$59)/1000/O230</f>
        <v>-1.414261993009115E-2</v>
      </c>
      <c r="P238" s="7"/>
      <c r="Q238" s="71">
        <f>-SUM([3]MGA!$AC$57:$AI$57,[3]MGA!$BE$57:$BG$57)/1000/Q230</f>
        <v>-0.15659045017047724</v>
      </c>
      <c r="R238" s="41">
        <f>-SUM([3]MGA!$AC$58:$AI$58,[3]MGA!$BE$58:$BG$58)/1000/R230</f>
        <v>-3.9314079466971304E-2</v>
      </c>
      <c r="S238" s="41" t="e">
        <f>-SUM([3]MGA!$AC$59:$AI$59,[3]MGA!$BE$59:$BG$59)/1000/S230</f>
        <v>#DIV/0!</v>
      </c>
      <c r="T238" s="7"/>
      <c r="U238" s="72">
        <f>IFERROR(-SUM([3]Bancassurance!$AC$57:$AI$57,[3]Bancassurance!$BE$57:$BG$57)/1000/U230,0)</f>
        <v>0</v>
      </c>
      <c r="V238" s="41">
        <f>IFERROR(-SUM([3]Bancassurance!$AC$58:$AI$58,[3]Bancassurance!$BE$58:$BG$58)/1000/V230,0)</f>
        <v>0</v>
      </c>
      <c r="W238" s="41">
        <f>-SUM([3]Bancassurance!$AC$59:$AI$59,[3]Bancassurance!$BE$59:$BG$59)/1000/W230</f>
        <v>-8.1830144923878776E-3</v>
      </c>
      <c r="X238" s="7"/>
      <c r="Y238" s="96">
        <f>IFERROR(-SUM([3]Specials!$AC$57:$AI$57,[3]Specials!$BE$57:$BG$57)/1000/Y230,0)</f>
        <v>0</v>
      </c>
      <c r="Z238" s="41">
        <f>IFERROR(-SUM([3]Specials!$AC$58:$AI$58,[3]Specials!$BE$58:$BG$58)/1000/Z230,0)</f>
        <v>0</v>
      </c>
      <c r="AA238" s="41">
        <f>IFERROR(-SUM([3]Specials!$AC$59:$AI$59,[3]Specials!$BE$59:$BG$59)/1000/AA230,0)</f>
        <v>0</v>
      </c>
      <c r="AB238" s="7"/>
      <c r="AC238" s="86">
        <f>-SUM('[3]Total P&amp;C'!$AC$57:$AI$57,'[3]Total P&amp;C'!$BE$57:$BG$57)/1000/AC230</f>
        <v>-0.18108589529060182</v>
      </c>
      <c r="AD238" s="59">
        <f>-SUM('[3]Total P&amp;C'!$AC$58:$AI$58,'[3]Total P&amp;C'!$BE$58:$BG$58)/1000/AD230</f>
        <v>-0.20691745729395511</v>
      </c>
      <c r="AE238" s="59">
        <f>-SUM('[3]Total P&amp;C'!$AC$59:$AI$59,'[3]Total P&amp;C'!$BE$59:$BG$59)/1000/AE230</f>
        <v>-3.8425110945635751E-3</v>
      </c>
      <c r="AG238" s="109"/>
      <c r="AK238" s="109"/>
      <c r="AO238" s="109"/>
      <c r="AS238" s="109"/>
      <c r="AW238" s="109"/>
      <c r="BA238" s="109"/>
      <c r="BE238" s="109"/>
    </row>
    <row r="239" spans="1:57" ht="16.5" hidden="1" outlineLevel="1" x14ac:dyDescent="0.25">
      <c r="A239" s="202"/>
      <c r="B239" s="9"/>
      <c r="C239" s="37" t="s">
        <v>29</v>
      </c>
      <c r="D239" s="7"/>
      <c r="E239" s="72">
        <f>-SUM([3]Retail!$AJ$57:$AK$57,[3]Retail!$BH$57:$BI$57)/1000/E230</f>
        <v>6.5574789531210362E-2</v>
      </c>
      <c r="F239" s="41">
        <f>-SUM([3]Retail!$AJ$58:$AK$58,[3]Retail!$BH$58:$BI$58)/1000/F230</f>
        <v>-1.6650055943429342E-2</v>
      </c>
      <c r="G239" s="41">
        <f>-SUM([3]Retail!$AJ$59:$AK$59,[3]Retail!$BH$59:$BI$59)/1000/G230</f>
        <v>0</v>
      </c>
      <c r="H239" s="7"/>
      <c r="I239" s="72">
        <f>-SUM([3]SME!$AJ$57:$AK$57,[3]SME!$BH$57:$BI$57)/1000/I230</f>
        <v>1.0801527900580867E-2</v>
      </c>
      <c r="J239" s="41">
        <f>-SUM([3]SME!$AJ$58:$AK$58,[3]SME!$BH$58:$BI$58)/1000/J230</f>
        <v>-1.5080727330110282E-3</v>
      </c>
      <c r="K239" s="41">
        <f>-SUM([3]SME!$AJ$59:$AK$59,[3]SME!$BH$59:$BI$59)/1000/K230</f>
        <v>0</v>
      </c>
      <c r="L239" s="7"/>
      <c r="M239" s="72">
        <f>-SUM([3]MidCorp!$AJ$57:$AK$57,[3]MidCorp!$BH$57:$BI$57)/1000/M230</f>
        <v>0.18670745486495743</v>
      </c>
      <c r="N239" s="41">
        <f>-SUM([3]MidCorp!$AJ$58:$AK$58,[3]MidCorp!$BH$58:$BI$58)/1000/N230</f>
        <v>-6.3684832082327681E-3</v>
      </c>
      <c r="O239" s="41">
        <f>-SUM([3]MidCorp!$AJ$59:$AK$59,[3]MidCorp!$BH$59:$BI$59)/1000/O230</f>
        <v>0</v>
      </c>
      <c r="P239" s="7"/>
      <c r="Q239" s="71">
        <f>-SUM([3]MGA!$AJ$57:$AK$57,[3]MGA!$BH$57:$BI$57)/1000/Q230</f>
        <v>5.513459164548022E-3</v>
      </c>
      <c r="R239" s="41">
        <f>-SUM([3]MGA!$AJ$58:$AK$58,[3]MGA!$BH$58:$BI$58)/1000/R230</f>
        <v>-8.1181649100835185E-4</v>
      </c>
      <c r="S239" s="41" t="e">
        <f>-SUM([3]MGA!$AJ$59:$AK$59,[3]MGA!$BH$59:$BI$59)/1000/S230</f>
        <v>#DIV/0!</v>
      </c>
      <c r="T239" s="7"/>
      <c r="U239" s="96">
        <f>IFERROR(-SUM([3]Bancassurance!$AJ$57:$AK$57,[3]Bancassurance!$BH$57:$BI$57)/1000/U230,0)</f>
        <v>0</v>
      </c>
      <c r="V239" s="41">
        <f>IFERROR(-SUM([3]Bancassurance!$AJ$58:$AK$58,[3]Bancassurance!$BH$58:$BI$58)/1000/V230,0)</f>
        <v>0</v>
      </c>
      <c r="W239" s="41">
        <f>-SUM([3]Bancassurance!$AJ$59:$AK$59,[3]Bancassurance!$BH$59:$BI$59)/1000/W230</f>
        <v>0</v>
      </c>
      <c r="X239" s="7"/>
      <c r="Y239" s="96">
        <f>IFERROR(-SUM([3]Specials!$AJ$57:$AK$57,[3]Specials!$BH$57:$BI$57)/1000/Y230,0)</f>
        <v>0</v>
      </c>
      <c r="Z239" s="41">
        <f>IFERROR(-SUM([3]Specials!$AJ$58:$AK$58,[3]Specials!$BH$58:$BI$58)/1000/Z230,0)</f>
        <v>0</v>
      </c>
      <c r="AA239" s="41">
        <f>IFERROR(-SUM([3]Specials!$AJ$59:$AK$59,[3]Specials!$BH$59:$BI$59)/1000/AA230,0)</f>
        <v>0</v>
      </c>
      <c r="AB239" s="7"/>
      <c r="AC239" s="83">
        <f>-SUM('[3]Total P&amp;C'!$AJ$57:$AK$57,'[3]Total P&amp;C'!$BH$57:$BI$57)/1000/AC230</f>
        <v>4.8613496759470957E-2</v>
      </c>
      <c r="AD239" s="59">
        <f>-SUM('[3]Total P&amp;C'!$AJ$58:$AK$58,'[3]Total P&amp;C'!$BH$58:$BI$58)/1000/AD230</f>
        <v>-8.1954338341443649E-3</v>
      </c>
      <c r="AE239" s="59">
        <f>-SUM('[3]Total P&amp;C'!$AJ$59:$AK$59,'[3]Total P&amp;C'!$BH$59:$BI$59)/1000/AE230</f>
        <v>0</v>
      </c>
      <c r="AG239" s="109"/>
      <c r="AK239" s="109"/>
      <c r="AO239" s="109"/>
      <c r="AS239" s="109"/>
      <c r="AW239" s="109"/>
      <c r="BA239" s="109"/>
      <c r="BE239" s="109"/>
    </row>
    <row r="240" spans="1:57" ht="16.5" hidden="1" outlineLevel="1" x14ac:dyDescent="0.25">
      <c r="A240" s="202"/>
      <c r="B240" s="9"/>
      <c r="C240" s="37" t="s">
        <v>58</v>
      </c>
      <c r="D240" s="7"/>
      <c r="E240" s="71">
        <f>+E241+E242+E243</f>
        <v>0.29620966969255025</v>
      </c>
      <c r="F240" s="41">
        <f>+F241+F242+F243</f>
        <v>0.31939146088149983</v>
      </c>
      <c r="G240" s="41">
        <f>+G241+G242+G243</f>
        <v>0.30214328892266273</v>
      </c>
      <c r="H240" s="7"/>
      <c r="I240" s="71">
        <f>+I241+I242+I243</f>
        <v>0.27359303249070649</v>
      </c>
      <c r="J240" s="41">
        <f>+J241+J242+J243</f>
        <v>0.25787407897050407</v>
      </c>
      <c r="K240" s="41">
        <f>+K241+K242+K243</f>
        <v>0.29555489064111018</v>
      </c>
      <c r="L240" s="7"/>
      <c r="M240" s="71">
        <f>+M241+M242+M243</f>
        <v>0.22041444906780394</v>
      </c>
      <c r="N240" s="41">
        <f>+N241+N242+N243</f>
        <v>0.16860010959790073</v>
      </c>
      <c r="O240" s="41">
        <f>+O241+O242+O243</f>
        <v>0.24998711766998508</v>
      </c>
      <c r="P240" s="7"/>
      <c r="Q240" s="72">
        <f>+Q241+Q242+Q243</f>
        <v>0.28650720052892265</v>
      </c>
      <c r="R240" s="41">
        <f>+R241+R242+R243</f>
        <v>0.34386012830617613</v>
      </c>
      <c r="S240" s="41" t="e">
        <f>+S241+S242+S243</f>
        <v>#DIV/0!</v>
      </c>
      <c r="T240" s="7"/>
      <c r="U240" s="71">
        <f>+U241+U242+U243</f>
        <v>0</v>
      </c>
      <c r="V240" s="41">
        <f>+V241+V242+V243</f>
        <v>0</v>
      </c>
      <c r="W240" s="41">
        <f>+W241+W242+W243</f>
        <v>0.18648986335152282</v>
      </c>
      <c r="X240" s="7"/>
      <c r="Y240" s="96">
        <f>+Y241+Y242+Y243</f>
        <v>0</v>
      </c>
      <c r="Z240" s="41">
        <f>+Z241+Z242+Z243</f>
        <v>0</v>
      </c>
      <c r="AA240" s="41">
        <f>+AA241+AA242+AA243</f>
        <v>0</v>
      </c>
      <c r="AB240" s="7"/>
      <c r="AC240" s="100">
        <f>+AC241+AC242+AC243</f>
        <v>0.28869142366199951</v>
      </c>
      <c r="AD240" s="59">
        <f>+AD241+AD242+AD243</f>
        <v>0.2992377941634069</v>
      </c>
      <c r="AE240" s="59">
        <f>+AE241+AE242+AE243</f>
        <v>0.28457711402832708</v>
      </c>
      <c r="AG240" s="109"/>
      <c r="AK240" s="109"/>
      <c r="AO240" s="109"/>
      <c r="AS240" s="109"/>
      <c r="AW240" s="109"/>
      <c r="BA240" s="109"/>
      <c r="BE240" s="109"/>
    </row>
    <row r="241" spans="1:57" ht="16.5" hidden="1" outlineLevel="1" x14ac:dyDescent="0.25">
      <c r="A241" s="202"/>
      <c r="B241" s="9"/>
      <c r="C241" s="39" t="s">
        <v>59</v>
      </c>
      <c r="D241" s="8"/>
      <c r="E241" s="97">
        <f>-SUM([3]Retail!$AL$57:$AN$57,[3]Retail!$BJ$57)/1000/E230</f>
        <v>0.17952050332280692</v>
      </c>
      <c r="F241" s="42">
        <f>-SUM([3]Retail!$AL$58:$AN$58,[3]Retail!$BJ$58)/1000/F230</f>
        <v>0.18060293387361995</v>
      </c>
      <c r="G241" s="42">
        <f>-SUM([3]Retail!$AL$59:$AN$59,[3]Retail!$BJ$59)/1000/G230</f>
        <v>0.17877729792260658</v>
      </c>
      <c r="H241" s="8"/>
      <c r="I241" s="74">
        <f>-SUM([3]SME!$AL$57:$AN$57,[3]SME!$BJ$57)/1000/I230</f>
        <v>0.18441859202950844</v>
      </c>
      <c r="J241" s="42">
        <f>-SUM([3]SME!$AL$58:$AN$58,[3]SME!$BJ$58)/1000/J230</f>
        <v>0.18422752127698125</v>
      </c>
      <c r="K241" s="42">
        <f>-SUM([3]SME!$AL$59:$AN$59,[3]SME!$BJ$59)/1000/K230</f>
        <v>0.18499617949330041</v>
      </c>
      <c r="L241" s="8"/>
      <c r="M241" s="74">
        <f>-SUM([3]MidCorp!$AL$57:$AN$57,[3]MidCorp!$BJ$57)/1000/M230</f>
        <v>0.10447562106791898</v>
      </c>
      <c r="N241" s="42">
        <f>-SUM([3]MidCorp!$AL$58:$AN$58,[3]MidCorp!$BJ$58)/1000/N230</f>
        <v>0.11347907189962203</v>
      </c>
      <c r="O241" s="42">
        <f>-SUM([3]MidCorp!$AL$59:$AN$59,[3]MidCorp!$BJ$59)/1000/O230</f>
        <v>0.12372120192649971</v>
      </c>
      <c r="P241" s="8"/>
      <c r="Q241" s="97">
        <f>-SUM([3]MGA!$AL$57:$AN$57,[3]MGA!$BJ$57)/1000/Q230</f>
        <v>0.27112159640427025</v>
      </c>
      <c r="R241" s="42">
        <f>-SUM([3]MGA!$AL$58:$AN$58,[3]MGA!$BJ$58)/1000/R230</f>
        <v>0.27428334389347619</v>
      </c>
      <c r="S241" s="42" t="e">
        <f>-SUM([3]MGA!$AL$59:$AN$59,[3]MGA!$BJ$59)/1000/S230</f>
        <v>#DIV/0!</v>
      </c>
      <c r="T241" s="8"/>
      <c r="U241" s="74">
        <f>IFERROR(-SUM([3]Bancassurance!$AL$57:$AN$57,[3]Bancassurance!$BJ$57)/1000/U230,0)</f>
        <v>0</v>
      </c>
      <c r="V241" s="42">
        <f>IFERROR(-SUM([3]Bancassurance!$AL$58:$AN$58,[3]Bancassurance!$BJ$58)/1000/V230,0)</f>
        <v>0</v>
      </c>
      <c r="W241" s="42">
        <f>-SUM([3]Bancassurance!$AL$59:$AN$59,[3]Bancassurance!$BJ$59)/1000/W230</f>
        <v>0.15</v>
      </c>
      <c r="X241" s="8"/>
      <c r="Y241" s="97">
        <f>IFERROR(-SUM([3]Specials!$AL$57:$AN$57,[3]Specials!$BJ$57)/1000/Y230,0)</f>
        <v>0</v>
      </c>
      <c r="Z241" s="42">
        <f>IFERROR(-SUM([3]Specials!$AL$58:$AN$58,[3]Specials!$BJ$58)/1000/Z230,0)</f>
        <v>0</v>
      </c>
      <c r="AA241" s="42">
        <f>IFERROR(-SUM([3]Specials!$AL$59:$AN$59,[3]Specials!$BJ$59)/1000/AA230,0)</f>
        <v>0</v>
      </c>
      <c r="AB241" s="8"/>
      <c r="AC241" s="99">
        <f>-SUM('[3]Total P&amp;C'!$AL$57:$AN$57,'[3]Total P&amp;C'!$BJ$57)/1000/AC230</f>
        <v>0.178188177559263</v>
      </c>
      <c r="AD241" s="60">
        <f>-SUM('[3]Total P&amp;C'!$AL$58:$AN$58,'[3]Total P&amp;C'!$BJ$58)/1000/AD230</f>
        <v>0.17835529911049405</v>
      </c>
      <c r="AE241" s="60">
        <f>-SUM('[3]Total P&amp;C'!$AL$59:$AN$59,'[3]Total P&amp;C'!$BJ$59)/1000/AE230</f>
        <v>0.17406776074236868</v>
      </c>
      <c r="AG241" s="109"/>
      <c r="AK241" s="109"/>
      <c r="AO241" s="109"/>
      <c r="AS241" s="109"/>
      <c r="AW241" s="109"/>
      <c r="BA241" s="109"/>
      <c r="BE241" s="109"/>
    </row>
    <row r="242" spans="1:57" ht="16.5" hidden="1" outlineLevel="1" x14ac:dyDescent="0.25">
      <c r="A242" s="202"/>
      <c r="B242" s="9"/>
      <c r="C242" s="39" t="s">
        <v>60</v>
      </c>
      <c r="D242" s="8"/>
      <c r="E242" s="97">
        <f>-SUM([3]Retail!$AO$57:$AP$57)/1000/E230</f>
        <v>5.0328430427443616E-2</v>
      </c>
      <c r="F242" s="42">
        <f>-SUM([3]Retail!$AO$58:$AP$58)/1000/F230</f>
        <v>4.556565272140705E-2</v>
      </c>
      <c r="G242" s="42">
        <f>-SUM([3]Retail!$AO$59:$AP$59)/1000/G230</f>
        <v>4.691767888213802E-2</v>
      </c>
      <c r="H242" s="8"/>
      <c r="I242" s="74">
        <f>-SUM([3]SME!$AO$57:$AP$57)/1000/I230</f>
        <v>3.1860494388309353E-2</v>
      </c>
      <c r="J242" s="42">
        <f>-SUM([3]SME!$AO$58:$AP$58)/1000/J230</f>
        <v>2.0349507556548619E-2</v>
      </c>
      <c r="K242" s="42">
        <f>-SUM([3]SME!$AO$59:$AP$59)/1000/K230</f>
        <v>3.5555553878253952E-2</v>
      </c>
      <c r="L242" s="8"/>
      <c r="M242" s="97">
        <f>-SUM([3]MidCorp!$AO$57:$AP$57)/1000/M230</f>
        <v>2.7869509483761414E-2</v>
      </c>
      <c r="N242" s="42">
        <f>-SUM([3]MidCorp!$AO$58:$AP$58)/1000/N230</f>
        <v>1.3171407717511173E-2</v>
      </c>
      <c r="O242" s="42">
        <f>-SUM([3]MidCorp!$AO$59:$AP$59)/1000/O230</f>
        <v>2.5951494817697929E-2</v>
      </c>
      <c r="P242" s="8"/>
      <c r="Q242" s="73">
        <f>-SUM([3]MGA!$AO$57:$AP$57)/1000/Q230</f>
        <v>1.0807175296316361E-2</v>
      </c>
      <c r="R242" s="42">
        <f>-SUM([3]MGA!$AO$58:$AP$58)/1000/R230</f>
        <v>1.0486918744421083E-2</v>
      </c>
      <c r="S242" s="42" t="e">
        <f>-SUM([3]MGA!$AO$59:$AP$59)/1000/S230</f>
        <v>#DIV/0!</v>
      </c>
      <c r="T242" s="8"/>
      <c r="U242" s="74">
        <f>IFERROR(-SUM([3]Bancassurance!$AO$57:$AP$57)/1000/U230,0)</f>
        <v>0</v>
      </c>
      <c r="V242" s="42">
        <f>IFERROR(-SUM([3]Bancassurance!$AO$58:$AP$58)/1000/V230,0)</f>
        <v>0</v>
      </c>
      <c r="W242" s="42">
        <f>-SUM([3]Bancassurance!$AO$59:$AP$59)/1000/W230</f>
        <v>3.02731904088684E-3</v>
      </c>
      <c r="X242" s="8"/>
      <c r="Y242" s="97">
        <f>IFERROR(-SUM([3]Specials!$AO$57:$AP$57)/1000/Y230,0)</f>
        <v>0</v>
      </c>
      <c r="Z242" s="42">
        <f>IFERROR(-SUM([3]Specials!$AO$58:$AP$58)/1000/Z230,0)</f>
        <v>0</v>
      </c>
      <c r="AA242" s="42">
        <f>IFERROR(-SUM([3]Specials!$AO$59:$AP$59)/1000/AA230,0)</f>
        <v>0</v>
      </c>
      <c r="AB242" s="8"/>
      <c r="AC242" s="99">
        <f>-SUM('[3]Total P&amp;C'!$AO$57:$AP$57)/1000/AC230</f>
        <v>3.9862845915376151E-2</v>
      </c>
      <c r="AD242" s="60">
        <f>-SUM('[3]Total P&amp;C'!$AO$58:$AP$58)/1000/AD230</f>
        <v>3.2588913694451056E-2</v>
      </c>
      <c r="AE242" s="60">
        <f>-SUM('[3]Total P&amp;C'!$AO$59:$AP$59)/1000/AE230</f>
        <v>3.618999533425294E-2</v>
      </c>
      <c r="AG242" s="109"/>
      <c r="AK242" s="109"/>
      <c r="AO242" s="109"/>
      <c r="AS242" s="109"/>
      <c r="AW242" s="109"/>
      <c r="BA242" s="109"/>
      <c r="BE242" s="109"/>
    </row>
    <row r="243" spans="1:57" ht="16.5" hidden="1" outlineLevel="1" x14ac:dyDescent="0.25">
      <c r="A243" s="202"/>
      <c r="B243" s="9"/>
      <c r="C243" s="39" t="s">
        <v>61</v>
      </c>
      <c r="D243" s="8"/>
      <c r="E243" s="74">
        <f>-SUM([3]Retail!$AQ$57:$AR$57)/1000/E230</f>
        <v>6.6360735942299728E-2</v>
      </c>
      <c r="F243" s="42">
        <f>-SUM([3]Retail!$AQ$58:$AR$58)/1000/F230</f>
        <v>9.3222874286472857E-2</v>
      </c>
      <c r="G243" s="42">
        <f>-SUM([3]Retail!$AQ$59:$AR$59)/1000/G230</f>
        <v>7.6448312117918138E-2</v>
      </c>
      <c r="H243" s="8"/>
      <c r="I243" s="74">
        <f>-SUM([3]SME!$AQ$57:$AR$57)/1000/I230</f>
        <v>5.7313946072888693E-2</v>
      </c>
      <c r="J243" s="42">
        <f>-SUM([3]SME!$AQ$58:$AR$58)/1000/J230</f>
        <v>5.3297050136974194E-2</v>
      </c>
      <c r="K243" s="42">
        <f>-SUM([3]SME!$AQ$59:$AR$59)/1000/K230</f>
        <v>7.5003157269555823E-2</v>
      </c>
      <c r="L243" s="8"/>
      <c r="M243" s="74">
        <f>-SUM([3]MidCorp!$AQ$57:$AR$57)/1000/M230</f>
        <v>8.806931851612354E-2</v>
      </c>
      <c r="N243" s="42">
        <f>-SUM([3]MidCorp!$AQ$58:$AR$58)/1000/N230</f>
        <v>4.1949629980767525E-2</v>
      </c>
      <c r="O243" s="42">
        <f>-SUM([3]MidCorp!$AQ$59:$AR$59)/1000/O230</f>
        <v>0.10031442092578743</v>
      </c>
      <c r="P243" s="8"/>
      <c r="Q243" s="97">
        <f>-SUM([3]MGA!$AQ$57:$AR$57)/1000/Q230</f>
        <v>4.5784288283360498E-3</v>
      </c>
      <c r="R243" s="42">
        <f>-SUM([3]MGA!$AQ$58:$AR$58)/1000/R230</f>
        <v>5.9089865668278861E-2</v>
      </c>
      <c r="S243" s="42" t="e">
        <f>-SUM([3]MGA!$AQ$59:$AR$59)/1000/S230</f>
        <v>#DIV/0!</v>
      </c>
      <c r="T243" s="8"/>
      <c r="U243" s="74">
        <f>IFERROR(-SUM([3]Bancassurance!$AQ$57:$AR$57)/1000/U230,0)</f>
        <v>0</v>
      </c>
      <c r="V243" s="42">
        <f>IFERROR(-SUM([3]Bancassurance!$AQ$58:$AR$58)/1000/V230,0)</f>
        <v>0</v>
      </c>
      <c r="W243" s="42">
        <f>-SUM([3]Bancassurance!$AQ$59:$AR$59)/1000/W230</f>
        <v>3.3462544310635979E-2</v>
      </c>
      <c r="X243" s="8"/>
      <c r="Y243" s="97">
        <f>IFERROR(-SUM([3]Specials!$AQ$57:$AR$57)/1000/Y230,0)</f>
        <v>0</v>
      </c>
      <c r="Z243" s="42">
        <f>IFERROR(-SUM([3]Specials!$AQ$58:$AR$58)/1000/Z230,0)</f>
        <v>0</v>
      </c>
      <c r="AA243" s="42">
        <f>IFERROR(-SUM([3]Specials!$AQ$59:$AR$59)/1000/AA230,0)</f>
        <v>0</v>
      </c>
      <c r="AB243" s="8"/>
      <c r="AC243" s="85">
        <f>-SUM('[3]Total P&amp;C'!$AQ$57:$AR$57)/1000/AC230</f>
        <v>7.0640400187360342E-2</v>
      </c>
      <c r="AD243" s="60">
        <f>-SUM('[3]Total P&amp;C'!$AQ$58:$AR$58)/1000/AD230</f>
        <v>8.829358135846177E-2</v>
      </c>
      <c r="AE243" s="60">
        <f>-SUM('[3]Total P&amp;C'!$AQ$59:$AR$59)/1000/AE230</f>
        <v>7.4319357951705495E-2</v>
      </c>
      <c r="AG243" s="109"/>
      <c r="AK243" s="109"/>
      <c r="AO243" s="109"/>
      <c r="AS243" s="109"/>
      <c r="AW243" s="109"/>
      <c r="BA243" s="109"/>
      <c r="BE243" s="109"/>
    </row>
    <row r="244" spans="1:57" ht="16.5" hidden="1" outlineLevel="1" x14ac:dyDescent="0.25">
      <c r="A244" s="202"/>
      <c r="B244" s="9"/>
      <c r="C244" s="37" t="s">
        <v>34</v>
      </c>
      <c r="D244" s="6"/>
      <c r="E244" s="75">
        <f>+[3]Retail!$BK$57/1000</f>
        <v>0.22907986999999935</v>
      </c>
      <c r="F244" s="40">
        <f>+[3]Retail!$BK$58/1000</f>
        <v>0.3740754700000003</v>
      </c>
      <c r="G244" s="40">
        <f>+[3]Retail!$BK$59/1000</f>
        <v>0.16703312572524756</v>
      </c>
      <c r="H244" s="6"/>
      <c r="I244" s="70">
        <f>+[3]SME!$BK$57/1000</f>
        <v>-0.21154941999999996</v>
      </c>
      <c r="J244" s="40">
        <f>+[3]SME!$BK$58/1000</f>
        <v>-0.13321726000000009</v>
      </c>
      <c r="K244" s="40">
        <f>+[3]SME!$BK$59/1000</f>
        <v>0.12715688315872739</v>
      </c>
      <c r="L244" s="6"/>
      <c r="M244" s="75">
        <f>+[3]MidCorp!$BK$57/1000</f>
        <v>7.4562270000000097E-2</v>
      </c>
      <c r="N244" s="40">
        <f>+[3]MidCorp!$BK$58/1000</f>
        <v>-1.463674999999985E-2</v>
      </c>
      <c r="O244" s="40">
        <f>+[3]MidCorp!$BK$59/1000</f>
        <v>-8.1944483310162131E-2</v>
      </c>
      <c r="P244" s="6"/>
      <c r="Q244" s="75">
        <f>+[3]MGA!$BK$57/1000</f>
        <v>6.7299690000000009E-2</v>
      </c>
      <c r="R244" s="40">
        <f>+[3]MGA!$BK$58/1000</f>
        <v>3.9442749999999971E-2</v>
      </c>
      <c r="S244" s="40">
        <f>+[3]MGA!$BK$59/1000</f>
        <v>-1.9087476551173691E-3</v>
      </c>
      <c r="T244" s="6"/>
      <c r="U244" s="70">
        <f>+[3]Bancassurance!$BK$57/1000</f>
        <v>-3.4141599999999994E-2</v>
      </c>
      <c r="V244" s="40">
        <f>+[3]Bancassurance!$BK$58/1000</f>
        <v>-7.700665000000001E-2</v>
      </c>
      <c r="W244" s="40">
        <f>+[3]Bancassurance!$BK$59/1000</f>
        <v>4.1937321985215069E-2</v>
      </c>
      <c r="X244" s="6"/>
      <c r="Y244" s="70">
        <f>+[3]Specials!$BK$57/1000</f>
        <v>0</v>
      </c>
      <c r="Z244" s="40">
        <f>+[3]Specials!$BK$58/1000</f>
        <v>0</v>
      </c>
      <c r="AA244" s="40">
        <f>+[3]Specials!$BK$59/1000</f>
        <v>0</v>
      </c>
      <c r="AB244" s="6"/>
      <c r="AC244" s="82">
        <f>+'[3]Total P&amp;C'!$BK$57/1000</f>
        <v>0.12525080999999944</v>
      </c>
      <c r="AD244" s="58">
        <f>+'[3]Total P&amp;C'!$BK$58/1000</f>
        <v>0.18865755999999997</v>
      </c>
      <c r="AE244" s="58">
        <f>+'[3]Total P&amp;C'!$BK$59/1000</f>
        <v>0.25227409990391031</v>
      </c>
      <c r="AG244" s="108"/>
      <c r="AK244" s="108"/>
      <c r="AO244" s="108"/>
      <c r="AS244" s="108"/>
      <c r="AW244" s="108"/>
      <c r="BA244" s="108"/>
      <c r="BE244" s="108"/>
    </row>
    <row r="245" spans="1:57" hidden="1" outlineLevel="1" x14ac:dyDescent="0.25"/>
    <row r="246" spans="1:57" ht="16.5" collapsed="1" x14ac:dyDescent="0.25">
      <c r="A246" s="219" t="s">
        <v>46</v>
      </c>
      <c r="B246" s="9"/>
      <c r="C246" s="49" t="s">
        <v>19</v>
      </c>
      <c r="D246" s="6"/>
      <c r="E246" s="79">
        <v>12</v>
      </c>
      <c r="F246" s="79">
        <v>12</v>
      </c>
      <c r="G246" s="79">
        <v>12</v>
      </c>
      <c r="H246" s="6"/>
      <c r="I246" s="79">
        <v>10</v>
      </c>
      <c r="J246" s="79">
        <v>10</v>
      </c>
      <c r="K246" s="79">
        <v>10</v>
      </c>
      <c r="L246" s="6"/>
      <c r="M246" s="76">
        <v>345</v>
      </c>
      <c r="N246" s="76">
        <v>345</v>
      </c>
      <c r="O246" s="76">
        <v>345</v>
      </c>
      <c r="P246" s="6"/>
      <c r="Q246" s="79"/>
      <c r="R246" s="56"/>
      <c r="S246" s="56"/>
      <c r="T246" s="6"/>
      <c r="U246" s="79"/>
      <c r="V246" s="56"/>
      <c r="W246" s="56"/>
      <c r="X246" s="6"/>
      <c r="Y246" s="79"/>
      <c r="Z246" s="56"/>
      <c r="AA246" s="56"/>
      <c r="AB246" s="6"/>
      <c r="AC246" s="88">
        <v>12</v>
      </c>
      <c r="AD246" s="88">
        <v>12</v>
      </c>
      <c r="AE246" s="88">
        <v>12</v>
      </c>
      <c r="AG246" s="108"/>
      <c r="AK246" s="108"/>
      <c r="AO246" s="108"/>
      <c r="AS246" s="108"/>
      <c r="AW246" s="108"/>
      <c r="BA246" s="108"/>
      <c r="BE246" s="108"/>
    </row>
    <row r="247" spans="1:57" ht="16.5" x14ac:dyDescent="0.25">
      <c r="A247" s="219"/>
      <c r="B247" s="9"/>
      <c r="C247" s="49" t="s">
        <v>55</v>
      </c>
      <c r="D247" s="6"/>
      <c r="E247" s="79">
        <v>12</v>
      </c>
      <c r="F247" s="79">
        <v>12</v>
      </c>
      <c r="G247" s="79">
        <v>12</v>
      </c>
      <c r="H247" s="6"/>
      <c r="I247" s="79">
        <v>10</v>
      </c>
      <c r="J247" s="79">
        <v>10</v>
      </c>
      <c r="K247" s="79">
        <v>10</v>
      </c>
      <c r="L247" s="6"/>
      <c r="M247" s="76">
        <v>345</v>
      </c>
      <c r="N247" s="76">
        <v>345</v>
      </c>
      <c r="O247" s="76">
        <v>345</v>
      </c>
      <c r="P247" s="6"/>
      <c r="Q247" s="79"/>
      <c r="R247" s="56"/>
      <c r="S247" s="56"/>
      <c r="T247" s="6"/>
      <c r="U247" s="79"/>
      <c r="V247" s="56"/>
      <c r="W247" s="56"/>
      <c r="X247" s="6"/>
      <c r="Y247" s="79"/>
      <c r="Z247" s="56"/>
      <c r="AA247" s="56"/>
      <c r="AB247" s="6"/>
      <c r="AC247" s="88">
        <v>12</v>
      </c>
      <c r="AD247" s="88">
        <v>12</v>
      </c>
      <c r="AE247" s="88">
        <v>12</v>
      </c>
      <c r="AG247" s="108"/>
      <c r="AK247" s="108"/>
      <c r="AO247" s="108"/>
      <c r="AS247" s="108"/>
      <c r="AW247" s="108"/>
      <c r="BA247" s="108"/>
      <c r="BE247" s="108"/>
    </row>
    <row r="248" spans="1:57" ht="16.5" x14ac:dyDescent="0.25">
      <c r="A248" s="219"/>
      <c r="B248" s="9"/>
      <c r="C248" s="49" t="s">
        <v>21</v>
      </c>
      <c r="D248" s="6"/>
      <c r="E248" s="79">
        <v>12</v>
      </c>
      <c r="F248" s="79">
        <v>12</v>
      </c>
      <c r="G248" s="79">
        <v>12</v>
      </c>
      <c r="H248" s="6"/>
      <c r="I248" s="79">
        <v>10</v>
      </c>
      <c r="J248" s="79">
        <v>10</v>
      </c>
      <c r="K248" s="79">
        <v>10</v>
      </c>
      <c r="L248" s="6"/>
      <c r="M248" s="76">
        <v>345</v>
      </c>
      <c r="N248" s="76">
        <v>345</v>
      </c>
      <c r="O248" s="76">
        <v>345</v>
      </c>
      <c r="P248" s="6"/>
      <c r="Q248" s="102"/>
      <c r="R248" s="57"/>
      <c r="S248" s="57"/>
      <c r="T248" s="6"/>
      <c r="U248" s="102"/>
      <c r="V248" s="57"/>
      <c r="W248" s="57"/>
      <c r="X248" s="6"/>
      <c r="Y248" s="102"/>
      <c r="Z248" s="57"/>
      <c r="AA248" s="57"/>
      <c r="AB248" s="6"/>
      <c r="AC248" s="88">
        <v>12</v>
      </c>
      <c r="AD248" s="88">
        <v>12</v>
      </c>
      <c r="AE248" s="88">
        <v>12</v>
      </c>
      <c r="AG248" s="109"/>
      <c r="AK248" s="109"/>
      <c r="AO248" s="109"/>
      <c r="AS248" s="109"/>
      <c r="AW248" s="109"/>
      <c r="BA248" s="109"/>
      <c r="BE248" s="109"/>
    </row>
    <row r="249" spans="1:57" ht="16.5" x14ac:dyDescent="0.25">
      <c r="A249" s="219"/>
      <c r="B249" s="9"/>
      <c r="C249" s="49" t="s">
        <v>56</v>
      </c>
      <c r="D249" s="6"/>
      <c r="E249" s="79">
        <v>12</v>
      </c>
      <c r="F249" s="79">
        <v>12</v>
      </c>
      <c r="G249" s="79">
        <v>12</v>
      </c>
      <c r="H249" s="6"/>
      <c r="I249" s="79">
        <v>10</v>
      </c>
      <c r="J249" s="79">
        <v>10</v>
      </c>
      <c r="K249" s="79">
        <v>10</v>
      </c>
      <c r="L249" s="6"/>
      <c r="M249" s="76">
        <v>345</v>
      </c>
      <c r="N249" s="76">
        <v>345</v>
      </c>
      <c r="O249" s="76">
        <v>345</v>
      </c>
      <c r="P249" s="6"/>
      <c r="Q249" s="102"/>
      <c r="R249" s="57"/>
      <c r="S249" s="57"/>
      <c r="T249" s="6"/>
      <c r="U249" s="102"/>
      <c r="V249" s="57"/>
      <c r="W249" s="57"/>
      <c r="X249" s="6"/>
      <c r="Y249" s="102"/>
      <c r="Z249" s="57"/>
      <c r="AA249" s="57"/>
      <c r="AB249" s="6"/>
      <c r="AC249" s="88">
        <v>12</v>
      </c>
      <c r="AD249" s="88">
        <v>12</v>
      </c>
      <c r="AE249" s="88">
        <v>12</v>
      </c>
      <c r="AG249" s="109"/>
      <c r="AK249" s="109"/>
      <c r="AO249" s="109"/>
      <c r="AS249" s="109"/>
      <c r="AW249" s="109"/>
      <c r="BA249" s="109"/>
      <c r="BE249" s="109"/>
    </row>
    <row r="250" spans="1:57" ht="16.5" x14ac:dyDescent="0.25">
      <c r="A250" s="219"/>
      <c r="B250" s="9"/>
      <c r="C250" s="48" t="s">
        <v>23</v>
      </c>
      <c r="D250" s="6"/>
      <c r="E250" s="79">
        <v>12</v>
      </c>
      <c r="F250" s="79">
        <v>12</v>
      </c>
      <c r="G250" s="79">
        <v>12</v>
      </c>
      <c r="H250" s="6"/>
      <c r="I250" s="79">
        <v>10</v>
      </c>
      <c r="J250" s="79">
        <v>10</v>
      </c>
      <c r="K250" s="79">
        <v>10</v>
      </c>
      <c r="L250" s="6"/>
      <c r="M250" s="76">
        <v>345</v>
      </c>
      <c r="N250" s="76">
        <v>345</v>
      </c>
      <c r="O250" s="76">
        <v>345</v>
      </c>
      <c r="P250" s="6"/>
      <c r="Q250" s="105"/>
      <c r="R250" s="51"/>
      <c r="S250" s="51"/>
      <c r="T250" s="6"/>
      <c r="U250" s="105"/>
      <c r="V250" s="51"/>
      <c r="W250" s="51"/>
      <c r="X250" s="6"/>
      <c r="Y250" s="105"/>
      <c r="Z250" s="51"/>
      <c r="AA250" s="51"/>
      <c r="AB250" s="6"/>
      <c r="AC250" s="88">
        <v>12</v>
      </c>
      <c r="AD250" s="88">
        <v>12</v>
      </c>
      <c r="AE250" s="88">
        <v>12</v>
      </c>
      <c r="AG250" s="109"/>
      <c r="AK250" s="109"/>
      <c r="AO250" s="109"/>
      <c r="AS250" s="109"/>
      <c r="AW250" s="109"/>
      <c r="BA250" s="109"/>
      <c r="BE250" s="109"/>
    </row>
    <row r="251" spans="1:57" ht="16.5" x14ac:dyDescent="0.25">
      <c r="A251" s="219"/>
      <c r="B251" s="9"/>
      <c r="C251" s="48" t="s">
        <v>24</v>
      </c>
      <c r="D251" s="7"/>
      <c r="E251" s="79">
        <v>12</v>
      </c>
      <c r="F251" s="79">
        <v>12</v>
      </c>
      <c r="G251" s="79">
        <v>12</v>
      </c>
      <c r="H251" s="7"/>
      <c r="I251" s="79">
        <v>10</v>
      </c>
      <c r="J251" s="79">
        <v>10</v>
      </c>
      <c r="K251" s="79">
        <v>10</v>
      </c>
      <c r="L251" s="7"/>
      <c r="M251" s="76">
        <v>345</v>
      </c>
      <c r="N251" s="76">
        <v>345</v>
      </c>
      <c r="O251" s="76">
        <v>345</v>
      </c>
      <c r="P251" s="7"/>
      <c r="Q251" s="105"/>
      <c r="R251" s="51"/>
      <c r="S251" s="51"/>
      <c r="T251" s="7"/>
      <c r="U251" s="105"/>
      <c r="V251" s="51"/>
      <c r="W251" s="51"/>
      <c r="X251" s="7"/>
      <c r="Y251" s="105"/>
      <c r="Z251" s="51"/>
      <c r="AA251" s="51"/>
      <c r="AB251" s="7"/>
      <c r="AC251" s="88">
        <v>12</v>
      </c>
      <c r="AD251" s="88">
        <v>12</v>
      </c>
      <c r="AE251" s="88">
        <v>12</v>
      </c>
      <c r="AG251" s="109"/>
      <c r="AK251" s="109"/>
      <c r="AO251" s="109"/>
      <c r="AS251" s="109"/>
      <c r="AW251" s="109"/>
      <c r="BA251" s="109"/>
      <c r="BE251" s="109"/>
    </row>
    <row r="252" spans="1:57" ht="16.5" x14ac:dyDescent="0.25">
      <c r="A252" s="219"/>
      <c r="B252" s="9"/>
      <c r="C252" s="48" t="s">
        <v>25</v>
      </c>
      <c r="D252" s="7"/>
      <c r="E252" s="79">
        <v>12</v>
      </c>
      <c r="F252" s="79">
        <v>12</v>
      </c>
      <c r="G252" s="79">
        <v>12</v>
      </c>
      <c r="H252" s="7"/>
      <c r="I252" s="79">
        <v>10</v>
      </c>
      <c r="J252" s="79">
        <v>10</v>
      </c>
      <c r="K252" s="79">
        <v>10</v>
      </c>
      <c r="L252" s="7"/>
      <c r="M252" s="76">
        <v>345</v>
      </c>
      <c r="N252" s="76">
        <v>345</v>
      </c>
      <c r="O252" s="76">
        <v>345</v>
      </c>
      <c r="P252" s="7"/>
      <c r="Q252" s="105"/>
      <c r="R252" s="51"/>
      <c r="S252" s="51"/>
      <c r="T252" s="7"/>
      <c r="U252" s="105"/>
      <c r="V252" s="51"/>
      <c r="W252" s="51"/>
      <c r="X252" s="7"/>
      <c r="Y252" s="105"/>
      <c r="Z252" s="51"/>
      <c r="AA252" s="51"/>
      <c r="AB252" s="7"/>
      <c r="AC252" s="88">
        <v>12</v>
      </c>
      <c r="AD252" s="88">
        <v>12</v>
      </c>
      <c r="AE252" s="88">
        <v>12</v>
      </c>
      <c r="AG252" s="109"/>
      <c r="AK252" s="109"/>
      <c r="AO252" s="109"/>
      <c r="AS252" s="109"/>
      <c r="AW252" s="109"/>
      <c r="BA252" s="109"/>
      <c r="BE252" s="109"/>
    </row>
    <row r="253" spans="1:57" ht="16.5" x14ac:dyDescent="0.25">
      <c r="A253" s="219"/>
      <c r="B253" s="9"/>
      <c r="C253" s="48" t="s">
        <v>53</v>
      </c>
      <c r="D253" s="7"/>
      <c r="E253" s="79">
        <v>12</v>
      </c>
      <c r="F253" s="79">
        <v>12</v>
      </c>
      <c r="G253" s="79">
        <v>12</v>
      </c>
      <c r="H253" s="7"/>
      <c r="I253" s="79">
        <v>10</v>
      </c>
      <c r="J253" s="79">
        <v>10</v>
      </c>
      <c r="K253" s="79">
        <v>10</v>
      </c>
      <c r="L253" s="7"/>
      <c r="M253" s="76">
        <v>345</v>
      </c>
      <c r="N253" s="76">
        <v>345</v>
      </c>
      <c r="O253" s="76">
        <v>345</v>
      </c>
      <c r="P253" s="7"/>
      <c r="Q253" s="105"/>
      <c r="R253" s="51"/>
      <c r="S253" s="51"/>
      <c r="T253" s="7"/>
      <c r="U253" s="105"/>
      <c r="V253" s="51"/>
      <c r="W253" s="51"/>
      <c r="X253" s="7"/>
      <c r="Y253" s="105"/>
      <c r="Z253" s="51"/>
      <c r="AA253" s="51"/>
      <c r="AB253" s="7"/>
      <c r="AC253" s="88">
        <v>12</v>
      </c>
      <c r="AD253" s="88">
        <v>12</v>
      </c>
      <c r="AE253" s="88">
        <v>12</v>
      </c>
      <c r="AG253" s="109"/>
      <c r="AK253" s="109"/>
      <c r="AO253" s="109"/>
      <c r="AS253" s="109"/>
      <c r="AW253" s="109"/>
      <c r="BA253" s="109"/>
      <c r="BE253" s="109"/>
    </row>
    <row r="254" spans="1:57" ht="16.5" x14ac:dyDescent="0.25">
      <c r="A254" s="219"/>
      <c r="B254" s="9"/>
      <c r="C254" s="49" t="s">
        <v>27</v>
      </c>
      <c r="D254" s="7"/>
      <c r="E254" s="79">
        <v>12</v>
      </c>
      <c r="F254" s="79">
        <v>12</v>
      </c>
      <c r="G254" s="79">
        <v>12</v>
      </c>
      <c r="H254" s="7"/>
      <c r="I254" s="79">
        <v>10</v>
      </c>
      <c r="J254" s="79">
        <v>10</v>
      </c>
      <c r="K254" s="79">
        <v>10</v>
      </c>
      <c r="L254" s="7"/>
      <c r="M254" s="76">
        <v>345</v>
      </c>
      <c r="N254" s="76">
        <v>345</v>
      </c>
      <c r="O254" s="76">
        <v>345</v>
      </c>
      <c r="P254" s="7"/>
      <c r="Q254" s="102"/>
      <c r="R254" s="57"/>
      <c r="S254" s="57"/>
      <c r="T254" s="7"/>
      <c r="U254" s="102"/>
      <c r="V254" s="57"/>
      <c r="W254" s="57"/>
      <c r="X254" s="7"/>
      <c r="Y254" s="102"/>
      <c r="Z254" s="57"/>
      <c r="AA254" s="57"/>
      <c r="AB254" s="7"/>
      <c r="AC254" s="88">
        <v>12</v>
      </c>
      <c r="AD254" s="88">
        <v>12</v>
      </c>
      <c r="AE254" s="88">
        <v>12</v>
      </c>
      <c r="AG254" s="109"/>
      <c r="AK254" s="109"/>
      <c r="AO254" s="109"/>
      <c r="AS254" s="109"/>
      <c r="AW254" s="109"/>
      <c r="BA254" s="109"/>
      <c r="BE254" s="109"/>
    </row>
    <row r="255" spans="1:57" ht="16.5" x14ac:dyDescent="0.25">
      <c r="A255" s="219"/>
      <c r="B255" s="9"/>
      <c r="C255" s="49" t="s">
        <v>57</v>
      </c>
      <c r="D255" s="7"/>
      <c r="E255" s="79">
        <v>12</v>
      </c>
      <c r="F255" s="79">
        <v>12</v>
      </c>
      <c r="G255" s="79">
        <v>12</v>
      </c>
      <c r="H255" s="7"/>
      <c r="I255" s="79">
        <v>10</v>
      </c>
      <c r="J255" s="79">
        <v>10</v>
      </c>
      <c r="K255" s="79">
        <v>10</v>
      </c>
      <c r="L255" s="7"/>
      <c r="M255" s="76">
        <v>345</v>
      </c>
      <c r="N255" s="76">
        <v>345</v>
      </c>
      <c r="O255" s="76">
        <v>345</v>
      </c>
      <c r="P255" s="7"/>
      <c r="Q255" s="102"/>
      <c r="R255" s="57"/>
      <c r="S255" s="57"/>
      <c r="T255" s="7"/>
      <c r="U255" s="102"/>
      <c r="V255" s="57"/>
      <c r="W255" s="57"/>
      <c r="X255" s="7"/>
      <c r="Y255" s="102"/>
      <c r="Z255" s="57"/>
      <c r="AA255" s="57"/>
      <c r="AB255" s="7"/>
      <c r="AC255" s="88">
        <v>12</v>
      </c>
      <c r="AD255" s="88">
        <v>12</v>
      </c>
      <c r="AE255" s="88">
        <v>12</v>
      </c>
      <c r="AG255" s="109"/>
      <c r="AK255" s="109"/>
      <c r="AO255" s="109"/>
      <c r="AS255" s="109"/>
      <c r="AW255" s="109"/>
      <c r="BA255" s="109"/>
      <c r="BE255" s="109"/>
    </row>
    <row r="256" spans="1:57" ht="16.5" x14ac:dyDescent="0.25">
      <c r="A256" s="219"/>
      <c r="B256" s="9"/>
      <c r="C256" s="49" t="s">
        <v>29</v>
      </c>
      <c r="D256" s="7"/>
      <c r="E256" s="79">
        <v>12</v>
      </c>
      <c r="F256" s="79">
        <v>12</v>
      </c>
      <c r="G256" s="79">
        <v>12</v>
      </c>
      <c r="H256" s="7"/>
      <c r="I256" s="79">
        <v>10</v>
      </c>
      <c r="J256" s="79">
        <v>10</v>
      </c>
      <c r="K256" s="79">
        <v>10</v>
      </c>
      <c r="L256" s="7"/>
      <c r="M256" s="76">
        <v>345</v>
      </c>
      <c r="N256" s="76">
        <v>345</v>
      </c>
      <c r="O256" s="76">
        <v>345</v>
      </c>
      <c r="P256" s="7"/>
      <c r="Q256" s="102"/>
      <c r="R256" s="57"/>
      <c r="S256" s="57"/>
      <c r="T256" s="7"/>
      <c r="U256" s="102"/>
      <c r="V256" s="57"/>
      <c r="W256" s="57"/>
      <c r="X256" s="7"/>
      <c r="Y256" s="102"/>
      <c r="Z256" s="57"/>
      <c r="AA256" s="57"/>
      <c r="AB256" s="7"/>
      <c r="AC256" s="88">
        <v>12</v>
      </c>
      <c r="AD256" s="88">
        <v>12</v>
      </c>
      <c r="AE256" s="88">
        <v>12</v>
      </c>
      <c r="AG256" s="109"/>
      <c r="AK256" s="109"/>
      <c r="AO256" s="109"/>
      <c r="AS256" s="109"/>
      <c r="AW256" s="109"/>
      <c r="BA256" s="109"/>
      <c r="BE256" s="109"/>
    </row>
    <row r="257" spans="1:57" ht="16.5" x14ac:dyDescent="0.25">
      <c r="A257" s="219"/>
      <c r="B257" s="9"/>
      <c r="C257" s="49" t="s">
        <v>58</v>
      </c>
      <c r="D257" s="7"/>
      <c r="E257" s="79">
        <v>12</v>
      </c>
      <c r="F257" s="79">
        <v>12</v>
      </c>
      <c r="G257" s="79">
        <v>12</v>
      </c>
      <c r="H257" s="7"/>
      <c r="I257" s="79">
        <v>10</v>
      </c>
      <c r="J257" s="79">
        <v>10</v>
      </c>
      <c r="K257" s="79">
        <v>10</v>
      </c>
      <c r="L257" s="7"/>
      <c r="M257" s="76">
        <v>345</v>
      </c>
      <c r="N257" s="76">
        <v>345</v>
      </c>
      <c r="O257" s="76">
        <v>345</v>
      </c>
      <c r="P257" s="7"/>
      <c r="Q257" s="191"/>
      <c r="R257" s="57"/>
      <c r="S257" s="189"/>
      <c r="T257" s="7"/>
      <c r="U257" s="102"/>
      <c r="V257" s="57"/>
      <c r="W257" s="57"/>
      <c r="X257" s="7"/>
      <c r="Y257" s="102"/>
      <c r="Z257" s="57"/>
      <c r="AA257" s="57"/>
      <c r="AB257" s="7"/>
      <c r="AC257" s="88">
        <v>12</v>
      </c>
      <c r="AD257" s="88">
        <v>12</v>
      </c>
      <c r="AE257" s="88">
        <v>12</v>
      </c>
      <c r="AG257" s="109"/>
      <c r="AK257" s="109"/>
      <c r="AO257" s="109"/>
      <c r="AS257" s="109"/>
      <c r="AW257" s="109"/>
      <c r="BA257" s="109"/>
      <c r="BE257" s="109"/>
    </row>
    <row r="258" spans="1:57" ht="16.5" x14ac:dyDescent="0.25">
      <c r="A258" s="219"/>
      <c r="B258" s="9"/>
      <c r="C258" s="50" t="s">
        <v>59</v>
      </c>
      <c r="D258" s="8"/>
      <c r="E258" s="79">
        <v>12</v>
      </c>
      <c r="F258" s="79">
        <v>12</v>
      </c>
      <c r="G258" s="79">
        <v>12</v>
      </c>
      <c r="H258" s="8"/>
      <c r="I258" s="79">
        <v>10</v>
      </c>
      <c r="J258" s="79">
        <v>10</v>
      </c>
      <c r="K258" s="79">
        <v>10</v>
      </c>
      <c r="L258" s="8"/>
      <c r="M258" s="76">
        <v>345</v>
      </c>
      <c r="N258" s="76">
        <v>345</v>
      </c>
      <c r="O258" s="76">
        <v>345</v>
      </c>
      <c r="P258" s="8"/>
      <c r="Q258" s="102"/>
      <c r="R258" s="51"/>
      <c r="S258" s="51"/>
      <c r="T258" s="8"/>
      <c r="U258" s="105"/>
      <c r="V258" s="51"/>
      <c r="W258" s="51"/>
      <c r="X258" s="8"/>
      <c r="Y258" s="105"/>
      <c r="Z258" s="51"/>
      <c r="AA258" s="51"/>
      <c r="AB258" s="8"/>
      <c r="AC258" s="88">
        <v>12</v>
      </c>
      <c r="AD258" s="88">
        <v>12</v>
      </c>
      <c r="AE258" s="88">
        <v>12</v>
      </c>
      <c r="AG258" s="109"/>
      <c r="AK258" s="109"/>
      <c r="AO258" s="109"/>
      <c r="AS258" s="109"/>
      <c r="AW258" s="109"/>
      <c r="BA258" s="109"/>
      <c r="BE258" s="109"/>
    </row>
    <row r="259" spans="1:57" ht="16.5" x14ac:dyDescent="0.25">
      <c r="A259" s="219"/>
      <c r="B259" s="9"/>
      <c r="C259" s="50" t="s">
        <v>60</v>
      </c>
      <c r="D259" s="8"/>
      <c r="E259" s="79">
        <v>12</v>
      </c>
      <c r="F259" s="79">
        <v>12</v>
      </c>
      <c r="G259" s="79">
        <v>12</v>
      </c>
      <c r="H259" s="8"/>
      <c r="I259" s="79">
        <v>10</v>
      </c>
      <c r="J259" s="79">
        <v>10</v>
      </c>
      <c r="K259" s="79">
        <v>10</v>
      </c>
      <c r="L259" s="8"/>
      <c r="M259" s="76">
        <v>345</v>
      </c>
      <c r="N259" s="76">
        <v>345</v>
      </c>
      <c r="O259" s="76">
        <v>345</v>
      </c>
      <c r="P259" s="8"/>
      <c r="Q259" s="105"/>
      <c r="R259" s="51"/>
      <c r="S259" s="51"/>
      <c r="T259" s="8"/>
      <c r="U259" s="105"/>
      <c r="V259" s="51"/>
      <c r="W259" s="51"/>
      <c r="X259" s="8"/>
      <c r="Y259" s="105"/>
      <c r="Z259" s="51"/>
      <c r="AA259" s="51"/>
      <c r="AB259" s="8"/>
      <c r="AC259" s="88">
        <v>12</v>
      </c>
      <c r="AD259" s="88">
        <v>12</v>
      </c>
      <c r="AE259" s="88">
        <v>12</v>
      </c>
      <c r="AG259" s="109"/>
      <c r="AK259" s="109"/>
      <c r="AO259" s="109"/>
      <c r="AS259" s="109"/>
      <c r="AW259" s="109"/>
      <c r="BA259" s="109"/>
      <c r="BE259" s="109"/>
    </row>
    <row r="260" spans="1:57" ht="16.5" x14ac:dyDescent="0.25">
      <c r="A260" s="219"/>
      <c r="B260" s="9"/>
      <c r="C260" s="50" t="s">
        <v>61</v>
      </c>
      <c r="D260" s="8"/>
      <c r="E260" s="79">
        <v>12</v>
      </c>
      <c r="F260" s="79">
        <v>12</v>
      </c>
      <c r="G260" s="79">
        <v>12</v>
      </c>
      <c r="H260" s="8"/>
      <c r="I260" s="79">
        <v>10</v>
      </c>
      <c r="J260" s="79">
        <v>10</v>
      </c>
      <c r="K260" s="79">
        <v>10</v>
      </c>
      <c r="L260" s="8"/>
      <c r="M260" s="76">
        <v>345</v>
      </c>
      <c r="N260" s="76">
        <v>345</v>
      </c>
      <c r="O260" s="76">
        <v>345</v>
      </c>
      <c r="P260" s="8"/>
      <c r="Q260" s="105"/>
      <c r="R260" s="51"/>
      <c r="S260" s="51"/>
      <c r="T260" s="8"/>
      <c r="U260" s="105"/>
      <c r="V260" s="51"/>
      <c r="W260" s="51"/>
      <c r="X260" s="8"/>
      <c r="Y260" s="105"/>
      <c r="Z260" s="51"/>
      <c r="AA260" s="51"/>
      <c r="AB260" s="8"/>
      <c r="AC260" s="88">
        <v>12</v>
      </c>
      <c r="AD260" s="88">
        <v>12</v>
      </c>
      <c r="AE260" s="88">
        <v>12</v>
      </c>
      <c r="AG260" s="109"/>
      <c r="AK260" s="109"/>
      <c r="AO260" s="109"/>
      <c r="AS260" s="109"/>
      <c r="AW260" s="109"/>
      <c r="BA260" s="109"/>
      <c r="BE260" s="109"/>
    </row>
    <row r="261" spans="1:57" ht="16.5" x14ac:dyDescent="0.25">
      <c r="A261" s="219"/>
      <c r="B261" s="9"/>
      <c r="C261" s="49" t="s">
        <v>34</v>
      </c>
      <c r="D261" s="6"/>
      <c r="E261" s="79">
        <v>12</v>
      </c>
      <c r="F261" s="79">
        <v>12</v>
      </c>
      <c r="G261" s="79">
        <v>12</v>
      </c>
      <c r="H261" s="6"/>
      <c r="I261" s="79">
        <v>10</v>
      </c>
      <c r="J261" s="79">
        <v>10</v>
      </c>
      <c r="K261" s="79">
        <v>10</v>
      </c>
      <c r="L261" s="6"/>
      <c r="M261" s="76">
        <v>345</v>
      </c>
      <c r="N261" s="76">
        <v>345</v>
      </c>
      <c r="O261" s="76">
        <v>345</v>
      </c>
      <c r="P261" s="6"/>
      <c r="Q261" s="79"/>
      <c r="R261" s="56"/>
      <c r="S261" s="56"/>
      <c r="T261" s="6"/>
      <c r="U261" s="79"/>
      <c r="V261" s="56"/>
      <c r="W261" s="56"/>
      <c r="X261" s="6"/>
      <c r="Y261" s="79"/>
      <c r="Z261" s="56"/>
      <c r="AA261" s="56"/>
      <c r="AB261" s="6"/>
      <c r="AC261" s="88">
        <v>12</v>
      </c>
      <c r="AD261" s="88">
        <v>12</v>
      </c>
      <c r="AE261" s="88">
        <v>12</v>
      </c>
      <c r="AG261" s="108"/>
      <c r="AK261" s="108"/>
      <c r="AO261" s="108"/>
      <c r="AS261" s="108"/>
      <c r="AW261" s="108"/>
      <c r="BA261" s="108"/>
      <c r="BE261" s="108"/>
    </row>
    <row r="262" spans="1:57" x14ac:dyDescent="0.25">
      <c r="F262" s="55">
        <f>F263-F8</f>
        <v>-2.9423287100000017</v>
      </c>
      <c r="J262" s="196">
        <f>1-J261/J247-J248</f>
        <v>-10</v>
      </c>
      <c r="M262" s="55">
        <f>M246-O246</f>
        <v>0</v>
      </c>
      <c r="R262" s="55">
        <f>R263-R8</f>
        <v>-198</v>
      </c>
    </row>
    <row r="263" spans="1:57" ht="16.5" x14ac:dyDescent="0.25">
      <c r="A263" s="204" t="s">
        <v>47</v>
      </c>
      <c r="B263" s="9"/>
      <c r="C263" s="63" t="s">
        <v>19</v>
      </c>
      <c r="D263" s="6"/>
      <c r="E263" s="75">
        <v>12</v>
      </c>
      <c r="F263" s="40">
        <v>12</v>
      </c>
      <c r="G263" s="40">
        <f>+[3]Retail!$C$92/1000</f>
        <v>32.077891655640904</v>
      </c>
      <c r="H263" s="6"/>
      <c r="I263" s="75">
        <v>123</v>
      </c>
      <c r="J263" s="40">
        <f>+[3]SME!$C$91/1000</f>
        <v>85.41964139000001</v>
      </c>
      <c r="K263" s="40">
        <v>123</v>
      </c>
      <c r="L263" s="6"/>
      <c r="M263" s="75">
        <v>123</v>
      </c>
      <c r="N263" s="75">
        <v>122</v>
      </c>
      <c r="O263" s="75">
        <v>111</v>
      </c>
      <c r="P263" s="6"/>
      <c r="Q263" s="98">
        <v>123</v>
      </c>
      <c r="R263" s="98">
        <v>123</v>
      </c>
      <c r="S263" s="98">
        <v>123</v>
      </c>
      <c r="T263" s="98">
        <v>123</v>
      </c>
      <c r="U263" s="70">
        <v>111</v>
      </c>
      <c r="V263" s="70">
        <v>111</v>
      </c>
      <c r="W263" s="70">
        <v>111</v>
      </c>
      <c r="X263" s="6"/>
      <c r="Y263" s="75">
        <v>1</v>
      </c>
      <c r="Z263" s="75">
        <v>1</v>
      </c>
      <c r="AA263" s="75">
        <v>1</v>
      </c>
      <c r="AB263" s="6"/>
      <c r="AC263" s="87">
        <v>0.5</v>
      </c>
      <c r="AD263" s="87">
        <v>0.4</v>
      </c>
      <c r="AE263" s="87">
        <v>0.6</v>
      </c>
      <c r="AG263" s="108"/>
      <c r="AK263" s="108"/>
      <c r="AO263" s="108"/>
      <c r="AS263" s="108"/>
      <c r="AW263" s="108"/>
      <c r="BA263" s="108"/>
      <c r="BE263" s="108"/>
    </row>
    <row r="264" spans="1:57" ht="16.5" x14ac:dyDescent="0.25">
      <c r="A264" s="204"/>
      <c r="B264" s="9"/>
      <c r="C264" s="63" t="s">
        <v>55</v>
      </c>
      <c r="D264" s="6"/>
      <c r="E264" s="75">
        <v>12</v>
      </c>
      <c r="F264" s="40">
        <v>12</v>
      </c>
      <c r="G264" s="40">
        <f>+[3]Retail!$C$92/1000</f>
        <v>32.077891655640904</v>
      </c>
      <c r="H264" s="6"/>
      <c r="I264" s="75">
        <v>123</v>
      </c>
      <c r="J264" s="40">
        <f>+[3]SME!$C$91/1000</f>
        <v>85.41964139000001</v>
      </c>
      <c r="K264" s="40">
        <v>123</v>
      </c>
      <c r="L264" s="6"/>
      <c r="M264" s="75">
        <v>123</v>
      </c>
      <c r="N264" s="75">
        <v>122</v>
      </c>
      <c r="O264" s="75">
        <v>111</v>
      </c>
      <c r="P264" s="6"/>
      <c r="Q264" s="98">
        <v>123</v>
      </c>
      <c r="R264" s="98">
        <v>123</v>
      </c>
      <c r="S264" s="98">
        <v>123</v>
      </c>
      <c r="T264" s="98">
        <v>123</v>
      </c>
      <c r="U264" s="70">
        <v>111</v>
      </c>
      <c r="V264" s="70">
        <v>111</v>
      </c>
      <c r="W264" s="70">
        <v>111</v>
      </c>
      <c r="X264" s="6"/>
      <c r="Y264" s="75">
        <v>1</v>
      </c>
      <c r="Z264" s="75">
        <v>1</v>
      </c>
      <c r="AA264" s="75">
        <v>1</v>
      </c>
      <c r="AB264" s="6"/>
      <c r="AC264" s="87">
        <v>0.5</v>
      </c>
      <c r="AD264" s="87">
        <v>0.4</v>
      </c>
      <c r="AE264" s="87">
        <v>0.6</v>
      </c>
      <c r="AG264" s="108"/>
      <c r="AK264" s="108"/>
      <c r="AO264" s="108"/>
      <c r="AS264" s="108"/>
      <c r="AW264" s="108"/>
      <c r="BA264" s="108"/>
      <c r="BE264" s="108"/>
    </row>
    <row r="265" spans="1:57" ht="16.5" x14ac:dyDescent="0.25">
      <c r="A265" s="204"/>
      <c r="B265" s="9"/>
      <c r="C265" s="63" t="s">
        <v>21</v>
      </c>
      <c r="D265" s="6"/>
      <c r="E265" s="75">
        <v>12</v>
      </c>
      <c r="F265" s="40">
        <v>12</v>
      </c>
      <c r="G265" s="40">
        <f>+[3]Retail!$C$92/1000</f>
        <v>32.077891655640904</v>
      </c>
      <c r="H265" s="6"/>
      <c r="I265" s="75">
        <v>123</v>
      </c>
      <c r="J265" s="40">
        <f>+[3]SME!$C$91/1000</f>
        <v>85.41964139000001</v>
      </c>
      <c r="K265" s="40">
        <v>123</v>
      </c>
      <c r="L265" s="6"/>
      <c r="M265" s="75">
        <v>123</v>
      </c>
      <c r="N265" s="75">
        <v>122</v>
      </c>
      <c r="O265" s="75">
        <v>111</v>
      </c>
      <c r="P265" s="6"/>
      <c r="Q265" s="98">
        <v>123</v>
      </c>
      <c r="R265" s="98">
        <v>123</v>
      </c>
      <c r="S265" s="98">
        <v>123</v>
      </c>
      <c r="T265" s="98">
        <v>123</v>
      </c>
      <c r="U265" s="70">
        <v>111</v>
      </c>
      <c r="V265" s="70">
        <v>111</v>
      </c>
      <c r="W265" s="70">
        <v>111</v>
      </c>
      <c r="X265" s="6"/>
      <c r="Y265" s="75">
        <v>1</v>
      </c>
      <c r="Z265" s="75">
        <v>1</v>
      </c>
      <c r="AA265" s="75">
        <v>1</v>
      </c>
      <c r="AB265" s="6"/>
      <c r="AC265" s="87">
        <v>0.5</v>
      </c>
      <c r="AD265" s="87">
        <v>0.4</v>
      </c>
      <c r="AE265" s="87">
        <v>0.6</v>
      </c>
      <c r="AG265" s="109"/>
      <c r="AK265" s="109"/>
      <c r="AO265" s="109"/>
      <c r="AS265" s="109"/>
      <c r="AW265" s="109"/>
      <c r="BA265" s="109"/>
      <c r="BE265" s="109"/>
    </row>
    <row r="266" spans="1:57" ht="16.5" x14ac:dyDescent="0.25">
      <c r="A266" s="204"/>
      <c r="B266" s="9"/>
      <c r="C266" s="63" t="s">
        <v>56</v>
      </c>
      <c r="D266" s="6"/>
      <c r="E266" s="75">
        <v>12</v>
      </c>
      <c r="F266" s="40">
        <v>12</v>
      </c>
      <c r="G266" s="40">
        <f>+[3]Retail!$C$92/1000</f>
        <v>32.077891655640904</v>
      </c>
      <c r="H266" s="6"/>
      <c r="I266" s="75">
        <v>123</v>
      </c>
      <c r="J266" s="40">
        <f>+[3]SME!$C$91/1000</f>
        <v>85.41964139000001</v>
      </c>
      <c r="K266" s="40">
        <v>123</v>
      </c>
      <c r="L266" s="6"/>
      <c r="M266" s="75">
        <v>123</v>
      </c>
      <c r="N266" s="75">
        <v>122</v>
      </c>
      <c r="O266" s="75">
        <v>111</v>
      </c>
      <c r="P266" s="6"/>
      <c r="Q266" s="98">
        <v>123</v>
      </c>
      <c r="R266" s="98">
        <v>123</v>
      </c>
      <c r="S266" s="98">
        <v>123</v>
      </c>
      <c r="T266" s="98">
        <v>123</v>
      </c>
      <c r="U266" s="70">
        <v>111</v>
      </c>
      <c r="V266" s="70">
        <v>111</v>
      </c>
      <c r="W266" s="70">
        <v>111</v>
      </c>
      <c r="X266" s="6"/>
      <c r="Y266" s="75">
        <v>1</v>
      </c>
      <c r="Z266" s="75">
        <v>1</v>
      </c>
      <c r="AA266" s="75">
        <v>1</v>
      </c>
      <c r="AB266" s="6"/>
      <c r="AC266" s="87">
        <v>0.5</v>
      </c>
      <c r="AD266" s="87">
        <v>0.4</v>
      </c>
      <c r="AE266" s="87">
        <v>0.6</v>
      </c>
      <c r="AG266" s="109"/>
      <c r="AK266" s="109"/>
      <c r="AO266" s="109"/>
      <c r="AS266" s="109"/>
      <c r="AW266" s="109"/>
      <c r="BA266" s="109"/>
      <c r="BE266" s="109"/>
    </row>
    <row r="267" spans="1:57" ht="16.5" x14ac:dyDescent="0.25">
      <c r="A267" s="204"/>
      <c r="B267" s="9"/>
      <c r="C267" s="64" t="s">
        <v>23</v>
      </c>
      <c r="D267" s="6"/>
      <c r="E267" s="75">
        <v>12</v>
      </c>
      <c r="F267" s="40">
        <v>12</v>
      </c>
      <c r="G267" s="40">
        <f>+[3]Retail!$C$92/1000</f>
        <v>32.077891655640904</v>
      </c>
      <c r="H267" s="6"/>
      <c r="I267" s="75">
        <v>123</v>
      </c>
      <c r="J267" s="40">
        <f>+[3]SME!$C$91/1000</f>
        <v>85.41964139000001</v>
      </c>
      <c r="K267" s="40">
        <v>123</v>
      </c>
      <c r="L267" s="6"/>
      <c r="M267" s="75">
        <v>123</v>
      </c>
      <c r="N267" s="75">
        <v>122</v>
      </c>
      <c r="O267" s="75">
        <v>111</v>
      </c>
      <c r="P267" s="6"/>
      <c r="Q267" s="98">
        <v>123</v>
      </c>
      <c r="R267" s="98">
        <v>123</v>
      </c>
      <c r="S267" s="98">
        <v>123</v>
      </c>
      <c r="T267" s="98">
        <v>123</v>
      </c>
      <c r="U267" s="70">
        <v>111</v>
      </c>
      <c r="V267" s="70">
        <v>111</v>
      </c>
      <c r="W267" s="70">
        <v>111</v>
      </c>
      <c r="X267" s="6"/>
      <c r="Y267" s="75">
        <v>1</v>
      </c>
      <c r="Z267" s="75">
        <v>1</v>
      </c>
      <c r="AA267" s="75">
        <v>1</v>
      </c>
      <c r="AB267" s="6"/>
      <c r="AC267" s="87">
        <v>0.5</v>
      </c>
      <c r="AD267" s="87">
        <v>0.4</v>
      </c>
      <c r="AE267" s="87">
        <v>0.6</v>
      </c>
      <c r="AG267" s="109"/>
      <c r="AK267" s="109"/>
      <c r="AO267" s="109"/>
      <c r="AS267" s="109"/>
      <c r="AW267" s="109"/>
      <c r="BA267" s="109"/>
      <c r="BE267" s="109"/>
    </row>
    <row r="268" spans="1:57" ht="16.5" x14ac:dyDescent="0.25">
      <c r="A268" s="204"/>
      <c r="B268" s="9"/>
      <c r="C268" s="64" t="s">
        <v>24</v>
      </c>
      <c r="D268" s="7"/>
      <c r="E268" s="75">
        <v>12</v>
      </c>
      <c r="F268" s="40">
        <v>12</v>
      </c>
      <c r="G268" s="40">
        <f>+[3]Retail!$C$92/1000</f>
        <v>32.077891655640904</v>
      </c>
      <c r="H268" s="7"/>
      <c r="I268" s="75">
        <v>123</v>
      </c>
      <c r="J268" s="40">
        <f>+[3]SME!$C$91/1000</f>
        <v>85.41964139000001</v>
      </c>
      <c r="K268" s="40">
        <v>123</v>
      </c>
      <c r="L268" s="7"/>
      <c r="M268" s="75">
        <v>123</v>
      </c>
      <c r="N268" s="75">
        <v>122</v>
      </c>
      <c r="O268" s="75">
        <v>111</v>
      </c>
      <c r="P268" s="7"/>
      <c r="Q268" s="98">
        <v>123</v>
      </c>
      <c r="R268" s="98">
        <v>123</v>
      </c>
      <c r="S268" s="98">
        <v>123</v>
      </c>
      <c r="T268" s="98">
        <v>123</v>
      </c>
      <c r="U268" s="70">
        <v>111</v>
      </c>
      <c r="V268" s="70">
        <v>111</v>
      </c>
      <c r="W268" s="70">
        <v>111</v>
      </c>
      <c r="X268" s="7"/>
      <c r="Y268" s="75">
        <v>1</v>
      </c>
      <c r="Z268" s="75">
        <v>1</v>
      </c>
      <c r="AA268" s="75">
        <v>1</v>
      </c>
      <c r="AB268" s="7"/>
      <c r="AC268" s="87">
        <v>0.5</v>
      </c>
      <c r="AD268" s="87">
        <v>0.4</v>
      </c>
      <c r="AE268" s="87">
        <v>0.6</v>
      </c>
      <c r="AG268" s="109"/>
      <c r="AK268" s="109"/>
      <c r="AO268" s="109"/>
      <c r="AS268" s="109"/>
      <c r="AW268" s="109"/>
      <c r="BA268" s="109"/>
      <c r="BE268" s="109"/>
    </row>
    <row r="269" spans="1:57" ht="16.5" x14ac:dyDescent="0.25">
      <c r="A269" s="204"/>
      <c r="B269" s="9"/>
      <c r="C269" s="64" t="s">
        <v>25</v>
      </c>
      <c r="D269" s="7"/>
      <c r="E269" s="75">
        <v>12</v>
      </c>
      <c r="F269" s="40">
        <v>12</v>
      </c>
      <c r="G269" s="40">
        <f>+[3]Retail!$C$92/1000</f>
        <v>32.077891655640904</v>
      </c>
      <c r="H269" s="7"/>
      <c r="I269" s="75">
        <v>123</v>
      </c>
      <c r="J269" s="40">
        <f>+[3]SME!$C$91/1000</f>
        <v>85.41964139000001</v>
      </c>
      <c r="K269" s="40">
        <v>123</v>
      </c>
      <c r="L269" s="7"/>
      <c r="M269" s="75">
        <v>123</v>
      </c>
      <c r="N269" s="75">
        <v>122</v>
      </c>
      <c r="O269" s="75">
        <v>111</v>
      </c>
      <c r="P269" s="7"/>
      <c r="Q269" s="98">
        <v>123</v>
      </c>
      <c r="R269" s="98">
        <v>123</v>
      </c>
      <c r="S269" s="98">
        <v>123</v>
      </c>
      <c r="T269" s="98">
        <v>123</v>
      </c>
      <c r="U269" s="70">
        <v>111</v>
      </c>
      <c r="V269" s="70">
        <v>111</v>
      </c>
      <c r="W269" s="70">
        <v>111</v>
      </c>
      <c r="X269" s="7"/>
      <c r="Y269" s="75">
        <v>1</v>
      </c>
      <c r="Z269" s="75">
        <v>1</v>
      </c>
      <c r="AA269" s="75">
        <v>1</v>
      </c>
      <c r="AB269" s="7"/>
      <c r="AC269" s="87">
        <v>0.5</v>
      </c>
      <c r="AD269" s="87">
        <v>0.4</v>
      </c>
      <c r="AE269" s="87">
        <v>0.6</v>
      </c>
      <c r="AG269" s="109"/>
      <c r="AK269" s="109"/>
      <c r="AO269" s="109"/>
      <c r="AS269" s="109"/>
      <c r="AW269" s="109"/>
      <c r="BA269" s="109"/>
      <c r="BE269" s="109"/>
    </row>
    <row r="270" spans="1:57" ht="16.5" x14ac:dyDescent="0.25">
      <c r="A270" s="204"/>
      <c r="B270" s="9"/>
      <c r="C270" s="64" t="s">
        <v>53</v>
      </c>
      <c r="D270" s="7"/>
      <c r="E270" s="75">
        <v>12</v>
      </c>
      <c r="F270" s="40">
        <v>12</v>
      </c>
      <c r="G270" s="40">
        <f>+[3]Retail!$C$92/1000</f>
        <v>32.077891655640904</v>
      </c>
      <c r="H270" s="7"/>
      <c r="I270" s="75">
        <v>123</v>
      </c>
      <c r="J270" s="40">
        <f>+[3]SME!$C$91/1000</f>
        <v>85.41964139000001</v>
      </c>
      <c r="K270" s="40">
        <v>123</v>
      </c>
      <c r="L270" s="7"/>
      <c r="M270" s="75">
        <v>123</v>
      </c>
      <c r="N270" s="75">
        <v>122</v>
      </c>
      <c r="O270" s="75">
        <v>111</v>
      </c>
      <c r="P270" s="7"/>
      <c r="Q270" s="98">
        <v>123</v>
      </c>
      <c r="R270" s="98">
        <v>123</v>
      </c>
      <c r="S270" s="98">
        <v>123</v>
      </c>
      <c r="T270" s="98">
        <v>123</v>
      </c>
      <c r="U270" s="70">
        <v>111</v>
      </c>
      <c r="V270" s="70">
        <v>111</v>
      </c>
      <c r="W270" s="70">
        <v>111</v>
      </c>
      <c r="X270" s="7"/>
      <c r="Y270" s="75">
        <v>1</v>
      </c>
      <c r="Z270" s="75">
        <v>1</v>
      </c>
      <c r="AA270" s="75">
        <v>1</v>
      </c>
      <c r="AB270" s="7"/>
      <c r="AC270" s="87">
        <v>0.5</v>
      </c>
      <c r="AD270" s="87">
        <v>0.4</v>
      </c>
      <c r="AE270" s="87">
        <v>0.6</v>
      </c>
      <c r="AG270" s="109"/>
      <c r="AK270" s="109"/>
      <c r="AO270" s="109"/>
      <c r="AS270" s="109"/>
      <c r="AW270" s="109"/>
      <c r="BA270" s="109"/>
      <c r="BE270" s="109"/>
    </row>
    <row r="271" spans="1:57" ht="16.5" x14ac:dyDescent="0.25">
      <c r="A271" s="204"/>
      <c r="B271" s="9"/>
      <c r="C271" s="63" t="s">
        <v>27</v>
      </c>
      <c r="D271" s="7"/>
      <c r="E271" s="75">
        <v>12</v>
      </c>
      <c r="F271" s="40">
        <v>12</v>
      </c>
      <c r="G271" s="40">
        <f>+[3]Retail!$C$92/1000</f>
        <v>32.077891655640904</v>
      </c>
      <c r="H271" s="7"/>
      <c r="I271" s="75">
        <v>123</v>
      </c>
      <c r="J271" s="40">
        <f>+[3]SME!$C$91/1000</f>
        <v>85.41964139000001</v>
      </c>
      <c r="K271" s="40">
        <v>123</v>
      </c>
      <c r="L271" s="7"/>
      <c r="M271" s="75">
        <v>123</v>
      </c>
      <c r="N271" s="75">
        <v>122</v>
      </c>
      <c r="O271" s="75">
        <v>111</v>
      </c>
      <c r="P271" s="7"/>
      <c r="Q271" s="98">
        <v>123</v>
      </c>
      <c r="R271" s="98">
        <v>123</v>
      </c>
      <c r="S271" s="98">
        <v>123</v>
      </c>
      <c r="T271" s="98">
        <v>123</v>
      </c>
      <c r="U271" s="70">
        <v>111</v>
      </c>
      <c r="V271" s="70">
        <v>111</v>
      </c>
      <c r="W271" s="70">
        <v>111</v>
      </c>
      <c r="X271" s="7"/>
      <c r="Y271" s="75">
        <v>1</v>
      </c>
      <c r="Z271" s="75">
        <v>1</v>
      </c>
      <c r="AA271" s="75">
        <v>1</v>
      </c>
      <c r="AB271" s="7"/>
      <c r="AC271" s="87">
        <v>0.5</v>
      </c>
      <c r="AD271" s="87">
        <v>0.4</v>
      </c>
      <c r="AE271" s="87">
        <v>0.6</v>
      </c>
      <c r="AG271" s="109"/>
      <c r="AK271" s="109"/>
      <c r="AO271" s="109"/>
      <c r="AS271" s="109"/>
      <c r="AW271" s="109"/>
      <c r="BA271" s="109"/>
      <c r="BE271" s="109"/>
    </row>
    <row r="272" spans="1:57" ht="16.5" x14ac:dyDescent="0.25">
      <c r="A272" s="204"/>
      <c r="B272" s="9"/>
      <c r="C272" s="63" t="s">
        <v>57</v>
      </c>
      <c r="D272" s="7"/>
      <c r="E272" s="75">
        <v>12</v>
      </c>
      <c r="F272" s="40">
        <v>12</v>
      </c>
      <c r="G272" s="40">
        <f>+[3]Retail!$C$92/1000</f>
        <v>32.077891655640904</v>
      </c>
      <c r="H272" s="7"/>
      <c r="I272" s="75">
        <v>123</v>
      </c>
      <c r="J272" s="40">
        <f>+[3]SME!$C$91/1000</f>
        <v>85.41964139000001</v>
      </c>
      <c r="K272" s="40">
        <v>123</v>
      </c>
      <c r="L272" s="7"/>
      <c r="M272" s="75">
        <v>123</v>
      </c>
      <c r="N272" s="75">
        <v>122</v>
      </c>
      <c r="O272" s="75">
        <v>111</v>
      </c>
      <c r="P272" s="7"/>
      <c r="Q272" s="98">
        <v>123</v>
      </c>
      <c r="R272" s="98">
        <v>123</v>
      </c>
      <c r="S272" s="98">
        <v>123</v>
      </c>
      <c r="T272" s="98">
        <v>123</v>
      </c>
      <c r="U272" s="70">
        <v>111</v>
      </c>
      <c r="V272" s="70">
        <v>111</v>
      </c>
      <c r="W272" s="70">
        <v>111</v>
      </c>
      <c r="X272" s="7"/>
      <c r="Y272" s="75">
        <v>1</v>
      </c>
      <c r="Z272" s="75">
        <v>1</v>
      </c>
      <c r="AA272" s="75">
        <v>1</v>
      </c>
      <c r="AB272" s="7"/>
      <c r="AC272" s="87">
        <v>0.5</v>
      </c>
      <c r="AD272" s="87">
        <v>0.4</v>
      </c>
      <c r="AE272" s="87">
        <v>0.6</v>
      </c>
      <c r="AG272" s="109"/>
      <c r="AK272" s="109"/>
      <c r="AO272" s="109"/>
      <c r="AS272" s="109"/>
      <c r="AW272" s="109"/>
      <c r="BA272" s="109"/>
      <c r="BE272" s="109"/>
    </row>
    <row r="273" spans="1:57" ht="16.5" x14ac:dyDescent="0.25">
      <c r="A273" s="204"/>
      <c r="B273" s="9"/>
      <c r="C273" s="63" t="s">
        <v>29</v>
      </c>
      <c r="D273" s="7"/>
      <c r="E273" s="75">
        <v>12</v>
      </c>
      <c r="F273" s="40">
        <v>12</v>
      </c>
      <c r="G273" s="40">
        <f>+[3]Retail!$C$92/1000</f>
        <v>32.077891655640904</v>
      </c>
      <c r="H273" s="7"/>
      <c r="I273" s="75">
        <v>123</v>
      </c>
      <c r="J273" s="40">
        <f>+[3]SME!$C$91/1000</f>
        <v>85.41964139000001</v>
      </c>
      <c r="K273" s="40">
        <v>123</v>
      </c>
      <c r="L273" s="7"/>
      <c r="M273" s="75">
        <v>123</v>
      </c>
      <c r="N273" s="75">
        <v>122</v>
      </c>
      <c r="O273" s="75">
        <v>111</v>
      </c>
      <c r="P273" s="7"/>
      <c r="Q273" s="98">
        <v>123</v>
      </c>
      <c r="R273" s="98">
        <v>123</v>
      </c>
      <c r="S273" s="98">
        <v>123</v>
      </c>
      <c r="T273" s="98">
        <v>123</v>
      </c>
      <c r="U273" s="70">
        <v>111</v>
      </c>
      <c r="V273" s="70">
        <v>111</v>
      </c>
      <c r="W273" s="70">
        <v>111</v>
      </c>
      <c r="X273" s="7"/>
      <c r="Y273" s="75">
        <v>1</v>
      </c>
      <c r="Z273" s="75">
        <v>1</v>
      </c>
      <c r="AA273" s="75">
        <v>1</v>
      </c>
      <c r="AB273" s="7"/>
      <c r="AC273" s="87">
        <v>0.5</v>
      </c>
      <c r="AD273" s="87">
        <v>0.4</v>
      </c>
      <c r="AE273" s="87">
        <v>0.6</v>
      </c>
      <c r="AG273" s="109"/>
      <c r="AK273" s="109"/>
      <c r="AO273" s="109"/>
      <c r="AS273" s="109"/>
      <c r="AW273" s="109"/>
      <c r="BA273" s="109"/>
      <c r="BE273" s="109"/>
    </row>
    <row r="274" spans="1:57" ht="16.5" x14ac:dyDescent="0.25">
      <c r="A274" s="204"/>
      <c r="B274" s="9"/>
      <c r="C274" s="63" t="s">
        <v>58</v>
      </c>
      <c r="D274" s="7"/>
      <c r="E274" s="75">
        <v>12</v>
      </c>
      <c r="F274" s="40">
        <v>12</v>
      </c>
      <c r="G274" s="40">
        <f>+[3]Retail!$C$92/1000</f>
        <v>32.077891655640904</v>
      </c>
      <c r="H274" s="7"/>
      <c r="I274" s="75">
        <v>123</v>
      </c>
      <c r="J274" s="40">
        <f>+[3]SME!$C$91/1000</f>
        <v>85.41964139000001</v>
      </c>
      <c r="K274" s="40">
        <v>123</v>
      </c>
      <c r="L274" s="7"/>
      <c r="M274" s="75">
        <v>123</v>
      </c>
      <c r="N274" s="75">
        <v>122</v>
      </c>
      <c r="O274" s="75">
        <v>111</v>
      </c>
      <c r="P274" s="7"/>
      <c r="Q274" s="98">
        <v>123</v>
      </c>
      <c r="R274" s="98">
        <v>123</v>
      </c>
      <c r="S274" s="98">
        <v>123</v>
      </c>
      <c r="T274" s="98">
        <v>123</v>
      </c>
      <c r="U274" s="70">
        <v>111</v>
      </c>
      <c r="V274" s="70">
        <v>111</v>
      </c>
      <c r="W274" s="70">
        <v>111</v>
      </c>
      <c r="X274" s="7"/>
      <c r="Y274" s="75">
        <v>1</v>
      </c>
      <c r="Z274" s="75">
        <v>1</v>
      </c>
      <c r="AA274" s="75">
        <v>1</v>
      </c>
      <c r="AB274" s="7"/>
      <c r="AC274" s="87">
        <v>0.5</v>
      </c>
      <c r="AD274" s="87">
        <v>0.4</v>
      </c>
      <c r="AE274" s="87">
        <v>0.6</v>
      </c>
      <c r="AG274" s="109"/>
      <c r="AK274" s="109"/>
      <c r="AO274" s="109"/>
      <c r="AS274" s="109"/>
      <c r="AW274" s="109"/>
      <c r="BA274" s="109"/>
      <c r="BE274" s="109"/>
    </row>
    <row r="275" spans="1:57" ht="16.5" x14ac:dyDescent="0.25">
      <c r="A275" s="204"/>
      <c r="B275" s="9"/>
      <c r="C275" s="65" t="s">
        <v>59</v>
      </c>
      <c r="D275" s="8"/>
      <c r="E275" s="75">
        <v>12</v>
      </c>
      <c r="F275" s="40">
        <v>12</v>
      </c>
      <c r="G275" s="40">
        <f>+[3]Retail!$C$92/1000</f>
        <v>32.077891655640904</v>
      </c>
      <c r="H275" s="8"/>
      <c r="I275" s="75">
        <v>123</v>
      </c>
      <c r="J275" s="40">
        <f>+[3]SME!$C$91/1000</f>
        <v>85.41964139000001</v>
      </c>
      <c r="K275" s="40">
        <v>123</v>
      </c>
      <c r="L275" s="8"/>
      <c r="M275" s="75">
        <v>123</v>
      </c>
      <c r="N275" s="75">
        <v>122</v>
      </c>
      <c r="O275" s="75">
        <v>111</v>
      </c>
      <c r="P275" s="8"/>
      <c r="Q275" s="98">
        <v>123</v>
      </c>
      <c r="R275" s="98">
        <v>123</v>
      </c>
      <c r="S275" s="98">
        <v>123</v>
      </c>
      <c r="T275" s="98">
        <v>123</v>
      </c>
      <c r="U275" s="70">
        <v>111</v>
      </c>
      <c r="V275" s="70">
        <v>111</v>
      </c>
      <c r="W275" s="70">
        <v>111</v>
      </c>
      <c r="X275" s="8"/>
      <c r="Y275" s="75">
        <v>1</v>
      </c>
      <c r="Z275" s="75">
        <v>1</v>
      </c>
      <c r="AA275" s="75">
        <v>1</v>
      </c>
      <c r="AB275" s="8"/>
      <c r="AC275" s="87">
        <v>0.5</v>
      </c>
      <c r="AD275" s="87">
        <v>0.4</v>
      </c>
      <c r="AE275" s="87">
        <v>0.6</v>
      </c>
      <c r="AG275" s="109"/>
      <c r="AK275" s="109"/>
      <c r="AO275" s="109"/>
      <c r="AS275" s="109"/>
      <c r="AW275" s="109"/>
      <c r="BA275" s="109"/>
      <c r="BE275" s="109"/>
    </row>
    <row r="276" spans="1:57" ht="16.5" x14ac:dyDescent="0.25">
      <c r="A276" s="204"/>
      <c r="B276" s="9"/>
      <c r="C276" s="65" t="s">
        <v>60</v>
      </c>
      <c r="D276" s="8"/>
      <c r="E276" s="75">
        <v>12</v>
      </c>
      <c r="F276" s="40">
        <v>12</v>
      </c>
      <c r="G276" s="40">
        <f>+[3]Retail!$C$92/1000</f>
        <v>32.077891655640904</v>
      </c>
      <c r="H276" s="8"/>
      <c r="I276" s="75">
        <v>123</v>
      </c>
      <c r="J276" s="40">
        <f>+[3]SME!$C$91/1000</f>
        <v>85.41964139000001</v>
      </c>
      <c r="K276" s="40">
        <v>123</v>
      </c>
      <c r="L276" s="8"/>
      <c r="M276" s="75">
        <v>123</v>
      </c>
      <c r="N276" s="75">
        <v>122</v>
      </c>
      <c r="O276" s="75">
        <v>111</v>
      </c>
      <c r="P276" s="8"/>
      <c r="Q276" s="98">
        <v>123</v>
      </c>
      <c r="R276" s="98">
        <v>123</v>
      </c>
      <c r="S276" s="98">
        <v>123</v>
      </c>
      <c r="T276" s="98">
        <v>123</v>
      </c>
      <c r="U276" s="70">
        <v>111</v>
      </c>
      <c r="V276" s="70">
        <v>111</v>
      </c>
      <c r="W276" s="70">
        <v>111</v>
      </c>
      <c r="X276" s="8"/>
      <c r="Y276" s="75">
        <v>1</v>
      </c>
      <c r="Z276" s="75">
        <v>1</v>
      </c>
      <c r="AA276" s="75">
        <v>1</v>
      </c>
      <c r="AB276" s="8"/>
      <c r="AC276" s="87">
        <v>0.5</v>
      </c>
      <c r="AD276" s="87">
        <v>0.4</v>
      </c>
      <c r="AE276" s="87">
        <v>0.6</v>
      </c>
      <c r="AG276" s="109"/>
      <c r="AK276" s="109"/>
      <c r="AO276" s="109"/>
      <c r="AS276" s="109"/>
      <c r="AW276" s="109"/>
      <c r="BA276" s="109"/>
      <c r="BE276" s="109"/>
    </row>
    <row r="277" spans="1:57" ht="16.5" x14ac:dyDescent="0.25">
      <c r="A277" s="204"/>
      <c r="B277" s="9"/>
      <c r="C277" s="65" t="s">
        <v>61</v>
      </c>
      <c r="D277" s="8"/>
      <c r="E277" s="75">
        <v>12</v>
      </c>
      <c r="F277" s="40">
        <v>12</v>
      </c>
      <c r="G277" s="40">
        <f>+[3]Retail!$C$92/1000</f>
        <v>32.077891655640904</v>
      </c>
      <c r="H277" s="8"/>
      <c r="I277" s="75">
        <v>123</v>
      </c>
      <c r="J277" s="40">
        <f>+[3]SME!$C$91/1000</f>
        <v>85.41964139000001</v>
      </c>
      <c r="K277" s="40">
        <v>123</v>
      </c>
      <c r="L277" s="8"/>
      <c r="M277" s="75">
        <v>123</v>
      </c>
      <c r="N277" s="75">
        <v>122</v>
      </c>
      <c r="O277" s="75">
        <v>111</v>
      </c>
      <c r="P277" s="8"/>
      <c r="Q277" s="98">
        <v>123</v>
      </c>
      <c r="R277" s="98">
        <v>123</v>
      </c>
      <c r="S277" s="98">
        <v>123</v>
      </c>
      <c r="T277" s="98">
        <v>123</v>
      </c>
      <c r="U277" s="70">
        <v>111</v>
      </c>
      <c r="V277" s="70">
        <v>111</v>
      </c>
      <c r="W277" s="70">
        <v>111</v>
      </c>
      <c r="X277" s="8"/>
      <c r="Y277" s="75">
        <v>1</v>
      </c>
      <c r="Z277" s="75">
        <v>1</v>
      </c>
      <c r="AA277" s="75">
        <v>1</v>
      </c>
      <c r="AB277" s="8"/>
      <c r="AC277" s="87">
        <v>0.5</v>
      </c>
      <c r="AD277" s="87">
        <v>0.4</v>
      </c>
      <c r="AE277" s="87">
        <v>0.6</v>
      </c>
      <c r="AG277" s="109"/>
      <c r="AK277" s="109"/>
      <c r="AO277" s="109"/>
      <c r="AS277" s="109"/>
      <c r="AW277" s="109"/>
      <c r="BA277" s="109"/>
      <c r="BE277" s="109"/>
    </row>
    <row r="278" spans="1:57" ht="16.5" x14ac:dyDescent="0.25">
      <c r="A278" s="204"/>
      <c r="B278" s="9"/>
      <c r="C278" s="63" t="s">
        <v>34</v>
      </c>
      <c r="D278" s="6"/>
      <c r="E278" s="75">
        <v>12</v>
      </c>
      <c r="F278" s="40">
        <v>12</v>
      </c>
      <c r="G278" s="40">
        <f>+[3]Retail!$C$92/1000</f>
        <v>32.077891655640904</v>
      </c>
      <c r="H278" s="6"/>
      <c r="I278" s="75">
        <v>123</v>
      </c>
      <c r="J278" s="40">
        <f>+[3]SME!$C$91/1000</f>
        <v>85.41964139000001</v>
      </c>
      <c r="K278" s="40">
        <v>123</v>
      </c>
      <c r="L278" s="6"/>
      <c r="M278" s="75">
        <v>123</v>
      </c>
      <c r="N278" s="75" t="s">
        <v>156</v>
      </c>
      <c r="O278" s="75">
        <v>111</v>
      </c>
      <c r="P278" s="6"/>
      <c r="Q278" s="98">
        <v>123</v>
      </c>
      <c r="R278" s="98">
        <v>123</v>
      </c>
      <c r="S278" s="98">
        <v>123</v>
      </c>
      <c r="T278" s="98">
        <v>123</v>
      </c>
      <c r="U278" s="70">
        <v>111</v>
      </c>
      <c r="V278" s="70">
        <v>111</v>
      </c>
      <c r="W278" s="70">
        <v>111</v>
      </c>
      <c r="X278" s="6"/>
      <c r="Y278" s="75">
        <v>1</v>
      </c>
      <c r="Z278" s="75">
        <v>1</v>
      </c>
      <c r="AA278" s="75">
        <v>1</v>
      </c>
      <c r="AB278" s="6"/>
      <c r="AC278" s="87">
        <v>0.5</v>
      </c>
      <c r="AD278" s="87">
        <v>0.4</v>
      </c>
      <c r="AE278" s="87">
        <v>0.6</v>
      </c>
      <c r="AG278" s="108"/>
      <c r="AK278" s="108"/>
      <c r="AO278" s="108"/>
      <c r="AS278" s="108"/>
      <c r="AW278" s="108"/>
      <c r="BA278" s="108"/>
      <c r="BE278" s="108"/>
    </row>
    <row r="279" spans="1:57" ht="13" x14ac:dyDescent="0.3">
      <c r="F279" s="196">
        <f>((E266-E268)-(F266-F268))*E264</f>
        <v>0</v>
      </c>
      <c r="I279" s="196">
        <f>I263-I8</f>
        <v>120</v>
      </c>
      <c r="J279" s="196">
        <f>1-J278/J264-J265</f>
        <v>-85.41964139000001</v>
      </c>
      <c r="K279" s="199">
        <f>(K272*K264-K17*K9)/(K264-K9)</f>
        <v>126</v>
      </c>
      <c r="M279" s="197" t="e">
        <f>((M266-M268-(M11-M13))-(O266-O268-(O11-O13)))*(M264-M9)</f>
        <v>#VALUE!</v>
      </c>
      <c r="N279" t="e">
        <f>((M266-M268-(M11-M13))-(N266-N268-(N11-N13)))*(M264-M9)</f>
        <v>#VALUE!</v>
      </c>
      <c r="Q279" s="67">
        <f>(Q267+Q270-R267-R270)</f>
        <v>0</v>
      </c>
      <c r="R279">
        <f>Q279*Q264</f>
        <v>0</v>
      </c>
      <c r="U279" s="196">
        <f>U263-U8</f>
        <v>-12</v>
      </c>
      <c r="V279" s="200">
        <f>1-V278/V264</f>
        <v>0</v>
      </c>
    </row>
    <row r="280" spans="1:57" ht="16.5" customHeight="1" x14ac:dyDescent="0.25">
      <c r="A280" s="219" t="s">
        <v>48</v>
      </c>
      <c r="B280" s="9"/>
      <c r="C280" s="49" t="s">
        <v>19</v>
      </c>
      <c r="D280" s="6"/>
      <c r="E280" s="79">
        <f>+[1]Retail!$C$69/1000</f>
        <v>0</v>
      </c>
      <c r="F280" s="79">
        <f>+[1]Retail!$C$69/1000</f>
        <v>0</v>
      </c>
      <c r="G280" s="79">
        <f>+[1]Retail!$C$69/1000</f>
        <v>0</v>
      </c>
      <c r="H280" s="6"/>
      <c r="I280" s="76">
        <v>123</v>
      </c>
      <c r="J280" s="56">
        <v>123</v>
      </c>
      <c r="K280" s="56">
        <v>1222</v>
      </c>
      <c r="L280" s="6"/>
      <c r="M280" s="79">
        <f>+[1]MidCorp!$C$69/1000</f>
        <v>0</v>
      </c>
      <c r="N280" s="56">
        <f>+[1]MidCorp!$C$70/1000</f>
        <v>0</v>
      </c>
      <c r="O280" s="56">
        <f>+[1]MidCorp!$C$71/1000</f>
        <v>0</v>
      </c>
      <c r="P280" s="6"/>
      <c r="Q280" s="76">
        <f>+[1]MGA!$C$69/1000</f>
        <v>0.78497925999999996</v>
      </c>
      <c r="R280" s="56">
        <f>+[1]MGA!$C$70/1000</f>
        <v>0</v>
      </c>
      <c r="S280" s="56">
        <f>+[1]MGA!$C$71/1000</f>
        <v>0.43636000000000003</v>
      </c>
      <c r="T280" s="6"/>
      <c r="U280" s="79">
        <f>+[1]Bancassurance!$C$69/1000</f>
        <v>0</v>
      </c>
      <c r="V280" s="56">
        <v>3</v>
      </c>
      <c r="W280" s="56">
        <f>+[1]Bancassurance!$C$71/1000</f>
        <v>0.13463</v>
      </c>
      <c r="X280" s="6"/>
      <c r="Y280" s="79">
        <f>+[1]Specials!$C$69/1000</f>
        <v>0</v>
      </c>
      <c r="Z280" s="56">
        <f>+[1]Specials!$C$70/1000</f>
        <v>0</v>
      </c>
      <c r="AA280" s="56">
        <f>+[1]Specials!$C$71/1000</f>
        <v>0</v>
      </c>
      <c r="AB280" s="6"/>
      <c r="AC280" s="88">
        <f>+'[1]Total P&amp;C'!$C$69/1000</f>
        <v>64.406278970000002</v>
      </c>
      <c r="AD280" s="61">
        <f>+'[1]Total P&amp;C'!$C$70/1000</f>
        <v>59.630830390000035</v>
      </c>
      <c r="AE280" s="61">
        <f>+'[1]Total P&amp;C'!$C$71/1000</f>
        <v>56.759920000000001</v>
      </c>
      <c r="AG280" s="108"/>
      <c r="AK280" s="108"/>
      <c r="AO280" s="108"/>
      <c r="AS280" s="108"/>
      <c r="AW280" s="108"/>
      <c r="BA280" s="108"/>
      <c r="BE280" s="108"/>
    </row>
    <row r="281" spans="1:57" ht="16.5" customHeight="1" x14ac:dyDescent="0.25">
      <c r="A281" s="219"/>
      <c r="B281" s="9"/>
      <c r="C281" s="49" t="s">
        <v>55</v>
      </c>
      <c r="D281" s="6"/>
      <c r="E281" s="79">
        <f>+[1]Retail!$C$69/1000</f>
        <v>0</v>
      </c>
      <c r="F281" s="79">
        <f>+[1]Retail!$C$69/1000</f>
        <v>0</v>
      </c>
      <c r="G281" s="79">
        <f>+[1]Retail!$C$69/1000</f>
        <v>0</v>
      </c>
      <c r="H281" s="6"/>
      <c r="I281" s="76">
        <v>123</v>
      </c>
      <c r="J281" s="56">
        <v>123</v>
      </c>
      <c r="K281" s="56">
        <v>1222</v>
      </c>
      <c r="L281" s="6"/>
      <c r="M281" s="79">
        <f>+[1]MidCorp!$C$69/1000</f>
        <v>0</v>
      </c>
      <c r="N281" s="56">
        <f>+[1]MidCorp!$C$70/1000</f>
        <v>0</v>
      </c>
      <c r="O281" s="56">
        <f>+[1]MidCorp!$C$71/1000</f>
        <v>0</v>
      </c>
      <c r="P281" s="6"/>
      <c r="Q281" s="76">
        <f>+[1]MGA!$C$69/1000</f>
        <v>0.78497925999999996</v>
      </c>
      <c r="R281" s="56">
        <f>+[1]MGA!$C$70/1000</f>
        <v>0</v>
      </c>
      <c r="S281" s="56">
        <f>+[1]MGA!$C$71/1000</f>
        <v>0.43636000000000003</v>
      </c>
      <c r="T281" s="6"/>
      <c r="U281" s="79">
        <f>+[1]Bancassurance!$C$69/1000</f>
        <v>0</v>
      </c>
      <c r="V281" s="56">
        <v>3</v>
      </c>
      <c r="W281" s="56">
        <f>+[1]Bancassurance!$C$71/1000</f>
        <v>0.13463</v>
      </c>
      <c r="X281" s="6"/>
      <c r="Y281" s="79">
        <f>+[1]Specials!$C$69/1000</f>
        <v>0</v>
      </c>
      <c r="Z281" s="56">
        <f>+[1]Specials!$C$70/1000</f>
        <v>0</v>
      </c>
      <c r="AA281" s="56">
        <f>+[1]Specials!$C$71/1000</f>
        <v>0</v>
      </c>
      <c r="AB281" s="6"/>
      <c r="AC281" s="88">
        <f>+'[1]Total P&amp;C'!$C$69/1000</f>
        <v>64.406278970000002</v>
      </c>
      <c r="AD281" s="61">
        <f>+'[1]Total P&amp;C'!$C$70/1000</f>
        <v>59.630830390000035</v>
      </c>
      <c r="AE281" s="61">
        <f>+'[1]Total P&amp;C'!$C$71/1000</f>
        <v>56.759920000000001</v>
      </c>
      <c r="AG281" s="108"/>
      <c r="AK281" s="108"/>
      <c r="AO281" s="108"/>
      <c r="AS281" s="108"/>
      <c r="AW281" s="108"/>
      <c r="BA281" s="108"/>
      <c r="BE281" s="108"/>
    </row>
    <row r="282" spans="1:57" ht="16.5" customHeight="1" x14ac:dyDescent="0.25">
      <c r="A282" s="219"/>
      <c r="B282" s="9"/>
      <c r="C282" s="49" t="s">
        <v>21</v>
      </c>
      <c r="D282" s="6"/>
      <c r="E282" s="79">
        <f>+[1]Retail!$C$69/1000</f>
        <v>0</v>
      </c>
      <c r="F282" s="79">
        <f>+[1]Retail!$C$69/1000</f>
        <v>0</v>
      </c>
      <c r="G282" s="79">
        <f>+[1]Retail!$C$69/1000</f>
        <v>0</v>
      </c>
      <c r="H282" s="6"/>
      <c r="I282" s="76">
        <v>123</v>
      </c>
      <c r="J282" s="56">
        <v>123</v>
      </c>
      <c r="K282" s="56">
        <v>1222</v>
      </c>
      <c r="L282" s="6"/>
      <c r="M282" s="79">
        <f>+[1]MidCorp!$C$69/1000</f>
        <v>0</v>
      </c>
      <c r="N282" s="56">
        <f>+[1]MidCorp!$C$70/1000</f>
        <v>0</v>
      </c>
      <c r="O282" s="56">
        <f>+[1]MidCorp!$C$71/1000</f>
        <v>0</v>
      </c>
      <c r="P282" s="6"/>
      <c r="Q282" s="76">
        <f>+[1]MGA!$C$69/1000</f>
        <v>0.78497925999999996</v>
      </c>
      <c r="R282" s="56">
        <f>+[1]MGA!$C$70/1000</f>
        <v>0</v>
      </c>
      <c r="S282" s="56">
        <f>+[1]MGA!$C$71/1000</f>
        <v>0.43636000000000003</v>
      </c>
      <c r="T282" s="6"/>
      <c r="U282" s="79">
        <f>+[1]Bancassurance!$C$69/1000</f>
        <v>0</v>
      </c>
      <c r="V282" s="56">
        <v>3</v>
      </c>
      <c r="W282" s="56">
        <f>+[1]Bancassurance!$C$71/1000</f>
        <v>0.13463</v>
      </c>
      <c r="X282" s="6"/>
      <c r="Y282" s="79">
        <f>+[1]Specials!$C$69/1000</f>
        <v>0</v>
      </c>
      <c r="Z282" s="56">
        <f>+[1]Specials!$C$70/1000</f>
        <v>0</v>
      </c>
      <c r="AA282" s="56">
        <f>+[1]Specials!$C$71/1000</f>
        <v>0</v>
      </c>
      <c r="AB282" s="6"/>
      <c r="AC282" s="88">
        <f>+'[1]Total P&amp;C'!$C$69/1000</f>
        <v>64.406278970000002</v>
      </c>
      <c r="AD282" s="61">
        <f>+'[1]Total P&amp;C'!$C$70/1000</f>
        <v>59.630830390000035</v>
      </c>
      <c r="AE282" s="61">
        <f>+'[1]Total P&amp;C'!$C$71/1000</f>
        <v>56.759920000000001</v>
      </c>
      <c r="AG282" s="109"/>
      <c r="AK282" s="109"/>
      <c r="AO282" s="109"/>
      <c r="AS282" s="109"/>
      <c r="AW282" s="109"/>
      <c r="BA282" s="109"/>
      <c r="BE282" s="109"/>
    </row>
    <row r="283" spans="1:57" ht="16.5" customHeight="1" x14ac:dyDescent="0.25">
      <c r="A283" s="219"/>
      <c r="B283" s="9"/>
      <c r="C283" s="49" t="s">
        <v>56</v>
      </c>
      <c r="D283" s="6"/>
      <c r="E283" s="79">
        <f>+[1]Retail!$C$69/1000</f>
        <v>0</v>
      </c>
      <c r="F283" s="79">
        <f>+[1]Retail!$C$69/1000</f>
        <v>0</v>
      </c>
      <c r="G283" s="79">
        <f>+[1]Retail!$C$69/1000</f>
        <v>0</v>
      </c>
      <c r="H283" s="6"/>
      <c r="I283" s="76">
        <v>123</v>
      </c>
      <c r="J283" s="56">
        <v>123</v>
      </c>
      <c r="K283" s="56">
        <v>1222</v>
      </c>
      <c r="L283" s="6"/>
      <c r="M283" s="79">
        <f>+[1]MidCorp!$C$69/1000</f>
        <v>0</v>
      </c>
      <c r="N283" s="56">
        <f>+[1]MidCorp!$C$70/1000</f>
        <v>0</v>
      </c>
      <c r="O283" s="56">
        <f>+[1]MidCorp!$C$71/1000</f>
        <v>0</v>
      </c>
      <c r="P283" s="6"/>
      <c r="Q283" s="76">
        <f>+[1]MGA!$C$69/1000</f>
        <v>0.78497925999999996</v>
      </c>
      <c r="R283" s="56">
        <f>+[1]MGA!$C$70/1000</f>
        <v>0</v>
      </c>
      <c r="S283" s="56">
        <f>+[1]MGA!$C$71/1000</f>
        <v>0.43636000000000003</v>
      </c>
      <c r="T283" s="6"/>
      <c r="U283" s="79">
        <f>+[1]Bancassurance!$C$69/1000</f>
        <v>0</v>
      </c>
      <c r="V283" s="56">
        <v>3</v>
      </c>
      <c r="W283" s="56">
        <f>+[1]Bancassurance!$C$71/1000</f>
        <v>0.13463</v>
      </c>
      <c r="X283" s="6"/>
      <c r="Y283" s="79">
        <f>+[1]Specials!$C$69/1000</f>
        <v>0</v>
      </c>
      <c r="Z283" s="56">
        <f>+[1]Specials!$C$70/1000</f>
        <v>0</v>
      </c>
      <c r="AA283" s="56">
        <f>+[1]Specials!$C$71/1000</f>
        <v>0</v>
      </c>
      <c r="AB283" s="6"/>
      <c r="AC283" s="88">
        <f>+'[1]Total P&amp;C'!$C$69/1000</f>
        <v>64.406278970000002</v>
      </c>
      <c r="AD283" s="61">
        <f>+'[1]Total P&amp;C'!$C$70/1000</f>
        <v>59.630830390000035</v>
      </c>
      <c r="AE283" s="61">
        <f>+'[1]Total P&amp;C'!$C$71/1000</f>
        <v>56.759920000000001</v>
      </c>
      <c r="AG283" s="109"/>
      <c r="AK283" s="109"/>
      <c r="AO283" s="109"/>
      <c r="AS283" s="109"/>
      <c r="AW283" s="109"/>
      <c r="BA283" s="109"/>
      <c r="BE283" s="109"/>
    </row>
    <row r="284" spans="1:57" ht="16.5" customHeight="1" x14ac:dyDescent="0.25">
      <c r="A284" s="219"/>
      <c r="B284" s="9"/>
      <c r="C284" s="48" t="s">
        <v>23</v>
      </c>
      <c r="D284" s="6"/>
      <c r="E284" s="79">
        <f>+[1]Retail!$C$69/1000</f>
        <v>0</v>
      </c>
      <c r="F284" s="79">
        <f>+[1]Retail!$C$69/1000</f>
        <v>0</v>
      </c>
      <c r="G284" s="79">
        <f>+[1]Retail!$C$69/1000</f>
        <v>0</v>
      </c>
      <c r="H284" s="6"/>
      <c r="I284" s="76">
        <v>123</v>
      </c>
      <c r="J284" s="56">
        <v>123</v>
      </c>
      <c r="K284" s="56">
        <v>1222</v>
      </c>
      <c r="L284" s="6"/>
      <c r="M284" s="79">
        <f>+[1]MidCorp!$C$69/1000</f>
        <v>0</v>
      </c>
      <c r="N284" s="56">
        <f>+[1]MidCorp!$C$70/1000</f>
        <v>0</v>
      </c>
      <c r="O284" s="56">
        <f>+[1]MidCorp!$C$71/1000</f>
        <v>0</v>
      </c>
      <c r="P284" s="6"/>
      <c r="Q284" s="76">
        <f>+[1]MGA!$C$69/1000</f>
        <v>0.78497925999999996</v>
      </c>
      <c r="R284" s="56">
        <f>+[1]MGA!$C$70/1000</f>
        <v>0</v>
      </c>
      <c r="S284" s="56">
        <f>+[1]MGA!$C$71/1000</f>
        <v>0.43636000000000003</v>
      </c>
      <c r="T284" s="6"/>
      <c r="U284" s="79">
        <f>+[1]Bancassurance!$C$69/1000</f>
        <v>0</v>
      </c>
      <c r="V284" s="56">
        <v>3</v>
      </c>
      <c r="W284" s="56">
        <f>+[1]Bancassurance!$C$71/1000</f>
        <v>0.13463</v>
      </c>
      <c r="X284" s="6"/>
      <c r="Y284" s="79">
        <f>+[1]Specials!$C$69/1000</f>
        <v>0</v>
      </c>
      <c r="Z284" s="56">
        <f>+[1]Specials!$C$70/1000</f>
        <v>0</v>
      </c>
      <c r="AA284" s="56">
        <f>+[1]Specials!$C$71/1000</f>
        <v>0</v>
      </c>
      <c r="AB284" s="6"/>
      <c r="AC284" s="88">
        <f>+'[1]Total P&amp;C'!$C$69/1000</f>
        <v>64.406278970000002</v>
      </c>
      <c r="AD284" s="61">
        <f>+'[1]Total P&amp;C'!$C$70/1000</f>
        <v>59.630830390000035</v>
      </c>
      <c r="AE284" s="61">
        <f>+'[1]Total P&amp;C'!$C$71/1000</f>
        <v>56.759920000000001</v>
      </c>
      <c r="AG284" s="109"/>
      <c r="AK284" s="109"/>
      <c r="AO284" s="109"/>
      <c r="AS284" s="109"/>
      <c r="AW284" s="109"/>
      <c r="BA284" s="109"/>
      <c r="BE284" s="109"/>
    </row>
    <row r="285" spans="1:57" ht="16.5" customHeight="1" x14ac:dyDescent="0.25">
      <c r="A285" s="219"/>
      <c r="B285" s="9"/>
      <c r="C285" s="48" t="s">
        <v>24</v>
      </c>
      <c r="D285" s="7"/>
      <c r="E285" s="79">
        <f>+[1]Retail!$C$69/1000</f>
        <v>0</v>
      </c>
      <c r="F285" s="79">
        <f>+[1]Retail!$C$69/1000</f>
        <v>0</v>
      </c>
      <c r="G285" s="79">
        <f>+[1]Retail!$C$69/1000</f>
        <v>0</v>
      </c>
      <c r="H285" s="7"/>
      <c r="I285" s="76">
        <v>123</v>
      </c>
      <c r="J285" s="56">
        <v>123</v>
      </c>
      <c r="K285" s="56">
        <v>1222</v>
      </c>
      <c r="L285" s="7"/>
      <c r="M285" s="79">
        <f>+[1]MidCorp!$C$69/1000</f>
        <v>0</v>
      </c>
      <c r="N285" s="56">
        <f>+[1]MidCorp!$C$70/1000</f>
        <v>0</v>
      </c>
      <c r="O285" s="56">
        <f>+[1]MidCorp!$C$71/1000</f>
        <v>0</v>
      </c>
      <c r="P285" s="7"/>
      <c r="Q285" s="76">
        <f>+[1]MGA!$C$69/1000</f>
        <v>0.78497925999999996</v>
      </c>
      <c r="R285" s="56">
        <f>+[1]MGA!$C$70/1000</f>
        <v>0</v>
      </c>
      <c r="S285" s="56">
        <f>+[1]MGA!$C$71/1000</f>
        <v>0.43636000000000003</v>
      </c>
      <c r="T285" s="7"/>
      <c r="U285" s="79">
        <f>+[1]Bancassurance!$C$69/1000</f>
        <v>0</v>
      </c>
      <c r="V285" s="56">
        <v>3</v>
      </c>
      <c r="W285" s="56">
        <f>+[1]Bancassurance!$C$71/1000</f>
        <v>0.13463</v>
      </c>
      <c r="X285" s="7"/>
      <c r="Y285" s="79">
        <f>+[1]Specials!$C$69/1000</f>
        <v>0</v>
      </c>
      <c r="Z285" s="56">
        <f>+[1]Specials!$C$70/1000</f>
        <v>0</v>
      </c>
      <c r="AA285" s="56">
        <f>+[1]Specials!$C$71/1000</f>
        <v>0</v>
      </c>
      <c r="AB285" s="7"/>
      <c r="AC285" s="88">
        <f>+'[1]Total P&amp;C'!$C$69/1000</f>
        <v>64.406278970000002</v>
      </c>
      <c r="AD285" s="61">
        <f>+'[1]Total P&amp;C'!$C$70/1000</f>
        <v>59.630830390000035</v>
      </c>
      <c r="AE285" s="61">
        <f>+'[1]Total P&amp;C'!$C$71/1000</f>
        <v>56.759920000000001</v>
      </c>
      <c r="AG285" s="109"/>
      <c r="AK285" s="109"/>
      <c r="AO285" s="109"/>
      <c r="AS285" s="109"/>
      <c r="AW285" s="109"/>
      <c r="BA285" s="109"/>
      <c r="BE285" s="109"/>
    </row>
    <row r="286" spans="1:57" ht="16.5" customHeight="1" x14ac:dyDescent="0.25">
      <c r="A286" s="219"/>
      <c r="B286" s="9"/>
      <c r="C286" s="48" t="s">
        <v>25</v>
      </c>
      <c r="D286" s="7"/>
      <c r="E286" s="79">
        <f>+[1]Retail!$C$69/1000</f>
        <v>0</v>
      </c>
      <c r="F286" s="79">
        <f>+[1]Retail!$C$69/1000</f>
        <v>0</v>
      </c>
      <c r="G286" s="79">
        <f>+[1]Retail!$C$69/1000</f>
        <v>0</v>
      </c>
      <c r="H286" s="7"/>
      <c r="I286" s="76">
        <v>123</v>
      </c>
      <c r="J286" s="56">
        <v>123</v>
      </c>
      <c r="K286" s="56">
        <v>1222</v>
      </c>
      <c r="L286" s="7"/>
      <c r="M286" s="79">
        <f>+[1]MidCorp!$C$69/1000</f>
        <v>0</v>
      </c>
      <c r="N286" s="56">
        <f>+[1]MidCorp!$C$70/1000</f>
        <v>0</v>
      </c>
      <c r="O286" s="56">
        <f>+[1]MidCorp!$C$71/1000</f>
        <v>0</v>
      </c>
      <c r="P286" s="7"/>
      <c r="Q286" s="76">
        <f>+[1]MGA!$C$69/1000</f>
        <v>0.78497925999999996</v>
      </c>
      <c r="R286" s="56">
        <f>+[1]MGA!$C$70/1000</f>
        <v>0</v>
      </c>
      <c r="S286" s="56">
        <f>+[1]MGA!$C$71/1000</f>
        <v>0.43636000000000003</v>
      </c>
      <c r="T286" s="7"/>
      <c r="U286" s="79">
        <f>+[1]Bancassurance!$C$69/1000</f>
        <v>0</v>
      </c>
      <c r="V286" s="56">
        <v>3</v>
      </c>
      <c r="W286" s="56">
        <f>+[1]Bancassurance!$C$71/1000</f>
        <v>0.13463</v>
      </c>
      <c r="X286" s="7"/>
      <c r="Y286" s="79">
        <f>+[1]Specials!$C$69/1000</f>
        <v>0</v>
      </c>
      <c r="Z286" s="56">
        <f>+[1]Specials!$C$70/1000</f>
        <v>0</v>
      </c>
      <c r="AA286" s="56">
        <f>+[1]Specials!$C$71/1000</f>
        <v>0</v>
      </c>
      <c r="AB286" s="7"/>
      <c r="AC286" s="88">
        <f>+'[1]Total P&amp;C'!$C$69/1000</f>
        <v>64.406278970000002</v>
      </c>
      <c r="AD286" s="61">
        <f>+'[1]Total P&amp;C'!$C$70/1000</f>
        <v>59.630830390000035</v>
      </c>
      <c r="AE286" s="61">
        <f>+'[1]Total P&amp;C'!$C$71/1000</f>
        <v>56.759920000000001</v>
      </c>
      <c r="AG286" s="109"/>
      <c r="AK286" s="109"/>
      <c r="AO286" s="109"/>
      <c r="AS286" s="109"/>
      <c r="AW286" s="109"/>
      <c r="BA286" s="109"/>
      <c r="BE286" s="109"/>
    </row>
    <row r="287" spans="1:57" ht="16.5" customHeight="1" x14ac:dyDescent="0.25">
      <c r="A287" s="219"/>
      <c r="B287" s="9"/>
      <c r="C287" s="48" t="s">
        <v>53</v>
      </c>
      <c r="D287" s="7"/>
      <c r="E287" s="79">
        <f>+[1]Retail!$C$69/1000</f>
        <v>0</v>
      </c>
      <c r="F287" s="79">
        <f>+[1]Retail!$C$69/1000</f>
        <v>0</v>
      </c>
      <c r="G287" s="79">
        <f>+[1]Retail!$C$69/1000</f>
        <v>0</v>
      </c>
      <c r="H287" s="7"/>
      <c r="I287" s="76">
        <v>123</v>
      </c>
      <c r="J287" s="56">
        <v>123</v>
      </c>
      <c r="K287" s="56">
        <v>1222</v>
      </c>
      <c r="L287" s="7"/>
      <c r="M287" s="79">
        <f>+[1]MidCorp!$C$69/1000</f>
        <v>0</v>
      </c>
      <c r="N287" s="56">
        <f>+[1]MidCorp!$C$70/1000</f>
        <v>0</v>
      </c>
      <c r="O287" s="56">
        <f>+[1]MidCorp!$C$71/1000</f>
        <v>0</v>
      </c>
      <c r="P287" s="7"/>
      <c r="Q287" s="76">
        <f>+[1]MGA!$C$69/1000</f>
        <v>0.78497925999999996</v>
      </c>
      <c r="R287" s="56">
        <f>+[1]MGA!$C$70/1000</f>
        <v>0</v>
      </c>
      <c r="S287" s="56">
        <f>+[1]MGA!$C$71/1000</f>
        <v>0.43636000000000003</v>
      </c>
      <c r="T287" s="7"/>
      <c r="U287" s="79">
        <f>+[1]Bancassurance!$C$69/1000</f>
        <v>0</v>
      </c>
      <c r="V287" s="56">
        <v>3</v>
      </c>
      <c r="W287" s="56">
        <f>+[1]Bancassurance!$C$71/1000</f>
        <v>0.13463</v>
      </c>
      <c r="X287" s="7"/>
      <c r="Y287" s="79">
        <f>+[1]Specials!$C$69/1000</f>
        <v>0</v>
      </c>
      <c r="Z287" s="56">
        <f>+[1]Specials!$C$70/1000</f>
        <v>0</v>
      </c>
      <c r="AA287" s="56">
        <f>+[1]Specials!$C$71/1000</f>
        <v>0</v>
      </c>
      <c r="AB287" s="7"/>
      <c r="AC287" s="88">
        <f>+'[1]Total P&amp;C'!$C$69/1000</f>
        <v>64.406278970000002</v>
      </c>
      <c r="AD287" s="61">
        <f>+'[1]Total P&amp;C'!$C$70/1000</f>
        <v>59.630830390000035</v>
      </c>
      <c r="AE287" s="61">
        <f>+'[1]Total P&amp;C'!$C$71/1000</f>
        <v>56.759920000000001</v>
      </c>
      <c r="AG287" s="109"/>
      <c r="AK287" s="109"/>
      <c r="AO287" s="109"/>
      <c r="AS287" s="109"/>
      <c r="AW287" s="109"/>
      <c r="BA287" s="109"/>
      <c r="BE287" s="109"/>
    </row>
    <row r="288" spans="1:57" ht="16.5" customHeight="1" x14ac:dyDescent="0.25">
      <c r="A288" s="219"/>
      <c r="B288" s="9"/>
      <c r="C288" s="49" t="s">
        <v>27</v>
      </c>
      <c r="D288" s="7"/>
      <c r="E288" s="79">
        <f>+[1]Retail!$C$69/1000</f>
        <v>0</v>
      </c>
      <c r="F288" s="79">
        <f>+[1]Retail!$C$69/1000</f>
        <v>0</v>
      </c>
      <c r="G288" s="79">
        <f>+[1]Retail!$C$69/1000</f>
        <v>0</v>
      </c>
      <c r="H288" s="7"/>
      <c r="I288" s="76">
        <v>123</v>
      </c>
      <c r="J288" s="56">
        <v>123</v>
      </c>
      <c r="K288" s="56">
        <v>1222</v>
      </c>
      <c r="L288" s="7"/>
      <c r="M288" s="79">
        <f>+[1]MidCorp!$C$69/1000</f>
        <v>0</v>
      </c>
      <c r="N288" s="56">
        <f>+[1]MidCorp!$C$70/1000</f>
        <v>0</v>
      </c>
      <c r="O288" s="56">
        <f>+[1]MidCorp!$C$71/1000</f>
        <v>0</v>
      </c>
      <c r="P288" s="7"/>
      <c r="Q288" s="76">
        <f>+[1]MGA!$C$69/1000</f>
        <v>0.78497925999999996</v>
      </c>
      <c r="R288" s="56">
        <f>+[1]MGA!$C$70/1000</f>
        <v>0</v>
      </c>
      <c r="S288" s="56">
        <f>+[1]MGA!$C$71/1000</f>
        <v>0.43636000000000003</v>
      </c>
      <c r="T288" s="7"/>
      <c r="U288" s="79">
        <f>+[1]Bancassurance!$C$69/1000</f>
        <v>0</v>
      </c>
      <c r="V288" s="56">
        <v>3</v>
      </c>
      <c r="W288" s="56">
        <f>+[1]Bancassurance!$C$71/1000</f>
        <v>0.13463</v>
      </c>
      <c r="X288" s="7"/>
      <c r="Y288" s="79">
        <f>+[1]Specials!$C$69/1000</f>
        <v>0</v>
      </c>
      <c r="Z288" s="56">
        <f>+[1]Specials!$C$70/1000</f>
        <v>0</v>
      </c>
      <c r="AA288" s="56">
        <f>+[1]Specials!$C$71/1000</f>
        <v>0</v>
      </c>
      <c r="AB288" s="7"/>
      <c r="AC288" s="88">
        <f>+'[1]Total P&amp;C'!$C$69/1000</f>
        <v>64.406278970000002</v>
      </c>
      <c r="AD288" s="61">
        <f>+'[1]Total P&amp;C'!$C$70/1000</f>
        <v>59.630830390000035</v>
      </c>
      <c r="AE288" s="61">
        <f>+'[1]Total P&amp;C'!$C$71/1000</f>
        <v>56.759920000000001</v>
      </c>
      <c r="AG288" s="109"/>
      <c r="AK288" s="109"/>
      <c r="AO288" s="109"/>
      <c r="AS288" s="109"/>
      <c r="AW288" s="109"/>
      <c r="BA288" s="109"/>
      <c r="BE288" s="109"/>
    </row>
    <row r="289" spans="1:57" ht="16.5" customHeight="1" x14ac:dyDescent="0.25">
      <c r="A289" s="219"/>
      <c r="B289" s="9"/>
      <c r="C289" s="49" t="s">
        <v>57</v>
      </c>
      <c r="D289" s="7"/>
      <c r="E289" s="79">
        <f>+[1]Retail!$C$69/1000</f>
        <v>0</v>
      </c>
      <c r="F289" s="79">
        <f>+[1]Retail!$C$69/1000</f>
        <v>0</v>
      </c>
      <c r="G289" s="79">
        <f>+[1]Retail!$C$69/1000</f>
        <v>0</v>
      </c>
      <c r="H289" s="7"/>
      <c r="I289" s="76">
        <v>123</v>
      </c>
      <c r="J289" s="56">
        <v>123</v>
      </c>
      <c r="K289" s="56">
        <v>1222</v>
      </c>
      <c r="L289" s="7"/>
      <c r="M289" s="79">
        <f>+[1]MidCorp!$C$69/1000</f>
        <v>0</v>
      </c>
      <c r="N289" s="56">
        <f>+[1]MidCorp!$C$70/1000</f>
        <v>0</v>
      </c>
      <c r="O289" s="56">
        <f>+[1]MidCorp!$C$71/1000</f>
        <v>0</v>
      </c>
      <c r="P289" s="7"/>
      <c r="Q289" s="76">
        <f>+[1]MGA!$C$69/1000</f>
        <v>0.78497925999999996</v>
      </c>
      <c r="R289" s="56">
        <f>+[1]MGA!$C$70/1000</f>
        <v>0</v>
      </c>
      <c r="S289" s="56">
        <f>+[1]MGA!$C$71/1000</f>
        <v>0.43636000000000003</v>
      </c>
      <c r="T289" s="7"/>
      <c r="U289" s="79">
        <f>+[1]Bancassurance!$C$69/1000</f>
        <v>0</v>
      </c>
      <c r="V289" s="56">
        <v>3</v>
      </c>
      <c r="W289" s="56">
        <f>+[1]Bancassurance!$C$71/1000</f>
        <v>0.13463</v>
      </c>
      <c r="X289" s="7"/>
      <c r="Y289" s="79">
        <f>+[1]Specials!$C$69/1000</f>
        <v>0</v>
      </c>
      <c r="Z289" s="56">
        <f>+[1]Specials!$C$70/1000</f>
        <v>0</v>
      </c>
      <c r="AA289" s="56">
        <f>+[1]Specials!$C$71/1000</f>
        <v>0</v>
      </c>
      <c r="AB289" s="7"/>
      <c r="AC289" s="88">
        <f>+'[1]Total P&amp;C'!$C$69/1000</f>
        <v>64.406278970000002</v>
      </c>
      <c r="AD289" s="61">
        <f>+'[1]Total P&amp;C'!$C$70/1000</f>
        <v>59.630830390000035</v>
      </c>
      <c r="AE289" s="61">
        <f>+'[1]Total P&amp;C'!$C$71/1000</f>
        <v>56.759920000000001</v>
      </c>
      <c r="AG289" s="109"/>
      <c r="AK289" s="109"/>
      <c r="AO289" s="109"/>
      <c r="AS289" s="109"/>
      <c r="AW289" s="109"/>
      <c r="BA289" s="109"/>
      <c r="BE289" s="109"/>
    </row>
    <row r="290" spans="1:57" ht="16.5" customHeight="1" x14ac:dyDescent="0.25">
      <c r="A290" s="219"/>
      <c r="B290" s="9"/>
      <c r="C290" s="49" t="s">
        <v>29</v>
      </c>
      <c r="D290" s="7"/>
      <c r="E290" s="79">
        <f>+[1]Retail!$C$69/1000</f>
        <v>0</v>
      </c>
      <c r="F290" s="79">
        <f>+[1]Retail!$C$69/1000</f>
        <v>0</v>
      </c>
      <c r="G290" s="79">
        <f>+[1]Retail!$C$69/1000</f>
        <v>0</v>
      </c>
      <c r="H290" s="7"/>
      <c r="I290" s="76">
        <v>123</v>
      </c>
      <c r="J290" s="56">
        <v>123</v>
      </c>
      <c r="K290" s="56">
        <v>1222</v>
      </c>
      <c r="L290" s="7"/>
      <c r="M290" s="79">
        <f>+[1]MidCorp!$C$69/1000</f>
        <v>0</v>
      </c>
      <c r="N290" s="56">
        <f>+[1]MidCorp!$C$70/1000</f>
        <v>0</v>
      </c>
      <c r="O290" s="56">
        <f>+[1]MidCorp!$C$71/1000</f>
        <v>0</v>
      </c>
      <c r="P290" s="7"/>
      <c r="Q290" s="76">
        <f>+[1]MGA!$C$69/1000</f>
        <v>0.78497925999999996</v>
      </c>
      <c r="R290" s="56">
        <f>+[1]MGA!$C$70/1000</f>
        <v>0</v>
      </c>
      <c r="S290" s="56">
        <f>+[1]MGA!$C$71/1000</f>
        <v>0.43636000000000003</v>
      </c>
      <c r="T290" s="7"/>
      <c r="U290" s="79">
        <f>+[1]Bancassurance!$C$69/1000</f>
        <v>0</v>
      </c>
      <c r="V290" s="56">
        <v>3</v>
      </c>
      <c r="W290" s="56">
        <f>+[1]Bancassurance!$C$71/1000</f>
        <v>0.13463</v>
      </c>
      <c r="X290" s="7"/>
      <c r="Y290" s="79">
        <f>+[1]Specials!$C$69/1000</f>
        <v>0</v>
      </c>
      <c r="Z290" s="56">
        <f>+[1]Specials!$C$70/1000</f>
        <v>0</v>
      </c>
      <c r="AA290" s="56">
        <f>+[1]Specials!$C$71/1000</f>
        <v>0</v>
      </c>
      <c r="AB290" s="7"/>
      <c r="AC290" s="88">
        <f>+'[1]Total P&amp;C'!$C$69/1000</f>
        <v>64.406278970000002</v>
      </c>
      <c r="AD290" s="61">
        <f>+'[1]Total P&amp;C'!$C$70/1000</f>
        <v>59.630830390000035</v>
      </c>
      <c r="AE290" s="61">
        <f>+'[1]Total P&amp;C'!$C$71/1000</f>
        <v>56.759920000000001</v>
      </c>
      <c r="AG290" s="109"/>
      <c r="AK290" s="109"/>
      <c r="AO290" s="109"/>
      <c r="AS290" s="109"/>
      <c r="AW290" s="109"/>
      <c r="BA290" s="109"/>
      <c r="BE290" s="109"/>
    </row>
    <row r="291" spans="1:57" ht="16.5" customHeight="1" x14ac:dyDescent="0.25">
      <c r="A291" s="219"/>
      <c r="B291" s="9"/>
      <c r="C291" s="49" t="s">
        <v>58</v>
      </c>
      <c r="D291" s="7"/>
      <c r="E291" s="79">
        <f>+[1]Retail!$C$69/1000</f>
        <v>0</v>
      </c>
      <c r="F291" s="79">
        <f>+[1]Retail!$C$69/1000</f>
        <v>0</v>
      </c>
      <c r="G291" s="79">
        <f>+[1]Retail!$C$69/1000</f>
        <v>0</v>
      </c>
      <c r="H291" s="7"/>
      <c r="I291" s="76">
        <v>123</v>
      </c>
      <c r="J291" s="56">
        <v>123</v>
      </c>
      <c r="K291" s="56">
        <v>1222</v>
      </c>
      <c r="L291" s="7"/>
      <c r="M291" s="79">
        <f>+[1]MidCorp!$C$69/1000</f>
        <v>0</v>
      </c>
      <c r="N291" s="56">
        <f>+[1]MidCorp!$C$70/1000</f>
        <v>0</v>
      </c>
      <c r="O291" s="56">
        <f>+[1]MidCorp!$C$71/1000</f>
        <v>0</v>
      </c>
      <c r="P291" s="7"/>
      <c r="Q291" s="76">
        <f>+[1]MGA!$C$69/1000</f>
        <v>0.78497925999999996</v>
      </c>
      <c r="R291" s="56">
        <f>+[1]MGA!$C$70/1000</f>
        <v>0</v>
      </c>
      <c r="S291" s="56">
        <f>+[1]MGA!$C$71/1000</f>
        <v>0.43636000000000003</v>
      </c>
      <c r="T291" s="7"/>
      <c r="U291" s="79">
        <f>+[1]Bancassurance!$C$69/1000</f>
        <v>0</v>
      </c>
      <c r="V291" s="56">
        <v>3</v>
      </c>
      <c r="W291" s="56">
        <f>+[1]Bancassurance!$C$71/1000</f>
        <v>0.13463</v>
      </c>
      <c r="X291" s="7"/>
      <c r="Y291" s="79">
        <f>+[1]Specials!$C$69/1000</f>
        <v>0</v>
      </c>
      <c r="Z291" s="56">
        <f>+[1]Specials!$C$70/1000</f>
        <v>0</v>
      </c>
      <c r="AA291" s="56">
        <f>+[1]Specials!$C$71/1000</f>
        <v>0</v>
      </c>
      <c r="AB291" s="7"/>
      <c r="AC291" s="88">
        <f>+'[1]Total P&amp;C'!$C$69/1000</f>
        <v>64.406278970000002</v>
      </c>
      <c r="AD291" s="61">
        <f>+'[1]Total P&amp;C'!$C$70/1000</f>
        <v>59.630830390000035</v>
      </c>
      <c r="AE291" s="61">
        <f>+'[1]Total P&amp;C'!$C$71/1000</f>
        <v>56.759920000000001</v>
      </c>
      <c r="AG291" s="109"/>
      <c r="AK291" s="109"/>
      <c r="AO291" s="109"/>
      <c r="AS291" s="109"/>
      <c r="AW291" s="109"/>
      <c r="BA291" s="109"/>
      <c r="BE291" s="109"/>
    </row>
    <row r="292" spans="1:57" ht="16.5" customHeight="1" x14ac:dyDescent="0.25">
      <c r="A292" s="219"/>
      <c r="B292" s="9"/>
      <c r="C292" s="50" t="s">
        <v>59</v>
      </c>
      <c r="D292" s="8"/>
      <c r="E292" s="79">
        <f>+[1]Retail!$C$69/1000</f>
        <v>0</v>
      </c>
      <c r="F292" s="79">
        <f>+[1]Retail!$C$69/1000</f>
        <v>0</v>
      </c>
      <c r="G292" s="79">
        <f>+[1]Retail!$C$69/1000</f>
        <v>0</v>
      </c>
      <c r="H292" s="8"/>
      <c r="I292" s="76">
        <v>123</v>
      </c>
      <c r="J292" s="56">
        <v>123</v>
      </c>
      <c r="K292" s="56">
        <v>1222</v>
      </c>
      <c r="L292" s="8"/>
      <c r="M292" s="79">
        <f>+[1]MidCorp!$C$69/1000</f>
        <v>0</v>
      </c>
      <c r="N292" s="56">
        <f>+[1]MidCorp!$C$70/1000</f>
        <v>0</v>
      </c>
      <c r="O292" s="56">
        <f>+[1]MidCorp!$C$71/1000</f>
        <v>0</v>
      </c>
      <c r="P292" s="8"/>
      <c r="Q292" s="76">
        <f>+[1]MGA!$C$69/1000</f>
        <v>0.78497925999999996</v>
      </c>
      <c r="R292" s="56">
        <f>+[1]MGA!$C$70/1000</f>
        <v>0</v>
      </c>
      <c r="S292" s="56">
        <f>+[1]MGA!$C$71/1000</f>
        <v>0.43636000000000003</v>
      </c>
      <c r="T292" s="8"/>
      <c r="U292" s="79">
        <f>+[1]Bancassurance!$C$69/1000</f>
        <v>0</v>
      </c>
      <c r="V292" s="56">
        <v>3</v>
      </c>
      <c r="W292" s="56">
        <f>+[1]Bancassurance!$C$71/1000</f>
        <v>0.13463</v>
      </c>
      <c r="X292" s="8"/>
      <c r="Y292" s="79">
        <f>+[1]Specials!$C$69/1000</f>
        <v>0</v>
      </c>
      <c r="Z292" s="56">
        <f>+[1]Specials!$C$70/1000</f>
        <v>0</v>
      </c>
      <c r="AA292" s="56">
        <f>+[1]Specials!$C$71/1000</f>
        <v>0</v>
      </c>
      <c r="AB292" s="8"/>
      <c r="AC292" s="88">
        <f>+'[1]Total P&amp;C'!$C$69/1000</f>
        <v>64.406278970000002</v>
      </c>
      <c r="AD292" s="61">
        <f>+'[1]Total P&amp;C'!$C$70/1000</f>
        <v>59.630830390000035</v>
      </c>
      <c r="AE292" s="61">
        <f>+'[1]Total P&amp;C'!$C$71/1000</f>
        <v>56.759920000000001</v>
      </c>
      <c r="AG292" s="109"/>
      <c r="AK292" s="109"/>
      <c r="AO292" s="109"/>
      <c r="AS292" s="109"/>
      <c r="AW292" s="109"/>
      <c r="BA292" s="109"/>
      <c r="BE292" s="109"/>
    </row>
    <row r="293" spans="1:57" ht="16.5" customHeight="1" x14ac:dyDescent="0.25">
      <c r="A293" s="219"/>
      <c r="B293" s="9"/>
      <c r="C293" s="50" t="s">
        <v>60</v>
      </c>
      <c r="D293" s="8"/>
      <c r="E293" s="79">
        <f>+[1]Retail!$C$69/1000</f>
        <v>0</v>
      </c>
      <c r="F293" s="79">
        <f>+[1]Retail!$C$69/1000</f>
        <v>0</v>
      </c>
      <c r="G293" s="79">
        <f>+[1]Retail!$C$69/1000</f>
        <v>0</v>
      </c>
      <c r="H293" s="8"/>
      <c r="I293" s="76">
        <v>123</v>
      </c>
      <c r="J293" s="56">
        <v>123</v>
      </c>
      <c r="K293" s="56">
        <v>1222</v>
      </c>
      <c r="L293" s="8"/>
      <c r="M293" s="79">
        <f>+[1]MidCorp!$C$69/1000</f>
        <v>0</v>
      </c>
      <c r="N293" s="56">
        <f>+[1]MidCorp!$C$70/1000</f>
        <v>0</v>
      </c>
      <c r="O293" s="56">
        <f>+[1]MidCorp!$C$71/1000</f>
        <v>0</v>
      </c>
      <c r="P293" s="8"/>
      <c r="Q293" s="76">
        <f>+[1]MGA!$C$69/1000</f>
        <v>0.78497925999999996</v>
      </c>
      <c r="R293" s="56">
        <f>+[1]MGA!$C$70/1000</f>
        <v>0</v>
      </c>
      <c r="S293" s="56">
        <f>+[1]MGA!$C$71/1000</f>
        <v>0.43636000000000003</v>
      </c>
      <c r="T293" s="8"/>
      <c r="U293" s="79">
        <f>+[1]Bancassurance!$C$69/1000</f>
        <v>0</v>
      </c>
      <c r="V293" s="56">
        <v>3</v>
      </c>
      <c r="W293" s="56">
        <f>+[1]Bancassurance!$C$71/1000</f>
        <v>0.13463</v>
      </c>
      <c r="X293" s="8"/>
      <c r="Y293" s="79">
        <f>+[1]Specials!$C$69/1000</f>
        <v>0</v>
      </c>
      <c r="Z293" s="56">
        <f>+[1]Specials!$C$70/1000</f>
        <v>0</v>
      </c>
      <c r="AA293" s="56">
        <f>+[1]Specials!$C$71/1000</f>
        <v>0</v>
      </c>
      <c r="AB293" s="8"/>
      <c r="AC293" s="88">
        <f>+'[1]Total P&amp;C'!$C$69/1000</f>
        <v>64.406278970000002</v>
      </c>
      <c r="AD293" s="61">
        <f>+'[1]Total P&amp;C'!$C$70/1000</f>
        <v>59.630830390000035</v>
      </c>
      <c r="AE293" s="61">
        <f>+'[1]Total P&amp;C'!$C$71/1000</f>
        <v>56.759920000000001</v>
      </c>
      <c r="AG293" s="109"/>
      <c r="AK293" s="109"/>
      <c r="AO293" s="109"/>
      <c r="AS293" s="109"/>
      <c r="AW293" s="109"/>
      <c r="BA293" s="109"/>
      <c r="BE293" s="109"/>
    </row>
    <row r="294" spans="1:57" ht="16.5" customHeight="1" x14ac:dyDescent="0.25">
      <c r="A294" s="219"/>
      <c r="B294" s="9"/>
      <c r="C294" s="50" t="s">
        <v>61</v>
      </c>
      <c r="D294" s="8"/>
      <c r="E294" s="79">
        <f>+[1]Retail!$C$69/1000</f>
        <v>0</v>
      </c>
      <c r="F294" s="79">
        <f>+[1]Retail!$C$69/1000</f>
        <v>0</v>
      </c>
      <c r="G294" s="79">
        <f>+[1]Retail!$C$69/1000</f>
        <v>0</v>
      </c>
      <c r="H294" s="8"/>
      <c r="I294" s="76">
        <v>123</v>
      </c>
      <c r="J294" s="56">
        <v>123</v>
      </c>
      <c r="K294" s="56">
        <v>1222</v>
      </c>
      <c r="L294" s="8"/>
      <c r="M294" s="79">
        <f>+[1]MidCorp!$C$69/1000</f>
        <v>0</v>
      </c>
      <c r="N294" s="56">
        <f>+[1]MidCorp!$C$70/1000</f>
        <v>0</v>
      </c>
      <c r="O294" s="56">
        <f>+[1]MidCorp!$C$71/1000</f>
        <v>0</v>
      </c>
      <c r="P294" s="8"/>
      <c r="Q294" s="76">
        <f>+[1]MGA!$C$69/1000</f>
        <v>0.78497925999999996</v>
      </c>
      <c r="R294" s="56">
        <f>+[1]MGA!$C$70/1000</f>
        <v>0</v>
      </c>
      <c r="S294" s="56">
        <f>+[1]MGA!$C$71/1000</f>
        <v>0.43636000000000003</v>
      </c>
      <c r="T294" s="8"/>
      <c r="U294" s="79">
        <f>+[1]Bancassurance!$C$69/1000</f>
        <v>0</v>
      </c>
      <c r="V294" s="56">
        <v>3</v>
      </c>
      <c r="W294" s="56">
        <f>+[1]Bancassurance!$C$71/1000</f>
        <v>0.13463</v>
      </c>
      <c r="X294" s="8"/>
      <c r="Y294" s="79">
        <f>+[1]Specials!$C$69/1000</f>
        <v>0</v>
      </c>
      <c r="Z294" s="56">
        <f>+[1]Specials!$C$70/1000</f>
        <v>0</v>
      </c>
      <c r="AA294" s="56">
        <f>+[1]Specials!$C$71/1000</f>
        <v>0</v>
      </c>
      <c r="AB294" s="8"/>
      <c r="AC294" s="88">
        <f>+'[1]Total P&amp;C'!$C$69/1000</f>
        <v>64.406278970000002</v>
      </c>
      <c r="AD294" s="61">
        <f>+'[1]Total P&amp;C'!$C$70/1000</f>
        <v>59.630830390000035</v>
      </c>
      <c r="AE294" s="61">
        <f>+'[1]Total P&amp;C'!$C$71/1000</f>
        <v>56.759920000000001</v>
      </c>
      <c r="AG294" s="109"/>
      <c r="AK294" s="109"/>
      <c r="AO294" s="109"/>
      <c r="AS294" s="109"/>
      <c r="AW294" s="109"/>
      <c r="BA294" s="109"/>
      <c r="BE294" s="109"/>
    </row>
    <row r="295" spans="1:57" ht="16.5" customHeight="1" x14ac:dyDescent="0.25">
      <c r="A295" s="219"/>
      <c r="B295" s="9"/>
      <c r="C295" s="49" t="s">
        <v>34</v>
      </c>
      <c r="D295" s="6"/>
      <c r="E295" s="79">
        <f>+[1]Retail!$C$69/1000</f>
        <v>0</v>
      </c>
      <c r="F295" s="79">
        <f>+[1]Retail!$C$69/1000</f>
        <v>0</v>
      </c>
      <c r="G295" s="79">
        <f>+[1]Retail!$C$69/1000</f>
        <v>0</v>
      </c>
      <c r="H295" s="6"/>
      <c r="I295" s="76">
        <v>123</v>
      </c>
      <c r="J295" s="56">
        <v>123</v>
      </c>
      <c r="K295" s="56">
        <v>1222</v>
      </c>
      <c r="L295" s="6"/>
      <c r="M295" s="79">
        <f>+[1]MidCorp!$C$69/1000</f>
        <v>0</v>
      </c>
      <c r="N295" s="56">
        <f>+[1]MidCorp!$C$70/1000</f>
        <v>0</v>
      </c>
      <c r="O295" s="56">
        <f>+[1]MidCorp!$C$71/1000</f>
        <v>0</v>
      </c>
      <c r="P295" s="6"/>
      <c r="Q295" s="76">
        <f>+[1]MGA!$C$69/1000</f>
        <v>0.78497925999999996</v>
      </c>
      <c r="R295" s="56">
        <f>+[1]MGA!$C$70/1000</f>
        <v>0</v>
      </c>
      <c r="S295" s="56">
        <f>+[1]MGA!$C$71/1000</f>
        <v>0.43636000000000003</v>
      </c>
      <c r="T295" s="6"/>
      <c r="U295" s="79">
        <f>+[1]Bancassurance!$C$69/1000</f>
        <v>0</v>
      </c>
      <c r="V295" s="56">
        <v>3</v>
      </c>
      <c r="W295" s="56">
        <f>+[1]Bancassurance!$C$71/1000</f>
        <v>0.13463</v>
      </c>
      <c r="X295" s="6"/>
      <c r="Y295" s="79">
        <f>+[1]Specials!$C$69/1000</f>
        <v>0</v>
      </c>
      <c r="Z295" s="56">
        <f>+[1]Specials!$C$70/1000</f>
        <v>0</v>
      </c>
      <c r="AA295" s="56">
        <f>+[1]Specials!$C$71/1000</f>
        <v>0</v>
      </c>
      <c r="AB295" s="6"/>
      <c r="AC295" s="88">
        <f>+'[1]Total P&amp;C'!$C$69/1000</f>
        <v>64.406278970000002</v>
      </c>
      <c r="AD295" s="61">
        <f>+'[1]Total P&amp;C'!$C$70/1000</f>
        <v>59.630830390000035</v>
      </c>
      <c r="AE295" s="61">
        <f>+'[1]Total P&amp;C'!$C$71/1000</f>
        <v>56.759920000000001</v>
      </c>
      <c r="AG295" s="108"/>
      <c r="AK295" s="108"/>
      <c r="AO295" s="108"/>
      <c r="AS295" s="108"/>
      <c r="AW295" s="108"/>
      <c r="BA295" s="108"/>
      <c r="BE295" s="108"/>
    </row>
    <row r="297" spans="1:57" ht="16.5" customHeight="1" x14ac:dyDescent="0.25">
      <c r="A297" s="219" t="s">
        <v>49</v>
      </c>
      <c r="B297" s="9"/>
      <c r="C297" s="49" t="s">
        <v>19</v>
      </c>
      <c r="D297" s="6"/>
      <c r="E297" s="187">
        <v>1</v>
      </c>
      <c r="F297" s="187">
        <v>1</v>
      </c>
      <c r="G297" s="187">
        <v>1</v>
      </c>
      <c r="H297" s="6"/>
      <c r="I297" s="76">
        <v>2</v>
      </c>
      <c r="J297" s="76">
        <v>2</v>
      </c>
      <c r="K297" s="76">
        <v>2</v>
      </c>
      <c r="L297" s="6"/>
      <c r="M297" s="79"/>
      <c r="N297" s="56"/>
      <c r="O297" s="56"/>
      <c r="P297" s="6"/>
      <c r="Q297" s="79"/>
      <c r="R297" s="56"/>
      <c r="S297" s="56"/>
      <c r="T297" s="6"/>
      <c r="U297" s="79"/>
      <c r="V297" s="56"/>
      <c r="W297" s="56"/>
      <c r="X297" s="6"/>
      <c r="Y297" s="79"/>
      <c r="Z297" s="56"/>
      <c r="AA297" s="56"/>
      <c r="AB297" s="6"/>
      <c r="AC297" s="88">
        <v>11</v>
      </c>
      <c r="AD297" s="88">
        <v>11</v>
      </c>
      <c r="AE297" s="88">
        <v>11</v>
      </c>
      <c r="AG297" s="108"/>
      <c r="AK297" s="108"/>
      <c r="AO297" s="108"/>
      <c r="AS297" s="108"/>
      <c r="AW297" s="108"/>
      <c r="BA297" s="108"/>
      <c r="BE297" s="108"/>
    </row>
    <row r="298" spans="1:57" ht="16.5" customHeight="1" x14ac:dyDescent="0.25">
      <c r="A298" s="219"/>
      <c r="B298" s="9"/>
      <c r="C298" s="49" t="s">
        <v>55</v>
      </c>
      <c r="D298" s="6"/>
      <c r="E298" s="187">
        <v>1</v>
      </c>
      <c r="F298" s="187">
        <v>1</v>
      </c>
      <c r="G298" s="187">
        <v>1</v>
      </c>
      <c r="H298" s="6"/>
      <c r="I298" s="76">
        <v>2</v>
      </c>
      <c r="J298" s="76">
        <v>2</v>
      </c>
      <c r="K298" s="76">
        <v>2</v>
      </c>
      <c r="L298" s="6"/>
      <c r="M298" s="79"/>
      <c r="N298" s="56"/>
      <c r="O298" s="56"/>
      <c r="P298" s="6"/>
      <c r="Q298" s="79"/>
      <c r="R298" s="56"/>
      <c r="S298" s="56"/>
      <c r="T298" s="6"/>
      <c r="U298" s="79"/>
      <c r="V298" s="56"/>
      <c r="W298" s="56"/>
      <c r="X298" s="6"/>
      <c r="Y298" s="79"/>
      <c r="Z298" s="56"/>
      <c r="AA298" s="56"/>
      <c r="AB298" s="6"/>
      <c r="AC298" s="88">
        <v>11</v>
      </c>
      <c r="AD298" s="88">
        <v>11</v>
      </c>
      <c r="AE298" s="88">
        <v>11</v>
      </c>
      <c r="AG298" s="108"/>
      <c r="AK298" s="108"/>
      <c r="AO298" s="108"/>
      <c r="AS298" s="108"/>
      <c r="AW298" s="108"/>
      <c r="BA298" s="108"/>
      <c r="BE298" s="108"/>
    </row>
    <row r="299" spans="1:57" ht="16.5" customHeight="1" x14ac:dyDescent="0.25">
      <c r="A299" s="219"/>
      <c r="B299" s="9"/>
      <c r="C299" s="49" t="s">
        <v>21</v>
      </c>
      <c r="D299" s="6"/>
      <c r="E299" s="187">
        <v>1</v>
      </c>
      <c r="F299" s="187">
        <v>1</v>
      </c>
      <c r="G299" s="187">
        <v>1</v>
      </c>
      <c r="H299" s="6"/>
      <c r="I299" s="76">
        <v>2</v>
      </c>
      <c r="J299" s="76">
        <v>2</v>
      </c>
      <c r="K299" s="76">
        <v>2</v>
      </c>
      <c r="L299" s="6"/>
      <c r="M299" s="102"/>
      <c r="N299" s="57"/>
      <c r="O299" s="57"/>
      <c r="P299" s="6"/>
      <c r="Q299" s="102"/>
      <c r="R299" s="57"/>
      <c r="S299" s="57"/>
      <c r="T299" s="6"/>
      <c r="U299" s="102"/>
      <c r="V299" s="57"/>
      <c r="W299" s="57"/>
      <c r="X299" s="6"/>
      <c r="Y299" s="102"/>
      <c r="Z299" s="57"/>
      <c r="AA299" s="57"/>
      <c r="AB299" s="6"/>
      <c r="AC299" s="88">
        <v>11</v>
      </c>
      <c r="AD299" s="88">
        <v>11</v>
      </c>
      <c r="AE299" s="88">
        <v>11</v>
      </c>
      <c r="AG299" s="109"/>
      <c r="AK299" s="109"/>
      <c r="AO299" s="109"/>
      <c r="AS299" s="109"/>
      <c r="AW299" s="109"/>
      <c r="BA299" s="109"/>
      <c r="BE299" s="109"/>
    </row>
    <row r="300" spans="1:57" ht="16.5" customHeight="1" x14ac:dyDescent="0.25">
      <c r="A300" s="219"/>
      <c r="B300" s="9"/>
      <c r="C300" s="49" t="s">
        <v>56</v>
      </c>
      <c r="D300" s="6"/>
      <c r="E300" s="187">
        <v>1</v>
      </c>
      <c r="F300" s="187">
        <v>1</v>
      </c>
      <c r="G300" s="187">
        <v>1</v>
      </c>
      <c r="H300" s="6"/>
      <c r="I300" s="76">
        <v>2</v>
      </c>
      <c r="J300" s="76">
        <v>2</v>
      </c>
      <c r="K300" s="76">
        <v>2</v>
      </c>
      <c r="L300" s="6"/>
      <c r="M300" s="102"/>
      <c r="N300" s="57"/>
      <c r="O300" s="57"/>
      <c r="P300" s="6"/>
      <c r="Q300" s="102"/>
      <c r="R300" s="57"/>
      <c r="S300" s="57"/>
      <c r="T300" s="6"/>
      <c r="U300" s="102"/>
      <c r="V300" s="57"/>
      <c r="W300" s="57"/>
      <c r="X300" s="6"/>
      <c r="Y300" s="102"/>
      <c r="Z300" s="57"/>
      <c r="AA300" s="57"/>
      <c r="AB300" s="6"/>
      <c r="AC300" s="88">
        <v>11</v>
      </c>
      <c r="AD300" s="88">
        <v>11</v>
      </c>
      <c r="AE300" s="88">
        <v>11</v>
      </c>
      <c r="AG300" s="109"/>
      <c r="AK300" s="109"/>
      <c r="AO300" s="109"/>
      <c r="AS300" s="109"/>
      <c r="AW300" s="109"/>
      <c r="BA300" s="109"/>
      <c r="BE300" s="109"/>
    </row>
    <row r="301" spans="1:57" ht="16.5" customHeight="1" x14ac:dyDescent="0.25">
      <c r="A301" s="219"/>
      <c r="B301" s="9"/>
      <c r="C301" s="48" t="s">
        <v>23</v>
      </c>
      <c r="D301" s="6"/>
      <c r="E301" s="187">
        <v>1</v>
      </c>
      <c r="F301" s="187">
        <v>1</v>
      </c>
      <c r="G301" s="187">
        <v>1</v>
      </c>
      <c r="H301" s="6"/>
      <c r="I301" s="76">
        <v>2</v>
      </c>
      <c r="J301" s="76">
        <v>2</v>
      </c>
      <c r="K301" s="76">
        <v>2</v>
      </c>
      <c r="L301" s="6"/>
      <c r="M301" s="105"/>
      <c r="N301" s="51"/>
      <c r="O301" s="51"/>
      <c r="P301" s="6"/>
      <c r="Q301" s="105"/>
      <c r="R301" s="51"/>
      <c r="S301" s="51"/>
      <c r="T301" s="6"/>
      <c r="U301" s="105"/>
      <c r="V301" s="51"/>
      <c r="W301" s="51"/>
      <c r="X301" s="6"/>
      <c r="Y301" s="105"/>
      <c r="Z301" s="51"/>
      <c r="AA301" s="51"/>
      <c r="AB301" s="6"/>
      <c r="AC301" s="88">
        <v>11</v>
      </c>
      <c r="AD301" s="88">
        <v>11</v>
      </c>
      <c r="AE301" s="88">
        <v>11</v>
      </c>
      <c r="AG301" s="109"/>
      <c r="AK301" s="109"/>
      <c r="AO301" s="109"/>
      <c r="AS301" s="109"/>
      <c r="AW301" s="109"/>
      <c r="BA301" s="109"/>
      <c r="BE301" s="109"/>
    </row>
    <row r="302" spans="1:57" ht="16.5" customHeight="1" x14ac:dyDescent="0.25">
      <c r="A302" s="219"/>
      <c r="B302" s="9"/>
      <c r="C302" s="48" t="s">
        <v>24</v>
      </c>
      <c r="D302" s="7"/>
      <c r="E302" s="187">
        <v>1</v>
      </c>
      <c r="F302" s="187">
        <v>1</v>
      </c>
      <c r="G302" s="187">
        <v>1</v>
      </c>
      <c r="H302" s="7"/>
      <c r="I302" s="76">
        <v>2</v>
      </c>
      <c r="J302" s="76">
        <v>2</v>
      </c>
      <c r="K302" s="76">
        <v>2</v>
      </c>
      <c r="L302" s="7"/>
      <c r="M302" s="105"/>
      <c r="N302" s="51"/>
      <c r="O302" s="51"/>
      <c r="P302" s="7"/>
      <c r="Q302" s="105"/>
      <c r="R302" s="51"/>
      <c r="S302" s="51"/>
      <c r="T302" s="7"/>
      <c r="U302" s="105"/>
      <c r="V302" s="51"/>
      <c r="W302" s="51"/>
      <c r="X302" s="7"/>
      <c r="Y302" s="105"/>
      <c r="Z302" s="51"/>
      <c r="AA302" s="51"/>
      <c r="AB302" s="7"/>
      <c r="AC302" s="88">
        <v>11</v>
      </c>
      <c r="AD302" s="88">
        <v>11</v>
      </c>
      <c r="AE302" s="88">
        <v>11</v>
      </c>
      <c r="AG302" s="109"/>
      <c r="AK302" s="109"/>
      <c r="AO302" s="109"/>
      <c r="AS302" s="109"/>
      <c r="AW302" s="109"/>
      <c r="BA302" s="109"/>
      <c r="BE302" s="109"/>
    </row>
    <row r="303" spans="1:57" ht="16.5" customHeight="1" x14ac:dyDescent="0.25">
      <c r="A303" s="219"/>
      <c r="B303" s="9"/>
      <c r="C303" s="48" t="s">
        <v>25</v>
      </c>
      <c r="D303" s="7"/>
      <c r="E303" s="187">
        <v>1</v>
      </c>
      <c r="F303" s="187">
        <v>1</v>
      </c>
      <c r="G303" s="187">
        <v>1</v>
      </c>
      <c r="H303" s="7"/>
      <c r="I303" s="76">
        <v>2</v>
      </c>
      <c r="J303" s="76">
        <v>2</v>
      </c>
      <c r="K303" s="76">
        <v>2</v>
      </c>
      <c r="L303" s="7"/>
      <c r="M303" s="105"/>
      <c r="N303" s="51"/>
      <c r="O303" s="51"/>
      <c r="P303" s="7"/>
      <c r="Q303" s="105"/>
      <c r="R303" s="51"/>
      <c r="S303" s="51"/>
      <c r="T303" s="7"/>
      <c r="U303" s="105"/>
      <c r="V303" s="51"/>
      <c r="W303" s="51"/>
      <c r="X303" s="7"/>
      <c r="Y303" s="105"/>
      <c r="Z303" s="51"/>
      <c r="AA303" s="51"/>
      <c r="AB303" s="7"/>
      <c r="AC303" s="88">
        <v>11</v>
      </c>
      <c r="AD303" s="88">
        <v>11</v>
      </c>
      <c r="AE303" s="88">
        <v>11</v>
      </c>
      <c r="AG303" s="109"/>
      <c r="AK303" s="109"/>
      <c r="AO303" s="109"/>
      <c r="AS303" s="109"/>
      <c r="AW303" s="109"/>
      <c r="BA303" s="109"/>
      <c r="BE303" s="109"/>
    </row>
    <row r="304" spans="1:57" ht="16.5" customHeight="1" x14ac:dyDescent="0.25">
      <c r="A304" s="219"/>
      <c r="B304" s="9"/>
      <c r="C304" s="48" t="s">
        <v>53</v>
      </c>
      <c r="D304" s="7"/>
      <c r="E304" s="187">
        <v>1</v>
      </c>
      <c r="F304" s="187">
        <v>1</v>
      </c>
      <c r="G304" s="187">
        <v>1</v>
      </c>
      <c r="H304" s="7"/>
      <c r="I304" s="76">
        <v>2</v>
      </c>
      <c r="J304" s="76">
        <v>2</v>
      </c>
      <c r="K304" s="76">
        <v>2</v>
      </c>
      <c r="L304" s="7"/>
      <c r="M304" s="105"/>
      <c r="N304" s="51"/>
      <c r="O304" s="51"/>
      <c r="P304" s="7"/>
      <c r="Q304" s="105"/>
      <c r="R304" s="51"/>
      <c r="S304" s="51"/>
      <c r="T304" s="7"/>
      <c r="U304" s="105"/>
      <c r="V304" s="51"/>
      <c r="W304" s="51"/>
      <c r="X304" s="7"/>
      <c r="Y304" s="105"/>
      <c r="Z304" s="51"/>
      <c r="AA304" s="51"/>
      <c r="AB304" s="7"/>
      <c r="AC304" s="88">
        <v>11</v>
      </c>
      <c r="AD304" s="88">
        <v>11</v>
      </c>
      <c r="AE304" s="88">
        <v>11</v>
      </c>
      <c r="AG304" s="109"/>
      <c r="AK304" s="109"/>
      <c r="AO304" s="109"/>
      <c r="AS304" s="109"/>
      <c r="AW304" s="109"/>
      <c r="BA304" s="109"/>
      <c r="BE304" s="109"/>
    </row>
    <row r="305" spans="1:57" ht="16.5" customHeight="1" x14ac:dyDescent="0.25">
      <c r="A305" s="219"/>
      <c r="B305" s="9"/>
      <c r="C305" s="49" t="s">
        <v>27</v>
      </c>
      <c r="D305" s="7"/>
      <c r="E305" s="187">
        <v>1</v>
      </c>
      <c r="F305" s="187">
        <v>1</v>
      </c>
      <c r="G305" s="187">
        <v>1</v>
      </c>
      <c r="H305" s="7"/>
      <c r="I305" s="76">
        <v>2</v>
      </c>
      <c r="J305" s="76">
        <v>2</v>
      </c>
      <c r="K305" s="76">
        <v>2</v>
      </c>
      <c r="L305" s="7"/>
      <c r="M305" s="102"/>
      <c r="N305" s="57"/>
      <c r="O305" s="57"/>
      <c r="P305" s="7"/>
      <c r="Q305" s="102"/>
      <c r="R305" s="57"/>
      <c r="S305" s="57"/>
      <c r="T305" s="7"/>
      <c r="U305" s="102"/>
      <c r="V305" s="57"/>
      <c r="W305" s="57"/>
      <c r="X305" s="7"/>
      <c r="Y305" s="102"/>
      <c r="Z305" s="57"/>
      <c r="AA305" s="57"/>
      <c r="AB305" s="7"/>
      <c r="AC305" s="88">
        <v>11</v>
      </c>
      <c r="AD305" s="88">
        <v>11</v>
      </c>
      <c r="AE305" s="88">
        <v>11</v>
      </c>
      <c r="AG305" s="109"/>
      <c r="AK305" s="109"/>
      <c r="AO305" s="109"/>
      <c r="AS305" s="109"/>
      <c r="AW305" s="109"/>
      <c r="BA305" s="109"/>
      <c r="BE305" s="109"/>
    </row>
    <row r="306" spans="1:57" ht="16.5" customHeight="1" x14ac:dyDescent="0.25">
      <c r="A306" s="219"/>
      <c r="B306" s="9"/>
      <c r="C306" s="49" t="s">
        <v>57</v>
      </c>
      <c r="D306" s="7"/>
      <c r="E306" s="187">
        <v>1</v>
      </c>
      <c r="F306" s="187">
        <v>1</v>
      </c>
      <c r="G306" s="187">
        <v>1</v>
      </c>
      <c r="H306" s="7"/>
      <c r="I306" s="76">
        <v>2</v>
      </c>
      <c r="J306" s="76">
        <v>2</v>
      </c>
      <c r="K306" s="76">
        <v>2</v>
      </c>
      <c r="L306" s="7"/>
      <c r="M306" s="102"/>
      <c r="N306" s="57"/>
      <c r="O306" s="57"/>
      <c r="P306" s="7"/>
      <c r="Q306" s="102"/>
      <c r="R306" s="57"/>
      <c r="S306" s="57"/>
      <c r="T306" s="7"/>
      <c r="U306" s="102"/>
      <c r="V306" s="57"/>
      <c r="W306" s="57"/>
      <c r="X306" s="7"/>
      <c r="Y306" s="102"/>
      <c r="Z306" s="57"/>
      <c r="AA306" s="57"/>
      <c r="AB306" s="7"/>
      <c r="AC306" s="88">
        <v>11</v>
      </c>
      <c r="AD306" s="88">
        <v>11</v>
      </c>
      <c r="AE306" s="88">
        <v>11</v>
      </c>
      <c r="AG306" s="109"/>
      <c r="AK306" s="109"/>
      <c r="AO306" s="109"/>
      <c r="AS306" s="109"/>
      <c r="AW306" s="109"/>
      <c r="BA306" s="109"/>
      <c r="BE306" s="109"/>
    </row>
    <row r="307" spans="1:57" ht="16.5" customHeight="1" x14ac:dyDescent="0.25">
      <c r="A307" s="219"/>
      <c r="B307" s="9"/>
      <c r="C307" s="49" t="s">
        <v>29</v>
      </c>
      <c r="D307" s="7"/>
      <c r="E307" s="187">
        <v>1</v>
      </c>
      <c r="F307" s="187">
        <v>1</v>
      </c>
      <c r="G307" s="187">
        <v>1</v>
      </c>
      <c r="H307" s="7"/>
      <c r="I307" s="76">
        <v>2</v>
      </c>
      <c r="J307" s="76">
        <v>2</v>
      </c>
      <c r="K307" s="76">
        <v>2</v>
      </c>
      <c r="L307" s="7"/>
      <c r="M307" s="102"/>
      <c r="N307" s="57"/>
      <c r="O307" s="57"/>
      <c r="P307" s="7"/>
      <c r="Q307" s="102"/>
      <c r="R307" s="57"/>
      <c r="S307" s="57"/>
      <c r="T307" s="7"/>
      <c r="U307" s="102"/>
      <c r="V307" s="57"/>
      <c r="W307" s="57"/>
      <c r="X307" s="7"/>
      <c r="Y307" s="102"/>
      <c r="Z307" s="57"/>
      <c r="AA307" s="57"/>
      <c r="AB307" s="7"/>
      <c r="AC307" s="88">
        <v>11</v>
      </c>
      <c r="AD307" s="88">
        <v>11</v>
      </c>
      <c r="AE307" s="88">
        <v>11</v>
      </c>
      <c r="AG307" s="109"/>
      <c r="AK307" s="109"/>
      <c r="AO307" s="109"/>
      <c r="AS307" s="109"/>
      <c r="AW307" s="109"/>
      <c r="BA307" s="109"/>
      <c r="BE307" s="109"/>
    </row>
    <row r="308" spans="1:57" ht="16.5" customHeight="1" x14ac:dyDescent="0.25">
      <c r="A308" s="219"/>
      <c r="B308" s="9"/>
      <c r="C308" s="49" t="s">
        <v>58</v>
      </c>
      <c r="D308" s="7"/>
      <c r="E308" s="187">
        <v>1</v>
      </c>
      <c r="F308" s="187">
        <v>1</v>
      </c>
      <c r="G308" s="187">
        <v>1</v>
      </c>
      <c r="H308" s="7"/>
      <c r="I308" s="76">
        <v>2</v>
      </c>
      <c r="J308" s="76">
        <v>2</v>
      </c>
      <c r="K308" s="76">
        <v>2</v>
      </c>
      <c r="L308" s="7"/>
      <c r="M308" s="102"/>
      <c r="N308" s="57"/>
      <c r="O308" s="57"/>
      <c r="P308" s="7"/>
      <c r="Q308" s="102"/>
      <c r="R308" s="57"/>
      <c r="S308" s="57"/>
      <c r="T308" s="7"/>
      <c r="U308" s="102"/>
      <c r="V308" s="57"/>
      <c r="W308" s="57"/>
      <c r="X308" s="7"/>
      <c r="Y308" s="102"/>
      <c r="Z308" s="57"/>
      <c r="AA308" s="57"/>
      <c r="AB308" s="7"/>
      <c r="AC308" s="88">
        <v>11</v>
      </c>
      <c r="AD308" s="88">
        <v>11</v>
      </c>
      <c r="AE308" s="88">
        <v>11</v>
      </c>
      <c r="AG308" s="109"/>
      <c r="AK308" s="109"/>
      <c r="AO308" s="109"/>
      <c r="AS308" s="109"/>
      <c r="AW308" s="109"/>
      <c r="BA308" s="109"/>
      <c r="BE308" s="109"/>
    </row>
    <row r="309" spans="1:57" ht="16.5" customHeight="1" x14ac:dyDescent="0.25">
      <c r="A309" s="219"/>
      <c r="B309" s="9"/>
      <c r="C309" s="50" t="s">
        <v>59</v>
      </c>
      <c r="D309" s="8"/>
      <c r="E309" s="187">
        <v>1</v>
      </c>
      <c r="F309" s="187">
        <v>1</v>
      </c>
      <c r="G309" s="187">
        <v>1</v>
      </c>
      <c r="H309" s="8"/>
      <c r="I309" s="76">
        <v>2</v>
      </c>
      <c r="J309" s="76">
        <v>2</v>
      </c>
      <c r="K309" s="76">
        <v>2</v>
      </c>
      <c r="L309" s="8"/>
      <c r="M309" s="105"/>
      <c r="N309" s="51"/>
      <c r="O309" s="51"/>
      <c r="P309" s="8"/>
      <c r="Q309" s="105"/>
      <c r="R309" s="51"/>
      <c r="S309" s="51"/>
      <c r="T309" s="8"/>
      <c r="U309" s="105"/>
      <c r="V309" s="51"/>
      <c r="W309" s="51"/>
      <c r="X309" s="8"/>
      <c r="Y309" s="105"/>
      <c r="Z309" s="51"/>
      <c r="AA309" s="51"/>
      <c r="AB309" s="8"/>
      <c r="AC309" s="88">
        <v>11</v>
      </c>
      <c r="AD309" s="88">
        <v>11</v>
      </c>
      <c r="AE309" s="88">
        <v>11</v>
      </c>
      <c r="AG309" s="109"/>
      <c r="AK309" s="109"/>
      <c r="AO309" s="109"/>
      <c r="AS309" s="109"/>
      <c r="AW309" s="109"/>
      <c r="BA309" s="109"/>
      <c r="BE309" s="109"/>
    </row>
    <row r="310" spans="1:57" ht="16.5" customHeight="1" x14ac:dyDescent="0.25">
      <c r="A310" s="219"/>
      <c r="B310" s="9"/>
      <c r="C310" s="50" t="s">
        <v>60</v>
      </c>
      <c r="D310" s="8"/>
      <c r="E310" s="187">
        <v>1</v>
      </c>
      <c r="F310" s="187">
        <v>1</v>
      </c>
      <c r="G310" s="187">
        <v>1</v>
      </c>
      <c r="H310" s="8"/>
      <c r="I310" s="76">
        <v>2</v>
      </c>
      <c r="J310" s="76">
        <v>2</v>
      </c>
      <c r="K310" s="76">
        <v>2</v>
      </c>
      <c r="L310" s="8"/>
      <c r="M310" s="105"/>
      <c r="N310" s="51"/>
      <c r="O310" s="51"/>
      <c r="P310" s="8"/>
      <c r="Q310" s="105"/>
      <c r="R310" s="51"/>
      <c r="S310" s="51"/>
      <c r="T310" s="8"/>
      <c r="U310" s="105"/>
      <c r="V310" s="51"/>
      <c r="W310" s="51"/>
      <c r="X310" s="8"/>
      <c r="Y310" s="105"/>
      <c r="Z310" s="51"/>
      <c r="AA310" s="51"/>
      <c r="AB310" s="8"/>
      <c r="AC310" s="88">
        <v>11</v>
      </c>
      <c r="AD310" s="88">
        <v>11</v>
      </c>
      <c r="AE310" s="88">
        <v>11</v>
      </c>
      <c r="AG310" s="109"/>
      <c r="AK310" s="109"/>
      <c r="AO310" s="109"/>
      <c r="AS310" s="109"/>
      <c r="AW310" s="109"/>
      <c r="BA310" s="109"/>
      <c r="BE310" s="109"/>
    </row>
    <row r="311" spans="1:57" ht="16.5" customHeight="1" x14ac:dyDescent="0.25">
      <c r="A311" s="219"/>
      <c r="B311" s="9"/>
      <c r="C311" s="50" t="s">
        <v>61</v>
      </c>
      <c r="D311" s="8"/>
      <c r="E311" s="187">
        <v>1</v>
      </c>
      <c r="F311" s="187">
        <v>1</v>
      </c>
      <c r="G311" s="187">
        <v>1</v>
      </c>
      <c r="H311" s="8"/>
      <c r="I311" s="76">
        <v>2</v>
      </c>
      <c r="J311" s="76">
        <v>2</v>
      </c>
      <c r="K311" s="76">
        <v>2</v>
      </c>
      <c r="L311" s="8"/>
      <c r="M311" s="105"/>
      <c r="N311" s="51"/>
      <c r="O311" s="51"/>
      <c r="P311" s="8"/>
      <c r="Q311" s="105"/>
      <c r="R311" s="51"/>
      <c r="S311" s="51"/>
      <c r="T311" s="8"/>
      <c r="U311" s="105"/>
      <c r="V311" s="51"/>
      <c r="W311" s="51"/>
      <c r="X311" s="8"/>
      <c r="Y311" s="105"/>
      <c r="Z311" s="51"/>
      <c r="AA311" s="51"/>
      <c r="AB311" s="8"/>
      <c r="AC311" s="88">
        <v>11</v>
      </c>
      <c r="AD311" s="88">
        <v>11</v>
      </c>
      <c r="AE311" s="88">
        <v>11</v>
      </c>
      <c r="AG311" s="109"/>
      <c r="AK311" s="109"/>
      <c r="AO311" s="109"/>
      <c r="AS311" s="109"/>
      <c r="AW311" s="109"/>
      <c r="BA311" s="109"/>
      <c r="BE311" s="109"/>
    </row>
    <row r="312" spans="1:57" ht="16.5" customHeight="1" x14ac:dyDescent="0.25">
      <c r="A312" s="219"/>
      <c r="B312" s="9"/>
      <c r="C312" s="49" t="s">
        <v>34</v>
      </c>
      <c r="D312" s="6"/>
      <c r="E312" s="187">
        <v>1</v>
      </c>
      <c r="F312" s="187">
        <v>1</v>
      </c>
      <c r="G312" s="187">
        <v>1</v>
      </c>
      <c r="H312" s="6"/>
      <c r="I312" s="76">
        <v>2</v>
      </c>
      <c r="J312" s="76">
        <v>2</v>
      </c>
      <c r="K312" s="76">
        <v>2</v>
      </c>
      <c r="L312" s="6"/>
      <c r="M312" s="79"/>
      <c r="N312" s="56"/>
      <c r="O312" s="56"/>
      <c r="P312" s="6"/>
      <c r="Q312" s="79"/>
      <c r="R312" s="56"/>
      <c r="S312" s="56"/>
      <c r="T312" s="6"/>
      <c r="U312" s="79"/>
      <c r="V312" s="56"/>
      <c r="W312" s="56"/>
      <c r="X312" s="6"/>
      <c r="Y312" s="79"/>
      <c r="Z312" s="56"/>
      <c r="AA312" s="56"/>
      <c r="AB312" s="6"/>
      <c r="AC312" s="88">
        <v>11</v>
      </c>
      <c r="AD312" s="88">
        <v>11</v>
      </c>
      <c r="AE312" s="88">
        <v>11</v>
      </c>
      <c r="AG312" s="108"/>
      <c r="AK312" s="108"/>
      <c r="AO312" s="108"/>
      <c r="AS312" s="108"/>
      <c r="AW312" s="108"/>
      <c r="BA312" s="108"/>
      <c r="BE312" s="108"/>
    </row>
    <row r="314" spans="1:57" ht="16.5" customHeight="1" outlineLevel="1" x14ac:dyDescent="0.25">
      <c r="A314" s="220" t="s">
        <v>50</v>
      </c>
      <c r="B314" s="9"/>
      <c r="C314" s="49" t="s">
        <v>19</v>
      </c>
      <c r="D314" s="6"/>
      <c r="E314" s="76">
        <v>12</v>
      </c>
      <c r="F314" s="76">
        <v>12</v>
      </c>
      <c r="G314" s="76">
        <v>12</v>
      </c>
      <c r="H314" s="6"/>
      <c r="I314" s="79">
        <v>1234</v>
      </c>
      <c r="J314" s="79">
        <v>1234</v>
      </c>
      <c r="K314" s="79">
        <v>1234</v>
      </c>
      <c r="L314" s="6"/>
      <c r="M314" s="79"/>
      <c r="N314" s="56"/>
      <c r="O314" s="56"/>
      <c r="P314" s="6"/>
      <c r="Q314" s="79"/>
      <c r="R314" s="56"/>
      <c r="S314" s="56"/>
      <c r="T314" s="6"/>
      <c r="U314" s="79"/>
      <c r="V314" s="56"/>
      <c r="W314" s="56"/>
      <c r="X314" s="6"/>
      <c r="Y314" s="79"/>
      <c r="Z314" s="56"/>
      <c r="AA314" s="56"/>
      <c r="AB314" s="6"/>
      <c r="AC314" s="91">
        <v>345</v>
      </c>
      <c r="AD314" s="91">
        <v>345</v>
      </c>
      <c r="AE314" s="91">
        <v>345</v>
      </c>
      <c r="AG314" s="108"/>
      <c r="AK314" s="108"/>
      <c r="AO314" s="108"/>
      <c r="AS314" s="108"/>
      <c r="AW314" s="108"/>
      <c r="BA314" s="108"/>
      <c r="BE314" s="108"/>
    </row>
    <row r="315" spans="1:57" ht="16.5" customHeight="1" outlineLevel="1" x14ac:dyDescent="0.25">
      <c r="A315" s="220"/>
      <c r="B315" s="9"/>
      <c r="C315" s="49" t="s">
        <v>55</v>
      </c>
      <c r="D315" s="6"/>
      <c r="E315" s="76">
        <v>12</v>
      </c>
      <c r="F315" s="76">
        <v>12</v>
      </c>
      <c r="G315" s="76">
        <v>12</v>
      </c>
      <c r="H315" s="6"/>
      <c r="I315" s="79">
        <v>1234</v>
      </c>
      <c r="J315" s="79">
        <v>1234</v>
      </c>
      <c r="K315" s="79">
        <v>1234</v>
      </c>
      <c r="L315" s="6"/>
      <c r="M315" s="79"/>
      <c r="N315" s="56"/>
      <c r="O315" s="56"/>
      <c r="P315" s="6"/>
      <c r="Q315" s="79"/>
      <c r="R315" s="56"/>
      <c r="S315" s="56"/>
      <c r="T315" s="6"/>
      <c r="U315" s="79"/>
      <c r="V315" s="56"/>
      <c r="W315" s="56"/>
      <c r="X315" s="6"/>
      <c r="Y315" s="79"/>
      <c r="Z315" s="56"/>
      <c r="AA315" s="56"/>
      <c r="AB315" s="6"/>
      <c r="AC315" s="91">
        <v>345</v>
      </c>
      <c r="AD315" s="91">
        <v>345</v>
      </c>
      <c r="AE315" s="91">
        <v>345</v>
      </c>
      <c r="AG315" s="108"/>
      <c r="AK315" s="108"/>
      <c r="AO315" s="108"/>
      <c r="AS315" s="108"/>
      <c r="AW315" s="108"/>
      <c r="BA315" s="108"/>
      <c r="BE315" s="108"/>
    </row>
    <row r="316" spans="1:57" ht="16.5" customHeight="1" outlineLevel="1" x14ac:dyDescent="0.25">
      <c r="A316" s="220"/>
      <c r="B316" s="9"/>
      <c r="C316" s="49" t="s">
        <v>21</v>
      </c>
      <c r="D316" s="6"/>
      <c r="E316" s="76">
        <v>12</v>
      </c>
      <c r="F316" s="76">
        <v>12</v>
      </c>
      <c r="G316" s="76">
        <v>12</v>
      </c>
      <c r="H316" s="6"/>
      <c r="I316" s="79">
        <v>1234</v>
      </c>
      <c r="J316" s="79">
        <v>1234</v>
      </c>
      <c r="K316" s="79">
        <v>1234</v>
      </c>
      <c r="L316" s="6"/>
      <c r="M316" s="102"/>
      <c r="N316" s="57"/>
      <c r="O316" s="57"/>
      <c r="P316" s="6"/>
      <c r="Q316" s="102"/>
      <c r="R316" s="57"/>
      <c r="S316" s="57"/>
      <c r="T316" s="6"/>
      <c r="U316" s="102"/>
      <c r="V316" s="57"/>
      <c r="W316" s="57"/>
      <c r="X316" s="6"/>
      <c r="Y316" s="102"/>
      <c r="Z316" s="57"/>
      <c r="AA316" s="57"/>
      <c r="AB316" s="6"/>
      <c r="AC316" s="91">
        <v>345</v>
      </c>
      <c r="AD316" s="91">
        <v>345</v>
      </c>
      <c r="AE316" s="91">
        <v>345</v>
      </c>
      <c r="AG316" s="109"/>
      <c r="AK316" s="109"/>
      <c r="AO316" s="109"/>
      <c r="AS316" s="109"/>
      <c r="AW316" s="109"/>
      <c r="BA316" s="109"/>
      <c r="BE316" s="109"/>
    </row>
    <row r="317" spans="1:57" ht="16.5" customHeight="1" outlineLevel="1" x14ac:dyDescent="0.25">
      <c r="A317" s="220"/>
      <c r="B317" s="9"/>
      <c r="C317" s="49" t="s">
        <v>56</v>
      </c>
      <c r="D317" s="6"/>
      <c r="E317" s="76">
        <v>12</v>
      </c>
      <c r="F317" s="76">
        <v>12</v>
      </c>
      <c r="G317" s="76">
        <v>12</v>
      </c>
      <c r="H317" s="6"/>
      <c r="I317" s="79">
        <v>1234</v>
      </c>
      <c r="J317" s="79">
        <v>1234</v>
      </c>
      <c r="K317" s="79">
        <v>1234</v>
      </c>
      <c r="L317" s="6"/>
      <c r="M317" s="102"/>
      <c r="N317" s="57"/>
      <c r="O317" s="57"/>
      <c r="P317" s="6"/>
      <c r="Q317" s="102"/>
      <c r="R317" s="57"/>
      <c r="S317" s="57"/>
      <c r="T317" s="6"/>
      <c r="U317" s="102"/>
      <c r="V317" s="57"/>
      <c r="W317" s="57"/>
      <c r="X317" s="6"/>
      <c r="Y317" s="102"/>
      <c r="Z317" s="57"/>
      <c r="AA317" s="57"/>
      <c r="AB317" s="6"/>
      <c r="AC317" s="91">
        <v>345</v>
      </c>
      <c r="AD317" s="91">
        <v>345</v>
      </c>
      <c r="AE317" s="91">
        <v>345</v>
      </c>
      <c r="AG317" s="109"/>
      <c r="AK317" s="109"/>
      <c r="AO317" s="109"/>
      <c r="AS317" s="109"/>
      <c r="AW317" s="109"/>
      <c r="BA317" s="109"/>
      <c r="BE317" s="109"/>
    </row>
    <row r="318" spans="1:57" ht="16.5" customHeight="1" outlineLevel="1" x14ac:dyDescent="0.25">
      <c r="A318" s="220"/>
      <c r="B318" s="9"/>
      <c r="C318" s="48" t="s">
        <v>23</v>
      </c>
      <c r="D318" s="6"/>
      <c r="E318" s="76">
        <v>12</v>
      </c>
      <c r="F318" s="76">
        <v>12</v>
      </c>
      <c r="G318" s="76">
        <v>12</v>
      </c>
      <c r="H318" s="6"/>
      <c r="I318" s="79">
        <v>1234</v>
      </c>
      <c r="J318" s="79">
        <v>1234</v>
      </c>
      <c r="K318" s="79">
        <v>1234</v>
      </c>
      <c r="L318" s="6"/>
      <c r="M318" s="105"/>
      <c r="N318" s="51"/>
      <c r="O318" s="51"/>
      <c r="P318" s="6"/>
      <c r="Q318" s="105"/>
      <c r="R318" s="51"/>
      <c r="S318" s="51"/>
      <c r="T318" s="6"/>
      <c r="U318" s="105"/>
      <c r="V318" s="51"/>
      <c r="W318" s="51"/>
      <c r="X318" s="6"/>
      <c r="Y318" s="105"/>
      <c r="Z318" s="51"/>
      <c r="AA318" s="51"/>
      <c r="AB318" s="6"/>
      <c r="AC318" s="91">
        <v>345</v>
      </c>
      <c r="AD318" s="91">
        <v>345</v>
      </c>
      <c r="AE318" s="91">
        <v>345</v>
      </c>
      <c r="AG318" s="109"/>
      <c r="AK318" s="109"/>
      <c r="AO318" s="109"/>
      <c r="AS318" s="109"/>
      <c r="AW318" s="109"/>
      <c r="BA318" s="109"/>
      <c r="BE318" s="109"/>
    </row>
    <row r="319" spans="1:57" ht="16.5" customHeight="1" outlineLevel="1" x14ac:dyDescent="0.25">
      <c r="A319" s="220"/>
      <c r="B319" s="9"/>
      <c r="C319" s="48" t="s">
        <v>24</v>
      </c>
      <c r="D319" s="7"/>
      <c r="E319" s="76">
        <v>12</v>
      </c>
      <c r="F319" s="76">
        <v>12</v>
      </c>
      <c r="G319" s="76">
        <v>12</v>
      </c>
      <c r="H319" s="7"/>
      <c r="I319" s="79">
        <v>1234</v>
      </c>
      <c r="J319" s="79">
        <v>1234</v>
      </c>
      <c r="K319" s="79">
        <v>1234</v>
      </c>
      <c r="L319" s="7"/>
      <c r="M319" s="105"/>
      <c r="N319" s="51"/>
      <c r="O319" s="51"/>
      <c r="P319" s="7"/>
      <c r="Q319" s="105"/>
      <c r="R319" s="51"/>
      <c r="S319" s="51"/>
      <c r="T319" s="7"/>
      <c r="U319" s="105"/>
      <c r="V319" s="51"/>
      <c r="W319" s="51"/>
      <c r="X319" s="7"/>
      <c r="Y319" s="105"/>
      <c r="Z319" s="51"/>
      <c r="AA319" s="51"/>
      <c r="AB319" s="7"/>
      <c r="AC319" s="91">
        <v>345</v>
      </c>
      <c r="AD319" s="91">
        <v>345</v>
      </c>
      <c r="AE319" s="91">
        <v>345</v>
      </c>
      <c r="AG319" s="109"/>
      <c r="AK319" s="109"/>
      <c r="AO319" s="109"/>
      <c r="AS319" s="109"/>
      <c r="AW319" s="109"/>
      <c r="BA319" s="109"/>
      <c r="BE319" s="109"/>
    </row>
    <row r="320" spans="1:57" ht="16.5" customHeight="1" outlineLevel="1" x14ac:dyDescent="0.25">
      <c r="A320" s="220"/>
      <c r="B320" s="9"/>
      <c r="C320" s="48" t="s">
        <v>25</v>
      </c>
      <c r="D320" s="7"/>
      <c r="E320" s="76">
        <v>12</v>
      </c>
      <c r="F320" s="76">
        <v>12</v>
      </c>
      <c r="G320" s="76">
        <v>12</v>
      </c>
      <c r="H320" s="7"/>
      <c r="I320" s="79">
        <v>1234</v>
      </c>
      <c r="J320" s="79">
        <v>1234</v>
      </c>
      <c r="K320" s="79">
        <v>1234</v>
      </c>
      <c r="L320" s="7"/>
      <c r="M320" s="105"/>
      <c r="N320" s="51"/>
      <c r="O320" s="51"/>
      <c r="P320" s="7"/>
      <c r="Q320" s="105"/>
      <c r="R320" s="51"/>
      <c r="S320" s="51"/>
      <c r="T320" s="7"/>
      <c r="U320" s="105"/>
      <c r="V320" s="51"/>
      <c r="W320" s="51"/>
      <c r="X320" s="7"/>
      <c r="Y320" s="105"/>
      <c r="Z320" s="51"/>
      <c r="AA320" s="51"/>
      <c r="AB320" s="7"/>
      <c r="AC320" s="91">
        <v>345</v>
      </c>
      <c r="AD320" s="91">
        <v>345</v>
      </c>
      <c r="AE320" s="91">
        <v>345</v>
      </c>
      <c r="AG320" s="109"/>
      <c r="AK320" s="109"/>
      <c r="AO320" s="109"/>
      <c r="AS320" s="109"/>
      <c r="AW320" s="109"/>
      <c r="BA320" s="109"/>
      <c r="BE320" s="109"/>
    </row>
    <row r="321" spans="1:57" ht="16.5" customHeight="1" outlineLevel="1" x14ac:dyDescent="0.25">
      <c r="A321" s="220"/>
      <c r="B321" s="9"/>
      <c r="C321" s="48" t="s">
        <v>53</v>
      </c>
      <c r="D321" s="7"/>
      <c r="E321" s="76">
        <v>12</v>
      </c>
      <c r="F321" s="76">
        <v>12</v>
      </c>
      <c r="G321" s="76">
        <v>12</v>
      </c>
      <c r="H321" s="7"/>
      <c r="I321" s="79">
        <v>1234</v>
      </c>
      <c r="J321" s="79">
        <v>1234</v>
      </c>
      <c r="K321" s="79">
        <v>1234</v>
      </c>
      <c r="L321" s="7"/>
      <c r="M321" s="105"/>
      <c r="N321" s="51"/>
      <c r="O321" s="51"/>
      <c r="P321" s="7"/>
      <c r="Q321" s="105"/>
      <c r="R321" s="51"/>
      <c r="S321" s="51"/>
      <c r="T321" s="7"/>
      <c r="U321" s="105"/>
      <c r="V321" s="51"/>
      <c r="W321" s="51"/>
      <c r="X321" s="7"/>
      <c r="Y321" s="105"/>
      <c r="Z321" s="51"/>
      <c r="AA321" s="51"/>
      <c r="AB321" s="7"/>
      <c r="AC321" s="91">
        <v>345</v>
      </c>
      <c r="AD321" s="91">
        <v>345</v>
      </c>
      <c r="AE321" s="91">
        <v>345</v>
      </c>
      <c r="AG321" s="109"/>
      <c r="AK321" s="109"/>
      <c r="AO321" s="109"/>
      <c r="AS321" s="109"/>
      <c r="AW321" s="109"/>
      <c r="BA321" s="109"/>
      <c r="BE321" s="109"/>
    </row>
    <row r="322" spans="1:57" ht="16.5" customHeight="1" outlineLevel="1" x14ac:dyDescent="0.25">
      <c r="A322" s="220"/>
      <c r="B322" s="9"/>
      <c r="C322" s="49" t="s">
        <v>27</v>
      </c>
      <c r="D322" s="7"/>
      <c r="E322" s="76">
        <v>12</v>
      </c>
      <c r="F322" s="76">
        <v>12</v>
      </c>
      <c r="G322" s="76">
        <v>12</v>
      </c>
      <c r="H322" s="7"/>
      <c r="I322" s="79">
        <v>1234</v>
      </c>
      <c r="J322" s="79">
        <v>1234</v>
      </c>
      <c r="K322" s="79">
        <v>1234</v>
      </c>
      <c r="L322" s="7"/>
      <c r="M322" s="102"/>
      <c r="N322" s="57"/>
      <c r="O322" s="57"/>
      <c r="P322" s="7"/>
      <c r="Q322" s="102"/>
      <c r="R322" s="57"/>
      <c r="S322" s="57"/>
      <c r="T322" s="7"/>
      <c r="U322" s="102"/>
      <c r="V322" s="57"/>
      <c r="W322" s="57"/>
      <c r="X322" s="7"/>
      <c r="Y322" s="102"/>
      <c r="Z322" s="57"/>
      <c r="AA322" s="57"/>
      <c r="AB322" s="7"/>
      <c r="AC322" s="91">
        <v>345</v>
      </c>
      <c r="AD322" s="91">
        <v>345</v>
      </c>
      <c r="AE322" s="91">
        <v>345</v>
      </c>
      <c r="AG322" s="109"/>
      <c r="AK322" s="109"/>
      <c r="AO322" s="109"/>
      <c r="AS322" s="109"/>
      <c r="AW322" s="109"/>
      <c r="BA322" s="109"/>
      <c r="BE322" s="109"/>
    </row>
    <row r="323" spans="1:57" ht="16.5" customHeight="1" outlineLevel="1" x14ac:dyDescent="0.25">
      <c r="A323" s="220"/>
      <c r="B323" s="9"/>
      <c r="C323" s="49" t="s">
        <v>57</v>
      </c>
      <c r="D323" s="7"/>
      <c r="E323" s="76">
        <v>12</v>
      </c>
      <c r="F323" s="76">
        <v>12</v>
      </c>
      <c r="G323" s="76">
        <v>12</v>
      </c>
      <c r="H323" s="7"/>
      <c r="I323" s="79">
        <v>1234</v>
      </c>
      <c r="J323" s="79">
        <v>1234</v>
      </c>
      <c r="K323" s="79">
        <v>1234</v>
      </c>
      <c r="L323" s="7"/>
      <c r="M323" s="102"/>
      <c r="N323" s="57"/>
      <c r="O323" s="57"/>
      <c r="P323" s="7"/>
      <c r="Q323" s="102"/>
      <c r="R323" s="57"/>
      <c r="S323" s="57"/>
      <c r="T323" s="7"/>
      <c r="U323" s="102"/>
      <c r="V323" s="57"/>
      <c r="W323" s="57"/>
      <c r="X323" s="7"/>
      <c r="Y323" s="102"/>
      <c r="Z323" s="57"/>
      <c r="AA323" s="57"/>
      <c r="AB323" s="7"/>
      <c r="AC323" s="91">
        <v>345</v>
      </c>
      <c r="AD323" s="91">
        <v>345</v>
      </c>
      <c r="AE323" s="91">
        <v>345</v>
      </c>
      <c r="AG323" s="109"/>
      <c r="AK323" s="109"/>
      <c r="AO323" s="109"/>
      <c r="AS323" s="109"/>
      <c r="AW323" s="109"/>
      <c r="BA323" s="109"/>
      <c r="BE323" s="109"/>
    </row>
    <row r="324" spans="1:57" ht="16.5" customHeight="1" outlineLevel="1" x14ac:dyDescent="0.25">
      <c r="A324" s="220"/>
      <c r="B324" s="9"/>
      <c r="C324" s="49" t="s">
        <v>29</v>
      </c>
      <c r="D324" s="7"/>
      <c r="E324" s="76">
        <v>12</v>
      </c>
      <c r="F324" s="76">
        <v>12</v>
      </c>
      <c r="G324" s="76">
        <v>12</v>
      </c>
      <c r="H324" s="7"/>
      <c r="I324" s="79">
        <v>1234</v>
      </c>
      <c r="J324" s="79">
        <v>1234</v>
      </c>
      <c r="K324" s="79">
        <v>1234</v>
      </c>
      <c r="L324" s="7"/>
      <c r="M324" s="102"/>
      <c r="N324" s="57"/>
      <c r="O324" s="57"/>
      <c r="P324" s="7"/>
      <c r="Q324" s="102"/>
      <c r="R324" s="57"/>
      <c r="S324" s="57"/>
      <c r="T324" s="7"/>
      <c r="U324" s="102"/>
      <c r="V324" s="57"/>
      <c r="W324" s="57"/>
      <c r="X324" s="7"/>
      <c r="Y324" s="102"/>
      <c r="Z324" s="57"/>
      <c r="AA324" s="57"/>
      <c r="AB324" s="7"/>
      <c r="AC324" s="91">
        <v>345</v>
      </c>
      <c r="AD324" s="91">
        <v>345</v>
      </c>
      <c r="AE324" s="91">
        <v>345</v>
      </c>
      <c r="AG324" s="109"/>
      <c r="AK324" s="109"/>
      <c r="AO324" s="109"/>
      <c r="AS324" s="109"/>
      <c r="AW324" s="109"/>
      <c r="BA324" s="109"/>
      <c r="BE324" s="109"/>
    </row>
    <row r="325" spans="1:57" ht="16.5" customHeight="1" outlineLevel="1" x14ac:dyDescent="0.25">
      <c r="A325" s="220"/>
      <c r="B325" s="9"/>
      <c r="C325" s="49" t="s">
        <v>58</v>
      </c>
      <c r="D325" s="7"/>
      <c r="E325" s="76">
        <v>12</v>
      </c>
      <c r="F325" s="76">
        <v>12</v>
      </c>
      <c r="G325" s="76">
        <v>12</v>
      </c>
      <c r="H325" s="7"/>
      <c r="I325" s="79">
        <v>1234</v>
      </c>
      <c r="J325" s="79">
        <v>1234</v>
      </c>
      <c r="K325" s="79">
        <v>1234</v>
      </c>
      <c r="L325" s="7"/>
      <c r="M325" s="102"/>
      <c r="N325" s="57"/>
      <c r="O325" s="57"/>
      <c r="P325" s="7"/>
      <c r="Q325" s="102"/>
      <c r="R325" s="57"/>
      <c r="S325" s="57"/>
      <c r="T325" s="7"/>
      <c r="U325" s="102"/>
      <c r="V325" s="57"/>
      <c r="W325" s="57"/>
      <c r="X325" s="7"/>
      <c r="Y325" s="102"/>
      <c r="Z325" s="57"/>
      <c r="AA325" s="57"/>
      <c r="AB325" s="7"/>
      <c r="AC325" s="91">
        <v>345</v>
      </c>
      <c r="AD325" s="91">
        <v>345</v>
      </c>
      <c r="AE325" s="91">
        <v>345</v>
      </c>
      <c r="AG325" s="109"/>
      <c r="AK325" s="109"/>
      <c r="AO325" s="109"/>
      <c r="AS325" s="109"/>
      <c r="AW325" s="109"/>
      <c r="BA325" s="109"/>
      <c r="BE325" s="109"/>
    </row>
    <row r="326" spans="1:57" ht="16.5" customHeight="1" outlineLevel="1" x14ac:dyDescent="0.25">
      <c r="A326" s="220"/>
      <c r="B326" s="9"/>
      <c r="C326" s="50" t="s">
        <v>59</v>
      </c>
      <c r="D326" s="8"/>
      <c r="E326" s="76">
        <v>12</v>
      </c>
      <c r="F326" s="76">
        <v>12</v>
      </c>
      <c r="G326" s="76">
        <v>12</v>
      </c>
      <c r="H326" s="8"/>
      <c r="I326" s="79">
        <v>1234</v>
      </c>
      <c r="J326" s="79">
        <v>1234</v>
      </c>
      <c r="K326" s="79">
        <v>1234</v>
      </c>
      <c r="L326" s="8"/>
      <c r="M326" s="105"/>
      <c r="N326" s="51"/>
      <c r="O326" s="51"/>
      <c r="P326" s="8"/>
      <c r="Q326" s="105"/>
      <c r="R326" s="51"/>
      <c r="S326" s="51"/>
      <c r="T326" s="8"/>
      <c r="U326" s="105"/>
      <c r="V326" s="51"/>
      <c r="W326" s="51"/>
      <c r="X326" s="8"/>
      <c r="Y326" s="105"/>
      <c r="Z326" s="51"/>
      <c r="AA326" s="51"/>
      <c r="AB326" s="8"/>
      <c r="AC326" s="91">
        <v>345</v>
      </c>
      <c r="AD326" s="91">
        <v>345</v>
      </c>
      <c r="AE326" s="91">
        <v>345</v>
      </c>
      <c r="AG326" s="109"/>
      <c r="AK326" s="109"/>
      <c r="AO326" s="109"/>
      <c r="AS326" s="109"/>
      <c r="AW326" s="109"/>
      <c r="BA326" s="109"/>
      <c r="BE326" s="109"/>
    </row>
    <row r="327" spans="1:57" ht="16.5" customHeight="1" outlineLevel="1" x14ac:dyDescent="0.25">
      <c r="A327" s="220"/>
      <c r="B327" s="9"/>
      <c r="C327" s="50" t="s">
        <v>60</v>
      </c>
      <c r="D327" s="8"/>
      <c r="E327" s="76">
        <v>12</v>
      </c>
      <c r="F327" s="76">
        <v>12</v>
      </c>
      <c r="G327" s="76">
        <v>12</v>
      </c>
      <c r="H327" s="8"/>
      <c r="I327" s="79">
        <v>1234</v>
      </c>
      <c r="J327" s="79">
        <v>1234</v>
      </c>
      <c r="K327" s="79">
        <v>1234</v>
      </c>
      <c r="L327" s="8"/>
      <c r="M327" s="105"/>
      <c r="N327" s="51"/>
      <c r="O327" s="51"/>
      <c r="P327" s="8"/>
      <c r="Q327" s="105"/>
      <c r="R327" s="51"/>
      <c r="S327" s="51"/>
      <c r="T327" s="8"/>
      <c r="U327" s="105"/>
      <c r="V327" s="51"/>
      <c r="W327" s="51"/>
      <c r="X327" s="8"/>
      <c r="Y327" s="105"/>
      <c r="Z327" s="51"/>
      <c r="AA327" s="51"/>
      <c r="AB327" s="8"/>
      <c r="AC327" s="91">
        <v>345</v>
      </c>
      <c r="AD327" s="91">
        <v>345</v>
      </c>
      <c r="AE327" s="91">
        <v>345</v>
      </c>
      <c r="AG327" s="109"/>
      <c r="AK327" s="109"/>
      <c r="AO327" s="109"/>
      <c r="AS327" s="109"/>
      <c r="AW327" s="109"/>
      <c r="BA327" s="109"/>
      <c r="BE327" s="109"/>
    </row>
    <row r="328" spans="1:57" ht="16.5" customHeight="1" outlineLevel="1" x14ac:dyDescent="0.25">
      <c r="A328" s="220"/>
      <c r="B328" s="9"/>
      <c r="C328" s="50" t="s">
        <v>61</v>
      </c>
      <c r="D328" s="8"/>
      <c r="E328" s="76">
        <v>12</v>
      </c>
      <c r="F328" s="76">
        <v>12</v>
      </c>
      <c r="G328" s="76">
        <v>12</v>
      </c>
      <c r="H328" s="8"/>
      <c r="I328" s="79">
        <v>1234</v>
      </c>
      <c r="J328" s="79">
        <v>1234</v>
      </c>
      <c r="K328" s="79">
        <v>1234</v>
      </c>
      <c r="L328" s="8"/>
      <c r="M328" s="105"/>
      <c r="N328" s="51"/>
      <c r="O328" s="51"/>
      <c r="P328" s="8"/>
      <c r="Q328" s="105"/>
      <c r="R328" s="51"/>
      <c r="S328" s="51"/>
      <c r="T328" s="8"/>
      <c r="U328" s="105"/>
      <c r="V328" s="51"/>
      <c r="W328" s="51"/>
      <c r="X328" s="8"/>
      <c r="Y328" s="105"/>
      <c r="Z328" s="51"/>
      <c r="AA328" s="51"/>
      <c r="AB328" s="8"/>
      <c r="AC328" s="91">
        <v>345</v>
      </c>
      <c r="AD328" s="91">
        <v>345</v>
      </c>
      <c r="AE328" s="91">
        <v>345</v>
      </c>
      <c r="AG328" s="109"/>
      <c r="AK328" s="109"/>
      <c r="AO328" s="109"/>
      <c r="AS328" s="109"/>
      <c r="AW328" s="109"/>
      <c r="BA328" s="109"/>
      <c r="BE328" s="109"/>
    </row>
    <row r="329" spans="1:57" ht="16.5" customHeight="1" outlineLevel="1" x14ac:dyDescent="0.25">
      <c r="A329" s="220"/>
      <c r="B329" s="9"/>
      <c r="C329" s="49" t="s">
        <v>34</v>
      </c>
      <c r="D329" s="6"/>
      <c r="E329" s="76">
        <v>12</v>
      </c>
      <c r="F329" s="76">
        <v>12</v>
      </c>
      <c r="G329" s="76">
        <v>12</v>
      </c>
      <c r="H329" s="6"/>
      <c r="I329" s="79">
        <v>1234</v>
      </c>
      <c r="J329" s="79">
        <v>1234</v>
      </c>
      <c r="K329" s="79">
        <v>1234</v>
      </c>
      <c r="L329" s="6"/>
      <c r="M329" s="79"/>
      <c r="N329" s="56"/>
      <c r="O329" s="56"/>
      <c r="P329" s="6"/>
      <c r="Q329" s="79"/>
      <c r="R329" s="56"/>
      <c r="S329" s="56"/>
      <c r="T329" s="6"/>
      <c r="U329" s="79"/>
      <c r="V329" s="56"/>
      <c r="W329" s="56"/>
      <c r="X329" s="6"/>
      <c r="Y329" s="79"/>
      <c r="Z329" s="56"/>
      <c r="AA329" s="56"/>
      <c r="AB329" s="6"/>
      <c r="AC329" s="91">
        <v>345</v>
      </c>
      <c r="AD329" s="91">
        <v>345</v>
      </c>
      <c r="AE329" s="91">
        <v>345</v>
      </c>
      <c r="AG329" s="108"/>
      <c r="AK329" s="108"/>
      <c r="AO329" s="108"/>
      <c r="AS329" s="108"/>
      <c r="AW329" s="108"/>
      <c r="BA329" s="108"/>
      <c r="BE329" s="108"/>
    </row>
    <row r="330" spans="1:57" outlineLevel="1" x14ac:dyDescent="0.25"/>
    <row r="331" spans="1:57" ht="16.5" customHeight="1" outlineLevel="1" x14ac:dyDescent="0.25">
      <c r="A331" s="220" t="s">
        <v>51</v>
      </c>
      <c r="B331" s="9"/>
      <c r="C331" s="49" t="s">
        <v>19</v>
      </c>
      <c r="D331" s="6"/>
      <c r="E331" s="79">
        <v>111</v>
      </c>
      <c r="F331" s="79">
        <v>111</v>
      </c>
      <c r="G331" s="79">
        <v>111</v>
      </c>
      <c r="H331" s="6"/>
      <c r="I331" s="76">
        <v>31</v>
      </c>
      <c r="J331" s="76">
        <v>31</v>
      </c>
      <c r="K331" s="76">
        <v>31</v>
      </c>
      <c r="L331" s="6"/>
      <c r="M331" s="79"/>
      <c r="N331" s="56"/>
      <c r="O331" s="56"/>
      <c r="P331" s="6"/>
      <c r="Q331" s="79"/>
      <c r="R331" s="56"/>
      <c r="S331" s="56"/>
      <c r="T331" s="6"/>
      <c r="U331" s="79"/>
      <c r="V331" s="56"/>
      <c r="W331" s="56"/>
      <c r="X331" s="6"/>
      <c r="Y331" s="79"/>
      <c r="Z331" s="56"/>
      <c r="AA331" s="56"/>
      <c r="AB331" s="6"/>
      <c r="AC331" s="88">
        <v>43</v>
      </c>
      <c r="AD331" s="88">
        <v>43</v>
      </c>
      <c r="AE331" s="88">
        <v>43</v>
      </c>
      <c r="AG331" s="108"/>
      <c r="AK331" s="108"/>
      <c r="AO331" s="108"/>
      <c r="AS331" s="108"/>
      <c r="AW331" s="108"/>
      <c r="BA331" s="108"/>
      <c r="BE331" s="108"/>
    </row>
    <row r="332" spans="1:57" ht="16.5" customHeight="1" outlineLevel="1" x14ac:dyDescent="0.25">
      <c r="A332" s="220"/>
      <c r="B332" s="9"/>
      <c r="C332" s="49" t="s">
        <v>55</v>
      </c>
      <c r="D332" s="6"/>
      <c r="E332" s="76">
        <v>12</v>
      </c>
      <c r="F332" s="76">
        <v>12</v>
      </c>
      <c r="G332" s="76">
        <v>12</v>
      </c>
      <c r="H332" s="6"/>
      <c r="I332" s="76">
        <v>31</v>
      </c>
      <c r="J332" s="76">
        <v>31</v>
      </c>
      <c r="K332" s="76">
        <v>31</v>
      </c>
      <c r="L332" s="6"/>
      <c r="M332" s="79"/>
      <c r="N332" s="56"/>
      <c r="O332" s="56"/>
      <c r="P332" s="6"/>
      <c r="Q332" s="79"/>
      <c r="R332" s="56"/>
      <c r="S332" s="56"/>
      <c r="T332" s="6"/>
      <c r="U332" s="79"/>
      <c r="V332" s="56"/>
      <c r="W332" s="56"/>
      <c r="X332" s="6"/>
      <c r="Y332" s="79"/>
      <c r="Z332" s="56"/>
      <c r="AA332" s="56"/>
      <c r="AB332" s="6"/>
      <c r="AC332" s="88">
        <v>43</v>
      </c>
      <c r="AD332" s="88">
        <v>43</v>
      </c>
      <c r="AE332" s="88">
        <v>43</v>
      </c>
      <c r="AG332" s="108"/>
      <c r="AK332" s="108"/>
      <c r="AO332" s="108"/>
      <c r="AS332" s="108"/>
      <c r="AW332" s="108"/>
      <c r="BA332" s="108"/>
      <c r="BE332" s="108"/>
    </row>
    <row r="333" spans="1:57" ht="16.5" customHeight="1" outlineLevel="1" x14ac:dyDescent="0.25">
      <c r="A333" s="220"/>
      <c r="B333" s="9"/>
      <c r="C333" s="49" t="s">
        <v>21</v>
      </c>
      <c r="D333" s="6"/>
      <c r="E333" s="76">
        <v>12</v>
      </c>
      <c r="F333" s="76">
        <v>12</v>
      </c>
      <c r="G333" s="76">
        <v>12</v>
      </c>
      <c r="H333" s="6"/>
      <c r="I333" s="76">
        <v>31</v>
      </c>
      <c r="J333" s="76">
        <v>31</v>
      </c>
      <c r="K333" s="76">
        <v>31</v>
      </c>
      <c r="L333" s="6"/>
      <c r="M333" s="102"/>
      <c r="N333" s="57"/>
      <c r="O333" s="57"/>
      <c r="P333" s="6"/>
      <c r="Q333" s="102"/>
      <c r="R333" s="57"/>
      <c r="S333" s="57"/>
      <c r="T333" s="6"/>
      <c r="U333" s="102"/>
      <c r="V333" s="57"/>
      <c r="W333" s="57"/>
      <c r="X333" s="6"/>
      <c r="Y333" s="102"/>
      <c r="Z333" s="57"/>
      <c r="AA333" s="57"/>
      <c r="AB333" s="6"/>
      <c r="AC333" s="88">
        <v>43</v>
      </c>
      <c r="AD333" s="88">
        <v>43</v>
      </c>
      <c r="AE333" s="88">
        <v>43</v>
      </c>
      <c r="AG333" s="109"/>
      <c r="AK333" s="109"/>
      <c r="AO333" s="109"/>
      <c r="AS333" s="109"/>
      <c r="AW333" s="109"/>
      <c r="BA333" s="109"/>
      <c r="BE333" s="109"/>
    </row>
    <row r="334" spans="1:57" ht="16.5" customHeight="1" outlineLevel="1" x14ac:dyDescent="0.25">
      <c r="A334" s="220"/>
      <c r="B334" s="9"/>
      <c r="C334" s="49" t="s">
        <v>56</v>
      </c>
      <c r="D334" s="6"/>
      <c r="E334" s="76">
        <v>12</v>
      </c>
      <c r="F334" s="76">
        <v>12</v>
      </c>
      <c r="G334" s="76">
        <v>12</v>
      </c>
      <c r="H334" s="6"/>
      <c r="I334" s="76">
        <v>31</v>
      </c>
      <c r="J334" s="76">
        <v>31</v>
      </c>
      <c r="K334" s="76">
        <v>31</v>
      </c>
      <c r="L334" s="6"/>
      <c r="M334" s="102"/>
      <c r="N334" s="57"/>
      <c r="O334" s="57"/>
      <c r="P334" s="6"/>
      <c r="Q334" s="102"/>
      <c r="R334" s="57"/>
      <c r="S334" s="57"/>
      <c r="T334" s="6"/>
      <c r="U334" s="102"/>
      <c r="V334" s="57"/>
      <c r="W334" s="57"/>
      <c r="X334" s="6"/>
      <c r="Y334" s="102"/>
      <c r="Z334" s="57"/>
      <c r="AA334" s="57"/>
      <c r="AB334" s="6"/>
      <c r="AC334" s="88">
        <v>43</v>
      </c>
      <c r="AD334" s="88">
        <v>43</v>
      </c>
      <c r="AE334" s="88">
        <v>43</v>
      </c>
      <c r="AG334" s="109"/>
      <c r="AK334" s="109"/>
      <c r="AO334" s="109"/>
      <c r="AS334" s="109"/>
      <c r="AW334" s="109"/>
      <c r="BA334" s="109"/>
      <c r="BE334" s="109"/>
    </row>
    <row r="335" spans="1:57" ht="16.5" customHeight="1" outlineLevel="1" x14ac:dyDescent="0.25">
      <c r="A335" s="220"/>
      <c r="B335" s="9"/>
      <c r="C335" s="48" t="s">
        <v>23</v>
      </c>
      <c r="D335" s="6"/>
      <c r="E335" s="76">
        <v>12</v>
      </c>
      <c r="F335" s="76">
        <v>12</v>
      </c>
      <c r="G335" s="76">
        <v>12</v>
      </c>
      <c r="H335" s="6"/>
      <c r="I335" s="76">
        <v>31</v>
      </c>
      <c r="J335" s="76">
        <v>31</v>
      </c>
      <c r="K335" s="76">
        <v>31</v>
      </c>
      <c r="L335" s="6"/>
      <c r="M335" s="105"/>
      <c r="N335" s="51"/>
      <c r="O335" s="51"/>
      <c r="P335" s="6"/>
      <c r="Q335" s="105"/>
      <c r="R335" s="51"/>
      <c r="S335" s="51"/>
      <c r="T335" s="6"/>
      <c r="U335" s="105"/>
      <c r="V335" s="51"/>
      <c r="W335" s="51"/>
      <c r="X335" s="6"/>
      <c r="Y335" s="105"/>
      <c r="Z335" s="51"/>
      <c r="AA335" s="51"/>
      <c r="AB335" s="6"/>
      <c r="AC335" s="88">
        <v>43</v>
      </c>
      <c r="AD335" s="88">
        <v>43</v>
      </c>
      <c r="AE335" s="88">
        <v>43</v>
      </c>
      <c r="AG335" s="109"/>
      <c r="AK335" s="109"/>
      <c r="AO335" s="109"/>
      <c r="AS335" s="109"/>
      <c r="AW335" s="109"/>
      <c r="BA335" s="109"/>
      <c r="BE335" s="109"/>
    </row>
    <row r="336" spans="1:57" ht="16.5" customHeight="1" outlineLevel="1" x14ac:dyDescent="0.25">
      <c r="A336" s="220"/>
      <c r="B336" s="9"/>
      <c r="C336" s="48" t="s">
        <v>24</v>
      </c>
      <c r="D336" s="7"/>
      <c r="E336" s="76">
        <v>12</v>
      </c>
      <c r="F336" s="76">
        <v>12</v>
      </c>
      <c r="G336" s="76">
        <v>12</v>
      </c>
      <c r="H336" s="7"/>
      <c r="I336" s="76">
        <v>31</v>
      </c>
      <c r="J336" s="76">
        <v>31</v>
      </c>
      <c r="K336" s="76">
        <v>31</v>
      </c>
      <c r="L336" s="7"/>
      <c r="M336" s="105"/>
      <c r="N336" s="51"/>
      <c r="O336" s="51"/>
      <c r="P336" s="7"/>
      <c r="Q336" s="105"/>
      <c r="R336" s="51"/>
      <c r="S336" s="51"/>
      <c r="T336" s="7"/>
      <c r="U336" s="105"/>
      <c r="V336" s="51"/>
      <c r="W336" s="51"/>
      <c r="X336" s="7"/>
      <c r="Y336" s="105"/>
      <c r="Z336" s="51"/>
      <c r="AA336" s="51"/>
      <c r="AB336" s="7"/>
      <c r="AC336" s="88">
        <v>43</v>
      </c>
      <c r="AD336" s="88">
        <v>43</v>
      </c>
      <c r="AE336" s="88">
        <v>43</v>
      </c>
      <c r="AG336" s="109"/>
      <c r="AK336" s="109"/>
      <c r="AO336" s="109"/>
      <c r="AS336" s="109"/>
      <c r="AW336" s="109"/>
      <c r="BA336" s="109"/>
      <c r="BE336" s="109"/>
    </row>
    <row r="337" spans="1:57" ht="16.5" customHeight="1" outlineLevel="1" x14ac:dyDescent="0.25">
      <c r="A337" s="220"/>
      <c r="B337" s="9"/>
      <c r="C337" s="48" t="s">
        <v>25</v>
      </c>
      <c r="D337" s="7"/>
      <c r="E337" s="76">
        <v>12</v>
      </c>
      <c r="F337" s="76">
        <v>12</v>
      </c>
      <c r="G337" s="76">
        <v>12</v>
      </c>
      <c r="H337" s="7"/>
      <c r="I337" s="76">
        <v>31</v>
      </c>
      <c r="J337" s="76">
        <v>31</v>
      </c>
      <c r="K337" s="76">
        <v>31</v>
      </c>
      <c r="L337" s="7"/>
      <c r="M337" s="105"/>
      <c r="N337" s="51"/>
      <c r="O337" s="51"/>
      <c r="P337" s="7"/>
      <c r="Q337" s="105"/>
      <c r="R337" s="51"/>
      <c r="S337" s="51"/>
      <c r="T337" s="7"/>
      <c r="U337" s="105"/>
      <c r="V337" s="51"/>
      <c r="W337" s="51"/>
      <c r="X337" s="7"/>
      <c r="Y337" s="105"/>
      <c r="Z337" s="51"/>
      <c r="AA337" s="51"/>
      <c r="AB337" s="7"/>
      <c r="AC337" s="88">
        <v>43</v>
      </c>
      <c r="AD337" s="88">
        <v>43</v>
      </c>
      <c r="AE337" s="88">
        <v>43</v>
      </c>
      <c r="AG337" s="109"/>
      <c r="AK337" s="109"/>
      <c r="AO337" s="109"/>
      <c r="AS337" s="109"/>
      <c r="AW337" s="109"/>
      <c r="BA337" s="109"/>
      <c r="BE337" s="109"/>
    </row>
    <row r="338" spans="1:57" ht="16.5" customHeight="1" outlineLevel="1" x14ac:dyDescent="0.25">
      <c r="A338" s="220"/>
      <c r="B338" s="9"/>
      <c r="C338" s="48" t="s">
        <v>53</v>
      </c>
      <c r="D338" s="7"/>
      <c r="E338" s="76">
        <v>12</v>
      </c>
      <c r="F338" s="76">
        <v>12</v>
      </c>
      <c r="G338" s="76">
        <v>12</v>
      </c>
      <c r="H338" s="7"/>
      <c r="I338" s="76">
        <v>31</v>
      </c>
      <c r="J338" s="76">
        <v>31</v>
      </c>
      <c r="K338" s="76">
        <v>31</v>
      </c>
      <c r="L338" s="7"/>
      <c r="M338" s="105"/>
      <c r="N338" s="51"/>
      <c r="O338" s="51"/>
      <c r="P338" s="7"/>
      <c r="Q338" s="105"/>
      <c r="R338" s="51"/>
      <c r="S338" s="51"/>
      <c r="T338" s="7"/>
      <c r="U338" s="105"/>
      <c r="V338" s="51"/>
      <c r="W338" s="51"/>
      <c r="X338" s="7"/>
      <c r="Y338" s="105"/>
      <c r="Z338" s="51"/>
      <c r="AA338" s="51"/>
      <c r="AB338" s="7"/>
      <c r="AC338" s="88">
        <v>43</v>
      </c>
      <c r="AD338" s="88">
        <v>43</v>
      </c>
      <c r="AE338" s="88">
        <v>43</v>
      </c>
      <c r="AG338" s="109"/>
      <c r="AK338" s="109"/>
      <c r="AO338" s="109"/>
      <c r="AS338" s="109"/>
      <c r="AW338" s="109"/>
      <c r="BA338" s="109"/>
      <c r="BE338" s="109"/>
    </row>
    <row r="339" spans="1:57" ht="16.5" customHeight="1" outlineLevel="1" x14ac:dyDescent="0.25">
      <c r="A339" s="220"/>
      <c r="B339" s="9"/>
      <c r="C339" s="49" t="s">
        <v>27</v>
      </c>
      <c r="D339" s="7"/>
      <c r="E339" s="76">
        <v>12</v>
      </c>
      <c r="F339" s="76">
        <v>12</v>
      </c>
      <c r="G339" s="76">
        <v>12</v>
      </c>
      <c r="H339" s="7"/>
      <c r="I339" s="76">
        <v>31</v>
      </c>
      <c r="J339" s="76">
        <v>31</v>
      </c>
      <c r="K339" s="76">
        <v>31</v>
      </c>
      <c r="L339" s="7"/>
      <c r="M339" s="102"/>
      <c r="N339" s="57"/>
      <c r="O339" s="57"/>
      <c r="P339" s="7"/>
      <c r="Q339" s="102"/>
      <c r="R339" s="57"/>
      <c r="S339" s="57"/>
      <c r="T339" s="7"/>
      <c r="U339" s="102"/>
      <c r="V339" s="57"/>
      <c r="W339" s="57"/>
      <c r="X339" s="7"/>
      <c r="Y339" s="102"/>
      <c r="Z339" s="57"/>
      <c r="AA339" s="57"/>
      <c r="AB339" s="7"/>
      <c r="AC339" s="88">
        <v>43</v>
      </c>
      <c r="AD339" s="88">
        <v>43</v>
      </c>
      <c r="AE339" s="88">
        <v>43</v>
      </c>
      <c r="AG339" s="109"/>
      <c r="AK339" s="109"/>
      <c r="AO339" s="109"/>
      <c r="AS339" s="109"/>
      <c r="AW339" s="109"/>
      <c r="BA339" s="109"/>
      <c r="BE339" s="109"/>
    </row>
    <row r="340" spans="1:57" ht="16.5" customHeight="1" outlineLevel="1" x14ac:dyDescent="0.25">
      <c r="A340" s="220"/>
      <c r="B340" s="9"/>
      <c r="C340" s="49" t="s">
        <v>57</v>
      </c>
      <c r="D340" s="7"/>
      <c r="E340" s="76">
        <v>12</v>
      </c>
      <c r="F340" s="76">
        <v>12</v>
      </c>
      <c r="G340" s="76">
        <v>12</v>
      </c>
      <c r="H340" s="7"/>
      <c r="I340" s="76">
        <v>31</v>
      </c>
      <c r="J340" s="76">
        <v>31</v>
      </c>
      <c r="K340" s="76">
        <v>31</v>
      </c>
      <c r="L340" s="7"/>
      <c r="M340" s="102"/>
      <c r="N340" s="57"/>
      <c r="O340" s="57"/>
      <c r="P340" s="7"/>
      <c r="Q340" s="102"/>
      <c r="R340" s="57"/>
      <c r="S340" s="57"/>
      <c r="T340" s="7"/>
      <c r="U340" s="102"/>
      <c r="V340" s="57"/>
      <c r="W340" s="57"/>
      <c r="X340" s="7"/>
      <c r="Y340" s="102"/>
      <c r="Z340" s="57"/>
      <c r="AA340" s="57"/>
      <c r="AB340" s="7"/>
      <c r="AC340" s="88">
        <v>43</v>
      </c>
      <c r="AD340" s="88">
        <v>43</v>
      </c>
      <c r="AE340" s="88">
        <v>43</v>
      </c>
      <c r="AG340" s="109"/>
      <c r="AK340" s="109"/>
      <c r="AO340" s="109"/>
      <c r="AS340" s="109"/>
      <c r="AW340" s="109"/>
      <c r="BA340" s="109"/>
      <c r="BE340" s="109"/>
    </row>
    <row r="341" spans="1:57" ht="16.5" customHeight="1" outlineLevel="1" x14ac:dyDescent="0.25">
      <c r="A341" s="220"/>
      <c r="B341" s="9"/>
      <c r="C341" s="49" t="s">
        <v>29</v>
      </c>
      <c r="D341" s="7"/>
      <c r="E341" s="76">
        <v>12</v>
      </c>
      <c r="F341" s="76">
        <v>12</v>
      </c>
      <c r="G341" s="76">
        <v>12</v>
      </c>
      <c r="H341" s="7"/>
      <c r="I341" s="76">
        <v>31</v>
      </c>
      <c r="J341" s="76">
        <v>31</v>
      </c>
      <c r="K341" s="76">
        <v>31</v>
      </c>
      <c r="L341" s="7"/>
      <c r="M341" s="102"/>
      <c r="N341" s="57"/>
      <c r="O341" s="57"/>
      <c r="P341" s="7"/>
      <c r="Q341" s="102"/>
      <c r="R341" s="57"/>
      <c r="S341" s="57"/>
      <c r="T341" s="7"/>
      <c r="U341" s="102"/>
      <c r="V341" s="57"/>
      <c r="W341" s="57"/>
      <c r="X341" s="7"/>
      <c r="Y341" s="102"/>
      <c r="Z341" s="57"/>
      <c r="AA341" s="57"/>
      <c r="AB341" s="7"/>
      <c r="AC341" s="88">
        <v>43</v>
      </c>
      <c r="AD341" s="88">
        <v>43</v>
      </c>
      <c r="AE341" s="88">
        <v>43</v>
      </c>
      <c r="AG341" s="109"/>
      <c r="AK341" s="109"/>
      <c r="AO341" s="109"/>
      <c r="AS341" s="109"/>
      <c r="AW341" s="109"/>
      <c r="BA341" s="109"/>
      <c r="BE341" s="109"/>
    </row>
    <row r="342" spans="1:57" ht="16.5" customHeight="1" outlineLevel="1" x14ac:dyDescent="0.25">
      <c r="A342" s="220"/>
      <c r="B342" s="9"/>
      <c r="C342" s="49" t="s">
        <v>58</v>
      </c>
      <c r="D342" s="7"/>
      <c r="E342" s="76">
        <v>12</v>
      </c>
      <c r="F342" s="76">
        <v>12</v>
      </c>
      <c r="G342" s="76">
        <v>12</v>
      </c>
      <c r="H342" s="7"/>
      <c r="I342" s="76">
        <v>31</v>
      </c>
      <c r="J342" s="76">
        <v>31</v>
      </c>
      <c r="K342" s="76">
        <v>31</v>
      </c>
      <c r="L342" s="7"/>
      <c r="M342" s="102"/>
      <c r="N342" s="57"/>
      <c r="O342" s="57"/>
      <c r="P342" s="7"/>
      <c r="Q342" s="102"/>
      <c r="R342" s="57"/>
      <c r="S342" s="57"/>
      <c r="T342" s="7"/>
      <c r="U342" s="102"/>
      <c r="V342" s="57"/>
      <c r="W342" s="57"/>
      <c r="X342" s="7"/>
      <c r="Y342" s="102"/>
      <c r="Z342" s="57"/>
      <c r="AA342" s="57"/>
      <c r="AB342" s="7"/>
      <c r="AC342" s="88">
        <v>43</v>
      </c>
      <c r="AD342" s="88">
        <v>43</v>
      </c>
      <c r="AE342" s="88">
        <v>43</v>
      </c>
      <c r="AG342" s="109"/>
      <c r="AK342" s="109"/>
      <c r="AO342" s="109"/>
      <c r="AS342" s="109"/>
      <c r="AW342" s="109"/>
      <c r="BA342" s="109"/>
      <c r="BE342" s="109"/>
    </row>
    <row r="343" spans="1:57" ht="16.5" customHeight="1" outlineLevel="1" x14ac:dyDescent="0.25">
      <c r="A343" s="220"/>
      <c r="B343" s="9"/>
      <c r="C343" s="50" t="s">
        <v>59</v>
      </c>
      <c r="D343" s="8"/>
      <c r="E343" s="76">
        <v>12</v>
      </c>
      <c r="F343" s="76">
        <v>12</v>
      </c>
      <c r="G343" s="76">
        <v>12</v>
      </c>
      <c r="H343" s="8"/>
      <c r="I343" s="76">
        <v>31</v>
      </c>
      <c r="J343" s="76">
        <v>31</v>
      </c>
      <c r="K343" s="76">
        <v>31</v>
      </c>
      <c r="L343" s="8"/>
      <c r="M343" s="105"/>
      <c r="N343" s="51"/>
      <c r="O343" s="51"/>
      <c r="P343" s="8"/>
      <c r="Q343" s="105"/>
      <c r="R343" s="51"/>
      <c r="S343" s="51"/>
      <c r="T343" s="8"/>
      <c r="U343" s="105"/>
      <c r="V343" s="51"/>
      <c r="W343" s="51"/>
      <c r="X343" s="8"/>
      <c r="Y343" s="105"/>
      <c r="Z343" s="51"/>
      <c r="AA343" s="51"/>
      <c r="AB343" s="8"/>
      <c r="AC343" s="88">
        <v>43</v>
      </c>
      <c r="AD343" s="88">
        <v>43</v>
      </c>
      <c r="AE343" s="88">
        <v>43</v>
      </c>
      <c r="AG343" s="109"/>
      <c r="AK343" s="109"/>
      <c r="AO343" s="109"/>
      <c r="AS343" s="109"/>
      <c r="AW343" s="109"/>
      <c r="BA343" s="109"/>
      <c r="BE343" s="109"/>
    </row>
    <row r="344" spans="1:57" ht="16.5" customHeight="1" outlineLevel="1" x14ac:dyDescent="0.25">
      <c r="A344" s="220"/>
      <c r="B344" s="9"/>
      <c r="C344" s="50" t="s">
        <v>60</v>
      </c>
      <c r="D344" s="8"/>
      <c r="E344" s="76">
        <v>12</v>
      </c>
      <c r="F344" s="76">
        <v>12</v>
      </c>
      <c r="G344" s="76">
        <v>12</v>
      </c>
      <c r="H344" s="8"/>
      <c r="I344" s="76">
        <v>31</v>
      </c>
      <c r="J344" s="76">
        <v>31</v>
      </c>
      <c r="K344" s="76">
        <v>31</v>
      </c>
      <c r="L344" s="8"/>
      <c r="M344" s="105"/>
      <c r="N344" s="51"/>
      <c r="O344" s="51"/>
      <c r="P344" s="8"/>
      <c r="Q344" s="105"/>
      <c r="R344" s="51"/>
      <c r="S344" s="51"/>
      <c r="T344" s="8"/>
      <c r="U344" s="105"/>
      <c r="V344" s="51"/>
      <c r="W344" s="51"/>
      <c r="X344" s="8"/>
      <c r="Y344" s="105"/>
      <c r="Z344" s="51"/>
      <c r="AA344" s="51"/>
      <c r="AB344" s="8"/>
      <c r="AC344" s="88">
        <v>43</v>
      </c>
      <c r="AD344" s="88">
        <v>43</v>
      </c>
      <c r="AE344" s="88">
        <v>43</v>
      </c>
      <c r="AG344" s="109"/>
      <c r="AK344" s="109"/>
      <c r="AO344" s="109"/>
      <c r="AS344" s="109"/>
      <c r="AW344" s="109"/>
      <c r="BA344" s="109"/>
      <c r="BE344" s="109"/>
    </row>
    <row r="345" spans="1:57" ht="16.5" customHeight="1" outlineLevel="1" x14ac:dyDescent="0.25">
      <c r="A345" s="220"/>
      <c r="B345" s="9"/>
      <c r="C345" s="50" t="s">
        <v>61</v>
      </c>
      <c r="D345" s="8"/>
      <c r="E345" s="76">
        <v>12</v>
      </c>
      <c r="F345" s="76">
        <v>12</v>
      </c>
      <c r="G345" s="76">
        <v>12</v>
      </c>
      <c r="H345" s="8"/>
      <c r="I345" s="76">
        <v>31</v>
      </c>
      <c r="J345" s="76">
        <v>31</v>
      </c>
      <c r="K345" s="76">
        <v>31</v>
      </c>
      <c r="L345" s="8"/>
      <c r="M345" s="105"/>
      <c r="N345" s="51"/>
      <c r="O345" s="51"/>
      <c r="P345" s="8"/>
      <c r="Q345" s="105"/>
      <c r="R345" s="51"/>
      <c r="S345" s="51"/>
      <c r="T345" s="8"/>
      <c r="U345" s="105"/>
      <c r="V345" s="51"/>
      <c r="W345" s="51"/>
      <c r="X345" s="8"/>
      <c r="Y345" s="105"/>
      <c r="Z345" s="51"/>
      <c r="AA345" s="51"/>
      <c r="AB345" s="8"/>
      <c r="AC345" s="88">
        <v>43</v>
      </c>
      <c r="AD345" s="88">
        <v>43</v>
      </c>
      <c r="AE345" s="88">
        <v>43</v>
      </c>
      <c r="AG345" s="109"/>
      <c r="AK345" s="109"/>
      <c r="AO345" s="109"/>
      <c r="AS345" s="109"/>
      <c r="AW345" s="109"/>
      <c r="BA345" s="109"/>
      <c r="BE345" s="109"/>
    </row>
    <row r="346" spans="1:57" ht="16.5" customHeight="1" outlineLevel="1" x14ac:dyDescent="0.25">
      <c r="A346" s="220"/>
      <c r="B346" s="9"/>
      <c r="C346" s="49" t="s">
        <v>34</v>
      </c>
      <c r="D346" s="6"/>
      <c r="E346" s="76">
        <v>12</v>
      </c>
      <c r="F346" s="76">
        <v>12</v>
      </c>
      <c r="G346" s="76">
        <v>12</v>
      </c>
      <c r="H346" s="6"/>
      <c r="I346" s="76">
        <v>31</v>
      </c>
      <c r="J346" s="76">
        <v>31</v>
      </c>
      <c r="K346" s="76">
        <v>31</v>
      </c>
      <c r="L346" s="6"/>
      <c r="M346" s="79"/>
      <c r="N346" s="56"/>
      <c r="O346" s="56"/>
      <c r="P346" s="6"/>
      <c r="Q346" s="79"/>
      <c r="R346" s="56"/>
      <c r="S346" s="56"/>
      <c r="T346" s="6"/>
      <c r="U346" s="79"/>
      <c r="V346" s="56"/>
      <c r="W346" s="56"/>
      <c r="X346" s="6"/>
      <c r="Y346" s="79"/>
      <c r="Z346" s="56"/>
      <c r="AA346" s="56"/>
      <c r="AB346" s="6"/>
      <c r="AC346" s="88">
        <v>43</v>
      </c>
      <c r="AD346" s="88">
        <v>43</v>
      </c>
      <c r="AE346" s="88">
        <v>43</v>
      </c>
      <c r="AG346" s="108"/>
      <c r="AK346" s="108"/>
      <c r="AO346" s="108"/>
      <c r="AS346" s="108"/>
      <c r="AW346" s="108"/>
      <c r="BA346" s="108"/>
      <c r="BE346" s="108"/>
    </row>
    <row r="347" spans="1:57" outlineLevel="1" x14ac:dyDescent="0.25"/>
    <row r="348" spans="1:57" ht="16.5" x14ac:dyDescent="0.25">
      <c r="A348" s="202" t="s">
        <v>52</v>
      </c>
      <c r="B348" s="9"/>
      <c r="C348" s="63" t="s">
        <v>19</v>
      </c>
      <c r="D348" s="6"/>
      <c r="E348" s="75">
        <v>11.2</v>
      </c>
      <c r="F348" s="75">
        <v>11.2</v>
      </c>
      <c r="G348" s="75">
        <v>11.2</v>
      </c>
      <c r="H348" s="6"/>
      <c r="I348" s="75">
        <v>11</v>
      </c>
      <c r="J348" s="75">
        <v>11</v>
      </c>
      <c r="K348" s="75">
        <v>11</v>
      </c>
      <c r="L348" s="6"/>
      <c r="M348" s="75">
        <v>35601</v>
      </c>
      <c r="N348" s="75">
        <v>35601</v>
      </c>
      <c r="O348" s="75">
        <v>35601</v>
      </c>
      <c r="P348" s="6"/>
      <c r="Q348" s="75">
        <v>11.2</v>
      </c>
      <c r="R348" s="75">
        <v>11.2</v>
      </c>
      <c r="S348" s="75">
        <v>11.2</v>
      </c>
      <c r="T348" s="6"/>
      <c r="U348" s="70">
        <v>111</v>
      </c>
      <c r="V348" s="70">
        <v>111</v>
      </c>
      <c r="W348" s="70">
        <v>111</v>
      </c>
      <c r="X348" s="6"/>
      <c r="Y348" s="75" t="s">
        <v>195</v>
      </c>
      <c r="Z348" s="75" t="s">
        <v>196</v>
      </c>
      <c r="AA348" s="75" t="s">
        <v>197</v>
      </c>
      <c r="AB348" s="6"/>
      <c r="AC348" s="87">
        <v>608.6</v>
      </c>
      <c r="AD348" s="87">
        <v>608.6</v>
      </c>
      <c r="AE348" s="87">
        <v>608.6</v>
      </c>
      <c r="AG348" s="108"/>
      <c r="AK348" s="108"/>
      <c r="AO348" s="108"/>
      <c r="AS348" s="108"/>
      <c r="AW348" s="108"/>
      <c r="BA348" s="108"/>
      <c r="BE348" s="108"/>
    </row>
    <row r="349" spans="1:57" ht="16.5" x14ac:dyDescent="0.25">
      <c r="A349" s="202"/>
      <c r="B349" s="9"/>
      <c r="C349" s="63" t="s">
        <v>55</v>
      </c>
      <c r="D349" s="6"/>
      <c r="E349" s="75">
        <v>11.2</v>
      </c>
      <c r="F349" s="75">
        <v>11.2</v>
      </c>
      <c r="G349" s="75">
        <v>11.2</v>
      </c>
      <c r="H349" s="6"/>
      <c r="I349" s="75">
        <v>11</v>
      </c>
      <c r="J349" s="75">
        <v>11</v>
      </c>
      <c r="K349" s="75">
        <v>11</v>
      </c>
      <c r="L349" s="6"/>
      <c r="M349" s="75">
        <v>35601</v>
      </c>
      <c r="N349" s="75">
        <v>35601</v>
      </c>
      <c r="O349" s="75">
        <v>35601</v>
      </c>
      <c r="P349" s="6"/>
      <c r="Q349" s="75">
        <v>11.2</v>
      </c>
      <c r="R349" s="75">
        <v>11.2</v>
      </c>
      <c r="S349" s="75">
        <v>11.2</v>
      </c>
      <c r="T349" s="6"/>
      <c r="U349" s="70">
        <v>111</v>
      </c>
      <c r="V349" s="70">
        <v>111</v>
      </c>
      <c r="W349" s="70">
        <v>111</v>
      </c>
      <c r="X349" s="6"/>
      <c r="Y349" s="75" t="s">
        <v>195</v>
      </c>
      <c r="Z349" s="75" t="s">
        <v>196</v>
      </c>
      <c r="AA349" s="75" t="s">
        <v>197</v>
      </c>
      <c r="AB349" s="6"/>
      <c r="AC349" s="87">
        <v>608.6</v>
      </c>
      <c r="AD349" s="87">
        <v>608.6</v>
      </c>
      <c r="AE349" s="87">
        <v>608.6</v>
      </c>
      <c r="AG349" s="108"/>
      <c r="AK349" s="108"/>
      <c r="AO349" s="108"/>
      <c r="AS349" s="108"/>
      <c r="AW349" s="108"/>
      <c r="BA349" s="108"/>
      <c r="BE349" s="108"/>
    </row>
    <row r="350" spans="1:57" ht="16.5" x14ac:dyDescent="0.25">
      <c r="A350" s="202"/>
      <c r="B350" s="9"/>
      <c r="C350" s="63" t="s">
        <v>21</v>
      </c>
      <c r="D350" s="6"/>
      <c r="E350" s="75">
        <v>11.2</v>
      </c>
      <c r="F350" s="75">
        <v>11.2</v>
      </c>
      <c r="G350" s="75">
        <v>11.2</v>
      </c>
      <c r="H350" s="6"/>
      <c r="I350" s="75">
        <v>11</v>
      </c>
      <c r="J350" s="75">
        <v>11</v>
      </c>
      <c r="K350" s="75">
        <v>11</v>
      </c>
      <c r="L350" s="6"/>
      <c r="M350" s="75">
        <v>35601</v>
      </c>
      <c r="N350" s="75">
        <v>35601</v>
      </c>
      <c r="O350" s="75">
        <v>35601</v>
      </c>
      <c r="P350" s="6"/>
      <c r="Q350" s="75">
        <v>11.2</v>
      </c>
      <c r="R350" s="75">
        <v>11.2</v>
      </c>
      <c r="S350" s="75">
        <v>11.2</v>
      </c>
      <c r="T350" s="6"/>
      <c r="U350" s="70">
        <v>111</v>
      </c>
      <c r="V350" s="70">
        <v>111</v>
      </c>
      <c r="W350" s="70">
        <v>111</v>
      </c>
      <c r="X350" s="6"/>
      <c r="Y350" s="75" t="s">
        <v>195</v>
      </c>
      <c r="Z350" s="75" t="s">
        <v>196</v>
      </c>
      <c r="AA350" s="75" t="s">
        <v>197</v>
      </c>
      <c r="AB350" s="6"/>
      <c r="AC350" s="87">
        <v>608.6</v>
      </c>
      <c r="AD350" s="87">
        <v>608.6</v>
      </c>
      <c r="AE350" s="87">
        <v>608.6</v>
      </c>
      <c r="AG350" s="109"/>
      <c r="AK350" s="109"/>
      <c r="AO350" s="109"/>
      <c r="AS350" s="109"/>
      <c r="AW350" s="109"/>
      <c r="BA350" s="109"/>
      <c r="BE350" s="109"/>
    </row>
    <row r="351" spans="1:57" ht="16.5" x14ac:dyDescent="0.25">
      <c r="A351" s="202"/>
      <c r="B351" s="9"/>
      <c r="C351" s="63" t="s">
        <v>56</v>
      </c>
      <c r="D351" s="6"/>
      <c r="E351" s="75">
        <v>11.2</v>
      </c>
      <c r="F351" s="75">
        <v>11.2</v>
      </c>
      <c r="G351" s="75">
        <v>11.2</v>
      </c>
      <c r="H351" s="6"/>
      <c r="I351" s="75">
        <v>11</v>
      </c>
      <c r="J351" s="75">
        <v>11</v>
      </c>
      <c r="K351" s="75">
        <v>11</v>
      </c>
      <c r="L351" s="6"/>
      <c r="M351" s="75">
        <v>35601</v>
      </c>
      <c r="N351" s="75">
        <v>35601</v>
      </c>
      <c r="O351" s="75">
        <v>35601</v>
      </c>
      <c r="P351" s="6"/>
      <c r="Q351" s="75">
        <v>11.2</v>
      </c>
      <c r="R351" s="75">
        <v>11.2</v>
      </c>
      <c r="S351" s="75">
        <v>11.2</v>
      </c>
      <c r="T351" s="6"/>
      <c r="U351" s="70">
        <v>111</v>
      </c>
      <c r="V351" s="70">
        <v>111</v>
      </c>
      <c r="W351" s="70">
        <v>111</v>
      </c>
      <c r="X351" s="6"/>
      <c r="Y351" s="75" t="s">
        <v>195</v>
      </c>
      <c r="Z351" s="75" t="s">
        <v>196</v>
      </c>
      <c r="AA351" s="75" t="s">
        <v>197</v>
      </c>
      <c r="AB351" s="6"/>
      <c r="AC351" s="87">
        <v>608.6</v>
      </c>
      <c r="AD351" s="87">
        <v>608.6</v>
      </c>
      <c r="AE351" s="87">
        <v>608.6</v>
      </c>
      <c r="AG351" s="109"/>
      <c r="AK351" s="109"/>
      <c r="AO351" s="109"/>
      <c r="AS351" s="109"/>
      <c r="AW351" s="109"/>
      <c r="BA351" s="109"/>
      <c r="BE351" s="109"/>
    </row>
    <row r="352" spans="1:57" ht="16.5" x14ac:dyDescent="0.25">
      <c r="A352" s="202"/>
      <c r="B352" s="9"/>
      <c r="C352" s="64" t="s">
        <v>23</v>
      </c>
      <c r="D352" s="6"/>
      <c r="E352" s="75">
        <v>11.2</v>
      </c>
      <c r="F352" s="75">
        <v>11.2</v>
      </c>
      <c r="G352" s="75">
        <v>11.2</v>
      </c>
      <c r="H352" s="6"/>
      <c r="I352" s="75">
        <v>11</v>
      </c>
      <c r="J352" s="75">
        <v>11</v>
      </c>
      <c r="K352" s="75">
        <v>11</v>
      </c>
      <c r="L352" s="6"/>
      <c r="M352" s="75">
        <v>35601</v>
      </c>
      <c r="N352" s="75">
        <v>35601</v>
      </c>
      <c r="O352" s="75">
        <v>35601</v>
      </c>
      <c r="P352" s="6"/>
      <c r="Q352" s="75">
        <v>11.2</v>
      </c>
      <c r="R352" s="75">
        <v>11.2</v>
      </c>
      <c r="S352" s="75">
        <v>11.2</v>
      </c>
      <c r="T352" s="6"/>
      <c r="U352" s="70">
        <v>111</v>
      </c>
      <c r="V352" s="70">
        <v>111</v>
      </c>
      <c r="W352" s="70">
        <v>111</v>
      </c>
      <c r="X352" s="6"/>
      <c r="Y352" s="75" t="s">
        <v>195</v>
      </c>
      <c r="Z352" s="75" t="s">
        <v>196</v>
      </c>
      <c r="AA352" s="75" t="s">
        <v>197</v>
      </c>
      <c r="AB352" s="6"/>
      <c r="AC352" s="87">
        <v>608.6</v>
      </c>
      <c r="AD352" s="87">
        <v>608.6</v>
      </c>
      <c r="AE352" s="87">
        <v>608.6</v>
      </c>
      <c r="AG352" s="109"/>
      <c r="AK352" s="109"/>
      <c r="AO352" s="109"/>
      <c r="AS352" s="109"/>
      <c r="AW352" s="109"/>
      <c r="BA352" s="109"/>
      <c r="BE352" s="109"/>
    </row>
    <row r="353" spans="1:57" ht="16.5" x14ac:dyDescent="0.25">
      <c r="A353" s="202"/>
      <c r="B353" s="9"/>
      <c r="C353" s="64" t="s">
        <v>24</v>
      </c>
      <c r="D353" s="7"/>
      <c r="E353" s="75">
        <v>11.2</v>
      </c>
      <c r="F353" s="75">
        <v>11.2</v>
      </c>
      <c r="G353" s="75">
        <v>11.2</v>
      </c>
      <c r="H353" s="7"/>
      <c r="I353" s="75">
        <v>11</v>
      </c>
      <c r="J353" s="75">
        <v>11</v>
      </c>
      <c r="K353" s="75">
        <v>11</v>
      </c>
      <c r="L353" s="7"/>
      <c r="M353" s="75">
        <v>35601</v>
      </c>
      <c r="N353" s="75">
        <v>35601</v>
      </c>
      <c r="O353" s="75">
        <v>35601</v>
      </c>
      <c r="P353" s="7"/>
      <c r="Q353" s="75">
        <v>11.2</v>
      </c>
      <c r="R353" s="75">
        <v>11.2</v>
      </c>
      <c r="S353" s="75">
        <v>11.2</v>
      </c>
      <c r="T353" s="7"/>
      <c r="U353" s="70">
        <v>111</v>
      </c>
      <c r="V353" s="70">
        <v>111</v>
      </c>
      <c r="W353" s="70">
        <v>111</v>
      </c>
      <c r="X353" s="7"/>
      <c r="Y353" s="75" t="s">
        <v>195</v>
      </c>
      <c r="Z353" s="75" t="s">
        <v>196</v>
      </c>
      <c r="AA353" s="75" t="s">
        <v>197</v>
      </c>
      <c r="AB353" s="7"/>
      <c r="AC353" s="87">
        <v>608.6</v>
      </c>
      <c r="AD353" s="87">
        <v>608.6</v>
      </c>
      <c r="AE353" s="87">
        <v>608.6</v>
      </c>
      <c r="AG353" s="109"/>
      <c r="AK353" s="109"/>
      <c r="AO353" s="109"/>
      <c r="AS353" s="109"/>
      <c r="AW353" s="109"/>
      <c r="BA353" s="109"/>
      <c r="BE353" s="109"/>
    </row>
    <row r="354" spans="1:57" ht="16.5" x14ac:dyDescent="0.25">
      <c r="A354" s="202"/>
      <c r="B354" s="9"/>
      <c r="C354" s="64" t="s">
        <v>25</v>
      </c>
      <c r="D354" s="7"/>
      <c r="E354" s="75">
        <v>11.2</v>
      </c>
      <c r="F354" s="75">
        <v>11.2</v>
      </c>
      <c r="G354" s="75">
        <v>11.2</v>
      </c>
      <c r="H354" s="7"/>
      <c r="I354" s="75">
        <v>11</v>
      </c>
      <c r="J354" s="75">
        <v>11</v>
      </c>
      <c r="K354" s="75">
        <v>11</v>
      </c>
      <c r="L354" s="7"/>
      <c r="M354" s="75">
        <v>35601</v>
      </c>
      <c r="N354" s="75">
        <v>35601</v>
      </c>
      <c r="O354" s="75">
        <v>35601</v>
      </c>
      <c r="P354" s="7"/>
      <c r="Q354" s="75">
        <v>11.2</v>
      </c>
      <c r="R354" s="75">
        <v>11.2</v>
      </c>
      <c r="S354" s="75">
        <v>11.2</v>
      </c>
      <c r="T354" s="7"/>
      <c r="U354" s="70">
        <v>111</v>
      </c>
      <c r="V354" s="70">
        <v>111</v>
      </c>
      <c r="W354" s="70">
        <v>111</v>
      </c>
      <c r="X354" s="7"/>
      <c r="Y354" s="75" t="s">
        <v>195</v>
      </c>
      <c r="Z354" s="75" t="s">
        <v>196</v>
      </c>
      <c r="AA354" s="75" t="s">
        <v>197</v>
      </c>
      <c r="AB354" s="7"/>
      <c r="AC354" s="87">
        <v>608.6</v>
      </c>
      <c r="AD354" s="87">
        <v>608.6</v>
      </c>
      <c r="AE354" s="87">
        <v>608.6</v>
      </c>
      <c r="AG354" s="109"/>
      <c r="AK354" s="109"/>
      <c r="AO354" s="109"/>
      <c r="AS354" s="109"/>
      <c r="AW354" s="109"/>
      <c r="BA354" s="109"/>
      <c r="BE354" s="109"/>
    </row>
    <row r="355" spans="1:57" ht="16.5" x14ac:dyDescent="0.25">
      <c r="A355" s="202"/>
      <c r="B355" s="9"/>
      <c r="C355" s="64" t="s">
        <v>53</v>
      </c>
      <c r="D355" s="7"/>
      <c r="E355" s="75">
        <v>11.2</v>
      </c>
      <c r="F355" s="75">
        <v>11.2</v>
      </c>
      <c r="G355" s="75">
        <v>11.2</v>
      </c>
      <c r="H355" s="7"/>
      <c r="I355" s="75">
        <v>11</v>
      </c>
      <c r="J355" s="75">
        <v>11</v>
      </c>
      <c r="K355" s="75">
        <v>11</v>
      </c>
      <c r="L355" s="7"/>
      <c r="M355" s="75">
        <v>35601</v>
      </c>
      <c r="N355" s="75">
        <v>35601</v>
      </c>
      <c r="O355" s="75">
        <v>35601</v>
      </c>
      <c r="P355" s="7"/>
      <c r="Q355" s="75">
        <v>11.2</v>
      </c>
      <c r="R355" s="75">
        <v>11.2</v>
      </c>
      <c r="S355" s="75">
        <v>11.2</v>
      </c>
      <c r="T355" s="7"/>
      <c r="U355" s="70">
        <v>111</v>
      </c>
      <c r="V355" s="70">
        <v>111</v>
      </c>
      <c r="W355" s="70">
        <v>111</v>
      </c>
      <c r="X355" s="7"/>
      <c r="Y355" s="75" t="s">
        <v>195</v>
      </c>
      <c r="Z355" s="75" t="s">
        <v>196</v>
      </c>
      <c r="AA355" s="75" t="s">
        <v>197</v>
      </c>
      <c r="AB355" s="7"/>
      <c r="AC355" s="87">
        <v>608.6</v>
      </c>
      <c r="AD355" s="87">
        <v>608.6</v>
      </c>
      <c r="AE355" s="87">
        <v>608.6</v>
      </c>
      <c r="AG355" s="109"/>
      <c r="AK355" s="109"/>
      <c r="AO355" s="109"/>
      <c r="AS355" s="109"/>
      <c r="AW355" s="109"/>
      <c r="BA355" s="109"/>
      <c r="BE355" s="109"/>
    </row>
    <row r="356" spans="1:57" ht="16.5" x14ac:dyDescent="0.25">
      <c r="A356" s="202"/>
      <c r="B356" s="9"/>
      <c r="C356" s="63" t="s">
        <v>27</v>
      </c>
      <c r="D356" s="7"/>
      <c r="E356" s="75">
        <v>11.2</v>
      </c>
      <c r="F356" s="75">
        <v>11.2</v>
      </c>
      <c r="G356" s="75">
        <v>11.2</v>
      </c>
      <c r="H356" s="7"/>
      <c r="I356" s="75">
        <v>11</v>
      </c>
      <c r="J356" s="75">
        <v>11</v>
      </c>
      <c r="K356" s="75">
        <v>11</v>
      </c>
      <c r="L356" s="7"/>
      <c r="M356" s="75">
        <v>35601</v>
      </c>
      <c r="N356" s="75">
        <v>35601</v>
      </c>
      <c r="O356" s="75">
        <v>35601</v>
      </c>
      <c r="P356" s="7"/>
      <c r="Q356" s="75">
        <v>11.2</v>
      </c>
      <c r="R356" s="75">
        <v>11.2</v>
      </c>
      <c r="S356" s="75">
        <v>11.2</v>
      </c>
      <c r="T356" s="7"/>
      <c r="U356" s="70">
        <v>111</v>
      </c>
      <c r="V356" s="70">
        <v>111</v>
      </c>
      <c r="W356" s="70">
        <v>111</v>
      </c>
      <c r="X356" s="7"/>
      <c r="Y356" s="75" t="s">
        <v>195</v>
      </c>
      <c r="Z356" s="75" t="s">
        <v>196</v>
      </c>
      <c r="AA356" s="75" t="s">
        <v>197</v>
      </c>
      <c r="AB356" s="7"/>
      <c r="AC356" s="87">
        <v>608.6</v>
      </c>
      <c r="AD356" s="87">
        <v>608.6</v>
      </c>
      <c r="AE356" s="87">
        <v>608.6</v>
      </c>
      <c r="AG356" s="109"/>
      <c r="AK356" s="109"/>
      <c r="AO356" s="109"/>
      <c r="AS356" s="109"/>
      <c r="AW356" s="109"/>
      <c r="BA356" s="109"/>
      <c r="BE356" s="109"/>
    </row>
    <row r="357" spans="1:57" ht="16.5" x14ac:dyDescent="0.25">
      <c r="A357" s="202"/>
      <c r="B357" s="9"/>
      <c r="C357" s="63" t="s">
        <v>57</v>
      </c>
      <c r="D357" s="7"/>
      <c r="E357" s="75">
        <v>11.2</v>
      </c>
      <c r="F357" s="75">
        <v>11.2</v>
      </c>
      <c r="G357" s="75">
        <v>11.2</v>
      </c>
      <c r="H357" s="7"/>
      <c r="I357" s="75">
        <v>11</v>
      </c>
      <c r="J357" s="75">
        <v>11</v>
      </c>
      <c r="K357" s="75">
        <v>11</v>
      </c>
      <c r="L357" s="7"/>
      <c r="M357" s="75">
        <v>35601</v>
      </c>
      <c r="N357" s="75">
        <v>35601</v>
      </c>
      <c r="O357" s="75">
        <v>35601</v>
      </c>
      <c r="P357" s="7"/>
      <c r="Q357" s="75">
        <v>11.2</v>
      </c>
      <c r="R357" s="75">
        <v>11.2</v>
      </c>
      <c r="S357" s="75">
        <v>11.2</v>
      </c>
      <c r="T357" s="7"/>
      <c r="U357" s="70">
        <v>111</v>
      </c>
      <c r="V357" s="70">
        <v>111</v>
      </c>
      <c r="W357" s="70">
        <v>111</v>
      </c>
      <c r="X357" s="7"/>
      <c r="Y357" s="75" t="s">
        <v>195</v>
      </c>
      <c r="Z357" s="75" t="s">
        <v>196</v>
      </c>
      <c r="AA357" s="75" t="s">
        <v>197</v>
      </c>
      <c r="AB357" s="7"/>
      <c r="AC357" s="87">
        <v>608.6</v>
      </c>
      <c r="AD357" s="87">
        <v>608.6</v>
      </c>
      <c r="AE357" s="87">
        <v>608.6</v>
      </c>
      <c r="AG357" s="109"/>
      <c r="AK357" s="109"/>
      <c r="AO357" s="109"/>
      <c r="AS357" s="109"/>
      <c r="AW357" s="109"/>
      <c r="BA357" s="109"/>
      <c r="BE357" s="109"/>
    </row>
    <row r="358" spans="1:57" ht="16.5" x14ac:dyDescent="0.25">
      <c r="A358" s="202"/>
      <c r="B358" s="9"/>
      <c r="C358" s="63" t="s">
        <v>29</v>
      </c>
      <c r="D358" s="7"/>
      <c r="E358" s="75">
        <v>11.2</v>
      </c>
      <c r="F358" s="75">
        <v>11.2</v>
      </c>
      <c r="G358" s="75">
        <v>11.2</v>
      </c>
      <c r="H358" s="7"/>
      <c r="I358" s="75">
        <v>11</v>
      </c>
      <c r="J358" s="75">
        <v>11</v>
      </c>
      <c r="K358" s="75">
        <v>11</v>
      </c>
      <c r="L358" s="7"/>
      <c r="M358" s="75">
        <v>35601</v>
      </c>
      <c r="N358" s="75">
        <v>35601</v>
      </c>
      <c r="O358" s="75">
        <v>35601</v>
      </c>
      <c r="P358" s="7"/>
      <c r="Q358" s="75">
        <v>11.2</v>
      </c>
      <c r="R358" s="75">
        <v>11.2</v>
      </c>
      <c r="S358" s="75">
        <v>11.2</v>
      </c>
      <c r="T358" s="7"/>
      <c r="U358" s="70">
        <v>111</v>
      </c>
      <c r="V358" s="70">
        <v>111</v>
      </c>
      <c r="W358" s="70">
        <v>111</v>
      </c>
      <c r="X358" s="7"/>
      <c r="Y358" s="75" t="s">
        <v>195</v>
      </c>
      <c r="Z358" s="75" t="s">
        <v>196</v>
      </c>
      <c r="AA358" s="75" t="s">
        <v>197</v>
      </c>
      <c r="AB358" s="7"/>
      <c r="AC358" s="87">
        <v>608.6</v>
      </c>
      <c r="AD358" s="87">
        <v>608.6</v>
      </c>
      <c r="AE358" s="87">
        <v>608.6</v>
      </c>
      <c r="AG358" s="109"/>
      <c r="AK358" s="109"/>
      <c r="AO358" s="109"/>
      <c r="AS358" s="109"/>
      <c r="AW358" s="109"/>
      <c r="BA358" s="109"/>
      <c r="BE358" s="109"/>
    </row>
    <row r="359" spans="1:57" ht="16.5" x14ac:dyDescent="0.25">
      <c r="A359" s="202"/>
      <c r="B359" s="9"/>
      <c r="C359" s="63" t="s">
        <v>58</v>
      </c>
      <c r="D359" s="7"/>
      <c r="E359" s="75">
        <v>11.2</v>
      </c>
      <c r="F359" s="75">
        <v>11.2</v>
      </c>
      <c r="G359" s="75">
        <v>11.2</v>
      </c>
      <c r="H359" s="7"/>
      <c r="I359" s="75">
        <v>11</v>
      </c>
      <c r="J359" s="75">
        <v>11</v>
      </c>
      <c r="K359" s="75">
        <v>11</v>
      </c>
      <c r="L359" s="7"/>
      <c r="M359" s="75">
        <v>35601</v>
      </c>
      <c r="N359" s="75">
        <v>35601</v>
      </c>
      <c r="O359" s="75">
        <v>35601</v>
      </c>
      <c r="P359" s="7"/>
      <c r="Q359" s="75">
        <v>11.2</v>
      </c>
      <c r="R359" s="75">
        <v>11.2</v>
      </c>
      <c r="S359" s="75">
        <v>11.2</v>
      </c>
      <c r="T359" s="7"/>
      <c r="U359" s="70">
        <v>111</v>
      </c>
      <c r="V359" s="70">
        <v>111</v>
      </c>
      <c r="W359" s="70">
        <v>111</v>
      </c>
      <c r="X359" s="7"/>
      <c r="Y359" s="75" t="s">
        <v>195</v>
      </c>
      <c r="Z359" s="75" t="s">
        <v>196</v>
      </c>
      <c r="AA359" s="75" t="s">
        <v>197</v>
      </c>
      <c r="AB359" s="7"/>
      <c r="AC359" s="87">
        <v>608.6</v>
      </c>
      <c r="AD359" s="87">
        <v>608.6</v>
      </c>
      <c r="AE359" s="87">
        <v>608.6</v>
      </c>
      <c r="AG359" s="109"/>
      <c r="AK359" s="109"/>
      <c r="AO359" s="109"/>
      <c r="AS359" s="109"/>
      <c r="AW359" s="109"/>
      <c r="BA359" s="109"/>
      <c r="BE359" s="109"/>
    </row>
    <row r="360" spans="1:57" ht="16.5" x14ac:dyDescent="0.25">
      <c r="A360" s="202"/>
      <c r="B360" s="9"/>
      <c r="C360" s="65" t="s">
        <v>59</v>
      </c>
      <c r="D360" s="8"/>
      <c r="E360" s="75">
        <v>11.2</v>
      </c>
      <c r="F360" s="75">
        <v>11.2</v>
      </c>
      <c r="G360" s="75">
        <v>11.2</v>
      </c>
      <c r="H360" s="8"/>
      <c r="I360" s="75">
        <v>11</v>
      </c>
      <c r="J360" s="75">
        <v>11</v>
      </c>
      <c r="K360" s="75">
        <v>11</v>
      </c>
      <c r="L360" s="8"/>
      <c r="M360" s="75">
        <v>35601</v>
      </c>
      <c r="N360" s="75">
        <v>35601</v>
      </c>
      <c r="O360" s="75">
        <v>35601</v>
      </c>
      <c r="P360" s="8"/>
      <c r="Q360" s="75">
        <v>11.2</v>
      </c>
      <c r="R360" s="75">
        <v>11.2</v>
      </c>
      <c r="S360" s="75">
        <v>11.2</v>
      </c>
      <c r="T360" s="8"/>
      <c r="U360" s="70">
        <v>111</v>
      </c>
      <c r="V360" s="70">
        <v>111</v>
      </c>
      <c r="W360" s="70">
        <v>111</v>
      </c>
      <c r="X360" s="8"/>
      <c r="Y360" s="75" t="s">
        <v>195</v>
      </c>
      <c r="Z360" s="75" t="s">
        <v>196</v>
      </c>
      <c r="AA360" s="75" t="s">
        <v>197</v>
      </c>
      <c r="AB360" s="8"/>
      <c r="AC360" s="87">
        <v>608.6</v>
      </c>
      <c r="AD360" s="87">
        <v>608.6</v>
      </c>
      <c r="AE360" s="87">
        <v>608.6</v>
      </c>
      <c r="AG360" s="109"/>
      <c r="AK360" s="109"/>
      <c r="AO360" s="109"/>
      <c r="AS360" s="109"/>
      <c r="AW360" s="109"/>
      <c r="BA360" s="109"/>
      <c r="BE360" s="109"/>
    </row>
    <row r="361" spans="1:57" ht="16.5" x14ac:dyDescent="0.25">
      <c r="A361" s="202"/>
      <c r="B361" s="9"/>
      <c r="C361" s="65" t="s">
        <v>60</v>
      </c>
      <c r="D361" s="8"/>
      <c r="E361" s="75">
        <v>11.2</v>
      </c>
      <c r="F361" s="75">
        <v>11.2</v>
      </c>
      <c r="G361" s="75">
        <v>11.2</v>
      </c>
      <c r="H361" s="8"/>
      <c r="I361" s="75">
        <v>11</v>
      </c>
      <c r="J361" s="75">
        <v>11</v>
      </c>
      <c r="K361" s="75">
        <v>11</v>
      </c>
      <c r="L361" s="8"/>
      <c r="M361" s="75">
        <v>35601</v>
      </c>
      <c r="N361" s="75">
        <v>35601</v>
      </c>
      <c r="O361" s="75">
        <v>35601</v>
      </c>
      <c r="P361" s="8"/>
      <c r="Q361" s="75">
        <v>11.2</v>
      </c>
      <c r="R361" s="75">
        <v>11.2</v>
      </c>
      <c r="S361" s="75">
        <v>11.2</v>
      </c>
      <c r="T361" s="8"/>
      <c r="U361" s="70">
        <v>111</v>
      </c>
      <c r="V361" s="70">
        <v>111</v>
      </c>
      <c r="W361" s="70">
        <v>111</v>
      </c>
      <c r="X361" s="8"/>
      <c r="Y361" s="75" t="s">
        <v>195</v>
      </c>
      <c r="Z361" s="75" t="s">
        <v>196</v>
      </c>
      <c r="AA361" s="75" t="s">
        <v>197</v>
      </c>
      <c r="AB361" s="8"/>
      <c r="AC361" s="87">
        <v>608.6</v>
      </c>
      <c r="AD361" s="87">
        <v>608.6</v>
      </c>
      <c r="AE361" s="87">
        <v>608.6</v>
      </c>
      <c r="AG361" s="109"/>
      <c r="AK361" s="109"/>
      <c r="AO361" s="109"/>
      <c r="AS361" s="109"/>
      <c r="AW361" s="109"/>
      <c r="BA361" s="109"/>
      <c r="BE361" s="109"/>
    </row>
    <row r="362" spans="1:57" ht="16.5" x14ac:dyDescent="0.25">
      <c r="A362" s="202"/>
      <c r="B362" s="9"/>
      <c r="C362" s="65" t="s">
        <v>61</v>
      </c>
      <c r="D362" s="8"/>
      <c r="E362" s="75">
        <v>11.2</v>
      </c>
      <c r="F362" s="75">
        <v>11.2</v>
      </c>
      <c r="G362" s="75">
        <v>11.2</v>
      </c>
      <c r="H362" s="8"/>
      <c r="I362" s="75">
        <v>11</v>
      </c>
      <c r="J362" s="75">
        <v>11</v>
      </c>
      <c r="K362" s="75">
        <v>11</v>
      </c>
      <c r="L362" s="8"/>
      <c r="M362" s="75">
        <v>35601</v>
      </c>
      <c r="N362" s="75">
        <v>35601</v>
      </c>
      <c r="O362" s="75">
        <v>35601</v>
      </c>
      <c r="P362" s="8"/>
      <c r="Q362" s="75">
        <v>11.2</v>
      </c>
      <c r="R362" s="75">
        <v>11.2</v>
      </c>
      <c r="S362" s="75">
        <v>11.2</v>
      </c>
      <c r="T362" s="8"/>
      <c r="U362" s="70">
        <v>111</v>
      </c>
      <c r="V362" s="70">
        <v>111</v>
      </c>
      <c r="W362" s="70">
        <v>111</v>
      </c>
      <c r="X362" s="8"/>
      <c r="Y362" s="75" t="s">
        <v>195</v>
      </c>
      <c r="Z362" s="75" t="s">
        <v>196</v>
      </c>
      <c r="AA362" s="75" t="s">
        <v>197</v>
      </c>
      <c r="AB362" s="8"/>
      <c r="AC362" s="87">
        <v>608.6</v>
      </c>
      <c r="AD362" s="87">
        <v>608.6</v>
      </c>
      <c r="AE362" s="87">
        <v>608.6</v>
      </c>
      <c r="AG362" s="109"/>
      <c r="AK362" s="109"/>
      <c r="AO362" s="109"/>
      <c r="AS362" s="109"/>
      <c r="AW362" s="109"/>
      <c r="BA362" s="109"/>
      <c r="BE362" s="109"/>
    </row>
    <row r="363" spans="1:57" ht="16.5" x14ac:dyDescent="0.25">
      <c r="A363" s="202"/>
      <c r="B363" s="9"/>
      <c r="C363" s="63" t="s">
        <v>34</v>
      </c>
      <c r="D363" s="6"/>
      <c r="E363" s="75">
        <v>11.2</v>
      </c>
      <c r="F363" s="75">
        <v>11.2</v>
      </c>
      <c r="G363" s="75">
        <v>11.2</v>
      </c>
      <c r="H363" s="6"/>
      <c r="I363" s="75">
        <v>11</v>
      </c>
      <c r="J363" s="75">
        <v>11</v>
      </c>
      <c r="K363" s="75">
        <v>11</v>
      </c>
      <c r="L363" s="6"/>
      <c r="M363" s="75">
        <v>35601</v>
      </c>
      <c r="N363" s="75">
        <v>35601</v>
      </c>
      <c r="O363" s="75">
        <v>35601</v>
      </c>
      <c r="P363" s="6"/>
      <c r="Q363" s="75">
        <v>11.2</v>
      </c>
      <c r="R363" s="75">
        <v>11.2</v>
      </c>
      <c r="S363" s="75">
        <v>11.2</v>
      </c>
      <c r="T363" s="6"/>
      <c r="U363" s="70">
        <v>111</v>
      </c>
      <c r="V363" s="70">
        <v>111</v>
      </c>
      <c r="W363" s="70">
        <v>111</v>
      </c>
      <c r="X363" s="6"/>
      <c r="Y363" s="75" t="s">
        <v>195</v>
      </c>
      <c r="Z363" s="75" t="s">
        <v>196</v>
      </c>
      <c r="AA363" s="75" t="s">
        <v>197</v>
      </c>
      <c r="AB363" s="6"/>
      <c r="AC363" s="87">
        <v>608.6</v>
      </c>
      <c r="AD363" s="87">
        <v>608.6</v>
      </c>
      <c r="AE363" s="87">
        <v>608.6</v>
      </c>
      <c r="AG363" s="108"/>
      <c r="AK363" s="108"/>
      <c r="AO363" s="108"/>
      <c r="AS363" s="108"/>
      <c r="AW363" s="108"/>
      <c r="BA363" s="108"/>
      <c r="BE363" s="108"/>
    </row>
    <row r="365" spans="1:57" x14ac:dyDescent="0.25">
      <c r="B365" s="195"/>
      <c r="F365" s="108"/>
      <c r="J365" s="108"/>
      <c r="N365" s="108"/>
      <c r="R365" s="108"/>
      <c r="V365" s="108"/>
      <c r="Z365" s="108"/>
      <c r="AD365" s="108"/>
    </row>
    <row r="366" spans="1:57" x14ac:dyDescent="0.25">
      <c r="B366" s="108"/>
      <c r="F366" s="108"/>
      <c r="J366" s="108"/>
      <c r="N366" s="108"/>
      <c r="R366" s="108"/>
      <c r="V366" s="108"/>
      <c r="Z366" s="108"/>
      <c r="AD366" s="108"/>
    </row>
    <row r="367" spans="1:57" x14ac:dyDescent="0.25">
      <c r="B367" s="109"/>
      <c r="F367" s="109"/>
      <c r="J367" s="109"/>
      <c r="N367" s="109"/>
      <c r="R367" s="109"/>
      <c r="V367" s="109"/>
      <c r="Z367" s="109"/>
      <c r="AD367" s="109"/>
    </row>
    <row r="368" spans="1:57" x14ac:dyDescent="0.25">
      <c r="B368" s="109"/>
      <c r="F368" s="109"/>
      <c r="J368" s="109"/>
      <c r="N368" s="109"/>
      <c r="R368" s="109"/>
      <c r="V368" s="109"/>
      <c r="Z368" s="109"/>
      <c r="AD368" s="109"/>
    </row>
    <row r="369" spans="2:30" x14ac:dyDescent="0.25">
      <c r="B369" s="109"/>
      <c r="F369" s="109"/>
      <c r="J369" s="109"/>
      <c r="N369" s="109"/>
      <c r="R369" s="109"/>
      <c r="V369" s="109"/>
      <c r="Z369" s="109"/>
      <c r="AD369" s="109"/>
    </row>
    <row r="370" spans="2:30" x14ac:dyDescent="0.25">
      <c r="B370" s="109"/>
      <c r="F370" s="109"/>
      <c r="J370" s="109"/>
      <c r="N370" s="109"/>
      <c r="R370" s="109"/>
      <c r="V370" s="109"/>
      <c r="Z370" s="109"/>
      <c r="AD370" s="109"/>
    </row>
    <row r="371" spans="2:30" x14ac:dyDescent="0.25">
      <c r="B371" s="109"/>
      <c r="F371" s="109"/>
      <c r="J371" s="109"/>
      <c r="N371" s="109"/>
      <c r="R371" s="109"/>
      <c r="V371" s="109"/>
      <c r="Z371" s="109"/>
      <c r="AD371" s="109"/>
    </row>
    <row r="372" spans="2:30" x14ac:dyDescent="0.25">
      <c r="B372" s="109"/>
      <c r="F372" s="109"/>
      <c r="J372" s="109"/>
      <c r="N372" s="109"/>
      <c r="R372" s="109"/>
      <c r="V372" s="109"/>
      <c r="Z372" s="109"/>
      <c r="AD372" s="109"/>
    </row>
    <row r="374" spans="2:30" x14ac:dyDescent="0.25">
      <c r="B374" s="109"/>
      <c r="F374" s="109"/>
      <c r="J374" s="109"/>
      <c r="N374" s="109"/>
      <c r="R374" s="109"/>
      <c r="V374" s="109"/>
      <c r="Z374" s="109"/>
      <c r="AD374" s="109"/>
    </row>
    <row r="375" spans="2:30" x14ac:dyDescent="0.25">
      <c r="B375" s="109"/>
      <c r="F375" s="109"/>
      <c r="J375" s="109"/>
      <c r="N375" s="109"/>
      <c r="R375" s="109"/>
      <c r="V375" s="109"/>
      <c r="Z375" s="109"/>
      <c r="AD375" s="109"/>
    </row>
    <row r="376" spans="2:30" x14ac:dyDescent="0.25">
      <c r="B376" s="109"/>
      <c r="F376" s="109"/>
      <c r="J376" s="109"/>
      <c r="N376" s="109"/>
      <c r="R376" s="109"/>
      <c r="V376" s="109"/>
      <c r="Z376" s="109"/>
      <c r="AD376" s="109"/>
    </row>
    <row r="377" spans="2:30" x14ac:dyDescent="0.25">
      <c r="B377" s="109"/>
      <c r="F377" s="109"/>
      <c r="J377" s="109"/>
      <c r="N377" s="109"/>
      <c r="R377" s="109"/>
      <c r="V377" s="109"/>
      <c r="Z377" s="109"/>
      <c r="AD377" s="109"/>
    </row>
    <row r="378" spans="2:30" x14ac:dyDescent="0.25">
      <c r="B378" s="109"/>
      <c r="F378" s="109"/>
      <c r="J378" s="109"/>
      <c r="N378" s="109"/>
      <c r="R378" s="109"/>
      <c r="V378" s="109"/>
      <c r="Z378" s="109"/>
      <c r="AD378" s="109"/>
    </row>
    <row r="379" spans="2:30" x14ac:dyDescent="0.25">
      <c r="B379" s="109"/>
      <c r="F379" s="109"/>
      <c r="J379" s="109"/>
      <c r="N379" s="109"/>
      <c r="R379" s="109"/>
      <c r="V379" s="109"/>
      <c r="Z379" s="109"/>
      <c r="AD379" s="109"/>
    </row>
    <row r="380" spans="2:30" x14ac:dyDescent="0.25">
      <c r="B380" s="108"/>
      <c r="F380" s="108"/>
      <c r="J380" s="108"/>
      <c r="N380" s="108"/>
      <c r="R380" s="108"/>
      <c r="V380" s="108"/>
      <c r="Z380" s="108"/>
      <c r="AD380" s="108"/>
    </row>
    <row r="405" spans="55:58" x14ac:dyDescent="0.25">
      <c r="BC405" s="188"/>
      <c r="BD405" s="188"/>
    </row>
    <row r="408" spans="55:58" x14ac:dyDescent="0.25">
      <c r="BC408" s="188"/>
      <c r="BD408" s="188"/>
      <c r="BF408" s="188"/>
    </row>
    <row r="409" spans="55:58" x14ac:dyDescent="0.25">
      <c r="BC409" s="188"/>
      <c r="BD409" s="193"/>
      <c r="BF409" s="188"/>
    </row>
    <row r="410" spans="55:58" x14ac:dyDescent="0.25">
      <c r="BC410" s="188"/>
      <c r="BD410" s="188"/>
      <c r="BF410" s="188"/>
    </row>
  </sheetData>
  <mergeCells count="30">
    <mergeCell ref="A4:C7"/>
    <mergeCell ref="A1:W1"/>
    <mergeCell ref="A297:A312"/>
    <mergeCell ref="A25:A40"/>
    <mergeCell ref="A42:A57"/>
    <mergeCell ref="A59:A74"/>
    <mergeCell ref="A8:A23"/>
    <mergeCell ref="Q4:S4"/>
    <mergeCell ref="U4:W4"/>
    <mergeCell ref="A178:A193"/>
    <mergeCell ref="A76:A91"/>
    <mergeCell ref="A93:A108"/>
    <mergeCell ref="A110:A125"/>
    <mergeCell ref="A161:A176"/>
    <mergeCell ref="A127:A142"/>
    <mergeCell ref="A144:A159"/>
    <mergeCell ref="A348:A363"/>
    <mergeCell ref="A195:A210"/>
    <mergeCell ref="A212:A227"/>
    <mergeCell ref="A229:A244"/>
    <mergeCell ref="A246:A261"/>
    <mergeCell ref="A263:A278"/>
    <mergeCell ref="A280:A295"/>
    <mergeCell ref="A314:A329"/>
    <mergeCell ref="A331:A346"/>
    <mergeCell ref="Y4:AA4"/>
    <mergeCell ref="AC4:AE4"/>
    <mergeCell ref="E4:G4"/>
    <mergeCell ref="I4:K4"/>
    <mergeCell ref="M4:O4"/>
  </mergeCells>
  <phoneticPr fontId="33" type="noConversion"/>
  <conditionalFormatting sqref="AC27:AC39 AC44:AC56 AC78:AC90 AC95:AC107 AC180:AC192 AC197:AC209 AC214:AC226 AC231:AC238 AC129:AC141 AC146:AC158">
    <cfRule type="expression" dxfId="16436" priority="2208">
      <formula>AC27&gt;AE27+#REF!</formula>
    </cfRule>
  </conditionalFormatting>
  <conditionalFormatting sqref="E18:E23 F19:G23">
    <cfRule type="expression" dxfId="16435" priority="2205">
      <formula>E18&gt;G18+#REF!</formula>
    </cfRule>
  </conditionalFormatting>
  <conditionalFormatting sqref="E35:E39">
    <cfRule type="expression" dxfId="16434" priority="1916">
      <formula>E35&gt;G35+#REF!</formula>
    </cfRule>
  </conditionalFormatting>
  <conditionalFormatting sqref="E103:E107">
    <cfRule type="expression" dxfId="16433" priority="1552">
      <formula>E103&gt;G103+#REF!</formula>
    </cfRule>
  </conditionalFormatting>
  <conditionalFormatting sqref="E205:E209">
    <cfRule type="expression" dxfId="16432" priority="1188">
      <formula>E205&gt;G205+#REF!</formula>
    </cfRule>
  </conditionalFormatting>
  <conditionalFormatting sqref="E239:E243">
    <cfRule type="expression" dxfId="16431" priority="1006">
      <formula>E239&gt;G239+#REF!</formula>
    </cfRule>
  </conditionalFormatting>
  <conditionalFormatting sqref="AC25:AC26 AC42:AC43 AC76:AC77 AC93:AC94 AC178:AC179 AC195:AC196 AC212:AC213 AC229:AC230 AC127:AC128 AC144:AC145 AC8:AE23 AC59:AE74 AC110:AE125 AC161:AE176 AC246:AE261 AC280:AC295 AC263:AE278 AC297:AE312 E8:G9 AC314:AE329 AC331:AE346 AC348:AE363">
    <cfRule type="expression" dxfId="16430" priority="2214">
      <formula>E8&lt;G8*#REF!</formula>
    </cfRule>
    <cfRule type="expression" dxfId="16429" priority="2215">
      <formula>E8&gt;G8*#REF!</formula>
    </cfRule>
  </conditionalFormatting>
  <conditionalFormatting sqref="AC27:AC29 AC44:AC46 AC78:AC80 AC95:AC97 AC180:AC182 AC197:AC199 AC214:AC216 AC231:AC233 AC129:AC131 AC146:AC148 E10:G15">
    <cfRule type="expression" dxfId="16428" priority="2218">
      <formula>E10&lt;G10-#REF!</formula>
    </cfRule>
  </conditionalFormatting>
  <conditionalFormatting sqref="E10:G15">
    <cfRule type="expression" dxfId="16427" priority="2209">
      <formula>E10&gt;G10+#REF!</formula>
    </cfRule>
  </conditionalFormatting>
  <conditionalFormatting sqref="E16:G17">
    <cfRule type="expression" dxfId="16426" priority="2206">
      <formula>E16&gt;G16+#REF!</formula>
    </cfRule>
  </conditionalFormatting>
  <conditionalFormatting sqref="E25:G26">
    <cfRule type="expression" dxfId="16425" priority="1922">
      <formula>E25&lt;G25*#REF!</formula>
    </cfRule>
    <cfRule type="expression" dxfId="16424" priority="1923">
      <formula>E25&gt;G25*#REF!</formula>
    </cfRule>
  </conditionalFormatting>
  <conditionalFormatting sqref="E27:G29">
    <cfRule type="expression" dxfId="16423" priority="1924">
      <formula>E27&lt;G27-#REF!</formula>
    </cfRule>
  </conditionalFormatting>
  <conditionalFormatting sqref="E27:G34">
    <cfRule type="expression" dxfId="16422" priority="1914">
      <formula>E27&gt;G27+#REF!</formula>
    </cfRule>
  </conditionalFormatting>
  <conditionalFormatting sqref="E40:G40 AC40 AC57 AC91 AC108 AC193 AC210 AC227 AC244 AC142 AC159">
    <cfRule type="expression" dxfId="16421" priority="1921">
      <formula>E40&gt;G40*#REF!</formula>
    </cfRule>
  </conditionalFormatting>
  <conditionalFormatting sqref="E42:G43">
    <cfRule type="expression" dxfId="16420" priority="1831">
      <formula>E42&lt;G42*#REF!</formula>
    </cfRule>
    <cfRule type="expression" dxfId="16419" priority="1832">
      <formula>E42&gt;G42*#REF!</formula>
    </cfRule>
  </conditionalFormatting>
  <conditionalFormatting sqref="E44:G46">
    <cfRule type="expression" dxfId="16418" priority="1833">
      <formula>E44&lt;G44-#REF!</formula>
    </cfRule>
  </conditionalFormatting>
  <conditionalFormatting sqref="E44:G56">
    <cfRule type="expression" dxfId="16417" priority="1823">
      <formula>E44&gt;G44+#REF!</formula>
    </cfRule>
  </conditionalFormatting>
  <conditionalFormatting sqref="E57:G57">
    <cfRule type="expression" dxfId="16416" priority="1830">
      <formula>E57&gt;G57*#REF!</formula>
    </cfRule>
  </conditionalFormatting>
  <conditionalFormatting sqref="E76:G77">
    <cfRule type="expression" dxfId="16415" priority="1649">
      <formula>E76&lt;G76*#REF!</formula>
    </cfRule>
    <cfRule type="expression" dxfId="16414" priority="1650">
      <formula>E76&gt;G76*#REF!</formula>
    </cfRule>
  </conditionalFormatting>
  <conditionalFormatting sqref="E78:G80">
    <cfRule type="expression" dxfId="16413" priority="1651">
      <formula>E78&lt;G78-#REF!</formula>
    </cfRule>
  </conditionalFormatting>
  <conditionalFormatting sqref="E78:G90">
    <cfRule type="expression" dxfId="16412" priority="1641">
      <formula>E78&gt;G78+#REF!</formula>
    </cfRule>
  </conditionalFormatting>
  <conditionalFormatting sqref="E91:G91">
    <cfRule type="expression" dxfId="16411" priority="1648">
      <formula>E91&gt;G91*#REF!</formula>
    </cfRule>
  </conditionalFormatting>
  <conditionalFormatting sqref="E93:G94">
    <cfRule type="expression" dxfId="16410" priority="1558">
      <formula>E93&lt;G93*#REF!</formula>
    </cfRule>
    <cfRule type="expression" dxfId="16409" priority="1559">
      <formula>E93&gt;G93*#REF!</formula>
    </cfRule>
  </conditionalFormatting>
  <conditionalFormatting sqref="E95:G97">
    <cfRule type="expression" dxfId="16408" priority="1560">
      <formula>E95&lt;G95-#REF!</formula>
    </cfRule>
  </conditionalFormatting>
  <conditionalFormatting sqref="E95:G102">
    <cfRule type="expression" dxfId="16407" priority="1550">
      <formula>E95&gt;G95+#REF!</formula>
    </cfRule>
  </conditionalFormatting>
  <conditionalFormatting sqref="E108:G108">
    <cfRule type="expression" dxfId="16406" priority="1557">
      <formula>E108&gt;G108*#REF!</formula>
    </cfRule>
  </conditionalFormatting>
  <conditionalFormatting sqref="E178:G179">
    <cfRule type="expression" dxfId="16405" priority="1285">
      <formula>E178&lt;G178*#REF!</formula>
    </cfRule>
    <cfRule type="expression" dxfId="16404" priority="1286">
      <formula>E178&gt;G178*#REF!</formula>
    </cfRule>
  </conditionalFormatting>
  <conditionalFormatting sqref="E180:G182">
    <cfRule type="expression" dxfId="16403" priority="1287">
      <formula>E180&lt;G180-#REF!</formula>
    </cfRule>
  </conditionalFormatting>
  <conditionalFormatting sqref="E180:G192">
    <cfRule type="expression" dxfId="16402" priority="1277">
      <formula>E180&gt;G180+#REF!</formula>
    </cfRule>
  </conditionalFormatting>
  <conditionalFormatting sqref="E193:G193">
    <cfRule type="expression" dxfId="16401" priority="1284">
      <formula>E193&gt;G193*#REF!</formula>
    </cfRule>
  </conditionalFormatting>
  <conditionalFormatting sqref="E195:G196">
    <cfRule type="expression" dxfId="16400" priority="1194">
      <formula>E195&lt;G195*#REF!</formula>
    </cfRule>
    <cfRule type="expression" dxfId="16399" priority="1195">
      <formula>E195&gt;G195*#REF!</formula>
    </cfRule>
  </conditionalFormatting>
  <conditionalFormatting sqref="E197:G199">
    <cfRule type="expression" dxfId="16398" priority="1196">
      <formula>E197&lt;G197-#REF!</formula>
    </cfRule>
  </conditionalFormatting>
  <conditionalFormatting sqref="E197:G204">
    <cfRule type="expression" dxfId="16397" priority="1186">
      <formula>E197&gt;G197+#REF!</formula>
    </cfRule>
  </conditionalFormatting>
  <conditionalFormatting sqref="E210:G210">
    <cfRule type="expression" dxfId="16396" priority="1193">
      <formula>E210&gt;G210*#REF!</formula>
    </cfRule>
  </conditionalFormatting>
  <conditionalFormatting sqref="E212:G213">
    <cfRule type="expression" dxfId="16395" priority="1103">
      <formula>E212&lt;G212*#REF!</formula>
    </cfRule>
    <cfRule type="expression" dxfId="16394" priority="1104">
      <formula>E212&gt;G212*#REF!</formula>
    </cfRule>
  </conditionalFormatting>
  <conditionalFormatting sqref="E214:G216">
    <cfRule type="expression" dxfId="16393" priority="1105">
      <formula>E214&lt;G214-#REF!</formula>
    </cfRule>
  </conditionalFormatting>
  <conditionalFormatting sqref="E214:G226">
    <cfRule type="expression" dxfId="16392" priority="1095">
      <formula>E214&gt;G214+#REF!</formula>
    </cfRule>
  </conditionalFormatting>
  <conditionalFormatting sqref="E227:G227">
    <cfRule type="expression" dxfId="16391" priority="1102">
      <formula>E227&gt;G227*#REF!</formula>
    </cfRule>
  </conditionalFormatting>
  <conditionalFormatting sqref="E229:G230">
    <cfRule type="expression" dxfId="16390" priority="1012">
      <formula>E229&lt;G229*#REF!</formula>
    </cfRule>
    <cfRule type="expression" dxfId="16389" priority="1013">
      <formula>E229&gt;G229*#REF!</formula>
    </cfRule>
  </conditionalFormatting>
  <conditionalFormatting sqref="E231:G233">
    <cfRule type="expression" dxfId="16388" priority="1014">
      <formula>E231&lt;G231-#REF!</formula>
    </cfRule>
  </conditionalFormatting>
  <conditionalFormatting sqref="E231:G238">
    <cfRule type="expression" dxfId="16387" priority="1004">
      <formula>E231&gt;G231+#REF!</formula>
    </cfRule>
  </conditionalFormatting>
  <conditionalFormatting sqref="E244:G244">
    <cfRule type="expression" dxfId="16386" priority="1011">
      <formula>E244&gt;G244*#REF!</formula>
    </cfRule>
  </conditionalFormatting>
  <conditionalFormatting sqref="E246:G261">
    <cfRule type="expression" dxfId="16385" priority="2646">
      <formula>E246&lt;G246*#REF!</formula>
    </cfRule>
    <cfRule type="expression" dxfId="16384" priority="2647">
      <formula>E246&gt;G246*#REF!</formula>
    </cfRule>
  </conditionalFormatting>
  <conditionalFormatting sqref="E297:G312">
    <cfRule type="expression" dxfId="16383" priority="652">
      <formula>E297&lt;G297*#REF!</formula>
    </cfRule>
    <cfRule type="expression" dxfId="16382" priority="653">
      <formula>E297&gt;G297*#REF!</formula>
    </cfRule>
  </conditionalFormatting>
  <conditionalFormatting sqref="E314:G329">
    <cfRule type="expression" dxfId="16381" priority="603">
      <formula>E314&lt;G314*#REF!</formula>
    </cfRule>
    <cfRule type="expression" dxfId="16380" priority="604">
      <formula>E314&gt;G314*#REF!</formula>
    </cfRule>
  </conditionalFormatting>
  <conditionalFormatting sqref="E331:G346">
    <cfRule type="expression" dxfId="16379" priority="554">
      <formula>E331&lt;G331*#REF!</formula>
    </cfRule>
    <cfRule type="expression" dxfId="16378" priority="555">
      <formula>E331&gt;G331*#REF!</formula>
    </cfRule>
  </conditionalFormatting>
  <conditionalFormatting sqref="F18:G18">
    <cfRule type="expression" dxfId="16377" priority="2194">
      <formula>F18&gt;H18+#REF!</formula>
    </cfRule>
    <cfRule type="expression" dxfId="16376" priority="2194">
      <formula>F18&lt;H18-#REF!</formula>
    </cfRule>
  </conditionalFormatting>
  <conditionalFormatting sqref="F31:G32">
    <cfRule type="expression" dxfId="16375" priority="1915">
      <formula>F31&lt;H31-#REF!</formula>
    </cfRule>
  </conditionalFormatting>
  <conditionalFormatting sqref="F35:G39">
    <cfRule type="expression" dxfId="16374" priority="1913">
      <formula>F35&lt;H35-#REF!</formula>
    </cfRule>
  </conditionalFormatting>
  <conditionalFormatting sqref="F48:G49">
    <cfRule type="expression" dxfId="16373" priority="1824">
      <formula>F48&lt;H48-#REF!</formula>
    </cfRule>
  </conditionalFormatting>
  <conditionalFormatting sqref="F52:G56">
    <cfRule type="expression" dxfId="16372" priority="1822">
      <formula>F52&lt;H52-#REF!</formula>
    </cfRule>
  </conditionalFormatting>
  <conditionalFormatting sqref="F82:G83">
    <cfRule type="expression" dxfId="16371" priority="1642">
      <formula>F82&lt;H82-#REF!</formula>
    </cfRule>
  </conditionalFormatting>
  <conditionalFormatting sqref="F86:G90">
    <cfRule type="expression" dxfId="16370" priority="1640">
      <formula>F86&lt;H86-#REF!</formula>
    </cfRule>
  </conditionalFormatting>
  <conditionalFormatting sqref="F99:G100">
    <cfRule type="expression" dxfId="16369" priority="1551">
      <formula>F99&lt;H99-#REF!</formula>
    </cfRule>
  </conditionalFormatting>
  <conditionalFormatting sqref="F103:G107">
    <cfRule type="expression" dxfId="16368" priority="1549">
      <formula>F103&lt;H103-#REF!</formula>
    </cfRule>
  </conditionalFormatting>
  <conditionalFormatting sqref="F184:G185">
    <cfRule type="expression" dxfId="16367" priority="1278">
      <formula>F184&lt;H184-#REF!</formula>
    </cfRule>
  </conditionalFormatting>
  <conditionalFormatting sqref="F188:G192">
    <cfRule type="expression" dxfId="16366" priority="1276">
      <formula>F188&lt;H188-#REF!</formula>
    </cfRule>
  </conditionalFormatting>
  <conditionalFormatting sqref="F201:G202">
    <cfRule type="expression" dxfId="16365" priority="1187">
      <formula>F201&lt;H201-#REF!</formula>
    </cfRule>
  </conditionalFormatting>
  <conditionalFormatting sqref="F205:G209">
    <cfRule type="expression" dxfId="16364" priority="1185">
      <formula>F205&lt;H205-#REF!</formula>
    </cfRule>
  </conditionalFormatting>
  <conditionalFormatting sqref="F218:G219">
    <cfRule type="expression" dxfId="16363" priority="1096">
      <formula>F218&lt;H218-#REF!</formula>
    </cfRule>
  </conditionalFormatting>
  <conditionalFormatting sqref="F222:G226">
    <cfRule type="expression" dxfId="16362" priority="1094">
      <formula>F222&lt;H222-#REF!</formula>
    </cfRule>
  </conditionalFormatting>
  <conditionalFormatting sqref="F235:G236">
    <cfRule type="expression" dxfId="16361" priority="1005">
      <formula>F235&lt;H235-#REF!</formula>
    </cfRule>
  </conditionalFormatting>
  <conditionalFormatting sqref="F239:G243">
    <cfRule type="expression" dxfId="16360" priority="1003">
      <formula>F239&lt;H239-#REF!</formula>
    </cfRule>
  </conditionalFormatting>
  <conditionalFormatting sqref="I52:I56">
    <cfRule type="expression" dxfId="16359" priority="1813">
      <formula>I52&gt;K52+#REF!</formula>
    </cfRule>
  </conditionalFormatting>
  <conditionalFormatting sqref="I86:I90">
    <cfRule type="expression" dxfId="16358" priority="1631">
      <formula>I86&gt;K86+#REF!</formula>
    </cfRule>
  </conditionalFormatting>
  <conditionalFormatting sqref="I188:I192">
    <cfRule type="expression" dxfId="16357" priority="1267">
      <formula>I188&gt;K188+#REF!</formula>
    </cfRule>
  </conditionalFormatting>
  <conditionalFormatting sqref="I222:I226">
    <cfRule type="expression" dxfId="16356" priority="1085">
      <formula>I222&gt;K222+#REF!</formula>
    </cfRule>
  </conditionalFormatting>
  <conditionalFormatting sqref="I8:K23">
    <cfRule type="expression" dxfId="16355" priority="2006">
      <formula>I8&lt;K8*#REF!</formula>
    </cfRule>
    <cfRule type="expression" dxfId="16354" priority="2007">
      <formula>I8&gt;K8*#REF!</formula>
    </cfRule>
  </conditionalFormatting>
  <conditionalFormatting sqref="I25:K26">
    <cfRule type="expression" dxfId="16353" priority="1910">
      <formula>I25&lt;K25*#REF!</formula>
    </cfRule>
    <cfRule type="expression" dxfId="16352" priority="1911">
      <formula>I25&gt;K25*#REF!</formula>
    </cfRule>
  </conditionalFormatting>
  <conditionalFormatting sqref="I27:K29">
    <cfRule type="expression" dxfId="16351" priority="1912">
      <formula>I27&lt;K27-#REF!</formula>
    </cfRule>
  </conditionalFormatting>
  <conditionalFormatting sqref="I27:K39">
    <cfRule type="expression" dxfId="16350" priority="1902">
      <formula>I27&gt;K27+#REF!</formula>
    </cfRule>
  </conditionalFormatting>
  <conditionalFormatting sqref="I40:K40">
    <cfRule type="expression" dxfId="16349" priority="1909">
      <formula>I40&gt;K40*#REF!</formula>
    </cfRule>
  </conditionalFormatting>
  <conditionalFormatting sqref="I42:K43">
    <cfRule type="expression" dxfId="16348" priority="1819">
      <formula>I42&lt;K42*#REF!</formula>
    </cfRule>
    <cfRule type="expression" dxfId="16347" priority="1820">
      <formula>I42&gt;K42*#REF!</formula>
    </cfRule>
  </conditionalFormatting>
  <conditionalFormatting sqref="I44:K46">
    <cfRule type="expression" dxfId="16346" priority="1821">
      <formula>I44&lt;K44-#REF!</formula>
    </cfRule>
  </conditionalFormatting>
  <conditionalFormatting sqref="I44:K51">
    <cfRule type="expression" dxfId="16345" priority="1811">
      <formula>I44&gt;K44+#REF!</formula>
    </cfRule>
  </conditionalFormatting>
  <conditionalFormatting sqref="I57:K57">
    <cfRule type="expression" dxfId="16344" priority="1818">
      <formula>I57&gt;K57*#REF!</formula>
    </cfRule>
  </conditionalFormatting>
  <conditionalFormatting sqref="I76:K77">
    <cfRule type="expression" dxfId="16343" priority="1637">
      <formula>I76&lt;K76*#REF!</formula>
    </cfRule>
    <cfRule type="expression" dxfId="16342" priority="1638">
      <formula>I76&gt;K76*#REF!</formula>
    </cfRule>
  </conditionalFormatting>
  <conditionalFormatting sqref="I78:K80">
    <cfRule type="expression" dxfId="16341" priority="1639">
      <formula>I78&lt;K78-#REF!</formula>
    </cfRule>
  </conditionalFormatting>
  <conditionalFormatting sqref="I78:K85">
    <cfRule type="expression" dxfId="16340" priority="1629">
      <formula>I78&gt;K78+#REF!</formula>
    </cfRule>
  </conditionalFormatting>
  <conditionalFormatting sqref="I91:K91">
    <cfRule type="expression" dxfId="16339" priority="1636">
      <formula>I91&gt;K91*#REF!</formula>
    </cfRule>
  </conditionalFormatting>
  <conditionalFormatting sqref="I93:K94">
    <cfRule type="expression" dxfId="16338" priority="1546">
      <formula>I93&lt;K93*#REF!</formula>
    </cfRule>
    <cfRule type="expression" dxfId="16337" priority="1547">
      <formula>I93&gt;K93*#REF!</formula>
    </cfRule>
  </conditionalFormatting>
  <conditionalFormatting sqref="I95:K97">
    <cfRule type="expression" dxfId="16336" priority="1548">
      <formula>I95&lt;K95-#REF!</formula>
    </cfRule>
  </conditionalFormatting>
  <conditionalFormatting sqref="I95:K107">
    <cfRule type="expression" dxfId="16335" priority="1538">
      <formula>I95&gt;K95+#REF!</formula>
    </cfRule>
  </conditionalFormatting>
  <conditionalFormatting sqref="I108:K108">
    <cfRule type="expression" dxfId="16334" priority="1545">
      <formula>I108&gt;K108*#REF!</formula>
    </cfRule>
  </conditionalFormatting>
  <conditionalFormatting sqref="I178:K179">
    <cfRule type="expression" dxfId="16333" priority="1273">
      <formula>I178&lt;K178*#REF!</formula>
    </cfRule>
    <cfRule type="expression" dxfId="16332" priority="1274">
      <formula>I178&gt;K178*#REF!</formula>
    </cfRule>
  </conditionalFormatting>
  <conditionalFormatting sqref="I180:K182">
    <cfRule type="expression" dxfId="16331" priority="1275">
      <formula>I180&lt;K180-#REF!</formula>
    </cfRule>
  </conditionalFormatting>
  <conditionalFormatting sqref="I180:K187">
    <cfRule type="expression" dxfId="16330" priority="1265">
      <formula>I180&gt;K180+#REF!</formula>
    </cfRule>
  </conditionalFormatting>
  <conditionalFormatting sqref="I193:K193">
    <cfRule type="expression" dxfId="16329" priority="1272">
      <formula>I193&gt;K193*#REF!</formula>
    </cfRule>
  </conditionalFormatting>
  <conditionalFormatting sqref="I195:K196">
    <cfRule type="expression" dxfId="16328" priority="1182">
      <formula>I195&lt;K195*#REF!</formula>
    </cfRule>
    <cfRule type="expression" dxfId="16327" priority="1183">
      <formula>I195&gt;K195*#REF!</formula>
    </cfRule>
  </conditionalFormatting>
  <conditionalFormatting sqref="I197:K199">
    <cfRule type="expression" dxfId="16326" priority="1184">
      <formula>I197&lt;K197-#REF!</formula>
    </cfRule>
  </conditionalFormatting>
  <conditionalFormatting sqref="I197:K209">
    <cfRule type="expression" dxfId="16325" priority="1174">
      <formula>I197&gt;K197+#REF!</formula>
    </cfRule>
  </conditionalFormatting>
  <conditionalFormatting sqref="I210:K210">
    <cfRule type="expression" dxfId="16324" priority="1181">
      <formula>I210&gt;K210*#REF!</formula>
    </cfRule>
  </conditionalFormatting>
  <conditionalFormatting sqref="I212:K213">
    <cfRule type="expression" dxfId="16323" priority="1091">
      <formula>I212&lt;K212*#REF!</formula>
    </cfRule>
    <cfRule type="expression" dxfId="16322" priority="1092">
      <formula>I212&gt;K212*#REF!</formula>
    </cfRule>
  </conditionalFormatting>
  <conditionalFormatting sqref="I214:K216">
    <cfRule type="expression" dxfId="16321" priority="1093">
      <formula>I214&lt;K214-#REF!</formula>
    </cfRule>
  </conditionalFormatting>
  <conditionalFormatting sqref="I214:K221">
    <cfRule type="expression" dxfId="16320" priority="1083">
      <formula>I214&gt;K214+#REF!</formula>
    </cfRule>
  </conditionalFormatting>
  <conditionalFormatting sqref="I227:K227">
    <cfRule type="expression" dxfId="16319" priority="1090">
      <formula>I227&gt;K227*#REF!</formula>
    </cfRule>
  </conditionalFormatting>
  <conditionalFormatting sqref="I229:K230">
    <cfRule type="expression" dxfId="16318" priority="1000">
      <formula>I229&lt;K229*#REF!</formula>
    </cfRule>
    <cfRule type="expression" dxfId="16317" priority="1001">
      <formula>I229&gt;K229*#REF!</formula>
    </cfRule>
  </conditionalFormatting>
  <conditionalFormatting sqref="I231:K233">
    <cfRule type="expression" dxfId="16316" priority="1002">
      <formula>I231&lt;K231-#REF!</formula>
    </cfRule>
  </conditionalFormatting>
  <conditionalFormatting sqref="I231:K243">
    <cfRule type="expression" dxfId="16315" priority="992">
      <formula>I231&gt;K231+#REF!</formula>
    </cfRule>
  </conditionalFormatting>
  <conditionalFormatting sqref="I244:K244">
    <cfRule type="expression" dxfId="16314" priority="999">
      <formula>I244&gt;K244*#REF!</formula>
    </cfRule>
  </conditionalFormatting>
  <conditionalFormatting sqref="I246:K261">
    <cfRule type="expression" dxfId="16313" priority="745">
      <formula>I246&lt;K246*#REF!</formula>
    </cfRule>
    <cfRule type="expression" dxfId="16312" priority="746">
      <formula>I246&gt;K246*#REF!</formula>
    </cfRule>
  </conditionalFormatting>
  <conditionalFormatting sqref="I297:K312">
    <cfRule type="expression" dxfId="16311" priority="645">
      <formula>I297&lt;K297*#REF!</formula>
    </cfRule>
    <cfRule type="expression" dxfId="16310" priority="646">
      <formula>I297&gt;K297*#REF!</formula>
    </cfRule>
  </conditionalFormatting>
  <conditionalFormatting sqref="I314:K329">
    <cfRule type="expression" dxfId="16309" priority="596">
      <formula>I314&lt;K314*#REF!</formula>
    </cfRule>
    <cfRule type="expression" dxfId="16308" priority="597">
      <formula>I314&gt;K314*#REF!</formula>
    </cfRule>
  </conditionalFormatting>
  <conditionalFormatting sqref="I331:K346">
    <cfRule type="expression" dxfId="16307" priority="547">
      <formula>I331&lt;K331*#REF!</formula>
    </cfRule>
    <cfRule type="expression" dxfId="16306" priority="548">
      <formula>I331&gt;K331*#REF!</formula>
    </cfRule>
  </conditionalFormatting>
  <conditionalFormatting sqref="J31:K32">
    <cfRule type="expression" dxfId="16305" priority="1903">
      <formula>J31&lt;L31-#REF!</formula>
    </cfRule>
  </conditionalFormatting>
  <conditionalFormatting sqref="J35:K39">
    <cfRule type="expression" dxfId="16304" priority="1901">
      <formula>J35&lt;L35-#REF!</formula>
    </cfRule>
  </conditionalFormatting>
  <conditionalFormatting sqref="J48:K49">
    <cfRule type="expression" dxfId="16303" priority="1812">
      <formula>J48&lt;L48-#REF!</formula>
    </cfRule>
  </conditionalFormatting>
  <conditionalFormatting sqref="J52:K56">
    <cfRule type="expression" dxfId="16302" priority="1810">
      <formula>J52&lt;L52-#REF!</formula>
    </cfRule>
  </conditionalFormatting>
  <conditionalFormatting sqref="J82:K83">
    <cfRule type="expression" dxfId="16301" priority="1630">
      <formula>J82&lt;L82-#REF!</formula>
    </cfRule>
  </conditionalFormatting>
  <conditionalFormatting sqref="J86:K90">
    <cfRule type="expression" dxfId="16300" priority="1628">
      <formula>J86&lt;L86-#REF!</formula>
    </cfRule>
  </conditionalFormatting>
  <conditionalFormatting sqref="J99:K100">
    <cfRule type="expression" dxfId="16299" priority="1539">
      <formula>J99&lt;L99-#REF!</formula>
    </cfRule>
  </conditionalFormatting>
  <conditionalFormatting sqref="J103:K107">
    <cfRule type="expression" dxfId="16298" priority="1537">
      <formula>J103&lt;L103-#REF!</formula>
    </cfRule>
  </conditionalFormatting>
  <conditionalFormatting sqref="J184:K185">
    <cfRule type="expression" dxfId="16297" priority="1266">
      <formula>J184&lt;L184-#REF!</formula>
    </cfRule>
  </conditionalFormatting>
  <conditionalFormatting sqref="J188:K192">
    <cfRule type="expression" dxfId="16296" priority="1264">
      <formula>J188&lt;L188-#REF!</formula>
    </cfRule>
  </conditionalFormatting>
  <conditionalFormatting sqref="J201:K202">
    <cfRule type="expression" dxfId="16295" priority="1175">
      <formula>J201&lt;L201-#REF!</formula>
    </cfRule>
  </conditionalFormatting>
  <conditionalFormatting sqref="J205:K209">
    <cfRule type="expression" dxfId="16294" priority="1173">
      <formula>J205&lt;L205-#REF!</formula>
    </cfRule>
  </conditionalFormatting>
  <conditionalFormatting sqref="J218:K219">
    <cfRule type="expression" dxfId="16293" priority="1084">
      <formula>J218&lt;L218-#REF!</formula>
    </cfRule>
  </conditionalFormatting>
  <conditionalFormatting sqref="J222:K226">
    <cfRule type="expression" dxfId="16292" priority="1082">
      <formula>J222&lt;L222-#REF!</formula>
    </cfRule>
  </conditionalFormatting>
  <conditionalFormatting sqref="J235:K236">
    <cfRule type="expression" dxfId="16291" priority="993">
      <formula>J235&lt;L235-#REF!</formula>
    </cfRule>
  </conditionalFormatting>
  <conditionalFormatting sqref="J239:K243">
    <cfRule type="expression" dxfId="16290" priority="991">
      <formula>J239&lt;L239-#REF!</formula>
    </cfRule>
  </conditionalFormatting>
  <conditionalFormatting sqref="M8:O23">
    <cfRule type="expression" dxfId="16289" priority="1993">
      <formula>M8&lt;O8*#REF!</formula>
    </cfRule>
    <cfRule type="expression" dxfId="16288" priority="1994">
      <formula>M8&gt;O8*#REF!</formula>
    </cfRule>
  </conditionalFormatting>
  <conditionalFormatting sqref="M25:O26">
    <cfRule type="expression" dxfId="16287" priority="1898">
      <formula>M25&lt;O25*#REF!</formula>
    </cfRule>
    <cfRule type="expression" dxfId="16286" priority="1899">
      <formula>M25&gt;O25*#REF!</formula>
    </cfRule>
  </conditionalFormatting>
  <conditionalFormatting sqref="M27:O29">
    <cfRule type="expression" dxfId="16285" priority="1900">
      <formula>M27&lt;O27-#REF!</formula>
    </cfRule>
  </conditionalFormatting>
  <conditionalFormatting sqref="M27:O39">
    <cfRule type="expression" dxfId="16284" priority="1889">
      <formula>M27&gt;O27+#REF!</formula>
    </cfRule>
  </conditionalFormatting>
  <conditionalFormatting sqref="M40:O40">
    <cfRule type="expression" dxfId="16283" priority="1897">
      <formula>M40&gt;O40*#REF!</formula>
    </cfRule>
  </conditionalFormatting>
  <conditionalFormatting sqref="M42:O43">
    <cfRule type="expression" dxfId="16282" priority="1807">
      <formula>M42&lt;O42*#REF!</formula>
    </cfRule>
    <cfRule type="expression" dxfId="16281" priority="1808">
      <formula>M42&gt;O42*#REF!</formula>
    </cfRule>
  </conditionalFormatting>
  <conditionalFormatting sqref="M44:O46">
    <cfRule type="expression" dxfId="16280" priority="1809">
      <formula>M44&lt;O44-#REF!</formula>
    </cfRule>
  </conditionalFormatting>
  <conditionalFormatting sqref="M44:O56">
    <cfRule type="expression" dxfId="16279" priority="1798">
      <formula>M44&gt;O44+#REF!</formula>
    </cfRule>
  </conditionalFormatting>
  <conditionalFormatting sqref="M57:O57">
    <cfRule type="expression" dxfId="16278" priority="1806">
      <formula>M57&gt;O57*#REF!</formula>
    </cfRule>
  </conditionalFormatting>
  <conditionalFormatting sqref="M76:O77">
    <cfRule type="expression" dxfId="16277" priority="1625">
      <formula>M76&lt;O76*#REF!</formula>
    </cfRule>
    <cfRule type="expression" dxfId="16276" priority="1626">
      <formula>M76&gt;O76*#REF!</formula>
    </cfRule>
  </conditionalFormatting>
  <conditionalFormatting sqref="M78:O80">
    <cfRule type="expression" dxfId="16275" priority="1627">
      <formula>M78&lt;O78-#REF!</formula>
    </cfRule>
  </conditionalFormatting>
  <conditionalFormatting sqref="M78:O90">
    <cfRule type="expression" dxfId="16274" priority="1616">
      <formula>M78&gt;O78+#REF!</formula>
    </cfRule>
  </conditionalFormatting>
  <conditionalFormatting sqref="M91:O91">
    <cfRule type="expression" dxfId="16273" priority="1624">
      <formula>M91&gt;O91*#REF!</formula>
    </cfRule>
  </conditionalFormatting>
  <conditionalFormatting sqref="M93:O94">
    <cfRule type="expression" dxfId="16272" priority="1534">
      <formula>M93&lt;O93*#REF!</formula>
    </cfRule>
    <cfRule type="expression" dxfId="16271" priority="1535">
      <formula>M93&gt;O93*#REF!</formula>
    </cfRule>
  </conditionalFormatting>
  <conditionalFormatting sqref="M95:O97">
    <cfRule type="expression" dxfId="16270" priority="1536">
      <formula>M95&lt;O95-#REF!</formula>
    </cfRule>
  </conditionalFormatting>
  <conditionalFormatting sqref="M95:O107">
    <cfRule type="expression" dxfId="16269" priority="1525">
      <formula>M95&gt;O95+#REF!</formula>
    </cfRule>
  </conditionalFormatting>
  <conditionalFormatting sqref="M108:O108">
    <cfRule type="expression" dxfId="16268" priority="1533">
      <formula>M108&gt;O108*#REF!</formula>
    </cfRule>
  </conditionalFormatting>
  <conditionalFormatting sqref="M178:O179">
    <cfRule type="expression" dxfId="16267" priority="1261">
      <formula>M178&lt;O178*#REF!</formula>
    </cfRule>
    <cfRule type="expression" dxfId="16266" priority="1262">
      <formula>M178&gt;O178*#REF!</formula>
    </cfRule>
  </conditionalFormatting>
  <conditionalFormatting sqref="M180:O182">
    <cfRule type="expression" dxfId="16265" priority="1263">
      <formula>M180&lt;O180-#REF!</formula>
    </cfRule>
  </conditionalFormatting>
  <conditionalFormatting sqref="M180:O192">
    <cfRule type="expression" dxfId="16264" priority="1252">
      <formula>M180&gt;O180+#REF!</formula>
    </cfRule>
  </conditionalFormatting>
  <conditionalFormatting sqref="M193:O193">
    <cfRule type="expression" dxfId="16263" priority="1260">
      <formula>M193&gt;O193*#REF!</formula>
    </cfRule>
  </conditionalFormatting>
  <conditionalFormatting sqref="M195:O196">
    <cfRule type="expression" dxfId="16262" priority="1170">
      <formula>M195&lt;O195*#REF!</formula>
    </cfRule>
    <cfRule type="expression" dxfId="16261" priority="1171">
      <formula>M195&gt;O195*#REF!</formula>
    </cfRule>
  </conditionalFormatting>
  <conditionalFormatting sqref="M197:O199">
    <cfRule type="expression" dxfId="16260" priority="1172">
      <formula>M197&lt;O197-#REF!</formula>
    </cfRule>
  </conditionalFormatting>
  <conditionalFormatting sqref="M197:O209">
    <cfRule type="expression" dxfId="16259" priority="1161">
      <formula>M197&gt;O197+#REF!</formula>
    </cfRule>
  </conditionalFormatting>
  <conditionalFormatting sqref="M210:O210">
    <cfRule type="expression" dxfId="16258" priority="1169">
      <formula>M210&gt;O210*#REF!</formula>
    </cfRule>
  </conditionalFormatting>
  <conditionalFormatting sqref="M212:O213">
    <cfRule type="expression" dxfId="16257" priority="1079">
      <formula>M212&lt;O212*#REF!</formula>
    </cfRule>
    <cfRule type="expression" dxfId="16256" priority="1080">
      <formula>M212&gt;O212*#REF!</formula>
    </cfRule>
  </conditionalFormatting>
  <conditionalFormatting sqref="M214:O216">
    <cfRule type="expression" dxfId="16255" priority="1081">
      <formula>M214&lt;O214-#REF!</formula>
    </cfRule>
  </conditionalFormatting>
  <conditionalFormatting sqref="M214:O226">
    <cfRule type="expression" dxfId="16254" priority="1070">
      <formula>M214&gt;O214+#REF!</formula>
    </cfRule>
  </conditionalFormatting>
  <conditionalFormatting sqref="M227:O227">
    <cfRule type="expression" dxfId="16253" priority="1078">
      <formula>M227&gt;O227*#REF!</formula>
    </cfRule>
  </conditionalFormatting>
  <conditionalFormatting sqref="M229:O230">
    <cfRule type="expression" dxfId="16252" priority="988">
      <formula>M229&lt;O229*#REF!</formula>
    </cfRule>
    <cfRule type="expression" dxfId="16251" priority="989">
      <formula>M229&gt;O229*#REF!</formula>
    </cfRule>
  </conditionalFormatting>
  <conditionalFormatting sqref="M231:O233">
    <cfRule type="expression" dxfId="16250" priority="990">
      <formula>M231&lt;O231-#REF!</formula>
    </cfRule>
  </conditionalFormatting>
  <conditionalFormatting sqref="M231:O243">
    <cfRule type="expression" dxfId="16249" priority="979">
      <formula>M231&gt;O231+#REF!</formula>
    </cfRule>
  </conditionalFormatting>
  <conditionalFormatting sqref="M244:O244">
    <cfRule type="expression" dxfId="16248" priority="987">
      <formula>M244&gt;O244*#REF!</formula>
    </cfRule>
  </conditionalFormatting>
  <conditionalFormatting sqref="M246:O261">
    <cfRule type="expression" dxfId="16247" priority="738">
      <formula>M246&lt;O246*#REF!</formula>
    </cfRule>
    <cfRule type="expression" dxfId="16246" priority="739">
      <formula>M246&gt;O246*#REF!</formula>
    </cfRule>
  </conditionalFormatting>
  <conditionalFormatting sqref="M297:O298">
    <cfRule type="expression" dxfId="16245" priority="638">
      <formula>M297&lt;O297*#REF!</formula>
    </cfRule>
    <cfRule type="expression" dxfId="16244" priority="639">
      <formula>M297&gt;O297*#REF!</formula>
    </cfRule>
  </conditionalFormatting>
  <conditionalFormatting sqref="M299:O301">
    <cfRule type="expression" dxfId="16243" priority="640">
      <formula>M299&lt;O299-#REF!</formula>
    </cfRule>
  </conditionalFormatting>
  <conditionalFormatting sqref="M299:O311">
    <cfRule type="expression" dxfId="16242" priority="635">
      <formula>M299&gt;O299+#REF!</formula>
    </cfRule>
  </conditionalFormatting>
  <conditionalFormatting sqref="M312:O312">
    <cfRule type="expression" dxfId="16241" priority="637">
      <formula>M312&gt;O312*#REF!</formula>
    </cfRule>
  </conditionalFormatting>
  <conditionalFormatting sqref="M314:O315">
    <cfRule type="expression" dxfId="16240" priority="589">
      <formula>M314&lt;O314*#REF!</formula>
    </cfRule>
    <cfRule type="expression" dxfId="16239" priority="590">
      <formula>M314&gt;O314*#REF!</formula>
    </cfRule>
  </conditionalFormatting>
  <conditionalFormatting sqref="M316:O318">
    <cfRule type="expression" dxfId="16238" priority="591">
      <formula>M316&lt;O316-#REF!</formula>
    </cfRule>
  </conditionalFormatting>
  <conditionalFormatting sqref="M316:O328">
    <cfRule type="expression" dxfId="16237" priority="586">
      <formula>M316&gt;O316+#REF!</formula>
    </cfRule>
  </conditionalFormatting>
  <conditionalFormatting sqref="M329:O329">
    <cfRule type="expression" dxfId="16236" priority="588">
      <formula>M329&gt;O329*#REF!</formula>
    </cfRule>
  </conditionalFormatting>
  <conditionalFormatting sqref="M331:O332">
    <cfRule type="expression" dxfId="16235" priority="540">
      <formula>M331&lt;O331*#REF!</formula>
    </cfRule>
    <cfRule type="expression" dxfId="16234" priority="541">
      <formula>M331&gt;O331*#REF!</formula>
    </cfRule>
  </conditionalFormatting>
  <conditionalFormatting sqref="M333:O335">
    <cfRule type="expression" dxfId="16233" priority="542">
      <formula>M333&lt;O333-#REF!</formula>
    </cfRule>
  </conditionalFormatting>
  <conditionalFormatting sqref="M333:O345">
    <cfRule type="expression" dxfId="16232" priority="537">
      <formula>M333&gt;O333+#REF!</formula>
    </cfRule>
  </conditionalFormatting>
  <conditionalFormatting sqref="M346:O346">
    <cfRule type="expression" dxfId="16231" priority="539">
      <formula>M346&gt;O346*#REF!</formula>
    </cfRule>
  </conditionalFormatting>
  <conditionalFormatting sqref="N31:O32">
    <cfRule type="expression" dxfId="16230" priority="1891">
      <formula>N31&lt;P31-#REF!</formula>
    </cfRule>
  </conditionalFormatting>
  <conditionalFormatting sqref="N48:O49">
    <cfRule type="expression" dxfId="16229" priority="1800">
      <formula>N48&lt;P48-#REF!</formula>
    </cfRule>
  </conditionalFormatting>
  <conditionalFormatting sqref="N52:O56">
    <cfRule type="expression" dxfId="16228" priority="7132">
      <formula>N52&lt;P52-#REF!</formula>
    </cfRule>
  </conditionalFormatting>
  <conditionalFormatting sqref="N82:O83">
    <cfRule type="expression" dxfId="16227" priority="1618">
      <formula>N82&lt;P82-#REF!</formula>
    </cfRule>
  </conditionalFormatting>
  <conditionalFormatting sqref="N86:O90">
    <cfRule type="expression" dxfId="16226" priority="7138">
      <formula>N86&lt;P86-#REF!</formula>
    </cfRule>
  </conditionalFormatting>
  <conditionalFormatting sqref="N99:O100">
    <cfRule type="expression" dxfId="16225" priority="1527">
      <formula>N99&lt;P99-#REF!</formula>
    </cfRule>
  </conditionalFormatting>
  <conditionalFormatting sqref="N184:O185">
    <cfRule type="expression" dxfId="16224" priority="1254">
      <formula>N184&lt;P184-#REF!</formula>
    </cfRule>
  </conditionalFormatting>
  <conditionalFormatting sqref="N188:O192">
    <cfRule type="expression" dxfId="16223" priority="7150">
      <formula>N188&lt;P188-#REF!</formula>
    </cfRule>
  </conditionalFormatting>
  <conditionalFormatting sqref="N201:O202">
    <cfRule type="expression" dxfId="16222" priority="1163">
      <formula>N201&lt;P201-#REF!</formula>
    </cfRule>
  </conditionalFormatting>
  <conditionalFormatting sqref="N218:O219">
    <cfRule type="expression" dxfId="16221" priority="1072">
      <formula>N218&lt;P218-#REF!</formula>
    </cfRule>
  </conditionalFormatting>
  <conditionalFormatting sqref="N222:O226">
    <cfRule type="expression" dxfId="16220" priority="7156">
      <formula>N222&lt;P222-#REF!</formula>
    </cfRule>
  </conditionalFormatting>
  <conditionalFormatting sqref="N235:O236">
    <cfRule type="expression" dxfId="16219" priority="981">
      <formula>N235&lt;P235-#REF!</formula>
    </cfRule>
  </conditionalFormatting>
  <conditionalFormatting sqref="N303:O304">
    <cfRule type="expression" dxfId="16218" priority="636">
      <formula>N303&lt;P303-#REF!</formula>
    </cfRule>
  </conditionalFormatting>
  <conditionalFormatting sqref="N307:O311">
    <cfRule type="expression" dxfId="16217" priority="641">
      <formula>N307&lt;P307-#REF!</formula>
    </cfRule>
  </conditionalFormatting>
  <conditionalFormatting sqref="N320:O321">
    <cfRule type="expression" dxfId="16216" priority="587">
      <formula>N320&lt;P320-#REF!</formula>
    </cfRule>
  </conditionalFormatting>
  <conditionalFormatting sqref="N324:O328">
    <cfRule type="expression" dxfId="16215" priority="592">
      <formula>N324&lt;P324-#REF!</formula>
    </cfRule>
  </conditionalFormatting>
  <conditionalFormatting sqref="N337:O338">
    <cfRule type="expression" dxfId="16214" priority="538">
      <formula>N337&lt;P337-#REF!</formula>
    </cfRule>
  </conditionalFormatting>
  <conditionalFormatting sqref="N341:O345">
    <cfRule type="expression" dxfId="16213" priority="543">
      <formula>N341&lt;P341-#REF!</formula>
    </cfRule>
  </conditionalFormatting>
  <conditionalFormatting sqref="Q8:S23">
    <cfRule type="expression" dxfId="16212" priority="1980">
      <formula>Q8&lt;S8*#REF!</formula>
    </cfRule>
    <cfRule type="expression" dxfId="16211" priority="1981">
      <formula>Q8&gt;S8*#REF!</formula>
    </cfRule>
  </conditionalFormatting>
  <conditionalFormatting sqref="Q25:S26">
    <cfRule type="expression" dxfId="16210" priority="1886">
      <formula>Q25&lt;S25*#REF!</formula>
    </cfRule>
    <cfRule type="expression" dxfId="16209" priority="1887">
      <formula>Q25&gt;S25*#REF!</formula>
    </cfRule>
  </conditionalFormatting>
  <conditionalFormatting sqref="Q27:S29">
    <cfRule type="expression" dxfId="16208" priority="1888">
      <formula>Q27&lt;S27-#REF!</formula>
    </cfRule>
  </conditionalFormatting>
  <conditionalFormatting sqref="Q27:S39">
    <cfRule type="expression" dxfId="16207" priority="1877">
      <formula>Q27&gt;S27+#REF!</formula>
    </cfRule>
  </conditionalFormatting>
  <conditionalFormatting sqref="Q40:S40">
    <cfRule type="expression" dxfId="16206" priority="1885">
      <formula>Q40&gt;S40*#REF!</formula>
    </cfRule>
  </conditionalFormatting>
  <conditionalFormatting sqref="Q42:S43">
    <cfRule type="expression" dxfId="16205" priority="1795">
      <formula>Q42&lt;S42*#REF!</formula>
    </cfRule>
    <cfRule type="expression" dxfId="16204" priority="1796">
      <formula>Q42&gt;S42*#REF!</formula>
    </cfRule>
  </conditionalFormatting>
  <conditionalFormatting sqref="Q44:S46">
    <cfRule type="expression" dxfId="16203" priority="1797">
      <formula>Q44&lt;S44-#REF!</formula>
    </cfRule>
  </conditionalFormatting>
  <conditionalFormatting sqref="Q44:S56">
    <cfRule type="expression" dxfId="16202" priority="1786">
      <formula>Q44&gt;S44+#REF!</formula>
    </cfRule>
  </conditionalFormatting>
  <conditionalFormatting sqref="Q57:S57">
    <cfRule type="expression" dxfId="16201" priority="1794">
      <formula>Q57&gt;S57*#REF!</formula>
    </cfRule>
  </conditionalFormatting>
  <conditionalFormatting sqref="Q76:S77">
    <cfRule type="expression" dxfId="16200" priority="1613">
      <formula>Q76&lt;S76*#REF!</formula>
    </cfRule>
    <cfRule type="expression" dxfId="16199" priority="1614">
      <formula>Q76&gt;S76*#REF!</formula>
    </cfRule>
  </conditionalFormatting>
  <conditionalFormatting sqref="Q78:S80">
    <cfRule type="expression" dxfId="16198" priority="1615">
      <formula>Q78&lt;S78-#REF!</formula>
    </cfRule>
  </conditionalFormatting>
  <conditionalFormatting sqref="Q78:S90">
    <cfRule type="expression" dxfId="16197" priority="1604">
      <formula>Q78&gt;S78+#REF!</formula>
    </cfRule>
  </conditionalFormatting>
  <conditionalFormatting sqref="Q91:S91">
    <cfRule type="expression" dxfId="16196" priority="1612">
      <formula>Q91&gt;S91*#REF!</formula>
    </cfRule>
  </conditionalFormatting>
  <conditionalFormatting sqref="Q93:S94">
    <cfRule type="expression" dxfId="16195" priority="1522">
      <formula>Q93&lt;S93*#REF!</formula>
    </cfRule>
    <cfRule type="expression" dxfId="16194" priority="1523">
      <formula>Q93&gt;S93*#REF!</formula>
    </cfRule>
  </conditionalFormatting>
  <conditionalFormatting sqref="Q95:S97">
    <cfRule type="expression" dxfId="16193" priority="1524">
      <formula>Q95&lt;S95-#REF!</formula>
    </cfRule>
  </conditionalFormatting>
  <conditionalFormatting sqref="Q95:S107">
    <cfRule type="expression" dxfId="16192" priority="1513">
      <formula>Q95&gt;S95+#REF!</formula>
    </cfRule>
  </conditionalFormatting>
  <conditionalFormatting sqref="Q108:S108">
    <cfRule type="expression" dxfId="16191" priority="1521">
      <formula>Q108&gt;S108*#REF!</formula>
    </cfRule>
  </conditionalFormatting>
  <conditionalFormatting sqref="Q178:S179">
    <cfRule type="expression" dxfId="16190" priority="1249">
      <formula>Q178&lt;S178*#REF!</formula>
    </cfRule>
    <cfRule type="expression" dxfId="16189" priority="1250">
      <formula>Q178&gt;S178*#REF!</formula>
    </cfRule>
  </conditionalFormatting>
  <conditionalFormatting sqref="Q180:S182">
    <cfRule type="expression" dxfId="16188" priority="1251">
      <formula>Q180&lt;S180-#REF!</formula>
    </cfRule>
  </conditionalFormatting>
  <conditionalFormatting sqref="Q180:S192">
    <cfRule type="expression" dxfId="16187" priority="1240">
      <formula>Q180&gt;S180+#REF!</formula>
    </cfRule>
  </conditionalFormatting>
  <conditionalFormatting sqref="Q193:S193">
    <cfRule type="expression" dxfId="16186" priority="1248">
      <formula>Q193&gt;S193*#REF!</formula>
    </cfRule>
  </conditionalFormatting>
  <conditionalFormatting sqref="Q195:S196">
    <cfRule type="expression" dxfId="16185" priority="1158">
      <formula>Q195&lt;S195*#REF!</formula>
    </cfRule>
    <cfRule type="expression" dxfId="16184" priority="1159">
      <formula>Q195&gt;S195*#REF!</formula>
    </cfRule>
  </conditionalFormatting>
  <conditionalFormatting sqref="Q197:S199">
    <cfRule type="expression" dxfId="16183" priority="1160">
      <formula>Q197&lt;S197-#REF!</formula>
    </cfRule>
  </conditionalFormatting>
  <conditionalFormatting sqref="Q197:S209">
    <cfRule type="expression" dxfId="16182" priority="1149">
      <formula>Q197&gt;S197+#REF!</formula>
    </cfRule>
  </conditionalFormatting>
  <conditionalFormatting sqref="Q210:S210">
    <cfRule type="expression" dxfId="16181" priority="1157">
      <formula>Q210&gt;S210*#REF!</formula>
    </cfRule>
  </conditionalFormatting>
  <conditionalFormatting sqref="Q212:S213">
    <cfRule type="expression" dxfId="16180" priority="1067">
      <formula>Q212&lt;S212*#REF!</formula>
    </cfRule>
    <cfRule type="expression" dxfId="16179" priority="1068">
      <formula>Q212&gt;S212*#REF!</formula>
    </cfRule>
  </conditionalFormatting>
  <conditionalFormatting sqref="Q214:S216">
    <cfRule type="expression" dxfId="16178" priority="1069">
      <formula>Q214&lt;S214-#REF!</formula>
    </cfRule>
  </conditionalFormatting>
  <conditionalFormatting sqref="Q214:S226">
    <cfRule type="expression" dxfId="16177" priority="1058">
      <formula>Q214&gt;S214+#REF!</formula>
    </cfRule>
  </conditionalFormatting>
  <conditionalFormatting sqref="Q227:S227">
    <cfRule type="expression" dxfId="16176" priority="1066">
      <formula>Q227&gt;S227*#REF!</formula>
    </cfRule>
  </conditionalFormatting>
  <conditionalFormatting sqref="Q229:S230">
    <cfRule type="expression" dxfId="16175" priority="976">
      <formula>Q229&lt;S229*#REF!</formula>
    </cfRule>
    <cfRule type="expression" dxfId="16174" priority="977">
      <formula>Q229&gt;S229*#REF!</formula>
    </cfRule>
  </conditionalFormatting>
  <conditionalFormatting sqref="Q231:S233">
    <cfRule type="expression" dxfId="16173" priority="978">
      <formula>Q231&lt;S231-#REF!</formula>
    </cfRule>
  </conditionalFormatting>
  <conditionalFormatting sqref="Q231:S243">
    <cfRule type="expression" dxfId="16172" priority="967">
      <formula>Q231&gt;S231+#REF!</formula>
    </cfRule>
  </conditionalFormatting>
  <conditionalFormatting sqref="Q244:S244">
    <cfRule type="expression" dxfId="16171" priority="975">
      <formula>Q244&gt;S244*#REF!</formula>
    </cfRule>
  </conditionalFormatting>
  <conditionalFormatting sqref="Q246:S247">
    <cfRule type="expression" dxfId="16170" priority="731">
      <formula>Q246&lt;S246*#REF!</formula>
    </cfRule>
    <cfRule type="expression" dxfId="16169" priority="732">
      <formula>Q246&gt;S246*#REF!</formula>
    </cfRule>
  </conditionalFormatting>
  <conditionalFormatting sqref="Q248:S250">
    <cfRule type="expression" dxfId="16168" priority="733">
      <formula>Q248&lt;S248-#REF!</formula>
    </cfRule>
  </conditionalFormatting>
  <conditionalFormatting sqref="Q248:S260">
    <cfRule type="expression" dxfId="16167" priority="728">
      <formula>Q248&gt;S248+#REF!</formula>
    </cfRule>
  </conditionalFormatting>
  <conditionalFormatting sqref="Q261:S261">
    <cfRule type="expression" dxfId="16166" priority="730">
      <formula>Q261&gt;S261*#REF!</formula>
    </cfRule>
  </conditionalFormatting>
  <conditionalFormatting sqref="Q297:S298">
    <cfRule type="expression" dxfId="16165" priority="631">
      <formula>Q297&lt;S297*#REF!</formula>
    </cfRule>
    <cfRule type="expression" dxfId="16164" priority="632">
      <formula>Q297&gt;S297*#REF!</formula>
    </cfRule>
  </conditionalFormatting>
  <conditionalFormatting sqref="Q299:S301">
    <cfRule type="expression" dxfId="16163" priority="633">
      <formula>Q299&lt;S299-#REF!</formula>
    </cfRule>
  </conditionalFormatting>
  <conditionalFormatting sqref="Q299:S311">
    <cfRule type="expression" dxfId="16162" priority="628">
      <formula>Q299&gt;S299+#REF!</formula>
    </cfRule>
  </conditionalFormatting>
  <conditionalFormatting sqref="Q312:S312">
    <cfRule type="expression" dxfId="16161" priority="630">
      <formula>Q312&gt;S312*#REF!</formula>
    </cfRule>
  </conditionalFormatting>
  <conditionalFormatting sqref="Q314:S315">
    <cfRule type="expression" dxfId="16160" priority="582">
      <formula>Q314&lt;S314*#REF!</formula>
    </cfRule>
    <cfRule type="expression" dxfId="16159" priority="583">
      <formula>Q314&gt;S314*#REF!</formula>
    </cfRule>
  </conditionalFormatting>
  <conditionalFormatting sqref="Q316:S318">
    <cfRule type="expression" dxfId="16158" priority="584">
      <formula>Q316&lt;S316-#REF!</formula>
    </cfRule>
  </conditionalFormatting>
  <conditionalFormatting sqref="Q316:S328">
    <cfRule type="expression" dxfId="16157" priority="579">
      <formula>Q316&gt;S316+#REF!</formula>
    </cfRule>
  </conditionalFormatting>
  <conditionalFormatting sqref="Q329:S329">
    <cfRule type="expression" dxfId="16156" priority="581">
      <formula>Q329&gt;S329*#REF!</formula>
    </cfRule>
  </conditionalFormatting>
  <conditionalFormatting sqref="Q331:S332">
    <cfRule type="expression" dxfId="16155" priority="533">
      <formula>Q331&lt;S331*#REF!</formula>
    </cfRule>
    <cfRule type="expression" dxfId="16154" priority="534">
      <formula>Q331&gt;S331*#REF!</formula>
    </cfRule>
  </conditionalFormatting>
  <conditionalFormatting sqref="Q333:S335">
    <cfRule type="expression" dxfId="16153" priority="535">
      <formula>Q333&lt;S333-#REF!</formula>
    </cfRule>
  </conditionalFormatting>
  <conditionalFormatting sqref="Q333:S345">
    <cfRule type="expression" dxfId="16152" priority="530">
      <formula>Q333&gt;S333+#REF!</formula>
    </cfRule>
  </conditionalFormatting>
  <conditionalFormatting sqref="Q346:S346">
    <cfRule type="expression" dxfId="16151" priority="532">
      <formula>Q346&gt;S346*#REF!</formula>
    </cfRule>
  </conditionalFormatting>
  <conditionalFormatting sqref="R31:S32">
    <cfRule type="expression" dxfId="16150" priority="1879">
      <formula>R31&lt;T31-#REF!</formula>
    </cfRule>
  </conditionalFormatting>
  <conditionalFormatting sqref="R35:S39">
    <cfRule type="expression" dxfId="16149" priority="7129">
      <formula>R35&lt;T35-#REF!</formula>
    </cfRule>
  </conditionalFormatting>
  <conditionalFormatting sqref="R48:S49">
    <cfRule type="expression" dxfId="16148" priority="1788">
      <formula>R48&lt;T48-#REF!</formula>
    </cfRule>
  </conditionalFormatting>
  <conditionalFormatting sqref="R82:S83">
    <cfRule type="expression" dxfId="16147" priority="1606">
      <formula>R82&lt;T82-#REF!</formula>
    </cfRule>
  </conditionalFormatting>
  <conditionalFormatting sqref="R99:S100">
    <cfRule type="expression" dxfId="16146" priority="1515">
      <formula>R99&lt;T99-#REF!</formula>
    </cfRule>
  </conditionalFormatting>
  <conditionalFormatting sqref="R103:S107">
    <cfRule type="expression" dxfId="16145" priority="7141">
      <formula>R103&lt;T103-#REF!</formula>
    </cfRule>
  </conditionalFormatting>
  <conditionalFormatting sqref="R184:S185">
    <cfRule type="expression" dxfId="16144" priority="1242">
      <formula>R184&lt;T184-#REF!</formula>
    </cfRule>
  </conditionalFormatting>
  <conditionalFormatting sqref="R201:S202">
    <cfRule type="expression" dxfId="16143" priority="1151">
      <formula>R201&lt;T201-#REF!</formula>
    </cfRule>
  </conditionalFormatting>
  <conditionalFormatting sqref="R205:S209">
    <cfRule type="expression" dxfId="16142" priority="7153">
      <formula>R205&lt;T205-#REF!</formula>
    </cfRule>
  </conditionalFormatting>
  <conditionalFormatting sqref="R218:S219">
    <cfRule type="expression" dxfId="16141" priority="1060">
      <formula>R218&lt;T218-#REF!</formula>
    </cfRule>
  </conditionalFormatting>
  <conditionalFormatting sqref="R235:S236">
    <cfRule type="expression" dxfId="16140" priority="969">
      <formula>R235&lt;T235-#REF!</formula>
    </cfRule>
  </conditionalFormatting>
  <conditionalFormatting sqref="R239:S243">
    <cfRule type="expression" dxfId="16139" priority="7159">
      <formula>R239&lt;T239-#REF!</formula>
    </cfRule>
  </conditionalFormatting>
  <conditionalFormatting sqref="R252:S253">
    <cfRule type="expression" dxfId="16138" priority="729">
      <formula>R252&lt;T252-#REF!</formula>
    </cfRule>
  </conditionalFormatting>
  <conditionalFormatting sqref="R256:S260">
    <cfRule type="expression" dxfId="16137" priority="734">
      <formula>R256&lt;T256-#REF!</formula>
    </cfRule>
  </conditionalFormatting>
  <conditionalFormatting sqref="R303:S304">
    <cfRule type="expression" dxfId="16136" priority="629">
      <formula>R303&lt;T303-#REF!</formula>
    </cfRule>
  </conditionalFormatting>
  <conditionalFormatting sqref="R307:S311">
    <cfRule type="expression" dxfId="16135" priority="634">
      <formula>R307&lt;T307-#REF!</formula>
    </cfRule>
  </conditionalFormatting>
  <conditionalFormatting sqref="R320:S321">
    <cfRule type="expression" dxfId="16134" priority="580">
      <formula>R320&lt;T320-#REF!</formula>
    </cfRule>
  </conditionalFormatting>
  <conditionalFormatting sqref="R324:S328">
    <cfRule type="expression" dxfId="16133" priority="585">
      <formula>R324&lt;T324-#REF!</formula>
    </cfRule>
  </conditionalFormatting>
  <conditionalFormatting sqref="R337:S338">
    <cfRule type="expression" dxfId="16132" priority="531">
      <formula>R337&lt;T337-#REF!</formula>
    </cfRule>
  </conditionalFormatting>
  <conditionalFormatting sqref="R341:S345">
    <cfRule type="expression" dxfId="16131" priority="536">
      <formula>R341&lt;T341-#REF!</formula>
    </cfRule>
  </conditionalFormatting>
  <conditionalFormatting sqref="U35:U39">
    <cfRule type="expression" dxfId="16130" priority="1868">
      <formula>U35&gt;W35+#REF!</formula>
    </cfRule>
  </conditionalFormatting>
  <conditionalFormatting sqref="U103:U107">
    <cfRule type="expression" dxfId="16129" priority="1504">
      <formula>U103&gt;W103+#REF!</formula>
    </cfRule>
  </conditionalFormatting>
  <conditionalFormatting sqref="U205:U209">
    <cfRule type="expression" dxfId="16128" priority="1140">
      <formula>U205&gt;W205+#REF!</formula>
    </cfRule>
  </conditionalFormatting>
  <conditionalFormatting sqref="U239:U243">
    <cfRule type="expression" dxfId="16127" priority="958">
      <formula>U239&gt;W239+#REF!</formula>
    </cfRule>
  </conditionalFormatting>
  <conditionalFormatting sqref="U8:W23">
    <cfRule type="expression" dxfId="16126" priority="1967">
      <formula>U8&lt;W8*#REF!</formula>
    </cfRule>
    <cfRule type="expression" dxfId="16125" priority="1968">
      <formula>U8&gt;W8*#REF!</formula>
    </cfRule>
  </conditionalFormatting>
  <conditionalFormatting sqref="U25:W26">
    <cfRule type="expression" dxfId="16124" priority="1874">
      <formula>U25&lt;W25*#REF!</formula>
    </cfRule>
    <cfRule type="expression" dxfId="16123" priority="1875">
      <formula>U25&gt;W25*#REF!</formula>
    </cfRule>
  </conditionalFormatting>
  <conditionalFormatting sqref="U27:W29">
    <cfRule type="expression" dxfId="16122" priority="1876">
      <formula>U27&lt;W27-#REF!</formula>
    </cfRule>
  </conditionalFormatting>
  <conditionalFormatting sqref="U27:W34">
    <cfRule type="expression" dxfId="16121" priority="1866">
      <formula>U27&gt;W27+#REF!</formula>
    </cfRule>
  </conditionalFormatting>
  <conditionalFormatting sqref="U40:W40">
    <cfRule type="expression" dxfId="16120" priority="1873">
      <formula>U40&gt;W40*#REF!</formula>
    </cfRule>
  </conditionalFormatting>
  <conditionalFormatting sqref="U42:W43">
    <cfRule type="expression" dxfId="16119" priority="1783">
      <formula>U42&lt;W42*#REF!</formula>
    </cfRule>
    <cfRule type="expression" dxfId="16118" priority="1784">
      <formula>U42&gt;W42*#REF!</formula>
    </cfRule>
  </conditionalFormatting>
  <conditionalFormatting sqref="U44:W46">
    <cfRule type="expression" dxfId="16117" priority="1785">
      <formula>U44&lt;W44-#REF!</formula>
    </cfRule>
  </conditionalFormatting>
  <conditionalFormatting sqref="U44:W56">
    <cfRule type="expression" dxfId="16116" priority="1775">
      <formula>U44&gt;W44+#REF!</formula>
    </cfRule>
  </conditionalFormatting>
  <conditionalFormatting sqref="U57:W57">
    <cfRule type="expression" dxfId="16115" priority="1782">
      <formula>U57&gt;W57*#REF!</formula>
    </cfRule>
  </conditionalFormatting>
  <conditionalFormatting sqref="U76:W77">
    <cfRule type="expression" dxfId="16114" priority="1601">
      <formula>U76&lt;W76*#REF!</formula>
    </cfRule>
    <cfRule type="expression" dxfId="16113" priority="1602">
      <formula>U76&gt;W76*#REF!</formula>
    </cfRule>
  </conditionalFormatting>
  <conditionalFormatting sqref="U78:W80">
    <cfRule type="expression" dxfId="16112" priority="1603">
      <formula>U78&lt;W78-#REF!</formula>
    </cfRule>
  </conditionalFormatting>
  <conditionalFormatting sqref="U78:W90">
    <cfRule type="expression" dxfId="16111" priority="1593">
      <formula>U78&gt;W78+#REF!</formula>
    </cfRule>
  </conditionalFormatting>
  <conditionalFormatting sqref="U91:W91">
    <cfRule type="expression" dxfId="16110" priority="1600">
      <formula>U91&gt;W91*#REF!</formula>
    </cfRule>
  </conditionalFormatting>
  <conditionalFormatting sqref="U93:W94">
    <cfRule type="expression" dxfId="16109" priority="1510">
      <formula>U93&lt;W93*#REF!</formula>
    </cfRule>
    <cfRule type="expression" dxfId="16108" priority="1511">
      <formula>U93&gt;W93*#REF!</formula>
    </cfRule>
  </conditionalFormatting>
  <conditionalFormatting sqref="U95:W97">
    <cfRule type="expression" dxfId="16107" priority="1512">
      <formula>U95&lt;W95-#REF!</formula>
    </cfRule>
  </conditionalFormatting>
  <conditionalFormatting sqref="U95:W102">
    <cfRule type="expression" dxfId="16106" priority="1502">
      <formula>U95&gt;W95+#REF!</formula>
    </cfRule>
  </conditionalFormatting>
  <conditionalFormatting sqref="U108:W108">
    <cfRule type="expression" dxfId="16105" priority="1509">
      <formula>U108&gt;W108*#REF!</formula>
    </cfRule>
  </conditionalFormatting>
  <conditionalFormatting sqref="U178:W179">
    <cfRule type="expression" dxfId="16104" priority="1237">
      <formula>U178&lt;W178*#REF!</formula>
    </cfRule>
    <cfRule type="expression" dxfId="16103" priority="1238">
      <formula>U178&gt;W178*#REF!</formula>
    </cfRule>
  </conditionalFormatting>
  <conditionalFormatting sqref="U180:W182">
    <cfRule type="expression" dxfId="16102" priority="1239">
      <formula>U180&lt;W180-#REF!</formula>
    </cfRule>
  </conditionalFormatting>
  <conditionalFormatting sqref="U180:W192">
    <cfRule type="expression" dxfId="16101" priority="1229">
      <formula>U180&gt;W180+#REF!</formula>
    </cfRule>
  </conditionalFormatting>
  <conditionalFormatting sqref="U193:W193">
    <cfRule type="expression" dxfId="16100" priority="1236">
      <formula>U193&gt;W193*#REF!</formula>
    </cfRule>
  </conditionalFormatting>
  <conditionalFormatting sqref="U195:W196">
    <cfRule type="expression" dxfId="16099" priority="1146">
      <formula>U195&lt;W195*#REF!</formula>
    </cfRule>
    <cfRule type="expression" dxfId="16098" priority="1147">
      <formula>U195&gt;W195*#REF!</formula>
    </cfRule>
  </conditionalFormatting>
  <conditionalFormatting sqref="U197:W199">
    <cfRule type="expression" dxfId="16097" priority="1148">
      <formula>U197&lt;W197-#REF!</formula>
    </cfRule>
  </conditionalFormatting>
  <conditionalFormatting sqref="U197:W204">
    <cfRule type="expression" dxfId="16096" priority="1138">
      <formula>U197&gt;W197+#REF!</formula>
    </cfRule>
  </conditionalFormatting>
  <conditionalFormatting sqref="U210:W210">
    <cfRule type="expression" dxfId="16095" priority="1145">
      <formula>U210&gt;W210*#REF!</formula>
    </cfRule>
  </conditionalFormatting>
  <conditionalFormatting sqref="U212:W213">
    <cfRule type="expression" dxfId="16094" priority="1055">
      <formula>U212&lt;W212*#REF!</formula>
    </cfRule>
    <cfRule type="expression" dxfId="16093" priority="1056">
      <formula>U212&gt;W212*#REF!</formula>
    </cfRule>
  </conditionalFormatting>
  <conditionalFormatting sqref="U214:W216">
    <cfRule type="expression" dxfId="16092" priority="1057">
      <formula>U214&lt;W214-#REF!</formula>
    </cfRule>
  </conditionalFormatting>
  <conditionalFormatting sqref="U214:W226">
    <cfRule type="expression" dxfId="16091" priority="1047">
      <formula>U214&gt;W214+#REF!</formula>
    </cfRule>
  </conditionalFormatting>
  <conditionalFormatting sqref="U227:W227">
    <cfRule type="expression" dxfId="16090" priority="1054">
      <formula>U227&gt;W227*#REF!</formula>
    </cfRule>
  </conditionalFormatting>
  <conditionalFormatting sqref="U229:W230">
    <cfRule type="expression" dxfId="16089" priority="964">
      <formula>U229&lt;W229*#REF!</formula>
    </cfRule>
    <cfRule type="expression" dxfId="16088" priority="965">
      <formula>U229&gt;W229*#REF!</formula>
    </cfRule>
  </conditionalFormatting>
  <conditionalFormatting sqref="U231:W233">
    <cfRule type="expression" dxfId="16087" priority="966">
      <formula>U231&lt;W231-#REF!</formula>
    </cfRule>
  </conditionalFormatting>
  <conditionalFormatting sqref="U231:W238">
    <cfRule type="expression" dxfId="16086" priority="956">
      <formula>U231&gt;W231+#REF!</formula>
    </cfRule>
  </conditionalFormatting>
  <conditionalFormatting sqref="U244:W244">
    <cfRule type="expression" dxfId="16085" priority="963">
      <formula>U244&gt;W244*#REF!</formula>
    </cfRule>
  </conditionalFormatting>
  <conditionalFormatting sqref="U246:W247">
    <cfRule type="expression" dxfId="16084" priority="724">
      <formula>U246&lt;W246*#REF!</formula>
    </cfRule>
    <cfRule type="expression" dxfId="16083" priority="725">
      <formula>U246&gt;W246*#REF!</formula>
    </cfRule>
  </conditionalFormatting>
  <conditionalFormatting sqref="U248:W250">
    <cfRule type="expression" dxfId="16082" priority="726">
      <formula>U248&lt;W248-#REF!</formula>
    </cfRule>
  </conditionalFormatting>
  <conditionalFormatting sqref="U248:W260">
    <cfRule type="expression" dxfId="16081" priority="721">
      <formula>U248&gt;W248+#REF!</formula>
    </cfRule>
  </conditionalFormatting>
  <conditionalFormatting sqref="U261:W261">
    <cfRule type="expression" dxfId="16080" priority="723">
      <formula>U261&gt;W261*#REF!</formula>
    </cfRule>
  </conditionalFormatting>
  <conditionalFormatting sqref="U297:W298">
    <cfRule type="expression" dxfId="16079" priority="624">
      <formula>U297&lt;W297*#REF!</formula>
    </cfRule>
    <cfRule type="expression" dxfId="16078" priority="625">
      <formula>U297&gt;W297*#REF!</formula>
    </cfRule>
  </conditionalFormatting>
  <conditionalFormatting sqref="U299:W301">
    <cfRule type="expression" dxfId="16077" priority="626">
      <formula>U299&lt;W299-#REF!</formula>
    </cfRule>
  </conditionalFormatting>
  <conditionalFormatting sqref="U299:W311">
    <cfRule type="expression" dxfId="16076" priority="621">
      <formula>U299&gt;W299+#REF!</formula>
    </cfRule>
  </conditionalFormatting>
  <conditionalFormatting sqref="U312:W312">
    <cfRule type="expression" dxfId="16075" priority="623">
      <formula>U312&gt;W312*#REF!</formula>
    </cfRule>
  </conditionalFormatting>
  <conditionalFormatting sqref="U314:W315">
    <cfRule type="expression" dxfId="16074" priority="575">
      <formula>U314&lt;W314*#REF!</formula>
    </cfRule>
    <cfRule type="expression" dxfId="16073" priority="576">
      <formula>U314&gt;W314*#REF!</formula>
    </cfRule>
  </conditionalFormatting>
  <conditionalFormatting sqref="U316:W318">
    <cfRule type="expression" dxfId="16072" priority="577">
      <formula>U316&lt;W316-#REF!</formula>
    </cfRule>
  </conditionalFormatting>
  <conditionalFormatting sqref="U316:W328">
    <cfRule type="expression" dxfId="16071" priority="572">
      <formula>U316&gt;W316+#REF!</formula>
    </cfRule>
  </conditionalFormatting>
  <conditionalFormatting sqref="U329:W329">
    <cfRule type="expression" dxfId="16070" priority="574">
      <formula>U329&gt;W329*#REF!</formula>
    </cfRule>
  </conditionalFormatting>
  <conditionalFormatting sqref="U331:W332">
    <cfRule type="expression" dxfId="16069" priority="526">
      <formula>U331&lt;W331*#REF!</formula>
    </cfRule>
    <cfRule type="expression" dxfId="16068" priority="527">
      <formula>U331&gt;W331*#REF!</formula>
    </cfRule>
  </conditionalFormatting>
  <conditionalFormatting sqref="U333:W335">
    <cfRule type="expression" dxfId="16067" priority="528">
      <formula>U333&lt;W333-#REF!</formula>
    </cfRule>
  </conditionalFormatting>
  <conditionalFormatting sqref="U333:W345">
    <cfRule type="expression" dxfId="16066" priority="523">
      <formula>U333&gt;W333+#REF!</formula>
    </cfRule>
  </conditionalFormatting>
  <conditionalFormatting sqref="U346:W346">
    <cfRule type="expression" dxfId="16065" priority="525">
      <formula>U346&gt;W346*#REF!</formula>
    </cfRule>
  </conditionalFormatting>
  <conditionalFormatting sqref="V31:W32">
    <cfRule type="expression" dxfId="16064" priority="1867">
      <formula>V31&lt;X31-#REF!</formula>
    </cfRule>
  </conditionalFormatting>
  <conditionalFormatting sqref="V35:W39">
    <cfRule type="expression" dxfId="16063" priority="1865">
      <formula>V35&lt;X35-#REF!</formula>
    </cfRule>
  </conditionalFormatting>
  <conditionalFormatting sqref="V48:W49">
    <cfRule type="expression" dxfId="16062" priority="1776">
      <formula>V48&lt;X48-#REF!</formula>
    </cfRule>
  </conditionalFormatting>
  <conditionalFormatting sqref="V52:W56">
    <cfRule type="expression" dxfId="16061" priority="1774">
      <formula>V52&lt;X52-#REF!</formula>
    </cfRule>
  </conditionalFormatting>
  <conditionalFormatting sqref="V82:W83">
    <cfRule type="expression" dxfId="16060" priority="1594">
      <formula>V82&lt;X82-#REF!</formula>
    </cfRule>
  </conditionalFormatting>
  <conditionalFormatting sqref="V86:W90">
    <cfRule type="expression" dxfId="16059" priority="1592">
      <formula>V86&lt;X86-#REF!</formula>
    </cfRule>
  </conditionalFormatting>
  <conditionalFormatting sqref="V99:W100">
    <cfRule type="expression" dxfId="16058" priority="1503">
      <formula>V99&lt;X99-#REF!</formula>
    </cfRule>
  </conditionalFormatting>
  <conditionalFormatting sqref="V103:W107">
    <cfRule type="expression" dxfId="16057" priority="1501">
      <formula>V103&lt;X103-#REF!</formula>
    </cfRule>
  </conditionalFormatting>
  <conditionalFormatting sqref="V184:W185">
    <cfRule type="expression" dxfId="16056" priority="1230">
      <formula>V184&lt;X184-#REF!</formula>
    </cfRule>
  </conditionalFormatting>
  <conditionalFormatting sqref="V188:W192">
    <cfRule type="expression" dxfId="16055" priority="1228">
      <formula>V188&lt;X188-#REF!</formula>
    </cfRule>
  </conditionalFormatting>
  <conditionalFormatting sqref="V201:W202">
    <cfRule type="expression" dxfId="16054" priority="1139">
      <formula>V201&lt;X201-#REF!</formula>
    </cfRule>
  </conditionalFormatting>
  <conditionalFormatting sqref="V205:W209">
    <cfRule type="expression" dxfId="16053" priority="1137">
      <formula>V205&lt;X205-#REF!</formula>
    </cfRule>
  </conditionalFormatting>
  <conditionalFormatting sqref="V218:W219">
    <cfRule type="expression" dxfId="16052" priority="1048">
      <formula>V218&lt;X218-#REF!</formula>
    </cfRule>
  </conditionalFormatting>
  <conditionalFormatting sqref="V222:W226">
    <cfRule type="expression" dxfId="16051" priority="1046">
      <formula>V222&lt;X222-#REF!</formula>
    </cfRule>
  </conditionalFormatting>
  <conditionalFormatting sqref="V235:W236">
    <cfRule type="expression" dxfId="16050" priority="957">
      <formula>V235&lt;X235-#REF!</formula>
    </cfRule>
  </conditionalFormatting>
  <conditionalFormatting sqref="V239:W243">
    <cfRule type="expression" dxfId="16049" priority="955">
      <formula>V239&lt;X239-#REF!</formula>
    </cfRule>
  </conditionalFormatting>
  <conditionalFormatting sqref="V252:W253">
    <cfRule type="expression" dxfId="16048" priority="722">
      <formula>V252&lt;X252-#REF!</formula>
    </cfRule>
  </conditionalFormatting>
  <conditionalFormatting sqref="V256:W260">
    <cfRule type="expression" dxfId="16047" priority="727">
      <formula>V256&lt;X256-#REF!</formula>
    </cfRule>
  </conditionalFormatting>
  <conditionalFormatting sqref="V303:W304">
    <cfRule type="expression" dxfId="16046" priority="622">
      <formula>V303&lt;X303-#REF!</formula>
    </cfRule>
  </conditionalFormatting>
  <conditionalFormatting sqref="V307:W311">
    <cfRule type="expression" dxfId="16045" priority="627">
      <formula>V307&lt;X307-#REF!</formula>
    </cfRule>
  </conditionalFormatting>
  <conditionalFormatting sqref="V320:W321">
    <cfRule type="expression" dxfId="16044" priority="573">
      <formula>V320&lt;X320-#REF!</formula>
    </cfRule>
  </conditionalFormatting>
  <conditionalFormatting sqref="V324:W328">
    <cfRule type="expression" dxfId="16043" priority="578">
      <formula>V324&lt;X324-#REF!</formula>
    </cfRule>
  </conditionalFormatting>
  <conditionalFormatting sqref="V337:W338">
    <cfRule type="expression" dxfId="16042" priority="524">
      <formula>V337&lt;X337-#REF!</formula>
    </cfRule>
  </conditionalFormatting>
  <conditionalFormatting sqref="V341:W345">
    <cfRule type="expression" dxfId="16041" priority="529">
      <formula>V341&lt;X341-#REF!</formula>
    </cfRule>
  </conditionalFormatting>
  <conditionalFormatting sqref="Y52:Y56">
    <cfRule type="expression" dxfId="16040" priority="1765">
      <formula>Y52&gt;AA52+#REF!</formula>
    </cfRule>
  </conditionalFormatting>
  <conditionalFormatting sqref="Y188:Y192">
    <cfRule type="expression" dxfId="16039" priority="1219">
      <formula>Y188&gt;AA188+#REF!</formula>
    </cfRule>
  </conditionalFormatting>
  <conditionalFormatting sqref="Y222:Y226">
    <cfRule type="expression" dxfId="16038" priority="1037">
      <formula>Y222&gt;AA222+#REF!</formula>
    </cfRule>
  </conditionalFormatting>
  <conditionalFormatting sqref="Y8:AA23">
    <cfRule type="expression" dxfId="16037" priority="1954">
      <formula>Y8&lt;AA8*#REF!</formula>
    </cfRule>
    <cfRule type="expression" dxfId="16036" priority="1955">
      <formula>Y8&gt;AA8*#REF!</formula>
    </cfRule>
  </conditionalFormatting>
  <conditionalFormatting sqref="Y25:AA26">
    <cfRule type="expression" dxfId="16035" priority="1862">
      <formula>Y25&lt;AA25*#REF!</formula>
    </cfRule>
    <cfRule type="expression" dxfId="16034" priority="1863">
      <formula>Y25&gt;AA25*#REF!</formula>
    </cfRule>
  </conditionalFormatting>
  <conditionalFormatting sqref="Y27:AA29">
    <cfRule type="expression" dxfId="16033" priority="1864">
      <formula>Y27&lt;AA27-#REF!</formula>
    </cfRule>
  </conditionalFormatting>
  <conditionalFormatting sqref="Y27:AA39">
    <cfRule type="expression" dxfId="16032" priority="1854">
      <formula>Y27&gt;AA27+#REF!</formula>
    </cfRule>
  </conditionalFormatting>
  <conditionalFormatting sqref="Y40:AA40">
    <cfRule type="expression" dxfId="16031" priority="1861">
      <formula>Y40&gt;AA40*#REF!</formula>
    </cfRule>
  </conditionalFormatting>
  <conditionalFormatting sqref="Y42:AA43">
    <cfRule type="expression" dxfId="16030" priority="1771">
      <formula>Y42&lt;AA42*#REF!</formula>
    </cfRule>
    <cfRule type="expression" dxfId="16029" priority="1772">
      <formula>Y42&gt;AA42*#REF!</formula>
    </cfRule>
  </conditionalFormatting>
  <conditionalFormatting sqref="Y44:AA46">
    <cfRule type="expression" dxfId="16028" priority="1773">
      <formula>Y44&lt;AA44-#REF!</formula>
    </cfRule>
  </conditionalFormatting>
  <conditionalFormatting sqref="Y44:AA51">
    <cfRule type="expression" dxfId="16027" priority="1763">
      <formula>Y44&gt;AA44+#REF!</formula>
    </cfRule>
  </conditionalFormatting>
  <conditionalFormatting sqref="Y57:AA57">
    <cfRule type="expression" dxfId="16026" priority="1770">
      <formula>Y57&gt;AA57*#REF!</formula>
    </cfRule>
  </conditionalFormatting>
  <conditionalFormatting sqref="Y76:AA77">
    <cfRule type="expression" dxfId="16025" priority="1589">
      <formula>Y76&lt;AA76*#REF!</formula>
    </cfRule>
    <cfRule type="expression" dxfId="16024" priority="1590">
      <formula>Y76&gt;AA76*#REF!</formula>
    </cfRule>
  </conditionalFormatting>
  <conditionalFormatting sqref="Y78:AA79">
    <cfRule type="expression" dxfId="16023" priority="1591">
      <formula>Y78&lt;AA78-#REF!</formula>
    </cfRule>
  </conditionalFormatting>
  <conditionalFormatting sqref="Y78:AA79">
    <cfRule type="expression" dxfId="16022" priority="1581">
      <formula>Y78&gt;AA78+#REF!</formula>
    </cfRule>
  </conditionalFormatting>
  <conditionalFormatting sqref="Y93:AA94">
    <cfRule type="expression" dxfId="16021" priority="1498">
      <formula>Y93&lt;AA93*#REF!</formula>
    </cfRule>
    <cfRule type="expression" dxfId="16020" priority="1499">
      <formula>Y93&gt;AA93*#REF!</formula>
    </cfRule>
  </conditionalFormatting>
  <conditionalFormatting sqref="Y95:AA97">
    <cfRule type="expression" dxfId="16019" priority="1500">
      <formula>Y95&lt;AA95-#REF!</formula>
    </cfRule>
  </conditionalFormatting>
  <conditionalFormatting sqref="Y95:AA107">
    <cfRule type="expression" dxfId="16018" priority="1490">
      <formula>Y95&gt;AA95+#REF!</formula>
    </cfRule>
  </conditionalFormatting>
  <conditionalFormatting sqref="Y108:AA108">
    <cfRule type="expression" dxfId="16017" priority="1497">
      <formula>Y108&gt;AA108*#REF!</formula>
    </cfRule>
  </conditionalFormatting>
  <conditionalFormatting sqref="Y178:AA179">
    <cfRule type="expression" dxfId="16016" priority="1225">
      <formula>Y178&lt;AA178*#REF!</formula>
    </cfRule>
    <cfRule type="expression" dxfId="16015" priority="1226">
      <formula>Y178&gt;AA178*#REF!</formula>
    </cfRule>
  </conditionalFormatting>
  <conditionalFormatting sqref="Y180:AA182">
    <cfRule type="expression" dxfId="16014" priority="1227">
      <formula>Y180&lt;AA180-#REF!</formula>
    </cfRule>
  </conditionalFormatting>
  <conditionalFormatting sqref="Y180:AA187">
    <cfRule type="expression" dxfId="16013" priority="1217">
      <formula>Y180&gt;AA180+#REF!</formula>
    </cfRule>
  </conditionalFormatting>
  <conditionalFormatting sqref="Y193:AA193">
    <cfRule type="expression" dxfId="16012" priority="1224">
      <formula>Y193&gt;AA193*#REF!</formula>
    </cfRule>
  </conditionalFormatting>
  <conditionalFormatting sqref="Y195:AA196">
    <cfRule type="expression" dxfId="16011" priority="1134">
      <formula>Y195&lt;AA195*#REF!</formula>
    </cfRule>
    <cfRule type="expression" dxfId="16010" priority="1135">
      <formula>Y195&gt;AA195*#REF!</formula>
    </cfRule>
  </conditionalFormatting>
  <conditionalFormatting sqref="Y197:AA199">
    <cfRule type="expression" dxfId="16009" priority="1136">
      <formula>Y197&lt;AA197-#REF!</formula>
    </cfRule>
  </conditionalFormatting>
  <conditionalFormatting sqref="Y197:AA209">
    <cfRule type="expression" dxfId="16008" priority="1126">
      <formula>Y197&gt;AA197+#REF!</formula>
    </cfRule>
  </conditionalFormatting>
  <conditionalFormatting sqref="Y210:AA210">
    <cfRule type="expression" dxfId="16007" priority="1133">
      <formula>Y210&gt;AA210*#REF!</formula>
    </cfRule>
  </conditionalFormatting>
  <conditionalFormatting sqref="Y212:AA213">
    <cfRule type="expression" dxfId="16006" priority="1043">
      <formula>Y212&lt;AA212*#REF!</formula>
    </cfRule>
    <cfRule type="expression" dxfId="16005" priority="1044">
      <formula>Y212&gt;AA212*#REF!</formula>
    </cfRule>
  </conditionalFormatting>
  <conditionalFormatting sqref="Y214:AA216">
    <cfRule type="expression" dxfId="16004" priority="1045">
      <formula>Y214&lt;AA214-#REF!</formula>
    </cfRule>
  </conditionalFormatting>
  <conditionalFormatting sqref="Y214:AA221">
    <cfRule type="expression" dxfId="16003" priority="1035">
      <formula>Y214&gt;AA214+#REF!</formula>
    </cfRule>
  </conditionalFormatting>
  <conditionalFormatting sqref="Y227:AA227">
    <cfRule type="expression" dxfId="16002" priority="1042">
      <formula>Y227&gt;AA227*#REF!</formula>
    </cfRule>
  </conditionalFormatting>
  <conditionalFormatting sqref="Y229:AA230">
    <cfRule type="expression" dxfId="16001" priority="952">
      <formula>Y229&lt;AA229*#REF!</formula>
    </cfRule>
    <cfRule type="expression" dxfId="16000" priority="953">
      <formula>Y229&gt;AA229*#REF!</formula>
    </cfRule>
  </conditionalFormatting>
  <conditionalFormatting sqref="Y231:AA233">
    <cfRule type="expression" dxfId="15999" priority="954">
      <formula>Y231&lt;AA231-#REF!</formula>
    </cfRule>
  </conditionalFormatting>
  <conditionalFormatting sqref="Y231:AA243">
    <cfRule type="expression" dxfId="15998" priority="944">
      <formula>Y231&gt;AA231+#REF!</formula>
    </cfRule>
  </conditionalFormatting>
  <conditionalFormatting sqref="Y244:AA244">
    <cfRule type="expression" dxfId="15997" priority="951">
      <formula>Y244&gt;AA244*#REF!</formula>
    </cfRule>
  </conditionalFormatting>
  <conditionalFormatting sqref="Y246:AA247">
    <cfRule type="expression" dxfId="15996" priority="715">
      <formula>Y246&lt;AA246*#REF!</formula>
    </cfRule>
    <cfRule type="expression" dxfId="15995" priority="716">
      <formula>Y246&gt;AA246*#REF!</formula>
    </cfRule>
  </conditionalFormatting>
  <conditionalFormatting sqref="Y248:AA250">
    <cfRule type="expression" dxfId="15994" priority="717">
      <formula>Y248&lt;AA248-#REF!</formula>
    </cfRule>
  </conditionalFormatting>
  <conditionalFormatting sqref="Y248:AA260">
    <cfRule type="expression" dxfId="15993" priority="712">
      <formula>Y248&gt;AA248+#REF!</formula>
    </cfRule>
  </conditionalFormatting>
  <conditionalFormatting sqref="Y261:AA261">
    <cfRule type="expression" dxfId="15992" priority="714">
      <formula>Y261&gt;AA261*#REF!</formula>
    </cfRule>
  </conditionalFormatting>
  <conditionalFormatting sqref="Y297:AA298">
    <cfRule type="expression" dxfId="15991" priority="617">
      <formula>Y297&lt;AA297*#REF!</formula>
    </cfRule>
    <cfRule type="expression" dxfId="15990" priority="618">
      <formula>Y297&gt;AA297*#REF!</formula>
    </cfRule>
  </conditionalFormatting>
  <conditionalFormatting sqref="Y299:AA301">
    <cfRule type="expression" dxfId="15989" priority="619">
      <formula>Y299&lt;AA299-#REF!</formula>
    </cfRule>
  </conditionalFormatting>
  <conditionalFormatting sqref="Y299:AA311">
    <cfRule type="expression" dxfId="15988" priority="614">
      <formula>Y299&gt;AA299+#REF!</formula>
    </cfRule>
  </conditionalFormatting>
  <conditionalFormatting sqref="Y312:AA312">
    <cfRule type="expression" dxfId="15987" priority="616">
      <formula>Y312&gt;AA312*#REF!</formula>
    </cfRule>
  </conditionalFormatting>
  <conditionalFormatting sqref="Y314:AA315">
    <cfRule type="expression" dxfId="15986" priority="568">
      <formula>Y314&lt;AA314*#REF!</formula>
    </cfRule>
    <cfRule type="expression" dxfId="15985" priority="569">
      <formula>Y314&gt;AA314*#REF!</formula>
    </cfRule>
  </conditionalFormatting>
  <conditionalFormatting sqref="Y316:AA318">
    <cfRule type="expression" dxfId="15984" priority="570">
      <formula>Y316&lt;AA316-#REF!</formula>
    </cfRule>
  </conditionalFormatting>
  <conditionalFormatting sqref="Y316:AA328">
    <cfRule type="expression" dxfId="15983" priority="565">
      <formula>Y316&gt;AA316+#REF!</formula>
    </cfRule>
  </conditionalFormatting>
  <conditionalFormatting sqref="Y329:AA329">
    <cfRule type="expression" dxfId="15982" priority="567">
      <formula>Y329&gt;AA329*#REF!</formula>
    </cfRule>
  </conditionalFormatting>
  <conditionalFormatting sqref="Y331:AA332">
    <cfRule type="expression" dxfId="15981" priority="519">
      <formula>Y331&lt;AA331*#REF!</formula>
    </cfRule>
    <cfRule type="expression" dxfId="15980" priority="520">
      <formula>Y331&gt;AA331*#REF!</formula>
    </cfRule>
  </conditionalFormatting>
  <conditionalFormatting sqref="Y333:AA335">
    <cfRule type="expression" dxfId="15979" priority="521">
      <formula>Y333&lt;AA333-#REF!</formula>
    </cfRule>
  </conditionalFormatting>
  <conditionalFormatting sqref="Y333:AA345">
    <cfRule type="expression" dxfId="15978" priority="516">
      <formula>Y333&gt;AA333+#REF!</formula>
    </cfRule>
  </conditionalFormatting>
  <conditionalFormatting sqref="Y346:AA346">
    <cfRule type="expression" dxfId="15977" priority="518">
      <formula>Y346&gt;AA346*#REF!</formula>
    </cfRule>
  </conditionalFormatting>
  <conditionalFormatting sqref="Z31:AA32">
    <cfRule type="expression" dxfId="15976" priority="1855">
      <formula>Z31&lt;AB31-#REF!</formula>
    </cfRule>
  </conditionalFormatting>
  <conditionalFormatting sqref="Z35:AA39">
    <cfRule type="expression" dxfId="15975" priority="1853">
      <formula>Z35&lt;AB35-#REF!</formula>
    </cfRule>
  </conditionalFormatting>
  <conditionalFormatting sqref="Z48:AA49">
    <cfRule type="expression" dxfId="15974" priority="1764">
      <formula>Z48&lt;AB48-#REF!</formula>
    </cfRule>
  </conditionalFormatting>
  <conditionalFormatting sqref="Z52:AA56">
    <cfRule type="expression" dxfId="15973" priority="1762">
      <formula>Z52&lt;AB52-#REF!</formula>
    </cfRule>
  </conditionalFormatting>
  <conditionalFormatting sqref="Z99:AA100">
    <cfRule type="expression" dxfId="15972" priority="1491">
      <formula>Z99&lt;AB99-#REF!</formula>
    </cfRule>
  </conditionalFormatting>
  <conditionalFormatting sqref="Z103:AA107">
    <cfRule type="expression" dxfId="15971" priority="1489">
      <formula>Z103&lt;AB103-#REF!</formula>
    </cfRule>
  </conditionalFormatting>
  <conditionalFormatting sqref="Z184:AA185">
    <cfRule type="expression" dxfId="15970" priority="1218">
      <formula>Z184&lt;AB184-#REF!</formula>
    </cfRule>
  </conditionalFormatting>
  <conditionalFormatting sqref="Z188:AA192">
    <cfRule type="expression" dxfId="15969" priority="1216">
      <formula>Z188&lt;AB188-#REF!</formula>
    </cfRule>
  </conditionalFormatting>
  <conditionalFormatting sqref="Z201:AA202">
    <cfRule type="expression" dxfId="15968" priority="1127">
      <formula>Z201&lt;AB201-#REF!</formula>
    </cfRule>
  </conditionalFormatting>
  <conditionalFormatting sqref="Z205:AA209">
    <cfRule type="expression" dxfId="15967" priority="1125">
      <formula>Z205&lt;AB205-#REF!</formula>
    </cfRule>
  </conditionalFormatting>
  <conditionalFormatting sqref="Z218:AA219">
    <cfRule type="expression" dxfId="15966" priority="1036">
      <formula>Z218&lt;AB218-#REF!</formula>
    </cfRule>
  </conditionalFormatting>
  <conditionalFormatting sqref="Z222:AA226">
    <cfRule type="expression" dxfId="15965" priority="1034">
      <formula>Z222&lt;AB222-#REF!</formula>
    </cfRule>
  </conditionalFormatting>
  <conditionalFormatting sqref="Z235:AA236">
    <cfRule type="expression" dxfId="15964" priority="945">
      <formula>Z235&lt;AB235-#REF!</formula>
    </cfRule>
  </conditionalFormatting>
  <conditionalFormatting sqref="Z239:AA243">
    <cfRule type="expression" dxfId="15963" priority="943">
      <formula>Z239&lt;AB239-#REF!</formula>
    </cfRule>
  </conditionalFormatting>
  <conditionalFormatting sqref="Z252:AA253">
    <cfRule type="expression" dxfId="15962" priority="713">
      <formula>Z252&lt;AB252-#REF!</formula>
    </cfRule>
  </conditionalFormatting>
  <conditionalFormatting sqref="Z256:AA260">
    <cfRule type="expression" dxfId="15961" priority="718">
      <formula>Z256&lt;AB256-#REF!</formula>
    </cfRule>
  </conditionalFormatting>
  <conditionalFormatting sqref="Z303:AA304">
    <cfRule type="expression" dxfId="15960" priority="615">
      <formula>Z303&lt;AB303-#REF!</formula>
    </cfRule>
  </conditionalFormatting>
  <conditionalFormatting sqref="Z307:AA311">
    <cfRule type="expression" dxfId="15959" priority="620">
      <formula>Z307&lt;AB307-#REF!</formula>
    </cfRule>
  </conditionalFormatting>
  <conditionalFormatting sqref="Z320:AA321">
    <cfRule type="expression" dxfId="15958" priority="566">
      <formula>Z320&lt;AB320-#REF!</formula>
    </cfRule>
  </conditionalFormatting>
  <conditionalFormatting sqref="Z324:AA328">
    <cfRule type="expression" dxfId="15957" priority="571">
      <formula>Z324&lt;AB324-#REF!</formula>
    </cfRule>
  </conditionalFormatting>
  <conditionalFormatting sqref="Z337:AA338">
    <cfRule type="expression" dxfId="15956" priority="517">
      <formula>Z337&lt;AB337-#REF!</formula>
    </cfRule>
  </conditionalFormatting>
  <conditionalFormatting sqref="Z341:AA345">
    <cfRule type="expression" dxfId="15955" priority="522">
      <formula>Z341&lt;AB341-#REF!</formula>
    </cfRule>
  </conditionalFormatting>
  <conditionalFormatting sqref="AC239:AC243">
    <cfRule type="expression" dxfId="15954" priority="934">
      <formula>AC239&gt;AE239+#REF!</formula>
    </cfRule>
  </conditionalFormatting>
  <conditionalFormatting sqref="E127:G128">
    <cfRule type="expression" dxfId="15953" priority="426">
      <formula>E127&lt;G127*#REF!</formula>
    </cfRule>
    <cfRule type="expression" dxfId="15952" priority="427">
      <formula>E127&gt;G127*#REF!</formula>
    </cfRule>
  </conditionalFormatting>
  <conditionalFormatting sqref="E129:G131">
    <cfRule type="expression" dxfId="15951" priority="428">
      <formula>E129&lt;G129-#REF!</formula>
    </cfRule>
  </conditionalFormatting>
  <conditionalFormatting sqref="E129:G141">
    <cfRule type="expression" dxfId="15950" priority="423">
      <formula>E129&gt;G129+#REF!</formula>
    </cfRule>
  </conditionalFormatting>
  <conditionalFormatting sqref="E142:G142">
    <cfRule type="expression" dxfId="15949" priority="425">
      <formula>E142&gt;G142*#REF!</formula>
    </cfRule>
  </conditionalFormatting>
  <conditionalFormatting sqref="F133:G134">
    <cfRule type="expression" dxfId="15948" priority="424">
      <formula>F133&lt;H133-#REF!</formula>
    </cfRule>
  </conditionalFormatting>
  <conditionalFormatting sqref="F137:G141">
    <cfRule type="expression" dxfId="15947" priority="422">
      <formula>F137&lt;H137-#REF!</formula>
    </cfRule>
  </conditionalFormatting>
  <conditionalFormatting sqref="I137:I141">
    <cfRule type="expression" dxfId="15946" priority="417">
      <formula>I137&gt;K137+#REF!</formula>
    </cfRule>
  </conditionalFormatting>
  <conditionalFormatting sqref="I127:K128">
    <cfRule type="expression" dxfId="15945" priority="419">
      <formula>I127&lt;K127*#REF!</formula>
    </cfRule>
    <cfRule type="expression" dxfId="15944" priority="420">
      <formula>I127&gt;K127*#REF!</formula>
    </cfRule>
  </conditionalFormatting>
  <conditionalFormatting sqref="I129:K131">
    <cfRule type="expression" dxfId="15943" priority="421">
      <formula>I129&lt;K129-#REF!</formula>
    </cfRule>
  </conditionalFormatting>
  <conditionalFormatting sqref="I129:K136">
    <cfRule type="expression" dxfId="15942" priority="415">
      <formula>I129&gt;K129+#REF!</formula>
    </cfRule>
  </conditionalFormatting>
  <conditionalFormatting sqref="I142:K142">
    <cfRule type="expression" dxfId="15941" priority="418">
      <formula>I142&gt;K142*#REF!</formula>
    </cfRule>
  </conditionalFormatting>
  <conditionalFormatting sqref="J133:K134">
    <cfRule type="expression" dxfId="15940" priority="416">
      <formula>J133&lt;L133-#REF!</formula>
    </cfRule>
  </conditionalFormatting>
  <conditionalFormatting sqref="J137:K141">
    <cfRule type="expression" dxfId="15939" priority="414">
      <formula>J137&lt;L137-#REF!</formula>
    </cfRule>
  </conditionalFormatting>
  <conditionalFormatting sqref="M127:O128">
    <cfRule type="expression" dxfId="15938" priority="411">
      <formula>M127&lt;O127*#REF!</formula>
    </cfRule>
    <cfRule type="expression" dxfId="15937" priority="412">
      <formula>M127&gt;O127*#REF!</formula>
    </cfRule>
  </conditionalFormatting>
  <conditionalFormatting sqref="M129:O131">
    <cfRule type="expression" dxfId="15936" priority="413">
      <formula>M129&lt;O129-#REF!</formula>
    </cfRule>
  </conditionalFormatting>
  <conditionalFormatting sqref="M129:O141">
    <cfRule type="expression" dxfId="15935" priority="408">
      <formula>M129&gt;O129+#REF!</formula>
    </cfRule>
  </conditionalFormatting>
  <conditionalFormatting sqref="M142:O142">
    <cfRule type="expression" dxfId="15934" priority="410">
      <formula>M142&gt;O142*#REF!</formula>
    </cfRule>
  </conditionalFormatting>
  <conditionalFormatting sqref="N133:O134">
    <cfRule type="expression" dxfId="15933" priority="409">
      <formula>N133&lt;P133-#REF!</formula>
    </cfRule>
  </conditionalFormatting>
  <conditionalFormatting sqref="N137:O141">
    <cfRule type="expression" dxfId="15932" priority="429">
      <formula>N137&lt;P137-#REF!</formula>
    </cfRule>
  </conditionalFormatting>
  <conditionalFormatting sqref="Q127:S128">
    <cfRule type="expression" dxfId="15931" priority="405">
      <formula>Q127&lt;S127*#REF!</formula>
    </cfRule>
    <cfRule type="expression" dxfId="15930" priority="406">
      <formula>Q127&gt;S127*#REF!</formula>
    </cfRule>
  </conditionalFormatting>
  <conditionalFormatting sqref="Q129:S131">
    <cfRule type="expression" dxfId="15929" priority="407">
      <formula>Q129&lt;S129-#REF!</formula>
    </cfRule>
  </conditionalFormatting>
  <conditionalFormatting sqref="Q129:S141">
    <cfRule type="expression" dxfId="15928" priority="402">
      <formula>Q129&gt;S129+#REF!</formula>
    </cfRule>
  </conditionalFormatting>
  <conditionalFormatting sqref="Q142:S142">
    <cfRule type="expression" dxfId="15927" priority="404">
      <formula>Q142&gt;S142*#REF!</formula>
    </cfRule>
  </conditionalFormatting>
  <conditionalFormatting sqref="R133:S134">
    <cfRule type="expression" dxfId="15926" priority="403">
      <formula>R133&lt;T133-#REF!</formula>
    </cfRule>
  </conditionalFormatting>
  <conditionalFormatting sqref="U127:W128">
    <cfRule type="expression" dxfId="15925" priority="399">
      <formula>U127&lt;W127*#REF!</formula>
    </cfRule>
    <cfRule type="expression" dxfId="15924" priority="400">
      <formula>U127&gt;W127*#REF!</formula>
    </cfRule>
  </conditionalFormatting>
  <conditionalFormatting sqref="U129:W131">
    <cfRule type="expression" dxfId="15923" priority="401">
      <formula>U129&lt;W129-#REF!</formula>
    </cfRule>
  </conditionalFormatting>
  <conditionalFormatting sqref="U129:W141">
    <cfRule type="expression" dxfId="15922" priority="396">
      <formula>U129&gt;W129+#REF!</formula>
    </cfRule>
  </conditionalFormatting>
  <conditionalFormatting sqref="U142:W142">
    <cfRule type="expression" dxfId="15921" priority="398">
      <formula>U142&gt;W142*#REF!</formula>
    </cfRule>
  </conditionalFormatting>
  <conditionalFormatting sqref="V133:W134">
    <cfRule type="expression" dxfId="15920" priority="397">
      <formula>V133&lt;X133-#REF!</formula>
    </cfRule>
  </conditionalFormatting>
  <conditionalFormatting sqref="V137:W141">
    <cfRule type="expression" dxfId="15919" priority="395">
      <formula>V137&lt;X137-#REF!</formula>
    </cfRule>
  </conditionalFormatting>
  <conditionalFormatting sqref="Y137:Y141">
    <cfRule type="expression" dxfId="15918" priority="390">
      <formula>Y137&gt;AA137+#REF!</formula>
    </cfRule>
  </conditionalFormatting>
  <conditionalFormatting sqref="Y127:AA128">
    <cfRule type="expression" dxfId="15917" priority="392">
      <formula>Y127&lt;AA127*#REF!</formula>
    </cfRule>
    <cfRule type="expression" dxfId="15916" priority="393">
      <formula>Y127&gt;AA127*#REF!</formula>
    </cfRule>
  </conditionalFormatting>
  <conditionalFormatting sqref="Y129:AA131">
    <cfRule type="expression" dxfId="15915" priority="394">
      <formula>Y129&lt;AA129-#REF!</formula>
    </cfRule>
  </conditionalFormatting>
  <conditionalFormatting sqref="Y129:AA136">
    <cfRule type="expression" dxfId="15914" priority="388">
      <formula>Y129&gt;AA129+#REF!</formula>
    </cfRule>
  </conditionalFormatting>
  <conditionalFormatting sqref="Y142:AA142">
    <cfRule type="expression" dxfId="15913" priority="391">
      <formula>Y142&gt;AA142*#REF!</formula>
    </cfRule>
  </conditionalFormatting>
  <conditionalFormatting sqref="Z133:AA134">
    <cfRule type="expression" dxfId="15912" priority="389">
      <formula>Z133&lt;AB133-#REF!</formula>
    </cfRule>
  </conditionalFormatting>
  <conditionalFormatting sqref="Z137:AA141">
    <cfRule type="expression" dxfId="15911" priority="387">
      <formula>Z137&lt;AB137-#REF!</formula>
    </cfRule>
  </conditionalFormatting>
  <conditionalFormatting sqref="E144:G145">
    <cfRule type="expression" dxfId="15910" priority="376">
      <formula>E144&lt;G144*#REF!</formula>
    </cfRule>
    <cfRule type="expression" dxfId="15909" priority="377">
      <formula>E144&gt;G144*#REF!</formula>
    </cfRule>
  </conditionalFormatting>
  <conditionalFormatting sqref="E146:G148">
    <cfRule type="expression" dxfId="15908" priority="378">
      <formula>E146&lt;G146-#REF!</formula>
    </cfRule>
  </conditionalFormatting>
  <conditionalFormatting sqref="E146:G158">
    <cfRule type="expression" dxfId="15907" priority="373">
      <formula>E146&gt;G146+#REF!</formula>
    </cfRule>
  </conditionalFormatting>
  <conditionalFormatting sqref="E159:G159">
    <cfRule type="expression" dxfId="15906" priority="375">
      <formula>E159&gt;G159*#REF!</formula>
    </cfRule>
  </conditionalFormatting>
  <conditionalFormatting sqref="F150:G151">
    <cfRule type="expression" dxfId="15905" priority="374">
      <formula>F150&lt;H150-#REF!</formula>
    </cfRule>
  </conditionalFormatting>
  <conditionalFormatting sqref="F154:G158">
    <cfRule type="expression" dxfId="15904" priority="372">
      <formula>F154&lt;H154-#REF!</formula>
    </cfRule>
  </conditionalFormatting>
  <conditionalFormatting sqref="I154:I158">
    <cfRule type="expression" dxfId="15903" priority="367">
      <formula>I154&gt;K154+#REF!</formula>
    </cfRule>
  </conditionalFormatting>
  <conditionalFormatting sqref="I144:K145">
    <cfRule type="expression" dxfId="15902" priority="369">
      <formula>I144&lt;K144*#REF!</formula>
    </cfRule>
    <cfRule type="expression" dxfId="15901" priority="370">
      <formula>I144&gt;K144*#REF!</formula>
    </cfRule>
  </conditionalFormatting>
  <conditionalFormatting sqref="I146:K148">
    <cfRule type="expression" dxfId="15900" priority="371">
      <formula>I146&lt;K146-#REF!</formula>
    </cfRule>
  </conditionalFormatting>
  <conditionalFormatting sqref="I146:K153">
    <cfRule type="expression" dxfId="15899" priority="365">
      <formula>I146&gt;K146+#REF!</formula>
    </cfRule>
  </conditionalFormatting>
  <conditionalFormatting sqref="I159:K159">
    <cfRule type="expression" dxfId="15898" priority="368">
      <formula>I159&gt;K159*#REF!</formula>
    </cfRule>
  </conditionalFormatting>
  <conditionalFormatting sqref="J150:K151">
    <cfRule type="expression" dxfId="15897" priority="366">
      <formula>J150&lt;L150-#REF!</formula>
    </cfRule>
  </conditionalFormatting>
  <conditionalFormatting sqref="J154:K158">
    <cfRule type="expression" dxfId="15896" priority="364">
      <formula>J154&lt;L154-#REF!</formula>
    </cfRule>
  </conditionalFormatting>
  <conditionalFormatting sqref="M144:O145">
    <cfRule type="expression" dxfId="15895" priority="361">
      <formula>M144&lt;O144*#REF!</formula>
    </cfRule>
    <cfRule type="expression" dxfId="15894" priority="362">
      <formula>M144&gt;O144*#REF!</formula>
    </cfRule>
  </conditionalFormatting>
  <conditionalFormatting sqref="M146:O148">
    <cfRule type="expression" dxfId="15893" priority="363">
      <formula>M146&lt;O146-#REF!</formula>
    </cfRule>
  </conditionalFormatting>
  <conditionalFormatting sqref="M146:O158">
    <cfRule type="expression" dxfId="15892" priority="358">
      <formula>M146&gt;O146+#REF!</formula>
    </cfRule>
  </conditionalFormatting>
  <conditionalFormatting sqref="M159:O159">
    <cfRule type="expression" dxfId="15891" priority="360">
      <formula>M159&gt;O159*#REF!</formula>
    </cfRule>
  </conditionalFormatting>
  <conditionalFormatting sqref="N150:O151">
    <cfRule type="expression" dxfId="15890" priority="359">
      <formula>N150&lt;P150-#REF!</formula>
    </cfRule>
  </conditionalFormatting>
  <conditionalFormatting sqref="N154:O158">
    <cfRule type="expression" dxfId="15889" priority="379">
      <formula>N154&lt;P154-#REF!</formula>
    </cfRule>
  </conditionalFormatting>
  <conditionalFormatting sqref="Q144:S145">
    <cfRule type="expression" dxfId="15888" priority="355">
      <formula>Q144&lt;S144*#REF!</formula>
    </cfRule>
    <cfRule type="expression" dxfId="15887" priority="356">
      <formula>Q144&gt;S144*#REF!</formula>
    </cfRule>
  </conditionalFormatting>
  <conditionalFormatting sqref="Q146:S148">
    <cfRule type="expression" dxfId="15886" priority="357">
      <formula>Q146&lt;S146-#REF!</formula>
    </cfRule>
  </conditionalFormatting>
  <conditionalFormatting sqref="Q146:S158">
    <cfRule type="expression" dxfId="15885" priority="352">
      <formula>Q146&gt;S146+#REF!</formula>
    </cfRule>
  </conditionalFormatting>
  <conditionalFormatting sqref="Q159:S159">
    <cfRule type="expression" dxfId="15884" priority="354">
      <formula>Q159&gt;S159*#REF!</formula>
    </cfRule>
  </conditionalFormatting>
  <conditionalFormatting sqref="R150:S151">
    <cfRule type="expression" dxfId="15883" priority="353">
      <formula>R150&lt;T150-#REF!</formula>
    </cfRule>
  </conditionalFormatting>
  <conditionalFormatting sqref="U144:W145">
    <cfRule type="expression" dxfId="15882" priority="349">
      <formula>U144&lt;W144*#REF!</formula>
    </cfRule>
    <cfRule type="expression" dxfId="15881" priority="350">
      <formula>U144&gt;W144*#REF!</formula>
    </cfRule>
  </conditionalFormatting>
  <conditionalFormatting sqref="U146:W148">
    <cfRule type="expression" dxfId="15880" priority="351">
      <formula>U146&lt;W146-#REF!</formula>
    </cfRule>
  </conditionalFormatting>
  <conditionalFormatting sqref="U146:W158">
    <cfRule type="expression" dxfId="15879" priority="346">
      <formula>U146&gt;W146+#REF!</formula>
    </cfRule>
  </conditionalFormatting>
  <conditionalFormatting sqref="U159:W159">
    <cfRule type="expression" dxfId="15878" priority="348">
      <formula>U159&gt;W159*#REF!</formula>
    </cfRule>
  </conditionalFormatting>
  <conditionalFormatting sqref="V150:W151">
    <cfRule type="expression" dxfId="15877" priority="347">
      <formula>V150&lt;X150-#REF!</formula>
    </cfRule>
  </conditionalFormatting>
  <conditionalFormatting sqref="V154:W158">
    <cfRule type="expression" dxfId="15876" priority="345">
      <formula>V154&lt;X154-#REF!</formula>
    </cfRule>
  </conditionalFormatting>
  <conditionalFormatting sqref="Y154:Y158">
    <cfRule type="expression" dxfId="15875" priority="340">
      <formula>Y154&gt;AA154+#REF!</formula>
    </cfRule>
  </conditionalFormatting>
  <conditionalFormatting sqref="Y144:AA145">
    <cfRule type="expression" dxfId="15874" priority="342">
      <formula>Y144&lt;AA144*#REF!</formula>
    </cfRule>
    <cfRule type="expression" dxfId="15873" priority="343">
      <formula>Y144&gt;AA144*#REF!</formula>
    </cfRule>
  </conditionalFormatting>
  <conditionalFormatting sqref="Y146:AA148">
    <cfRule type="expression" dxfId="15872" priority="344">
      <formula>Y146&lt;AA146-#REF!</formula>
    </cfRule>
  </conditionalFormatting>
  <conditionalFormatting sqref="Y146:AA153">
    <cfRule type="expression" dxfId="15871" priority="338">
      <formula>Y146&gt;AA146+#REF!</formula>
    </cfRule>
  </conditionalFormatting>
  <conditionalFormatting sqref="Y159:AA159">
    <cfRule type="expression" dxfId="15870" priority="341">
      <formula>Y159&gt;AA159*#REF!</formula>
    </cfRule>
  </conditionalFormatting>
  <conditionalFormatting sqref="Z150:AA151">
    <cfRule type="expression" dxfId="15869" priority="339">
      <formula>Z150&lt;AB150-#REF!</formula>
    </cfRule>
  </conditionalFormatting>
  <conditionalFormatting sqref="Z154:AA158">
    <cfRule type="expression" dxfId="15868" priority="337">
      <formula>Z154&lt;AB154-#REF!</formula>
    </cfRule>
  </conditionalFormatting>
  <conditionalFormatting sqref="E348:G363">
    <cfRule type="expression" dxfId="15867" priority="329">
      <formula>E348&lt;G348*#REF!</formula>
    </cfRule>
    <cfRule type="expression" dxfId="15866" priority="329">
      <formula>E348&gt;G348*#REF!</formula>
    </cfRule>
  </conditionalFormatting>
  <conditionalFormatting sqref="I348:K363">
    <cfRule type="expression" dxfId="15865" priority="321">
      <formula>I348&lt;K348*#REF!</formula>
    </cfRule>
    <cfRule type="expression" dxfId="15864" priority="321">
      <formula>I348&gt;K348*#REF!</formula>
    </cfRule>
  </conditionalFormatting>
  <conditionalFormatting sqref="M348:O363">
    <cfRule type="expression" dxfId="15863" priority="313">
      <formula>M348&lt;O348*#REF!</formula>
    </cfRule>
    <cfRule type="expression" dxfId="15862" priority="313">
      <formula>M348&gt;O348*#REF!</formula>
    </cfRule>
  </conditionalFormatting>
  <conditionalFormatting sqref="Q348:S363">
    <cfRule type="expression" dxfId="15861" priority="297">
      <formula>Q348&lt;S348*#REF!</formula>
    </cfRule>
    <cfRule type="expression" dxfId="15860" priority="297">
      <formula>Q348&gt;S348*#REF!</formula>
    </cfRule>
  </conditionalFormatting>
  <conditionalFormatting sqref="U348:W363">
    <cfRule type="expression" dxfId="15859" priority="289">
      <formula>U348&lt;W348*#REF!</formula>
    </cfRule>
    <cfRule type="expression" dxfId="15858" priority="289">
      <formula>U348&gt;W348*#REF!</formula>
    </cfRule>
  </conditionalFormatting>
  <conditionalFormatting sqref="Y348:AA363">
    <cfRule type="expression" dxfId="15857" priority="281">
      <formula>Y348&lt;AA348*#REF!</formula>
    </cfRule>
    <cfRule type="expression" dxfId="15856" priority="281">
      <formula>Y348&gt;AA348*#REF!</formula>
    </cfRule>
  </conditionalFormatting>
  <conditionalFormatting sqref="E280:G295">
    <cfRule type="expression" dxfId="15855" priority="271">
      <formula>E280&lt;G280*#REF!</formula>
    </cfRule>
    <cfRule type="expression" dxfId="15854" priority="272">
      <formula>E280&gt;G280*#REF!</formula>
    </cfRule>
  </conditionalFormatting>
  <conditionalFormatting sqref="I280:K295">
    <cfRule type="expression" dxfId="15853" priority="264">
      <formula>I280&lt;K280*#REF!</formula>
    </cfRule>
    <cfRule type="expression" dxfId="15852" priority="265">
      <formula>I280&gt;K280*#REF!</formula>
    </cfRule>
  </conditionalFormatting>
  <conditionalFormatting sqref="M280:O295">
    <cfRule type="expression" dxfId="15851" priority="257">
      <formula>M280&lt;O280*#REF!</formula>
    </cfRule>
    <cfRule type="expression" dxfId="15850" priority="258">
      <formula>M280&gt;O280*#REF!</formula>
    </cfRule>
  </conditionalFormatting>
  <conditionalFormatting sqref="Q280:S295">
    <cfRule type="expression" dxfId="15849" priority="250">
      <formula>Q280&lt;S280*#REF!</formula>
    </cfRule>
    <cfRule type="expression" dxfId="15848" priority="251">
      <formula>Q280&gt;S280*#REF!</formula>
    </cfRule>
  </conditionalFormatting>
  <conditionalFormatting sqref="U280:W295">
    <cfRule type="expression" dxfId="15847" priority="243">
      <formula>U280&lt;W280*#REF!</formula>
    </cfRule>
    <cfRule type="expression" dxfId="15846" priority="244">
      <formula>U280&gt;W280*#REF!</formula>
    </cfRule>
  </conditionalFormatting>
  <conditionalFormatting sqref="Y280:AA295">
    <cfRule type="expression" dxfId="15845" priority="236">
      <formula>Y280&lt;AA280*#REF!</formula>
    </cfRule>
    <cfRule type="expression" dxfId="15844" priority="237">
      <formula>Y280&gt;AA280*#REF!</formula>
    </cfRule>
  </conditionalFormatting>
  <conditionalFormatting sqref="E263:G278">
    <cfRule type="expression" dxfId="15843" priority="221">
      <formula>E263&lt;G263*#REF!</formula>
    </cfRule>
    <cfRule type="expression" dxfId="15842" priority="222">
      <formula>E263&gt;G263*#REF!</formula>
    </cfRule>
  </conditionalFormatting>
  <conditionalFormatting sqref="I263:K278">
    <cfRule type="expression" dxfId="15841" priority="214">
      <formula>I263&lt;K263*#REF!</formula>
    </cfRule>
    <cfRule type="expression" dxfId="15840" priority="215">
      <formula>I263&gt;K263*#REF!</formula>
    </cfRule>
  </conditionalFormatting>
  <conditionalFormatting sqref="M263:O278">
    <cfRule type="expression" dxfId="15839" priority="206">
      <formula>M263&lt;O263*#REF!</formula>
    </cfRule>
    <cfRule type="expression" dxfId="15838" priority="207">
      <formula>M263&gt;O263*#REF!</formula>
    </cfRule>
  </conditionalFormatting>
  <conditionalFormatting sqref="Q263:T278">
    <cfRule type="expression" dxfId="15837" priority="200">
      <formula>Q263&lt;S263*#REF!</formula>
    </cfRule>
    <cfRule type="expression" dxfId="15836" priority="201">
      <formula>Q263&gt;S263*#REF!</formula>
    </cfRule>
  </conditionalFormatting>
  <conditionalFormatting sqref="U263:W278">
    <cfRule type="expression" dxfId="15835" priority="194">
      <formula>U263&lt;W263*#REF!</formula>
    </cfRule>
    <cfRule type="expression" dxfId="15834" priority="195">
      <formula>U263&gt;W263*#REF!</formula>
    </cfRule>
  </conditionalFormatting>
  <conditionalFormatting sqref="Y263:AA278">
    <cfRule type="expression" dxfId="15833" priority="187">
      <formula>Y263&lt;AA263*#REF!</formula>
    </cfRule>
    <cfRule type="expression" dxfId="15832" priority="188">
      <formula>Y263&gt;AA263*#REF!</formula>
    </cfRule>
  </conditionalFormatting>
  <conditionalFormatting sqref="E59:G74">
    <cfRule type="expression" dxfId="15831" priority="173">
      <formula>E59&lt;G59*#REF!</formula>
    </cfRule>
    <cfRule type="expression" dxfId="15830" priority="174">
      <formula>E59&gt;G59*#REF!</formula>
    </cfRule>
  </conditionalFormatting>
  <conditionalFormatting sqref="I59:K74">
    <cfRule type="expression" dxfId="15829" priority="165">
      <formula>I59&lt;K59*#REF!</formula>
    </cfRule>
    <cfRule type="expression" dxfId="15828" priority="166">
      <formula>I59&gt;K59*#REF!</formula>
    </cfRule>
  </conditionalFormatting>
  <conditionalFormatting sqref="M59:O74">
    <cfRule type="expression" dxfId="15827" priority="157">
      <formula>M59&lt;O59*#REF!</formula>
    </cfRule>
    <cfRule type="expression" dxfId="15826" priority="158">
      <formula>M59&gt;O59*#REF!</formula>
    </cfRule>
  </conditionalFormatting>
  <conditionalFormatting sqref="Q59:S74">
    <cfRule type="expression" dxfId="15825" priority="141">
      <formula>Q59&lt;S59*#REF!</formula>
    </cfRule>
    <cfRule type="expression" dxfId="15824" priority="142">
      <formula>Q59&gt;S59*#REF!</formula>
    </cfRule>
  </conditionalFormatting>
  <conditionalFormatting sqref="U59:X74">
    <cfRule type="expression" dxfId="15823" priority="133">
      <formula>U59&lt;W59*#REF!</formula>
    </cfRule>
    <cfRule type="expression" dxfId="15822" priority="134">
      <formula>U59&gt;W59*#REF!</formula>
    </cfRule>
  </conditionalFormatting>
  <conditionalFormatting sqref="Y59:AA74">
    <cfRule type="expression" dxfId="15821" priority="125">
      <formula>Y59&lt;AA59*#REF!</formula>
    </cfRule>
    <cfRule type="expression" dxfId="15820" priority="126">
      <formula>Y59&gt;AA59*#REF!</formula>
    </cfRule>
  </conditionalFormatting>
  <conditionalFormatting sqref="E110:G125">
    <cfRule type="expression" dxfId="15819" priority="117">
      <formula>E110&lt;G110*#REF!</formula>
    </cfRule>
    <cfRule type="expression" dxfId="15818" priority="118">
      <formula>E110&gt;G110*#REF!</formula>
    </cfRule>
  </conditionalFormatting>
  <conditionalFormatting sqref="I110:K125">
    <cfRule type="expression" dxfId="15817" priority="109">
      <formula>I110&lt;K110*#REF!</formula>
    </cfRule>
    <cfRule type="expression" dxfId="15816" priority="110">
      <formula>I110&gt;K110*#REF!</formula>
    </cfRule>
  </conditionalFormatting>
  <conditionalFormatting sqref="M110:O125">
    <cfRule type="expression" dxfId="15815" priority="101">
      <formula>M110&lt;O110*#REF!</formula>
    </cfRule>
    <cfRule type="expression" dxfId="15814" priority="102">
      <formula>M110&gt;O110*#REF!</formula>
    </cfRule>
  </conditionalFormatting>
  <conditionalFormatting sqref="Q110:S125">
    <cfRule type="expression" dxfId="15813" priority="85">
      <formula>Q110&lt;S110*#REF!</formula>
    </cfRule>
    <cfRule type="expression" dxfId="15812" priority="86">
      <formula>Q110&gt;S110*#REF!</formula>
    </cfRule>
  </conditionalFormatting>
  <conditionalFormatting sqref="U110:W125">
    <cfRule type="expression" dxfId="15811" priority="77">
      <formula>U110&lt;W110*#REF!</formula>
    </cfRule>
    <cfRule type="expression" dxfId="15810" priority="78">
      <formula>U110&gt;W110*#REF!</formula>
    </cfRule>
  </conditionalFormatting>
  <conditionalFormatting sqref="Y110:AA125">
    <cfRule type="expression" dxfId="15809" priority="69">
      <formula>Y110&lt;AA110*#REF!</formula>
    </cfRule>
    <cfRule type="expression" dxfId="15808" priority="70">
      <formula>Y110&gt;AA110*#REF!</formula>
    </cfRule>
  </conditionalFormatting>
  <conditionalFormatting sqref="E161:G176">
    <cfRule type="expression" dxfId="15807" priority="61">
      <formula>E161&lt;G161*#REF!</formula>
    </cfRule>
    <cfRule type="expression" dxfId="15806" priority="62">
      <formula>E161&gt;G161*#REF!</formula>
    </cfRule>
  </conditionalFormatting>
  <conditionalFormatting sqref="I161:K176">
    <cfRule type="expression" dxfId="15805" priority="53">
      <formula>I161&lt;K161*#REF!</formula>
    </cfRule>
    <cfRule type="expression" dxfId="15804" priority="54">
      <formula>I161&gt;K161*#REF!</formula>
    </cfRule>
  </conditionalFormatting>
  <conditionalFormatting sqref="M161:O176">
    <cfRule type="expression" dxfId="15803" priority="45">
      <formula>M161&lt;O161*#REF!</formula>
    </cfRule>
    <cfRule type="expression" dxfId="15802" priority="46">
      <formula>M161&gt;O161*#REF!</formula>
    </cfRule>
  </conditionalFormatting>
  <conditionalFormatting sqref="Q161:S176">
    <cfRule type="expression" dxfId="15801" priority="29">
      <formula>Q161&lt;S161*#REF!</formula>
    </cfRule>
    <cfRule type="expression" dxfId="15800" priority="30">
      <formula>Q161&gt;S161*#REF!</formula>
    </cfRule>
  </conditionalFormatting>
  <conditionalFormatting sqref="U161:W176">
    <cfRule type="expression" dxfId="15799" priority="21">
      <formula>U161&lt;W161*#REF!</formula>
    </cfRule>
    <cfRule type="expression" dxfId="15798" priority="22">
      <formula>U161&gt;W161*#REF!</formula>
    </cfRule>
  </conditionalFormatting>
  <conditionalFormatting sqref="Y161:AA176">
    <cfRule type="expression" dxfId="15797" priority="13">
      <formula>Y161&lt;AA161*#REF!</formula>
    </cfRule>
    <cfRule type="expression" dxfId="15796" priority="14">
      <formula>Y161&gt;AA161*#REF!</formula>
    </cfRule>
  </conditionalFormatting>
  <conditionalFormatting sqref="Y80:AA80">
    <cfRule type="expression" dxfId="15795" priority="7">
      <formula>Y80&lt;AA80-#REF!</formula>
    </cfRule>
  </conditionalFormatting>
  <conditionalFormatting sqref="Y80:AA90">
    <cfRule type="expression" dxfId="15794" priority="4">
      <formula>Y80&gt;AA80+#REF!</formula>
    </cfRule>
  </conditionalFormatting>
  <conditionalFormatting sqref="Y91:AA91">
    <cfRule type="expression" dxfId="15793" priority="6">
      <formula>Y91&gt;AA91*#REF!</formula>
    </cfRule>
  </conditionalFormatting>
  <conditionalFormatting sqref="Z82:AA83">
    <cfRule type="expression" dxfId="15792" priority="5">
      <formula>Z82&lt;AB82-#REF!</formula>
    </cfRule>
  </conditionalFormatting>
  <conditionalFormatting sqref="Z86:AA90">
    <cfRule type="expression" dxfId="15791" priority="3">
      <formula>Z86&lt;AB86-#REF!</formula>
    </cfRule>
  </conditionalFormatting>
  <conditionalFormatting sqref="Q258">
    <cfRule type="expression" dxfId="15790" priority="2">
      <formula>Q258&lt;S258-#REF!</formula>
    </cfRule>
  </conditionalFormatting>
  <conditionalFormatting sqref="Q251:Q252">
    <cfRule type="expression" dxfId="15789" priority="1">
      <formula>Q251&lt;S251-#REF!</formula>
    </cfRule>
  </conditionalFormatting>
  <conditionalFormatting sqref="AD27:AE39 AD44:AE56 AD78:AE90 AD95:AE107 AD180:AE192 AD197:AE209 AD214:AE226 AD231:AE238 AD129:AE141 AD146:AE158">
    <cfRule type="expression" dxfId="15788" priority="10175">
      <formula>AD27&gt;#REF!+#REF!</formula>
    </cfRule>
  </conditionalFormatting>
  <conditionalFormatting sqref="AD27:AE29 AD44:AE46 AD78:AE80 AD95:AE97 AD180:AE182 AD197:AE199 AD214:AE216 AD231:AE233 AD31:AE32 AD48:AE49 AD52:AE56 AD82:AE83 AD86:AE90 AD99:AE100 AD184:AE185 AD188:AE192 AD201:AE202 AD218:AE219 AD222:AE226 AD235:AE236 AD239:AE243 AD129:AE131 AD133:AE134 AD137:AE141 AD146:AE148 AD150:AE151 AD154:AE158">
    <cfRule type="expression" dxfId="15787" priority="10177">
      <formula>AD27&lt;#REF!-#REF!</formula>
    </cfRule>
  </conditionalFormatting>
  <conditionalFormatting sqref="AD25:AE26 AD42:AE43 AD76:AE77 AD93:AE94 AD178:AE179 AD195:AE196 AD212:AE213 AD229:AE230 AD127:AE128 AD144:AE145 AD280:AE295">
    <cfRule type="expression" dxfId="15786" priority="10186">
      <formula>AD25&lt;#REF!*#REF!</formula>
    </cfRule>
    <cfRule type="expression" dxfId="15785" priority="10187">
      <formula>AD25&gt;#REF!*#REF!</formula>
    </cfRule>
  </conditionalFormatting>
  <conditionalFormatting sqref="AD40:AE40 AD57:AE57 AD91:AE91 AD108:AE108 AD193:AE193 AD210:AE210 AD227:AE227 AD244:AE244 AD142:AE142 AD159:AE159">
    <cfRule type="expression" dxfId="15784" priority="10193">
      <formula>AD40&gt;#REF!*#REF!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6E3F-C8CE-4CCC-B83A-C012983E2B21}">
  <sheetPr codeName="Sheet5">
    <pageSetUpPr fitToPage="1"/>
  </sheetPr>
  <dimension ref="A1:BM498"/>
  <sheetViews>
    <sheetView showGridLines="0" topLeftCell="A4" zoomScale="85" zoomScaleNormal="85" workbookViewId="0">
      <selection activeCell="AO357" sqref="AO357"/>
    </sheetView>
  </sheetViews>
  <sheetFormatPr defaultColWidth="9.26953125" defaultRowHeight="17.5" outlineLevelRow="1" x14ac:dyDescent="0.35"/>
  <cols>
    <col min="1" max="1" width="20.54296875" style="153" bestFit="1" customWidth="1"/>
    <col min="2" max="2" width="1" customWidth="1"/>
    <col min="3" max="3" width="34" style="111" bestFit="1" customWidth="1"/>
    <col min="4" max="4" width="1.54296875" customWidth="1"/>
    <col min="5" max="7" width="11" hidden="1" customWidth="1"/>
    <col min="8" max="8" width="1" hidden="1" customWidth="1"/>
    <col min="9" max="11" width="11" hidden="1" customWidth="1"/>
    <col min="12" max="12" width="0.7265625" hidden="1" customWidth="1"/>
    <col min="13" max="15" width="11" hidden="1" customWidth="1"/>
    <col min="16" max="16" width="0.54296875" hidden="1" customWidth="1"/>
    <col min="17" max="19" width="11" hidden="1" customWidth="1"/>
    <col min="20" max="20" width="0.7265625" hidden="1" customWidth="1"/>
    <col min="21" max="23" width="11" hidden="1" customWidth="1"/>
    <col min="24" max="24" width="0.7265625" hidden="1" customWidth="1"/>
    <col min="25" max="27" width="12.54296875" hidden="1" customWidth="1"/>
    <col min="28" max="28" width="0.7265625" hidden="1" customWidth="1"/>
    <col min="29" max="31" width="12.54296875" hidden="1" customWidth="1"/>
    <col min="32" max="32" width="0.54296875" hidden="1" customWidth="1"/>
    <col min="33" max="35" width="12.54296875" hidden="1" customWidth="1"/>
    <col min="36" max="36" width="0.7265625" hidden="1" customWidth="1"/>
    <col min="37" max="39" width="12.54296875" hidden="1" customWidth="1"/>
    <col min="40" max="40" width="0.7265625" customWidth="1"/>
    <col min="41" max="41" width="12.54296875" customWidth="1"/>
    <col min="42" max="42" width="12.54296875" hidden="1" customWidth="1"/>
    <col min="43" max="43" width="12.54296875" customWidth="1"/>
    <col min="44" max="44" width="0.7265625" customWidth="1"/>
    <col min="45" max="45" width="11.54296875" hidden="1" customWidth="1"/>
    <col min="46" max="46" width="11.26953125" hidden="1" customWidth="1"/>
    <col min="47" max="47" width="11.54296875" hidden="1" customWidth="1"/>
  </cols>
  <sheetData>
    <row r="1" spans="1:65" ht="25.5" hidden="1" thickBot="1" x14ac:dyDescent="0.55000000000000004">
      <c r="A1" s="222" t="e">
        <f>#REF!</f>
        <v>#REF!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</row>
    <row r="2" spans="1:65" ht="18" hidden="1" thickBot="1" x14ac:dyDescent="0.4"/>
    <row r="3" spans="1:65" ht="18" hidden="1" thickBot="1" x14ac:dyDescent="0.4"/>
    <row r="4" spans="1:65" ht="23.15" customHeight="1" x14ac:dyDescent="0.25">
      <c r="A4" s="221" t="e">
        <f>#REF!</f>
        <v>#REF!</v>
      </c>
      <c r="B4" s="221"/>
      <c r="C4" s="221"/>
      <c r="D4" s="12"/>
      <c r="E4" s="223" t="s">
        <v>69</v>
      </c>
      <c r="F4" s="223"/>
      <c r="G4" s="223"/>
      <c r="H4" s="155"/>
      <c r="I4" s="223" t="s">
        <v>70</v>
      </c>
      <c r="J4" s="223"/>
      <c r="K4" s="223"/>
      <c r="L4" s="155"/>
      <c r="M4" s="223" t="s">
        <v>7</v>
      </c>
      <c r="N4" s="223"/>
      <c r="O4" s="223"/>
      <c r="P4" s="155"/>
      <c r="Q4" s="223" t="s">
        <v>71</v>
      </c>
      <c r="R4" s="223"/>
      <c r="S4" s="223"/>
      <c r="T4" s="155"/>
      <c r="U4" s="223" t="s">
        <v>72</v>
      </c>
      <c r="V4" s="223"/>
      <c r="W4" s="223"/>
      <c r="X4" s="155"/>
      <c r="Y4" s="223" t="s">
        <v>73</v>
      </c>
      <c r="Z4" s="223"/>
      <c r="AA4" s="223"/>
      <c r="AB4" s="155"/>
      <c r="AC4" s="156" t="s">
        <v>74</v>
      </c>
      <c r="AD4" s="156"/>
      <c r="AE4" s="156"/>
      <c r="AF4" s="155"/>
      <c r="AG4" s="223" t="s">
        <v>75</v>
      </c>
      <c r="AH4" s="223"/>
      <c r="AI4" s="223"/>
      <c r="AJ4" s="155"/>
      <c r="AK4" s="223" t="s">
        <v>76</v>
      </c>
      <c r="AL4" s="223"/>
      <c r="AM4" s="223"/>
      <c r="AN4" s="155"/>
      <c r="AO4" s="223" t="s">
        <v>77</v>
      </c>
      <c r="AP4" s="223"/>
      <c r="AQ4" s="223"/>
      <c r="AR4" s="155"/>
      <c r="AS4" s="223" t="s">
        <v>78</v>
      </c>
      <c r="AT4" s="223"/>
      <c r="AU4" s="223"/>
      <c r="AV4" s="12"/>
    </row>
    <row r="5" spans="1:65" ht="16.5" customHeight="1" x14ac:dyDescent="0.25">
      <c r="A5" s="221"/>
      <c r="B5" s="221"/>
      <c r="C5" s="221"/>
      <c r="D5" s="3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3"/>
    </row>
    <row r="6" spans="1:65" ht="16.5" customHeight="1" x14ac:dyDescent="0.25">
      <c r="A6" s="221"/>
      <c r="B6" s="221"/>
      <c r="C6" s="221"/>
      <c r="D6" s="3"/>
      <c r="E6" s="158" t="s">
        <v>15</v>
      </c>
      <c r="F6" s="158" t="s">
        <v>16</v>
      </c>
      <c r="G6" s="158" t="s">
        <v>17</v>
      </c>
      <c r="H6" s="157"/>
      <c r="I6" s="158" t="s">
        <v>15</v>
      </c>
      <c r="J6" s="158" t="s">
        <v>16</v>
      </c>
      <c r="K6" s="158" t="s">
        <v>17</v>
      </c>
      <c r="L6" s="157"/>
      <c r="M6" s="158" t="s">
        <v>15</v>
      </c>
      <c r="N6" s="158" t="s">
        <v>16</v>
      </c>
      <c r="O6" s="158" t="s">
        <v>17</v>
      </c>
      <c r="P6" s="157"/>
      <c r="Q6" s="158" t="s">
        <v>15</v>
      </c>
      <c r="R6" s="158" t="s">
        <v>16</v>
      </c>
      <c r="S6" s="158" t="s">
        <v>17</v>
      </c>
      <c r="T6" s="157"/>
      <c r="U6" s="158" t="s">
        <v>15</v>
      </c>
      <c r="V6" s="158" t="s">
        <v>16</v>
      </c>
      <c r="W6" s="158" t="s">
        <v>17</v>
      </c>
      <c r="X6" s="157"/>
      <c r="Y6" s="158" t="s">
        <v>15</v>
      </c>
      <c r="Z6" s="158" t="s">
        <v>16</v>
      </c>
      <c r="AA6" s="158" t="s">
        <v>17</v>
      </c>
      <c r="AB6" s="157"/>
      <c r="AC6" s="158" t="s">
        <v>15</v>
      </c>
      <c r="AD6" s="158" t="s">
        <v>16</v>
      </c>
      <c r="AE6" s="158" t="s">
        <v>17</v>
      </c>
      <c r="AF6" s="157"/>
      <c r="AG6" s="158" t="s">
        <v>15</v>
      </c>
      <c r="AH6" s="158" t="s">
        <v>16</v>
      </c>
      <c r="AI6" s="158" t="s">
        <v>17</v>
      </c>
      <c r="AJ6" s="157"/>
      <c r="AK6" s="158" t="s">
        <v>15</v>
      </c>
      <c r="AL6" s="158" t="s">
        <v>16</v>
      </c>
      <c r="AM6" s="158" t="s">
        <v>17</v>
      </c>
      <c r="AN6" s="157"/>
      <c r="AO6" s="158" t="s">
        <v>15</v>
      </c>
      <c r="AP6" s="158" t="s">
        <v>16</v>
      </c>
      <c r="AQ6" s="158" t="s">
        <v>17</v>
      </c>
      <c r="AR6" s="157"/>
      <c r="AS6" s="158" t="s">
        <v>15</v>
      </c>
      <c r="AT6" s="158" t="s">
        <v>16</v>
      </c>
      <c r="AU6" s="158" t="s">
        <v>17</v>
      </c>
      <c r="AV6" s="3"/>
    </row>
    <row r="7" spans="1:65" ht="16.5" customHeight="1" x14ac:dyDescent="0.25">
      <c r="A7" s="221"/>
      <c r="B7" s="221"/>
      <c r="C7" s="221"/>
      <c r="D7" s="3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3"/>
    </row>
    <row r="8" spans="1:65" ht="16.5" hidden="1" x14ac:dyDescent="0.25">
      <c r="A8" s="212" t="s">
        <v>18</v>
      </c>
      <c r="B8" s="9"/>
      <c r="C8" s="116" t="s">
        <v>19</v>
      </c>
      <c r="D8" s="6"/>
      <c r="E8" s="118">
        <f>+Benelux!E8+Benelux!Q8</f>
        <v>335.94232871000003</v>
      </c>
      <c r="F8" s="119">
        <f>+Benelux!F8+Benelux!R8</f>
        <v>335.94232871000003</v>
      </c>
      <c r="G8" s="119">
        <f>+Benelux!G8+Benelux!S8</f>
        <v>335.94232871000003</v>
      </c>
      <c r="H8" s="117"/>
      <c r="I8" s="121"/>
      <c r="J8" s="119"/>
      <c r="K8" s="119"/>
      <c r="L8" s="117"/>
      <c r="M8" s="121"/>
      <c r="N8" s="119"/>
      <c r="O8" s="119"/>
      <c r="P8" s="117"/>
      <c r="Q8" s="118" t="e">
        <f>+Benelux!I8+Benelux!M8+Benelux!U8+Benelux!Y8</f>
        <v>#VALUE!</v>
      </c>
      <c r="R8" s="119" t="e">
        <f>+Benelux!J8+Benelux!N8+Benelux!V8+Benelux!Z8</f>
        <v>#VALUE!</v>
      </c>
      <c r="S8" s="119" t="e">
        <f>+Benelux!K8+Benelux!O8+Benelux!W8+Benelux!AA8</f>
        <v>#VALUE!</v>
      </c>
      <c r="T8" s="117"/>
      <c r="U8" s="122" t="e">
        <f>+E8+Q8</f>
        <v>#VALUE!</v>
      </c>
      <c r="V8" s="123" t="e">
        <f t="shared" ref="V8:V9" si="0">+F8+R8</f>
        <v>#VALUE!</v>
      </c>
      <c r="W8" s="123" t="e">
        <f t="shared" ref="W8:W9" si="1">+G8+S8</f>
        <v>#VALUE!</v>
      </c>
      <c r="X8" s="117"/>
      <c r="Y8" s="121"/>
      <c r="Z8" s="119"/>
      <c r="AA8" s="119"/>
      <c r="AB8" s="117"/>
      <c r="AC8" s="121"/>
      <c r="AD8" s="119"/>
      <c r="AE8" s="119"/>
      <c r="AF8" s="117"/>
      <c r="AG8" s="121"/>
      <c r="AH8" s="119"/>
      <c r="AI8" s="119"/>
      <c r="AJ8" s="117"/>
      <c r="AK8" s="121"/>
      <c r="AL8" s="119"/>
      <c r="AM8" s="119"/>
      <c r="AN8" s="117"/>
      <c r="AO8" s="124"/>
      <c r="AP8" s="123"/>
      <c r="AQ8" s="123"/>
      <c r="AR8" s="117"/>
      <c r="AS8" s="166" t="e">
        <f>+U8</f>
        <v>#VALUE!</v>
      </c>
      <c r="AT8" s="160" t="e">
        <f t="shared" ref="AT8:AT23" si="2">+V8</f>
        <v>#VALUE!</v>
      </c>
      <c r="AU8" s="160" t="e">
        <f t="shared" ref="AU8:AU23" si="3">+W8</f>
        <v>#VALUE!</v>
      </c>
      <c r="AV8" s="6"/>
      <c r="AW8" s="108"/>
      <c r="BA8" s="108"/>
      <c r="BE8" s="108"/>
      <c r="BI8" s="108"/>
      <c r="BM8" s="108"/>
    </row>
    <row r="9" spans="1:65" ht="16.5" hidden="1" x14ac:dyDescent="0.25">
      <c r="A9" s="212"/>
      <c r="B9" s="9"/>
      <c r="C9" s="116" t="s">
        <v>55</v>
      </c>
      <c r="D9" s="6"/>
      <c r="E9" s="121">
        <f>+Benelux!E9+Benelux!Q9</f>
        <v>335.46797350000003</v>
      </c>
      <c r="F9" s="119">
        <f>+Benelux!F9+Benelux!R9</f>
        <v>335.79202771000001</v>
      </c>
      <c r="G9" s="119">
        <f>+Benelux!G9+Benelux!S9</f>
        <v>334.88639682652433</v>
      </c>
      <c r="H9" s="117"/>
      <c r="I9" s="121"/>
      <c r="J9" s="119"/>
      <c r="K9" s="119"/>
      <c r="L9" s="117"/>
      <c r="M9" s="121"/>
      <c r="N9" s="119"/>
      <c r="O9" s="119"/>
      <c r="P9" s="117"/>
      <c r="Q9" s="118" t="e">
        <f>+Benelux!I9+Benelux!M9+Benelux!U9+Benelux!Y9</f>
        <v>#VALUE!</v>
      </c>
      <c r="R9" s="119" t="e">
        <f>+Benelux!J9+Benelux!N9+Benelux!V9+Benelux!Z9</f>
        <v>#VALUE!</v>
      </c>
      <c r="S9" s="119" t="e">
        <f>+Benelux!K9+Benelux!O9+Benelux!W9+Benelux!AA9</f>
        <v>#VALUE!</v>
      </c>
      <c r="T9" s="117"/>
      <c r="U9" s="122" t="e">
        <f t="shared" ref="U9" si="4">+E9+Q9</f>
        <v>#VALUE!</v>
      </c>
      <c r="V9" s="123" t="e">
        <f t="shared" si="0"/>
        <v>#VALUE!</v>
      </c>
      <c r="W9" s="123" t="e">
        <f t="shared" si="1"/>
        <v>#VALUE!</v>
      </c>
      <c r="X9" s="117"/>
      <c r="Y9" s="121"/>
      <c r="Z9" s="119"/>
      <c r="AA9" s="119"/>
      <c r="AB9" s="117"/>
      <c r="AC9" s="121"/>
      <c r="AD9" s="119"/>
      <c r="AE9" s="119"/>
      <c r="AF9" s="117"/>
      <c r="AG9" s="121"/>
      <c r="AH9" s="119"/>
      <c r="AI9" s="119"/>
      <c r="AJ9" s="117"/>
      <c r="AK9" s="121"/>
      <c r="AL9" s="119"/>
      <c r="AM9" s="119"/>
      <c r="AN9" s="117"/>
      <c r="AO9" s="124"/>
      <c r="AP9" s="123"/>
      <c r="AQ9" s="123"/>
      <c r="AR9" s="117"/>
      <c r="AS9" s="166" t="e">
        <f t="shared" ref="AS9:AS23" si="5">+U9</f>
        <v>#VALUE!</v>
      </c>
      <c r="AT9" s="160" t="e">
        <f t="shared" si="2"/>
        <v>#VALUE!</v>
      </c>
      <c r="AU9" s="160" t="e">
        <f t="shared" si="3"/>
        <v>#VALUE!</v>
      </c>
      <c r="AV9" s="6"/>
      <c r="AW9" s="108"/>
      <c r="BA9" s="108"/>
      <c r="BE9" s="108"/>
      <c r="BI9" s="108"/>
      <c r="BM9" s="108"/>
    </row>
    <row r="10" spans="1:65" ht="16.5" hidden="1" x14ac:dyDescent="0.25">
      <c r="A10" s="212"/>
      <c r="B10" s="9"/>
      <c r="C10" s="116" t="s">
        <v>21</v>
      </c>
      <c r="D10" s="6"/>
      <c r="E10" s="126">
        <f>+E11+E16+E17+E18+E19</f>
        <v>3071.6241457911478</v>
      </c>
      <c r="F10" s="127">
        <f t="shared" ref="F10:G10" si="6">+F11+F16+F17+F18+F19</f>
        <v>3068.6420146475157</v>
      </c>
      <c r="G10" s="127">
        <f t="shared" si="6"/>
        <v>3076.9580966075337</v>
      </c>
      <c r="H10" s="117"/>
      <c r="I10" s="131"/>
      <c r="J10" s="127"/>
      <c r="K10" s="127"/>
      <c r="L10" s="117"/>
      <c r="M10" s="131"/>
      <c r="N10" s="127"/>
      <c r="O10" s="127"/>
      <c r="P10" s="117"/>
      <c r="Q10" s="131" t="e">
        <f>+Q11+Q16+Q17+Q18+Q19</f>
        <v>#VALUE!</v>
      </c>
      <c r="R10" s="127" t="e">
        <f>+R11+R16+R17+R18+R19</f>
        <v>#VALUE!</v>
      </c>
      <c r="S10" s="127" t="e">
        <f>+S11+S16+S17+S18+S19</f>
        <v>#VALUE!</v>
      </c>
      <c r="T10" s="117"/>
      <c r="U10" s="133" t="e">
        <f>+U11+U16+U17+U18+U19</f>
        <v>#VALUE!</v>
      </c>
      <c r="V10" s="130" t="e">
        <f>+V11+V16+V17+V18+V19</f>
        <v>#VALUE!</v>
      </c>
      <c r="W10" s="130" t="e">
        <f>+W11+W16+W17+W18+W19</f>
        <v>#VALUE!</v>
      </c>
      <c r="X10" s="117"/>
      <c r="Y10" s="131"/>
      <c r="Z10" s="127"/>
      <c r="AA10" s="127"/>
      <c r="AB10" s="117"/>
      <c r="AC10" s="131"/>
      <c r="AD10" s="127"/>
      <c r="AE10" s="127"/>
      <c r="AF10" s="117"/>
      <c r="AG10" s="131"/>
      <c r="AH10" s="127"/>
      <c r="AI10" s="127"/>
      <c r="AJ10" s="117"/>
      <c r="AK10" s="131"/>
      <c r="AL10" s="127"/>
      <c r="AM10" s="127"/>
      <c r="AN10" s="117"/>
      <c r="AO10" s="133"/>
      <c r="AP10" s="130"/>
      <c r="AQ10" s="130"/>
      <c r="AR10" s="117"/>
      <c r="AS10" s="182" t="e">
        <f t="shared" si="5"/>
        <v>#VALUE!</v>
      </c>
      <c r="AT10" s="163" t="e">
        <f t="shared" si="2"/>
        <v>#VALUE!</v>
      </c>
      <c r="AU10" s="163" t="e">
        <f t="shared" si="3"/>
        <v>#VALUE!</v>
      </c>
      <c r="AV10" s="6"/>
      <c r="AW10" s="109"/>
      <c r="BA10" s="109"/>
      <c r="BE10" s="109"/>
      <c r="BI10" s="109"/>
      <c r="BM10" s="109"/>
    </row>
    <row r="11" spans="1:65" ht="16.5" hidden="1" x14ac:dyDescent="0.25">
      <c r="A11" s="212"/>
      <c r="B11" s="9"/>
      <c r="C11" s="116" t="s">
        <v>56</v>
      </c>
      <c r="D11" s="6"/>
      <c r="E11" s="128">
        <f>+E12+E13+E14+E15</f>
        <v>1228.6446909581966</v>
      </c>
      <c r="F11" s="127">
        <f t="shared" ref="F11:G11" si="7">+F12+F13+F14+F15</f>
        <v>1227.4594575225115</v>
      </c>
      <c r="G11" s="127">
        <f t="shared" si="7"/>
        <v>1230.7775692781772</v>
      </c>
      <c r="H11" s="117"/>
      <c r="I11" s="131"/>
      <c r="J11" s="127"/>
      <c r="K11" s="127"/>
      <c r="L11" s="117"/>
      <c r="M11" s="131"/>
      <c r="N11" s="127"/>
      <c r="O11" s="127"/>
      <c r="P11" s="117"/>
      <c r="Q11" s="128" t="e">
        <f>+Q12+Q13+Q14+Q15</f>
        <v>#VALUE!</v>
      </c>
      <c r="R11" s="127" t="e">
        <f>+R12+R13+R14+R15</f>
        <v>#VALUE!</v>
      </c>
      <c r="S11" s="127" t="e">
        <f>+S12+S13+S14+S15</f>
        <v>#VALUE!</v>
      </c>
      <c r="T11" s="117"/>
      <c r="U11" s="129" t="e">
        <f>+U12+U13+U14+U15</f>
        <v>#VALUE!</v>
      </c>
      <c r="V11" s="130" t="e">
        <f>+V12+V13+V14+V15</f>
        <v>#VALUE!</v>
      </c>
      <c r="W11" s="130" t="e">
        <f>+W12+W13+W14+W15</f>
        <v>#VALUE!</v>
      </c>
      <c r="X11" s="117"/>
      <c r="Y11" s="131"/>
      <c r="Z11" s="127"/>
      <c r="AA11" s="127"/>
      <c r="AB11" s="117"/>
      <c r="AC11" s="131"/>
      <c r="AD11" s="127"/>
      <c r="AE11" s="127"/>
      <c r="AF11" s="117"/>
      <c r="AG11" s="131"/>
      <c r="AH11" s="127"/>
      <c r="AI11" s="127"/>
      <c r="AJ11" s="117"/>
      <c r="AK11" s="131"/>
      <c r="AL11" s="127"/>
      <c r="AM11" s="127"/>
      <c r="AN11" s="117"/>
      <c r="AO11" s="133"/>
      <c r="AP11" s="130"/>
      <c r="AQ11" s="130"/>
      <c r="AR11" s="117"/>
      <c r="AS11" s="164" t="e">
        <f t="shared" si="5"/>
        <v>#VALUE!</v>
      </c>
      <c r="AT11" s="163" t="e">
        <f t="shared" si="2"/>
        <v>#VALUE!</v>
      </c>
      <c r="AU11" s="163" t="e">
        <f t="shared" si="3"/>
        <v>#VALUE!</v>
      </c>
      <c r="AV11" s="6"/>
      <c r="AW11" s="109"/>
      <c r="BA11" s="109"/>
      <c r="BE11" s="109"/>
      <c r="BI11" s="109"/>
      <c r="BM11" s="109"/>
    </row>
    <row r="12" spans="1:65" ht="16.5" hidden="1" x14ac:dyDescent="0.25">
      <c r="A12" s="212"/>
      <c r="B12" s="9"/>
      <c r="C12" s="38" t="s">
        <v>23</v>
      </c>
      <c r="D12" s="6"/>
      <c r="E12" s="73">
        <f>+((Benelux!E12*Benelux!$E$9)+(Benelux!Q12*Benelux!$Q$9))/'H7H9 BENELUX'!$E$9</f>
        <v>307.16117273954916</v>
      </c>
      <c r="F12" s="42">
        <f>+((Benelux!F12*Benelux!$F$9)+(Benelux!R12*Benelux!$R$9))/'H7H9 BENELUX'!$F$9</f>
        <v>306.86486438062786</v>
      </c>
      <c r="G12" s="42">
        <f>+((Benelux!G12*Benelux!$G$9)+(Benelux!S12*Benelux!$S$9))/'H7H9 BENELUX'!$G$9</f>
        <v>307.69439231954431</v>
      </c>
      <c r="H12" s="117"/>
      <c r="I12" s="97"/>
      <c r="J12" s="42"/>
      <c r="K12" s="42"/>
      <c r="L12" s="117"/>
      <c r="M12" s="97"/>
      <c r="N12" s="42"/>
      <c r="O12" s="42"/>
      <c r="P12" s="117"/>
      <c r="Q12" s="73" t="e">
        <f>+((Benelux!I12*Benelux!$I$9)+(Benelux!M12*Benelux!$M$9)+(Benelux!U12*Benelux!$U$9)+(Benelux!Y12*Benelux!$Y$9))/'H7H9 BENELUX'!$Q$9</f>
        <v>#VALUE!</v>
      </c>
      <c r="R12" s="42" t="e">
        <f>+((Benelux!J12*Benelux!$J$9)+(Benelux!N12*Benelux!$N$9)+(Benelux!V12*Benelux!$V$9)+(Benelux!Z12*Benelux!$Z$9))/'H7H9 BENELUX'!$R$9</f>
        <v>#VALUE!</v>
      </c>
      <c r="S12" s="42" t="e">
        <f>+((Benelux!K12*Benelux!$K$9)+(Benelux!O12*Benelux!$O$9)+(Benelux!W12*Benelux!$W$9)+(Benelux!AA12*Benelux!$AA$9))/'H7H9 BENELUX'!$S$9</f>
        <v>#VALUE!</v>
      </c>
      <c r="T12" s="117"/>
      <c r="U12" s="84" t="e">
        <f>+((E12*$E$9)+(Q12*$Q$9))/$U$9</f>
        <v>#VALUE!</v>
      </c>
      <c r="V12" s="60" t="e">
        <f>+((F12*$F$9)+(R12*$R$9))/$V$9</f>
        <v>#VALUE!</v>
      </c>
      <c r="W12" s="60" t="e">
        <f>+((G12*$G$9)+(S12*$S$9))/$W$9</f>
        <v>#VALUE!</v>
      </c>
      <c r="X12" s="117"/>
      <c r="Y12" s="97"/>
      <c r="Z12" s="42"/>
      <c r="AA12" s="42"/>
      <c r="AB12" s="117"/>
      <c r="AC12" s="97"/>
      <c r="AD12" s="42"/>
      <c r="AE12" s="42"/>
      <c r="AF12" s="117"/>
      <c r="AG12" s="97"/>
      <c r="AH12" s="42"/>
      <c r="AI12" s="42"/>
      <c r="AJ12" s="117"/>
      <c r="AK12" s="97"/>
      <c r="AL12" s="42"/>
      <c r="AM12" s="42"/>
      <c r="AN12" s="117"/>
      <c r="AO12" s="99"/>
      <c r="AP12" s="60"/>
      <c r="AQ12" s="60"/>
      <c r="AR12" s="117"/>
      <c r="AS12" s="92" t="e">
        <f t="shared" si="5"/>
        <v>#VALUE!</v>
      </c>
      <c r="AT12" s="68" t="e">
        <f t="shared" si="2"/>
        <v>#VALUE!</v>
      </c>
      <c r="AU12" s="68" t="e">
        <f t="shared" si="3"/>
        <v>#VALUE!</v>
      </c>
      <c r="AV12" s="6"/>
      <c r="AW12" s="109"/>
      <c r="BA12" s="109"/>
      <c r="BE12" s="109"/>
      <c r="BI12" s="109"/>
      <c r="BM12" s="109"/>
    </row>
    <row r="13" spans="1:65" ht="16.5" hidden="1" x14ac:dyDescent="0.25">
      <c r="A13" s="212"/>
      <c r="B13" s="9"/>
      <c r="C13" s="38" t="s">
        <v>24</v>
      </c>
      <c r="D13" s="7"/>
      <c r="E13" s="74">
        <f>+((Benelux!E13*Benelux!$E$9)+(Benelux!Q13*Benelux!$Q$9))/'H7H9 BENELUX'!$E$9</f>
        <v>307.16117273954916</v>
      </c>
      <c r="F13" s="42">
        <f>+((Benelux!F13*Benelux!$F$9)+(Benelux!R13*Benelux!$R$9))/'H7H9 BENELUX'!$F$9</f>
        <v>306.86486438062786</v>
      </c>
      <c r="G13" s="42">
        <f>+((Benelux!G13*Benelux!$G$9)+(Benelux!S13*Benelux!$S$9))/'H7H9 BENELUX'!$G$9</f>
        <v>307.69439231954431</v>
      </c>
      <c r="H13" s="134"/>
      <c r="I13" s="97"/>
      <c r="J13" s="42"/>
      <c r="K13" s="42"/>
      <c r="L13" s="134"/>
      <c r="M13" s="97"/>
      <c r="N13" s="42"/>
      <c r="O13" s="42"/>
      <c r="P13" s="134"/>
      <c r="Q13" s="74" t="e">
        <f>+((Benelux!I13*Benelux!$I$9)+(Benelux!M13*Benelux!$M$9)+(Benelux!U13*Benelux!$U$9)+(Benelux!Y13*Benelux!$Y$9))/'H7H9 BENELUX'!$Q$9</f>
        <v>#VALUE!</v>
      </c>
      <c r="R13" s="42" t="e">
        <f>+((Benelux!J13*Benelux!$J$9)+(Benelux!N13*Benelux!$N$9)+(Benelux!V13*Benelux!$V$9)+(Benelux!Z13*Benelux!$Z$9))/'H7H9 BENELUX'!$R$9</f>
        <v>#VALUE!</v>
      </c>
      <c r="S13" s="42" t="e">
        <f>+((Benelux!K13*Benelux!$K$9)+(Benelux!O13*Benelux!$O$9)+(Benelux!W13*Benelux!$W$9)+(Benelux!AA13*Benelux!$AA$9))/'H7H9 BENELUX'!$S$9</f>
        <v>#VALUE!</v>
      </c>
      <c r="T13" s="134"/>
      <c r="U13" s="85" t="e">
        <f t="shared" ref="U13:U18" si="8">+((E13*$E$9)+(Q13*$Q$9))/$U$9</f>
        <v>#VALUE!</v>
      </c>
      <c r="V13" s="60" t="e">
        <f t="shared" ref="V13:V18" si="9">+((F13*$F$9)+(R13*$R$9))/$V$9</f>
        <v>#VALUE!</v>
      </c>
      <c r="W13" s="60" t="e">
        <f t="shared" ref="W13:W18" si="10">+((G13*$G$9)+(S13*$S$9))/$W$9</f>
        <v>#VALUE!</v>
      </c>
      <c r="X13" s="134"/>
      <c r="Y13" s="97"/>
      <c r="Z13" s="42"/>
      <c r="AA13" s="42"/>
      <c r="AB13" s="134"/>
      <c r="AC13" s="97"/>
      <c r="AD13" s="42"/>
      <c r="AE13" s="42"/>
      <c r="AF13" s="134"/>
      <c r="AG13" s="97"/>
      <c r="AH13" s="42"/>
      <c r="AI13" s="42"/>
      <c r="AJ13" s="134"/>
      <c r="AK13" s="97"/>
      <c r="AL13" s="42"/>
      <c r="AM13" s="42"/>
      <c r="AN13" s="134"/>
      <c r="AO13" s="99"/>
      <c r="AP13" s="60"/>
      <c r="AQ13" s="60"/>
      <c r="AR13" s="134"/>
      <c r="AS13" s="93" t="e">
        <f t="shared" si="5"/>
        <v>#VALUE!</v>
      </c>
      <c r="AT13" s="68" t="e">
        <f t="shared" si="2"/>
        <v>#VALUE!</v>
      </c>
      <c r="AU13" s="68" t="e">
        <f t="shared" si="3"/>
        <v>#VALUE!</v>
      </c>
      <c r="AV13" s="7"/>
      <c r="AW13" s="109"/>
      <c r="BA13" s="109"/>
      <c r="BE13" s="109"/>
      <c r="BI13" s="109"/>
      <c r="BM13" s="109"/>
    </row>
    <row r="14" spans="1:65" ht="16.5" hidden="1" x14ac:dyDescent="0.25">
      <c r="A14" s="212"/>
      <c r="B14" s="9"/>
      <c r="C14" s="38" t="s">
        <v>25</v>
      </c>
      <c r="D14" s="7"/>
      <c r="E14" s="74">
        <f>+((Benelux!E14*Benelux!$E$9)+(Benelux!Q14*Benelux!$Q$9))/'H7H9 BENELUX'!$E$9</f>
        <v>307.16117273954916</v>
      </c>
      <c r="F14" s="42">
        <f>+((Benelux!F14*Benelux!$F$9)+(Benelux!R14*Benelux!$R$9))/'H7H9 BENELUX'!$F$9</f>
        <v>306.86486438062786</v>
      </c>
      <c r="G14" s="42">
        <f>+((Benelux!G14*Benelux!$G$9)+(Benelux!S14*Benelux!$S$9))/'H7H9 BENELUX'!$G$9</f>
        <v>307.69439231954431</v>
      </c>
      <c r="H14" s="134"/>
      <c r="I14" s="97"/>
      <c r="J14" s="42"/>
      <c r="K14" s="42"/>
      <c r="L14" s="134"/>
      <c r="M14" s="97"/>
      <c r="N14" s="42"/>
      <c r="O14" s="42"/>
      <c r="P14" s="134"/>
      <c r="Q14" s="73" t="e">
        <f>+((Benelux!I14*Benelux!$I$9)+(Benelux!M14*Benelux!$M$9)+(Benelux!U14*Benelux!$U$9)+(Benelux!Y14*Benelux!$Y$9))/'H7H9 BENELUX'!$Q$9</f>
        <v>#VALUE!</v>
      </c>
      <c r="R14" s="42" t="e">
        <f>+((Benelux!J14*Benelux!$J$9)+(Benelux!N14*Benelux!$N$9)+(Benelux!V14*Benelux!$V$9)+(Benelux!Z14*Benelux!$Z$9))/'H7H9 BENELUX'!$R$9</f>
        <v>#VALUE!</v>
      </c>
      <c r="S14" s="42" t="e">
        <f>+((Benelux!K14*Benelux!$K$9)+(Benelux!O14*Benelux!$O$9)+(Benelux!W14*Benelux!$W$9)+(Benelux!AA14*Benelux!$AA$9))/'H7H9 BENELUX'!$S$9</f>
        <v>#VALUE!</v>
      </c>
      <c r="T14" s="134"/>
      <c r="U14" s="84" t="e">
        <f t="shared" si="8"/>
        <v>#VALUE!</v>
      </c>
      <c r="V14" s="60" t="e">
        <f t="shared" si="9"/>
        <v>#VALUE!</v>
      </c>
      <c r="W14" s="60" t="e">
        <f t="shared" si="10"/>
        <v>#VALUE!</v>
      </c>
      <c r="X14" s="134"/>
      <c r="Y14" s="97"/>
      <c r="Z14" s="42"/>
      <c r="AA14" s="42"/>
      <c r="AB14" s="134"/>
      <c r="AC14" s="97"/>
      <c r="AD14" s="42"/>
      <c r="AE14" s="42"/>
      <c r="AF14" s="134"/>
      <c r="AG14" s="97"/>
      <c r="AH14" s="42"/>
      <c r="AI14" s="42"/>
      <c r="AJ14" s="134"/>
      <c r="AK14" s="97"/>
      <c r="AL14" s="42"/>
      <c r="AM14" s="42"/>
      <c r="AN14" s="134"/>
      <c r="AO14" s="99"/>
      <c r="AP14" s="60"/>
      <c r="AQ14" s="60"/>
      <c r="AR14" s="134"/>
      <c r="AS14" s="92" t="e">
        <f t="shared" si="5"/>
        <v>#VALUE!</v>
      </c>
      <c r="AT14" s="68" t="e">
        <f t="shared" si="2"/>
        <v>#VALUE!</v>
      </c>
      <c r="AU14" s="68" t="e">
        <f t="shared" si="3"/>
        <v>#VALUE!</v>
      </c>
      <c r="AV14" s="7"/>
      <c r="AW14" s="109"/>
      <c r="BA14" s="109"/>
      <c r="BE14" s="109"/>
      <c r="BI14" s="109"/>
      <c r="BM14" s="109"/>
    </row>
    <row r="15" spans="1:65" ht="16.5" hidden="1" x14ac:dyDescent="0.25">
      <c r="A15" s="212"/>
      <c r="B15" s="9"/>
      <c r="C15" s="38" t="s">
        <v>53</v>
      </c>
      <c r="D15" s="7"/>
      <c r="E15" s="74">
        <f>+((Benelux!E15*Benelux!$E$9)+(Benelux!Q15*Benelux!$Q$9))/'H7H9 BENELUX'!$E$9</f>
        <v>307.16117273954916</v>
      </c>
      <c r="F15" s="42">
        <f>+((Benelux!F15*Benelux!$F$9)+(Benelux!R15*Benelux!$R$9))/'H7H9 BENELUX'!$F$9</f>
        <v>306.86486438062786</v>
      </c>
      <c r="G15" s="42">
        <f>+((Benelux!G15*Benelux!$G$9)+(Benelux!S15*Benelux!$S$9))/'H7H9 BENELUX'!$G$9</f>
        <v>307.69439231954431</v>
      </c>
      <c r="H15" s="134"/>
      <c r="I15" s="97"/>
      <c r="J15" s="42"/>
      <c r="K15" s="42"/>
      <c r="L15" s="134"/>
      <c r="M15" s="97"/>
      <c r="N15" s="42"/>
      <c r="O15" s="42"/>
      <c r="P15" s="134"/>
      <c r="Q15" s="74" t="e">
        <f>+((Benelux!I15*Benelux!$I$9)+(Benelux!M15*Benelux!$M$9)+(Benelux!U15*Benelux!$U$9)+(Benelux!Y15*Benelux!$Y$9))/'H7H9 BENELUX'!$Q$9</f>
        <v>#VALUE!</v>
      </c>
      <c r="R15" s="42" t="e">
        <f>+((Benelux!J15*Benelux!$J$9)+(Benelux!N15*Benelux!$N$9)+(Benelux!V15*Benelux!$V$9)+(Benelux!Z15*Benelux!$Z$9))/'H7H9 BENELUX'!$R$9</f>
        <v>#VALUE!</v>
      </c>
      <c r="S15" s="42" t="e">
        <f>+((Benelux!K15*Benelux!$K$9)+(Benelux!O15*Benelux!$O$9)+(Benelux!W15*Benelux!$W$9)+(Benelux!AA15*Benelux!$AA$9))/'H7H9 BENELUX'!$S$9</f>
        <v>#VALUE!</v>
      </c>
      <c r="T15" s="134"/>
      <c r="U15" s="85" t="e">
        <f t="shared" si="8"/>
        <v>#VALUE!</v>
      </c>
      <c r="V15" s="60" t="e">
        <f t="shared" si="9"/>
        <v>#VALUE!</v>
      </c>
      <c r="W15" s="60" t="e">
        <f t="shared" si="10"/>
        <v>#VALUE!</v>
      </c>
      <c r="X15" s="134"/>
      <c r="Y15" s="97"/>
      <c r="Z15" s="42"/>
      <c r="AA15" s="42"/>
      <c r="AB15" s="134"/>
      <c r="AC15" s="97"/>
      <c r="AD15" s="42"/>
      <c r="AE15" s="42"/>
      <c r="AF15" s="134"/>
      <c r="AG15" s="97"/>
      <c r="AH15" s="42"/>
      <c r="AI15" s="42"/>
      <c r="AJ15" s="134"/>
      <c r="AK15" s="97"/>
      <c r="AL15" s="42"/>
      <c r="AM15" s="42"/>
      <c r="AN15" s="134"/>
      <c r="AO15" s="99"/>
      <c r="AP15" s="60"/>
      <c r="AQ15" s="60"/>
      <c r="AR15" s="134"/>
      <c r="AS15" s="93" t="e">
        <f t="shared" si="5"/>
        <v>#VALUE!</v>
      </c>
      <c r="AT15" s="68" t="e">
        <f t="shared" si="2"/>
        <v>#VALUE!</v>
      </c>
      <c r="AU15" s="68" t="e">
        <f t="shared" si="3"/>
        <v>#VALUE!</v>
      </c>
      <c r="AV15" s="7"/>
      <c r="AW15" s="109"/>
      <c r="BA15" s="109"/>
      <c r="BE15" s="109"/>
      <c r="BI15" s="109"/>
      <c r="BM15" s="109"/>
    </row>
    <row r="16" spans="1:65" ht="16.5" hidden="1" x14ac:dyDescent="0.25">
      <c r="A16" s="212"/>
      <c r="B16" s="9"/>
      <c r="C16" s="116" t="s">
        <v>27</v>
      </c>
      <c r="D16" s="7"/>
      <c r="E16" s="126">
        <f>+((Benelux!E16*Benelux!$E$9)+(Benelux!Q16*Benelux!$Q$9))/'H7H9 BENELUX'!$E$9</f>
        <v>307.15426549640512</v>
      </c>
      <c r="F16" s="127">
        <f>+((Benelux!F16*Benelux!$F$9)+(Benelux!R16*Benelux!$R$9))/'H7H9 BENELUX'!$F$9</f>
        <v>306.85789441903842</v>
      </c>
      <c r="G16" s="127">
        <f>+((Benelux!G16*Benelux!$G$9)+(Benelux!S16*Benelux!$S$9))/'H7H9 BENELUX'!$G$9</f>
        <v>307.68868862878821</v>
      </c>
      <c r="H16" s="134"/>
      <c r="I16" s="131"/>
      <c r="J16" s="127"/>
      <c r="K16" s="127"/>
      <c r="L16" s="134"/>
      <c r="M16" s="131"/>
      <c r="N16" s="127"/>
      <c r="O16" s="127"/>
      <c r="P16" s="134"/>
      <c r="Q16" s="126" t="e">
        <f>+((Benelux!I16*Benelux!$I$9)+(Benelux!M16*Benelux!$M$9)+(Benelux!U16*Benelux!$U$9)+(Benelux!Y16*Benelux!$Y$9))/'H7H9 BENELUX'!$Q$9</f>
        <v>#VALUE!</v>
      </c>
      <c r="R16" s="127" t="e">
        <f>+((Benelux!J16*Benelux!$J$9)+(Benelux!N16*Benelux!$N$9)+(Benelux!V16*Benelux!$V$9)+(Benelux!Z16*Benelux!$Z$9))/'H7H9 BENELUX'!$R$9</f>
        <v>#VALUE!</v>
      </c>
      <c r="S16" s="127" t="e">
        <f>+((Benelux!K16*Benelux!$K$9)+(Benelux!O16*Benelux!$O$9)+(Benelux!W16*Benelux!$W$9)+(Benelux!AA16*Benelux!$AA$9))/'H7H9 BENELUX'!$S$9</f>
        <v>#VALUE!</v>
      </c>
      <c r="T16" s="134"/>
      <c r="U16" s="132" t="e">
        <f t="shared" si="8"/>
        <v>#VALUE!</v>
      </c>
      <c r="V16" s="130" t="e">
        <f t="shared" si="9"/>
        <v>#VALUE!</v>
      </c>
      <c r="W16" s="130" t="e">
        <f t="shared" si="10"/>
        <v>#VALUE!</v>
      </c>
      <c r="X16" s="134"/>
      <c r="Y16" s="131"/>
      <c r="Z16" s="127"/>
      <c r="AA16" s="127"/>
      <c r="AB16" s="134"/>
      <c r="AC16" s="131"/>
      <c r="AD16" s="127"/>
      <c r="AE16" s="127"/>
      <c r="AF16" s="134"/>
      <c r="AG16" s="131"/>
      <c r="AH16" s="127"/>
      <c r="AI16" s="127"/>
      <c r="AJ16" s="134"/>
      <c r="AK16" s="131"/>
      <c r="AL16" s="127"/>
      <c r="AM16" s="127"/>
      <c r="AN16" s="134"/>
      <c r="AO16" s="133"/>
      <c r="AP16" s="130"/>
      <c r="AQ16" s="130"/>
      <c r="AR16" s="134"/>
      <c r="AS16" s="162" t="e">
        <f t="shared" si="5"/>
        <v>#VALUE!</v>
      </c>
      <c r="AT16" s="163" t="e">
        <f t="shared" si="2"/>
        <v>#VALUE!</v>
      </c>
      <c r="AU16" s="163" t="e">
        <f t="shared" si="3"/>
        <v>#VALUE!</v>
      </c>
      <c r="AV16" s="7"/>
      <c r="AW16" s="109"/>
      <c r="BA16" s="109"/>
      <c r="BE16" s="109"/>
      <c r="BI16" s="109"/>
      <c r="BM16" s="109"/>
    </row>
    <row r="17" spans="1:65" ht="16.5" hidden="1" x14ac:dyDescent="0.25">
      <c r="A17" s="212"/>
      <c r="B17" s="9"/>
      <c r="C17" s="116" t="s">
        <v>57</v>
      </c>
      <c r="D17" s="7"/>
      <c r="E17" s="128">
        <f>+((Benelux!E17*Benelux!$E$9)+(Benelux!Q17*Benelux!$Q$9))/'H7H9 BENELUX'!$E$9</f>
        <v>307.17526015907447</v>
      </c>
      <c r="F17" s="127">
        <f>+((Benelux!F17*Benelux!$F$9)+(Benelux!R17*Benelux!$R$9))/'H7H9 BENELUX'!$F$9</f>
        <v>306.83845867193475</v>
      </c>
      <c r="G17" s="127">
        <f>+((Benelux!G17*Benelux!$G$9)+(Benelux!S17*Benelux!$S$9))/'H7H9 BENELUX'!$G$9</f>
        <v>307.68814584710208</v>
      </c>
      <c r="H17" s="134"/>
      <c r="I17" s="131"/>
      <c r="J17" s="127"/>
      <c r="K17" s="127"/>
      <c r="L17" s="134"/>
      <c r="M17" s="131"/>
      <c r="N17" s="127"/>
      <c r="O17" s="127"/>
      <c r="P17" s="134"/>
      <c r="Q17" s="128" t="e">
        <f>+((Benelux!I17*Benelux!$I$9)+(Benelux!M17*Benelux!$M$9)+(Benelux!U17*Benelux!$U$9)+(Benelux!Y17*Benelux!$Y$9))/'H7H9 BENELUX'!$Q$9</f>
        <v>#VALUE!</v>
      </c>
      <c r="R17" s="127" t="e">
        <f>+((Benelux!J17*Benelux!$J$9)+(Benelux!N17*Benelux!$N$9)+(Benelux!V17*Benelux!$V$9)+(Benelux!Z17*Benelux!$Z$9))/'H7H9 BENELUX'!$R$9</f>
        <v>#VALUE!</v>
      </c>
      <c r="S17" s="127" t="e">
        <f>+((Benelux!K17*Benelux!$K$9)+(Benelux!O17*Benelux!$O$9)+(Benelux!W17*Benelux!$W$9)+(Benelux!AA17*Benelux!$AA$9))/'H7H9 BENELUX'!$S$9</f>
        <v>#VALUE!</v>
      </c>
      <c r="T17" s="134"/>
      <c r="U17" s="129" t="e">
        <f t="shared" si="8"/>
        <v>#VALUE!</v>
      </c>
      <c r="V17" s="130" t="e">
        <f t="shared" si="9"/>
        <v>#VALUE!</v>
      </c>
      <c r="W17" s="130" t="e">
        <f t="shared" si="10"/>
        <v>#VALUE!</v>
      </c>
      <c r="X17" s="134"/>
      <c r="Y17" s="131"/>
      <c r="Z17" s="127"/>
      <c r="AA17" s="127"/>
      <c r="AB17" s="134"/>
      <c r="AC17" s="131"/>
      <c r="AD17" s="127"/>
      <c r="AE17" s="127"/>
      <c r="AF17" s="134"/>
      <c r="AG17" s="131"/>
      <c r="AH17" s="127"/>
      <c r="AI17" s="127"/>
      <c r="AJ17" s="134"/>
      <c r="AK17" s="131"/>
      <c r="AL17" s="127"/>
      <c r="AM17" s="127"/>
      <c r="AN17" s="134"/>
      <c r="AO17" s="133"/>
      <c r="AP17" s="130"/>
      <c r="AQ17" s="130"/>
      <c r="AR17" s="134"/>
      <c r="AS17" s="164" t="e">
        <f t="shared" si="5"/>
        <v>#VALUE!</v>
      </c>
      <c r="AT17" s="163" t="e">
        <f t="shared" si="2"/>
        <v>#VALUE!</v>
      </c>
      <c r="AU17" s="163" t="e">
        <f t="shared" si="3"/>
        <v>#VALUE!</v>
      </c>
      <c r="AV17" s="7"/>
      <c r="AW17" s="109"/>
      <c r="BA17" s="109"/>
      <c r="BE17" s="109"/>
      <c r="BI17" s="109"/>
      <c r="BM17" s="109"/>
    </row>
    <row r="18" spans="1:65" ht="16.5" hidden="1" x14ac:dyDescent="0.25">
      <c r="A18" s="212"/>
      <c r="B18" s="9"/>
      <c r="C18" s="116" t="s">
        <v>29</v>
      </c>
      <c r="D18" s="7"/>
      <c r="E18" s="126">
        <f>+((Benelux!E18*Benelux!$E$9)+(Benelux!Q18*Benelux!$Q$9))/'H7H9 BENELUX'!$E$9</f>
        <v>307.13406515838386</v>
      </c>
      <c r="F18" s="127">
        <f>+((Benelux!F18*Benelux!$F$9)+(Benelux!R18*Benelux!$R$9))/'H7H9 BENELUX'!$F$9</f>
        <v>306.85857252355311</v>
      </c>
      <c r="G18" s="127">
        <f>+((Benelux!G18*Benelux!$G$9)+(Benelux!S18*Benelux!$S$9))/'H7H9 BENELUX'!$G$9</f>
        <v>307.6894164004417</v>
      </c>
      <c r="H18" s="134"/>
      <c r="I18" s="131"/>
      <c r="J18" s="127"/>
      <c r="K18" s="127"/>
      <c r="L18" s="134"/>
      <c r="M18" s="131"/>
      <c r="N18" s="127"/>
      <c r="O18" s="127"/>
      <c r="P18" s="134"/>
      <c r="Q18" s="126" t="e">
        <f>+((Benelux!I18*Benelux!$I$9)+(Benelux!M18*Benelux!$M$9)+(Benelux!U18*Benelux!$U$9)+(Benelux!Y18*Benelux!$Y$9))/'H7H9 BENELUX'!$Q$9</f>
        <v>#VALUE!</v>
      </c>
      <c r="R18" s="127" t="e">
        <f>+((Benelux!J18*Benelux!$J$9)+(Benelux!N18*Benelux!$N$9)+(Benelux!V18*Benelux!$V$9)+(Benelux!Z18*Benelux!$Z$9))/'H7H9 BENELUX'!$R$9</f>
        <v>#VALUE!</v>
      </c>
      <c r="S18" s="127" t="e">
        <f>+((Benelux!K18*Benelux!$K$9)+(Benelux!O18*Benelux!$O$9)+(Benelux!W18*Benelux!$W$9)+(Benelux!AA18*Benelux!$AA$9))/'H7H9 BENELUX'!$S$9</f>
        <v>#VALUE!</v>
      </c>
      <c r="T18" s="134"/>
      <c r="U18" s="132" t="e">
        <f t="shared" si="8"/>
        <v>#VALUE!</v>
      </c>
      <c r="V18" s="130" t="e">
        <f t="shared" si="9"/>
        <v>#VALUE!</v>
      </c>
      <c r="W18" s="130" t="e">
        <f t="shared" si="10"/>
        <v>#VALUE!</v>
      </c>
      <c r="X18" s="134"/>
      <c r="Y18" s="131"/>
      <c r="Z18" s="127"/>
      <c r="AA18" s="127"/>
      <c r="AB18" s="134"/>
      <c r="AC18" s="131"/>
      <c r="AD18" s="127"/>
      <c r="AE18" s="127"/>
      <c r="AF18" s="134"/>
      <c r="AG18" s="131"/>
      <c r="AH18" s="127"/>
      <c r="AI18" s="127"/>
      <c r="AJ18" s="134"/>
      <c r="AK18" s="131"/>
      <c r="AL18" s="127"/>
      <c r="AM18" s="127"/>
      <c r="AN18" s="134"/>
      <c r="AO18" s="133"/>
      <c r="AP18" s="130"/>
      <c r="AQ18" s="130"/>
      <c r="AR18" s="134"/>
      <c r="AS18" s="162" t="e">
        <f t="shared" si="5"/>
        <v>#VALUE!</v>
      </c>
      <c r="AT18" s="163" t="e">
        <f t="shared" si="2"/>
        <v>#VALUE!</v>
      </c>
      <c r="AU18" s="163" t="e">
        <f t="shared" si="3"/>
        <v>#VALUE!</v>
      </c>
      <c r="AV18" s="7"/>
      <c r="AW18" s="109"/>
      <c r="BA18" s="109"/>
      <c r="BE18" s="109"/>
      <c r="BI18" s="109"/>
      <c r="BM18" s="109"/>
    </row>
    <row r="19" spans="1:65" ht="16.5" hidden="1" x14ac:dyDescent="0.25">
      <c r="A19" s="212"/>
      <c r="B19" s="9"/>
      <c r="C19" s="116" t="s">
        <v>58</v>
      </c>
      <c r="D19" s="7"/>
      <c r="E19" s="131">
        <f>+E20+E21+E22</f>
        <v>921.51586401908787</v>
      </c>
      <c r="F19" s="127">
        <f t="shared" ref="F19:G19" si="11">+F20+F21+F22</f>
        <v>920.62763151047784</v>
      </c>
      <c r="G19" s="127">
        <f t="shared" si="11"/>
        <v>923.11427645302444</v>
      </c>
      <c r="H19" s="134"/>
      <c r="I19" s="131"/>
      <c r="J19" s="127"/>
      <c r="K19" s="127"/>
      <c r="L19" s="134"/>
      <c r="M19" s="131"/>
      <c r="N19" s="127"/>
      <c r="O19" s="127"/>
      <c r="P19" s="134"/>
      <c r="Q19" s="126" t="e">
        <f>+Q20+Q21+Q22</f>
        <v>#VALUE!</v>
      </c>
      <c r="R19" s="127" t="e">
        <f>+R20+R21+R22</f>
        <v>#VALUE!</v>
      </c>
      <c r="S19" s="127" t="e">
        <f>+S20+S21+S22</f>
        <v>#VALUE!</v>
      </c>
      <c r="T19" s="134"/>
      <c r="U19" s="132" t="e">
        <f>+U20+U21+U22</f>
        <v>#VALUE!</v>
      </c>
      <c r="V19" s="130" t="e">
        <f>+V20+V21+V22</f>
        <v>#VALUE!</v>
      </c>
      <c r="W19" s="130" t="e">
        <f>+W20+W21+W22</f>
        <v>#VALUE!</v>
      </c>
      <c r="X19" s="134"/>
      <c r="Y19" s="131"/>
      <c r="Z19" s="127"/>
      <c r="AA19" s="127"/>
      <c r="AB19" s="134"/>
      <c r="AC19" s="131"/>
      <c r="AD19" s="127"/>
      <c r="AE19" s="127"/>
      <c r="AF19" s="134"/>
      <c r="AG19" s="131"/>
      <c r="AH19" s="127"/>
      <c r="AI19" s="127"/>
      <c r="AJ19" s="134"/>
      <c r="AK19" s="131"/>
      <c r="AL19" s="127"/>
      <c r="AM19" s="127"/>
      <c r="AN19" s="134"/>
      <c r="AO19" s="133"/>
      <c r="AP19" s="130"/>
      <c r="AQ19" s="130"/>
      <c r="AR19" s="134"/>
      <c r="AS19" s="162" t="e">
        <f t="shared" si="5"/>
        <v>#VALUE!</v>
      </c>
      <c r="AT19" s="163" t="e">
        <f t="shared" si="2"/>
        <v>#VALUE!</v>
      </c>
      <c r="AU19" s="163" t="e">
        <f t="shared" si="3"/>
        <v>#VALUE!</v>
      </c>
      <c r="AV19" s="7"/>
      <c r="AW19" s="109"/>
      <c r="BA19" s="109"/>
      <c r="BE19" s="109"/>
      <c r="BI19" s="109"/>
      <c r="BM19" s="109"/>
    </row>
    <row r="20" spans="1:65" ht="16.5" hidden="1" x14ac:dyDescent="0.25">
      <c r="A20" s="212"/>
      <c r="B20" s="9"/>
      <c r="C20" s="39" t="s">
        <v>59</v>
      </c>
      <c r="D20" s="8"/>
      <c r="E20" s="73">
        <f>+((Benelux!E20*Benelux!$E$9)+(Benelux!Q20*Benelux!$Q$9))/'H7H9 BENELUX'!$E$9</f>
        <v>307.17195467302929</v>
      </c>
      <c r="F20" s="42">
        <f>+((Benelux!F20*Benelux!$F$9)+(Benelux!R20*Benelux!$R$9))/'H7H9 BENELUX'!$F$9</f>
        <v>306.8758771701593</v>
      </c>
      <c r="G20" s="42">
        <f>+((Benelux!G20*Benelux!$G$9)+(Benelux!S20*Benelux!$S$9))/'H7H9 BENELUX'!$G$9</f>
        <v>307.70475881767481</v>
      </c>
      <c r="H20" s="135"/>
      <c r="I20" s="97"/>
      <c r="J20" s="42"/>
      <c r="K20" s="42"/>
      <c r="L20" s="135"/>
      <c r="M20" s="97"/>
      <c r="N20" s="42"/>
      <c r="O20" s="42"/>
      <c r="P20" s="135"/>
      <c r="Q20" s="74" t="e">
        <f>+((Benelux!I20*Benelux!$I$9)+(Benelux!M20*Benelux!$M$9)+(Benelux!U20*Benelux!$U$9)+(Benelux!Y20*Benelux!$Y$9))/'H7H9 BENELUX'!$Q$9</f>
        <v>#VALUE!</v>
      </c>
      <c r="R20" s="42" t="e">
        <f>+((Benelux!J20*Benelux!$J$9)+(Benelux!N20*Benelux!$N$9)+(Benelux!V20*Benelux!$V$9)+(Benelux!Z20*Benelux!$Z$9))/'H7H9 BENELUX'!$R$9</f>
        <v>#VALUE!</v>
      </c>
      <c r="S20" s="42" t="e">
        <f>+((Benelux!K20*Benelux!$K$9)+(Benelux!O20*Benelux!$O$9)+(Benelux!W20*Benelux!$W$9)+(Benelux!AA20*Benelux!$AA$9))/'H7H9 BENELUX'!$S$9</f>
        <v>#VALUE!</v>
      </c>
      <c r="T20" s="135"/>
      <c r="U20" s="85" t="e">
        <f t="shared" ref="U20:U22" si="12">+((E20*$E$9)+(Q20*$Q$9))/$U$9</f>
        <v>#VALUE!</v>
      </c>
      <c r="V20" s="60" t="e">
        <f t="shared" ref="V20:V22" si="13">+((F20*$F$9)+(R20*$R$9))/$V$9</f>
        <v>#VALUE!</v>
      </c>
      <c r="W20" s="60" t="e">
        <f t="shared" ref="W20:W22" si="14">+((G20*$G$9)+(S20*$S$9))/$W$9</f>
        <v>#VALUE!</v>
      </c>
      <c r="X20" s="135"/>
      <c r="Y20" s="97"/>
      <c r="Z20" s="42"/>
      <c r="AA20" s="42"/>
      <c r="AB20" s="135"/>
      <c r="AC20" s="97"/>
      <c r="AD20" s="42"/>
      <c r="AE20" s="42"/>
      <c r="AF20" s="135"/>
      <c r="AG20" s="97"/>
      <c r="AH20" s="42"/>
      <c r="AI20" s="42"/>
      <c r="AJ20" s="135"/>
      <c r="AK20" s="97"/>
      <c r="AL20" s="42"/>
      <c r="AM20" s="42"/>
      <c r="AN20" s="135"/>
      <c r="AO20" s="99"/>
      <c r="AP20" s="60"/>
      <c r="AQ20" s="60"/>
      <c r="AR20" s="135"/>
      <c r="AS20" s="93" t="e">
        <f t="shared" si="5"/>
        <v>#VALUE!</v>
      </c>
      <c r="AT20" s="68" t="e">
        <f t="shared" si="2"/>
        <v>#VALUE!</v>
      </c>
      <c r="AU20" s="68" t="e">
        <f t="shared" si="3"/>
        <v>#VALUE!</v>
      </c>
      <c r="AV20" s="8"/>
      <c r="AW20" s="109"/>
      <c r="BA20" s="109"/>
      <c r="BE20" s="109"/>
      <c r="BI20" s="109"/>
      <c r="BM20" s="109"/>
    </row>
    <row r="21" spans="1:65" ht="16.5" hidden="1" x14ac:dyDescent="0.25">
      <c r="A21" s="212"/>
      <c r="B21" s="9"/>
      <c r="C21" s="39" t="s">
        <v>60</v>
      </c>
      <c r="D21" s="8"/>
      <c r="E21" s="74">
        <f>+((Benelux!E21*Benelux!$E$9)+(Benelux!Q21*Benelux!$Q$9))/'H7H9 BENELUX'!$E$9</f>
        <v>307.17195467302929</v>
      </c>
      <c r="F21" s="42">
        <f>+((Benelux!F21*Benelux!$F$9)+(Benelux!R21*Benelux!$R$9))/'H7H9 BENELUX'!$F$9</f>
        <v>306.8758771701593</v>
      </c>
      <c r="G21" s="42">
        <f>+((Benelux!G21*Benelux!$G$9)+(Benelux!S21*Benelux!$S$9))/'H7H9 BENELUX'!$G$9</f>
        <v>307.70475881767481</v>
      </c>
      <c r="H21" s="135"/>
      <c r="I21" s="97"/>
      <c r="J21" s="42"/>
      <c r="K21" s="42"/>
      <c r="L21" s="135"/>
      <c r="M21" s="97"/>
      <c r="N21" s="42"/>
      <c r="O21" s="42"/>
      <c r="P21" s="135"/>
      <c r="Q21" s="74" t="e">
        <f>+((Benelux!I21*Benelux!$I$9)+(Benelux!M21*Benelux!$M$9)+(Benelux!U21*Benelux!$U$9)+(Benelux!Y21*Benelux!$Y$9))/'H7H9 BENELUX'!$Q$9</f>
        <v>#VALUE!</v>
      </c>
      <c r="R21" s="42" t="e">
        <f>+((Benelux!J21*Benelux!$J$9)+(Benelux!N21*Benelux!$N$9)+(Benelux!V21*Benelux!$V$9)+(Benelux!Z21*Benelux!$Z$9))/'H7H9 BENELUX'!$R$9</f>
        <v>#VALUE!</v>
      </c>
      <c r="S21" s="42" t="e">
        <f>+((Benelux!K21*Benelux!$K$9)+(Benelux!O21*Benelux!$O$9)+(Benelux!W21*Benelux!$W$9)+(Benelux!AA21*Benelux!$AA$9))/'H7H9 BENELUX'!$S$9</f>
        <v>#VALUE!</v>
      </c>
      <c r="T21" s="135"/>
      <c r="U21" s="85" t="e">
        <f t="shared" si="12"/>
        <v>#VALUE!</v>
      </c>
      <c r="V21" s="60" t="e">
        <f t="shared" si="13"/>
        <v>#VALUE!</v>
      </c>
      <c r="W21" s="60" t="e">
        <f t="shared" si="14"/>
        <v>#VALUE!</v>
      </c>
      <c r="X21" s="135"/>
      <c r="Y21" s="97"/>
      <c r="Z21" s="42"/>
      <c r="AA21" s="42"/>
      <c r="AB21" s="135"/>
      <c r="AC21" s="97"/>
      <c r="AD21" s="42"/>
      <c r="AE21" s="42"/>
      <c r="AF21" s="135"/>
      <c r="AG21" s="97"/>
      <c r="AH21" s="42"/>
      <c r="AI21" s="42"/>
      <c r="AJ21" s="135"/>
      <c r="AK21" s="97"/>
      <c r="AL21" s="42"/>
      <c r="AM21" s="42"/>
      <c r="AN21" s="135"/>
      <c r="AO21" s="99"/>
      <c r="AP21" s="60"/>
      <c r="AQ21" s="60"/>
      <c r="AR21" s="135"/>
      <c r="AS21" s="93" t="e">
        <f t="shared" si="5"/>
        <v>#VALUE!</v>
      </c>
      <c r="AT21" s="68" t="e">
        <f t="shared" si="2"/>
        <v>#VALUE!</v>
      </c>
      <c r="AU21" s="68" t="e">
        <f t="shared" si="3"/>
        <v>#VALUE!</v>
      </c>
      <c r="AV21" s="8"/>
      <c r="AW21" s="109"/>
      <c r="BA21" s="109"/>
      <c r="BE21" s="109"/>
      <c r="BI21" s="109"/>
      <c r="BM21" s="109"/>
    </row>
    <row r="22" spans="1:65" ht="16.5" hidden="1" x14ac:dyDescent="0.25">
      <c r="A22" s="212"/>
      <c r="B22" s="9"/>
      <c r="C22" s="39" t="s">
        <v>61</v>
      </c>
      <c r="D22" s="8"/>
      <c r="E22" s="74">
        <f>+((Benelux!E22*Benelux!$E$9)+(Benelux!Q22*Benelux!$Q$9))/'H7H9 BENELUX'!$E$9</f>
        <v>307.17195467302929</v>
      </c>
      <c r="F22" s="42">
        <f>+((Benelux!F22*Benelux!$F$9)+(Benelux!R22*Benelux!$R$9))/'H7H9 BENELUX'!$F$9</f>
        <v>306.8758771701593</v>
      </c>
      <c r="G22" s="42">
        <f>+((Benelux!G22*Benelux!$G$9)+(Benelux!S22*Benelux!$S$9))/'H7H9 BENELUX'!$G$9</f>
        <v>307.70475881767481</v>
      </c>
      <c r="H22" s="135"/>
      <c r="I22" s="97"/>
      <c r="J22" s="42"/>
      <c r="K22" s="42"/>
      <c r="L22" s="135"/>
      <c r="M22" s="97"/>
      <c r="N22" s="42"/>
      <c r="O22" s="42"/>
      <c r="P22" s="135"/>
      <c r="Q22" s="74" t="e">
        <f>+((Benelux!I22*Benelux!$I$9)+(Benelux!M22*Benelux!$M$9)+(Benelux!U22*Benelux!$U$9)+(Benelux!Y22*Benelux!$Y$9))/'H7H9 BENELUX'!$Q$9</f>
        <v>#VALUE!</v>
      </c>
      <c r="R22" s="42" t="e">
        <f>+((Benelux!J22*Benelux!$J$9)+(Benelux!N22*Benelux!$N$9)+(Benelux!V22*Benelux!$V$9)+(Benelux!Z22*Benelux!$Z$9))/'H7H9 BENELUX'!$R$9</f>
        <v>#VALUE!</v>
      </c>
      <c r="S22" s="42" t="e">
        <f>+((Benelux!K22*Benelux!$K$9)+(Benelux!O22*Benelux!$O$9)+(Benelux!W22*Benelux!$W$9)+(Benelux!AA22*Benelux!$AA$9))/'H7H9 BENELUX'!$S$9</f>
        <v>#VALUE!</v>
      </c>
      <c r="T22" s="135"/>
      <c r="U22" s="85" t="e">
        <f t="shared" si="12"/>
        <v>#VALUE!</v>
      </c>
      <c r="V22" s="60" t="e">
        <f t="shared" si="13"/>
        <v>#VALUE!</v>
      </c>
      <c r="W22" s="60" t="e">
        <f t="shared" si="14"/>
        <v>#VALUE!</v>
      </c>
      <c r="X22" s="135"/>
      <c r="Y22" s="97"/>
      <c r="Z22" s="42"/>
      <c r="AA22" s="42"/>
      <c r="AB22" s="135"/>
      <c r="AC22" s="97"/>
      <c r="AD22" s="42"/>
      <c r="AE22" s="42"/>
      <c r="AF22" s="135"/>
      <c r="AG22" s="97"/>
      <c r="AH22" s="42"/>
      <c r="AI22" s="42"/>
      <c r="AJ22" s="135"/>
      <c r="AK22" s="97"/>
      <c r="AL22" s="42"/>
      <c r="AM22" s="42"/>
      <c r="AN22" s="135"/>
      <c r="AO22" s="99"/>
      <c r="AP22" s="60"/>
      <c r="AQ22" s="60"/>
      <c r="AR22" s="135"/>
      <c r="AS22" s="93" t="e">
        <f t="shared" si="5"/>
        <v>#VALUE!</v>
      </c>
      <c r="AT22" s="68" t="e">
        <f t="shared" si="2"/>
        <v>#VALUE!</v>
      </c>
      <c r="AU22" s="68" t="e">
        <f t="shared" si="3"/>
        <v>#VALUE!</v>
      </c>
      <c r="AV22" s="8"/>
      <c r="AW22" s="109"/>
      <c r="BA22" s="109"/>
      <c r="BE22" s="109"/>
      <c r="BI22" s="109"/>
      <c r="BM22" s="109"/>
    </row>
    <row r="23" spans="1:65" ht="16.5" hidden="1" x14ac:dyDescent="0.25">
      <c r="A23" s="212"/>
      <c r="B23" s="9"/>
      <c r="C23" s="116" t="s">
        <v>34</v>
      </c>
      <c r="D23" s="6"/>
      <c r="E23" s="118">
        <f>+Benelux!E23+Benelux!Q23</f>
        <v>321.37</v>
      </c>
      <c r="F23" s="119">
        <f>+Benelux!F23+Benelux!R23</f>
        <v>321.37</v>
      </c>
      <c r="G23" s="119">
        <f>+Benelux!G23+Benelux!S23</f>
        <v>321.37</v>
      </c>
      <c r="H23" s="117"/>
      <c r="I23" s="121"/>
      <c r="J23" s="119"/>
      <c r="K23" s="119"/>
      <c r="L23" s="117"/>
      <c r="M23" s="121"/>
      <c r="N23" s="119"/>
      <c r="O23" s="119"/>
      <c r="P23" s="117"/>
      <c r="Q23" s="121" t="e">
        <f>+Benelux!I23+Benelux!M23+Benelux!U23+Benelux!Y23</f>
        <v>#VALUE!</v>
      </c>
      <c r="R23" s="119" t="e">
        <f>+Benelux!J23+Benelux!N23+Benelux!V23+Benelux!Z23</f>
        <v>#VALUE!</v>
      </c>
      <c r="S23" s="119" t="e">
        <f>+Benelux!K23+Benelux!O23+Benelux!W23+Benelux!AA23</f>
        <v>#VALUE!</v>
      </c>
      <c r="T23" s="117"/>
      <c r="U23" s="124" t="e">
        <f t="shared" ref="U23:W23" si="15">+E23+Q23</f>
        <v>#VALUE!</v>
      </c>
      <c r="V23" s="123" t="e">
        <f t="shared" si="15"/>
        <v>#VALUE!</v>
      </c>
      <c r="W23" s="123" t="e">
        <f t="shared" si="15"/>
        <v>#VALUE!</v>
      </c>
      <c r="X23" s="117"/>
      <c r="Y23" s="121"/>
      <c r="Z23" s="119"/>
      <c r="AA23" s="119"/>
      <c r="AB23" s="117"/>
      <c r="AC23" s="121"/>
      <c r="AD23" s="119"/>
      <c r="AE23" s="119"/>
      <c r="AF23" s="117"/>
      <c r="AG23" s="121"/>
      <c r="AH23" s="119"/>
      <c r="AI23" s="119"/>
      <c r="AJ23" s="117"/>
      <c r="AK23" s="121"/>
      <c r="AL23" s="119"/>
      <c r="AM23" s="119"/>
      <c r="AN23" s="117"/>
      <c r="AO23" s="124"/>
      <c r="AP23" s="165"/>
      <c r="AQ23" s="123"/>
      <c r="AR23" s="117"/>
      <c r="AS23" s="161" t="e">
        <f t="shared" si="5"/>
        <v>#VALUE!</v>
      </c>
      <c r="AT23" s="160" t="e">
        <f t="shared" si="2"/>
        <v>#VALUE!</v>
      </c>
      <c r="AU23" s="160" t="e">
        <f t="shared" si="3"/>
        <v>#VALUE!</v>
      </c>
      <c r="AV23" s="6"/>
      <c r="AW23" s="108"/>
      <c r="BA23" s="108"/>
      <c r="BE23" s="108"/>
      <c r="BI23" s="108"/>
      <c r="BM23" s="108"/>
    </row>
    <row r="24" spans="1:65" hidden="1" x14ac:dyDescent="0.35"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</row>
    <row r="25" spans="1:65" ht="16.5" hidden="1" outlineLevel="1" x14ac:dyDescent="0.25">
      <c r="A25" s="212" t="s">
        <v>35</v>
      </c>
      <c r="B25" s="9"/>
      <c r="C25" s="116" t="s">
        <v>19</v>
      </c>
      <c r="D25" s="6"/>
      <c r="E25" s="118">
        <f>+Benelux!E25+Benelux!Q25</f>
        <v>26.81275626</v>
      </c>
      <c r="F25" s="119">
        <f>+Benelux!F25+Benelux!R25</f>
        <v>25.205441159999996</v>
      </c>
      <c r="G25" s="119">
        <f>+Benelux!G25+Benelux!S25</f>
        <v>25.492216212256331</v>
      </c>
      <c r="H25" s="117"/>
      <c r="I25" s="121"/>
      <c r="J25" s="119"/>
      <c r="K25" s="119"/>
      <c r="L25" s="117"/>
      <c r="M25" s="121"/>
      <c r="N25" s="119"/>
      <c r="O25" s="119"/>
      <c r="P25" s="117"/>
      <c r="Q25" s="118">
        <f>+Benelux!I25+Benelux!M25+Benelux!U25+Benelux!Y25</f>
        <v>75.039706789999997</v>
      </c>
      <c r="R25" s="119">
        <f>+Benelux!J25+Benelux!N25+Benelux!V25+Benelux!Z25</f>
        <v>71.189948860000001</v>
      </c>
      <c r="S25" s="119">
        <f>+Benelux!K25+Benelux!O25+Benelux!W25+Benelux!AA25</f>
        <v>70.555992043521044</v>
      </c>
      <c r="T25" s="117"/>
      <c r="U25" s="122">
        <f t="shared" ref="U25:U26" si="16">+E25+Q25</f>
        <v>101.85246305</v>
      </c>
      <c r="V25" s="123">
        <f t="shared" ref="V25:V26" si="17">+F25+R25</f>
        <v>96.395390019999994</v>
      </c>
      <c r="W25" s="123">
        <f t="shared" ref="W25:W26" si="18">+G25+S25</f>
        <v>96.048208255777382</v>
      </c>
      <c r="X25" s="117"/>
      <c r="Y25" s="121"/>
      <c r="Z25" s="119"/>
      <c r="AA25" s="119"/>
      <c r="AB25" s="117"/>
      <c r="AC25" s="121"/>
      <c r="AD25" s="119"/>
      <c r="AE25" s="119"/>
      <c r="AF25" s="117"/>
      <c r="AG25" s="121"/>
      <c r="AH25" s="119"/>
      <c r="AI25" s="119"/>
      <c r="AJ25" s="117"/>
      <c r="AK25" s="121"/>
      <c r="AL25" s="119"/>
      <c r="AM25" s="119"/>
      <c r="AN25" s="117"/>
      <c r="AO25" s="124"/>
      <c r="AP25" s="123"/>
      <c r="AQ25" s="123"/>
      <c r="AR25" s="117"/>
      <c r="AS25" s="166">
        <f>+U25</f>
        <v>101.85246305</v>
      </c>
      <c r="AT25" s="160">
        <f t="shared" ref="AT25:AT40" si="19">+V25</f>
        <v>96.395390019999994</v>
      </c>
      <c r="AU25" s="160">
        <f t="shared" ref="AU25:AU40" si="20">+W25</f>
        <v>96.048208255777382</v>
      </c>
      <c r="AW25" s="108"/>
      <c r="BA25" s="108"/>
      <c r="BE25" s="108"/>
      <c r="BI25" s="108"/>
      <c r="BM25" s="108"/>
    </row>
    <row r="26" spans="1:65" ht="16.5" hidden="1" outlineLevel="1" x14ac:dyDescent="0.25">
      <c r="A26" s="212"/>
      <c r="B26" s="9"/>
      <c r="C26" s="116" t="s">
        <v>55</v>
      </c>
      <c r="D26" s="6"/>
      <c r="E26" s="118">
        <f>+Benelux!E26+Benelux!Q26</f>
        <v>24.022567390000013</v>
      </c>
      <c r="F26" s="119">
        <f>+Benelux!F26+Benelux!R26</f>
        <v>22.536646949999998</v>
      </c>
      <c r="G26" s="119">
        <f>+Benelux!G26+Benelux!S26</f>
        <v>23.477741264572568</v>
      </c>
      <c r="H26" s="117"/>
      <c r="I26" s="121"/>
      <c r="J26" s="119"/>
      <c r="K26" s="119"/>
      <c r="L26" s="117"/>
      <c r="M26" s="121"/>
      <c r="N26" s="119"/>
      <c r="O26" s="119"/>
      <c r="P26" s="117"/>
      <c r="Q26" s="118">
        <f>+Benelux!I26+Benelux!M26+Benelux!U26+Benelux!Y26</f>
        <v>57.016479650000008</v>
      </c>
      <c r="R26" s="119">
        <f>+Benelux!J26+Benelux!N26+Benelux!V26+Benelux!Z26</f>
        <v>52.050940589999989</v>
      </c>
      <c r="S26" s="119">
        <f>+Benelux!K26+Benelux!O26+Benelux!W26+Benelux!AA26</f>
        <v>52.423632406319392</v>
      </c>
      <c r="T26" s="117"/>
      <c r="U26" s="122">
        <f t="shared" si="16"/>
        <v>81.039047040000014</v>
      </c>
      <c r="V26" s="123">
        <f t="shared" si="17"/>
        <v>74.587587539999987</v>
      </c>
      <c r="W26" s="123">
        <f t="shared" si="18"/>
        <v>75.901373670891957</v>
      </c>
      <c r="X26" s="117"/>
      <c r="Y26" s="121"/>
      <c r="Z26" s="119"/>
      <c r="AA26" s="119"/>
      <c r="AB26" s="117"/>
      <c r="AC26" s="121"/>
      <c r="AD26" s="119"/>
      <c r="AE26" s="119"/>
      <c r="AF26" s="117"/>
      <c r="AG26" s="121"/>
      <c r="AH26" s="119"/>
      <c r="AI26" s="119"/>
      <c r="AJ26" s="117"/>
      <c r="AK26" s="121"/>
      <c r="AL26" s="119"/>
      <c r="AM26" s="119"/>
      <c r="AN26" s="117"/>
      <c r="AO26" s="124"/>
      <c r="AP26" s="123"/>
      <c r="AQ26" s="123"/>
      <c r="AR26" s="117"/>
      <c r="AS26" s="166">
        <f t="shared" ref="AS26:AS40" si="21">+U26</f>
        <v>81.039047040000014</v>
      </c>
      <c r="AT26" s="160">
        <f t="shared" si="19"/>
        <v>74.587587539999987</v>
      </c>
      <c r="AU26" s="160">
        <f t="shared" si="20"/>
        <v>75.901373670891957</v>
      </c>
      <c r="AW26" s="108"/>
      <c r="BA26" s="108"/>
      <c r="BE26" s="108"/>
      <c r="BI26" s="108"/>
      <c r="BM26" s="108"/>
    </row>
    <row r="27" spans="1:65" ht="16.5" hidden="1" outlineLevel="1" x14ac:dyDescent="0.25">
      <c r="A27" s="212"/>
      <c r="B27" s="9"/>
      <c r="C27" s="116" t="s">
        <v>21</v>
      </c>
      <c r="D27" s="6"/>
      <c r="E27" s="128">
        <f>+E28+E33+E34+E35+E36</f>
        <v>1.0762751095772862</v>
      </c>
      <c r="F27" s="127">
        <f t="shared" ref="F27" si="22">+F28+F33+F34+F35+F36</f>
        <v>0.74738761127018472</v>
      </c>
      <c r="G27" s="127">
        <f t="shared" ref="G27" si="23">+G28+G33+G34+G35+G36</f>
        <v>0.97097267483514749</v>
      </c>
      <c r="H27" s="117"/>
      <c r="I27" s="131"/>
      <c r="J27" s="127"/>
      <c r="K27" s="127"/>
      <c r="L27" s="117"/>
      <c r="M27" s="131"/>
      <c r="N27" s="127"/>
      <c r="O27" s="127"/>
      <c r="P27" s="117"/>
      <c r="Q27" s="126">
        <f>+Q28+Q33+Q34+Q35+Q36</f>
        <v>1.0269692034555484</v>
      </c>
      <c r="R27" s="127">
        <f>+R28+R33+R34+R35+R36</f>
        <v>1.0938359565578797</v>
      </c>
      <c r="S27" s="127">
        <f>+S28+S33+S34+S35+S36</f>
        <v>1.0461611359290413</v>
      </c>
      <c r="T27" s="117"/>
      <c r="U27" s="129">
        <f>+U28+U33+U34+U35+U36</f>
        <v>1.0415850521827654</v>
      </c>
      <c r="V27" s="130">
        <f>+V28+V33+V34+V35+V36</f>
        <v>0.98915655477439501</v>
      </c>
      <c r="W27" s="130">
        <f>+W28+W33+W34+W35+W36</f>
        <v>1.0229039121099051</v>
      </c>
      <c r="X27" s="117"/>
      <c r="Y27" s="131"/>
      <c r="Z27" s="127"/>
      <c r="AA27" s="127"/>
      <c r="AB27" s="117"/>
      <c r="AC27" s="131"/>
      <c r="AD27" s="127"/>
      <c r="AE27" s="127"/>
      <c r="AF27" s="117"/>
      <c r="AG27" s="131"/>
      <c r="AH27" s="127"/>
      <c r="AI27" s="127"/>
      <c r="AJ27" s="117"/>
      <c r="AK27" s="131"/>
      <c r="AL27" s="127"/>
      <c r="AM27" s="127"/>
      <c r="AN27" s="117"/>
      <c r="AO27" s="133"/>
      <c r="AP27" s="130"/>
      <c r="AQ27" s="130"/>
      <c r="AR27" s="117"/>
      <c r="AS27" s="164">
        <f t="shared" si="21"/>
        <v>1.0415850521827654</v>
      </c>
      <c r="AT27" s="163">
        <f t="shared" si="19"/>
        <v>0.98915655477439501</v>
      </c>
      <c r="AU27" s="163">
        <f t="shared" si="20"/>
        <v>1.0229039121099051</v>
      </c>
      <c r="AW27" s="109"/>
      <c r="BA27" s="109"/>
      <c r="BE27" s="109"/>
      <c r="BI27" s="109"/>
      <c r="BM27" s="109"/>
    </row>
    <row r="28" spans="1:65" ht="16.5" hidden="1" outlineLevel="1" x14ac:dyDescent="0.25">
      <c r="A28" s="212"/>
      <c r="B28" s="9"/>
      <c r="C28" s="116" t="s">
        <v>56</v>
      </c>
      <c r="D28" s="6"/>
      <c r="E28" s="128">
        <f>+E29+E30+E31+E32</f>
        <v>0.74939660560569221</v>
      </c>
      <c r="F28" s="127">
        <f t="shared" ref="F28" si="24">+F29+F30+F31+F32</f>
        <v>0.84494568789435676</v>
      </c>
      <c r="G28" s="127">
        <f t="shared" ref="G28" si="25">+G29+G30+G31+G32</f>
        <v>0.71689101186893167</v>
      </c>
      <c r="H28" s="117"/>
      <c r="I28" s="131"/>
      <c r="J28" s="127"/>
      <c r="K28" s="127"/>
      <c r="L28" s="117"/>
      <c r="M28" s="131"/>
      <c r="N28" s="127"/>
      <c r="O28" s="127"/>
      <c r="P28" s="117"/>
      <c r="Q28" s="128">
        <f>+Q29+Q30+Q31+Q32</f>
        <v>0.93835170284842384</v>
      </c>
      <c r="R28" s="127">
        <f>+R29+R30+R31+R32</f>
        <v>0.82513539262057778</v>
      </c>
      <c r="S28" s="127">
        <f>+S29+S30+S31+S32</f>
        <v>0.87550826718276442</v>
      </c>
      <c r="T28" s="117"/>
      <c r="U28" s="129">
        <f>+U29+U30+U31+U32</f>
        <v>0.8823393640686128</v>
      </c>
      <c r="V28" s="130">
        <f>+V29+V30+V31+V32</f>
        <v>0.83112107529627732</v>
      </c>
      <c r="W28" s="130">
        <f>+W29+W30+W31+W32</f>
        <v>0.82644492747956022</v>
      </c>
      <c r="X28" s="117"/>
      <c r="Y28" s="131"/>
      <c r="Z28" s="127"/>
      <c r="AA28" s="127"/>
      <c r="AB28" s="117"/>
      <c r="AC28" s="131"/>
      <c r="AD28" s="127"/>
      <c r="AE28" s="127"/>
      <c r="AF28" s="117"/>
      <c r="AG28" s="131"/>
      <c r="AH28" s="127"/>
      <c r="AI28" s="127"/>
      <c r="AJ28" s="117"/>
      <c r="AK28" s="131"/>
      <c r="AL28" s="127"/>
      <c r="AM28" s="127"/>
      <c r="AN28" s="117"/>
      <c r="AO28" s="133"/>
      <c r="AP28" s="130"/>
      <c r="AQ28" s="130"/>
      <c r="AR28" s="117"/>
      <c r="AS28" s="164">
        <f t="shared" si="21"/>
        <v>0.8823393640686128</v>
      </c>
      <c r="AT28" s="163">
        <f t="shared" si="19"/>
        <v>0.83112107529627732</v>
      </c>
      <c r="AU28" s="163">
        <f t="shared" si="20"/>
        <v>0.82644492747956022</v>
      </c>
      <c r="AW28" s="109"/>
      <c r="BA28" s="109"/>
      <c r="BE28" s="109"/>
      <c r="BI28" s="109"/>
      <c r="BM28" s="109"/>
    </row>
    <row r="29" spans="1:65" ht="16.5" hidden="1" outlineLevel="1" x14ac:dyDescent="0.25">
      <c r="A29" s="212"/>
      <c r="B29" s="9"/>
      <c r="C29" s="38" t="s">
        <v>23</v>
      </c>
      <c r="D29" s="6"/>
      <c r="E29" s="73">
        <f>+((Benelux!E29*Benelux!$E$26)+(Benelux!Q29*Benelux!$Q$26))/'H7H9 BENELUX'!$E$26</f>
        <v>0.62452690693898294</v>
      </c>
      <c r="F29" s="42">
        <f>+((Benelux!F29*Benelux!$F$26)+(Benelux!R29*Benelux!$R$26))/'H7H9 BENELUX'!$F$26</f>
        <v>0.61206881609357999</v>
      </c>
      <c r="G29" s="42">
        <f>+((Benelux!G29*Benelux!$G$26)+(Benelux!S29*Benelux!$S$26))/'H7H9 BENELUX'!$G$26</f>
        <v>0.56493860858390033</v>
      </c>
      <c r="H29" s="117"/>
      <c r="I29" s="97"/>
      <c r="J29" s="42"/>
      <c r="K29" s="42"/>
      <c r="L29" s="117"/>
      <c r="M29" s="97"/>
      <c r="N29" s="42"/>
      <c r="O29" s="42"/>
      <c r="P29" s="117"/>
      <c r="Q29" s="73">
        <f>+((Benelux!I29*Benelux!$I$26)+(Benelux!M29*Benelux!$M$26)+(Benelux!U29*Benelux!$U$26)+(Benelux!Y29*Benelux!$Y$26))/'H7H9 BENELUX'!$Q$26</f>
        <v>0.75698403084988175</v>
      </c>
      <c r="R29" s="42">
        <f>+((Benelux!J29*Benelux!$J$26)+(Benelux!N29*Benelux!$N$26)+(Benelux!V29*Benelux!$V$26)+(Benelux!Z29*Benelux!$Z$26))/'H7H9 BENELUX'!$R$26</f>
        <v>0.62031800079737831</v>
      </c>
      <c r="S29" s="42">
        <f>+((Benelux!K29*Benelux!$K$26)+(Benelux!O29*Benelux!$O$26)+(Benelux!W29*Benelux!$W$26)+(Benelux!AA29*Benelux!$AA$26))/'H7H9 BENELUX'!$S$26</f>
        <v>0.63824473899376921</v>
      </c>
      <c r="T29" s="117"/>
      <c r="U29" s="84">
        <f>+((E29*$E$26)+(Q29*$Q$26))/$U$26</f>
        <v>0.71771949971756765</v>
      </c>
      <c r="V29" s="60">
        <f>+((F29*$F$26)+(R29*$R$26))/$V$26</f>
        <v>0.61782550882349396</v>
      </c>
      <c r="W29" s="60">
        <f>+((G29*$G$26)+(S29*$S$26))/$W$26</f>
        <v>0.61556975592518293</v>
      </c>
      <c r="X29" s="117"/>
      <c r="Y29" s="97"/>
      <c r="Z29" s="42"/>
      <c r="AA29" s="42"/>
      <c r="AB29" s="117"/>
      <c r="AC29" s="97"/>
      <c r="AD29" s="42"/>
      <c r="AE29" s="42"/>
      <c r="AF29" s="117"/>
      <c r="AG29" s="97"/>
      <c r="AH29" s="42"/>
      <c r="AI29" s="42"/>
      <c r="AJ29" s="117"/>
      <c r="AK29" s="97"/>
      <c r="AL29" s="42"/>
      <c r="AM29" s="42"/>
      <c r="AN29" s="117"/>
      <c r="AO29" s="99"/>
      <c r="AP29" s="60"/>
      <c r="AQ29" s="60"/>
      <c r="AR29" s="117"/>
      <c r="AS29" s="92">
        <f t="shared" si="21"/>
        <v>0.71771949971756765</v>
      </c>
      <c r="AT29" s="68">
        <f t="shared" si="19"/>
        <v>0.61782550882349396</v>
      </c>
      <c r="AU29" s="68">
        <f t="shared" si="20"/>
        <v>0.61556975592518293</v>
      </c>
      <c r="AW29" s="109"/>
      <c r="BA29" s="109"/>
      <c r="BE29" s="109"/>
      <c r="BI29" s="109"/>
      <c r="BM29" s="109"/>
    </row>
    <row r="30" spans="1:65" ht="16.5" hidden="1" outlineLevel="1" x14ac:dyDescent="0.25">
      <c r="A30" s="212"/>
      <c r="B30" s="9"/>
      <c r="C30" s="38" t="s">
        <v>24</v>
      </c>
      <c r="D30" s="7"/>
      <c r="E30" s="97">
        <f>+((Benelux!E30*Benelux!$E$26)+(Benelux!Q30*Benelux!$Q$26))/'H7H9 BENELUX'!$E$26</f>
        <v>0</v>
      </c>
      <c r="F30" s="42">
        <f>+((Benelux!F30*Benelux!$F$26)+(Benelux!R30*Benelux!$R$26))/'H7H9 BENELUX'!$F$26</f>
        <v>0</v>
      </c>
      <c r="G30" s="42">
        <f>+((Benelux!G30*Benelux!$G$26)+(Benelux!S30*Benelux!$S$26))/'H7H9 BENELUX'!$G$26</f>
        <v>0</v>
      </c>
      <c r="H30" s="134"/>
      <c r="I30" s="97"/>
      <c r="J30" s="42"/>
      <c r="K30" s="42"/>
      <c r="L30" s="134"/>
      <c r="M30" s="97"/>
      <c r="N30" s="42"/>
      <c r="O30" s="42"/>
      <c r="P30" s="134"/>
      <c r="Q30" s="97">
        <f>+((Benelux!I30*Benelux!$I$26)+(Benelux!M30*Benelux!$M$26)+(Benelux!U30*Benelux!$U$26)+(Benelux!Y30*Benelux!$Y$26))/'H7H9 BENELUX'!$Q$26</f>
        <v>0</v>
      </c>
      <c r="R30" s="42">
        <f>+((Benelux!J30*Benelux!$J$26)+(Benelux!N30*Benelux!$N$26)+(Benelux!V30*Benelux!$V$26)+(Benelux!Z30*Benelux!$Z$26))/'H7H9 BENELUX'!$R$26</f>
        <v>0</v>
      </c>
      <c r="S30" s="42">
        <f>+((Benelux!K30*Benelux!$K$26)+(Benelux!O30*Benelux!$O$26)+(Benelux!W30*Benelux!$W$26)+(Benelux!AA30*Benelux!$AA$26))/'H7H9 BENELUX'!$S$26</f>
        <v>0</v>
      </c>
      <c r="T30" s="134"/>
      <c r="U30" s="99">
        <f t="shared" ref="U30:U35" si="26">+((E30*$E$26)+(Q30*$Q$26))/$U$26</f>
        <v>0</v>
      </c>
      <c r="V30" s="60">
        <f t="shared" ref="V30:V35" si="27">+((F30*$F$26)+(R30*$R$26))/$V$26</f>
        <v>0</v>
      </c>
      <c r="W30" s="60">
        <f t="shared" ref="W30:W35" si="28">+((G30*$G$26)+(S30*$S$26))/$W$26</f>
        <v>0</v>
      </c>
      <c r="X30" s="134"/>
      <c r="Y30" s="97"/>
      <c r="Z30" s="42"/>
      <c r="AA30" s="42"/>
      <c r="AB30" s="134"/>
      <c r="AC30" s="97"/>
      <c r="AD30" s="42"/>
      <c r="AE30" s="42"/>
      <c r="AF30" s="134"/>
      <c r="AG30" s="97"/>
      <c r="AH30" s="42"/>
      <c r="AI30" s="42"/>
      <c r="AJ30" s="134"/>
      <c r="AK30" s="97"/>
      <c r="AL30" s="42"/>
      <c r="AM30" s="42"/>
      <c r="AN30" s="134"/>
      <c r="AO30" s="99"/>
      <c r="AP30" s="60"/>
      <c r="AQ30" s="60"/>
      <c r="AR30" s="134"/>
      <c r="AS30" s="106">
        <f t="shared" si="21"/>
        <v>0</v>
      </c>
      <c r="AT30" s="68">
        <f t="shared" si="19"/>
        <v>0</v>
      </c>
      <c r="AU30" s="68">
        <f t="shared" si="20"/>
        <v>0</v>
      </c>
      <c r="AW30" s="109"/>
      <c r="BA30" s="109"/>
      <c r="BE30" s="109"/>
      <c r="BI30" s="109"/>
      <c r="BM30" s="109"/>
    </row>
    <row r="31" spans="1:65" ht="16.5" hidden="1" outlineLevel="1" x14ac:dyDescent="0.25">
      <c r="A31" s="212"/>
      <c r="B31" s="9"/>
      <c r="C31" s="38" t="s">
        <v>25</v>
      </c>
      <c r="D31" s="7"/>
      <c r="E31" s="74">
        <f>+((Benelux!E31*Benelux!$E$26)+(Benelux!Q31*Benelux!$Q$26))/'H7H9 BENELUX'!$E$26</f>
        <v>0.10200161004481277</v>
      </c>
      <c r="F31" s="42">
        <f>+((Benelux!F31*Benelux!$F$26)+(Benelux!R31*Benelux!$R$26))/'H7H9 BENELUX'!$F$26</f>
        <v>0.18519189885940487</v>
      </c>
      <c r="G31" s="42">
        <f>+((Benelux!G31*Benelux!$G$26)+(Benelux!S31*Benelux!$S$26))/'H7H9 BENELUX'!$G$26</f>
        <v>0.11575745327479692</v>
      </c>
      <c r="H31" s="134"/>
      <c r="I31" s="97"/>
      <c r="J31" s="42"/>
      <c r="K31" s="42"/>
      <c r="L31" s="134"/>
      <c r="M31" s="97"/>
      <c r="N31" s="42"/>
      <c r="O31" s="42"/>
      <c r="P31" s="134"/>
      <c r="Q31" s="73">
        <f>+((Benelux!I31*Benelux!$I$26)+(Benelux!M31*Benelux!$M$26)+(Benelux!U31*Benelux!$U$26)+(Benelux!Y31*Benelux!$Y$26))/'H7H9 BENELUX'!$Q$26</f>
        <v>0.15953233688766938</v>
      </c>
      <c r="R31" s="42">
        <f>+((Benelux!J31*Benelux!$J$26)+(Benelux!N31*Benelux!$N$26)+(Benelux!V31*Benelux!$V$26)+(Benelux!Z31*Benelux!$Z$26))/'H7H9 BENELUX'!$R$26</f>
        <v>0.13014661765573485</v>
      </c>
      <c r="S31" s="42">
        <f>+((Benelux!K31*Benelux!$K$26)+(Benelux!O31*Benelux!$O$26)+(Benelux!W31*Benelux!$W$26)+(Benelux!AA31*Benelux!$AA$26))/'H7H9 BENELUX'!$S$26</f>
        <v>0.14796341018328724</v>
      </c>
      <c r="T31" s="134"/>
      <c r="U31" s="99">
        <f t="shared" si="26"/>
        <v>0.14247838804377386</v>
      </c>
      <c r="V31" s="60">
        <f t="shared" si="27"/>
        <v>0.14677855481398261</v>
      </c>
      <c r="W31" s="60">
        <f t="shared" si="28"/>
        <v>0.13800149398985895</v>
      </c>
      <c r="X31" s="134"/>
      <c r="Y31" s="97"/>
      <c r="Z31" s="42"/>
      <c r="AA31" s="42"/>
      <c r="AB31" s="134"/>
      <c r="AC31" s="97"/>
      <c r="AD31" s="42"/>
      <c r="AE31" s="42"/>
      <c r="AF31" s="134"/>
      <c r="AG31" s="97"/>
      <c r="AH31" s="42"/>
      <c r="AI31" s="42"/>
      <c r="AJ31" s="134"/>
      <c r="AK31" s="97"/>
      <c r="AL31" s="42"/>
      <c r="AM31" s="42"/>
      <c r="AN31" s="134"/>
      <c r="AO31" s="99"/>
      <c r="AP31" s="60"/>
      <c r="AQ31" s="60"/>
      <c r="AR31" s="134"/>
      <c r="AS31" s="106">
        <f t="shared" si="21"/>
        <v>0.14247838804377386</v>
      </c>
      <c r="AT31" s="68">
        <f t="shared" si="19"/>
        <v>0.14677855481398261</v>
      </c>
      <c r="AU31" s="68">
        <f t="shared" si="20"/>
        <v>0.13800149398985895</v>
      </c>
      <c r="AW31" s="109"/>
      <c r="BA31" s="109"/>
      <c r="BE31" s="109"/>
      <c r="BI31" s="109"/>
      <c r="BM31" s="109"/>
    </row>
    <row r="32" spans="1:65" ht="16.5" hidden="1" outlineLevel="1" x14ac:dyDescent="0.25">
      <c r="A32" s="212"/>
      <c r="B32" s="9"/>
      <c r="C32" s="38" t="s">
        <v>53</v>
      </c>
      <c r="D32" s="7"/>
      <c r="E32" s="74">
        <f>+((Benelux!E32*Benelux!$E$26)+(Benelux!Q32*Benelux!$Q$26))/'H7H9 BENELUX'!$E$26</f>
        <v>2.2868088621896449E-2</v>
      </c>
      <c r="F32" s="42">
        <f>+((Benelux!F32*Benelux!$F$26)+(Benelux!R32*Benelux!$R$26))/'H7H9 BENELUX'!$F$26</f>
        <v>4.768497294137182E-2</v>
      </c>
      <c r="G32" s="42">
        <f>+((Benelux!G32*Benelux!$G$26)+(Benelux!S32*Benelux!$S$26))/'H7H9 BENELUX'!$G$26</f>
        <v>3.6194950010234477E-2</v>
      </c>
      <c r="H32" s="134"/>
      <c r="I32" s="97"/>
      <c r="J32" s="42"/>
      <c r="K32" s="42"/>
      <c r="L32" s="134"/>
      <c r="M32" s="97"/>
      <c r="N32" s="42"/>
      <c r="O32" s="42"/>
      <c r="P32" s="134"/>
      <c r="Q32" s="74">
        <f>+((Benelux!I32*Benelux!$I$26)+(Benelux!M32*Benelux!$M$26)+(Benelux!U32*Benelux!$U$26)+(Benelux!Y32*Benelux!$Y$26))/'H7H9 BENELUX'!$Q$26</f>
        <v>2.1835335110872628E-2</v>
      </c>
      <c r="R32" s="42">
        <f>+((Benelux!J32*Benelux!$J$26)+(Benelux!N32*Benelux!$N$26)+(Benelux!V32*Benelux!$V$26)+(Benelux!Z32*Benelux!$Z$26))/'H7H9 BENELUX'!$R$26</f>
        <v>7.4670774167464551E-2</v>
      </c>
      <c r="S32" s="42">
        <f>+((Benelux!K32*Benelux!$K$26)+(Benelux!O32*Benelux!$O$26)+(Benelux!W32*Benelux!$W$26)+(Benelux!AA32*Benelux!$AA$26))/'H7H9 BENELUX'!$S$26</f>
        <v>8.9300118005707932E-2</v>
      </c>
      <c r="T32" s="134"/>
      <c r="U32" s="85">
        <f t="shared" si="26"/>
        <v>2.2141476307271243E-2</v>
      </c>
      <c r="V32" s="60">
        <f t="shared" si="27"/>
        <v>6.6517011658800779E-2</v>
      </c>
      <c r="W32" s="60">
        <f t="shared" si="28"/>
        <v>7.2873677564518291E-2</v>
      </c>
      <c r="X32" s="134"/>
      <c r="Y32" s="97"/>
      <c r="Z32" s="42"/>
      <c r="AA32" s="42"/>
      <c r="AB32" s="134"/>
      <c r="AC32" s="97"/>
      <c r="AD32" s="42"/>
      <c r="AE32" s="42"/>
      <c r="AF32" s="134"/>
      <c r="AG32" s="97"/>
      <c r="AH32" s="42"/>
      <c r="AI32" s="42"/>
      <c r="AJ32" s="134"/>
      <c r="AK32" s="97"/>
      <c r="AL32" s="42"/>
      <c r="AM32" s="42"/>
      <c r="AN32" s="134"/>
      <c r="AO32" s="99"/>
      <c r="AP32" s="60"/>
      <c r="AQ32" s="60"/>
      <c r="AR32" s="134"/>
      <c r="AS32" s="93">
        <f t="shared" si="21"/>
        <v>2.2141476307271243E-2</v>
      </c>
      <c r="AT32" s="68">
        <f t="shared" si="19"/>
        <v>6.6517011658800779E-2</v>
      </c>
      <c r="AU32" s="68">
        <f t="shared" si="20"/>
        <v>7.2873677564518291E-2</v>
      </c>
      <c r="AW32" s="109"/>
      <c r="BA32" s="109"/>
      <c r="BE32" s="109"/>
      <c r="BI32" s="109"/>
      <c r="BM32" s="109"/>
    </row>
    <row r="33" spans="1:65" ht="16.5" hidden="1" outlineLevel="1" x14ac:dyDescent="0.25">
      <c r="A33" s="212"/>
      <c r="B33" s="9"/>
      <c r="C33" s="116" t="s">
        <v>27</v>
      </c>
      <c r="D33" s="7"/>
      <c r="E33" s="126">
        <f>+((Benelux!E33*Benelux!$E$26)+(Benelux!Q33*Benelux!$Q$26))/'H7H9 BENELUX'!$E$26</f>
        <v>-5.5524198906201902E-2</v>
      </c>
      <c r="F33" s="127">
        <f>+((Benelux!F33*Benelux!$F$26)+(Benelux!R33*Benelux!$R$26))/'H7H9 BENELUX'!$F$26</f>
        <v>-5.6351881573935746E-2</v>
      </c>
      <c r="G33" s="127">
        <f>+((Benelux!G33*Benelux!$G$26)+(Benelux!S33*Benelux!$S$26))/'H7H9 BENELUX'!$G$26</f>
        <v>-4.4408973577033987E-2</v>
      </c>
      <c r="H33" s="134"/>
      <c r="I33" s="131"/>
      <c r="J33" s="127"/>
      <c r="K33" s="127"/>
      <c r="L33" s="134"/>
      <c r="M33" s="131"/>
      <c r="N33" s="127"/>
      <c r="O33" s="127"/>
      <c r="P33" s="134"/>
      <c r="Q33" s="126">
        <f>+((Benelux!I33*Benelux!$I$26)+(Benelux!M33*Benelux!$M$26)+(Benelux!U33*Benelux!$U$26)+(Benelux!Y33*Benelux!$Y$26))/'H7H9 BENELUX'!$Q$26</f>
        <v>-7.9273555606129031E-2</v>
      </c>
      <c r="R33" s="127">
        <f>+((Benelux!J33*Benelux!$J$26)+(Benelux!N33*Benelux!$N$26)+(Benelux!V33*Benelux!$V$26)+(Benelux!Z33*Benelux!$Z$26))/'H7H9 BENELUX'!$R$26</f>
        <v>-5.6925087547202768E-2</v>
      </c>
      <c r="S33" s="127">
        <f>+((Benelux!K33*Benelux!$K$26)+(Benelux!O33*Benelux!$O$26)+(Benelux!W33*Benelux!$W$26)+(Benelux!AA33*Benelux!$AA$26))/'H7H9 BENELUX'!$S$26</f>
        <v>-4.2738701642483744E-2</v>
      </c>
      <c r="T33" s="134"/>
      <c r="U33" s="132">
        <f t="shared" si="26"/>
        <v>-7.2233486125653237E-2</v>
      </c>
      <c r="V33" s="130">
        <f t="shared" si="27"/>
        <v>-5.6751893305704855E-2</v>
      </c>
      <c r="W33" s="130">
        <f t="shared" si="28"/>
        <v>-4.3255348580797146E-2</v>
      </c>
      <c r="X33" s="134"/>
      <c r="Y33" s="131"/>
      <c r="Z33" s="127"/>
      <c r="AA33" s="127"/>
      <c r="AB33" s="134"/>
      <c r="AC33" s="131"/>
      <c r="AD33" s="127"/>
      <c r="AE33" s="127"/>
      <c r="AF33" s="134"/>
      <c r="AG33" s="131"/>
      <c r="AH33" s="127"/>
      <c r="AI33" s="127"/>
      <c r="AJ33" s="134"/>
      <c r="AK33" s="131"/>
      <c r="AL33" s="127"/>
      <c r="AM33" s="127"/>
      <c r="AN33" s="134"/>
      <c r="AO33" s="133"/>
      <c r="AP33" s="130"/>
      <c r="AQ33" s="130"/>
      <c r="AR33" s="134"/>
      <c r="AS33" s="162">
        <f t="shared" si="21"/>
        <v>-7.2233486125653237E-2</v>
      </c>
      <c r="AT33" s="163">
        <f t="shared" si="19"/>
        <v>-5.6751893305704855E-2</v>
      </c>
      <c r="AU33" s="163">
        <f t="shared" si="20"/>
        <v>-4.3255348580797146E-2</v>
      </c>
      <c r="AW33" s="109"/>
      <c r="BA33" s="109"/>
      <c r="BE33" s="109"/>
      <c r="BI33" s="109"/>
      <c r="BM33" s="109"/>
    </row>
    <row r="34" spans="1:65" ht="16.5" hidden="1" outlineLevel="1" x14ac:dyDescent="0.25">
      <c r="A34" s="212"/>
      <c r="B34" s="9"/>
      <c r="C34" s="116" t="s">
        <v>57</v>
      </c>
      <c r="D34" s="7"/>
      <c r="E34" s="128">
        <f>+((Benelux!E34*Benelux!$E$26)+(Benelux!Q34*Benelux!$Q$26))/'H7H9 BENELUX'!$E$26</f>
        <v>0.21613398084008875</v>
      </c>
      <c r="F34" s="127">
        <f>+((Benelux!F34*Benelux!$F$26)+(Benelux!R34*Benelux!$R$26))/'H7H9 BENELUX'!$F$26</f>
        <v>-0.26378918271158425</v>
      </c>
      <c r="G34" s="127">
        <f>+((Benelux!G34*Benelux!$G$26)+(Benelux!S34*Benelux!$S$26))/'H7H9 BENELUX'!$G$26</f>
        <v>-2.9894830461544477E-2</v>
      </c>
      <c r="H34" s="134"/>
      <c r="I34" s="131"/>
      <c r="J34" s="127"/>
      <c r="K34" s="127"/>
      <c r="L34" s="134"/>
      <c r="M34" s="131"/>
      <c r="N34" s="127"/>
      <c r="O34" s="127"/>
      <c r="P34" s="134"/>
      <c r="Q34" s="128">
        <f>+((Benelux!I34*Benelux!$I$26)+(Benelux!M34*Benelux!$M$26)+(Benelux!U34*Benelux!$U$26)+(Benelux!Y34*Benelux!$Y$26))/'H7H9 BENELUX'!$Q$26</f>
        <v>7.5495127135580417E-2</v>
      </c>
      <c r="R34" s="127">
        <f>+((Benelux!J34*Benelux!$J$26)+(Benelux!N34*Benelux!$N$26)+(Benelux!V34*Benelux!$V$26)+(Benelux!Z34*Benelux!$Z$26))/'H7H9 BENELUX'!$R$26</f>
        <v>0.12604524751394108</v>
      </c>
      <c r="S34" s="127">
        <f>+((Benelux!K34*Benelux!$K$26)+(Benelux!O34*Benelux!$O$26)+(Benelux!W34*Benelux!$W$26)+(Benelux!AA34*Benelux!$AA$26))/'H7H9 BENELUX'!$S$26</f>
        <v>-9.3300096711318415E-4</v>
      </c>
      <c r="T34" s="134"/>
      <c r="U34" s="129">
        <f t="shared" si="26"/>
        <v>0.1171849848544318</v>
      </c>
      <c r="V34" s="130">
        <f t="shared" si="27"/>
        <v>8.2567358767262032E-3</v>
      </c>
      <c r="W34" s="130">
        <f t="shared" si="28"/>
        <v>-9.8914467307856715E-3</v>
      </c>
      <c r="X34" s="134"/>
      <c r="Y34" s="131"/>
      <c r="Z34" s="127"/>
      <c r="AA34" s="127"/>
      <c r="AB34" s="134"/>
      <c r="AC34" s="131"/>
      <c r="AD34" s="127"/>
      <c r="AE34" s="127"/>
      <c r="AF34" s="134"/>
      <c r="AG34" s="131"/>
      <c r="AH34" s="127"/>
      <c r="AI34" s="127"/>
      <c r="AJ34" s="134"/>
      <c r="AK34" s="131"/>
      <c r="AL34" s="127"/>
      <c r="AM34" s="127"/>
      <c r="AN34" s="134"/>
      <c r="AO34" s="133"/>
      <c r="AP34" s="130"/>
      <c r="AQ34" s="130"/>
      <c r="AR34" s="134"/>
      <c r="AS34" s="164">
        <f t="shared" si="21"/>
        <v>0.1171849848544318</v>
      </c>
      <c r="AT34" s="163">
        <f t="shared" si="19"/>
        <v>8.2567358767262032E-3</v>
      </c>
      <c r="AU34" s="163">
        <f t="shared" si="20"/>
        <v>-9.8914467307856715E-3</v>
      </c>
      <c r="AW34" s="109"/>
      <c r="BA34" s="109"/>
      <c r="BE34" s="109"/>
      <c r="BI34" s="109"/>
      <c r="BM34" s="109"/>
    </row>
    <row r="35" spans="1:65" ht="16.5" hidden="1" outlineLevel="1" x14ac:dyDescent="0.25">
      <c r="A35" s="212"/>
      <c r="B35" s="9"/>
      <c r="C35" s="116" t="s">
        <v>29</v>
      </c>
      <c r="D35" s="7"/>
      <c r="E35" s="126">
        <f>+((Benelux!E35*Benelux!$E$26)+(Benelux!Q35*Benelux!$Q$26))/'H7H9 BENELUX'!$E$26</f>
        <v>-0.16583023518370069</v>
      </c>
      <c r="F35" s="127">
        <f>+((Benelux!F35*Benelux!$F$26)+(Benelux!R35*Benelux!$R$26))/'H7H9 BENELUX'!$F$26</f>
        <v>-0.10715933099355759</v>
      </c>
      <c r="G35" s="127">
        <f>+((Benelux!G35*Benelux!$G$26)+(Benelux!S35*Benelux!$S$26))/'H7H9 BENELUX'!$G$26</f>
        <v>0</v>
      </c>
      <c r="H35" s="134"/>
      <c r="I35" s="131"/>
      <c r="J35" s="127"/>
      <c r="K35" s="127"/>
      <c r="L35" s="134"/>
      <c r="M35" s="131"/>
      <c r="N35" s="127"/>
      <c r="O35" s="127"/>
      <c r="P35" s="134"/>
      <c r="Q35" s="126">
        <f>+((Benelux!I35*Benelux!$I$26)+(Benelux!M35*Benelux!$M$26)+(Benelux!U35*Benelux!$U$26)+(Benelux!Y35*Benelux!$Y$26))/'H7H9 BENELUX'!$Q$26</f>
        <v>-9.1741942717433259E-2</v>
      </c>
      <c r="R35" s="127">
        <f>+((Benelux!J35*Benelux!$J$26)+(Benelux!N35*Benelux!$N$26)+(Benelux!V35*Benelux!$V$26)+(Benelux!Z35*Benelux!$Z$26))/'H7H9 BENELUX'!$R$26</f>
        <v>1.0767489571699975E-2</v>
      </c>
      <c r="S35" s="127">
        <f>+((Benelux!K35*Benelux!$K$26)+(Benelux!O35*Benelux!$O$26)+(Benelux!W35*Benelux!$W$26)+(Benelux!AA35*Benelux!$AA$26))/'H7H9 BENELUX'!$S$26</f>
        <v>0</v>
      </c>
      <c r="T35" s="134"/>
      <c r="U35" s="132">
        <f t="shared" si="26"/>
        <v>-0.1137040839763557</v>
      </c>
      <c r="V35" s="130">
        <f t="shared" si="27"/>
        <v>-2.4864110922014147E-2</v>
      </c>
      <c r="W35" s="130">
        <f t="shared" si="28"/>
        <v>0</v>
      </c>
      <c r="X35" s="134"/>
      <c r="Y35" s="131"/>
      <c r="Z35" s="127"/>
      <c r="AA35" s="127"/>
      <c r="AB35" s="134"/>
      <c r="AC35" s="131"/>
      <c r="AD35" s="127"/>
      <c r="AE35" s="127"/>
      <c r="AF35" s="134"/>
      <c r="AG35" s="131"/>
      <c r="AH35" s="127"/>
      <c r="AI35" s="127"/>
      <c r="AJ35" s="134"/>
      <c r="AK35" s="131"/>
      <c r="AL35" s="127"/>
      <c r="AM35" s="127"/>
      <c r="AN35" s="134"/>
      <c r="AO35" s="133"/>
      <c r="AP35" s="130"/>
      <c r="AQ35" s="130"/>
      <c r="AR35" s="134"/>
      <c r="AS35" s="162">
        <f t="shared" si="21"/>
        <v>-0.1137040839763557</v>
      </c>
      <c r="AT35" s="163">
        <f t="shared" si="19"/>
        <v>-2.4864110922014147E-2</v>
      </c>
      <c r="AU35" s="163">
        <f t="shared" si="20"/>
        <v>0</v>
      </c>
      <c r="AW35" s="109"/>
      <c r="BA35" s="109"/>
      <c r="BE35" s="109"/>
      <c r="BI35" s="109"/>
      <c r="BM35" s="109"/>
    </row>
    <row r="36" spans="1:65" ht="16.5" hidden="1" outlineLevel="1" x14ac:dyDescent="0.25">
      <c r="A36" s="212"/>
      <c r="B36" s="9"/>
      <c r="C36" s="116" t="s">
        <v>58</v>
      </c>
      <c r="D36" s="7"/>
      <c r="E36" s="131">
        <f>+E37+E38+E39</f>
        <v>0.33209895722140792</v>
      </c>
      <c r="F36" s="127">
        <f t="shared" ref="F36" si="29">+F37+F38+F39</f>
        <v>0.3297423186549055</v>
      </c>
      <c r="G36" s="127">
        <f t="shared" ref="G36" si="30">+G37+G38+G39</f>
        <v>0.32838546700479426</v>
      </c>
      <c r="H36" s="134"/>
      <c r="I36" s="131"/>
      <c r="J36" s="127"/>
      <c r="K36" s="127"/>
      <c r="L36" s="134"/>
      <c r="M36" s="131"/>
      <c r="N36" s="127"/>
      <c r="O36" s="127"/>
      <c r="P36" s="134"/>
      <c r="Q36" s="126">
        <f>+Q37+Q38+Q39</f>
        <v>0.18413787179510649</v>
      </c>
      <c r="R36" s="127">
        <f>+R37+R38+R39</f>
        <v>0.18881291439886361</v>
      </c>
      <c r="S36" s="127">
        <f>+S37+S38+S39</f>
        <v>0.21432457135587366</v>
      </c>
      <c r="T36" s="134"/>
      <c r="U36" s="132">
        <f>+U37+U38+U39</f>
        <v>0.22799827336172979</v>
      </c>
      <c r="V36" s="130">
        <f>+V37+V38+V39</f>
        <v>0.23139474782911051</v>
      </c>
      <c r="W36" s="130">
        <f>+W37+W38+W39</f>
        <v>0.2496057799419277</v>
      </c>
      <c r="X36" s="134"/>
      <c r="Y36" s="131"/>
      <c r="Z36" s="127"/>
      <c r="AA36" s="127"/>
      <c r="AB36" s="134"/>
      <c r="AC36" s="131"/>
      <c r="AD36" s="127"/>
      <c r="AE36" s="127"/>
      <c r="AF36" s="134"/>
      <c r="AG36" s="131"/>
      <c r="AH36" s="127"/>
      <c r="AI36" s="127"/>
      <c r="AJ36" s="134"/>
      <c r="AK36" s="131"/>
      <c r="AL36" s="127"/>
      <c r="AM36" s="127"/>
      <c r="AN36" s="134"/>
      <c r="AO36" s="133"/>
      <c r="AP36" s="130"/>
      <c r="AQ36" s="130"/>
      <c r="AR36" s="134"/>
      <c r="AS36" s="162">
        <f t="shared" si="21"/>
        <v>0.22799827336172979</v>
      </c>
      <c r="AT36" s="163">
        <f t="shared" si="19"/>
        <v>0.23139474782911051</v>
      </c>
      <c r="AU36" s="163">
        <f t="shared" si="20"/>
        <v>0.2496057799419277</v>
      </c>
      <c r="AW36" s="109"/>
      <c r="BA36" s="109"/>
      <c r="BE36" s="109"/>
      <c r="BI36" s="109"/>
      <c r="BM36" s="109"/>
    </row>
    <row r="37" spans="1:65" ht="16.5" hidden="1" outlineLevel="1" x14ac:dyDescent="0.25">
      <c r="A37" s="212"/>
      <c r="B37" s="9"/>
      <c r="C37" s="39" t="s">
        <v>59</v>
      </c>
      <c r="D37" s="8"/>
      <c r="E37" s="73">
        <f>+((Benelux!E37*Benelux!$E$26)+(Benelux!Q37*Benelux!$Q$26))/'H7H9 BENELUX'!$E$26</f>
        <v>0.23482082986468</v>
      </c>
      <c r="F37" s="42">
        <f>+((Benelux!F37*Benelux!$F$26)+(Benelux!R37*Benelux!$R$26))/'H7H9 BENELUX'!$F$26</f>
        <v>0.22226963093105576</v>
      </c>
      <c r="G37" s="42">
        <f>+((Benelux!G37*Benelux!$G$26)+(Benelux!S37*Benelux!$S$26))/'H7H9 BENELUX'!$G$26</f>
        <v>0.21839458253070712</v>
      </c>
      <c r="H37" s="135"/>
      <c r="I37" s="97"/>
      <c r="J37" s="42"/>
      <c r="K37" s="42"/>
      <c r="L37" s="135"/>
      <c r="M37" s="97"/>
      <c r="N37" s="42"/>
      <c r="O37" s="42"/>
      <c r="P37" s="135"/>
      <c r="Q37" s="74">
        <f>+((Benelux!I37*Benelux!$I$26)+(Benelux!M37*Benelux!$M$26)+(Benelux!U37*Benelux!$U$26)+(Benelux!Y37*Benelux!$Y$26))/'H7H9 BENELUX'!$Q$26</f>
        <v>8.8384083004324862E-2</v>
      </c>
      <c r="R37" s="42">
        <f>+((Benelux!J37*Benelux!$J$26)+(Benelux!N37*Benelux!$N$26)+(Benelux!V37*Benelux!$V$26)+(Benelux!Z37*Benelux!$Z$26))/'H7H9 BENELUX'!$R$26</f>
        <v>9.5091847791717352E-2</v>
      </c>
      <c r="S37" s="42">
        <f>+((Benelux!K37*Benelux!$K$26)+(Benelux!O37*Benelux!$O$26)+(Benelux!W37*Benelux!$W$26)+(Benelux!AA37*Benelux!$AA$26))/'H7H9 BENELUX'!$S$26</f>
        <v>9.5980645035120674E-2</v>
      </c>
      <c r="T37" s="135"/>
      <c r="U37" s="85">
        <f t="shared" ref="U37:U39" si="31">+((E37*$E$26)+(Q37*$Q$26))/$U$26</f>
        <v>0.13179262182992227</v>
      </c>
      <c r="V37" s="60">
        <f t="shared" ref="V37:V39" si="32">+((F37*$F$26)+(R37*$R$26))/$V$26</f>
        <v>0.13351862754187163</v>
      </c>
      <c r="W37" s="60">
        <f t="shared" ref="W37:W39" si="33">+((G37*$G$26)+(S37*$S$26))/$W$26</f>
        <v>0.13384560864118927</v>
      </c>
      <c r="X37" s="135"/>
      <c r="Y37" s="97"/>
      <c r="Z37" s="42"/>
      <c r="AA37" s="42"/>
      <c r="AB37" s="135"/>
      <c r="AC37" s="97"/>
      <c r="AD37" s="42"/>
      <c r="AE37" s="42"/>
      <c r="AF37" s="135"/>
      <c r="AG37" s="97"/>
      <c r="AH37" s="42"/>
      <c r="AI37" s="42"/>
      <c r="AJ37" s="135"/>
      <c r="AK37" s="97"/>
      <c r="AL37" s="42"/>
      <c r="AM37" s="42"/>
      <c r="AN37" s="135"/>
      <c r="AO37" s="99"/>
      <c r="AP37" s="60"/>
      <c r="AQ37" s="60"/>
      <c r="AR37" s="135"/>
      <c r="AS37" s="93">
        <f t="shared" si="21"/>
        <v>0.13179262182992227</v>
      </c>
      <c r="AT37" s="68">
        <f t="shared" si="19"/>
        <v>0.13351862754187163</v>
      </c>
      <c r="AU37" s="68">
        <f t="shared" si="20"/>
        <v>0.13384560864118927</v>
      </c>
      <c r="AW37" s="109"/>
      <c r="BA37" s="109"/>
      <c r="BE37" s="109"/>
      <c r="BI37" s="109"/>
      <c r="BM37" s="109"/>
    </row>
    <row r="38" spans="1:65" ht="16.5" hidden="1" outlineLevel="1" x14ac:dyDescent="0.25">
      <c r="A38" s="212"/>
      <c r="B38" s="9"/>
      <c r="C38" s="39" t="s">
        <v>60</v>
      </c>
      <c r="D38" s="8"/>
      <c r="E38" s="74">
        <f>+((Benelux!E38*Benelux!$E$26)+(Benelux!Q38*Benelux!$Q$26))/'H7H9 BENELUX'!$E$26</f>
        <v>4.1634093632154423E-2</v>
      </c>
      <c r="F38" s="42">
        <f>+((Benelux!F38*Benelux!$F$26)+(Benelux!R38*Benelux!$R$26))/'H7H9 BENELUX'!$F$26</f>
        <v>4.0782577906958779E-2</v>
      </c>
      <c r="G38" s="42">
        <f>+((Benelux!G38*Benelux!$G$26)+(Benelux!S38*Benelux!$S$26))/'H7H9 BENELUX'!$G$26</f>
        <v>4.5717904112243739E-2</v>
      </c>
      <c r="H38" s="135"/>
      <c r="I38" s="97"/>
      <c r="J38" s="42"/>
      <c r="K38" s="42"/>
      <c r="L38" s="135"/>
      <c r="M38" s="97"/>
      <c r="N38" s="42"/>
      <c r="O38" s="42"/>
      <c r="P38" s="135"/>
      <c r="Q38" s="74">
        <f>+((Benelux!I38*Benelux!$I$26)+(Benelux!M38*Benelux!$M$26)+(Benelux!U38*Benelux!$U$26)+(Benelux!Y38*Benelux!$Y$26))/'H7H9 BENELUX'!$Q$26</f>
        <v>2.5945252479297881E-2</v>
      </c>
      <c r="R38" s="42">
        <f>+((Benelux!J38*Benelux!$J$26)+(Benelux!N38*Benelux!$N$26)+(Benelux!V38*Benelux!$V$26)+(Benelux!Z38*Benelux!$Z$26))/'H7H9 BENELUX'!$R$26</f>
        <v>2.0734370556357323E-2</v>
      </c>
      <c r="S38" s="42">
        <f>+((Benelux!K38*Benelux!$K$26)+(Benelux!O38*Benelux!$O$26)+(Benelux!W38*Benelux!$W$26)+(Benelux!AA38*Benelux!$AA$26))/'H7H9 BENELUX'!$S$26</f>
        <v>2.8225618207265355E-2</v>
      </c>
      <c r="T38" s="135"/>
      <c r="U38" s="85">
        <f t="shared" si="31"/>
        <v>3.0595927155660681E-2</v>
      </c>
      <c r="V38" s="60">
        <f t="shared" si="32"/>
        <v>2.6791938389592273E-2</v>
      </c>
      <c r="W38" s="60">
        <f t="shared" si="33"/>
        <v>3.363631557334619E-2</v>
      </c>
      <c r="X38" s="135"/>
      <c r="Y38" s="97"/>
      <c r="Z38" s="42"/>
      <c r="AA38" s="42"/>
      <c r="AB38" s="135"/>
      <c r="AC38" s="97"/>
      <c r="AD38" s="42"/>
      <c r="AE38" s="42"/>
      <c r="AF38" s="135"/>
      <c r="AG38" s="97"/>
      <c r="AH38" s="42"/>
      <c r="AI38" s="42"/>
      <c r="AJ38" s="135"/>
      <c r="AK38" s="97"/>
      <c r="AL38" s="42"/>
      <c r="AM38" s="42"/>
      <c r="AN38" s="135"/>
      <c r="AO38" s="99"/>
      <c r="AP38" s="60"/>
      <c r="AQ38" s="60"/>
      <c r="AR38" s="135"/>
      <c r="AS38" s="93">
        <f t="shared" si="21"/>
        <v>3.0595927155660681E-2</v>
      </c>
      <c r="AT38" s="68">
        <f t="shared" si="19"/>
        <v>2.6791938389592273E-2</v>
      </c>
      <c r="AU38" s="68">
        <f t="shared" si="20"/>
        <v>3.363631557334619E-2</v>
      </c>
      <c r="AW38" s="109"/>
      <c r="BA38" s="109"/>
      <c r="BE38" s="109"/>
      <c r="BI38" s="109"/>
      <c r="BM38" s="109"/>
    </row>
    <row r="39" spans="1:65" ht="16.5" hidden="1" outlineLevel="1" x14ac:dyDescent="0.25">
      <c r="A39" s="212"/>
      <c r="B39" s="9"/>
      <c r="C39" s="39" t="s">
        <v>61</v>
      </c>
      <c r="D39" s="8"/>
      <c r="E39" s="74">
        <f>+((Benelux!E39*Benelux!$E$26)+(Benelux!Q39*Benelux!$Q$26))/'H7H9 BENELUX'!$E$26</f>
        <v>5.5644033724573494E-2</v>
      </c>
      <c r="F39" s="42">
        <f>+((Benelux!F39*Benelux!$F$26)+(Benelux!R39*Benelux!$R$26))/'H7H9 BENELUX'!$F$26</f>
        <v>6.6690109816890941E-2</v>
      </c>
      <c r="G39" s="42">
        <f>+((Benelux!G39*Benelux!$G$26)+(Benelux!S39*Benelux!$S$26))/'H7H9 BENELUX'!$G$26</f>
        <v>6.427298036184341E-2</v>
      </c>
      <c r="H39" s="135"/>
      <c r="I39" s="97"/>
      <c r="J39" s="42"/>
      <c r="K39" s="42"/>
      <c r="L39" s="135"/>
      <c r="M39" s="97"/>
      <c r="N39" s="42"/>
      <c r="O39" s="42"/>
      <c r="P39" s="135"/>
      <c r="Q39" s="74">
        <f>+((Benelux!I39*Benelux!$I$26)+(Benelux!M39*Benelux!$M$26)+(Benelux!U39*Benelux!$U$26)+(Benelux!Y39*Benelux!$Y$26))/'H7H9 BENELUX'!$Q$26</f>
        <v>6.9808536311483746E-2</v>
      </c>
      <c r="R39" s="42">
        <f>+((Benelux!J39*Benelux!$J$26)+(Benelux!N39*Benelux!$N$26)+(Benelux!V39*Benelux!$V$26)+(Benelux!Z39*Benelux!$Z$26))/'H7H9 BENELUX'!$R$26</f>
        <v>7.2986696050788918E-2</v>
      </c>
      <c r="S39" s="42">
        <f>+((Benelux!K39*Benelux!$K$26)+(Benelux!O39*Benelux!$O$26)+(Benelux!W39*Benelux!$W$26)+(Benelux!AA39*Benelux!$AA$26))/'H7H9 BENELUX'!$S$26</f>
        <v>9.011830811348763E-2</v>
      </c>
      <c r="T39" s="135"/>
      <c r="U39" s="85">
        <f t="shared" si="31"/>
        <v>6.5609724376146844E-2</v>
      </c>
      <c r="V39" s="60">
        <f t="shared" si="32"/>
        <v>7.1084181897646634E-2</v>
      </c>
      <c r="W39" s="60">
        <f t="shared" si="33"/>
        <v>8.2123855727392253E-2</v>
      </c>
      <c r="X39" s="135"/>
      <c r="Y39" s="97"/>
      <c r="Z39" s="42"/>
      <c r="AA39" s="42"/>
      <c r="AB39" s="135"/>
      <c r="AC39" s="97"/>
      <c r="AD39" s="42"/>
      <c r="AE39" s="42"/>
      <c r="AF39" s="135"/>
      <c r="AG39" s="97"/>
      <c r="AH39" s="42"/>
      <c r="AI39" s="42"/>
      <c r="AJ39" s="135"/>
      <c r="AK39" s="97"/>
      <c r="AL39" s="42"/>
      <c r="AM39" s="42"/>
      <c r="AN39" s="135"/>
      <c r="AO39" s="99"/>
      <c r="AP39" s="60"/>
      <c r="AQ39" s="60"/>
      <c r="AR39" s="135"/>
      <c r="AS39" s="93">
        <f t="shared" si="21"/>
        <v>6.5609724376146844E-2</v>
      </c>
      <c r="AT39" s="68">
        <f t="shared" si="19"/>
        <v>7.1084181897646634E-2</v>
      </c>
      <c r="AU39" s="68">
        <f t="shared" si="20"/>
        <v>8.2123855727392253E-2</v>
      </c>
      <c r="AW39" s="109"/>
      <c r="BA39" s="109"/>
      <c r="BE39" s="109"/>
      <c r="BI39" s="109"/>
      <c r="BM39" s="109"/>
    </row>
    <row r="40" spans="1:65" ht="16.5" hidden="1" outlineLevel="1" x14ac:dyDescent="0.25">
      <c r="A40" s="212"/>
      <c r="B40" s="9"/>
      <c r="C40" s="116" t="s">
        <v>34</v>
      </c>
      <c r="D40" s="6"/>
      <c r="E40" s="121">
        <f>+Benelux!E40+Benelux!Q40</f>
        <v>-1.8323239599999965</v>
      </c>
      <c r="F40" s="119">
        <f>+Benelux!F40+Benelux!R40</f>
        <v>5.6930362200000086</v>
      </c>
      <c r="G40" s="119">
        <f>+Benelux!G40+Benelux!S40</f>
        <v>0.6814960298230206</v>
      </c>
      <c r="H40" s="117"/>
      <c r="I40" s="121"/>
      <c r="J40" s="119"/>
      <c r="K40" s="119"/>
      <c r="L40" s="117"/>
      <c r="M40" s="121"/>
      <c r="N40" s="119"/>
      <c r="O40" s="119"/>
      <c r="P40" s="117"/>
      <c r="Q40" s="118">
        <f>+Benelux!I40+Benelux!M40+Benelux!U40+Benelux!Y40</f>
        <v>-1.5376890399999736</v>
      </c>
      <c r="R40" s="119">
        <f>+Benelux!J40+Benelux!N40+Benelux!V40+Benelux!Z40</f>
        <v>-4.8967021400000057</v>
      </c>
      <c r="S40" s="119">
        <f>+Benelux!K40+Benelux!O40+Benelux!W40+Benelux!AA40</f>
        <v>-2.4199344214021972</v>
      </c>
      <c r="T40" s="117"/>
      <c r="U40" s="125">
        <f t="shared" ref="U40:W40" si="34">+E40+Q40</f>
        <v>-3.3700129999999699</v>
      </c>
      <c r="V40" s="123">
        <f t="shared" si="34"/>
        <v>0.79633408000000294</v>
      </c>
      <c r="W40" s="123">
        <f t="shared" si="34"/>
        <v>-1.7384383915791766</v>
      </c>
      <c r="X40" s="117"/>
      <c r="Y40" s="121"/>
      <c r="Z40" s="119"/>
      <c r="AA40" s="119"/>
      <c r="AB40" s="117"/>
      <c r="AC40" s="121"/>
      <c r="AD40" s="119"/>
      <c r="AE40" s="119"/>
      <c r="AF40" s="117"/>
      <c r="AG40" s="121"/>
      <c r="AH40" s="119"/>
      <c r="AI40" s="119"/>
      <c r="AJ40" s="117"/>
      <c r="AK40" s="121"/>
      <c r="AL40" s="119"/>
      <c r="AM40" s="119"/>
      <c r="AN40" s="117"/>
      <c r="AO40" s="124"/>
      <c r="AP40" s="165"/>
      <c r="AQ40" s="123"/>
      <c r="AR40" s="117"/>
      <c r="AS40" s="159">
        <f t="shared" si="21"/>
        <v>-3.3700129999999699</v>
      </c>
      <c r="AT40" s="160">
        <f t="shared" si="19"/>
        <v>0.79633408000000294</v>
      </c>
      <c r="AU40" s="160">
        <f t="shared" si="20"/>
        <v>-1.7384383915791766</v>
      </c>
      <c r="AW40" s="108"/>
      <c r="BA40" s="108"/>
      <c r="BE40" s="108"/>
      <c r="BI40" s="108"/>
      <c r="BM40" s="108"/>
    </row>
    <row r="41" spans="1:65" hidden="1" outlineLevel="1" x14ac:dyDescent="0.35"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</row>
    <row r="42" spans="1:65" ht="16.5" hidden="1" outlineLevel="1" x14ac:dyDescent="0.25">
      <c r="A42" s="212" t="s">
        <v>36</v>
      </c>
      <c r="B42" s="9"/>
      <c r="C42" s="116" t="s">
        <v>19</v>
      </c>
      <c r="D42" s="6"/>
      <c r="E42" s="118">
        <f>+Benelux!E42+Benelux!Q42</f>
        <v>22.773432659999997</v>
      </c>
      <c r="F42" s="119">
        <f>+Benelux!F42+Benelux!R42</f>
        <v>20.532340690000005</v>
      </c>
      <c r="G42" s="119">
        <f>+Benelux!G42+Benelux!S42</f>
        <v>22.572838937334478</v>
      </c>
      <c r="H42" s="117"/>
      <c r="I42" s="121"/>
      <c r="J42" s="119"/>
      <c r="K42" s="119"/>
      <c r="L42" s="117"/>
      <c r="M42" s="121"/>
      <c r="N42" s="119"/>
      <c r="O42" s="119"/>
      <c r="P42" s="117"/>
      <c r="Q42" s="121">
        <f>+Benelux!I42+Benelux!M42+Benelux!U42+Benelux!Y42</f>
        <v>55.717482439999998</v>
      </c>
      <c r="R42" s="119">
        <f>+Benelux!J42+Benelux!N42+Benelux!V42+Benelux!Z42</f>
        <v>57.921181810000007</v>
      </c>
      <c r="S42" s="119">
        <f>+Benelux!K42+Benelux!O42+Benelux!W42+Benelux!AA42</f>
        <v>59.926929498485009</v>
      </c>
      <c r="T42" s="117"/>
      <c r="U42" s="124">
        <f t="shared" ref="U42:U43" si="35">+E42+Q42</f>
        <v>78.490915099999995</v>
      </c>
      <c r="V42" s="123">
        <f t="shared" ref="V42:V43" si="36">+F42+R42</f>
        <v>78.45352250000002</v>
      </c>
      <c r="W42" s="123">
        <f t="shared" ref="W42:W43" si="37">+G42+S42</f>
        <v>82.49976843581949</v>
      </c>
      <c r="X42" s="117"/>
      <c r="Y42" s="121"/>
      <c r="Z42" s="119"/>
      <c r="AA42" s="119"/>
      <c r="AB42" s="117"/>
      <c r="AC42" s="121"/>
      <c r="AD42" s="119"/>
      <c r="AE42" s="119"/>
      <c r="AF42" s="117"/>
      <c r="AG42" s="121"/>
      <c r="AH42" s="119"/>
      <c r="AI42" s="119"/>
      <c r="AJ42" s="117"/>
      <c r="AK42" s="121"/>
      <c r="AL42" s="119"/>
      <c r="AM42" s="119"/>
      <c r="AN42" s="117"/>
      <c r="AO42" s="124"/>
      <c r="AP42" s="123"/>
      <c r="AQ42" s="123"/>
      <c r="AR42" s="117"/>
      <c r="AS42" s="161">
        <f>+U42</f>
        <v>78.490915099999995</v>
      </c>
      <c r="AT42" s="160">
        <f t="shared" ref="AT42:AT57" si="38">+V42</f>
        <v>78.45352250000002</v>
      </c>
      <c r="AU42" s="160">
        <f t="shared" ref="AU42:AU57" si="39">+W42</f>
        <v>82.49976843581949</v>
      </c>
      <c r="AW42" s="108"/>
      <c r="BA42" s="108"/>
      <c r="BE42" s="108"/>
      <c r="BI42" s="108"/>
      <c r="BM42" s="108"/>
    </row>
    <row r="43" spans="1:65" ht="16.5" hidden="1" outlineLevel="1" x14ac:dyDescent="0.25">
      <c r="A43" s="212"/>
      <c r="B43" s="9"/>
      <c r="C43" s="116" t="s">
        <v>55</v>
      </c>
      <c r="D43" s="6"/>
      <c r="E43" s="121">
        <f>+Benelux!E43+Benelux!Q43</f>
        <v>18.806759150000005</v>
      </c>
      <c r="F43" s="119">
        <f>+Benelux!F43+Benelux!R43</f>
        <v>17.205676010000001</v>
      </c>
      <c r="G43" s="119">
        <f>+Benelux!G43+Benelux!S43</f>
        <v>20.597823795773049</v>
      </c>
      <c r="H43" s="117"/>
      <c r="I43" s="121"/>
      <c r="J43" s="119"/>
      <c r="K43" s="119"/>
      <c r="L43" s="117"/>
      <c r="M43" s="121"/>
      <c r="N43" s="119"/>
      <c r="O43" s="119"/>
      <c r="P43" s="117"/>
      <c r="Q43" s="121">
        <f>+Benelux!I43+Benelux!M43+Benelux!U43+Benelux!Y43</f>
        <v>42.570806439999984</v>
      </c>
      <c r="R43" s="119">
        <f>+Benelux!J43+Benelux!N43+Benelux!V43+Benelux!Z43</f>
        <v>43.14376824</v>
      </c>
      <c r="S43" s="119">
        <f>+Benelux!K43+Benelux!O43+Benelux!W43+Benelux!AA43</f>
        <v>43.813105926822196</v>
      </c>
      <c r="T43" s="117"/>
      <c r="U43" s="124">
        <f t="shared" si="35"/>
        <v>61.377565589999989</v>
      </c>
      <c r="V43" s="123">
        <f t="shared" si="36"/>
        <v>60.349444250000005</v>
      </c>
      <c r="W43" s="123">
        <f t="shared" si="37"/>
        <v>64.410929722595242</v>
      </c>
      <c r="X43" s="117"/>
      <c r="Y43" s="121"/>
      <c r="Z43" s="119"/>
      <c r="AA43" s="119"/>
      <c r="AB43" s="117"/>
      <c r="AC43" s="121"/>
      <c r="AD43" s="119"/>
      <c r="AE43" s="119"/>
      <c r="AF43" s="117"/>
      <c r="AG43" s="121"/>
      <c r="AH43" s="119"/>
      <c r="AI43" s="119"/>
      <c r="AJ43" s="117"/>
      <c r="AK43" s="121"/>
      <c r="AL43" s="119"/>
      <c r="AM43" s="119"/>
      <c r="AN43" s="117"/>
      <c r="AO43" s="124"/>
      <c r="AP43" s="123"/>
      <c r="AQ43" s="123"/>
      <c r="AR43" s="117"/>
      <c r="AS43" s="161">
        <f t="shared" ref="AS43:AS57" si="40">+U43</f>
        <v>61.377565589999989</v>
      </c>
      <c r="AT43" s="160">
        <f t="shared" si="38"/>
        <v>60.349444250000005</v>
      </c>
      <c r="AU43" s="160">
        <f t="shared" si="39"/>
        <v>64.410929722595242</v>
      </c>
      <c r="AW43" s="108"/>
      <c r="BA43" s="108"/>
      <c r="BE43" s="108"/>
      <c r="BI43" s="108"/>
      <c r="BM43" s="108"/>
    </row>
    <row r="44" spans="1:65" ht="16.5" hidden="1" outlineLevel="1" x14ac:dyDescent="0.25">
      <c r="A44" s="212"/>
      <c r="B44" s="9"/>
      <c r="C44" s="116" t="s">
        <v>21</v>
      </c>
      <c r="D44" s="6"/>
      <c r="E44" s="126">
        <f>+E45+E50+E51+E52+E53</f>
        <v>0.80615866716196005</v>
      </c>
      <c r="F44" s="127">
        <f t="shared" ref="F44" si="41">+F45+F50+F51+F52+F53</f>
        <v>0.99504254817128812</v>
      </c>
      <c r="G44" s="127">
        <f t="shared" ref="G44" si="42">+G45+G50+G51+G52+G53</f>
        <v>0.95252793410117254</v>
      </c>
      <c r="H44" s="117"/>
      <c r="I44" s="131"/>
      <c r="J44" s="127"/>
      <c r="K44" s="127"/>
      <c r="L44" s="117"/>
      <c r="M44" s="131"/>
      <c r="N44" s="127"/>
      <c r="O44" s="127"/>
      <c r="P44" s="117"/>
      <c r="Q44" s="128">
        <f>+Q45+Q50+Q51+Q52+Q53</f>
        <v>0.93352646480896739</v>
      </c>
      <c r="R44" s="127">
        <f>+R45+R50+R51+R52+R53</f>
        <v>0.86383395332275681</v>
      </c>
      <c r="S44" s="127">
        <f>+S45+S50+S51+S52+S53</f>
        <v>0.9048386780535026</v>
      </c>
      <c r="T44" s="117"/>
      <c r="U44" s="132">
        <f>+U45+U50+U51+U52+U53</f>
        <v>0.89449957492196486</v>
      </c>
      <c r="V44" s="130">
        <f>+V45+V50+V51+V52+V53</f>
        <v>0.90124163123507139</v>
      </c>
      <c r="W44" s="130">
        <f>+W45+W50+W51+W52+W53</f>
        <v>0.92008911609642408</v>
      </c>
      <c r="X44" s="117"/>
      <c r="Y44" s="131"/>
      <c r="Z44" s="127"/>
      <c r="AA44" s="127"/>
      <c r="AB44" s="117"/>
      <c r="AC44" s="131"/>
      <c r="AD44" s="127"/>
      <c r="AE44" s="127"/>
      <c r="AF44" s="117"/>
      <c r="AG44" s="131"/>
      <c r="AH44" s="127"/>
      <c r="AI44" s="127"/>
      <c r="AJ44" s="117"/>
      <c r="AK44" s="131"/>
      <c r="AL44" s="127"/>
      <c r="AM44" s="127"/>
      <c r="AN44" s="117"/>
      <c r="AO44" s="133"/>
      <c r="AP44" s="130"/>
      <c r="AQ44" s="130"/>
      <c r="AR44" s="117"/>
      <c r="AS44" s="162">
        <f t="shared" si="40"/>
        <v>0.89449957492196486</v>
      </c>
      <c r="AT44" s="163">
        <f t="shared" si="38"/>
        <v>0.90124163123507139</v>
      </c>
      <c r="AU44" s="163">
        <f t="shared" si="39"/>
        <v>0.92008911609642408</v>
      </c>
      <c r="AW44" s="109"/>
      <c r="BA44" s="109"/>
      <c r="BE44" s="109"/>
      <c r="BI44" s="109"/>
      <c r="BM44" s="109"/>
    </row>
    <row r="45" spans="1:65" ht="16.5" hidden="1" outlineLevel="1" x14ac:dyDescent="0.25">
      <c r="A45" s="212"/>
      <c r="B45" s="9"/>
      <c r="C45" s="116" t="s">
        <v>56</v>
      </c>
      <c r="D45" s="6"/>
      <c r="E45" s="131">
        <f>+E46+E47+E48+E49</f>
        <v>0.6463602220375112</v>
      </c>
      <c r="F45" s="127">
        <f t="shared" ref="F45" si="43">+F46+F47+F48+F49</f>
        <v>0.71983562998638606</v>
      </c>
      <c r="G45" s="127">
        <f t="shared" ref="G45" si="44">+G46+G47+G48+G49</f>
        <v>0.64072368888672671</v>
      </c>
      <c r="H45" s="117"/>
      <c r="I45" s="131"/>
      <c r="J45" s="127"/>
      <c r="K45" s="127"/>
      <c r="L45" s="117"/>
      <c r="M45" s="131"/>
      <c r="N45" s="127"/>
      <c r="O45" s="127"/>
      <c r="P45" s="117"/>
      <c r="Q45" s="126">
        <f>+Q46+Q47+Q48+Q49</f>
        <v>0.56867807693802319</v>
      </c>
      <c r="R45" s="127">
        <f>+R46+R47+R48+R49</f>
        <v>0.60865321600846789</v>
      </c>
      <c r="S45" s="127">
        <f>+S46+S47+S48+S49</f>
        <v>0.62276711352932901</v>
      </c>
      <c r="T45" s="117"/>
      <c r="U45" s="132">
        <f>+U46+U47+U48+U49</f>
        <v>0.59248073804225321</v>
      </c>
      <c r="V45" s="130">
        <f>+V46+V47+V48+V49</f>
        <v>0.64035141334379386</v>
      </c>
      <c r="W45" s="130">
        <f>+W46+W47+W48+W49</f>
        <v>0.62850940566484292</v>
      </c>
      <c r="X45" s="117"/>
      <c r="Y45" s="131"/>
      <c r="Z45" s="127"/>
      <c r="AA45" s="127"/>
      <c r="AB45" s="117"/>
      <c r="AC45" s="131"/>
      <c r="AD45" s="127"/>
      <c r="AE45" s="127"/>
      <c r="AF45" s="117"/>
      <c r="AG45" s="131"/>
      <c r="AH45" s="127"/>
      <c r="AI45" s="127"/>
      <c r="AJ45" s="117"/>
      <c r="AK45" s="131"/>
      <c r="AL45" s="127"/>
      <c r="AM45" s="127"/>
      <c r="AN45" s="117"/>
      <c r="AO45" s="133"/>
      <c r="AP45" s="130"/>
      <c r="AQ45" s="130"/>
      <c r="AR45" s="117"/>
      <c r="AS45" s="162">
        <f t="shared" si="40"/>
        <v>0.59248073804225321</v>
      </c>
      <c r="AT45" s="163">
        <f t="shared" si="38"/>
        <v>0.64035141334379386</v>
      </c>
      <c r="AU45" s="163">
        <f t="shared" si="39"/>
        <v>0.62850940566484292</v>
      </c>
      <c r="AW45" s="109"/>
      <c r="BA45" s="109"/>
      <c r="BE45" s="109"/>
      <c r="BI45" s="109"/>
      <c r="BM45" s="109"/>
    </row>
    <row r="46" spans="1:65" ht="16.5" hidden="1" outlineLevel="1" x14ac:dyDescent="0.25">
      <c r="A46" s="212"/>
      <c r="B46" s="9"/>
      <c r="C46" s="38" t="s">
        <v>23</v>
      </c>
      <c r="D46" s="6"/>
      <c r="E46" s="73">
        <f>+((Benelux!E46*Benelux!$E$43)+(Benelux!Q46*Benelux!$Q$43))/'H7H9 BENELUX'!$E$43</f>
        <v>0.63029267698150948</v>
      </c>
      <c r="F46" s="42">
        <f>+((Benelux!F46*Benelux!$F$43)+(Benelux!R46*Benelux!$R$43))/'H7H9 BENELUX'!$F$43</f>
        <v>0.69964752521223372</v>
      </c>
      <c r="G46" s="42">
        <f>+((Benelux!G46*Benelux!$G$43)+(Benelux!S46*Benelux!$S$43))/'H7H9 BENELUX'!$G$43</f>
        <v>0.5988093180669477</v>
      </c>
      <c r="H46" s="117"/>
      <c r="I46" s="97"/>
      <c r="J46" s="42"/>
      <c r="K46" s="42"/>
      <c r="L46" s="117"/>
      <c r="M46" s="97"/>
      <c r="N46" s="42"/>
      <c r="O46" s="42"/>
      <c r="P46" s="117"/>
      <c r="Q46" s="73">
        <f>+((Benelux!I46*Benelux!$I$43)+(Benelux!M46*Benelux!$M$43)+(Benelux!U46*Benelux!$U$43)+(Benelux!Y46*Benelux!$Y$43))/'H7H9 BENELUX'!$Q$43</f>
        <v>0.53890550822273808</v>
      </c>
      <c r="R46" s="42">
        <f>+((Benelux!J46*Benelux!$J$43)+(Benelux!N46*Benelux!$N$43)+(Benelux!V46*Benelux!$V$43)+(Benelux!Z46*Benelux!$Z$43))/'H7H9 BENELUX'!$R$43</f>
        <v>0.56868387720599334</v>
      </c>
      <c r="S46" s="42">
        <f>+((Benelux!K46*Benelux!$K$43)+(Benelux!O46*Benelux!$O$43)+(Benelux!W46*Benelux!$W$43)+(Benelux!AA46*Benelux!$AA$43))/'H7H9 BENELUX'!$S$43</f>
        <v>0.53360622801515301</v>
      </c>
      <c r="T46" s="117"/>
      <c r="U46" s="84">
        <f>+((E46*$E$43)+(Q46*$Q$43))/$U$43</f>
        <v>0.56690753886252343</v>
      </c>
      <c r="V46" s="60">
        <f>+((F46*$F$43)+(R46*$R$43))/$V$43</f>
        <v>0.60602172057284509</v>
      </c>
      <c r="W46" s="60">
        <f>+((G46*$G$43)+(S46*$S$43))/$W$43</f>
        <v>0.5544573749495475</v>
      </c>
      <c r="X46" s="117"/>
      <c r="Y46" s="97"/>
      <c r="Z46" s="42"/>
      <c r="AA46" s="42"/>
      <c r="AB46" s="117"/>
      <c r="AC46" s="97"/>
      <c r="AD46" s="42"/>
      <c r="AE46" s="42"/>
      <c r="AF46" s="117"/>
      <c r="AG46" s="97"/>
      <c r="AH46" s="42"/>
      <c r="AI46" s="42"/>
      <c r="AJ46" s="117"/>
      <c r="AK46" s="97"/>
      <c r="AL46" s="42"/>
      <c r="AM46" s="42"/>
      <c r="AN46" s="117"/>
      <c r="AO46" s="99"/>
      <c r="AP46" s="60"/>
      <c r="AQ46" s="60"/>
      <c r="AR46" s="117"/>
      <c r="AS46" s="92">
        <f t="shared" si="40"/>
        <v>0.56690753886252343</v>
      </c>
      <c r="AT46" s="68">
        <f t="shared" si="38"/>
        <v>0.60602172057284509</v>
      </c>
      <c r="AU46" s="68">
        <f t="shared" si="39"/>
        <v>0.5544573749495475</v>
      </c>
      <c r="AW46" s="109"/>
      <c r="BA46" s="109"/>
      <c r="BE46" s="109"/>
      <c r="BI46" s="109"/>
      <c r="BM46" s="109"/>
    </row>
    <row r="47" spans="1:65" ht="16.5" hidden="1" outlineLevel="1" x14ac:dyDescent="0.25">
      <c r="A47" s="212"/>
      <c r="B47" s="9"/>
      <c r="C47" s="38" t="s">
        <v>24</v>
      </c>
      <c r="D47" s="7"/>
      <c r="E47" s="74">
        <f>+((Benelux!E47*Benelux!$E$43)+(Benelux!Q47*Benelux!$Q$43))/'H7H9 BENELUX'!$E$43</f>
        <v>5.7737114158767737E-4</v>
      </c>
      <c r="F47" s="42">
        <f>+((Benelux!F47*Benelux!$F$43)+(Benelux!R47*Benelux!$R$43))/'H7H9 BENELUX'!$F$43</f>
        <v>0</v>
      </c>
      <c r="G47" s="42">
        <f>+((Benelux!G47*Benelux!$G$43)+(Benelux!S47*Benelux!$S$43))/'H7H9 BENELUX'!$G$43</f>
        <v>2.5106385498247882E-2</v>
      </c>
      <c r="H47" s="134"/>
      <c r="I47" s="97"/>
      <c r="J47" s="42"/>
      <c r="K47" s="42"/>
      <c r="L47" s="134"/>
      <c r="M47" s="97"/>
      <c r="N47" s="42"/>
      <c r="O47" s="42"/>
      <c r="P47" s="134"/>
      <c r="Q47" s="74">
        <f>+((Benelux!I47*Benelux!$I$43)+(Benelux!M47*Benelux!$M$43)+(Benelux!U47*Benelux!$U$43)+(Benelux!Y47*Benelux!$Y$43))/'H7H9 BENELUX'!$Q$43</f>
        <v>3.6696885275166536E-4</v>
      </c>
      <c r="R47" s="42">
        <f>+((Benelux!J47*Benelux!$J$43)+(Benelux!N47*Benelux!$N$43)+(Benelux!V47*Benelux!$V$43)+(Benelux!Z47*Benelux!$Z$43))/'H7H9 BENELUX'!$R$43</f>
        <v>0</v>
      </c>
      <c r="S47" s="42">
        <f>+((Benelux!K47*Benelux!$K$43)+(Benelux!O47*Benelux!$O$43)+(Benelux!W47*Benelux!$W$43)+(Benelux!AA47*Benelux!$AA$43))/'H7H9 BENELUX'!$S$43</f>
        <v>2.243308422370106E-2</v>
      </c>
      <c r="T47" s="134"/>
      <c r="U47" s="85">
        <f t="shared" ref="U47:U52" si="45">+((E47*$E$43)+(Q47*$Q$43))/$U$43</f>
        <v>4.3143842127740546E-4</v>
      </c>
      <c r="V47" s="60">
        <f t="shared" ref="V47:V52" si="46">+((F47*$F$43)+(R47*$R$43))/$V$43</f>
        <v>0</v>
      </c>
      <c r="W47" s="60">
        <f t="shared" ref="W47:W52" si="47">+((G47*$G$43)+(S47*$S$43))/$W$43</f>
        <v>2.3287973119782535E-2</v>
      </c>
      <c r="X47" s="134"/>
      <c r="Y47" s="97"/>
      <c r="Z47" s="42"/>
      <c r="AA47" s="42"/>
      <c r="AB47" s="134"/>
      <c r="AC47" s="97"/>
      <c r="AD47" s="42"/>
      <c r="AE47" s="42"/>
      <c r="AF47" s="134"/>
      <c r="AG47" s="97"/>
      <c r="AH47" s="42"/>
      <c r="AI47" s="42"/>
      <c r="AJ47" s="134"/>
      <c r="AK47" s="97"/>
      <c r="AL47" s="42"/>
      <c r="AM47" s="42"/>
      <c r="AN47" s="134"/>
      <c r="AO47" s="99"/>
      <c r="AP47" s="60"/>
      <c r="AQ47" s="60"/>
      <c r="AR47" s="134"/>
      <c r="AS47" s="93">
        <f t="shared" si="40"/>
        <v>4.3143842127740546E-4</v>
      </c>
      <c r="AT47" s="68">
        <f t="shared" si="38"/>
        <v>0</v>
      </c>
      <c r="AU47" s="68">
        <f t="shared" si="39"/>
        <v>2.3287973119782535E-2</v>
      </c>
      <c r="AW47" s="109"/>
      <c r="BA47" s="109"/>
      <c r="BE47" s="109"/>
      <c r="BI47" s="109"/>
      <c r="BM47" s="109"/>
    </row>
    <row r="48" spans="1:65" ht="16.5" hidden="1" outlineLevel="1" x14ac:dyDescent="0.25">
      <c r="A48" s="212"/>
      <c r="B48" s="9"/>
      <c r="C48" s="38" t="s">
        <v>25</v>
      </c>
      <c r="D48" s="7"/>
      <c r="E48" s="97">
        <f>+((Benelux!E48*Benelux!$E$43)+(Benelux!Q48*Benelux!$Q$43))/'H7H9 BENELUX'!$E$43</f>
        <v>0</v>
      </c>
      <c r="F48" s="42">
        <f>+((Benelux!F48*Benelux!$F$43)+(Benelux!R48*Benelux!$R$43))/'H7H9 BENELUX'!$F$43</f>
        <v>0</v>
      </c>
      <c r="G48" s="42">
        <f>+((Benelux!G48*Benelux!$G$43)+(Benelux!S48*Benelux!$S$43))/'H7H9 BENELUX'!$G$43</f>
        <v>0</v>
      </c>
      <c r="H48" s="134"/>
      <c r="I48" s="97"/>
      <c r="J48" s="42"/>
      <c r="K48" s="42"/>
      <c r="L48" s="134"/>
      <c r="M48" s="97"/>
      <c r="N48" s="42"/>
      <c r="O48" s="42"/>
      <c r="P48" s="134"/>
      <c r="Q48" s="97">
        <f>+((Benelux!I48*Benelux!$I$43)+(Benelux!M48*Benelux!$M$43)+(Benelux!U48*Benelux!$U$43)+(Benelux!Y48*Benelux!$Y$43))/'H7H9 BENELUX'!$Q$43</f>
        <v>0</v>
      </c>
      <c r="R48" s="42">
        <f>+((Benelux!J48*Benelux!$J$43)+(Benelux!N48*Benelux!$N$43)+(Benelux!V48*Benelux!$V$43)+(Benelux!Z48*Benelux!$Z$43))/'H7H9 BENELUX'!$R$43</f>
        <v>0</v>
      </c>
      <c r="S48" s="42">
        <f>+((Benelux!K48*Benelux!$K$43)+(Benelux!O48*Benelux!$O$43)+(Benelux!W48*Benelux!$W$43)+(Benelux!AA48*Benelux!$AA$43))/'H7H9 BENELUX'!$S$43</f>
        <v>0</v>
      </c>
      <c r="T48" s="134"/>
      <c r="U48" s="99">
        <f t="shared" si="45"/>
        <v>0</v>
      </c>
      <c r="V48" s="60">
        <f t="shared" si="46"/>
        <v>0</v>
      </c>
      <c r="W48" s="60">
        <f t="shared" si="47"/>
        <v>0</v>
      </c>
      <c r="X48" s="134"/>
      <c r="Y48" s="97"/>
      <c r="Z48" s="42"/>
      <c r="AA48" s="42"/>
      <c r="AB48" s="134"/>
      <c r="AC48" s="97"/>
      <c r="AD48" s="42"/>
      <c r="AE48" s="42"/>
      <c r="AF48" s="134"/>
      <c r="AG48" s="97"/>
      <c r="AH48" s="42"/>
      <c r="AI48" s="42"/>
      <c r="AJ48" s="134"/>
      <c r="AK48" s="97"/>
      <c r="AL48" s="42"/>
      <c r="AM48" s="42"/>
      <c r="AN48" s="134"/>
      <c r="AO48" s="99"/>
      <c r="AP48" s="60"/>
      <c r="AQ48" s="60"/>
      <c r="AR48" s="134"/>
      <c r="AS48" s="106">
        <f t="shared" si="40"/>
        <v>0</v>
      </c>
      <c r="AT48" s="68">
        <f t="shared" si="38"/>
        <v>0</v>
      </c>
      <c r="AU48" s="68">
        <f t="shared" si="39"/>
        <v>0</v>
      </c>
      <c r="AW48" s="109"/>
      <c r="BA48" s="109"/>
      <c r="BE48" s="109"/>
      <c r="BI48" s="109"/>
      <c r="BM48" s="109"/>
    </row>
    <row r="49" spans="1:65" ht="16.5" hidden="1" outlineLevel="1" x14ac:dyDescent="0.25">
      <c r="A49" s="212"/>
      <c r="B49" s="9"/>
      <c r="C49" s="38" t="s">
        <v>53</v>
      </c>
      <c r="D49" s="7"/>
      <c r="E49" s="74">
        <f>+((Benelux!E49*Benelux!$E$43)+(Benelux!Q49*Benelux!$Q$43))/'H7H9 BENELUX'!$E$43</f>
        <v>1.549017391441415E-2</v>
      </c>
      <c r="F49" s="42">
        <f>+((Benelux!F49*Benelux!$F$43)+(Benelux!R49*Benelux!$R$43))/'H7H9 BENELUX'!$F$43</f>
        <v>2.0188104774152373E-2</v>
      </c>
      <c r="G49" s="42">
        <f>+((Benelux!G49*Benelux!$G$43)+(Benelux!S49*Benelux!$S$43))/'H7H9 BENELUX'!$G$43</f>
        <v>1.6807985321531126E-2</v>
      </c>
      <c r="H49" s="134"/>
      <c r="I49" s="97"/>
      <c r="J49" s="42"/>
      <c r="K49" s="42"/>
      <c r="L49" s="134"/>
      <c r="M49" s="97"/>
      <c r="N49" s="42"/>
      <c r="O49" s="42"/>
      <c r="P49" s="134"/>
      <c r="Q49" s="74">
        <f>+((Benelux!I49*Benelux!$I$43)+(Benelux!M49*Benelux!$M$43)+(Benelux!U49*Benelux!$U$43)+(Benelux!Y49*Benelux!$Y$43))/'H7H9 BENELUX'!$Q$43</f>
        <v>2.94055998625334E-2</v>
      </c>
      <c r="R49" s="42">
        <f>+((Benelux!J49*Benelux!$J$43)+(Benelux!N49*Benelux!$N$43)+(Benelux!V49*Benelux!$V$43)+(Benelux!Z49*Benelux!$Z$43))/'H7H9 BENELUX'!$R$43</f>
        <v>3.9969338802474524E-2</v>
      </c>
      <c r="S49" s="42">
        <f>+((Benelux!K49*Benelux!$K$43)+(Benelux!O49*Benelux!$O$43)+(Benelux!W49*Benelux!$W$43)+(Benelux!AA49*Benelux!$AA$43))/'H7H9 BENELUX'!$S$43</f>
        <v>6.6727801290474981E-2</v>
      </c>
      <c r="T49" s="134"/>
      <c r="U49" s="85">
        <f t="shared" si="45"/>
        <v>2.5141760758452387E-2</v>
      </c>
      <c r="V49" s="60">
        <f t="shared" si="46"/>
        <v>3.4329692770948751E-2</v>
      </c>
      <c r="W49" s="60">
        <f t="shared" si="47"/>
        <v>5.0764057595512932E-2</v>
      </c>
      <c r="X49" s="134"/>
      <c r="Y49" s="97"/>
      <c r="Z49" s="42"/>
      <c r="AA49" s="42"/>
      <c r="AB49" s="134"/>
      <c r="AC49" s="97"/>
      <c r="AD49" s="42"/>
      <c r="AE49" s="42"/>
      <c r="AF49" s="134"/>
      <c r="AG49" s="97"/>
      <c r="AH49" s="42"/>
      <c r="AI49" s="42"/>
      <c r="AJ49" s="134"/>
      <c r="AK49" s="97"/>
      <c r="AL49" s="42"/>
      <c r="AM49" s="42"/>
      <c r="AN49" s="134"/>
      <c r="AO49" s="99"/>
      <c r="AP49" s="60"/>
      <c r="AQ49" s="60"/>
      <c r="AR49" s="134"/>
      <c r="AS49" s="93">
        <f t="shared" si="40"/>
        <v>2.5141760758452387E-2</v>
      </c>
      <c r="AT49" s="68">
        <f t="shared" si="38"/>
        <v>3.4329692770948751E-2</v>
      </c>
      <c r="AU49" s="68">
        <f t="shared" si="39"/>
        <v>5.0764057595512932E-2</v>
      </c>
      <c r="AW49" s="109"/>
      <c r="BA49" s="109"/>
      <c r="BE49" s="109"/>
      <c r="BI49" s="109"/>
      <c r="BM49" s="109"/>
    </row>
    <row r="50" spans="1:65" ht="16.5" hidden="1" outlineLevel="1" x14ac:dyDescent="0.25">
      <c r="A50" s="212"/>
      <c r="B50" s="9"/>
      <c r="C50" s="116" t="s">
        <v>27</v>
      </c>
      <c r="D50" s="7"/>
      <c r="E50" s="126">
        <f>+((Benelux!E50*Benelux!$E$43)+(Benelux!Q50*Benelux!$Q$43))/'H7H9 BENELUX'!$E$43</f>
        <v>-6.0996442334935721E-3</v>
      </c>
      <c r="F50" s="127">
        <f>+((Benelux!F50*Benelux!$F$43)+(Benelux!R50*Benelux!$R$43))/'H7H9 BENELUX'!$F$43</f>
        <v>-7.9004015838143177E-3</v>
      </c>
      <c r="G50" s="127">
        <f>+((Benelux!G50*Benelux!$G$43)+(Benelux!S50*Benelux!$S$43))/'H7H9 BENELUX'!$G$43</f>
        <v>-2.2065566893107462E-3</v>
      </c>
      <c r="H50" s="134"/>
      <c r="I50" s="131"/>
      <c r="J50" s="127"/>
      <c r="K50" s="127"/>
      <c r="L50" s="134"/>
      <c r="M50" s="131"/>
      <c r="N50" s="127"/>
      <c r="O50" s="127"/>
      <c r="P50" s="134"/>
      <c r="Q50" s="128">
        <f>+((Benelux!I50*Benelux!$I$43)+(Benelux!M50*Benelux!$M$43)+(Benelux!U50*Benelux!$U$43)+(Benelux!Y50*Benelux!$Y$43))/'H7H9 BENELUX'!$Q$43</f>
        <v>-3.9354664383943038E-3</v>
      </c>
      <c r="R50" s="127">
        <f>+((Benelux!J50*Benelux!$J$43)+(Benelux!N50*Benelux!$N$43)+(Benelux!V50*Benelux!$V$43)+(Benelux!Z50*Benelux!$Z$43))/'H7H9 BENELUX'!$R$43</f>
        <v>-5.3441785315876244E-3</v>
      </c>
      <c r="S50" s="127">
        <f>+((Benelux!K50*Benelux!$K$43)+(Benelux!O50*Benelux!$O$43)+(Benelux!W50*Benelux!$W$43)+(Benelux!AA50*Benelux!$AA$43))/'H7H9 BENELUX'!$S$43</f>
        <v>-1.4254108198708071E-3</v>
      </c>
      <c r="T50" s="134"/>
      <c r="U50" s="132">
        <f t="shared" si="45"/>
        <v>-4.59859424672239E-3</v>
      </c>
      <c r="V50" s="130">
        <f t="shared" si="46"/>
        <v>-6.0729598185156443E-3</v>
      </c>
      <c r="W50" s="130">
        <f t="shared" si="47"/>
        <v>-1.6752116696150316E-3</v>
      </c>
      <c r="X50" s="134"/>
      <c r="Y50" s="131"/>
      <c r="Z50" s="127"/>
      <c r="AA50" s="127"/>
      <c r="AB50" s="134"/>
      <c r="AC50" s="131"/>
      <c r="AD50" s="127"/>
      <c r="AE50" s="127"/>
      <c r="AF50" s="134"/>
      <c r="AG50" s="131"/>
      <c r="AH50" s="127"/>
      <c r="AI50" s="127"/>
      <c r="AJ50" s="134"/>
      <c r="AK50" s="131"/>
      <c r="AL50" s="127"/>
      <c r="AM50" s="127"/>
      <c r="AN50" s="134"/>
      <c r="AO50" s="133"/>
      <c r="AP50" s="130"/>
      <c r="AQ50" s="130"/>
      <c r="AR50" s="134"/>
      <c r="AS50" s="162">
        <f t="shared" si="40"/>
        <v>-4.59859424672239E-3</v>
      </c>
      <c r="AT50" s="163">
        <f t="shared" si="38"/>
        <v>-6.0729598185156443E-3</v>
      </c>
      <c r="AU50" s="163">
        <f t="shared" si="39"/>
        <v>-1.6752116696150316E-3</v>
      </c>
      <c r="AW50" s="109"/>
      <c r="BA50" s="109"/>
      <c r="BE50" s="109"/>
      <c r="BI50" s="109"/>
      <c r="BM50" s="109"/>
    </row>
    <row r="51" spans="1:65" ht="16.5" hidden="1" outlineLevel="1" x14ac:dyDescent="0.25">
      <c r="A51" s="212"/>
      <c r="B51" s="9"/>
      <c r="C51" s="116" t="s">
        <v>57</v>
      </c>
      <c r="D51" s="7"/>
      <c r="E51" s="126">
        <f>+((Benelux!E51*Benelux!$E$43)+(Benelux!Q51*Benelux!$Q$43))/'H7H9 BENELUX'!$E$43</f>
        <v>-0.17290534610797098</v>
      </c>
      <c r="F51" s="127">
        <f>+((Benelux!F51*Benelux!$F$43)+(Benelux!R51*Benelux!$R$43))/'H7H9 BENELUX'!$F$43</f>
        <v>-5.6053830691654268E-2</v>
      </c>
      <c r="G51" s="127">
        <f>+((Benelux!G51*Benelux!$G$43)+(Benelux!S51*Benelux!$S$43))/'H7H9 BENELUX'!$G$43</f>
        <v>-2.0847860229055201E-2</v>
      </c>
      <c r="H51" s="134"/>
      <c r="I51" s="131"/>
      <c r="J51" s="127"/>
      <c r="K51" s="127"/>
      <c r="L51" s="134"/>
      <c r="M51" s="131"/>
      <c r="N51" s="127"/>
      <c r="O51" s="127"/>
      <c r="P51" s="134"/>
      <c r="Q51" s="128">
        <f>+((Benelux!I51*Benelux!$I$43)+(Benelux!M51*Benelux!$M$43)+(Benelux!U51*Benelux!$U$43)+(Benelux!Y51*Benelux!$Y$43))/'H7H9 BENELUX'!$Q$43</f>
        <v>9.7461970936531889E-2</v>
      </c>
      <c r="R51" s="127">
        <f>+((Benelux!J51*Benelux!$J$43)+(Benelux!N51*Benelux!$N$43)+(Benelux!V51*Benelux!$V$43)+(Benelux!Z51*Benelux!$Z$43))/'H7H9 BENELUX'!$R$43</f>
        <v>-6.5220835239680397E-3</v>
      </c>
      <c r="S51" s="127">
        <f>+((Benelux!K51*Benelux!$K$43)+(Benelux!O51*Benelux!$O$43)+(Benelux!W51*Benelux!$W$43)+(Benelux!AA51*Benelux!$AA$43))/'H7H9 BENELUX'!$S$43</f>
        <v>-3.1568522919275741E-3</v>
      </c>
      <c r="T51" s="134"/>
      <c r="U51" s="129">
        <f t="shared" si="45"/>
        <v>1.4618460204068226E-2</v>
      </c>
      <c r="V51" s="130">
        <f t="shared" si="46"/>
        <v>-2.0643625231064111E-2</v>
      </c>
      <c r="W51" s="130">
        <f t="shared" si="47"/>
        <v>-8.8142192299295215E-3</v>
      </c>
      <c r="X51" s="134"/>
      <c r="Y51" s="131"/>
      <c r="Z51" s="127"/>
      <c r="AA51" s="127"/>
      <c r="AB51" s="134"/>
      <c r="AC51" s="131"/>
      <c r="AD51" s="127"/>
      <c r="AE51" s="127"/>
      <c r="AF51" s="134"/>
      <c r="AG51" s="131"/>
      <c r="AH51" s="127"/>
      <c r="AI51" s="127"/>
      <c r="AJ51" s="134"/>
      <c r="AK51" s="131"/>
      <c r="AL51" s="127"/>
      <c r="AM51" s="127"/>
      <c r="AN51" s="134"/>
      <c r="AO51" s="133"/>
      <c r="AP51" s="130"/>
      <c r="AQ51" s="130"/>
      <c r="AR51" s="134"/>
      <c r="AS51" s="164">
        <f t="shared" si="40"/>
        <v>1.4618460204068226E-2</v>
      </c>
      <c r="AT51" s="163">
        <f t="shared" si="38"/>
        <v>-2.0643625231064111E-2</v>
      </c>
      <c r="AU51" s="163">
        <f t="shared" si="39"/>
        <v>-8.8142192299295215E-3</v>
      </c>
      <c r="AW51" s="109"/>
      <c r="BA51" s="109"/>
      <c r="BE51" s="109"/>
      <c r="BI51" s="109"/>
      <c r="BM51" s="109"/>
    </row>
    <row r="52" spans="1:65" ht="16.5" hidden="1" outlineLevel="1" x14ac:dyDescent="0.25">
      <c r="A52" s="212"/>
      <c r="B52" s="9"/>
      <c r="C52" s="116" t="s">
        <v>29</v>
      </c>
      <c r="D52" s="7"/>
      <c r="E52" s="128">
        <f>+((Benelux!E52*Benelux!$E$43)+(Benelux!Q52*Benelux!$Q$43))/'H7H9 BENELUX'!$E$43</f>
        <v>1.6666773764686623E-3</v>
      </c>
      <c r="F52" s="127">
        <f>+((Benelux!F52*Benelux!$F$43)+(Benelux!R52*Benelux!$R$43))/'H7H9 BENELUX'!$F$43</f>
        <v>-1.92385466172683E-3</v>
      </c>
      <c r="G52" s="127">
        <f>+((Benelux!G52*Benelux!$G$43)+(Benelux!S52*Benelux!$S$43))/'H7H9 BENELUX'!$G$43</f>
        <v>0</v>
      </c>
      <c r="H52" s="134"/>
      <c r="I52" s="131"/>
      <c r="J52" s="127"/>
      <c r="K52" s="127"/>
      <c r="L52" s="134"/>
      <c r="M52" s="131"/>
      <c r="N52" s="127"/>
      <c r="O52" s="127"/>
      <c r="P52" s="134"/>
      <c r="Q52" s="126">
        <f>+((Benelux!I52*Benelux!$I$43)+(Benelux!M52*Benelux!$M$43)+(Benelux!U52*Benelux!$U$43)+(Benelux!Y52*Benelux!$Y$43))/'H7H9 BENELUX'!$Q$43</f>
        <v>-4.7378686679161739E-3</v>
      </c>
      <c r="R52" s="127">
        <f>+((Benelux!J52*Benelux!$J$43)+(Benelux!N52*Benelux!$N$43)+(Benelux!V52*Benelux!$V$43)+(Benelux!Z52*Benelux!$Z$43))/'H7H9 BENELUX'!$R$43</f>
        <v>1.3653216305150441E-3</v>
      </c>
      <c r="S52" s="127">
        <f>+((Benelux!K52*Benelux!$K$43)+(Benelux!O52*Benelux!$O$43)+(Benelux!W52*Benelux!$W$43)+(Benelux!AA52*Benelux!$AA$43))/'H7H9 BENELUX'!$S$43</f>
        <v>0</v>
      </c>
      <c r="T52" s="134"/>
      <c r="U52" s="132">
        <f t="shared" si="45"/>
        <v>-2.7754455290379654E-3</v>
      </c>
      <c r="V52" s="130">
        <f t="shared" si="46"/>
        <v>4.275747742283474E-4</v>
      </c>
      <c r="W52" s="130">
        <f t="shared" si="47"/>
        <v>0</v>
      </c>
      <c r="X52" s="134"/>
      <c r="Y52" s="131"/>
      <c r="Z52" s="127"/>
      <c r="AA52" s="127"/>
      <c r="AB52" s="134"/>
      <c r="AC52" s="131"/>
      <c r="AD52" s="127"/>
      <c r="AE52" s="127"/>
      <c r="AF52" s="134"/>
      <c r="AG52" s="131"/>
      <c r="AH52" s="127"/>
      <c r="AI52" s="127"/>
      <c r="AJ52" s="134"/>
      <c r="AK52" s="131"/>
      <c r="AL52" s="127"/>
      <c r="AM52" s="127"/>
      <c r="AN52" s="134"/>
      <c r="AO52" s="133"/>
      <c r="AP52" s="130"/>
      <c r="AQ52" s="130"/>
      <c r="AR52" s="134"/>
      <c r="AS52" s="162">
        <f t="shared" si="40"/>
        <v>-2.7754455290379654E-3</v>
      </c>
      <c r="AT52" s="163">
        <f t="shared" si="38"/>
        <v>4.275747742283474E-4</v>
      </c>
      <c r="AU52" s="163">
        <f t="shared" si="39"/>
        <v>0</v>
      </c>
      <c r="AW52" s="109"/>
      <c r="BA52" s="109"/>
      <c r="BE52" s="109"/>
      <c r="BI52" s="109"/>
      <c r="BM52" s="109"/>
    </row>
    <row r="53" spans="1:65" ht="16.5" hidden="1" outlineLevel="1" x14ac:dyDescent="0.25">
      <c r="A53" s="212"/>
      <c r="B53" s="9"/>
      <c r="C53" s="116" t="s">
        <v>58</v>
      </c>
      <c r="D53" s="7"/>
      <c r="E53" s="131">
        <f>+E54+E55+E56</f>
        <v>0.33713675808944471</v>
      </c>
      <c r="F53" s="127">
        <f t="shared" ref="F53" si="48">+F54+F55+F56</f>
        <v>0.3410850051220975</v>
      </c>
      <c r="G53" s="127">
        <f t="shared" ref="G53" si="49">+G54+G55+G56</f>
        <v>0.33485866213281174</v>
      </c>
      <c r="H53" s="134"/>
      <c r="I53" s="131"/>
      <c r="J53" s="127"/>
      <c r="K53" s="127"/>
      <c r="L53" s="134"/>
      <c r="M53" s="131"/>
      <c r="N53" s="127"/>
      <c r="O53" s="127"/>
      <c r="P53" s="134"/>
      <c r="Q53" s="126">
        <f>+Q54+Q55+Q56</f>
        <v>0.27605975204072281</v>
      </c>
      <c r="R53" s="127">
        <f>+R54+R55+R56</f>
        <v>0.26568167773932949</v>
      </c>
      <c r="S53" s="127">
        <f>+S54+S55+S56</f>
        <v>0.28665382763597191</v>
      </c>
      <c r="T53" s="134"/>
      <c r="U53" s="132">
        <f>+U54+U55+U56</f>
        <v>0.29477441645140373</v>
      </c>
      <c r="V53" s="130">
        <f>+V54+V55+V56</f>
        <v>0.28717922816662889</v>
      </c>
      <c r="W53" s="130">
        <f>+W54+W55+W56</f>
        <v>0.30206914133112572</v>
      </c>
      <c r="X53" s="134"/>
      <c r="Y53" s="131"/>
      <c r="Z53" s="127"/>
      <c r="AA53" s="127"/>
      <c r="AB53" s="134"/>
      <c r="AC53" s="131"/>
      <c r="AD53" s="127"/>
      <c r="AE53" s="127"/>
      <c r="AF53" s="134"/>
      <c r="AG53" s="131"/>
      <c r="AH53" s="127"/>
      <c r="AI53" s="127"/>
      <c r="AJ53" s="134"/>
      <c r="AK53" s="131"/>
      <c r="AL53" s="127"/>
      <c r="AM53" s="127"/>
      <c r="AN53" s="134"/>
      <c r="AO53" s="133"/>
      <c r="AP53" s="130"/>
      <c r="AQ53" s="130"/>
      <c r="AR53" s="134"/>
      <c r="AS53" s="162">
        <f t="shared" si="40"/>
        <v>0.29477441645140373</v>
      </c>
      <c r="AT53" s="163">
        <f t="shared" si="38"/>
        <v>0.28717922816662889</v>
      </c>
      <c r="AU53" s="163">
        <f t="shared" si="39"/>
        <v>0.30206914133112572</v>
      </c>
      <c r="AW53" s="109"/>
      <c r="BA53" s="109"/>
      <c r="BE53" s="109"/>
      <c r="BI53" s="109"/>
      <c r="BM53" s="109"/>
    </row>
    <row r="54" spans="1:65" ht="16.5" hidden="1" outlineLevel="1" x14ac:dyDescent="0.25">
      <c r="A54" s="212"/>
      <c r="B54" s="9"/>
      <c r="C54" s="39" t="s">
        <v>59</v>
      </c>
      <c r="D54" s="8"/>
      <c r="E54" s="73">
        <f>+((Benelux!E54*Benelux!$E$43)+(Benelux!Q54*Benelux!$Q$43))/'H7H9 BENELUX'!$E$43</f>
        <v>0.2339877048938547</v>
      </c>
      <c r="F54" s="42">
        <f>+((Benelux!F54*Benelux!$F$43)+(Benelux!R54*Benelux!$R$43))/'H7H9 BENELUX'!$F$43</f>
        <v>0.2309613924899194</v>
      </c>
      <c r="G54" s="42">
        <f>+((Benelux!G54*Benelux!$G$43)+(Benelux!S54*Benelux!$S$43))/'H7H9 BENELUX'!$G$43</f>
        <v>0.22775728168645151</v>
      </c>
      <c r="H54" s="135"/>
      <c r="I54" s="97"/>
      <c r="J54" s="42"/>
      <c r="K54" s="42"/>
      <c r="L54" s="135"/>
      <c r="M54" s="97"/>
      <c r="N54" s="42"/>
      <c r="O54" s="42"/>
      <c r="P54" s="135"/>
      <c r="Q54" s="97">
        <f>+((Benelux!I54*Benelux!$I$43)+(Benelux!M54*Benelux!$M$43)+(Benelux!U54*Benelux!$U$43)+(Benelux!Y54*Benelux!$Y$43))/'H7H9 BENELUX'!$Q$43</f>
        <v>0.15178477154542724</v>
      </c>
      <c r="R54" s="42">
        <f>+((Benelux!J54*Benelux!$J$43)+(Benelux!N54*Benelux!$N$43)+(Benelux!V54*Benelux!$V$43)+(Benelux!Z54*Benelux!$Z$43))/'H7H9 BENELUX'!$R$43</f>
        <v>0.1487562702983776</v>
      </c>
      <c r="S54" s="42">
        <f>+((Benelux!K54*Benelux!$K$43)+(Benelux!O54*Benelux!$O$43)+(Benelux!W54*Benelux!$W$43)+(Benelux!AA54*Benelux!$AA$43))/'H7H9 BENELUX'!$S$43</f>
        <v>0.14904845530754307</v>
      </c>
      <c r="T54" s="135"/>
      <c r="U54" s="99">
        <f t="shared" ref="U54:U56" si="50">+((E54*$E$43)+(Q54*$Q$43))/$U$43</f>
        <v>0.17697265174312701</v>
      </c>
      <c r="V54" s="60">
        <f t="shared" ref="V54:V56" si="51">+((F54*$F$43)+(R54*$R$43))/$V$43</f>
        <v>0.17219301799949879</v>
      </c>
      <c r="W54" s="60">
        <f t="shared" ref="W54:W56" si="52">+((G54*$G$43)+(S54*$S$43))/$W$43</f>
        <v>0.17421857075079411</v>
      </c>
      <c r="X54" s="135"/>
      <c r="Y54" s="97"/>
      <c r="Z54" s="42"/>
      <c r="AA54" s="42"/>
      <c r="AB54" s="135"/>
      <c r="AC54" s="97"/>
      <c r="AD54" s="42"/>
      <c r="AE54" s="42"/>
      <c r="AF54" s="135"/>
      <c r="AG54" s="97"/>
      <c r="AH54" s="42"/>
      <c r="AI54" s="42"/>
      <c r="AJ54" s="135"/>
      <c r="AK54" s="97"/>
      <c r="AL54" s="42"/>
      <c r="AM54" s="42"/>
      <c r="AN54" s="135"/>
      <c r="AO54" s="99"/>
      <c r="AP54" s="60"/>
      <c r="AQ54" s="60"/>
      <c r="AR54" s="135"/>
      <c r="AS54" s="106">
        <f t="shared" si="40"/>
        <v>0.17697265174312701</v>
      </c>
      <c r="AT54" s="68">
        <f t="shared" si="38"/>
        <v>0.17219301799949879</v>
      </c>
      <c r="AU54" s="68">
        <f t="shared" si="39"/>
        <v>0.17421857075079411</v>
      </c>
      <c r="AW54" s="109"/>
      <c r="BA54" s="109"/>
      <c r="BE54" s="109"/>
      <c r="BI54" s="109"/>
      <c r="BM54" s="109"/>
    </row>
    <row r="55" spans="1:65" ht="16.5" hidden="1" outlineLevel="1" x14ac:dyDescent="0.25">
      <c r="A55" s="212"/>
      <c r="B55" s="9"/>
      <c r="C55" s="39" t="s">
        <v>60</v>
      </c>
      <c r="D55" s="8"/>
      <c r="E55" s="97">
        <f>+((Benelux!E55*Benelux!$E$43)+(Benelux!Q55*Benelux!$Q$43))/'H7H9 BENELUX'!$E$43</f>
        <v>4.4404655971786597E-2</v>
      </c>
      <c r="F55" s="42">
        <f>+((Benelux!F55*Benelux!$F$43)+(Benelux!R55*Benelux!$R$43))/'H7H9 BENELUX'!$F$43</f>
        <v>4.3884934225260935E-2</v>
      </c>
      <c r="G55" s="42">
        <f>+((Benelux!G55*Benelux!$G$43)+(Benelux!S55*Benelux!$S$43))/'H7H9 BENELUX'!$G$43</f>
        <v>4.3775618661000854E-2</v>
      </c>
      <c r="H55" s="135"/>
      <c r="I55" s="97"/>
      <c r="J55" s="42"/>
      <c r="K55" s="42"/>
      <c r="L55" s="135"/>
      <c r="M55" s="97"/>
      <c r="N55" s="42"/>
      <c r="O55" s="42"/>
      <c r="P55" s="135"/>
      <c r="Q55" s="97">
        <f>+((Benelux!I55*Benelux!$I$43)+(Benelux!M55*Benelux!$M$43)+(Benelux!U55*Benelux!$U$43)+(Benelux!Y55*Benelux!$Y$43))/'H7H9 BENELUX'!$Q$43</f>
        <v>3.693587276097654E-2</v>
      </c>
      <c r="R55" s="42">
        <f>+((Benelux!J55*Benelux!$J$43)+(Benelux!N55*Benelux!$N$43)+(Benelux!V55*Benelux!$V$43)+(Benelux!Z55*Benelux!$Z$43))/'H7H9 BENELUX'!$R$43</f>
        <v>4.1253993394805968E-2</v>
      </c>
      <c r="S55" s="42">
        <f>+((Benelux!K55*Benelux!$K$43)+(Benelux!O55*Benelux!$O$43)+(Benelux!W55*Benelux!$W$43)+(Benelux!AA55*Benelux!$AA$43))/'H7H9 BENELUX'!$S$43</f>
        <v>3.5975397609711142E-2</v>
      </c>
      <c r="T55" s="135"/>
      <c r="U55" s="99">
        <f t="shared" si="50"/>
        <v>3.9224389837844022E-2</v>
      </c>
      <c r="V55" s="60">
        <f t="shared" si="51"/>
        <v>4.200407678153556E-2</v>
      </c>
      <c r="W55" s="60">
        <f t="shared" si="52"/>
        <v>3.8469812446983449E-2</v>
      </c>
      <c r="X55" s="135"/>
      <c r="Y55" s="97"/>
      <c r="Z55" s="42"/>
      <c r="AA55" s="42"/>
      <c r="AB55" s="135"/>
      <c r="AC55" s="97"/>
      <c r="AD55" s="42"/>
      <c r="AE55" s="42"/>
      <c r="AF55" s="135"/>
      <c r="AG55" s="97"/>
      <c r="AH55" s="42"/>
      <c r="AI55" s="42"/>
      <c r="AJ55" s="135"/>
      <c r="AK55" s="97"/>
      <c r="AL55" s="42"/>
      <c r="AM55" s="42"/>
      <c r="AN55" s="135"/>
      <c r="AO55" s="99"/>
      <c r="AP55" s="60"/>
      <c r="AQ55" s="60"/>
      <c r="AR55" s="135"/>
      <c r="AS55" s="106">
        <f t="shared" si="40"/>
        <v>3.9224389837844022E-2</v>
      </c>
      <c r="AT55" s="68">
        <f t="shared" si="38"/>
        <v>4.200407678153556E-2</v>
      </c>
      <c r="AU55" s="68">
        <f t="shared" si="39"/>
        <v>3.8469812446983449E-2</v>
      </c>
      <c r="AW55" s="109"/>
      <c r="BA55" s="109"/>
      <c r="BE55" s="109"/>
      <c r="BI55" s="109"/>
      <c r="BM55" s="109"/>
    </row>
    <row r="56" spans="1:65" ht="16.5" hidden="1" outlineLevel="1" x14ac:dyDescent="0.25">
      <c r="A56" s="212"/>
      <c r="B56" s="9"/>
      <c r="C56" s="39" t="s">
        <v>61</v>
      </c>
      <c r="D56" s="8"/>
      <c r="E56" s="74">
        <f>+((Benelux!E56*Benelux!$E$43)+(Benelux!Q56*Benelux!$Q$43))/'H7H9 BENELUX'!$E$43</f>
        <v>5.8744397223803431E-2</v>
      </c>
      <c r="F56" s="42">
        <f>+((Benelux!F56*Benelux!$F$43)+(Benelux!R56*Benelux!$R$43))/'H7H9 BENELUX'!$F$43</f>
        <v>6.6238678406917176E-2</v>
      </c>
      <c r="G56" s="42">
        <f>+((Benelux!G56*Benelux!$G$43)+(Benelux!S56*Benelux!$S$43))/'H7H9 BENELUX'!$G$43</f>
        <v>6.3325761785359355E-2</v>
      </c>
      <c r="H56" s="135"/>
      <c r="I56" s="97"/>
      <c r="J56" s="42"/>
      <c r="K56" s="42"/>
      <c r="L56" s="135"/>
      <c r="M56" s="97"/>
      <c r="N56" s="42"/>
      <c r="O56" s="42"/>
      <c r="P56" s="135"/>
      <c r="Q56" s="74">
        <f>+((Benelux!I56*Benelux!$I$43)+(Benelux!M56*Benelux!$M$43)+(Benelux!U56*Benelux!$U$43)+(Benelux!Y56*Benelux!$Y$43))/'H7H9 BENELUX'!$Q$43</f>
        <v>8.7339107734319008E-2</v>
      </c>
      <c r="R56" s="42">
        <f>+((Benelux!J56*Benelux!$J$43)+(Benelux!N56*Benelux!$N$43)+(Benelux!V56*Benelux!$V$43)+(Benelux!Z56*Benelux!$Z$43))/'H7H9 BENELUX'!$R$43</f>
        <v>7.5671414046145913E-2</v>
      </c>
      <c r="S56" s="42">
        <f>+((Benelux!K56*Benelux!$K$43)+(Benelux!O56*Benelux!$O$43)+(Benelux!W56*Benelux!$W$43)+(Benelux!AA56*Benelux!$AA$43))/'H7H9 BENELUX'!$S$43</f>
        <v>0.10162997471871771</v>
      </c>
      <c r="T56" s="135"/>
      <c r="U56" s="85">
        <f t="shared" si="50"/>
        <v>7.8577374870432704E-2</v>
      </c>
      <c r="V56" s="60">
        <f t="shared" si="51"/>
        <v>7.2982133385594519E-2</v>
      </c>
      <c r="W56" s="60">
        <f t="shared" si="52"/>
        <v>8.9380758133348157E-2</v>
      </c>
      <c r="X56" s="135"/>
      <c r="Y56" s="97"/>
      <c r="Z56" s="42"/>
      <c r="AA56" s="42"/>
      <c r="AB56" s="135"/>
      <c r="AC56" s="97"/>
      <c r="AD56" s="42"/>
      <c r="AE56" s="42"/>
      <c r="AF56" s="135"/>
      <c r="AG56" s="97"/>
      <c r="AH56" s="42"/>
      <c r="AI56" s="42"/>
      <c r="AJ56" s="135"/>
      <c r="AK56" s="97"/>
      <c r="AL56" s="42"/>
      <c r="AM56" s="42"/>
      <c r="AN56" s="135"/>
      <c r="AO56" s="99"/>
      <c r="AP56" s="60"/>
      <c r="AQ56" s="60"/>
      <c r="AR56" s="135"/>
      <c r="AS56" s="93">
        <f t="shared" si="40"/>
        <v>7.8577374870432704E-2</v>
      </c>
      <c r="AT56" s="68">
        <f t="shared" si="38"/>
        <v>7.2982133385594519E-2</v>
      </c>
      <c r="AU56" s="68">
        <f t="shared" si="39"/>
        <v>8.9380758133348157E-2</v>
      </c>
      <c r="AW56" s="109"/>
      <c r="BA56" s="109"/>
      <c r="BE56" s="109"/>
      <c r="BI56" s="109"/>
      <c r="BM56" s="109"/>
    </row>
    <row r="57" spans="1:65" ht="16.5" hidden="1" outlineLevel="1" x14ac:dyDescent="0.25">
      <c r="A57" s="212"/>
      <c r="B57" s="9"/>
      <c r="C57" s="116" t="s">
        <v>34</v>
      </c>
      <c r="D57" s="6"/>
      <c r="E57" s="118">
        <f>+Benelux!E57+Benelux!Q57</f>
        <v>3.6455272600000024</v>
      </c>
      <c r="F57" s="119">
        <f>+Benelux!F57+Benelux!R57</f>
        <v>8.5296310000001152E-2</v>
      </c>
      <c r="G57" s="119">
        <f>+Benelux!G57+Benelux!S57</f>
        <v>0.977821248605376</v>
      </c>
      <c r="H57" s="117"/>
      <c r="I57" s="121"/>
      <c r="J57" s="119"/>
      <c r="K57" s="119"/>
      <c r="L57" s="117"/>
      <c r="M57" s="121"/>
      <c r="N57" s="119"/>
      <c r="O57" s="119"/>
      <c r="P57" s="117"/>
      <c r="Q57" s="121">
        <f>+Benelux!I57+Benelux!M57+Benelux!U57+Benelux!Y57</f>
        <v>2.8298319999999837</v>
      </c>
      <c r="R57" s="119">
        <f>+Benelux!J57+Benelux!N57+Benelux!V57+Benelux!Z57</f>
        <v>5.8622640200000049</v>
      </c>
      <c r="S57" s="119">
        <f>+Benelux!K57+Benelux!O57+Benelux!W57+Benelux!AA57</f>
        <v>4.1693130785783303</v>
      </c>
      <c r="T57" s="117"/>
      <c r="U57" s="122">
        <f t="shared" ref="U57:W57" si="53">+E57+Q57</f>
        <v>6.4753592599999861</v>
      </c>
      <c r="V57" s="123">
        <f t="shared" si="53"/>
        <v>5.9475603300000062</v>
      </c>
      <c r="W57" s="123">
        <f t="shared" si="53"/>
        <v>5.1471343271837062</v>
      </c>
      <c r="X57" s="117"/>
      <c r="Y57" s="121"/>
      <c r="Z57" s="119"/>
      <c r="AA57" s="119"/>
      <c r="AB57" s="117"/>
      <c r="AC57" s="121"/>
      <c r="AD57" s="119"/>
      <c r="AE57" s="119"/>
      <c r="AF57" s="117"/>
      <c r="AG57" s="121"/>
      <c r="AH57" s="119"/>
      <c r="AI57" s="119"/>
      <c r="AJ57" s="117"/>
      <c r="AK57" s="121"/>
      <c r="AL57" s="119"/>
      <c r="AM57" s="119"/>
      <c r="AN57" s="117"/>
      <c r="AO57" s="124"/>
      <c r="AP57" s="165"/>
      <c r="AQ57" s="123"/>
      <c r="AR57" s="117"/>
      <c r="AS57" s="166">
        <f t="shared" si="40"/>
        <v>6.4753592599999861</v>
      </c>
      <c r="AT57" s="160">
        <f t="shared" si="38"/>
        <v>5.9475603300000062</v>
      </c>
      <c r="AU57" s="160">
        <f t="shared" si="39"/>
        <v>5.1471343271837062</v>
      </c>
      <c r="AW57" s="108"/>
      <c r="BA57" s="108"/>
      <c r="BE57" s="108"/>
      <c r="BI57" s="108"/>
      <c r="BM57" s="108"/>
    </row>
    <row r="58" spans="1:65" hidden="1" outlineLevel="1" x14ac:dyDescent="0.35"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</row>
    <row r="59" spans="1:65" ht="16.5" hidden="1" collapsed="1" x14ac:dyDescent="0.25">
      <c r="A59" s="215" t="s">
        <v>62</v>
      </c>
      <c r="B59" s="9"/>
      <c r="C59" s="116" t="s">
        <v>19</v>
      </c>
      <c r="D59" s="6"/>
      <c r="E59" s="121"/>
      <c r="F59" s="119"/>
      <c r="G59" s="119"/>
      <c r="H59" s="117"/>
      <c r="I59" s="121" t="e">
        <f>+Benelux!E59+Benelux!Q59</f>
        <v>#VALUE!</v>
      </c>
      <c r="J59" s="119" t="e">
        <f>+Benelux!F59+Benelux!R59</f>
        <v>#VALUE!</v>
      </c>
      <c r="K59" s="119" t="e">
        <f>+Benelux!G59+Benelux!S59</f>
        <v>#VALUE!</v>
      </c>
      <c r="L59" s="117"/>
      <c r="M59" s="118">
        <f>+Benelux!I59+Benelux!U59</f>
        <v>123.04201758000001</v>
      </c>
      <c r="N59" s="119">
        <f>+Benelux!J59+Benelux!V59</f>
        <v>123.04201758000001</v>
      </c>
      <c r="O59" s="119">
        <f>+Benelux!K59+Benelux!W59</f>
        <v>123.04201758000001</v>
      </c>
      <c r="P59" s="117"/>
      <c r="Q59" s="121"/>
      <c r="R59" s="119"/>
      <c r="S59" s="119"/>
      <c r="T59" s="117"/>
      <c r="U59" s="124" t="e">
        <f>+I59+M59</f>
        <v>#VALUE!</v>
      </c>
      <c r="V59" s="123" t="e">
        <f t="shared" ref="V59:V60" si="54">+J59+N59</f>
        <v>#VALUE!</v>
      </c>
      <c r="W59" s="123" t="e">
        <f t="shared" ref="W59:W60" si="55">+K59+O59</f>
        <v>#VALUE!</v>
      </c>
      <c r="X59" s="117"/>
      <c r="Y59" s="121">
        <f>+Y76</f>
        <v>108.70809534</v>
      </c>
      <c r="Z59" s="119">
        <f t="shared" ref="Z59:AA59" si="56">+Z76</f>
        <v>110.62512524000002</v>
      </c>
      <c r="AA59" s="119">
        <f t="shared" si="56"/>
        <v>112.54845367250161</v>
      </c>
      <c r="AB59" s="117"/>
      <c r="AC59" s="121">
        <f>+AC93</f>
        <v>21.496336050000004</v>
      </c>
      <c r="AD59" s="119">
        <f t="shared" ref="AD59:AE59" si="57">+AD93</f>
        <v>21.369239630000006</v>
      </c>
      <c r="AE59" s="119">
        <f t="shared" si="57"/>
        <v>23.80596328432329</v>
      </c>
      <c r="AF59" s="117"/>
      <c r="AG59" s="121"/>
      <c r="AH59" s="119"/>
      <c r="AI59" s="119"/>
      <c r="AJ59" s="117"/>
      <c r="AK59" s="121"/>
      <c r="AL59" s="119"/>
      <c r="AM59" s="119"/>
      <c r="AN59" s="117"/>
      <c r="AO59" s="124">
        <f>+Y59+AC59</f>
        <v>130.20443139</v>
      </c>
      <c r="AP59" s="123">
        <f t="shared" ref="AP59:AP60" si="58">+Z59+AD59</f>
        <v>131.99436487000003</v>
      </c>
      <c r="AQ59" s="123">
        <f t="shared" ref="AQ59:AQ60" si="59">+AA59+AE59</f>
        <v>136.35441695682491</v>
      </c>
      <c r="AR59" s="117"/>
      <c r="AS59" s="161" t="e">
        <f t="shared" ref="AS59:AS60" si="60">+U59+AO59</f>
        <v>#VALUE!</v>
      </c>
      <c r="AT59" s="160" t="e">
        <f t="shared" ref="AT59:AT60" si="61">+V59+AP59</f>
        <v>#VALUE!</v>
      </c>
      <c r="AU59" s="160" t="e">
        <f t="shared" ref="AU59:AU60" si="62">+W59+AQ59</f>
        <v>#VALUE!</v>
      </c>
      <c r="AW59" s="108"/>
      <c r="BA59" s="108"/>
      <c r="BE59" s="108"/>
      <c r="BI59" s="108"/>
      <c r="BM59" s="108"/>
    </row>
    <row r="60" spans="1:65" ht="16.5" hidden="1" x14ac:dyDescent="0.25">
      <c r="A60" s="212"/>
      <c r="B60" s="9"/>
      <c r="C60" s="116" t="s">
        <v>55</v>
      </c>
      <c r="D60" s="6"/>
      <c r="E60" s="121"/>
      <c r="F60" s="119"/>
      <c r="G60" s="119"/>
      <c r="H60" s="117"/>
      <c r="I60" s="121" t="e">
        <f>+Benelux!E60+Benelux!Q60</f>
        <v>#VALUE!</v>
      </c>
      <c r="J60" s="119" t="e">
        <f>+Benelux!F60+Benelux!R60</f>
        <v>#VALUE!</v>
      </c>
      <c r="K60" s="119" t="e">
        <f>+Benelux!G60+Benelux!S60</f>
        <v>#VALUE!</v>
      </c>
      <c r="L60" s="117"/>
      <c r="M60" s="121">
        <f>+Benelux!I60+Benelux!U60</f>
        <v>123.04201758000001</v>
      </c>
      <c r="N60" s="119">
        <f>+Benelux!J60+Benelux!V60</f>
        <v>123.04201758000001</v>
      </c>
      <c r="O60" s="119">
        <f>+Benelux!K60+Benelux!W60</f>
        <v>123.04201758000001</v>
      </c>
      <c r="P60" s="117"/>
      <c r="Q60" s="121"/>
      <c r="R60" s="119"/>
      <c r="S60" s="119"/>
      <c r="T60" s="117"/>
      <c r="U60" s="124" t="e">
        <f t="shared" ref="U60" si="63">+I60+M60</f>
        <v>#VALUE!</v>
      </c>
      <c r="V60" s="123" t="e">
        <f t="shared" si="54"/>
        <v>#VALUE!</v>
      </c>
      <c r="W60" s="123" t="e">
        <f t="shared" si="55"/>
        <v>#VALUE!</v>
      </c>
      <c r="X60" s="117"/>
      <c r="Y60" s="121">
        <f t="shared" ref="Y60:AA60" si="64">+Y77</f>
        <v>45.550488299999998</v>
      </c>
      <c r="Z60" s="119">
        <f t="shared" si="64"/>
        <v>44.933638809999984</v>
      </c>
      <c r="AA60" s="119">
        <f t="shared" si="64"/>
        <v>58.982087473381583</v>
      </c>
      <c r="AB60" s="117"/>
      <c r="AC60" s="121">
        <f t="shared" ref="AC60:AE60" si="65">+AC94</f>
        <v>11.707862959999998</v>
      </c>
      <c r="AD60" s="119">
        <f t="shared" si="65"/>
        <v>11.088059270000004</v>
      </c>
      <c r="AE60" s="119">
        <f t="shared" si="65"/>
        <v>14.421655364791338</v>
      </c>
      <c r="AF60" s="117"/>
      <c r="AG60" s="121"/>
      <c r="AH60" s="119"/>
      <c r="AI60" s="119"/>
      <c r="AJ60" s="117"/>
      <c r="AK60" s="121"/>
      <c r="AL60" s="119"/>
      <c r="AM60" s="119"/>
      <c r="AN60" s="117"/>
      <c r="AO60" s="124">
        <f t="shared" ref="AO60" si="66">+Y60+AC60</f>
        <v>57.258351259999998</v>
      </c>
      <c r="AP60" s="123">
        <f t="shared" si="58"/>
        <v>56.021698079999986</v>
      </c>
      <c r="AQ60" s="123">
        <f t="shared" si="59"/>
        <v>73.403742838172917</v>
      </c>
      <c r="AR60" s="117"/>
      <c r="AS60" s="161" t="e">
        <f t="shared" si="60"/>
        <v>#VALUE!</v>
      </c>
      <c r="AT60" s="160" t="e">
        <f t="shared" si="61"/>
        <v>#VALUE!</v>
      </c>
      <c r="AU60" s="160" t="e">
        <f t="shared" si="62"/>
        <v>#VALUE!</v>
      </c>
      <c r="AW60" s="108"/>
      <c r="BA60" s="108"/>
      <c r="BE60" s="108"/>
      <c r="BI60" s="108"/>
      <c r="BM60" s="108"/>
    </row>
    <row r="61" spans="1:65" ht="16.5" hidden="1" x14ac:dyDescent="0.25">
      <c r="A61" s="212"/>
      <c r="B61" s="9"/>
      <c r="C61" s="116" t="s">
        <v>21</v>
      </c>
      <c r="D61" s="6"/>
      <c r="E61" s="131"/>
      <c r="F61" s="127"/>
      <c r="G61" s="127"/>
      <c r="H61" s="117"/>
      <c r="I61" s="126" t="e">
        <f>+I62+I67+I68+I69+I70</f>
        <v>#VALUE!</v>
      </c>
      <c r="J61" s="127" t="e">
        <f t="shared" ref="J61:K61" si="67">+J62+J67+J68+J69+J70</f>
        <v>#VALUE!</v>
      </c>
      <c r="K61" s="127" t="e">
        <f t="shared" si="67"/>
        <v>#VALUE!</v>
      </c>
      <c r="L61" s="117"/>
      <c r="M61" s="128">
        <f>+M62+M67+M68+M69+M70</f>
        <v>1229.5801111714045</v>
      </c>
      <c r="N61" s="127">
        <f>+N62+N67+N68+N69+N70</f>
        <v>1229.5801111714045</v>
      </c>
      <c r="O61" s="127">
        <f>+O62+O67+O68+O69+O70</f>
        <v>1229.5801111714045</v>
      </c>
      <c r="P61" s="117"/>
      <c r="Q61" s="131"/>
      <c r="R61" s="127"/>
      <c r="S61" s="127"/>
      <c r="T61" s="117"/>
      <c r="U61" s="132" t="e">
        <f>+U62+U67+U68+U69+U70</f>
        <v>#VALUE!</v>
      </c>
      <c r="V61" s="130" t="e">
        <f>+V62+V67+V68+V69+V70</f>
        <v>#VALUE!</v>
      </c>
      <c r="W61" s="130" t="e">
        <f>+W62+W67+W68+W69+W70</f>
        <v>#VALUE!</v>
      </c>
      <c r="X61" s="117"/>
      <c r="Y61" s="126">
        <f t="shared" ref="Y61:AA61" si="68">+Y78</f>
        <v>0.86793436548077563</v>
      </c>
      <c r="Z61" s="127">
        <f t="shared" si="68"/>
        <v>0.91480698311154662</v>
      </c>
      <c r="AA61" s="127">
        <f t="shared" si="68"/>
        <v>0.9265010568190386</v>
      </c>
      <c r="AB61" s="117"/>
      <c r="AC61" s="128">
        <f t="shared" ref="AC61:AE61" si="69">+AC95</f>
        <v>0.91984585293717058</v>
      </c>
      <c r="AD61" s="127">
        <f t="shared" si="69"/>
        <v>1.0570446211188047</v>
      </c>
      <c r="AE61" s="127">
        <f t="shared" si="69"/>
        <v>0.90577877899967796</v>
      </c>
      <c r="AF61" s="117"/>
      <c r="AG61" s="131"/>
      <c r="AH61" s="127"/>
      <c r="AI61" s="127"/>
      <c r="AJ61" s="117"/>
      <c r="AK61" s="131"/>
      <c r="AL61" s="127"/>
      <c r="AM61" s="127"/>
      <c r="AN61" s="117"/>
      <c r="AO61" s="132">
        <f>+AO62+AO67+AO68+AO69+AO70</f>
        <v>0.87854893205167572</v>
      </c>
      <c r="AP61" s="130">
        <f>+AP62+AP67+AP68+AP69+AP70</f>
        <v>0.94295927793126288</v>
      </c>
      <c r="AQ61" s="130">
        <f>+AQ62+AQ67+AQ68+AQ69+AQ70</f>
        <v>0.92242974468250183</v>
      </c>
      <c r="AR61" s="117"/>
      <c r="AS61" s="162" t="e">
        <f>+AS62+AS67+AS68+AS69+AS70</f>
        <v>#VALUE!</v>
      </c>
      <c r="AT61" s="163" t="e">
        <f>+AT62+AT67+AT68+AT69+AT70</f>
        <v>#VALUE!</v>
      </c>
      <c r="AU61" s="163" t="e">
        <f>+AU62+AU67+AU68+AU69+AU70</f>
        <v>#VALUE!</v>
      </c>
      <c r="AW61" s="109"/>
      <c r="BA61" s="109"/>
      <c r="BE61" s="109"/>
      <c r="BI61" s="109"/>
      <c r="BM61" s="109"/>
    </row>
    <row r="62" spans="1:65" ht="16.5" hidden="1" x14ac:dyDescent="0.25">
      <c r="A62" s="212"/>
      <c r="B62" s="9"/>
      <c r="C62" s="116" t="s">
        <v>56</v>
      </c>
      <c r="D62" s="6"/>
      <c r="E62" s="131"/>
      <c r="F62" s="127"/>
      <c r="G62" s="127"/>
      <c r="H62" s="117"/>
      <c r="I62" s="128" t="e">
        <f>+I63+I64+I65+I66</f>
        <v>#VALUE!</v>
      </c>
      <c r="J62" s="127" t="e">
        <f t="shared" ref="J62:K62" si="70">+J63+J64+J65+J66</f>
        <v>#VALUE!</v>
      </c>
      <c r="K62" s="127" t="e">
        <f t="shared" si="70"/>
        <v>#VALUE!</v>
      </c>
      <c r="L62" s="117"/>
      <c r="M62" s="126">
        <f>+M63+M64+M65+M66</f>
        <v>491.83204446856172</v>
      </c>
      <c r="N62" s="127">
        <f>+N63+N64+N65+N66</f>
        <v>491.83204446856172</v>
      </c>
      <c r="O62" s="127">
        <f>+O63+O64+O65+O66</f>
        <v>491.83204446856172</v>
      </c>
      <c r="P62" s="117"/>
      <c r="Q62" s="131"/>
      <c r="R62" s="127"/>
      <c r="S62" s="127"/>
      <c r="T62" s="117"/>
      <c r="U62" s="132" t="e">
        <f>+U63+U64+U65+U66</f>
        <v>#VALUE!</v>
      </c>
      <c r="V62" s="130" t="e">
        <f>+V63+V64+V65+V66</f>
        <v>#VALUE!</v>
      </c>
      <c r="W62" s="130" t="e">
        <f>+W63+W64+W65+W66</f>
        <v>#VALUE!</v>
      </c>
      <c r="X62" s="117"/>
      <c r="Y62" s="126">
        <f t="shared" ref="Y62:AA62" si="71">+Y79</f>
        <v>0.61250914691072589</v>
      </c>
      <c r="Z62" s="127">
        <f t="shared" si="71"/>
        <v>0.62769617299997171</v>
      </c>
      <c r="AA62" s="127">
        <f t="shared" si="71"/>
        <v>0.68771540438828938</v>
      </c>
      <c r="AB62" s="117"/>
      <c r="AC62" s="131">
        <f t="shared" ref="AC62:AE62" si="72">+AC96</f>
        <v>0.6046164545871876</v>
      </c>
      <c r="AD62" s="127">
        <f t="shared" si="72"/>
        <v>0.66148461975167638</v>
      </c>
      <c r="AE62" s="127">
        <f t="shared" si="72"/>
        <v>0.59651557371256203</v>
      </c>
      <c r="AF62" s="117"/>
      <c r="AG62" s="131"/>
      <c r="AH62" s="127"/>
      <c r="AI62" s="127"/>
      <c r="AJ62" s="117"/>
      <c r="AK62" s="131"/>
      <c r="AL62" s="127"/>
      <c r="AM62" s="127"/>
      <c r="AN62" s="117"/>
      <c r="AO62" s="132">
        <f>+AO63+AO64+AO65+AO66</f>
        <v>0.61089529394297593</v>
      </c>
      <c r="AP62" s="130">
        <f>+AP63+AP64+AP65+AP66</f>
        <v>0.63438373001920267</v>
      </c>
      <c r="AQ62" s="130">
        <f>+AQ63+AQ64+AQ65+AQ66</f>
        <v>0.66979734631007548</v>
      </c>
      <c r="AR62" s="117"/>
      <c r="AS62" s="162" t="e">
        <f>+AS63+AS64+AS65+AS66</f>
        <v>#VALUE!</v>
      </c>
      <c r="AT62" s="163" t="e">
        <f>+AT63+AT64+AT65+AT66</f>
        <v>#VALUE!</v>
      </c>
      <c r="AU62" s="163" t="e">
        <f>+AU63+AU64+AU65+AU66</f>
        <v>#VALUE!</v>
      </c>
      <c r="AW62" s="109"/>
      <c r="BA62" s="109"/>
      <c r="BE62" s="109"/>
      <c r="BI62" s="109"/>
      <c r="BM62" s="109"/>
    </row>
    <row r="63" spans="1:65" ht="16.5" hidden="1" x14ac:dyDescent="0.25">
      <c r="A63" s="212"/>
      <c r="B63" s="9"/>
      <c r="C63" s="38" t="s">
        <v>23</v>
      </c>
      <c r="D63" s="6"/>
      <c r="E63" s="97"/>
      <c r="F63" s="42"/>
      <c r="G63" s="42"/>
      <c r="H63" s="117"/>
      <c r="I63" s="73" t="e">
        <f>+((Benelux!E63*Benelux!$E$60)+(Benelux!Q63*Benelux!$Q$60))/'H7H9 BENELUX'!$I$60</f>
        <v>#VALUE!</v>
      </c>
      <c r="J63" s="42" t="e">
        <f>+((Benelux!F63*Benelux!$F$60)+(Benelux!R63*Benelux!$R$60))/'H7H9 BENELUX'!$J$60</f>
        <v>#VALUE!</v>
      </c>
      <c r="K63" s="42" t="e">
        <f>+((Benelux!G63*Benelux!$G$60)+(Benelux!S63*Benelux!$S$60))/'H7H9 BENELUX'!$K$60</f>
        <v>#VALUE!</v>
      </c>
      <c r="L63" s="117"/>
      <c r="M63" s="73">
        <f>+((Benelux!I63*Benelux!$I$60)+(Benelux!U63*Benelux!$U$60))/'H7H9 BENELUX'!$M$60</f>
        <v>122.95801111714043</v>
      </c>
      <c r="N63" s="42">
        <f>+((Benelux!J63*Benelux!$J$60)+(Benelux!V63*Benelux!$V$60))/'H7H9 BENELUX'!$N$60</f>
        <v>122.95801111714043</v>
      </c>
      <c r="O63" s="42">
        <f>+((Benelux!K63*Benelux!$K$60)+(Benelux!W63*Benelux!$W$60))/'H7H9 BENELUX'!$O$60</f>
        <v>122.95801111714043</v>
      </c>
      <c r="P63" s="117"/>
      <c r="Q63" s="97"/>
      <c r="R63" s="42"/>
      <c r="S63" s="42"/>
      <c r="T63" s="117"/>
      <c r="U63" s="84" t="e">
        <f>+((I63*$I$60)+(M63*$M$60))/$U$60</f>
        <v>#VALUE!</v>
      </c>
      <c r="V63" s="60" t="e">
        <f>+((J63*$J$60)+(N63*$N$60))/$V$60</f>
        <v>#VALUE!</v>
      </c>
      <c r="W63" s="60" t="e">
        <f>+((K63*$K$60)+(O63*$O$60))/$W$60</f>
        <v>#VALUE!</v>
      </c>
      <c r="X63" s="117"/>
      <c r="Y63" s="74">
        <f t="shared" ref="Y63:AA63" si="73">+Y80</f>
        <v>0.24847384788868593</v>
      </c>
      <c r="Z63" s="42">
        <f t="shared" si="73"/>
        <v>0.27811449244796171</v>
      </c>
      <c r="AA63" s="42">
        <f t="shared" si="73"/>
        <v>0.28849709917938948</v>
      </c>
      <c r="AB63" s="117"/>
      <c r="AC63" s="74">
        <f t="shared" ref="AC63:AE63" si="74">+AC97</f>
        <v>0.36999843479548222</v>
      </c>
      <c r="AD63" s="42">
        <f t="shared" si="74"/>
        <v>0.53603301941945669</v>
      </c>
      <c r="AE63" s="42">
        <f t="shared" si="74"/>
        <v>0.38680105116560648</v>
      </c>
      <c r="AF63" s="117"/>
      <c r="AG63" s="97"/>
      <c r="AH63" s="42"/>
      <c r="AI63" s="42"/>
      <c r="AJ63" s="117"/>
      <c r="AK63" s="97"/>
      <c r="AL63" s="42"/>
      <c r="AM63" s="42"/>
      <c r="AN63" s="117"/>
      <c r="AO63" s="85">
        <f>+((Y63*$Y$60)+(AC63*$AC$60))/$AO$60</f>
        <v>0.27332250626717697</v>
      </c>
      <c r="AP63" s="60">
        <f>+((Z63*$Z$60)+(AD63*$AD$60))/$AP$60</f>
        <v>0.32916285427746506</v>
      </c>
      <c r="AQ63" s="60">
        <f>+((AA63*$AA$60)+(AE63*$AE$60))/$AQ$60</f>
        <v>0.30781090610157485</v>
      </c>
      <c r="AR63" s="117"/>
      <c r="AS63" s="93" t="e">
        <f>+((U63*$U$60)+(AO63*$AO$60))/$AS$60</f>
        <v>#VALUE!</v>
      </c>
      <c r="AT63" s="68" t="e">
        <f>+((V63*$V$60)+(AP63*$AP$60))/$AT$60</f>
        <v>#VALUE!</v>
      </c>
      <c r="AU63" s="68" t="e">
        <f>+((W63*$W$60)+(AQ63*$AQ$60))/$AU$60</f>
        <v>#VALUE!</v>
      </c>
      <c r="AW63" s="109"/>
      <c r="BA63" s="109"/>
      <c r="BE63" s="109"/>
      <c r="BI63" s="109"/>
      <c r="BM63" s="109"/>
    </row>
    <row r="64" spans="1:65" ht="16.5" hidden="1" x14ac:dyDescent="0.25">
      <c r="A64" s="212"/>
      <c r="B64" s="9"/>
      <c r="C64" s="38" t="s">
        <v>24</v>
      </c>
      <c r="D64" s="7"/>
      <c r="E64" s="97"/>
      <c r="F64" s="42"/>
      <c r="G64" s="42"/>
      <c r="H64" s="134"/>
      <c r="I64" s="74" t="e">
        <f>+((Benelux!E64*Benelux!$E$60)+(Benelux!Q64*Benelux!$Q$60))/'H7H9 BENELUX'!$I$60</f>
        <v>#VALUE!</v>
      </c>
      <c r="J64" s="42" t="e">
        <f>+((Benelux!F64*Benelux!$F$60)+(Benelux!R64*Benelux!$R$60))/'H7H9 BENELUX'!$J$60</f>
        <v>#VALUE!</v>
      </c>
      <c r="K64" s="42" t="e">
        <f>+((Benelux!G64*Benelux!$G$60)+(Benelux!S64*Benelux!$S$60))/'H7H9 BENELUX'!$K$60</f>
        <v>#VALUE!</v>
      </c>
      <c r="L64" s="134"/>
      <c r="M64" s="74">
        <f>+((Benelux!I64*Benelux!$I$60)+(Benelux!U64*Benelux!$U$60))/'H7H9 BENELUX'!$M$60</f>
        <v>122.95801111714043</v>
      </c>
      <c r="N64" s="42">
        <f>+((Benelux!J64*Benelux!$J$60)+(Benelux!V64*Benelux!$V$60))/'H7H9 BENELUX'!$N$60</f>
        <v>122.95801111714043</v>
      </c>
      <c r="O64" s="42">
        <f>+((Benelux!K64*Benelux!$K$60)+(Benelux!W64*Benelux!$W$60))/'H7H9 BENELUX'!$O$60</f>
        <v>122.95801111714043</v>
      </c>
      <c r="P64" s="134"/>
      <c r="Q64" s="97"/>
      <c r="R64" s="42"/>
      <c r="S64" s="42"/>
      <c r="T64" s="134"/>
      <c r="U64" s="85" t="e">
        <f t="shared" ref="U64:U69" si="75">+((I64*$I$60)+(M64*$M$60))/$U$60</f>
        <v>#VALUE!</v>
      </c>
      <c r="V64" s="60" t="e">
        <f t="shared" ref="V64:V69" si="76">+((J64*$J$60)+(N64*$N$60))/$V$60</f>
        <v>#VALUE!</v>
      </c>
      <c r="W64" s="60" t="e">
        <f t="shared" ref="W64:W69" si="77">+((K64*$K$60)+(O64*$O$60))/$W$60</f>
        <v>#VALUE!</v>
      </c>
      <c r="X64" s="134"/>
      <c r="Y64" s="74">
        <f t="shared" ref="Y64:AA64" si="78">+Y81</f>
        <v>1.435728450796871E-2</v>
      </c>
      <c r="Z64" s="42">
        <f t="shared" si="78"/>
        <v>0</v>
      </c>
      <c r="AA64" s="42">
        <f t="shared" si="78"/>
        <v>6.8438159155095921E-2</v>
      </c>
      <c r="AB64" s="134"/>
      <c r="AC64" s="74">
        <f t="shared" ref="AC64:AE64" si="79">+AC98</f>
        <v>8.5412684058269858E-4</v>
      </c>
      <c r="AD64" s="42">
        <f t="shared" si="79"/>
        <v>0</v>
      </c>
      <c r="AE64" s="42">
        <f t="shared" si="79"/>
        <v>1.3781358309617023E-2</v>
      </c>
      <c r="AF64" s="134"/>
      <c r="AG64" s="97"/>
      <c r="AH64" s="42"/>
      <c r="AI64" s="42"/>
      <c r="AJ64" s="134"/>
      <c r="AK64" s="97"/>
      <c r="AL64" s="42"/>
      <c r="AM64" s="42"/>
      <c r="AN64" s="134"/>
      <c r="AO64" s="85">
        <f t="shared" ref="AO64:AO69" si="80">+((Y64*$Y$60)+(AC64*$AC$60))/$AO$60</f>
        <v>1.1596235403024072E-2</v>
      </c>
      <c r="AP64" s="60">
        <f t="shared" ref="AP64:AP69" si="81">+((Z64*$Z$60)+(AD64*$AD$60))/$AP$60</f>
        <v>0</v>
      </c>
      <c r="AQ64" s="60">
        <f t="shared" ref="AQ64:AQ69" si="82">+((AA64*$AA$60)+(AE64*$AE$60))/$AQ$60</f>
        <v>5.769972110469157E-2</v>
      </c>
      <c r="AR64" s="134"/>
      <c r="AS64" s="93" t="e">
        <f t="shared" ref="AS64:AS69" si="83">+((U64*$U$60)+(AO64*$AO$60))/$AS$60</f>
        <v>#VALUE!</v>
      </c>
      <c r="AT64" s="68" t="e">
        <f t="shared" ref="AT64:AT69" si="84">+((V64*$V$60)+(AP64*$AP$60))/$AT$60</f>
        <v>#VALUE!</v>
      </c>
      <c r="AU64" s="68" t="e">
        <f t="shared" ref="AU64:AU69" si="85">+((W64*$W$60)+(AQ64*$AQ$60))/$AU$60</f>
        <v>#VALUE!</v>
      </c>
      <c r="AW64" s="109"/>
      <c r="BA64" s="109"/>
      <c r="BE64" s="109"/>
      <c r="BI64" s="109"/>
      <c r="BM64" s="109"/>
    </row>
    <row r="65" spans="1:65" ht="16.5" hidden="1" x14ac:dyDescent="0.25">
      <c r="A65" s="212"/>
      <c r="B65" s="9"/>
      <c r="C65" s="38" t="s">
        <v>25</v>
      </c>
      <c r="D65" s="7"/>
      <c r="E65" s="97"/>
      <c r="F65" s="42"/>
      <c r="G65" s="42"/>
      <c r="H65" s="134"/>
      <c r="I65" s="74" t="e">
        <f>+((Benelux!E65*Benelux!$E$60)+(Benelux!Q65*Benelux!$Q$60))/'H7H9 BENELUX'!$I$60</f>
        <v>#VALUE!</v>
      </c>
      <c r="J65" s="42" t="e">
        <f>+((Benelux!F65*Benelux!$F$60)+(Benelux!R65*Benelux!$R$60))/'H7H9 BENELUX'!$J$60</f>
        <v>#VALUE!</v>
      </c>
      <c r="K65" s="42" t="e">
        <f>+((Benelux!G65*Benelux!$G$60)+(Benelux!S65*Benelux!$S$60))/'H7H9 BENELUX'!$K$60</f>
        <v>#VALUE!</v>
      </c>
      <c r="L65" s="134"/>
      <c r="M65" s="74">
        <f>+((Benelux!I65*Benelux!$I$60)+(Benelux!U65*Benelux!$U$60))/'H7H9 BENELUX'!$M$60</f>
        <v>122.95801111714043</v>
      </c>
      <c r="N65" s="42">
        <f>+((Benelux!J65*Benelux!$J$60)+(Benelux!V65*Benelux!$V$60))/'H7H9 BENELUX'!$N$60</f>
        <v>122.95801111714043</v>
      </c>
      <c r="O65" s="42">
        <f>+((Benelux!K65*Benelux!$K$60)+(Benelux!W65*Benelux!$W$60))/'H7H9 BENELUX'!$O$60</f>
        <v>122.95801111714043</v>
      </c>
      <c r="P65" s="134"/>
      <c r="Q65" s="97"/>
      <c r="R65" s="42"/>
      <c r="S65" s="42"/>
      <c r="T65" s="134"/>
      <c r="U65" s="85" t="e">
        <f t="shared" si="75"/>
        <v>#VALUE!</v>
      </c>
      <c r="V65" s="60" t="e">
        <f t="shared" si="76"/>
        <v>#VALUE!</v>
      </c>
      <c r="W65" s="60" t="e">
        <f t="shared" si="77"/>
        <v>#VALUE!</v>
      </c>
      <c r="X65" s="134"/>
      <c r="Y65" s="73">
        <f t="shared" ref="Y65:AA65" si="86">+Y82</f>
        <v>0.25170463384232122</v>
      </c>
      <c r="Z65" s="42">
        <f t="shared" si="86"/>
        <v>0.24929332177797903</v>
      </c>
      <c r="AA65" s="42">
        <f t="shared" si="86"/>
        <v>0.23391716212820834</v>
      </c>
      <c r="AB65" s="134"/>
      <c r="AC65" s="73">
        <f t="shared" ref="AC65:AE65" si="87">+AC99</f>
        <v>0.11082048501928829</v>
      </c>
      <c r="AD65" s="42">
        <f t="shared" si="87"/>
        <v>0</v>
      </c>
      <c r="AE65" s="42">
        <f t="shared" si="87"/>
        <v>0.10528437932882899</v>
      </c>
      <c r="AF65" s="134"/>
      <c r="AG65" s="97"/>
      <c r="AH65" s="42"/>
      <c r="AI65" s="42"/>
      <c r="AJ65" s="134"/>
      <c r="AK65" s="97"/>
      <c r="AL65" s="42"/>
      <c r="AM65" s="42"/>
      <c r="AN65" s="134"/>
      <c r="AO65" s="84">
        <f t="shared" si="80"/>
        <v>0.22289744202908784</v>
      </c>
      <c r="AP65" s="60">
        <f t="shared" si="81"/>
        <v>0.1999520982480868</v>
      </c>
      <c r="AQ65" s="60">
        <f t="shared" si="82"/>
        <v>0.20864464072236552</v>
      </c>
      <c r="AR65" s="134"/>
      <c r="AS65" s="93" t="e">
        <f t="shared" si="83"/>
        <v>#VALUE!</v>
      </c>
      <c r="AT65" s="68" t="e">
        <f t="shared" si="84"/>
        <v>#VALUE!</v>
      </c>
      <c r="AU65" s="68" t="e">
        <f t="shared" si="85"/>
        <v>#VALUE!</v>
      </c>
      <c r="AW65" s="109"/>
      <c r="BA65" s="109"/>
      <c r="BE65" s="109"/>
      <c r="BI65" s="109"/>
      <c r="BM65" s="109"/>
    </row>
    <row r="66" spans="1:65" ht="16.5" hidden="1" x14ac:dyDescent="0.25">
      <c r="A66" s="212"/>
      <c r="B66" s="9"/>
      <c r="C66" s="38" t="s">
        <v>53</v>
      </c>
      <c r="D66" s="7"/>
      <c r="E66" s="97"/>
      <c r="F66" s="42"/>
      <c r="G66" s="42"/>
      <c r="H66" s="134"/>
      <c r="I66" s="73" t="e">
        <f>+((Benelux!E66*Benelux!$E$60)+(Benelux!Q66*Benelux!$Q$60))/'H7H9 BENELUX'!$I$60</f>
        <v>#VALUE!</v>
      </c>
      <c r="J66" s="42" t="e">
        <f>+((Benelux!F66*Benelux!$F$60)+(Benelux!R66*Benelux!$R$60))/'H7H9 BENELUX'!$J$60</f>
        <v>#VALUE!</v>
      </c>
      <c r="K66" s="42" t="e">
        <f>+((Benelux!G66*Benelux!$G$60)+(Benelux!S66*Benelux!$S$60))/'H7H9 BENELUX'!$K$60</f>
        <v>#VALUE!</v>
      </c>
      <c r="L66" s="134"/>
      <c r="M66" s="74">
        <f>+((Benelux!I66*Benelux!$I$60)+(Benelux!U66*Benelux!$U$60))/'H7H9 BENELUX'!$M$60</f>
        <v>122.95801111714043</v>
      </c>
      <c r="N66" s="42">
        <f>+((Benelux!J66*Benelux!$J$60)+(Benelux!V66*Benelux!$V$60))/'H7H9 BENELUX'!$N$60</f>
        <v>122.95801111714043</v>
      </c>
      <c r="O66" s="42">
        <f>+((Benelux!K66*Benelux!$K$60)+(Benelux!W66*Benelux!$W$60))/'H7H9 BENELUX'!$O$60</f>
        <v>122.95801111714043</v>
      </c>
      <c r="P66" s="134"/>
      <c r="Q66" s="97"/>
      <c r="R66" s="42"/>
      <c r="S66" s="42"/>
      <c r="T66" s="134"/>
      <c r="U66" s="85" t="e">
        <f t="shared" si="75"/>
        <v>#VALUE!</v>
      </c>
      <c r="V66" s="60" t="e">
        <f t="shared" si="76"/>
        <v>#VALUE!</v>
      </c>
      <c r="W66" s="60" t="e">
        <f t="shared" si="77"/>
        <v>#VALUE!</v>
      </c>
      <c r="X66" s="134"/>
      <c r="Y66" s="73">
        <f t="shared" ref="Y66:AA66" si="88">+Y83</f>
        <v>9.7973380671750127E-2</v>
      </c>
      <c r="Z66" s="42">
        <f t="shared" si="88"/>
        <v>0.10028835877403097</v>
      </c>
      <c r="AA66" s="42">
        <f t="shared" si="88"/>
        <v>9.6862983925595614E-2</v>
      </c>
      <c r="AB66" s="134"/>
      <c r="AC66" s="73">
        <f t="shared" ref="AC66:AE66" si="89">+AC100</f>
        <v>0.12294340793183435</v>
      </c>
      <c r="AD66" s="42">
        <f t="shared" si="89"/>
        <v>0.12545160033221969</v>
      </c>
      <c r="AE66" s="42">
        <f t="shared" si="89"/>
        <v>9.0648784908509583E-2</v>
      </c>
      <c r="AF66" s="134"/>
      <c r="AG66" s="97"/>
      <c r="AH66" s="42"/>
      <c r="AI66" s="42"/>
      <c r="AJ66" s="134"/>
      <c r="AK66" s="97"/>
      <c r="AL66" s="42"/>
      <c r="AM66" s="42"/>
      <c r="AN66" s="134"/>
      <c r="AO66" s="84">
        <f t="shared" si="80"/>
        <v>0.10307911024368699</v>
      </c>
      <c r="AP66" s="60">
        <f t="shared" si="81"/>
        <v>0.10526877749365084</v>
      </c>
      <c r="AQ66" s="60">
        <f t="shared" si="82"/>
        <v>9.5642078381443521E-2</v>
      </c>
      <c r="AR66" s="134"/>
      <c r="AS66" s="92" t="e">
        <f t="shared" si="83"/>
        <v>#VALUE!</v>
      </c>
      <c r="AT66" s="68" t="e">
        <f t="shared" si="84"/>
        <v>#VALUE!</v>
      </c>
      <c r="AU66" s="68" t="e">
        <f t="shared" si="85"/>
        <v>#VALUE!</v>
      </c>
      <c r="AW66" s="109"/>
      <c r="BA66" s="109"/>
      <c r="BE66" s="109"/>
      <c r="BI66" s="109"/>
      <c r="BM66" s="109"/>
    </row>
    <row r="67" spans="1:65" ht="16.5" hidden="1" x14ac:dyDescent="0.25">
      <c r="A67" s="212"/>
      <c r="B67" s="9"/>
      <c r="C67" s="116" t="s">
        <v>27</v>
      </c>
      <c r="D67" s="7"/>
      <c r="E67" s="131"/>
      <c r="F67" s="127"/>
      <c r="G67" s="127"/>
      <c r="H67" s="134"/>
      <c r="I67" s="126" t="e">
        <f>+((Benelux!E67*Benelux!$E$60)+(Benelux!Q67*Benelux!$Q$60))/'H7H9 BENELUX'!$I$60</f>
        <v>#VALUE!</v>
      </c>
      <c r="J67" s="127" t="e">
        <f>+((Benelux!F67*Benelux!$F$60)+(Benelux!R67*Benelux!$R$60))/'H7H9 BENELUX'!$J$60</f>
        <v>#VALUE!</v>
      </c>
      <c r="K67" s="127" t="e">
        <f>+((Benelux!G67*Benelux!$G$60)+(Benelux!S67*Benelux!$S$60))/'H7H9 BENELUX'!$K$60</f>
        <v>#VALUE!</v>
      </c>
      <c r="L67" s="134"/>
      <c r="M67" s="128">
        <f>+((Benelux!I67*Benelux!$I$60)+(Benelux!U67*Benelux!$U$60))/'H7H9 BENELUX'!$M$60</f>
        <v>122.95801111714043</v>
      </c>
      <c r="N67" s="127">
        <f>+((Benelux!J67*Benelux!$J$60)+(Benelux!V67*Benelux!$V$60))/'H7H9 BENELUX'!$N$60</f>
        <v>122.95801111714043</v>
      </c>
      <c r="O67" s="127">
        <f>+((Benelux!K67*Benelux!$K$60)+(Benelux!W67*Benelux!$W$60))/'H7H9 BENELUX'!$O$60</f>
        <v>122.95801111714043</v>
      </c>
      <c r="P67" s="134"/>
      <c r="Q67" s="131"/>
      <c r="R67" s="127"/>
      <c r="S67" s="127"/>
      <c r="T67" s="134"/>
      <c r="U67" s="129" t="e">
        <f t="shared" si="75"/>
        <v>#VALUE!</v>
      </c>
      <c r="V67" s="130" t="e">
        <f t="shared" si="76"/>
        <v>#VALUE!</v>
      </c>
      <c r="W67" s="130" t="e">
        <f t="shared" si="77"/>
        <v>#VALUE!</v>
      </c>
      <c r="X67" s="134"/>
      <c r="Y67" s="128">
        <f t="shared" ref="Y67:AA67" si="90">+Y84</f>
        <v>-1.105504416733113E-2</v>
      </c>
      <c r="Z67" s="127">
        <f t="shared" si="90"/>
        <v>-1.2293895055680671E-2</v>
      </c>
      <c r="AA67" s="127">
        <f t="shared" si="90"/>
        <v>-5.6227110479159879E-3</v>
      </c>
      <c r="AB67" s="134"/>
      <c r="AC67" s="128">
        <f t="shared" ref="AC67:AE67" si="91">+AC101</f>
        <v>-2.0393754250092457E-2</v>
      </c>
      <c r="AD67" s="127">
        <f t="shared" si="91"/>
        <v>-2.1720833568379717E-2</v>
      </c>
      <c r="AE67" s="127">
        <f t="shared" si="91"/>
        <v>-1.2521088167949276E-2</v>
      </c>
      <c r="AF67" s="134"/>
      <c r="AG67" s="131"/>
      <c r="AH67" s="127"/>
      <c r="AI67" s="127"/>
      <c r="AJ67" s="134"/>
      <c r="AK67" s="131"/>
      <c r="AL67" s="127"/>
      <c r="AM67" s="127"/>
      <c r="AN67" s="134"/>
      <c r="AO67" s="132">
        <f t="shared" si="80"/>
        <v>-1.2964570646283745E-2</v>
      </c>
      <c r="AP67" s="130">
        <f t="shared" si="81"/>
        <v>-1.4159715916986716E-2</v>
      </c>
      <c r="AQ67" s="130">
        <f t="shared" si="82"/>
        <v>-6.9780372690980653E-3</v>
      </c>
      <c r="AR67" s="134"/>
      <c r="AS67" s="162" t="e">
        <f t="shared" si="83"/>
        <v>#VALUE!</v>
      </c>
      <c r="AT67" s="163" t="e">
        <f t="shared" si="84"/>
        <v>#VALUE!</v>
      </c>
      <c r="AU67" s="163" t="e">
        <f t="shared" si="85"/>
        <v>#VALUE!</v>
      </c>
      <c r="AW67" s="109"/>
      <c r="BA67" s="109"/>
      <c r="BE67" s="109"/>
      <c r="BI67" s="109"/>
      <c r="BM67" s="109"/>
    </row>
    <row r="68" spans="1:65" ht="16.5" hidden="1" x14ac:dyDescent="0.25">
      <c r="A68" s="212"/>
      <c r="B68" s="9"/>
      <c r="C68" s="116" t="s">
        <v>57</v>
      </c>
      <c r="D68" s="7"/>
      <c r="E68" s="131"/>
      <c r="F68" s="127"/>
      <c r="G68" s="127"/>
      <c r="H68" s="134"/>
      <c r="I68" s="126" t="e">
        <f>+((Benelux!E68*Benelux!$E$60)+(Benelux!Q68*Benelux!$Q$60))/'H7H9 BENELUX'!$I$60</f>
        <v>#VALUE!</v>
      </c>
      <c r="J68" s="127" t="e">
        <f>+((Benelux!F68*Benelux!$F$60)+(Benelux!R68*Benelux!$R$60))/'H7H9 BENELUX'!$J$60</f>
        <v>#VALUE!</v>
      </c>
      <c r="K68" s="127" t="e">
        <f>+((Benelux!G68*Benelux!$G$60)+(Benelux!S68*Benelux!$S$60))/'H7H9 BENELUX'!$K$60</f>
        <v>#VALUE!</v>
      </c>
      <c r="L68" s="134"/>
      <c r="M68" s="128">
        <f>+((Benelux!I68*Benelux!$I$60)+(Benelux!U68*Benelux!$U$60))/'H7H9 BENELUX'!$M$60</f>
        <v>122.95801111714043</v>
      </c>
      <c r="N68" s="127">
        <f>+((Benelux!J68*Benelux!$J$60)+(Benelux!V68*Benelux!$V$60))/'H7H9 BENELUX'!$N$60</f>
        <v>122.95801111714043</v>
      </c>
      <c r="O68" s="127">
        <f>+((Benelux!K68*Benelux!$K$60)+(Benelux!W68*Benelux!$W$60))/'H7H9 BENELUX'!$O$60</f>
        <v>122.95801111714043</v>
      </c>
      <c r="P68" s="134"/>
      <c r="Q68" s="131"/>
      <c r="R68" s="127"/>
      <c r="S68" s="127"/>
      <c r="T68" s="134"/>
      <c r="U68" s="129" t="e">
        <f t="shared" si="75"/>
        <v>#VALUE!</v>
      </c>
      <c r="V68" s="130" t="e">
        <f t="shared" si="76"/>
        <v>#VALUE!</v>
      </c>
      <c r="W68" s="130" t="e">
        <f t="shared" si="77"/>
        <v>#VALUE!</v>
      </c>
      <c r="X68" s="134"/>
      <c r="Y68" s="128">
        <f t="shared" ref="Y68:AA68" si="92">+Y85</f>
        <v>-4.159615562233163E-3</v>
      </c>
      <c r="Z68" s="127">
        <f t="shared" si="92"/>
        <v>4.4355066555536893E-2</v>
      </c>
      <c r="AA68" s="127">
        <f t="shared" si="92"/>
        <v>-1.7704067892916169E-2</v>
      </c>
      <c r="AB68" s="134"/>
      <c r="AC68" s="128">
        <f t="shared" ref="AC68:AE68" si="93">+AC102</f>
        <v>7.0919618723153284E-3</v>
      </c>
      <c r="AD68" s="127">
        <f t="shared" si="93"/>
        <v>0.10311319971867348</v>
      </c>
      <c r="AE68" s="127">
        <f t="shared" si="93"/>
        <v>-7.4775121226765742E-3</v>
      </c>
      <c r="AF68" s="134"/>
      <c r="AG68" s="131"/>
      <c r="AH68" s="127"/>
      <c r="AI68" s="127"/>
      <c r="AJ68" s="134"/>
      <c r="AK68" s="131"/>
      <c r="AL68" s="127"/>
      <c r="AM68" s="127"/>
      <c r="AN68" s="134"/>
      <c r="AO68" s="129">
        <f t="shared" si="80"/>
        <v>-1.8589568148418732E-3</v>
      </c>
      <c r="AP68" s="130">
        <f t="shared" si="81"/>
        <v>5.598473301400516E-2</v>
      </c>
      <c r="AQ68" s="130">
        <f t="shared" si="82"/>
        <v>-1.5694853414407097E-2</v>
      </c>
      <c r="AR68" s="134"/>
      <c r="AS68" s="164" t="e">
        <f t="shared" si="83"/>
        <v>#VALUE!</v>
      </c>
      <c r="AT68" s="163" t="e">
        <f t="shared" si="84"/>
        <v>#VALUE!</v>
      </c>
      <c r="AU68" s="163" t="e">
        <f t="shared" si="85"/>
        <v>#VALUE!</v>
      </c>
      <c r="AW68" s="109"/>
      <c r="BA68" s="109"/>
      <c r="BE68" s="109"/>
      <c r="BI68" s="109"/>
      <c r="BM68" s="109"/>
    </row>
    <row r="69" spans="1:65" ht="16.5" hidden="1" x14ac:dyDescent="0.25">
      <c r="A69" s="212"/>
      <c r="B69" s="9"/>
      <c r="C69" s="116" t="s">
        <v>29</v>
      </c>
      <c r="D69" s="7"/>
      <c r="E69" s="131"/>
      <c r="F69" s="127"/>
      <c r="G69" s="127"/>
      <c r="H69" s="134"/>
      <c r="I69" s="126" t="e">
        <f>+((Benelux!E69*Benelux!$E$60)+(Benelux!Q69*Benelux!$Q$60))/'H7H9 BENELUX'!$I$60</f>
        <v>#VALUE!</v>
      </c>
      <c r="J69" s="127" t="e">
        <f>+((Benelux!F69*Benelux!$F$60)+(Benelux!R69*Benelux!$R$60))/'H7H9 BENELUX'!$J$60</f>
        <v>#VALUE!</v>
      </c>
      <c r="K69" s="127" t="e">
        <f>+((Benelux!G69*Benelux!$G$60)+(Benelux!S69*Benelux!$S$60))/'H7H9 BENELUX'!$K$60</f>
        <v>#VALUE!</v>
      </c>
      <c r="L69" s="134"/>
      <c r="M69" s="126">
        <f>+((Benelux!I69*Benelux!$I$60)+(Benelux!U69*Benelux!$U$60))/'H7H9 BENELUX'!$M$60</f>
        <v>122.95801111714043</v>
      </c>
      <c r="N69" s="127">
        <f>+((Benelux!J69*Benelux!$J$60)+(Benelux!V69*Benelux!$V$60))/'H7H9 BENELUX'!$N$60</f>
        <v>122.95801111714043</v>
      </c>
      <c r="O69" s="127">
        <f>+((Benelux!K69*Benelux!$K$60)+(Benelux!W69*Benelux!$W$60))/'H7H9 BENELUX'!$O$60</f>
        <v>122.95801111714043</v>
      </c>
      <c r="P69" s="134"/>
      <c r="Q69" s="131"/>
      <c r="R69" s="127"/>
      <c r="S69" s="127"/>
      <c r="T69" s="134"/>
      <c r="U69" s="132" t="e">
        <f t="shared" si="75"/>
        <v>#VALUE!</v>
      </c>
      <c r="V69" s="130" t="e">
        <f t="shared" si="76"/>
        <v>#VALUE!</v>
      </c>
      <c r="W69" s="130" t="e">
        <f t="shared" si="77"/>
        <v>#VALUE!</v>
      </c>
      <c r="X69" s="134"/>
      <c r="Y69" s="126">
        <f t="shared" ref="Y69:AA69" si="94">+Y86</f>
        <v>-5.1173899270800993E-3</v>
      </c>
      <c r="Z69" s="127">
        <f t="shared" si="94"/>
        <v>-7.7917637937233459E-3</v>
      </c>
      <c r="AA69" s="127">
        <f t="shared" si="94"/>
        <v>0</v>
      </c>
      <c r="AB69" s="134"/>
      <c r="AC69" s="126">
        <f t="shared" ref="AC69:AE69" si="95">+AC103</f>
        <v>-2.1335991181926528E-2</v>
      </c>
      <c r="AD69" s="127">
        <f t="shared" si="95"/>
        <v>-1.6316999719645248E-2</v>
      </c>
      <c r="AE69" s="127">
        <f t="shared" si="95"/>
        <v>0</v>
      </c>
      <c r="AF69" s="134"/>
      <c r="AG69" s="131"/>
      <c r="AH69" s="127"/>
      <c r="AI69" s="127"/>
      <c r="AJ69" s="134"/>
      <c r="AK69" s="131"/>
      <c r="AL69" s="127"/>
      <c r="AM69" s="127"/>
      <c r="AN69" s="134"/>
      <c r="AO69" s="132">
        <f t="shared" si="80"/>
        <v>-8.4336775378146666E-3</v>
      </c>
      <c r="AP69" s="130">
        <f t="shared" si="81"/>
        <v>-9.479115739077934E-3</v>
      </c>
      <c r="AQ69" s="130">
        <f t="shared" si="82"/>
        <v>0</v>
      </c>
      <c r="AR69" s="134"/>
      <c r="AS69" s="162" t="e">
        <f t="shared" si="83"/>
        <v>#VALUE!</v>
      </c>
      <c r="AT69" s="163" t="e">
        <f t="shared" si="84"/>
        <v>#VALUE!</v>
      </c>
      <c r="AU69" s="163" t="e">
        <f t="shared" si="85"/>
        <v>#VALUE!</v>
      </c>
      <c r="AW69" s="109"/>
      <c r="BA69" s="109"/>
      <c r="BE69" s="109"/>
      <c r="BI69" s="109"/>
      <c r="BM69" s="109"/>
    </row>
    <row r="70" spans="1:65" ht="16.5" hidden="1" x14ac:dyDescent="0.25">
      <c r="A70" s="212"/>
      <c r="B70" s="9"/>
      <c r="C70" s="116" t="s">
        <v>58</v>
      </c>
      <c r="D70" s="7"/>
      <c r="E70" s="131"/>
      <c r="F70" s="127"/>
      <c r="G70" s="127"/>
      <c r="H70" s="134"/>
      <c r="I70" s="126" t="e">
        <f>+I71+I72+I73</f>
        <v>#VALUE!</v>
      </c>
      <c r="J70" s="127" t="e">
        <f t="shared" ref="J70:K70" si="96">+J71+J72+J73</f>
        <v>#VALUE!</v>
      </c>
      <c r="K70" s="127" t="e">
        <f t="shared" si="96"/>
        <v>#VALUE!</v>
      </c>
      <c r="L70" s="134"/>
      <c r="M70" s="126">
        <f>+M71+M72+M73</f>
        <v>368.8740333514213</v>
      </c>
      <c r="N70" s="127">
        <f>+N71+N72+N73</f>
        <v>368.8740333514213</v>
      </c>
      <c r="O70" s="127">
        <f>+O71+O72+O73</f>
        <v>368.8740333514213</v>
      </c>
      <c r="P70" s="134"/>
      <c r="Q70" s="131"/>
      <c r="R70" s="127"/>
      <c r="S70" s="127"/>
      <c r="T70" s="134"/>
      <c r="U70" s="132" t="e">
        <f>+U71+U72+U73</f>
        <v>#VALUE!</v>
      </c>
      <c r="V70" s="130" t="e">
        <f>+V71+V72+V73</f>
        <v>#VALUE!</v>
      </c>
      <c r="W70" s="130" t="e">
        <f>+W71+W72+W73</f>
        <v>#VALUE!</v>
      </c>
      <c r="X70" s="134"/>
      <c r="Y70" s="128">
        <f t="shared" ref="Y70:AA70" si="97">+Y87</f>
        <v>0.27575726822669427</v>
      </c>
      <c r="Z70" s="127">
        <f t="shared" si="97"/>
        <v>0.26284140240544207</v>
      </c>
      <c r="AA70" s="127">
        <f t="shared" si="97"/>
        <v>0.26211243137158136</v>
      </c>
      <c r="AB70" s="134"/>
      <c r="AC70" s="128">
        <f t="shared" ref="AC70:AE70" si="98">+AC104</f>
        <v>0.34986718190968669</v>
      </c>
      <c r="AD70" s="127">
        <f t="shared" si="98"/>
        <v>0.33048463493647973</v>
      </c>
      <c r="AE70" s="127">
        <f t="shared" si="98"/>
        <v>0.32926180557774176</v>
      </c>
      <c r="AF70" s="134"/>
      <c r="AG70" s="131"/>
      <c r="AH70" s="127"/>
      <c r="AI70" s="127"/>
      <c r="AJ70" s="134"/>
      <c r="AK70" s="131"/>
      <c r="AL70" s="127"/>
      <c r="AM70" s="127"/>
      <c r="AN70" s="134"/>
      <c r="AO70" s="129">
        <f>+AO71+AO72+AO73</f>
        <v>0.29091084310763998</v>
      </c>
      <c r="AP70" s="130">
        <f>+AP71+AP72+AP73</f>
        <v>0.27622964655411963</v>
      </c>
      <c r="AQ70" s="130">
        <f>+AQ71+AQ72+AQ73</f>
        <v>0.27530528905593155</v>
      </c>
      <c r="AR70" s="134"/>
      <c r="AS70" s="164" t="e">
        <f>+AS71+AS72+AS73</f>
        <v>#VALUE!</v>
      </c>
      <c r="AT70" s="163" t="e">
        <f>+AT71+AT72+AT73</f>
        <v>#VALUE!</v>
      </c>
      <c r="AU70" s="163" t="e">
        <f>+AU71+AU72+AU73</f>
        <v>#VALUE!</v>
      </c>
      <c r="AW70" s="109"/>
      <c r="BA70" s="109"/>
      <c r="BE70" s="109"/>
      <c r="BI70" s="109"/>
      <c r="BM70" s="109"/>
    </row>
    <row r="71" spans="1:65" ht="16.5" hidden="1" x14ac:dyDescent="0.25">
      <c r="A71" s="212"/>
      <c r="B71" s="9"/>
      <c r="C71" s="39" t="s">
        <v>59</v>
      </c>
      <c r="D71" s="8"/>
      <c r="E71" s="97"/>
      <c r="F71" s="42"/>
      <c r="G71" s="42"/>
      <c r="H71" s="135"/>
      <c r="I71" s="74" t="e">
        <f>+((Benelux!E71*Benelux!$E$60)+(Benelux!Q71*Benelux!$Q$60))/'H7H9 BENELUX'!$I$60</f>
        <v>#VALUE!</v>
      </c>
      <c r="J71" s="42" t="e">
        <f>+((Benelux!F71*Benelux!$F$60)+(Benelux!R71*Benelux!$R$60))/'H7H9 BENELUX'!$J$60</f>
        <v>#VALUE!</v>
      </c>
      <c r="K71" s="42" t="e">
        <f>+((Benelux!G71*Benelux!$G$60)+(Benelux!S71*Benelux!$S$60))/'H7H9 BENELUX'!$K$60</f>
        <v>#VALUE!</v>
      </c>
      <c r="L71" s="135"/>
      <c r="M71" s="74">
        <f>+((Benelux!I71*Benelux!$I$60)+(Benelux!U71*Benelux!$U$60))/'H7H9 BENELUX'!$M$60</f>
        <v>122.95801111714043</v>
      </c>
      <c r="N71" s="42">
        <f>+((Benelux!J71*Benelux!$J$60)+(Benelux!V71*Benelux!$V$60))/'H7H9 BENELUX'!$N$60</f>
        <v>122.95801111714043</v>
      </c>
      <c r="O71" s="42">
        <f>+((Benelux!K71*Benelux!$K$60)+(Benelux!W71*Benelux!$W$60))/'H7H9 BENELUX'!$O$60</f>
        <v>122.95801111714043</v>
      </c>
      <c r="P71" s="135"/>
      <c r="Q71" s="97"/>
      <c r="R71" s="42"/>
      <c r="S71" s="42"/>
      <c r="T71" s="135"/>
      <c r="U71" s="85" t="e">
        <f t="shared" ref="U71:U73" si="99">+((I71*$I$60)+(M71*$M$60))/$U$60</f>
        <v>#VALUE!</v>
      </c>
      <c r="V71" s="60" t="e">
        <f t="shared" ref="V71:V73" si="100">+((J71*$J$60)+(N71*$N$60))/$V$60</f>
        <v>#VALUE!</v>
      </c>
      <c r="W71" s="60" t="e">
        <f t="shared" ref="W71:W73" si="101">+((K71*$K$60)+(O71*$O$60))/$W$60</f>
        <v>#VALUE!</v>
      </c>
      <c r="X71" s="135"/>
      <c r="Y71" s="97">
        <f t="shared" ref="Y71:AA71" si="102">+Y88</f>
        <v>0.16217136864370341</v>
      </c>
      <c r="Z71" s="42">
        <f t="shared" si="102"/>
        <v>0.16064728967362255</v>
      </c>
      <c r="AA71" s="42">
        <f t="shared" si="102"/>
        <v>0.15761934977168973</v>
      </c>
      <c r="AB71" s="135"/>
      <c r="AC71" s="74">
        <f t="shared" ref="AC71:AE71" si="103">+AC105</f>
        <v>0.15334642249690306</v>
      </c>
      <c r="AD71" s="42">
        <f t="shared" si="103"/>
        <v>0.15219682262755441</v>
      </c>
      <c r="AE71" s="42">
        <f t="shared" si="103"/>
        <v>0.15999291642353386</v>
      </c>
      <c r="AF71" s="135"/>
      <c r="AG71" s="97"/>
      <c r="AH71" s="42"/>
      <c r="AI71" s="42"/>
      <c r="AJ71" s="135"/>
      <c r="AK71" s="97"/>
      <c r="AL71" s="42"/>
      <c r="AM71" s="42"/>
      <c r="AN71" s="135"/>
      <c r="AO71" s="99">
        <f t="shared" ref="AO71:AO73" si="104">+((Y71*$Y$60)+(AC71*$AC$60))/$AO$60</f>
        <v>0.16036689370087881</v>
      </c>
      <c r="AP71" s="60">
        <f t="shared" ref="AP71:AP73" si="105">+((Z71*$Z$60)+(AD71*$AD$60))/$AP$60</f>
        <v>0.1589747363116702</v>
      </c>
      <c r="AQ71" s="60">
        <f t="shared" ref="AQ71:AQ73" si="106">+((AA71*$AA$60)+(AE71*$AE$60))/$AQ$60</f>
        <v>0.15808568512346768</v>
      </c>
      <c r="AR71" s="135"/>
      <c r="AS71" s="106" t="e">
        <f t="shared" ref="AS71:AS73" si="107">+((U71*$U$60)+(AO71*$AO$60))/$AS$60</f>
        <v>#VALUE!</v>
      </c>
      <c r="AT71" s="68" t="e">
        <f t="shared" ref="AT71:AT73" si="108">+((V71*$V$60)+(AP71*$AP$60))/$AT$60</f>
        <v>#VALUE!</v>
      </c>
      <c r="AU71" s="68" t="e">
        <f t="shared" ref="AU71:AU73" si="109">+((W71*$W$60)+(AQ71*$AQ$60))/$AU$60</f>
        <v>#VALUE!</v>
      </c>
      <c r="AW71" s="109"/>
      <c r="BA71" s="109"/>
      <c r="BE71" s="109"/>
      <c r="BI71" s="109"/>
      <c r="BM71" s="109"/>
    </row>
    <row r="72" spans="1:65" ht="16.5" hidden="1" x14ac:dyDescent="0.25">
      <c r="A72" s="212"/>
      <c r="B72" s="9"/>
      <c r="C72" s="39" t="s">
        <v>60</v>
      </c>
      <c r="D72" s="8"/>
      <c r="E72" s="97"/>
      <c r="F72" s="42"/>
      <c r="G72" s="42"/>
      <c r="H72" s="135"/>
      <c r="I72" s="73" t="e">
        <f>+((Benelux!E72*Benelux!$E$60)+(Benelux!Q72*Benelux!$Q$60))/'H7H9 BENELUX'!$I$60</f>
        <v>#VALUE!</v>
      </c>
      <c r="J72" s="42" t="e">
        <f>+((Benelux!F72*Benelux!$F$60)+(Benelux!R72*Benelux!$R$60))/'H7H9 BENELUX'!$J$60</f>
        <v>#VALUE!</v>
      </c>
      <c r="K72" s="42" t="e">
        <f>+((Benelux!G72*Benelux!$G$60)+(Benelux!S72*Benelux!$S$60))/'H7H9 BENELUX'!$K$60</f>
        <v>#VALUE!</v>
      </c>
      <c r="L72" s="135"/>
      <c r="M72" s="74">
        <f>+((Benelux!I72*Benelux!$I$60)+(Benelux!U72*Benelux!$U$60))/'H7H9 BENELUX'!$M$60</f>
        <v>122.95801111714043</v>
      </c>
      <c r="N72" s="42">
        <f>+((Benelux!J72*Benelux!$J$60)+(Benelux!V72*Benelux!$V$60))/'H7H9 BENELUX'!$N$60</f>
        <v>122.95801111714043</v>
      </c>
      <c r="O72" s="42">
        <f>+((Benelux!K72*Benelux!$K$60)+(Benelux!W72*Benelux!$W$60))/'H7H9 BENELUX'!$O$60</f>
        <v>122.95801111714043</v>
      </c>
      <c r="P72" s="135"/>
      <c r="Q72" s="97"/>
      <c r="R72" s="42"/>
      <c r="S72" s="42"/>
      <c r="T72" s="135"/>
      <c r="U72" s="99" t="e">
        <f t="shared" si="99"/>
        <v>#VALUE!</v>
      </c>
      <c r="V72" s="60" t="e">
        <f t="shared" si="100"/>
        <v>#VALUE!</v>
      </c>
      <c r="W72" s="60" t="e">
        <f t="shared" si="101"/>
        <v>#VALUE!</v>
      </c>
      <c r="X72" s="135"/>
      <c r="Y72" s="73">
        <f t="shared" ref="Y72:AA72" si="110">+Y89</f>
        <v>4.9470155734861791E-2</v>
      </c>
      <c r="Z72" s="42">
        <f t="shared" si="110"/>
        <v>3.9777709024585467E-2</v>
      </c>
      <c r="AA72" s="42">
        <f t="shared" si="110"/>
        <v>4.1377997388644248E-2</v>
      </c>
      <c r="AB72" s="135"/>
      <c r="AC72" s="73">
        <f t="shared" ref="AC72:AE72" si="111">+AC106</f>
        <v>8.3894018349528074E-2</v>
      </c>
      <c r="AD72" s="42">
        <f t="shared" si="111"/>
        <v>7.3839609805765372E-2</v>
      </c>
      <c r="AE72" s="42">
        <f t="shared" si="111"/>
        <v>6.4389550498410816E-2</v>
      </c>
      <c r="AF72" s="135"/>
      <c r="AG72" s="97"/>
      <c r="AH72" s="42"/>
      <c r="AI72" s="42"/>
      <c r="AJ72" s="135"/>
      <c r="AK72" s="97"/>
      <c r="AL72" s="42"/>
      <c r="AM72" s="42"/>
      <c r="AN72" s="135"/>
      <c r="AO72" s="84">
        <f t="shared" si="104"/>
        <v>5.6508951948470748E-2</v>
      </c>
      <c r="AP72" s="60">
        <f t="shared" si="105"/>
        <v>4.6519389260183612E-2</v>
      </c>
      <c r="AQ72" s="60">
        <f t="shared" si="106"/>
        <v>4.5899084127903306E-2</v>
      </c>
      <c r="AR72" s="135"/>
      <c r="AS72" s="92" t="e">
        <f t="shared" si="107"/>
        <v>#VALUE!</v>
      </c>
      <c r="AT72" s="68" t="e">
        <f t="shared" si="108"/>
        <v>#VALUE!</v>
      </c>
      <c r="AU72" s="68" t="e">
        <f t="shared" si="109"/>
        <v>#VALUE!</v>
      </c>
      <c r="AW72" s="109"/>
      <c r="BA72" s="109"/>
      <c r="BE72" s="109"/>
      <c r="BI72" s="109"/>
      <c r="BM72" s="109"/>
    </row>
    <row r="73" spans="1:65" ht="16.5" hidden="1" x14ac:dyDescent="0.25">
      <c r="A73" s="212"/>
      <c r="B73" s="9"/>
      <c r="C73" s="39" t="s">
        <v>61</v>
      </c>
      <c r="D73" s="8"/>
      <c r="E73" s="97"/>
      <c r="F73" s="42"/>
      <c r="G73" s="42"/>
      <c r="H73" s="135"/>
      <c r="I73" s="97" t="e">
        <f>+((Benelux!E73*Benelux!$E$60)+(Benelux!Q73*Benelux!$Q$60))/'H7H9 BENELUX'!$I$60</f>
        <v>#VALUE!</v>
      </c>
      <c r="J73" s="42" t="e">
        <f>+((Benelux!F73*Benelux!$F$60)+(Benelux!R73*Benelux!$R$60))/'H7H9 BENELUX'!$J$60</f>
        <v>#VALUE!</v>
      </c>
      <c r="K73" s="42" t="e">
        <f>+((Benelux!G73*Benelux!$G$60)+(Benelux!S73*Benelux!$S$60))/'H7H9 BENELUX'!$K$60</f>
        <v>#VALUE!</v>
      </c>
      <c r="L73" s="135"/>
      <c r="M73" s="74">
        <f>+((Benelux!I73*Benelux!$I$60)+(Benelux!U73*Benelux!$U$60))/'H7H9 BENELUX'!$M$60</f>
        <v>122.95801111714043</v>
      </c>
      <c r="N73" s="42">
        <f>+((Benelux!J73*Benelux!$J$60)+(Benelux!V73*Benelux!$V$60))/'H7H9 BENELUX'!$N$60</f>
        <v>122.95801111714043</v>
      </c>
      <c r="O73" s="42">
        <f>+((Benelux!K73*Benelux!$K$60)+(Benelux!W73*Benelux!$W$60))/'H7H9 BENELUX'!$O$60</f>
        <v>122.95801111714043</v>
      </c>
      <c r="P73" s="135"/>
      <c r="Q73" s="97"/>
      <c r="R73" s="42"/>
      <c r="S73" s="42"/>
      <c r="T73" s="135"/>
      <c r="U73" s="85" t="e">
        <f t="shared" si="99"/>
        <v>#VALUE!</v>
      </c>
      <c r="V73" s="60" t="e">
        <f t="shared" si="100"/>
        <v>#VALUE!</v>
      </c>
      <c r="W73" s="60" t="e">
        <f t="shared" si="101"/>
        <v>#VALUE!</v>
      </c>
      <c r="X73" s="135"/>
      <c r="Y73" s="97">
        <f t="shared" ref="Y73:AA73" si="112">+Y90</f>
        <v>6.411574384812907E-2</v>
      </c>
      <c r="Z73" s="42">
        <f t="shared" si="112"/>
        <v>6.2416403707234072E-2</v>
      </c>
      <c r="AA73" s="42">
        <f t="shared" si="112"/>
        <v>6.3115084211247369E-2</v>
      </c>
      <c r="AB73" s="135"/>
      <c r="AC73" s="73">
        <f t="shared" ref="AC73:AE73" si="113">+AC107</f>
        <v>0.11262674106325553</v>
      </c>
      <c r="AD73" s="42">
        <f t="shared" si="113"/>
        <v>0.10444820250315992</v>
      </c>
      <c r="AE73" s="42">
        <f t="shared" si="113"/>
        <v>0.10487933865579706</v>
      </c>
      <c r="AF73" s="135"/>
      <c r="AG73" s="97"/>
      <c r="AH73" s="42"/>
      <c r="AI73" s="42"/>
      <c r="AJ73" s="135"/>
      <c r="AK73" s="97"/>
      <c r="AL73" s="42"/>
      <c r="AM73" s="42"/>
      <c r="AN73" s="135"/>
      <c r="AO73" s="99">
        <f t="shared" si="104"/>
        <v>7.4034997458290425E-2</v>
      </c>
      <c r="AP73" s="60">
        <f t="shared" si="105"/>
        <v>7.073552098226582E-2</v>
      </c>
      <c r="AQ73" s="60">
        <f t="shared" si="106"/>
        <v>7.1320519804560542E-2</v>
      </c>
      <c r="AR73" s="135"/>
      <c r="AS73" s="93" t="e">
        <f t="shared" si="107"/>
        <v>#VALUE!</v>
      </c>
      <c r="AT73" s="68" t="e">
        <f t="shared" si="108"/>
        <v>#VALUE!</v>
      </c>
      <c r="AU73" s="68" t="e">
        <f t="shared" si="109"/>
        <v>#VALUE!</v>
      </c>
      <c r="AW73" s="109"/>
      <c r="BA73" s="109"/>
      <c r="BE73" s="109"/>
      <c r="BI73" s="109"/>
      <c r="BM73" s="109"/>
    </row>
    <row r="74" spans="1:65" ht="16.5" hidden="1" x14ac:dyDescent="0.25">
      <c r="A74" s="212"/>
      <c r="B74" s="9"/>
      <c r="C74" s="116" t="s">
        <v>34</v>
      </c>
      <c r="D74" s="6"/>
      <c r="E74" s="121"/>
      <c r="F74" s="119"/>
      <c r="G74" s="119"/>
      <c r="H74" s="117"/>
      <c r="I74" s="118" t="e">
        <f>+Benelux!E74+Benelux!Q74</f>
        <v>#VALUE!</v>
      </c>
      <c r="J74" s="119" t="e">
        <f>+Benelux!F74+Benelux!R74</f>
        <v>#VALUE!</v>
      </c>
      <c r="K74" s="119" t="e">
        <f>+Benelux!G74+Benelux!S74</f>
        <v>#VALUE!</v>
      </c>
      <c r="L74" s="117"/>
      <c r="M74" s="120">
        <f>+Benelux!I74+Benelux!U74</f>
        <v>123.04201758000001</v>
      </c>
      <c r="N74" s="119">
        <f>+Benelux!J74+Benelux!V74</f>
        <v>123.04201758000001</v>
      </c>
      <c r="O74" s="119">
        <f>+Benelux!K74+Benelux!W74</f>
        <v>123.04201758000001</v>
      </c>
      <c r="P74" s="117"/>
      <c r="Q74" s="121"/>
      <c r="R74" s="119"/>
      <c r="S74" s="119"/>
      <c r="T74" s="117"/>
      <c r="U74" s="122" t="e">
        <f t="shared" ref="U74:W74" si="114">+I74+M74</f>
        <v>#VALUE!</v>
      </c>
      <c r="V74" s="165" t="e">
        <f t="shared" si="114"/>
        <v>#VALUE!</v>
      </c>
      <c r="W74" s="123" t="e">
        <f t="shared" si="114"/>
        <v>#VALUE!</v>
      </c>
      <c r="X74" s="117"/>
      <c r="Y74" s="118">
        <f t="shared" ref="Y74:AA74" si="115">+Y91</f>
        <v>6.0156541399999934</v>
      </c>
      <c r="Z74" s="119">
        <f t="shared" si="115"/>
        <v>3.8280322499999908</v>
      </c>
      <c r="AA74" s="119">
        <f t="shared" si="115"/>
        <v>4.3351210959005773</v>
      </c>
      <c r="AB74" s="117"/>
      <c r="AC74" s="121">
        <f t="shared" ref="AC74:AE74" si="116">+AC108</f>
        <v>1.0829935699999935</v>
      </c>
      <c r="AD74" s="119">
        <f t="shared" si="116"/>
        <v>-0.63251414000000228</v>
      </c>
      <c r="AE74" s="119">
        <f t="shared" si="116"/>
        <v>1.3588259773164886</v>
      </c>
      <c r="AF74" s="117"/>
      <c r="AG74" s="121"/>
      <c r="AH74" s="119"/>
      <c r="AI74" s="119"/>
      <c r="AJ74" s="117"/>
      <c r="AK74" s="121"/>
      <c r="AL74" s="119"/>
      <c r="AM74" s="119"/>
      <c r="AN74" s="117"/>
      <c r="AO74" s="122">
        <f>+Y74+AC74</f>
        <v>7.0986477099999874</v>
      </c>
      <c r="AP74" s="123">
        <f t="shared" ref="AP74:AQ74" si="117">+Z74+AD74</f>
        <v>3.1955181099999885</v>
      </c>
      <c r="AQ74" s="123">
        <f t="shared" si="117"/>
        <v>5.6939470732170658</v>
      </c>
      <c r="AR74" s="117"/>
      <c r="AS74" s="166" t="e">
        <f t="shared" ref="AS74:AU74" si="118">+U74+AO74</f>
        <v>#VALUE!</v>
      </c>
      <c r="AT74" s="167" t="e">
        <f t="shared" si="118"/>
        <v>#VALUE!</v>
      </c>
      <c r="AU74" s="160" t="e">
        <f t="shared" si="118"/>
        <v>#VALUE!</v>
      </c>
      <c r="AW74" s="108"/>
      <c r="BA74" s="108"/>
      <c r="BE74" s="108"/>
      <c r="BI74" s="108"/>
      <c r="BM74" s="108"/>
    </row>
    <row r="75" spans="1:65" hidden="1" x14ac:dyDescent="0.35"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</row>
    <row r="76" spans="1:65" ht="16.5" hidden="1" outlineLevel="1" x14ac:dyDescent="0.25">
      <c r="A76" s="212" t="s">
        <v>38</v>
      </c>
      <c r="B76" s="9"/>
      <c r="C76" s="116" t="s">
        <v>19</v>
      </c>
      <c r="D76" s="6"/>
      <c r="E76" s="121"/>
      <c r="F76" s="119"/>
      <c r="G76" s="119"/>
      <c r="H76" s="117"/>
      <c r="I76" s="121">
        <f>+Benelux!E76+Benelux!Q76</f>
        <v>17.312047279999991</v>
      </c>
      <c r="J76" s="119">
        <f>+Benelux!F76+Benelux!R76</f>
        <v>17.471338930000002</v>
      </c>
      <c r="K76" s="119">
        <f>+Benelux!G76+Benelux!S76</f>
        <v>19.648673596439135</v>
      </c>
      <c r="L76" s="117"/>
      <c r="M76" s="118">
        <f>+Benelux!I76+Benelux!U76</f>
        <v>26.019193609999999</v>
      </c>
      <c r="N76" s="119">
        <f>+Benelux!J76+Benelux!V76</f>
        <v>26.18835687</v>
      </c>
      <c r="O76" s="119">
        <f>+Benelux!K76+Benelux!W76</f>
        <v>24.611486853744633</v>
      </c>
      <c r="P76" s="117"/>
      <c r="Q76" s="121"/>
      <c r="R76" s="119"/>
      <c r="S76" s="119"/>
      <c r="T76" s="117"/>
      <c r="U76" s="124">
        <f t="shared" ref="U76:U77" si="119">+I76+M76</f>
        <v>43.331240889999989</v>
      </c>
      <c r="V76" s="123">
        <f t="shared" ref="V76:V77" si="120">+J76+N76</f>
        <v>43.659695800000001</v>
      </c>
      <c r="W76" s="123">
        <f t="shared" ref="W76:W77" si="121">+K76+O76</f>
        <v>44.260160450183768</v>
      </c>
      <c r="X76" s="117"/>
      <c r="Y76" s="121">
        <f>+Benelux!M76+Benelux!Y76</f>
        <v>108.70809534</v>
      </c>
      <c r="Z76" s="119">
        <f>+Benelux!N76+Benelux!Z76</f>
        <v>110.62512524000002</v>
      </c>
      <c r="AA76" s="119">
        <f>+Benelux!O76+Benelux!AA76</f>
        <v>112.54845367250161</v>
      </c>
      <c r="AB76" s="117"/>
      <c r="AC76" s="121"/>
      <c r="AD76" s="119"/>
      <c r="AE76" s="119"/>
      <c r="AF76" s="117"/>
      <c r="AG76" s="121"/>
      <c r="AH76" s="119"/>
      <c r="AI76" s="119"/>
      <c r="AJ76" s="117"/>
      <c r="AK76" s="121"/>
      <c r="AL76" s="119"/>
      <c r="AM76" s="119"/>
      <c r="AN76" s="117"/>
      <c r="AO76" s="124">
        <f>+Y76</f>
        <v>108.70809534</v>
      </c>
      <c r="AP76" s="123">
        <f t="shared" ref="AP76:AP91" si="122">+Z76</f>
        <v>110.62512524000002</v>
      </c>
      <c r="AQ76" s="123">
        <f t="shared" ref="AQ76:AQ91" si="123">+AA76</f>
        <v>112.54845367250161</v>
      </c>
      <c r="AR76" s="117"/>
      <c r="AS76" s="161">
        <f t="shared" ref="AS76:AS77" si="124">+U76+AO76</f>
        <v>152.03933623</v>
      </c>
      <c r="AT76" s="160">
        <f t="shared" ref="AT76:AT77" si="125">+V76+AP76</f>
        <v>154.28482104000003</v>
      </c>
      <c r="AU76" s="160">
        <f t="shared" ref="AU76:AU77" si="126">+W76+AQ76</f>
        <v>156.80861412268538</v>
      </c>
      <c r="AW76" s="108"/>
      <c r="BA76" s="108"/>
      <c r="BE76" s="108"/>
      <c r="BI76" s="108"/>
      <c r="BM76" s="108"/>
    </row>
    <row r="77" spans="1:65" ht="16.5" hidden="1" outlineLevel="1" x14ac:dyDescent="0.25">
      <c r="A77" s="212"/>
      <c r="B77" s="9"/>
      <c r="C77" s="116" t="s">
        <v>55</v>
      </c>
      <c r="D77" s="6"/>
      <c r="E77" s="121"/>
      <c r="F77" s="119"/>
      <c r="G77" s="119"/>
      <c r="H77" s="117"/>
      <c r="I77" s="121">
        <f>+Benelux!E77+Benelux!Q77</f>
        <v>17.072469999999992</v>
      </c>
      <c r="J77" s="119">
        <f>+Benelux!F77+Benelux!R77</f>
        <v>17.247549539999998</v>
      </c>
      <c r="K77" s="119">
        <f>+Benelux!G77+Benelux!S77</f>
        <v>19.366971363986242</v>
      </c>
      <c r="L77" s="117"/>
      <c r="M77" s="121">
        <f>+Benelux!I77+Benelux!U77</f>
        <v>13.753437400000001</v>
      </c>
      <c r="N77" s="119">
        <f>+Benelux!J77+Benelux!V77</f>
        <v>14.009923329999992</v>
      </c>
      <c r="O77" s="119">
        <f>+Benelux!K77+Benelux!W77</f>
        <v>14.062378368591608</v>
      </c>
      <c r="P77" s="117"/>
      <c r="Q77" s="121"/>
      <c r="R77" s="119"/>
      <c r="S77" s="119"/>
      <c r="T77" s="117"/>
      <c r="U77" s="124">
        <f t="shared" si="119"/>
        <v>30.825907399999991</v>
      </c>
      <c r="V77" s="123">
        <f t="shared" si="120"/>
        <v>31.25747286999999</v>
      </c>
      <c r="W77" s="123">
        <f t="shared" si="121"/>
        <v>33.429349732577847</v>
      </c>
      <c r="X77" s="117"/>
      <c r="Y77" s="121">
        <f>+Benelux!M77+Benelux!Y77</f>
        <v>45.550488299999998</v>
      </c>
      <c r="Z77" s="119">
        <f>+Benelux!N77+Benelux!Z77</f>
        <v>44.933638809999984</v>
      </c>
      <c r="AA77" s="119">
        <f>+Benelux!O77+Benelux!AA77</f>
        <v>58.982087473381583</v>
      </c>
      <c r="AB77" s="117"/>
      <c r="AC77" s="121"/>
      <c r="AD77" s="119"/>
      <c r="AE77" s="119"/>
      <c r="AF77" s="117"/>
      <c r="AG77" s="121"/>
      <c r="AH77" s="119"/>
      <c r="AI77" s="119"/>
      <c r="AJ77" s="117"/>
      <c r="AK77" s="121"/>
      <c r="AL77" s="119"/>
      <c r="AM77" s="119"/>
      <c r="AN77" s="117"/>
      <c r="AO77" s="124">
        <f t="shared" ref="AO77:AO91" si="127">+Y77</f>
        <v>45.550488299999998</v>
      </c>
      <c r="AP77" s="123">
        <f t="shared" si="122"/>
        <v>44.933638809999984</v>
      </c>
      <c r="AQ77" s="123">
        <f t="shared" si="123"/>
        <v>58.982087473381583</v>
      </c>
      <c r="AR77" s="117"/>
      <c r="AS77" s="161">
        <f t="shared" si="124"/>
        <v>76.376395699999989</v>
      </c>
      <c r="AT77" s="160">
        <f t="shared" si="125"/>
        <v>76.191111679999977</v>
      </c>
      <c r="AU77" s="160">
        <f t="shared" si="126"/>
        <v>92.41143720595943</v>
      </c>
      <c r="AW77" s="108"/>
      <c r="BA77" s="108"/>
      <c r="BE77" s="108"/>
      <c r="BI77" s="108"/>
      <c r="BM77" s="108"/>
    </row>
    <row r="78" spans="1:65" ht="16.5" hidden="1" outlineLevel="1" x14ac:dyDescent="0.25">
      <c r="A78" s="212"/>
      <c r="B78" s="9"/>
      <c r="C78" s="116" t="s">
        <v>21</v>
      </c>
      <c r="D78" s="6"/>
      <c r="E78" s="131"/>
      <c r="F78" s="127"/>
      <c r="G78" s="127"/>
      <c r="H78" s="117"/>
      <c r="I78" s="126">
        <f>+I79+I84+I85+I86+I87</f>
        <v>0.8889214513189958</v>
      </c>
      <c r="J78" s="127">
        <f t="shared" ref="J78" si="128">+J79+J84+J85+J86+J87</f>
        <v>0.94089363954944816</v>
      </c>
      <c r="K78" s="127">
        <f t="shared" ref="K78" si="129">+K79+K84+K85+K86+K87</f>
        <v>0.97042323158238197</v>
      </c>
      <c r="L78" s="117"/>
      <c r="M78" s="128">
        <f>+M79+M84+M85+M86+M87</f>
        <v>1.0817339540150162</v>
      </c>
      <c r="N78" s="127">
        <f>+N79+N84+N85+N86+N87</f>
        <v>0.68954674001060379</v>
      </c>
      <c r="O78" s="127">
        <f>+O79+O84+O85+O86+O87</f>
        <v>1.0288221324439273</v>
      </c>
      <c r="P78" s="117"/>
      <c r="Q78" s="131"/>
      <c r="R78" s="127"/>
      <c r="S78" s="127"/>
      <c r="T78" s="117"/>
      <c r="U78" s="132">
        <f>+U79+U84+U85+U86+U87</f>
        <v>0.97494761922239537</v>
      </c>
      <c r="V78" s="130">
        <f>+V79+V84+V85+V86+V87</f>
        <v>0.82823735391760123</v>
      </c>
      <c r="W78" s="130">
        <f>+W79+W84+W85+W86+W87</f>
        <v>0.9949892924478918</v>
      </c>
      <c r="X78" s="117"/>
      <c r="Y78" s="126">
        <f>+Y79+Y84+Y85+Y86+Y87</f>
        <v>0.86793436548077563</v>
      </c>
      <c r="Z78" s="127">
        <f>+Z79+Z84+Z85+Z86+Z87</f>
        <v>0.91480698311154662</v>
      </c>
      <c r="AA78" s="127">
        <f>+AA79+AA84+AA85+AA86+AA87</f>
        <v>0.9265010568190386</v>
      </c>
      <c r="AB78" s="117"/>
      <c r="AC78" s="131"/>
      <c r="AD78" s="127"/>
      <c r="AE78" s="127"/>
      <c r="AF78" s="117"/>
      <c r="AG78" s="131"/>
      <c r="AH78" s="127"/>
      <c r="AI78" s="127"/>
      <c r="AJ78" s="117"/>
      <c r="AK78" s="131"/>
      <c r="AL78" s="127"/>
      <c r="AM78" s="127"/>
      <c r="AN78" s="117"/>
      <c r="AO78" s="132">
        <f t="shared" si="127"/>
        <v>0.86793436548077563</v>
      </c>
      <c r="AP78" s="130">
        <f t="shared" si="122"/>
        <v>0.91480698311154662</v>
      </c>
      <c r="AQ78" s="130">
        <f t="shared" si="123"/>
        <v>0.9265010568190386</v>
      </c>
      <c r="AR78" s="117"/>
      <c r="AS78" s="162">
        <f>+AS79+AS84+AS85+AS86+AS87</f>
        <v>0.91112546686986484</v>
      </c>
      <c r="AT78" s="163">
        <f>+AT79+AT84+AT85+AT86+AT87</f>
        <v>0.87929171399117201</v>
      </c>
      <c r="AU78" s="163">
        <f>+AU79+AU84+AU85+AU86+AU87</f>
        <v>0.95127631462940498</v>
      </c>
      <c r="AW78" s="109"/>
      <c r="BA78" s="109"/>
      <c r="BE78" s="109"/>
      <c r="BI78" s="109"/>
      <c r="BM78" s="109"/>
    </row>
    <row r="79" spans="1:65" ht="16.5" hidden="1" outlineLevel="1" x14ac:dyDescent="0.25">
      <c r="A79" s="212"/>
      <c r="B79" s="9"/>
      <c r="C79" s="116" t="s">
        <v>56</v>
      </c>
      <c r="D79" s="6"/>
      <c r="E79" s="131"/>
      <c r="F79" s="127"/>
      <c r="G79" s="127"/>
      <c r="H79" s="117"/>
      <c r="I79" s="128">
        <f>+I80+I81+I82+I83</f>
        <v>0.60071757630852507</v>
      </c>
      <c r="J79" s="127">
        <f t="shared" ref="J79" si="130">+J80+J81+J82+J83</f>
        <v>0.64907967036342318</v>
      </c>
      <c r="K79" s="127">
        <f t="shared" ref="K79" si="131">+K80+K81+K82+K83</f>
        <v>0.57971803352675355</v>
      </c>
      <c r="L79" s="117"/>
      <c r="M79" s="126">
        <f>+M80+M81+M82+M83</f>
        <v>0.49205535264951289</v>
      </c>
      <c r="N79" s="127">
        <f>+N80+N81+N82+N83</f>
        <v>0.5309098240439839</v>
      </c>
      <c r="O79" s="127">
        <f>+O80+O81+O82+O83</f>
        <v>0.58582467503736224</v>
      </c>
      <c r="P79" s="117"/>
      <c r="Q79" s="131"/>
      <c r="R79" s="127"/>
      <c r="S79" s="127"/>
      <c r="T79" s="117"/>
      <c r="U79" s="132">
        <f>+U80+U81+U82+U83</f>
        <v>0.55223630789210787</v>
      </c>
      <c r="V79" s="130">
        <f>+V80+V81+V82+V83</f>
        <v>0.59611472039006252</v>
      </c>
      <c r="W79" s="130">
        <f>+W80+W81+W82+W83</f>
        <v>0.58228685117263923</v>
      </c>
      <c r="X79" s="117"/>
      <c r="Y79" s="126">
        <f>+Y80+Y81+Y82+Y83</f>
        <v>0.61250914691072589</v>
      </c>
      <c r="Z79" s="127">
        <f>+Z80+Z81+Z82+Z83</f>
        <v>0.62769617299997171</v>
      </c>
      <c r="AA79" s="127">
        <f>+AA80+AA81+AA82+AA83</f>
        <v>0.68771540438828938</v>
      </c>
      <c r="AB79" s="117"/>
      <c r="AC79" s="131"/>
      <c r="AD79" s="127"/>
      <c r="AE79" s="127"/>
      <c r="AF79" s="117"/>
      <c r="AG79" s="131"/>
      <c r="AH79" s="127"/>
      <c r="AI79" s="127"/>
      <c r="AJ79" s="117"/>
      <c r="AK79" s="131"/>
      <c r="AL79" s="127"/>
      <c r="AM79" s="127"/>
      <c r="AN79" s="117"/>
      <c r="AO79" s="132">
        <f t="shared" si="127"/>
        <v>0.61250914691072589</v>
      </c>
      <c r="AP79" s="130">
        <f t="shared" si="122"/>
        <v>0.62769617299997171</v>
      </c>
      <c r="AQ79" s="130">
        <f t="shared" si="123"/>
        <v>0.68771540438828938</v>
      </c>
      <c r="AR79" s="117"/>
      <c r="AS79" s="162">
        <f>+AS80+AS81+AS82+AS83</f>
        <v>0.58818271808026701</v>
      </c>
      <c r="AT79" s="163">
        <f>+AT80+AT81+AT82+AT83</f>
        <v>0.61473985334033154</v>
      </c>
      <c r="AU79" s="163">
        <f>+AU80+AU81+AU82+AU83</f>
        <v>0.64957718163355893</v>
      </c>
      <c r="AW79" s="109"/>
      <c r="BA79" s="109"/>
      <c r="BE79" s="109"/>
      <c r="BI79" s="109"/>
      <c r="BM79" s="109"/>
    </row>
    <row r="80" spans="1:65" ht="16.5" hidden="1" outlineLevel="1" x14ac:dyDescent="0.25">
      <c r="A80" s="212"/>
      <c r="B80" s="9"/>
      <c r="C80" s="38" t="s">
        <v>23</v>
      </c>
      <c r="D80" s="6"/>
      <c r="E80" s="97"/>
      <c r="F80" s="42"/>
      <c r="G80" s="42"/>
      <c r="H80" s="117"/>
      <c r="I80" s="73">
        <f>+((Benelux!E80*Benelux!$E$77)+(Benelux!Q80*Benelux!$Q$77))/'H7H9 BENELUX'!$I$77</f>
        <v>0.44290898281646079</v>
      </c>
      <c r="J80" s="42">
        <f>+((Benelux!F80*Benelux!$F$77)+(Benelux!R80*Benelux!$R$77))/'H7H9 BENELUX'!$J$77</f>
        <v>0.48347638780937802</v>
      </c>
      <c r="K80" s="42">
        <f>+((Benelux!G80*Benelux!$G$77)+(Benelux!S80*Benelux!$S$77))/'H7H9 BENELUX'!$K$77</f>
        <v>0.35806347700650587</v>
      </c>
      <c r="L80" s="117"/>
      <c r="M80" s="73">
        <f>+((Benelux!I80*Benelux!$I$77)+(Benelux!U80*Benelux!$U$77))/'H7H9 BENELUX'!$M$77</f>
        <v>0.31653019487446304</v>
      </c>
      <c r="N80" s="42">
        <f>+((Benelux!J80*Benelux!$J$77)+(Benelux!V80*Benelux!$V$77))/'H7H9 BENELUX'!$N$77</f>
        <v>0.29139502700680325</v>
      </c>
      <c r="O80" s="42">
        <f>+((Benelux!K80*Benelux!$K$77)+(Benelux!W80*Benelux!$W$77))/'H7H9 BENELUX'!$O$77</f>
        <v>0.28334275871384546</v>
      </c>
      <c r="P80" s="117"/>
      <c r="Q80" s="97"/>
      <c r="R80" s="42"/>
      <c r="S80" s="42"/>
      <c r="T80" s="117"/>
      <c r="U80" s="84">
        <f>+((I80*$I$77)+(M80*$M$77))/$U$77</f>
        <v>0.38652320555145353</v>
      </c>
      <c r="V80" s="60">
        <f>+((J80*$J$77)+(N80*$N$77))/$V$77</f>
        <v>0.39738353093773615</v>
      </c>
      <c r="W80" s="60">
        <f>+((K80*$K$77)+(O80*$O$77))/$W$77</f>
        <v>0.3266314862256518</v>
      </c>
      <c r="X80" s="117"/>
      <c r="Y80" s="74">
        <f>+((Benelux!M80*Benelux!$M$77)+(Benelux!Y80*Benelux!$Y$77))/'H7H9 BENELUX'!$Y$77</f>
        <v>0.24847384788868593</v>
      </c>
      <c r="Z80" s="42">
        <f>+((Benelux!N80*Benelux!$N$77)+(Benelux!Z80*Benelux!$Z$77))/'H7H9 BENELUX'!$Z$77</f>
        <v>0.27811449244796171</v>
      </c>
      <c r="AA80" s="42">
        <f>+((Benelux!O80*Benelux!$O$77)+(Benelux!AA80*Benelux!$AA$77))/'H7H9 BENELUX'!$AA$77</f>
        <v>0.28849709917938948</v>
      </c>
      <c r="AB80" s="117"/>
      <c r="AC80" s="97"/>
      <c r="AD80" s="42"/>
      <c r="AE80" s="42"/>
      <c r="AF80" s="117"/>
      <c r="AG80" s="97"/>
      <c r="AH80" s="42"/>
      <c r="AI80" s="42"/>
      <c r="AJ80" s="117"/>
      <c r="AK80" s="97"/>
      <c r="AL80" s="42"/>
      <c r="AM80" s="42"/>
      <c r="AN80" s="117"/>
      <c r="AO80" s="85">
        <f t="shared" si="127"/>
        <v>0.24847384788868593</v>
      </c>
      <c r="AP80" s="60">
        <f t="shared" si="122"/>
        <v>0.27811449244796171</v>
      </c>
      <c r="AQ80" s="60">
        <f t="shared" si="123"/>
        <v>0.28849709917938948</v>
      </c>
      <c r="AR80" s="117"/>
      <c r="AS80" s="106">
        <f>+((U80*$U$77)+(AO80*$AO$77))/$AS$77</f>
        <v>0.3041912809639149</v>
      </c>
      <c r="AT80" s="68">
        <f>+((V80*$V$77)+(AP80*$AP$77))/$AT$77</f>
        <v>0.32704472397526618</v>
      </c>
      <c r="AU80" s="68">
        <f>+((W80*$W$77)+(AQ80*$AQ$77))/$AU$77</f>
        <v>0.30229201244933246</v>
      </c>
      <c r="AW80" s="109"/>
      <c r="BA80" s="109"/>
      <c r="BE80" s="109"/>
      <c r="BI80" s="109"/>
      <c r="BM80" s="109"/>
    </row>
    <row r="81" spans="1:65" ht="16.5" hidden="1" outlineLevel="1" x14ac:dyDescent="0.25">
      <c r="A81" s="212"/>
      <c r="B81" s="9"/>
      <c r="C81" s="38" t="s">
        <v>24</v>
      </c>
      <c r="D81" s="7"/>
      <c r="E81" s="97"/>
      <c r="F81" s="42"/>
      <c r="G81" s="42"/>
      <c r="H81" s="134"/>
      <c r="I81" s="74">
        <f>+((Benelux!E81*Benelux!$E$77)+(Benelux!Q81*Benelux!$Q$77))/'H7H9 BENELUX'!$I$77</f>
        <v>8.5965949859627862E-3</v>
      </c>
      <c r="J81" s="42">
        <f>+((Benelux!F81*Benelux!$F$77)+(Benelux!R81*Benelux!$R$77))/'H7H9 BENELUX'!$J$77</f>
        <v>0</v>
      </c>
      <c r="K81" s="42">
        <f>+((Benelux!G81*Benelux!$G$77)+(Benelux!S81*Benelux!$S$77))/'H7H9 BENELUX'!$K$77</f>
        <v>7.3489404047331744E-2</v>
      </c>
      <c r="L81" s="134"/>
      <c r="M81" s="74">
        <f>+((Benelux!I81*Benelux!$I$77)+(Benelux!U81*Benelux!$U$77))/'H7H9 BENELUX'!$M$77</f>
        <v>1.3099423421231407E-3</v>
      </c>
      <c r="N81" s="42">
        <f>+((Benelux!J81*Benelux!$J$77)+(Benelux!V81*Benelux!$V$77))/'H7H9 BENELUX'!$N$77</f>
        <v>0</v>
      </c>
      <c r="O81" s="42">
        <f>+((Benelux!K81*Benelux!$K$77)+(Benelux!W81*Benelux!$W$77))/'H7H9 BENELUX'!$O$77</f>
        <v>7.0789337446602249E-2</v>
      </c>
      <c r="P81" s="134"/>
      <c r="Q81" s="97"/>
      <c r="R81" s="42"/>
      <c r="S81" s="42"/>
      <c r="T81" s="134"/>
      <c r="U81" s="85">
        <f t="shared" ref="U81:U86" si="132">+((I81*$I$77)+(M81*$M$77))/$U$77</f>
        <v>5.3455464542140315E-3</v>
      </c>
      <c r="V81" s="60">
        <f t="shared" ref="V81:V86" si="133">+((J81*$J$77)+(N81*$N$77))/$V$77</f>
        <v>0</v>
      </c>
      <c r="W81" s="60">
        <f t="shared" ref="W81:W86" si="134">+((K81*$K$77)+(O81*$O$77))/$W$77</f>
        <v>7.2353594991409462E-2</v>
      </c>
      <c r="X81" s="134"/>
      <c r="Y81" s="74">
        <f>+((Benelux!M81*Benelux!$M$77)+(Benelux!Y81*Benelux!$Y$77))/'H7H9 BENELUX'!$Y$77</f>
        <v>1.435728450796871E-2</v>
      </c>
      <c r="Z81" s="42">
        <f>+((Benelux!N81*Benelux!$N$77)+(Benelux!Z81*Benelux!$Z$77))/'H7H9 BENELUX'!$Z$77</f>
        <v>0</v>
      </c>
      <c r="AA81" s="42">
        <f>+((Benelux!O81*Benelux!$O$77)+(Benelux!AA81*Benelux!$AA$77))/'H7H9 BENELUX'!$AA$77</f>
        <v>6.8438159155095921E-2</v>
      </c>
      <c r="AB81" s="134"/>
      <c r="AC81" s="97"/>
      <c r="AD81" s="42"/>
      <c r="AE81" s="42"/>
      <c r="AF81" s="134"/>
      <c r="AG81" s="97"/>
      <c r="AH81" s="42"/>
      <c r="AI81" s="42"/>
      <c r="AJ81" s="134"/>
      <c r="AK81" s="97"/>
      <c r="AL81" s="42"/>
      <c r="AM81" s="42"/>
      <c r="AN81" s="134"/>
      <c r="AO81" s="85">
        <f t="shared" si="127"/>
        <v>1.435728450796871E-2</v>
      </c>
      <c r="AP81" s="60">
        <f t="shared" si="122"/>
        <v>0</v>
      </c>
      <c r="AQ81" s="60">
        <f t="shared" si="123"/>
        <v>6.8438159155095921E-2</v>
      </c>
      <c r="AR81" s="134"/>
      <c r="AS81" s="93">
        <f t="shared" ref="AS81:AS86" si="135">+((U81*$U$77)+(AO81*$AO$77))/$AS$77</f>
        <v>1.0720100529698079E-2</v>
      </c>
      <c r="AT81" s="68">
        <f t="shared" ref="AT81:AT86" si="136">+((V81*$V$77)+(AP81*$AP$77))/$AT$77</f>
        <v>0</v>
      </c>
      <c r="AU81" s="68">
        <f t="shared" ref="AU81:AU86" si="137">+((W81*$W$77)+(AQ81*$AQ$77))/$AU$77</f>
        <v>6.9854547406215481E-2</v>
      </c>
      <c r="AW81" s="109"/>
      <c r="BA81" s="109"/>
      <c r="BE81" s="109"/>
      <c r="BI81" s="109"/>
      <c r="BM81" s="109"/>
    </row>
    <row r="82" spans="1:65" ht="16.5" hidden="1" outlineLevel="1" x14ac:dyDescent="0.25">
      <c r="A82" s="212"/>
      <c r="B82" s="9"/>
      <c r="C82" s="38" t="s">
        <v>25</v>
      </c>
      <c r="D82" s="7"/>
      <c r="E82" s="97"/>
      <c r="F82" s="42"/>
      <c r="G82" s="42"/>
      <c r="H82" s="134"/>
      <c r="I82" s="74">
        <f>+((Benelux!E82*Benelux!$E$77)+(Benelux!Q82*Benelux!$Q$77))/'H7H9 BENELUX'!$I$77</f>
        <v>5.3633734786791849E-2</v>
      </c>
      <c r="J82" s="42">
        <f>+((Benelux!F82*Benelux!$F$77)+(Benelux!R82*Benelux!$R$77))/'H7H9 BENELUX'!$J$77</f>
        <v>4.7231094362028624E-2</v>
      </c>
      <c r="K82" s="42">
        <f>+((Benelux!G82*Benelux!$G$77)+(Benelux!S82*Benelux!$S$77))/'H7H9 BENELUX'!$K$77</f>
        <v>5.4496263614469437E-2</v>
      </c>
      <c r="L82" s="134"/>
      <c r="M82" s="74">
        <f>+((Benelux!I82*Benelux!$I$77)+(Benelux!U82*Benelux!$U$77))/'H7H9 BENELUX'!$M$77</f>
        <v>8.1780449270396335E-2</v>
      </c>
      <c r="N82" s="42">
        <f>+((Benelux!J82*Benelux!$J$77)+(Benelux!V82*Benelux!$V$77))/'H7H9 BENELUX'!$N$77</f>
        <v>0.15690375965043993</v>
      </c>
      <c r="O82" s="42">
        <f>+((Benelux!K82*Benelux!$K$77)+(Benelux!W82*Benelux!$W$77))/'H7H9 BENELUX'!$O$77</f>
        <v>0.13437646833946548</v>
      </c>
      <c r="P82" s="134"/>
      <c r="Q82" s="97"/>
      <c r="R82" s="42"/>
      <c r="S82" s="42"/>
      <c r="T82" s="134"/>
      <c r="U82" s="85">
        <f t="shared" si="132"/>
        <v>6.6191810389975167E-2</v>
      </c>
      <c r="V82" s="60">
        <f t="shared" si="133"/>
        <v>9.6387519722381007E-2</v>
      </c>
      <c r="W82" s="60">
        <f t="shared" si="134"/>
        <v>8.8098642122860241E-2</v>
      </c>
      <c r="X82" s="134"/>
      <c r="Y82" s="73">
        <f>+((Benelux!M82*Benelux!$M$77)+(Benelux!Y82*Benelux!$Y$77))/'H7H9 BENELUX'!$Y$77</f>
        <v>0.25170463384232122</v>
      </c>
      <c r="Z82" s="42">
        <f>+((Benelux!N82*Benelux!$N$77)+(Benelux!Z82*Benelux!$Z$77))/'H7H9 BENELUX'!$Z$77</f>
        <v>0.24929332177797903</v>
      </c>
      <c r="AA82" s="42">
        <f>+((Benelux!O82*Benelux!$O$77)+(Benelux!AA82*Benelux!$AA$77))/'H7H9 BENELUX'!$AA$77</f>
        <v>0.23391716212820834</v>
      </c>
      <c r="AB82" s="134"/>
      <c r="AC82" s="97"/>
      <c r="AD82" s="42"/>
      <c r="AE82" s="42"/>
      <c r="AF82" s="134"/>
      <c r="AG82" s="97"/>
      <c r="AH82" s="42"/>
      <c r="AI82" s="42"/>
      <c r="AJ82" s="134"/>
      <c r="AK82" s="97"/>
      <c r="AL82" s="42"/>
      <c r="AM82" s="42"/>
      <c r="AN82" s="134"/>
      <c r="AO82" s="84">
        <f t="shared" si="127"/>
        <v>0.25170463384232122</v>
      </c>
      <c r="AP82" s="60">
        <f t="shared" si="122"/>
        <v>0.24929332177797903</v>
      </c>
      <c r="AQ82" s="60">
        <f t="shared" si="123"/>
        <v>0.23391716212820834</v>
      </c>
      <c r="AR82" s="134"/>
      <c r="AS82" s="93">
        <f t="shared" si="135"/>
        <v>0.17683070106711218</v>
      </c>
      <c r="AT82" s="68">
        <f t="shared" si="136"/>
        <v>0.1865635774018638</v>
      </c>
      <c r="AU82" s="68">
        <f t="shared" si="137"/>
        <v>0.1811680820345668</v>
      </c>
      <c r="AW82" s="109"/>
      <c r="BA82" s="109"/>
      <c r="BE82" s="109"/>
      <c r="BI82" s="109"/>
      <c r="BM82" s="109"/>
    </row>
    <row r="83" spans="1:65" ht="16.5" hidden="1" outlineLevel="1" x14ac:dyDescent="0.25">
      <c r="A83" s="212"/>
      <c r="B83" s="9"/>
      <c r="C83" s="38" t="s">
        <v>53</v>
      </c>
      <c r="D83" s="7"/>
      <c r="E83" s="97"/>
      <c r="F83" s="42"/>
      <c r="G83" s="42"/>
      <c r="H83" s="134"/>
      <c r="I83" s="73">
        <f>+((Benelux!E83*Benelux!$E$77)+(Benelux!Q83*Benelux!$Q$77))/'H7H9 BENELUX'!$I$77</f>
        <v>9.557826371930965E-2</v>
      </c>
      <c r="J83" s="42">
        <f>+((Benelux!F83*Benelux!$F$77)+(Benelux!R83*Benelux!$R$77))/'H7H9 BENELUX'!$J$77</f>
        <v>0.1183721881920165</v>
      </c>
      <c r="K83" s="42">
        <f>+((Benelux!G83*Benelux!$G$77)+(Benelux!S83*Benelux!$S$77))/'H7H9 BENELUX'!$K$77</f>
        <v>9.3668888858446528E-2</v>
      </c>
      <c r="L83" s="134"/>
      <c r="M83" s="74">
        <f>+((Benelux!I83*Benelux!$I$77)+(Benelux!U83*Benelux!$U$77))/'H7H9 BENELUX'!$M$77</f>
        <v>9.243476616253038E-2</v>
      </c>
      <c r="N83" s="42">
        <f>+((Benelux!J83*Benelux!$J$77)+(Benelux!V83*Benelux!$V$77))/'H7H9 BENELUX'!$N$77</f>
        <v>8.2611037386740707E-2</v>
      </c>
      <c r="O83" s="42">
        <f>+((Benelux!K83*Benelux!$K$77)+(Benelux!W83*Benelux!$W$77))/'H7H9 BENELUX'!$O$77</f>
        <v>9.7316110537449041E-2</v>
      </c>
      <c r="P83" s="134"/>
      <c r="Q83" s="97"/>
      <c r="R83" s="42"/>
      <c r="S83" s="42"/>
      <c r="T83" s="134"/>
      <c r="U83" s="85">
        <f t="shared" si="132"/>
        <v>9.4175745496465166E-2</v>
      </c>
      <c r="V83" s="60">
        <f t="shared" si="133"/>
        <v>0.10234366972994541</v>
      </c>
      <c r="W83" s="60">
        <f t="shared" si="134"/>
        <v>9.5203127832717727E-2</v>
      </c>
      <c r="X83" s="134"/>
      <c r="Y83" s="73">
        <f>+((Benelux!M83*Benelux!$M$77)+(Benelux!Y83*Benelux!$Y$77))/'H7H9 BENELUX'!$Y$77</f>
        <v>9.7973380671750127E-2</v>
      </c>
      <c r="Z83" s="42">
        <f>+((Benelux!N83*Benelux!$N$77)+(Benelux!Z83*Benelux!$Z$77))/'H7H9 BENELUX'!$Z$77</f>
        <v>0.10028835877403097</v>
      </c>
      <c r="AA83" s="42">
        <f>+((Benelux!O83*Benelux!$O$77)+(Benelux!AA83*Benelux!$AA$77))/'H7H9 BENELUX'!$AA$77</f>
        <v>9.6862983925595614E-2</v>
      </c>
      <c r="AB83" s="134"/>
      <c r="AC83" s="97"/>
      <c r="AD83" s="42"/>
      <c r="AE83" s="42"/>
      <c r="AF83" s="134"/>
      <c r="AG83" s="97"/>
      <c r="AH83" s="42"/>
      <c r="AI83" s="42"/>
      <c r="AJ83" s="134"/>
      <c r="AK83" s="97"/>
      <c r="AL83" s="42"/>
      <c r="AM83" s="42"/>
      <c r="AN83" s="134"/>
      <c r="AO83" s="84">
        <f t="shared" si="127"/>
        <v>9.7973380671750127E-2</v>
      </c>
      <c r="AP83" s="60">
        <f t="shared" si="122"/>
        <v>0.10028835877403097</v>
      </c>
      <c r="AQ83" s="60">
        <f t="shared" si="123"/>
        <v>9.6862983925595614E-2</v>
      </c>
      <c r="AR83" s="134"/>
      <c r="AS83" s="92">
        <f t="shared" si="135"/>
        <v>9.6440635519541837E-2</v>
      </c>
      <c r="AT83" s="68">
        <f t="shared" si="136"/>
        <v>0.10113155196320152</v>
      </c>
      <c r="AU83" s="68">
        <f t="shared" si="137"/>
        <v>9.6262539743444245E-2</v>
      </c>
      <c r="AW83" s="109"/>
      <c r="BA83" s="109"/>
      <c r="BE83" s="109"/>
      <c r="BI83" s="109"/>
      <c r="BM83" s="109"/>
    </row>
    <row r="84" spans="1:65" ht="16.5" hidden="1" outlineLevel="1" x14ac:dyDescent="0.25">
      <c r="A84" s="212"/>
      <c r="B84" s="9"/>
      <c r="C84" s="116" t="s">
        <v>27</v>
      </c>
      <c r="D84" s="7"/>
      <c r="E84" s="131"/>
      <c r="F84" s="127"/>
      <c r="G84" s="127"/>
      <c r="H84" s="134"/>
      <c r="I84" s="126">
        <f>+((Benelux!E84*Benelux!$E$77)+(Benelux!Q84*Benelux!$Q$77))/'H7H9 BENELUX'!$I$77</f>
        <v>-1.153861919218485E-2</v>
      </c>
      <c r="J84" s="127">
        <f>+((Benelux!F84*Benelux!$F$77)+(Benelux!R84*Benelux!$R$77))/'H7H9 BENELUX'!$J$77</f>
        <v>-1.3307239933864833E-2</v>
      </c>
      <c r="K84" s="127">
        <f>+((Benelux!G84*Benelux!$G$77)+(Benelux!S84*Benelux!$S$77))/'H7H9 BENELUX'!$K$77</f>
        <v>-5.400104671808837E-3</v>
      </c>
      <c r="L84" s="134"/>
      <c r="M84" s="128">
        <f>+((Benelux!I84*Benelux!$I$77)+(Benelux!U84*Benelux!$U$77))/'H7H9 BENELUX'!$M$77</f>
        <v>-8.4438512804079057E-3</v>
      </c>
      <c r="N84" s="127">
        <f>+((Benelux!J84*Benelux!$J$77)+(Benelux!V84*Benelux!$V$77))/'H7H9 BENELUX'!$N$77</f>
        <v>-9.7985475556489066E-3</v>
      </c>
      <c r="O84" s="127">
        <f>+((Benelux!K84*Benelux!$K$77)+(Benelux!W84*Benelux!$W$77))/'H7H9 BENELUX'!$O$77</f>
        <v>-5.0683588176001059E-3</v>
      </c>
      <c r="P84" s="134"/>
      <c r="Q84" s="131"/>
      <c r="R84" s="127"/>
      <c r="S84" s="127"/>
      <c r="T84" s="134"/>
      <c r="U84" s="129">
        <f t="shared" si="132"/>
        <v>-1.0157842425751271E-2</v>
      </c>
      <c r="V84" s="130">
        <f t="shared" si="133"/>
        <v>-1.1734607641682968E-2</v>
      </c>
      <c r="W84" s="130">
        <f t="shared" si="134"/>
        <v>-5.2605525787704109E-3</v>
      </c>
      <c r="X84" s="134"/>
      <c r="Y84" s="128">
        <f>+((Benelux!M84*Benelux!$M$77)+(Benelux!Y84*Benelux!$Y$77))/'H7H9 BENELUX'!$Y$77</f>
        <v>-1.105504416733113E-2</v>
      </c>
      <c r="Z84" s="127">
        <f>+((Benelux!N84*Benelux!$N$77)+(Benelux!Z84*Benelux!$Z$77))/'H7H9 BENELUX'!$Z$77</f>
        <v>-1.2293895055680671E-2</v>
      </c>
      <c r="AA84" s="127">
        <f>+((Benelux!O84*Benelux!$O$77)+(Benelux!AA84*Benelux!$AA$77))/'H7H9 BENELUX'!$AA$77</f>
        <v>-5.6227110479159879E-3</v>
      </c>
      <c r="AB84" s="134"/>
      <c r="AC84" s="131"/>
      <c r="AD84" s="127"/>
      <c r="AE84" s="127"/>
      <c r="AF84" s="134"/>
      <c r="AG84" s="131"/>
      <c r="AH84" s="127"/>
      <c r="AI84" s="127"/>
      <c r="AJ84" s="134"/>
      <c r="AK84" s="131"/>
      <c r="AL84" s="127"/>
      <c r="AM84" s="127"/>
      <c r="AN84" s="134"/>
      <c r="AO84" s="129">
        <f t="shared" si="127"/>
        <v>-1.105504416733113E-2</v>
      </c>
      <c r="AP84" s="130">
        <f t="shared" si="122"/>
        <v>-1.2293895055680671E-2</v>
      </c>
      <c r="AQ84" s="130">
        <f t="shared" si="123"/>
        <v>-5.6227110479159879E-3</v>
      </c>
      <c r="AR84" s="134"/>
      <c r="AS84" s="164">
        <f t="shared" si="135"/>
        <v>-1.0692928914947475E-2</v>
      </c>
      <c r="AT84" s="163">
        <f t="shared" si="136"/>
        <v>-1.2064446885361421E-2</v>
      </c>
      <c r="AU84" s="163">
        <f t="shared" si="137"/>
        <v>-5.4917021328971683E-3</v>
      </c>
      <c r="AW84" s="109"/>
      <c r="BA84" s="109"/>
      <c r="BE84" s="109"/>
      <c r="BI84" s="109"/>
      <c r="BM84" s="109"/>
    </row>
    <row r="85" spans="1:65" ht="16.5" hidden="1" outlineLevel="1" x14ac:dyDescent="0.25">
      <c r="A85" s="212"/>
      <c r="B85" s="9"/>
      <c r="C85" s="116" t="s">
        <v>57</v>
      </c>
      <c r="D85" s="7"/>
      <c r="E85" s="131"/>
      <c r="F85" s="127"/>
      <c r="G85" s="127"/>
      <c r="H85" s="134"/>
      <c r="I85" s="126">
        <f>+((Benelux!E85*Benelux!$E$77)+(Benelux!Q85*Benelux!$Q$77))/'H7H9 BENELUX'!$I$77</f>
        <v>-0.10955628623157643</v>
      </c>
      <c r="J85" s="127">
        <f>+((Benelux!F85*Benelux!$F$77)+(Benelux!R85*Benelux!$R$77))/'H7H9 BENELUX'!$J$77</f>
        <v>-0.13772879761793683</v>
      </c>
      <c r="K85" s="127">
        <f>+((Benelux!G85*Benelux!$G$77)+(Benelux!S85*Benelux!$S$77))/'H7H9 BENELUX'!$K$77</f>
        <v>-2.808218508734921E-2</v>
      </c>
      <c r="L85" s="134"/>
      <c r="M85" s="128">
        <f>+((Benelux!I85*Benelux!$I$77)+(Benelux!U85*Benelux!$U$77))/'H7H9 BENELUX'!$M$77</f>
        <v>0.17698548000807426</v>
      </c>
      <c r="N85" s="127">
        <f>+((Benelux!J85*Benelux!$J$77)+(Benelux!V85*Benelux!$V$77))/'H7H9 BENELUX'!$N$77</f>
        <v>-0.24721710736157201</v>
      </c>
      <c r="O85" s="127">
        <f>+((Benelux!K85*Benelux!$K$77)+(Benelux!W85*Benelux!$W$77))/'H7H9 BENELUX'!$O$77</f>
        <v>-1.7711717944772852E-2</v>
      </c>
      <c r="P85" s="134"/>
      <c r="Q85" s="131"/>
      <c r="R85" s="127"/>
      <c r="S85" s="127"/>
      <c r="T85" s="134"/>
      <c r="U85" s="129">
        <f t="shared" si="132"/>
        <v>1.8288587670252991E-2</v>
      </c>
      <c r="V85" s="130">
        <f t="shared" si="133"/>
        <v>-0.18680259291224019</v>
      </c>
      <c r="W85" s="130">
        <f t="shared" si="134"/>
        <v>-2.3719748067647421E-2</v>
      </c>
      <c r="X85" s="134"/>
      <c r="Y85" s="128">
        <f>+((Benelux!M85*Benelux!$M$77)+(Benelux!Y85*Benelux!$Y$77))/'H7H9 BENELUX'!$Y$77</f>
        <v>-4.159615562233163E-3</v>
      </c>
      <c r="Z85" s="127">
        <f>+((Benelux!N85*Benelux!$N$77)+(Benelux!Z85*Benelux!$Z$77))/'H7H9 BENELUX'!$Z$77</f>
        <v>4.4355066555536893E-2</v>
      </c>
      <c r="AA85" s="127">
        <f>+((Benelux!O85*Benelux!$O$77)+(Benelux!AA85*Benelux!$AA$77))/'H7H9 BENELUX'!$AA$77</f>
        <v>-1.7704067892916169E-2</v>
      </c>
      <c r="AB85" s="134"/>
      <c r="AC85" s="131"/>
      <c r="AD85" s="127"/>
      <c r="AE85" s="127"/>
      <c r="AF85" s="134"/>
      <c r="AG85" s="131"/>
      <c r="AH85" s="127"/>
      <c r="AI85" s="127"/>
      <c r="AJ85" s="134"/>
      <c r="AK85" s="131"/>
      <c r="AL85" s="127"/>
      <c r="AM85" s="127"/>
      <c r="AN85" s="134"/>
      <c r="AO85" s="129">
        <f t="shared" si="127"/>
        <v>-4.159615562233163E-3</v>
      </c>
      <c r="AP85" s="130">
        <f t="shared" si="122"/>
        <v>4.4355066555536893E-2</v>
      </c>
      <c r="AQ85" s="130">
        <f t="shared" si="123"/>
        <v>-1.7704067892916169E-2</v>
      </c>
      <c r="AR85" s="134"/>
      <c r="AS85" s="164">
        <f t="shared" si="135"/>
        <v>4.9005950931512816E-3</v>
      </c>
      <c r="AT85" s="163">
        <f t="shared" si="136"/>
        <v>-5.0477573501654889E-2</v>
      </c>
      <c r="AU85" s="163">
        <f t="shared" si="137"/>
        <v>-1.9880208449979786E-2</v>
      </c>
      <c r="AW85" s="109"/>
      <c r="BA85" s="109"/>
      <c r="BE85" s="109"/>
      <c r="BI85" s="109"/>
      <c r="BM85" s="109"/>
    </row>
    <row r="86" spans="1:65" ht="16.5" hidden="1" outlineLevel="1" x14ac:dyDescent="0.25">
      <c r="A86" s="212"/>
      <c r="B86" s="9"/>
      <c r="C86" s="116" t="s">
        <v>29</v>
      </c>
      <c r="D86" s="7"/>
      <c r="E86" s="131"/>
      <c r="F86" s="127"/>
      <c r="G86" s="127"/>
      <c r="H86" s="134"/>
      <c r="I86" s="126">
        <f>+((Benelux!E86*Benelux!$E$77)+(Benelux!Q86*Benelux!$Q$77))/'H7H9 BENELUX'!$I$77</f>
        <v>-3.1103923451029597E-3</v>
      </c>
      <c r="J86" s="127">
        <f>+((Benelux!F86*Benelux!$F$77)+(Benelux!R86*Benelux!$R$77))/'H7H9 BENELUX'!$J$77</f>
        <v>5.5143688545103353E-3</v>
      </c>
      <c r="K86" s="127">
        <f>+((Benelux!G86*Benelux!$G$77)+(Benelux!S86*Benelux!$S$77))/'H7H9 BENELUX'!$K$77</f>
        <v>0</v>
      </c>
      <c r="L86" s="134"/>
      <c r="M86" s="126">
        <f>+((Benelux!I86*Benelux!$I$77)+(Benelux!U86*Benelux!$U$77))/'H7H9 BENELUX'!$M$77</f>
        <v>-8.471045936487175E-5</v>
      </c>
      <c r="N86" s="127">
        <f>+((Benelux!J86*Benelux!$J$77)+(Benelux!V86*Benelux!$V$77))/'H7H9 BENELUX'!$N$77</f>
        <v>6.3100223975315652E-3</v>
      </c>
      <c r="O86" s="127">
        <f>+((Benelux!K86*Benelux!$K$77)+(Benelux!W86*Benelux!$W$77))/'H7H9 BENELUX'!$O$77</f>
        <v>0</v>
      </c>
      <c r="P86" s="134"/>
      <c r="Q86" s="131"/>
      <c r="R86" s="127"/>
      <c r="S86" s="127"/>
      <c r="T86" s="134"/>
      <c r="U86" s="132">
        <f t="shared" si="132"/>
        <v>-1.7604393374645614E-3</v>
      </c>
      <c r="V86" s="130">
        <f t="shared" si="133"/>
        <v>5.8709890195931275E-3</v>
      </c>
      <c r="W86" s="130">
        <f t="shared" si="134"/>
        <v>0</v>
      </c>
      <c r="X86" s="134"/>
      <c r="Y86" s="126">
        <f>+((Benelux!M86*Benelux!$M$77)+(Benelux!Y86*Benelux!$Y$77))/'H7H9 BENELUX'!$Y$77</f>
        <v>-5.1173899270800993E-3</v>
      </c>
      <c r="Z86" s="127">
        <f>+((Benelux!N86*Benelux!$N$77)+(Benelux!Z86*Benelux!$Z$77))/'H7H9 BENELUX'!$Z$77</f>
        <v>-7.7917637937233459E-3</v>
      </c>
      <c r="AA86" s="127">
        <f>+((Benelux!O86*Benelux!$O$77)+(Benelux!AA86*Benelux!$AA$77))/'H7H9 BENELUX'!$AA$77</f>
        <v>0</v>
      </c>
      <c r="AB86" s="134"/>
      <c r="AC86" s="131"/>
      <c r="AD86" s="127"/>
      <c r="AE86" s="127"/>
      <c r="AF86" s="134"/>
      <c r="AG86" s="131"/>
      <c r="AH86" s="127"/>
      <c r="AI86" s="127"/>
      <c r="AJ86" s="134"/>
      <c r="AK86" s="131"/>
      <c r="AL86" s="127"/>
      <c r="AM86" s="127"/>
      <c r="AN86" s="134"/>
      <c r="AO86" s="132">
        <f t="shared" si="127"/>
        <v>-5.1173899270800993E-3</v>
      </c>
      <c r="AP86" s="130">
        <f t="shared" si="122"/>
        <v>-7.7917637937233459E-3</v>
      </c>
      <c r="AQ86" s="130">
        <f t="shared" si="123"/>
        <v>0</v>
      </c>
      <c r="AR86" s="134"/>
      <c r="AS86" s="162">
        <f t="shared" si="135"/>
        <v>-3.7625073475416678E-3</v>
      </c>
      <c r="AT86" s="163">
        <f t="shared" si="136"/>
        <v>-2.1866070244481312E-3</v>
      </c>
      <c r="AU86" s="163">
        <f t="shared" si="137"/>
        <v>0</v>
      </c>
      <c r="AW86" s="109"/>
      <c r="BA86" s="109"/>
      <c r="BE86" s="109"/>
      <c r="BI86" s="109"/>
      <c r="BM86" s="109"/>
    </row>
    <row r="87" spans="1:65" ht="16.5" hidden="1" outlineLevel="1" x14ac:dyDescent="0.25">
      <c r="A87" s="212"/>
      <c r="B87" s="9"/>
      <c r="C87" s="116" t="s">
        <v>58</v>
      </c>
      <c r="D87" s="7"/>
      <c r="E87" s="131"/>
      <c r="F87" s="127"/>
      <c r="G87" s="127"/>
      <c r="H87" s="134"/>
      <c r="I87" s="126">
        <f>+I88+I89+I90</f>
        <v>0.41240917277933486</v>
      </c>
      <c r="J87" s="127">
        <f t="shared" ref="J87" si="138">+J88+J89+J90</f>
        <v>0.43733563788331631</v>
      </c>
      <c r="K87" s="127">
        <f t="shared" ref="K87" si="139">+K88+K89+K90</f>
        <v>0.42418748781478643</v>
      </c>
      <c r="L87" s="134"/>
      <c r="M87" s="126">
        <f>+M88+M89+M90</f>
        <v>0.42122168309720182</v>
      </c>
      <c r="N87" s="127">
        <f>+N88+N89+N90</f>
        <v>0.40934254848630919</v>
      </c>
      <c r="O87" s="127">
        <f>+O88+O89+O90</f>
        <v>0.46577753416893802</v>
      </c>
      <c r="P87" s="134"/>
      <c r="Q87" s="131"/>
      <c r="R87" s="127"/>
      <c r="S87" s="127"/>
      <c r="T87" s="134"/>
      <c r="U87" s="132">
        <f>+U88+U89+U90</f>
        <v>0.41634100542325037</v>
      </c>
      <c r="V87" s="130">
        <f>+V88+V89+V90</f>
        <v>0.42478884506186876</v>
      </c>
      <c r="W87" s="130">
        <f>+W88+W89+W90</f>
        <v>0.44168274192167045</v>
      </c>
      <c r="X87" s="134"/>
      <c r="Y87" s="128">
        <f>+Y88+Y89+Y90</f>
        <v>0.27575726822669427</v>
      </c>
      <c r="Z87" s="127">
        <f>+Z88+Z89+Z90</f>
        <v>0.26284140240544207</v>
      </c>
      <c r="AA87" s="127">
        <f>+AA88+AA89+AA90</f>
        <v>0.26211243137158136</v>
      </c>
      <c r="AB87" s="134"/>
      <c r="AC87" s="131"/>
      <c r="AD87" s="127"/>
      <c r="AE87" s="127"/>
      <c r="AF87" s="134"/>
      <c r="AG87" s="131"/>
      <c r="AH87" s="127"/>
      <c r="AI87" s="127"/>
      <c r="AJ87" s="134"/>
      <c r="AK87" s="131"/>
      <c r="AL87" s="127"/>
      <c r="AM87" s="127"/>
      <c r="AN87" s="134"/>
      <c r="AO87" s="129">
        <f t="shared" si="127"/>
        <v>0.27575726822669427</v>
      </c>
      <c r="AP87" s="130">
        <f t="shared" si="122"/>
        <v>0.26284140240544207</v>
      </c>
      <c r="AQ87" s="130">
        <f t="shared" si="123"/>
        <v>0.26211243137158136</v>
      </c>
      <c r="AR87" s="134"/>
      <c r="AS87" s="164">
        <f>+AS88+AS89+AS90</f>
        <v>0.33249758995893564</v>
      </c>
      <c r="AT87" s="163">
        <f>+AT88+AT89+AT90</f>
        <v>0.32928048806230509</v>
      </c>
      <c r="AU87" s="163">
        <f>+AU88+AU89+AU90</f>
        <v>0.32707104357872302</v>
      </c>
      <c r="AW87" s="109"/>
      <c r="BA87" s="109"/>
      <c r="BE87" s="109"/>
      <c r="BI87" s="109"/>
      <c r="BM87" s="109"/>
    </row>
    <row r="88" spans="1:65" ht="16.5" hidden="1" outlineLevel="1" x14ac:dyDescent="0.25">
      <c r="A88" s="212"/>
      <c r="B88" s="9"/>
      <c r="C88" s="39" t="s">
        <v>59</v>
      </c>
      <c r="D88" s="8"/>
      <c r="E88" s="97"/>
      <c r="F88" s="42"/>
      <c r="G88" s="42"/>
      <c r="H88" s="135"/>
      <c r="I88" s="74">
        <f>+((Benelux!E88*Benelux!$E$77)+(Benelux!Q88*Benelux!$Q$77))/'H7H9 BENELUX'!$I$77</f>
        <v>0.26851357126414688</v>
      </c>
      <c r="J88" s="42">
        <f>+((Benelux!F88*Benelux!$F$77)+(Benelux!R88*Benelux!$R$77))/'H7H9 BENELUX'!$J$77</f>
        <v>0.27973408389467935</v>
      </c>
      <c r="K88" s="42">
        <f>+((Benelux!G88*Benelux!$G$77)+(Benelux!S88*Benelux!$S$77))/'H7H9 BENELUX'!$K$77</f>
        <v>0.29099383304441767</v>
      </c>
      <c r="L88" s="135"/>
      <c r="M88" s="74">
        <f>+((Benelux!I88*Benelux!$I$77)+(Benelux!U88*Benelux!$U$77))/'H7H9 BENELUX'!$M$77</f>
        <v>0.2200543218381176</v>
      </c>
      <c r="N88" s="42">
        <f>+((Benelux!J88*Benelux!$J$77)+(Benelux!V88*Benelux!$V$77))/'H7H9 BENELUX'!$N$77</f>
        <v>0.2216461958325362</v>
      </c>
      <c r="O88" s="42">
        <f>+((Benelux!K88*Benelux!$K$77)+(Benelux!W88*Benelux!$W$77))/'H7H9 BENELUX'!$O$77</f>
        <v>0.22224260981855115</v>
      </c>
      <c r="P88" s="135"/>
      <c r="Q88" s="97"/>
      <c r="R88" s="42"/>
      <c r="S88" s="42"/>
      <c r="T88" s="135"/>
      <c r="U88" s="85">
        <f t="shared" ref="U88:U90" si="140">+((I88*$I$77)+(M88*$M$77))/$U$77</f>
        <v>0.2468927558641798</v>
      </c>
      <c r="V88" s="60">
        <f t="shared" ref="V88:V90" si="141">+((J88*$J$77)+(N88*$N$77))/$V$77</f>
        <v>0.2536984903731917</v>
      </c>
      <c r="W88" s="60">
        <f t="shared" ref="W88:W90" si="142">+((K88*$K$77)+(O88*$O$77))/$W$77</f>
        <v>0.26207296793517332</v>
      </c>
      <c r="X88" s="135"/>
      <c r="Y88" s="97">
        <f>+((Benelux!M88*Benelux!$M$77)+(Benelux!Y88*Benelux!$Y$77))/'H7H9 BENELUX'!$Y$77</f>
        <v>0.16217136864370341</v>
      </c>
      <c r="Z88" s="42">
        <f>+((Benelux!N88*Benelux!$N$77)+(Benelux!Z88*Benelux!$Z$77))/'H7H9 BENELUX'!$Z$77</f>
        <v>0.16064728967362255</v>
      </c>
      <c r="AA88" s="42">
        <f>+((Benelux!O88*Benelux!$O$77)+(Benelux!AA88*Benelux!$AA$77))/'H7H9 BENELUX'!$AA$77</f>
        <v>0.15761934977168973</v>
      </c>
      <c r="AB88" s="135"/>
      <c r="AC88" s="97"/>
      <c r="AD88" s="42"/>
      <c r="AE88" s="42"/>
      <c r="AF88" s="135"/>
      <c r="AG88" s="97"/>
      <c r="AH88" s="42"/>
      <c r="AI88" s="42"/>
      <c r="AJ88" s="135"/>
      <c r="AK88" s="97"/>
      <c r="AL88" s="42"/>
      <c r="AM88" s="42"/>
      <c r="AN88" s="135"/>
      <c r="AO88" s="99">
        <f t="shared" si="127"/>
        <v>0.16217136864370341</v>
      </c>
      <c r="AP88" s="60">
        <f t="shared" si="122"/>
        <v>0.16064728967362255</v>
      </c>
      <c r="AQ88" s="60">
        <f t="shared" si="123"/>
        <v>0.15761934977168973</v>
      </c>
      <c r="AR88" s="135"/>
      <c r="AS88" s="106">
        <f t="shared" ref="AS88:AS90" si="143">+((U88*$U$77)+(AO88*$AO$77))/$AS$77</f>
        <v>0.19636535768078947</v>
      </c>
      <c r="AT88" s="68">
        <f t="shared" ref="AT88:AT90" si="144">+((V88*$V$77)+(AP88*$AP$77))/$AT$77</f>
        <v>0.19882162939980341</v>
      </c>
      <c r="AU88" s="68">
        <f t="shared" ref="AU88:AU90" si="145">+((W88*$W$77)+(AQ88*$AQ$77))/$AU$77</f>
        <v>0.19540489491625823</v>
      </c>
      <c r="AW88" s="109"/>
      <c r="BA88" s="109"/>
      <c r="BE88" s="109"/>
      <c r="BI88" s="109"/>
      <c r="BM88" s="109"/>
    </row>
    <row r="89" spans="1:65" ht="16.5" hidden="1" outlineLevel="1" x14ac:dyDescent="0.25">
      <c r="A89" s="212"/>
      <c r="B89" s="9"/>
      <c r="C89" s="39" t="s">
        <v>60</v>
      </c>
      <c r="D89" s="8"/>
      <c r="E89" s="97"/>
      <c r="F89" s="42"/>
      <c r="G89" s="42"/>
      <c r="H89" s="135"/>
      <c r="I89" s="73">
        <f>+((Benelux!E89*Benelux!$E$77)+(Benelux!Q89*Benelux!$Q$77))/'H7H9 BENELUX'!$I$77</f>
        <v>6.7048794345516513E-2</v>
      </c>
      <c r="J89" s="42">
        <f>+((Benelux!F89*Benelux!$F$77)+(Benelux!R89*Benelux!$R$77))/'H7H9 BENELUX'!$J$77</f>
        <v>7.9698948352752486E-2</v>
      </c>
      <c r="K89" s="42">
        <f>+((Benelux!G89*Benelux!$G$77)+(Benelux!S89*Benelux!$S$77))/'H7H9 BENELUX'!$K$77</f>
        <v>5.9627135253001388E-2</v>
      </c>
      <c r="L89" s="135"/>
      <c r="M89" s="74">
        <f>+((Benelux!I89*Benelux!$I$77)+(Benelux!U89*Benelux!$U$77))/'H7H9 BENELUX'!$M$77</f>
        <v>9.7057768263808714E-2</v>
      </c>
      <c r="N89" s="42">
        <f>+((Benelux!J89*Benelux!$J$77)+(Benelux!V89*Benelux!$V$77))/'H7H9 BENELUX'!$N$77</f>
        <v>0.11112208063739637</v>
      </c>
      <c r="O89" s="42">
        <f>+((Benelux!K89*Benelux!$K$77)+(Benelux!W89*Benelux!$W$77))/'H7H9 BENELUX'!$O$77</f>
        <v>0.10172029106042144</v>
      </c>
      <c r="P89" s="135"/>
      <c r="Q89" s="97"/>
      <c r="R89" s="42"/>
      <c r="S89" s="42"/>
      <c r="T89" s="135"/>
      <c r="U89" s="99">
        <f t="shared" si="140"/>
        <v>8.0437744713396514E-2</v>
      </c>
      <c r="V89" s="60">
        <f t="shared" si="141"/>
        <v>9.3783121949487291E-2</v>
      </c>
      <c r="W89" s="60">
        <f t="shared" si="142"/>
        <v>7.7334027203554881E-2</v>
      </c>
      <c r="X89" s="135"/>
      <c r="Y89" s="73">
        <f>+((Benelux!M89*Benelux!$M$77)+(Benelux!Y89*Benelux!$Y$77))/'H7H9 BENELUX'!$Y$77</f>
        <v>4.9470155734861791E-2</v>
      </c>
      <c r="Z89" s="42">
        <f>+((Benelux!N89*Benelux!$N$77)+(Benelux!Z89*Benelux!$Z$77))/'H7H9 BENELUX'!$Z$77</f>
        <v>3.9777709024585467E-2</v>
      </c>
      <c r="AA89" s="42">
        <f>+((Benelux!O89*Benelux!$O$77)+(Benelux!AA89*Benelux!$AA$77))/'H7H9 BENELUX'!$AA$77</f>
        <v>4.1377997388644248E-2</v>
      </c>
      <c r="AB89" s="135"/>
      <c r="AC89" s="97"/>
      <c r="AD89" s="42"/>
      <c r="AE89" s="42"/>
      <c r="AF89" s="135"/>
      <c r="AG89" s="97"/>
      <c r="AH89" s="42"/>
      <c r="AI89" s="42"/>
      <c r="AJ89" s="135"/>
      <c r="AK89" s="97"/>
      <c r="AL89" s="42"/>
      <c r="AM89" s="42"/>
      <c r="AN89" s="135"/>
      <c r="AO89" s="84">
        <f t="shared" si="127"/>
        <v>4.9470155734861791E-2</v>
      </c>
      <c r="AP89" s="60">
        <f t="shared" si="122"/>
        <v>3.9777709024585467E-2</v>
      </c>
      <c r="AQ89" s="60">
        <f t="shared" si="123"/>
        <v>4.1377997388644248E-2</v>
      </c>
      <c r="AR89" s="135"/>
      <c r="AS89" s="92">
        <f t="shared" si="143"/>
        <v>6.1968834436632113E-2</v>
      </c>
      <c r="AT89" s="68">
        <f t="shared" si="144"/>
        <v>6.1933478800240034E-2</v>
      </c>
      <c r="AU89" s="68">
        <f t="shared" si="145"/>
        <v>5.4384901425844207E-2</v>
      </c>
      <c r="AW89" s="109"/>
      <c r="BA89" s="109"/>
      <c r="BE89" s="109"/>
      <c r="BI89" s="109"/>
      <c r="BM89" s="109"/>
    </row>
    <row r="90" spans="1:65" ht="16.5" hidden="1" outlineLevel="1" x14ac:dyDescent="0.25">
      <c r="A90" s="212"/>
      <c r="B90" s="9"/>
      <c r="C90" s="39" t="s">
        <v>61</v>
      </c>
      <c r="D90" s="8"/>
      <c r="E90" s="97"/>
      <c r="F90" s="42"/>
      <c r="G90" s="42"/>
      <c r="H90" s="135"/>
      <c r="I90" s="97">
        <f>+((Benelux!E90*Benelux!$E$77)+(Benelux!Q90*Benelux!$Q$77))/'H7H9 BENELUX'!$I$77</f>
        <v>7.6846807169671447E-2</v>
      </c>
      <c r="J90" s="42">
        <f>+((Benelux!F90*Benelux!$F$77)+(Benelux!R90*Benelux!$R$77))/'H7H9 BENELUX'!$J$77</f>
        <v>7.7902605635884442E-2</v>
      </c>
      <c r="K90" s="42">
        <f>+((Benelux!G90*Benelux!$G$77)+(Benelux!S90*Benelux!$S$77))/'H7H9 BENELUX'!$K$77</f>
        <v>7.3566519517367396E-2</v>
      </c>
      <c r="L90" s="135"/>
      <c r="M90" s="74">
        <f>+((Benelux!I90*Benelux!$I$77)+(Benelux!U90*Benelux!$U$77))/'H7H9 BENELUX'!$M$77</f>
        <v>0.10410959299527549</v>
      </c>
      <c r="N90" s="42">
        <f>+((Benelux!J90*Benelux!$J$77)+(Benelux!V90*Benelux!$V$77))/'H7H9 BENELUX'!$N$77</f>
        <v>7.6574272016376607E-2</v>
      </c>
      <c r="O90" s="42">
        <f>+((Benelux!K90*Benelux!$K$77)+(Benelux!W90*Benelux!$W$77))/'H7H9 BENELUX'!$O$77</f>
        <v>0.14181463328996541</v>
      </c>
      <c r="P90" s="135"/>
      <c r="Q90" s="97"/>
      <c r="R90" s="42"/>
      <c r="S90" s="42"/>
      <c r="T90" s="135"/>
      <c r="U90" s="85">
        <f t="shared" si="140"/>
        <v>8.901050484567409E-2</v>
      </c>
      <c r="V90" s="60">
        <f t="shared" si="141"/>
        <v>7.7307232739189782E-2</v>
      </c>
      <c r="W90" s="60">
        <f t="shared" si="142"/>
        <v>0.10227574678294225</v>
      </c>
      <c r="X90" s="135"/>
      <c r="Y90" s="97">
        <f>+((Benelux!M90*Benelux!$M$77)+(Benelux!Y90*Benelux!$Y$77))/'H7H9 BENELUX'!$Y$77</f>
        <v>6.411574384812907E-2</v>
      </c>
      <c r="Z90" s="42">
        <f>+((Benelux!N90*Benelux!$N$77)+(Benelux!Z90*Benelux!$Z$77))/'H7H9 BENELUX'!$Z$77</f>
        <v>6.2416403707234072E-2</v>
      </c>
      <c r="AA90" s="42">
        <f>+((Benelux!O90*Benelux!$O$77)+(Benelux!AA90*Benelux!$AA$77))/'H7H9 BENELUX'!$AA$77</f>
        <v>6.3115084211247369E-2</v>
      </c>
      <c r="AB90" s="135"/>
      <c r="AC90" s="97"/>
      <c r="AD90" s="42"/>
      <c r="AE90" s="42"/>
      <c r="AF90" s="135"/>
      <c r="AG90" s="97"/>
      <c r="AH90" s="42"/>
      <c r="AI90" s="42"/>
      <c r="AJ90" s="135"/>
      <c r="AK90" s="97"/>
      <c r="AL90" s="42"/>
      <c r="AM90" s="42"/>
      <c r="AN90" s="135"/>
      <c r="AO90" s="99">
        <f t="shared" si="127"/>
        <v>6.411574384812907E-2</v>
      </c>
      <c r="AP90" s="60">
        <f t="shared" si="122"/>
        <v>6.2416403707234072E-2</v>
      </c>
      <c r="AQ90" s="60">
        <f t="shared" si="123"/>
        <v>6.3115084211247369E-2</v>
      </c>
      <c r="AR90" s="135"/>
      <c r="AS90" s="93">
        <f t="shared" si="143"/>
        <v>7.4163397841514017E-2</v>
      </c>
      <c r="AT90" s="68">
        <f t="shared" si="144"/>
        <v>6.8525379862261648E-2</v>
      </c>
      <c r="AU90" s="68">
        <f t="shared" si="145"/>
        <v>7.7281247236620568E-2</v>
      </c>
      <c r="AW90" s="109"/>
      <c r="BA90" s="109"/>
      <c r="BE90" s="109"/>
      <c r="BI90" s="109"/>
      <c r="BM90" s="109"/>
    </row>
    <row r="91" spans="1:65" ht="16.5" hidden="1" outlineLevel="1" x14ac:dyDescent="0.25">
      <c r="A91" s="212"/>
      <c r="B91" s="9"/>
      <c r="C91" s="116" t="s">
        <v>34</v>
      </c>
      <c r="D91" s="6"/>
      <c r="E91" s="121"/>
      <c r="F91" s="119"/>
      <c r="G91" s="119"/>
      <c r="H91" s="117"/>
      <c r="I91" s="118">
        <f>+Benelux!E91+Benelux!Q91</f>
        <v>1.8963851899999848</v>
      </c>
      <c r="J91" s="119">
        <f>+Benelux!F91+Benelux!R91</f>
        <v>1.019439879999994</v>
      </c>
      <c r="K91" s="119">
        <f>+Benelux!G91+Benelux!S91</f>
        <v>0.57281242698326484</v>
      </c>
      <c r="L91" s="117"/>
      <c r="M91" s="118">
        <f>+[3]MidCorp!$BK$33/1000</f>
        <v>6.0156541399999934</v>
      </c>
      <c r="N91" s="119">
        <f>+[3]MidCorp!$BK$34/1000</f>
        <v>3.8280517499999909</v>
      </c>
      <c r="O91" s="119">
        <f>+[3]MidCorp!$BK$35/1000</f>
        <v>4.3351210959005773</v>
      </c>
      <c r="P91" s="117"/>
      <c r="Q91" s="121"/>
      <c r="R91" s="119"/>
      <c r="S91" s="119"/>
      <c r="T91" s="117"/>
      <c r="U91" s="122">
        <f t="shared" ref="U91:W91" si="146">+I91+M91</f>
        <v>7.9120393299999785</v>
      </c>
      <c r="V91" s="165">
        <f t="shared" si="146"/>
        <v>4.8474916299999844</v>
      </c>
      <c r="W91" s="123">
        <f t="shared" si="146"/>
        <v>4.9079335228838419</v>
      </c>
      <c r="X91" s="117"/>
      <c r="Y91" s="118">
        <f>+Benelux!M91+Benelux!Y91</f>
        <v>6.0156541399999934</v>
      </c>
      <c r="Z91" s="119">
        <f>+Benelux!N91+Benelux!Z91</f>
        <v>3.8280322499999908</v>
      </c>
      <c r="AA91" s="119">
        <f>+Benelux!O91+Benelux!AA91</f>
        <v>4.3351210959005773</v>
      </c>
      <c r="AB91" s="117"/>
      <c r="AC91" s="121"/>
      <c r="AD91" s="119"/>
      <c r="AE91" s="119"/>
      <c r="AF91" s="117"/>
      <c r="AG91" s="121"/>
      <c r="AH91" s="119"/>
      <c r="AI91" s="119"/>
      <c r="AJ91" s="117"/>
      <c r="AK91" s="121"/>
      <c r="AL91" s="119"/>
      <c r="AM91" s="119"/>
      <c r="AN91" s="117"/>
      <c r="AO91" s="122">
        <f t="shared" si="127"/>
        <v>6.0156541399999934</v>
      </c>
      <c r="AP91" s="165">
        <f t="shared" si="122"/>
        <v>3.8280322499999908</v>
      </c>
      <c r="AQ91" s="123">
        <f t="shared" si="123"/>
        <v>4.3351210959005773</v>
      </c>
      <c r="AR91" s="117"/>
      <c r="AS91" s="166">
        <f t="shared" ref="AS91:AU91" si="147">+U91+AO91</f>
        <v>13.927693469999973</v>
      </c>
      <c r="AT91" s="167">
        <f t="shared" si="147"/>
        <v>8.6755238799999752</v>
      </c>
      <c r="AU91" s="160">
        <f t="shared" si="147"/>
        <v>9.24305461878442</v>
      </c>
      <c r="AW91" s="108"/>
      <c r="BA91" s="108"/>
      <c r="BE91" s="108"/>
      <c r="BI91" s="108"/>
      <c r="BM91" s="108"/>
    </row>
    <row r="92" spans="1:65" hidden="1" outlineLevel="1" x14ac:dyDescent="0.35"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</row>
    <row r="93" spans="1:65" ht="16.5" hidden="1" outlineLevel="1" x14ac:dyDescent="0.25">
      <c r="A93" s="215" t="s">
        <v>39</v>
      </c>
      <c r="B93" s="9"/>
      <c r="C93" s="116" t="s">
        <v>19</v>
      </c>
      <c r="D93" s="6"/>
      <c r="E93" s="121"/>
      <c r="F93" s="119"/>
      <c r="G93" s="119"/>
      <c r="H93" s="117"/>
      <c r="I93" s="118">
        <f>+Benelux!E93+Benelux!Q93</f>
        <v>2.46343E-3</v>
      </c>
      <c r="J93" s="119">
        <f>+Benelux!F93+Benelux!R93</f>
        <v>3.6837400000000005E-3</v>
      </c>
      <c r="K93" s="119">
        <f>+Benelux!G93+Benelux!S93</f>
        <v>0</v>
      </c>
      <c r="L93" s="117"/>
      <c r="M93" s="121">
        <f>+Benelux!I93+Benelux!U93</f>
        <v>0</v>
      </c>
      <c r="N93" s="119">
        <f>+Benelux!J93+Benelux!V93</f>
        <v>0</v>
      </c>
      <c r="O93" s="119">
        <f>+Benelux!K93+Benelux!W93</f>
        <v>0</v>
      </c>
      <c r="P93" s="117"/>
      <c r="Q93" s="121"/>
      <c r="R93" s="119"/>
      <c r="S93" s="119"/>
      <c r="T93" s="117"/>
      <c r="U93" s="122">
        <f t="shared" ref="U93:U94" si="148">+I93+M93</f>
        <v>2.46343E-3</v>
      </c>
      <c r="V93" s="123">
        <f t="shared" ref="V93:V94" si="149">+J93+N93</f>
        <v>3.6837400000000005E-3</v>
      </c>
      <c r="W93" s="123">
        <f t="shared" ref="W93:W94" si="150">+K93+O93</f>
        <v>0</v>
      </c>
      <c r="X93" s="117"/>
      <c r="Y93" s="121"/>
      <c r="Z93" s="119"/>
      <c r="AA93" s="119"/>
      <c r="AB93" s="117"/>
      <c r="AC93" s="121">
        <f>+Benelux!M93+Benelux!Y93</f>
        <v>21.496336050000004</v>
      </c>
      <c r="AD93" s="119">
        <f>+Benelux!N93+Benelux!Z93</f>
        <v>21.369239630000006</v>
      </c>
      <c r="AE93" s="119">
        <f>+Benelux!O93+Benelux!AA93</f>
        <v>23.80596328432329</v>
      </c>
      <c r="AF93" s="117"/>
      <c r="AG93" s="121"/>
      <c r="AH93" s="119"/>
      <c r="AI93" s="119"/>
      <c r="AJ93" s="117"/>
      <c r="AK93" s="121"/>
      <c r="AL93" s="119"/>
      <c r="AM93" s="119"/>
      <c r="AN93" s="117"/>
      <c r="AO93" s="124">
        <f>+AC93</f>
        <v>21.496336050000004</v>
      </c>
      <c r="AP93" s="123">
        <f t="shared" ref="AP93:AP108" si="151">+AD93</f>
        <v>21.369239630000006</v>
      </c>
      <c r="AQ93" s="123">
        <f t="shared" ref="AQ93:AQ108" si="152">+AE93</f>
        <v>23.80596328432329</v>
      </c>
      <c r="AR93" s="117"/>
      <c r="AS93" s="161">
        <f t="shared" ref="AS93:AS94" si="153">+U93+AO93</f>
        <v>21.498799480000002</v>
      </c>
      <c r="AT93" s="160">
        <f t="shared" ref="AT93:AT94" si="154">+V93+AP93</f>
        <v>21.372923370000006</v>
      </c>
      <c r="AU93" s="160">
        <f t="shared" ref="AU93:AU94" si="155">+W93+AQ93</f>
        <v>23.80596328432329</v>
      </c>
      <c r="AW93" s="108"/>
      <c r="BA93" s="108"/>
      <c r="BE93" s="108"/>
      <c r="BI93" s="108"/>
      <c r="BM93" s="108"/>
    </row>
    <row r="94" spans="1:65" ht="16.5" hidden="1" outlineLevel="1" x14ac:dyDescent="0.25">
      <c r="A94" s="212"/>
      <c r="B94" s="9"/>
      <c r="C94" s="116" t="s">
        <v>55</v>
      </c>
      <c r="D94" s="6"/>
      <c r="E94" s="121"/>
      <c r="F94" s="119"/>
      <c r="G94" s="119"/>
      <c r="H94" s="117"/>
      <c r="I94" s="118">
        <f>+Benelux!E94+Benelux!Q94</f>
        <v>1.4849299999999998E-3</v>
      </c>
      <c r="J94" s="119">
        <f>+Benelux!F94+Benelux!R94</f>
        <v>2.1137199999999991E-3</v>
      </c>
      <c r="K94" s="119">
        <f>+Benelux!G94+Benelux!S94</f>
        <v>0</v>
      </c>
      <c r="L94" s="117"/>
      <c r="M94" s="121">
        <f>+Benelux!I94+Benelux!U94</f>
        <v>0</v>
      </c>
      <c r="N94" s="119">
        <f>+Benelux!J94+Benelux!V94</f>
        <v>0</v>
      </c>
      <c r="O94" s="119">
        <f>+Benelux!K94+Benelux!W94</f>
        <v>0</v>
      </c>
      <c r="P94" s="117"/>
      <c r="Q94" s="121"/>
      <c r="R94" s="119"/>
      <c r="S94" s="119"/>
      <c r="T94" s="117"/>
      <c r="U94" s="122">
        <f t="shared" si="148"/>
        <v>1.4849299999999998E-3</v>
      </c>
      <c r="V94" s="123">
        <f t="shared" si="149"/>
        <v>2.1137199999999991E-3</v>
      </c>
      <c r="W94" s="123">
        <f t="shared" si="150"/>
        <v>0</v>
      </c>
      <c r="X94" s="117"/>
      <c r="Y94" s="121"/>
      <c r="Z94" s="119"/>
      <c r="AA94" s="119"/>
      <c r="AB94" s="117"/>
      <c r="AC94" s="121">
        <f>+Benelux!M94+Benelux!Y94</f>
        <v>11.707862959999998</v>
      </c>
      <c r="AD94" s="119">
        <f>+Benelux!N94+Benelux!Z94</f>
        <v>11.088059270000004</v>
      </c>
      <c r="AE94" s="119">
        <f>+Benelux!O94+Benelux!AA94</f>
        <v>14.421655364791338</v>
      </c>
      <c r="AF94" s="117"/>
      <c r="AG94" s="121"/>
      <c r="AH94" s="119"/>
      <c r="AI94" s="119"/>
      <c r="AJ94" s="117"/>
      <c r="AK94" s="121"/>
      <c r="AL94" s="119"/>
      <c r="AM94" s="119"/>
      <c r="AN94" s="117"/>
      <c r="AO94" s="124">
        <f t="shared" ref="AO94:AO108" si="156">+AC94</f>
        <v>11.707862959999998</v>
      </c>
      <c r="AP94" s="123">
        <f t="shared" si="151"/>
        <v>11.088059270000004</v>
      </c>
      <c r="AQ94" s="123">
        <f t="shared" si="152"/>
        <v>14.421655364791338</v>
      </c>
      <c r="AR94" s="117"/>
      <c r="AS94" s="161">
        <f t="shared" si="153"/>
        <v>11.709347889999998</v>
      </c>
      <c r="AT94" s="160">
        <f t="shared" si="154"/>
        <v>11.090172990000005</v>
      </c>
      <c r="AU94" s="160">
        <f t="shared" si="155"/>
        <v>14.421655364791338</v>
      </c>
      <c r="AW94" s="108"/>
      <c r="BA94" s="108"/>
      <c r="BE94" s="108"/>
      <c r="BI94" s="108"/>
      <c r="BM94" s="108"/>
    </row>
    <row r="95" spans="1:65" ht="16.5" hidden="1" outlineLevel="1" x14ac:dyDescent="0.25">
      <c r="A95" s="212"/>
      <c r="B95" s="9"/>
      <c r="C95" s="116" t="s">
        <v>21</v>
      </c>
      <c r="D95" s="6"/>
      <c r="E95" s="131"/>
      <c r="F95" s="127"/>
      <c r="G95" s="127"/>
      <c r="H95" s="117"/>
      <c r="I95" s="128">
        <f>+I96+I101+I102+I103+I104</f>
        <v>0.97321759274848008</v>
      </c>
      <c r="J95" s="127">
        <f t="shared" ref="J95" si="157">+J96+J101+J102+J103+J104</f>
        <v>0.41457241261851158</v>
      </c>
      <c r="K95" s="127">
        <f t="shared" ref="K95" si="158">+K96+K101+K102+K103+K104</f>
        <v>0</v>
      </c>
      <c r="L95" s="117"/>
      <c r="M95" s="131">
        <f>+M96+M101+M102+M103+M104</f>
        <v>0</v>
      </c>
      <c r="N95" s="127">
        <f>+N96+N101+N102+N103+N104</f>
        <v>0</v>
      </c>
      <c r="O95" s="127">
        <f>+O96+O101+O102+O103+O104</f>
        <v>0</v>
      </c>
      <c r="P95" s="117"/>
      <c r="Q95" s="131"/>
      <c r="R95" s="127"/>
      <c r="S95" s="127"/>
      <c r="T95" s="117"/>
      <c r="U95" s="129">
        <f>+U96+U101+U102+U103+U104</f>
        <v>0.97321759274848008</v>
      </c>
      <c r="V95" s="130">
        <f>+V96+V101+V102+V103+V104</f>
        <v>0.41457241261851158</v>
      </c>
      <c r="W95" s="130">
        <f>+W96+W101+W102+W103+W104</f>
        <v>0</v>
      </c>
      <c r="X95" s="117"/>
      <c r="Y95" s="131"/>
      <c r="Z95" s="127"/>
      <c r="AA95" s="127"/>
      <c r="AB95" s="117"/>
      <c r="AC95" s="128">
        <f>+AC96+AC101+AC102+AC103+AC104</f>
        <v>0.91984585293717058</v>
      </c>
      <c r="AD95" s="127">
        <f>+AD96+AD101+AD102+AD103+AD104</f>
        <v>1.0570446211188047</v>
      </c>
      <c r="AE95" s="127">
        <f>+AE96+AE101+AE102+AE103+AE104</f>
        <v>0.90577877899967796</v>
      </c>
      <c r="AF95" s="117"/>
      <c r="AG95" s="131"/>
      <c r="AH95" s="127"/>
      <c r="AI95" s="127"/>
      <c r="AJ95" s="117"/>
      <c r="AK95" s="131"/>
      <c r="AL95" s="127"/>
      <c r="AM95" s="127"/>
      <c r="AN95" s="117"/>
      <c r="AO95" s="129">
        <f t="shared" si="156"/>
        <v>0.91984585293717058</v>
      </c>
      <c r="AP95" s="130">
        <f t="shared" si="151"/>
        <v>1.0570446211188047</v>
      </c>
      <c r="AQ95" s="130">
        <f t="shared" si="152"/>
        <v>0.90577877899967796</v>
      </c>
      <c r="AR95" s="117"/>
      <c r="AS95" s="164">
        <f>+AS96+AS101+AS102+AS103+AS104</f>
        <v>0.91985262131559287</v>
      </c>
      <c r="AT95" s="163">
        <f>+AT96+AT101+AT102+AT103+AT104</f>
        <v>1.0569221697956579</v>
      </c>
      <c r="AU95" s="163">
        <f>+AU96+AU101+AU102+AU103+AU104</f>
        <v>0.90577877899967796</v>
      </c>
      <c r="AW95" s="109"/>
      <c r="BA95" s="109"/>
      <c r="BE95" s="109"/>
      <c r="BI95" s="109"/>
      <c r="BM95" s="109"/>
    </row>
    <row r="96" spans="1:65" ht="16.5" hidden="1" outlineLevel="1" x14ac:dyDescent="0.25">
      <c r="A96" s="212"/>
      <c r="B96" s="9"/>
      <c r="C96" s="116" t="s">
        <v>56</v>
      </c>
      <c r="D96" s="6"/>
      <c r="E96" s="131"/>
      <c r="F96" s="127"/>
      <c r="G96" s="127"/>
      <c r="H96" s="117"/>
      <c r="I96" s="131">
        <f>+I97+I98+I99+I100</f>
        <v>6.7343241768972296E-5</v>
      </c>
      <c r="J96" s="127">
        <f t="shared" ref="J96" si="159">+J97+J98+J99+J100</f>
        <v>2.2141059364532666E-3</v>
      </c>
      <c r="K96" s="127">
        <f t="shared" ref="K96" si="160">+K97+K98+K99+K100</f>
        <v>0</v>
      </c>
      <c r="L96" s="117"/>
      <c r="M96" s="131">
        <f>+M97+M98+M99+M100</f>
        <v>0</v>
      </c>
      <c r="N96" s="127">
        <f>+N97+N98+N99+N100</f>
        <v>0</v>
      </c>
      <c r="O96" s="127">
        <f>+O97+O98+O99+O100</f>
        <v>0</v>
      </c>
      <c r="P96" s="117"/>
      <c r="Q96" s="131"/>
      <c r="R96" s="127"/>
      <c r="S96" s="127"/>
      <c r="T96" s="117"/>
      <c r="U96" s="133">
        <f>+U97+U98+U99+U100</f>
        <v>6.7343241768972296E-5</v>
      </c>
      <c r="V96" s="130">
        <f>+V97+V98+V99+V100</f>
        <v>2.2141059364532666E-3</v>
      </c>
      <c r="W96" s="130">
        <f>+W97+W98+W99+W100</f>
        <v>0</v>
      </c>
      <c r="X96" s="117"/>
      <c r="Y96" s="131"/>
      <c r="Z96" s="127"/>
      <c r="AA96" s="127"/>
      <c r="AB96" s="117"/>
      <c r="AC96" s="131">
        <f>+AC97+AC98+AC99+AC100</f>
        <v>0.6046164545871876</v>
      </c>
      <c r="AD96" s="127">
        <f>+AD97+AD98+AD99+AD100</f>
        <v>0.66148461975167638</v>
      </c>
      <c r="AE96" s="127">
        <f>+AE97+AE98+AE99+AE100</f>
        <v>0.59651557371256203</v>
      </c>
      <c r="AF96" s="117"/>
      <c r="AG96" s="131"/>
      <c r="AH96" s="127"/>
      <c r="AI96" s="127"/>
      <c r="AJ96" s="117"/>
      <c r="AK96" s="131"/>
      <c r="AL96" s="127"/>
      <c r="AM96" s="127"/>
      <c r="AN96" s="117"/>
      <c r="AO96" s="133">
        <f t="shared" si="156"/>
        <v>0.6046164545871876</v>
      </c>
      <c r="AP96" s="130">
        <f t="shared" si="151"/>
        <v>0.66148461975167638</v>
      </c>
      <c r="AQ96" s="130">
        <f t="shared" si="152"/>
        <v>0.59651557371256203</v>
      </c>
      <c r="AR96" s="117"/>
      <c r="AS96" s="182">
        <f>+AS97+AS98+AS99+AS100</f>
        <v>0.60453978822452215</v>
      </c>
      <c r="AT96" s="163">
        <f>+AT97+AT98+AT99+AT100</f>
        <v>0.66135896677297912</v>
      </c>
      <c r="AU96" s="163">
        <f>+AU97+AU98+AU99+AU100</f>
        <v>0.59651557371256203</v>
      </c>
      <c r="AW96" s="109"/>
      <c r="BA96" s="109"/>
      <c r="BE96" s="109"/>
      <c r="BI96" s="109"/>
      <c r="BM96" s="109"/>
    </row>
    <row r="97" spans="1:65" ht="16.5" hidden="1" outlineLevel="1" x14ac:dyDescent="0.25">
      <c r="A97" s="212"/>
      <c r="B97" s="9"/>
      <c r="C97" s="38" t="s">
        <v>23</v>
      </c>
      <c r="D97" s="6"/>
      <c r="E97" s="97"/>
      <c r="F97" s="42"/>
      <c r="G97" s="42"/>
      <c r="H97" s="117"/>
      <c r="I97" s="97">
        <f>+((Benelux!E97*Benelux!$E$94)+(Benelux!Q97*Benelux!$Q$94))/'H7H9 BENELUX'!$I$94</f>
        <v>6.7343241768972296E-5</v>
      </c>
      <c r="J97" s="42">
        <f>+((Benelux!F97*Benelux!$F$94)+(Benelux!R97*Benelux!$R$94))/'H7H9 BENELUX'!$J$94</f>
        <v>2.2141059364532666E-3</v>
      </c>
      <c r="K97" s="42">
        <f>IFERROR(+((Benelux!G97*Benelux!$G$94)+(Benelux!S97*Benelux!$S$94))/'H7H9 BENELUX'!$K$94,0)</f>
        <v>0</v>
      </c>
      <c r="L97" s="117"/>
      <c r="M97" s="97">
        <f>IFERROR(+((Benelux!I97*Benelux!$I$94)+(Benelux!U97*Benelux!$U$94))/'H7H9 BENELUX'!$M$94,0)</f>
        <v>0</v>
      </c>
      <c r="N97" s="42">
        <f>+IFERROR(((Benelux!J97*Benelux!$J$94)+(Benelux!V97*Benelux!$V$94))/'H7H9 BENELUX'!$N$94,0)</f>
        <v>0</v>
      </c>
      <c r="O97" s="42">
        <f>IFERROR(+((Benelux!K97*Benelux!$K$94)+(Benelux!W97*Benelux!$W$94))/'H7H9 BENELUX'!$O$94,0)</f>
        <v>0</v>
      </c>
      <c r="P97" s="117"/>
      <c r="Q97" s="97"/>
      <c r="R97" s="42"/>
      <c r="S97" s="42"/>
      <c r="T97" s="117"/>
      <c r="U97" s="99">
        <f>+((I97*$I$94)+(M97*$M$94))/$U$94</f>
        <v>6.7343241768972296E-5</v>
      </c>
      <c r="V97" s="60">
        <f>IFERROR(+((J97*$J$94)+(N97*$N$94))/$V$94,0)</f>
        <v>2.2141059364532666E-3</v>
      </c>
      <c r="W97" s="60">
        <f t="shared" ref="W97:W103" si="161">IFERROR(+((K97*$K$94)+(O97*$O$94))/$W$94,0)</f>
        <v>0</v>
      </c>
      <c r="X97" s="117"/>
      <c r="Y97" s="97"/>
      <c r="Z97" s="42"/>
      <c r="AA97" s="42"/>
      <c r="AB97" s="117"/>
      <c r="AC97" s="74">
        <f>+((Benelux!M97*Benelux!$M$94)+(Benelux!Y97*Benelux!$Y$94))/'H7H9 BENELUX'!$AC$94</f>
        <v>0.36999843479548222</v>
      </c>
      <c r="AD97" s="42">
        <f>+((Benelux!N97*Benelux!$N$94)+(Benelux!Z97*Benelux!$Z$94))/'H7H9 BENELUX'!$AD$94</f>
        <v>0.53603301941945669</v>
      </c>
      <c r="AE97" s="42">
        <f>+((Benelux!O97*Benelux!$O$94)+(Benelux!AA97*Benelux!$AA$94))/'H7H9 BENELUX'!$AE$94</f>
        <v>0.38680105116560648</v>
      </c>
      <c r="AF97" s="117"/>
      <c r="AG97" s="97"/>
      <c r="AH97" s="42"/>
      <c r="AI97" s="42"/>
      <c r="AJ97" s="117"/>
      <c r="AK97" s="97"/>
      <c r="AL97" s="42"/>
      <c r="AM97" s="42"/>
      <c r="AN97" s="117"/>
      <c r="AO97" s="85">
        <f t="shared" si="156"/>
        <v>0.36999843479548222</v>
      </c>
      <c r="AP97" s="60">
        <f t="shared" si="151"/>
        <v>0.53603301941945669</v>
      </c>
      <c r="AQ97" s="60">
        <f t="shared" si="152"/>
        <v>0.38680105116560648</v>
      </c>
      <c r="AR97" s="117"/>
      <c r="AS97" s="93">
        <f>+((U97*$U$94)+(AO97*$AO$94))/$AS$94</f>
        <v>0.36995152169827639</v>
      </c>
      <c r="AT97" s="68">
        <f>+((V97*$V$94)+(AP97*$AP$94))/$AT$94</f>
        <v>0.53593127675819929</v>
      </c>
      <c r="AU97" s="68">
        <f>+((W97*$W$94)+(AQ97*$AQ$94))/$AU$94</f>
        <v>0.38680105116560648</v>
      </c>
      <c r="AW97" s="109"/>
      <c r="BA97" s="109"/>
      <c r="BE97" s="109"/>
      <c r="BI97" s="109"/>
      <c r="BM97" s="109"/>
    </row>
    <row r="98" spans="1:65" ht="16.5" hidden="1" outlineLevel="1" x14ac:dyDescent="0.25">
      <c r="A98" s="212"/>
      <c r="B98" s="9"/>
      <c r="C98" s="38" t="s">
        <v>24</v>
      </c>
      <c r="D98" s="7"/>
      <c r="E98" s="97"/>
      <c r="F98" s="42"/>
      <c r="G98" s="42"/>
      <c r="H98" s="134"/>
      <c r="I98" s="97">
        <f>+((Benelux!E98*Benelux!$E$94)+(Benelux!Q98*Benelux!$Q$94))/'H7H9 BENELUX'!$I$94</f>
        <v>0</v>
      </c>
      <c r="J98" s="42">
        <f>+((Benelux!F98*Benelux!$F$94)+(Benelux!R98*Benelux!$R$94))/'H7H9 BENELUX'!$J$94</f>
        <v>0</v>
      </c>
      <c r="K98" s="42">
        <f>IFERROR(+((Benelux!G98*Benelux!$G$94)+(Benelux!S98*Benelux!$S$94))/'H7H9 BENELUX'!$K$94,0)</f>
        <v>0</v>
      </c>
      <c r="L98" s="134"/>
      <c r="M98" s="97">
        <f>IFERROR(+((Benelux!I98*Benelux!$I$94)+(Benelux!U98*Benelux!$U$94))/'H7H9 BENELUX'!$M$94,0)</f>
        <v>0</v>
      </c>
      <c r="N98" s="42">
        <f>+IFERROR(((Benelux!J98*Benelux!$J$94)+(Benelux!V98*Benelux!$V$94))/'H7H9 BENELUX'!$N$94,0)</f>
        <v>0</v>
      </c>
      <c r="O98" s="42">
        <f>IFERROR(+((Benelux!K98*Benelux!$K$94)+(Benelux!W98*Benelux!$W$94))/'H7H9 BENELUX'!$O$94,0)</f>
        <v>0</v>
      </c>
      <c r="P98" s="134"/>
      <c r="Q98" s="97"/>
      <c r="R98" s="42"/>
      <c r="S98" s="42"/>
      <c r="T98" s="134"/>
      <c r="U98" s="99">
        <f t="shared" ref="U98:U103" si="162">+((I98*$I$94)+(M98*$M$94))/$U$94</f>
        <v>0</v>
      </c>
      <c r="V98" s="60">
        <f t="shared" ref="V98:V103" si="163">+IFERROR(((J98*$J$94)+(N98*$N$94))/$V$94,0)</f>
        <v>0</v>
      </c>
      <c r="W98" s="60">
        <f t="shared" si="161"/>
        <v>0</v>
      </c>
      <c r="X98" s="134"/>
      <c r="Y98" s="97"/>
      <c r="Z98" s="42"/>
      <c r="AA98" s="42"/>
      <c r="AB98" s="134"/>
      <c r="AC98" s="74">
        <f>+((Benelux!M98*Benelux!$M$94)+(Benelux!Y98*Benelux!$Y$94))/'H7H9 BENELUX'!$AC$94</f>
        <v>8.5412684058269858E-4</v>
      </c>
      <c r="AD98" s="42">
        <f>+((Benelux!N98*Benelux!$N$94)+(Benelux!Z98*Benelux!$Z$94))/'H7H9 BENELUX'!$AD$94</f>
        <v>0</v>
      </c>
      <c r="AE98" s="42">
        <f>+((Benelux!O98*Benelux!$O$94)+(Benelux!AA98*Benelux!$AA$94))/'H7H9 BENELUX'!$AE$94</f>
        <v>1.3781358309617023E-2</v>
      </c>
      <c r="AF98" s="134"/>
      <c r="AG98" s="97"/>
      <c r="AH98" s="42"/>
      <c r="AI98" s="42"/>
      <c r="AJ98" s="134"/>
      <c r="AK98" s="97"/>
      <c r="AL98" s="42"/>
      <c r="AM98" s="42"/>
      <c r="AN98" s="134"/>
      <c r="AO98" s="85">
        <f t="shared" si="156"/>
        <v>8.5412684058269858E-4</v>
      </c>
      <c r="AP98" s="60">
        <f t="shared" si="151"/>
        <v>0</v>
      </c>
      <c r="AQ98" s="60">
        <f t="shared" si="152"/>
        <v>1.3781358309617023E-2</v>
      </c>
      <c r="AR98" s="134"/>
      <c r="AS98" s="93">
        <f t="shared" ref="AS98:AS103" si="164">+((U98*$U$94)+(AO98*$AO$94))/$AS$94</f>
        <v>8.5401852382746156E-4</v>
      </c>
      <c r="AT98" s="68">
        <f t="shared" ref="AT98:AT103" si="165">+((V98*$V$94)+(AP98*$AP$94))/$AT$94</f>
        <v>0</v>
      </c>
      <c r="AU98" s="68">
        <f t="shared" ref="AU98:AU103" si="166">+((W98*$W$94)+(AQ98*$AQ$94))/$AU$94</f>
        <v>1.3781358309617023E-2</v>
      </c>
      <c r="AW98" s="109"/>
      <c r="BA98" s="109"/>
      <c r="BE98" s="109"/>
      <c r="BI98" s="109"/>
      <c r="BM98" s="109"/>
    </row>
    <row r="99" spans="1:65" ht="16.5" hidden="1" outlineLevel="1" x14ac:dyDescent="0.25">
      <c r="A99" s="212"/>
      <c r="B99" s="9"/>
      <c r="C99" s="38" t="s">
        <v>25</v>
      </c>
      <c r="D99" s="7"/>
      <c r="E99" s="97"/>
      <c r="F99" s="42"/>
      <c r="G99" s="42"/>
      <c r="H99" s="134"/>
      <c r="I99" s="97">
        <f>+((Benelux!E99*Benelux!$E$94)+(Benelux!Q99*Benelux!$Q$94))/'H7H9 BENELUX'!$I$94</f>
        <v>0</v>
      </c>
      <c r="J99" s="42">
        <f>+((Benelux!F99*Benelux!$F$94)+(Benelux!R99*Benelux!$R$94))/'H7H9 BENELUX'!$J$94</f>
        <v>0</v>
      </c>
      <c r="K99" s="42">
        <f>IFERROR(+((Benelux!G99*Benelux!$G$94)+(Benelux!S99*Benelux!$S$94))/'H7H9 BENELUX'!$K$94,0)</f>
        <v>0</v>
      </c>
      <c r="L99" s="134"/>
      <c r="M99" s="97">
        <f>IFERROR(+((Benelux!I99*Benelux!$I$94)+(Benelux!U99*Benelux!$U$94))/'H7H9 BENELUX'!$M$94,0)</f>
        <v>0</v>
      </c>
      <c r="N99" s="42">
        <f>+IFERROR(((Benelux!J99*Benelux!$J$94)+(Benelux!V99*Benelux!$V$94))/'H7H9 BENELUX'!$N$94,0)</f>
        <v>0</v>
      </c>
      <c r="O99" s="42">
        <f>IFERROR(+((Benelux!K99*Benelux!$K$94)+(Benelux!W99*Benelux!$W$94))/'H7H9 BENELUX'!$O$94,0)</f>
        <v>0</v>
      </c>
      <c r="P99" s="134"/>
      <c r="Q99" s="97"/>
      <c r="R99" s="42"/>
      <c r="S99" s="42"/>
      <c r="T99" s="134"/>
      <c r="U99" s="99">
        <f t="shared" si="162"/>
        <v>0</v>
      </c>
      <c r="V99" s="60">
        <f t="shared" si="163"/>
        <v>0</v>
      </c>
      <c r="W99" s="60">
        <f t="shared" si="161"/>
        <v>0</v>
      </c>
      <c r="X99" s="134"/>
      <c r="Y99" s="97"/>
      <c r="Z99" s="42"/>
      <c r="AA99" s="42"/>
      <c r="AB99" s="134"/>
      <c r="AC99" s="73">
        <f>+((Benelux!M99*Benelux!$N$94)+(Benelux!Y99*Benelux!$Y$94))/'H7H9 BENELUX'!$AC$94</f>
        <v>0.11082048501928829</v>
      </c>
      <c r="AD99" s="42">
        <f>+((Benelux!N99*Benelux!$N$94)+(Benelux!Z99*Benelux!$Z$94))/'H7H9 BENELUX'!$AD$94</f>
        <v>0</v>
      </c>
      <c r="AE99" s="42">
        <f>+((Benelux!O99*Benelux!$O$94)+(Benelux!AA99*Benelux!$AA$94))/'H7H9 BENELUX'!$AE$94</f>
        <v>0.10528437932882899</v>
      </c>
      <c r="AF99" s="134"/>
      <c r="AG99" s="97"/>
      <c r="AH99" s="42"/>
      <c r="AI99" s="42"/>
      <c r="AJ99" s="134"/>
      <c r="AK99" s="97"/>
      <c r="AL99" s="42"/>
      <c r="AM99" s="42"/>
      <c r="AN99" s="134"/>
      <c r="AO99" s="84">
        <f t="shared" si="156"/>
        <v>0.11082048501928829</v>
      </c>
      <c r="AP99" s="60">
        <f t="shared" si="151"/>
        <v>0</v>
      </c>
      <c r="AQ99" s="60">
        <f t="shared" si="152"/>
        <v>0.10528437932882899</v>
      </c>
      <c r="AR99" s="134"/>
      <c r="AS99" s="92">
        <f t="shared" si="164"/>
        <v>0.11080643123385414</v>
      </c>
      <c r="AT99" s="68">
        <f t="shared" si="165"/>
        <v>0</v>
      </c>
      <c r="AU99" s="68">
        <f t="shared" si="166"/>
        <v>0.10528437932882899</v>
      </c>
      <c r="AW99" s="109"/>
      <c r="BA99" s="109"/>
      <c r="BE99" s="109"/>
      <c r="BI99" s="109"/>
      <c r="BM99" s="109"/>
    </row>
    <row r="100" spans="1:65" ht="16.5" hidden="1" outlineLevel="1" x14ac:dyDescent="0.25">
      <c r="A100" s="212"/>
      <c r="B100" s="9"/>
      <c r="C100" s="38" t="s">
        <v>53</v>
      </c>
      <c r="D100" s="7"/>
      <c r="E100" s="97"/>
      <c r="F100" s="42"/>
      <c r="G100" s="42"/>
      <c r="H100" s="134"/>
      <c r="I100" s="97">
        <f>+((Benelux!E100*Benelux!$E$94)+(Benelux!Q100*Benelux!$Q$94))/'H7H9 BENELUX'!$I$94</f>
        <v>0</v>
      </c>
      <c r="J100" s="42">
        <f>+((Benelux!F100*Benelux!$F$94)+(Benelux!R100*Benelux!$R$94))/'H7H9 BENELUX'!$J$94</f>
        <v>0</v>
      </c>
      <c r="K100" s="42">
        <f>IFERROR(+((Benelux!G100*Benelux!$G$94)+(Benelux!S100*Benelux!$S$94))/'H7H9 BENELUX'!$K$94,0)</f>
        <v>0</v>
      </c>
      <c r="L100" s="134"/>
      <c r="M100" s="97">
        <f>IFERROR(+((Benelux!I100*Benelux!$I$94)+(Benelux!U100*Benelux!$U$94))/'H7H9 BENELUX'!$M$94,0)</f>
        <v>0</v>
      </c>
      <c r="N100" s="42">
        <f>+IFERROR(((Benelux!J100*Benelux!$J$94)+(Benelux!V100*Benelux!$V$94))/'H7H9 BENELUX'!$N$94,0)</f>
        <v>0</v>
      </c>
      <c r="O100" s="42">
        <f>IFERROR(+((Benelux!K100*Benelux!$K$94)+(Benelux!W100*Benelux!$W$94))/'H7H9 BENELUX'!$O$94,0)</f>
        <v>0</v>
      </c>
      <c r="P100" s="134"/>
      <c r="Q100" s="97"/>
      <c r="R100" s="42"/>
      <c r="S100" s="42"/>
      <c r="T100" s="134"/>
      <c r="U100" s="99">
        <f t="shared" si="162"/>
        <v>0</v>
      </c>
      <c r="V100" s="60">
        <f t="shared" si="163"/>
        <v>0</v>
      </c>
      <c r="W100" s="60">
        <f t="shared" si="161"/>
        <v>0</v>
      </c>
      <c r="X100" s="134"/>
      <c r="Y100" s="97"/>
      <c r="Z100" s="42"/>
      <c r="AA100" s="42"/>
      <c r="AB100" s="134"/>
      <c r="AC100" s="73">
        <f>+((Benelux!M100*Benelux!$O$94)+(Benelux!Y100*Benelux!$Y$94))/'H7H9 BENELUX'!$AC$94</f>
        <v>0.12294340793183435</v>
      </c>
      <c r="AD100" s="42">
        <f>+((Benelux!N100*Benelux!$N$94)+(Benelux!Z100*Benelux!$Z$94))/'H7H9 BENELUX'!$AD$94</f>
        <v>0.12545160033221969</v>
      </c>
      <c r="AE100" s="42">
        <f>+((Benelux!O100*Benelux!$O$94)+(Benelux!AA100*Benelux!$AA$94))/'H7H9 BENELUX'!$AE$94</f>
        <v>9.0648784908509583E-2</v>
      </c>
      <c r="AF100" s="134"/>
      <c r="AG100" s="97"/>
      <c r="AH100" s="42"/>
      <c r="AI100" s="42"/>
      <c r="AJ100" s="134"/>
      <c r="AK100" s="97"/>
      <c r="AL100" s="42"/>
      <c r="AM100" s="42"/>
      <c r="AN100" s="134"/>
      <c r="AO100" s="84">
        <f t="shared" si="156"/>
        <v>0.12294340793183435</v>
      </c>
      <c r="AP100" s="60">
        <f t="shared" si="151"/>
        <v>0.12545160033221969</v>
      </c>
      <c r="AQ100" s="60">
        <f t="shared" si="152"/>
        <v>9.0648784908509583E-2</v>
      </c>
      <c r="AR100" s="134"/>
      <c r="AS100" s="92">
        <f t="shared" si="164"/>
        <v>0.12292781676856418</v>
      </c>
      <c r="AT100" s="68">
        <f t="shared" si="165"/>
        <v>0.1254276900147798</v>
      </c>
      <c r="AU100" s="68">
        <f t="shared" si="166"/>
        <v>9.0648784908509583E-2</v>
      </c>
      <c r="AW100" s="109"/>
      <c r="BA100" s="109"/>
      <c r="BE100" s="109"/>
      <c r="BI100" s="109"/>
      <c r="BM100" s="109"/>
    </row>
    <row r="101" spans="1:65" ht="16.5" hidden="1" outlineLevel="1" x14ac:dyDescent="0.25">
      <c r="A101" s="212"/>
      <c r="B101" s="9"/>
      <c r="C101" s="116" t="s">
        <v>27</v>
      </c>
      <c r="D101" s="7"/>
      <c r="E101" s="131"/>
      <c r="F101" s="127"/>
      <c r="G101" s="127"/>
      <c r="H101" s="134"/>
      <c r="I101" s="128">
        <f>+((Benelux!E101*Benelux!$E$94)+(Benelux!Q101*Benelux!$Q$94))/'H7H9 BENELUX'!$I$94</f>
        <v>0</v>
      </c>
      <c r="J101" s="127">
        <f>+((Benelux!F101*Benelux!$F$94)+(Benelux!R101*Benelux!$R$94))/'H7H9 BENELUX'!$J$94</f>
        <v>-6.1502942679257511E-5</v>
      </c>
      <c r="K101" s="127">
        <f>IFERROR(+((Benelux!G101*Benelux!$G$94)+(Benelux!S101*Benelux!$S$94))/'H7H9 BENELUX'!$K$94,0)</f>
        <v>0</v>
      </c>
      <c r="L101" s="134"/>
      <c r="M101" s="131">
        <f>IFERROR(+((Benelux!I101*Benelux!$I$94)+(Benelux!U101*Benelux!$U$94))/'H7H9 BENELUX'!$M$94,0)</f>
        <v>0</v>
      </c>
      <c r="N101" s="127">
        <f>+IFERROR(((Benelux!J101*Benelux!$J$94)+(Benelux!V101*Benelux!$V$94))/'H7H9 BENELUX'!$N$94,0)</f>
        <v>0</v>
      </c>
      <c r="O101" s="127">
        <f>IFERROR(+((Benelux!K101*Benelux!$K$94)+(Benelux!W101*Benelux!$W$94))/'H7H9 BENELUX'!$O$94,0)</f>
        <v>0</v>
      </c>
      <c r="P101" s="134"/>
      <c r="Q101" s="131"/>
      <c r="R101" s="127"/>
      <c r="S101" s="127"/>
      <c r="T101" s="134"/>
      <c r="U101" s="129">
        <f t="shared" si="162"/>
        <v>0</v>
      </c>
      <c r="V101" s="130">
        <f t="shared" si="163"/>
        <v>-6.1502942679257511E-5</v>
      </c>
      <c r="W101" s="130">
        <f t="shared" si="161"/>
        <v>0</v>
      </c>
      <c r="X101" s="134"/>
      <c r="Y101" s="131"/>
      <c r="Z101" s="127"/>
      <c r="AA101" s="127"/>
      <c r="AB101" s="134"/>
      <c r="AC101" s="128">
        <f>+((Benelux!M101*Benelux!$M$94)+(Benelux!Y101*Benelux!$Y$94))/'H7H9 BENELUX'!$AC$94</f>
        <v>-2.0393754250092457E-2</v>
      </c>
      <c r="AD101" s="127">
        <f>+((Benelux!N101*Benelux!$N$94)+(Benelux!Z101*Benelux!$Z$94))/'H7H9 BENELUX'!$AD$94</f>
        <v>-2.1720833568379717E-2</v>
      </c>
      <c r="AE101" s="127">
        <f>+((Benelux!O101*Benelux!$O$94)+(Benelux!AA101*Benelux!$AA$94))/'H7H9 BENELUX'!$AE$94</f>
        <v>-1.2521088167949276E-2</v>
      </c>
      <c r="AF101" s="134"/>
      <c r="AG101" s="131"/>
      <c r="AH101" s="127"/>
      <c r="AI101" s="127"/>
      <c r="AJ101" s="134"/>
      <c r="AK101" s="131"/>
      <c r="AL101" s="127"/>
      <c r="AM101" s="127"/>
      <c r="AN101" s="134"/>
      <c r="AO101" s="129">
        <f t="shared" si="156"/>
        <v>-2.0393754250092457E-2</v>
      </c>
      <c r="AP101" s="130">
        <f t="shared" si="151"/>
        <v>-2.1720833568379717E-2</v>
      </c>
      <c r="AQ101" s="130">
        <f t="shared" si="152"/>
        <v>-1.2521088167949276E-2</v>
      </c>
      <c r="AR101" s="134"/>
      <c r="AS101" s="162">
        <f t="shared" si="164"/>
        <v>-2.0391168000389821E-2</v>
      </c>
      <c r="AT101" s="163">
        <f t="shared" si="165"/>
        <v>-2.171670543075991E-2</v>
      </c>
      <c r="AU101" s="163">
        <f t="shared" si="166"/>
        <v>-1.2521088167949276E-2</v>
      </c>
      <c r="AW101" s="109"/>
      <c r="BA101" s="109"/>
      <c r="BE101" s="109"/>
      <c r="BI101" s="109"/>
      <c r="BM101" s="109"/>
    </row>
    <row r="102" spans="1:65" ht="16.5" hidden="1" outlineLevel="1" x14ac:dyDescent="0.25">
      <c r="A102" s="212"/>
      <c r="B102" s="9"/>
      <c r="C102" s="116" t="s">
        <v>57</v>
      </c>
      <c r="D102" s="7"/>
      <c r="E102" s="131"/>
      <c r="F102" s="127"/>
      <c r="G102" s="127"/>
      <c r="H102" s="134"/>
      <c r="I102" s="128">
        <f>+((Benelux!E102*Benelux!$E$94)+(Benelux!Q102*Benelux!$Q$94))/'H7H9 BENELUX'!$I$94</f>
        <v>2.8149475059430416E-2</v>
      </c>
      <c r="J102" s="127">
        <f>+((Benelux!F102*Benelux!$F$94)+(Benelux!R102*Benelux!$R$94))/'H7H9 BENELUX'!$J$94</f>
        <v>-1.9207842098291177E-3</v>
      </c>
      <c r="K102" s="127">
        <f>IFERROR(+((Benelux!G102*Benelux!$G$94)+(Benelux!S102*Benelux!$S$94))/'H7H9 BENELUX'!$K$94,0)</f>
        <v>0</v>
      </c>
      <c r="L102" s="134"/>
      <c r="M102" s="131">
        <f>IFERROR(+((Benelux!I102*Benelux!$I$94)+(Benelux!U102*Benelux!$U$94))/'H7H9 BENELUX'!$M$94,0)</f>
        <v>0</v>
      </c>
      <c r="N102" s="127">
        <f>+IFERROR(((Benelux!J102*Benelux!$J$94)+(Benelux!V102*Benelux!$V$94))/'H7H9 BENELUX'!$N$94,0)</f>
        <v>0</v>
      </c>
      <c r="O102" s="127">
        <f>IFERROR(+((Benelux!K102*Benelux!$K$94)+(Benelux!W102*Benelux!$W$94))/'H7H9 BENELUX'!$O$94,0)</f>
        <v>0</v>
      </c>
      <c r="P102" s="134"/>
      <c r="Q102" s="131"/>
      <c r="R102" s="127"/>
      <c r="S102" s="127"/>
      <c r="T102" s="134"/>
      <c r="U102" s="129">
        <f t="shared" si="162"/>
        <v>2.8149475059430416E-2</v>
      </c>
      <c r="V102" s="130">
        <f t="shared" si="163"/>
        <v>-1.9207842098291177E-3</v>
      </c>
      <c r="W102" s="130">
        <f t="shared" si="161"/>
        <v>0</v>
      </c>
      <c r="X102" s="134"/>
      <c r="Y102" s="131"/>
      <c r="Z102" s="127"/>
      <c r="AA102" s="127"/>
      <c r="AB102" s="134"/>
      <c r="AC102" s="128">
        <f>+((Benelux!M102*Benelux!$N$94)+(Benelux!Y102*Benelux!$Y$94))/'H7H9 BENELUX'!$AC$94</f>
        <v>7.0919618723153284E-3</v>
      </c>
      <c r="AD102" s="127">
        <f>+((Benelux!N102*Benelux!$N$94)+(Benelux!Z102*Benelux!$Z$94))/'H7H9 BENELUX'!$AD$94</f>
        <v>0.10311319971867348</v>
      </c>
      <c r="AE102" s="127">
        <f>+((Benelux!O102*Benelux!$O$94)+(Benelux!AA102*Benelux!$AA$94))/'H7H9 BENELUX'!$AE$94</f>
        <v>-7.4775121226765742E-3</v>
      </c>
      <c r="AF102" s="134"/>
      <c r="AG102" s="131"/>
      <c r="AH102" s="127"/>
      <c r="AI102" s="127"/>
      <c r="AJ102" s="134"/>
      <c r="AK102" s="131"/>
      <c r="AL102" s="127"/>
      <c r="AM102" s="127"/>
      <c r="AN102" s="134"/>
      <c r="AO102" s="129">
        <f t="shared" si="156"/>
        <v>7.0919618723153284E-3</v>
      </c>
      <c r="AP102" s="130">
        <f t="shared" si="151"/>
        <v>0.10311319971867348</v>
      </c>
      <c r="AQ102" s="130">
        <f t="shared" si="152"/>
        <v>-7.4775121226765742E-3</v>
      </c>
      <c r="AR102" s="134"/>
      <c r="AS102" s="164">
        <f t="shared" si="164"/>
        <v>7.0946322971204229E-3</v>
      </c>
      <c r="AT102" s="163">
        <f t="shared" si="165"/>
        <v>0.10309318087562122</v>
      </c>
      <c r="AU102" s="163">
        <f t="shared" si="166"/>
        <v>-7.4775121226765742E-3</v>
      </c>
      <c r="AW102" s="109"/>
      <c r="BA102" s="109"/>
      <c r="BE102" s="109"/>
      <c r="BI102" s="109"/>
      <c r="BM102" s="109"/>
    </row>
    <row r="103" spans="1:65" ht="16.5" hidden="1" outlineLevel="1" x14ac:dyDescent="0.25">
      <c r="A103" s="212"/>
      <c r="B103" s="9"/>
      <c r="C103" s="116" t="s">
        <v>29</v>
      </c>
      <c r="D103" s="7"/>
      <c r="E103" s="131"/>
      <c r="F103" s="127"/>
      <c r="G103" s="127"/>
      <c r="H103" s="134"/>
      <c r="I103" s="131">
        <f>+((Benelux!E103*Benelux!$E$94)+(Benelux!Q103*Benelux!$Q$94))/'H7H9 BENELUX'!$I$94</f>
        <v>0</v>
      </c>
      <c r="J103" s="127">
        <f>+((Benelux!F103*Benelux!$F$94)+(Benelux!R103*Benelux!$R$94))/'H7H9 BENELUX'!$J$94</f>
        <v>8.98889162235301E-5</v>
      </c>
      <c r="K103" s="127">
        <f>IFERROR(+((Benelux!G103*Benelux!$G$94)+(Benelux!S103*Benelux!$S$94))/'H7H9 BENELUX'!$K$94,0)</f>
        <v>0</v>
      </c>
      <c r="L103" s="134"/>
      <c r="M103" s="131">
        <f>IFERROR(+((Benelux!I103*Benelux!$I$94)+(Benelux!U103*Benelux!$U$94))/'H7H9 BENELUX'!$M$94,0)</f>
        <v>0</v>
      </c>
      <c r="N103" s="127">
        <f>+IFERROR(((Benelux!J103*Benelux!$J$94)+(Benelux!V103*Benelux!$V$94))/'H7H9 BENELUX'!$N$94,0)</f>
        <v>0</v>
      </c>
      <c r="O103" s="127">
        <f>IFERROR(+((Benelux!K103*Benelux!$K$94)+(Benelux!W103*Benelux!$W$94))/'H7H9 BENELUX'!$O$94,0)</f>
        <v>0</v>
      </c>
      <c r="P103" s="134"/>
      <c r="Q103" s="131"/>
      <c r="R103" s="127"/>
      <c r="S103" s="127"/>
      <c r="T103" s="134"/>
      <c r="U103" s="133">
        <f t="shared" si="162"/>
        <v>0</v>
      </c>
      <c r="V103" s="130">
        <f t="shared" si="163"/>
        <v>8.98889162235301E-5</v>
      </c>
      <c r="W103" s="130">
        <f t="shared" si="161"/>
        <v>0</v>
      </c>
      <c r="X103" s="134"/>
      <c r="Y103" s="131"/>
      <c r="Z103" s="127"/>
      <c r="AA103" s="127"/>
      <c r="AB103" s="134"/>
      <c r="AC103" s="126">
        <f>+((Benelux!M103*Benelux!$O$94)+(Benelux!Y103*Benelux!$Y$94))/'H7H9 BENELUX'!$AC$94</f>
        <v>-2.1335991181926528E-2</v>
      </c>
      <c r="AD103" s="127">
        <f>+((Benelux!N103*Benelux!$N$94)+(Benelux!Z103*Benelux!$Z$94))/'H7H9 BENELUX'!$AD$94</f>
        <v>-1.6316999719645248E-2</v>
      </c>
      <c r="AE103" s="127">
        <f>+((Benelux!O103*Benelux!$O$94)+(Benelux!AA103*Benelux!$AA$94))/'H7H9 BENELUX'!$AE$94</f>
        <v>0</v>
      </c>
      <c r="AF103" s="134"/>
      <c r="AG103" s="131"/>
      <c r="AH103" s="127"/>
      <c r="AI103" s="127"/>
      <c r="AJ103" s="134"/>
      <c r="AK103" s="131"/>
      <c r="AL103" s="127"/>
      <c r="AM103" s="127"/>
      <c r="AN103" s="134"/>
      <c r="AO103" s="132">
        <f t="shared" si="156"/>
        <v>-2.1335991181926528E-2</v>
      </c>
      <c r="AP103" s="130">
        <f t="shared" si="151"/>
        <v>-1.6316999719645248E-2</v>
      </c>
      <c r="AQ103" s="130">
        <f t="shared" si="152"/>
        <v>0</v>
      </c>
      <c r="AR103" s="134"/>
      <c r="AS103" s="162">
        <f t="shared" si="164"/>
        <v>-2.1333285441719353E-2</v>
      </c>
      <c r="AT103" s="163">
        <f t="shared" si="165"/>
        <v>-1.6313872665749993E-2</v>
      </c>
      <c r="AU103" s="163">
        <f t="shared" si="166"/>
        <v>0</v>
      </c>
      <c r="AW103" s="109"/>
      <c r="BA103" s="109"/>
      <c r="BE103" s="109"/>
      <c r="BI103" s="109"/>
      <c r="BM103" s="109"/>
    </row>
    <row r="104" spans="1:65" ht="16.5" hidden="1" outlineLevel="1" x14ac:dyDescent="0.25">
      <c r="A104" s="212"/>
      <c r="B104" s="9"/>
      <c r="C104" s="116" t="s">
        <v>58</v>
      </c>
      <c r="D104" s="7"/>
      <c r="E104" s="131"/>
      <c r="F104" s="127"/>
      <c r="G104" s="127"/>
      <c r="H104" s="134"/>
      <c r="I104" s="128">
        <f>+I105+I106+I107</f>
        <v>0.9450007744472807</v>
      </c>
      <c r="J104" s="127">
        <f t="shared" ref="J104" si="167">+J105+J106+J107</f>
        <v>0.41425070491834315</v>
      </c>
      <c r="K104" s="127">
        <f t="shared" ref="K104" si="168">+K105+K106+K107</f>
        <v>0</v>
      </c>
      <c r="L104" s="134"/>
      <c r="M104" s="131">
        <f>+M105+M106+M107</f>
        <v>0</v>
      </c>
      <c r="N104" s="127">
        <f>+N105+N106+N107</f>
        <v>0</v>
      </c>
      <c r="O104" s="127">
        <f>+O105+O106+O107</f>
        <v>0</v>
      </c>
      <c r="P104" s="134"/>
      <c r="Q104" s="131"/>
      <c r="R104" s="127"/>
      <c r="S104" s="127"/>
      <c r="T104" s="134"/>
      <c r="U104" s="129">
        <f>+U105+U106+U107</f>
        <v>0.9450007744472807</v>
      </c>
      <c r="V104" s="130">
        <f>+V105+V106+V107</f>
        <v>0.41425070491834315</v>
      </c>
      <c r="W104" s="130">
        <f>+W105+W106+W107</f>
        <v>0</v>
      </c>
      <c r="X104" s="134"/>
      <c r="Y104" s="131"/>
      <c r="Z104" s="127"/>
      <c r="AA104" s="127"/>
      <c r="AB104" s="134"/>
      <c r="AC104" s="128">
        <f>+AC105+AC106+AC107</f>
        <v>0.34986718190968669</v>
      </c>
      <c r="AD104" s="127">
        <f>+AD105+AD106+AD107</f>
        <v>0.33048463493647973</v>
      </c>
      <c r="AE104" s="127">
        <f>+AE105+AE106+AE107</f>
        <v>0.32926180557774176</v>
      </c>
      <c r="AF104" s="134"/>
      <c r="AG104" s="131"/>
      <c r="AH104" s="127"/>
      <c r="AI104" s="127"/>
      <c r="AJ104" s="134"/>
      <c r="AK104" s="131"/>
      <c r="AL104" s="127"/>
      <c r="AM104" s="127"/>
      <c r="AN104" s="134"/>
      <c r="AO104" s="129">
        <f t="shared" si="156"/>
        <v>0.34986718190968669</v>
      </c>
      <c r="AP104" s="130">
        <f t="shared" si="151"/>
        <v>0.33048463493647973</v>
      </c>
      <c r="AQ104" s="130">
        <f t="shared" si="152"/>
        <v>0.32926180557774176</v>
      </c>
      <c r="AR104" s="134"/>
      <c r="AS104" s="164">
        <f>+AS105+AS106+AS107</f>
        <v>0.34994265423605947</v>
      </c>
      <c r="AT104" s="163">
        <f>+AT105+AT106+AT107</f>
        <v>0.33050060024356748</v>
      </c>
      <c r="AU104" s="163">
        <f>+AU105+AU106+AU107</f>
        <v>0.32926180557774176</v>
      </c>
      <c r="AW104" s="109"/>
      <c r="BA104" s="109"/>
      <c r="BE104" s="109"/>
      <c r="BI104" s="109"/>
      <c r="BM104" s="109"/>
    </row>
    <row r="105" spans="1:65" ht="16.5" hidden="1" outlineLevel="1" x14ac:dyDescent="0.25">
      <c r="A105" s="212"/>
      <c r="B105" s="9"/>
      <c r="C105" s="39" t="s">
        <v>59</v>
      </c>
      <c r="D105" s="8"/>
      <c r="E105" s="97"/>
      <c r="F105" s="42"/>
      <c r="G105" s="42"/>
      <c r="H105" s="135"/>
      <c r="I105" s="73">
        <f>+((Benelux!E105*Benelux!$E$94)+(Benelux!Q105*Benelux!$Q$94))/'H7H9 BENELUX'!$I$94</f>
        <v>0.94489302526045027</v>
      </c>
      <c r="J105" s="42">
        <f>+((Benelux!F105*Benelux!$F$94)+(Benelux!R105*Benelux!$R$94))/'H7H9 BENELUX'!$J$94</f>
        <v>0.36865810041065056</v>
      </c>
      <c r="K105" s="42">
        <f>IFERROR(+((Benelux!G105*Benelux!$G$94)+(Benelux!S105*Benelux!$S$94))/'H7H9 BENELUX'!$K$94,0)</f>
        <v>0</v>
      </c>
      <c r="L105" s="135"/>
      <c r="M105" s="97">
        <f>IFERROR(+((Benelux!I105*Benelux!$I$94)+(Benelux!U105*Benelux!$U$94))/'H7H9 BENELUX'!$M$94,0)</f>
        <v>0</v>
      </c>
      <c r="N105" s="42">
        <f>+IFERROR(((Benelux!J105*Benelux!$J$94)+(Benelux!V105*Benelux!$V$94))/'H7H9 BENELUX'!$N$94,0)</f>
        <v>0</v>
      </c>
      <c r="O105" s="42">
        <f>IFERROR(+((Benelux!K105*Benelux!$K$94)+(Benelux!W105*Benelux!$W$94))/'H7H9 BENELUX'!$O$94,0)</f>
        <v>0</v>
      </c>
      <c r="P105" s="135"/>
      <c r="Q105" s="97"/>
      <c r="R105" s="42"/>
      <c r="S105" s="42"/>
      <c r="T105" s="135"/>
      <c r="U105" s="84">
        <f t="shared" ref="U105:U107" si="169">+((I105*$I$94)+(M105*$M$94))/$U$94</f>
        <v>0.94489302526045027</v>
      </c>
      <c r="V105" s="60">
        <f>+IFERROR(((J105*$J$94)+(N105*$N$94))/$V$94,0)</f>
        <v>0.36865810041065056</v>
      </c>
      <c r="W105" s="60">
        <f>IFERROR(+((K105*$K$94)+(O105*$O$94))/$W$94,0)</f>
        <v>0</v>
      </c>
      <c r="X105" s="135"/>
      <c r="Y105" s="97"/>
      <c r="Z105" s="42"/>
      <c r="AA105" s="42"/>
      <c r="AB105" s="135"/>
      <c r="AC105" s="74">
        <f>+((Benelux!M105*Benelux!$M$94)+(Benelux!Y105*Benelux!$Y$94))/'H7H9 BENELUX'!$AC$94</f>
        <v>0.15334642249690306</v>
      </c>
      <c r="AD105" s="42">
        <f>+((Benelux!N105*Benelux!$N$94)+(Benelux!Z105*Benelux!$Z$94))/'H7H9 BENELUX'!$AD$94</f>
        <v>0.15219682262755441</v>
      </c>
      <c r="AE105" s="42">
        <f>+((Benelux!O105*Benelux!$O$94)+(Benelux!AA105*Benelux!$AA$94))/'H7H9 BENELUX'!$AE$94</f>
        <v>0.15999291642353386</v>
      </c>
      <c r="AF105" s="135"/>
      <c r="AG105" s="97"/>
      <c r="AH105" s="42"/>
      <c r="AI105" s="42"/>
      <c r="AJ105" s="135"/>
      <c r="AK105" s="97"/>
      <c r="AL105" s="42"/>
      <c r="AM105" s="42"/>
      <c r="AN105" s="135"/>
      <c r="AO105" s="85">
        <f t="shared" si="156"/>
        <v>0.15334642249690306</v>
      </c>
      <c r="AP105" s="60">
        <f t="shared" si="151"/>
        <v>0.15219682262755441</v>
      </c>
      <c r="AQ105" s="60">
        <f t="shared" si="152"/>
        <v>0.15999291642353386</v>
      </c>
      <c r="AR105" s="135"/>
      <c r="AS105" s="93">
        <f t="shared" ref="AS105:AS107" si="170">+((U105*$U$94)+(AO105*$AO$94))/$AS$94</f>
        <v>0.1534468030909279</v>
      </c>
      <c r="AT105" s="68">
        <f t="shared" ref="AT105:AT107" si="171">+((V105*$V$94)+(AP105*$AP$94))/$AT$94</f>
        <v>0.1522380788399226</v>
      </c>
      <c r="AU105" s="68">
        <f t="shared" ref="AU105:AU107" si="172">+((W105*$W$94)+(AQ105*$AQ$94))/$AU$94</f>
        <v>0.15999291642353386</v>
      </c>
      <c r="AW105" s="109"/>
      <c r="BA105" s="109"/>
      <c r="BE105" s="109"/>
      <c r="BI105" s="109"/>
      <c r="BM105" s="109"/>
    </row>
    <row r="106" spans="1:65" ht="16.5" hidden="1" outlineLevel="1" x14ac:dyDescent="0.25">
      <c r="A106" s="212"/>
      <c r="B106" s="9"/>
      <c r="C106" s="39" t="s">
        <v>60</v>
      </c>
      <c r="D106" s="8"/>
      <c r="E106" s="97"/>
      <c r="F106" s="42"/>
      <c r="G106" s="42"/>
      <c r="H106" s="135"/>
      <c r="I106" s="97">
        <f>+((Benelux!E106*Benelux!$E$94)+(Benelux!Q106*Benelux!$Q$94))/'H7H9 BENELUX'!$I$94</f>
        <v>9.4280538476561204E-5</v>
      </c>
      <c r="J106" s="42">
        <f>+((Benelux!F106*Benelux!$F$94)+(Benelux!R106*Benelux!$R$94))/'H7H9 BENELUX'!$J$94</f>
        <v>2.2708778835418141E-3</v>
      </c>
      <c r="K106" s="42">
        <f>IFERROR(+((Benelux!G106*Benelux!$G$94)+(Benelux!S106*Benelux!$S$94))/'H7H9 BENELUX'!$K$94,0)</f>
        <v>0</v>
      </c>
      <c r="L106" s="135"/>
      <c r="M106" s="97">
        <f>IFERROR(+((Benelux!I106*Benelux!$I$94)+(Benelux!U106*Benelux!$U$94))/'H7H9 BENELUX'!$M$94,0)</f>
        <v>0</v>
      </c>
      <c r="N106" s="42">
        <f>+IFERROR(((Benelux!J106*Benelux!$J$94)+(Benelux!V106*Benelux!$V$94))/'H7H9 BENELUX'!$N$94,0)</f>
        <v>0</v>
      </c>
      <c r="O106" s="42">
        <f>IFERROR(+((Benelux!K106*Benelux!$K$94)+(Benelux!W106*Benelux!$W$94))/'H7H9 BENELUX'!$O$94,0)</f>
        <v>0</v>
      </c>
      <c r="P106" s="135"/>
      <c r="Q106" s="97"/>
      <c r="R106" s="42"/>
      <c r="S106" s="42"/>
      <c r="T106" s="135"/>
      <c r="U106" s="99">
        <f t="shared" si="169"/>
        <v>9.4280538476561204E-5</v>
      </c>
      <c r="V106" s="60">
        <f>+IFERROR(((J106*$J$94)+(N106*$N$94))/$V$94,0)</f>
        <v>2.2708778835418141E-3</v>
      </c>
      <c r="W106" s="60">
        <f>IFERROR(+((K106*$K$94)+(O106*$O$94))/$W$94,0)</f>
        <v>0</v>
      </c>
      <c r="X106" s="135"/>
      <c r="Y106" s="97"/>
      <c r="Z106" s="42"/>
      <c r="AA106" s="42"/>
      <c r="AB106" s="135"/>
      <c r="AC106" s="73">
        <f>+((Benelux!M106*Benelux!$M$94)+(Benelux!Y106*Benelux!$Y$94))/'H7H9 BENELUX'!$AC$94</f>
        <v>8.3894018349528074E-2</v>
      </c>
      <c r="AD106" s="42">
        <f>+((Benelux!N106*Benelux!$N$94)+(Benelux!Z106*Benelux!$Z$94))/'H7H9 BENELUX'!$AD$94</f>
        <v>7.3839609805765372E-2</v>
      </c>
      <c r="AE106" s="42">
        <f>+((Benelux!O106*Benelux!$O$94)+(Benelux!AA106*Benelux!$AA$94))/'H7H9 BENELUX'!$AE$94</f>
        <v>6.4389550498410816E-2</v>
      </c>
      <c r="AF106" s="135"/>
      <c r="AG106" s="97"/>
      <c r="AH106" s="42"/>
      <c r="AI106" s="42"/>
      <c r="AJ106" s="135"/>
      <c r="AK106" s="97"/>
      <c r="AL106" s="42"/>
      <c r="AM106" s="42"/>
      <c r="AN106" s="135"/>
      <c r="AO106" s="84">
        <f t="shared" si="156"/>
        <v>8.3894018349528074E-2</v>
      </c>
      <c r="AP106" s="60">
        <f t="shared" si="151"/>
        <v>7.3839609805765372E-2</v>
      </c>
      <c r="AQ106" s="60">
        <f t="shared" si="152"/>
        <v>6.4389550498410816E-2</v>
      </c>
      <c r="AR106" s="135"/>
      <c r="AS106" s="92">
        <f t="shared" si="170"/>
        <v>8.3883391221028961E-2</v>
      </c>
      <c r="AT106" s="68">
        <f t="shared" si="171"/>
        <v>7.3825969237653846E-2</v>
      </c>
      <c r="AU106" s="68">
        <f t="shared" si="172"/>
        <v>6.4389550498410816E-2</v>
      </c>
      <c r="AW106" s="109"/>
      <c r="BA106" s="109"/>
      <c r="BE106" s="109"/>
      <c r="BI106" s="109"/>
      <c r="BM106" s="109"/>
    </row>
    <row r="107" spans="1:65" ht="16.5" hidden="1" outlineLevel="1" x14ac:dyDescent="0.25">
      <c r="A107" s="212"/>
      <c r="B107" s="9"/>
      <c r="C107" s="39" t="s">
        <v>61</v>
      </c>
      <c r="D107" s="8"/>
      <c r="E107" s="97"/>
      <c r="F107" s="42"/>
      <c r="G107" s="42"/>
      <c r="H107" s="135"/>
      <c r="I107" s="97">
        <f>+((Benelux!E107*Benelux!$E$94)+(Benelux!Q107*Benelux!$Q$94))/'H7H9 BENELUX'!$I$94</f>
        <v>1.3468648353794457E-5</v>
      </c>
      <c r="J107" s="42">
        <f>+((Benelux!F107*Benelux!$F$94)+(Benelux!R107*Benelux!$R$94))/'H7H9 BENELUX'!$J$94</f>
        <v>4.3321726624150805E-2</v>
      </c>
      <c r="K107" s="42">
        <f>IFERROR(+((Benelux!G107*Benelux!$G$94)+(Benelux!S107*Benelux!$S$94))/'H7H9 BENELUX'!$K$94,0)</f>
        <v>0</v>
      </c>
      <c r="L107" s="135"/>
      <c r="M107" s="97">
        <f>IFERROR(+((Benelux!I107*Benelux!$I$94)+(Benelux!U107*Benelux!$U$94))/'H7H9 BENELUX'!$M$94,0)</f>
        <v>0</v>
      </c>
      <c r="N107" s="42">
        <f>+IFERROR(((Benelux!J107*Benelux!$J$94)+(Benelux!V107*Benelux!$V$94))/'H7H9 BENELUX'!$N$94,0)</f>
        <v>0</v>
      </c>
      <c r="O107" s="42">
        <f>IFERROR(+((Benelux!K107*Benelux!$K$94)+(Benelux!W107*Benelux!$W$94))/'H7H9 BENELUX'!$O$94,0)</f>
        <v>0</v>
      </c>
      <c r="P107" s="135"/>
      <c r="Q107" s="97"/>
      <c r="R107" s="42"/>
      <c r="S107" s="42"/>
      <c r="T107" s="135"/>
      <c r="U107" s="99">
        <f t="shared" si="169"/>
        <v>1.3468648353794457E-5</v>
      </c>
      <c r="V107" s="60">
        <f>+IFERROR(((J107*$J$94)+(N107*$N$94))/$V$94,0)</f>
        <v>4.3321726624150805E-2</v>
      </c>
      <c r="W107" s="60">
        <f>IFERROR(+((K107*$K$94)+(O107*$O$94))/$W$94,0)</f>
        <v>0</v>
      </c>
      <c r="X107" s="135"/>
      <c r="Y107" s="97"/>
      <c r="Z107" s="42"/>
      <c r="AA107" s="42"/>
      <c r="AB107" s="135"/>
      <c r="AC107" s="73">
        <f>+((Benelux!M107*Benelux!$M$94)+(Benelux!Y107*Benelux!$Y$94))/'H7H9 BENELUX'!$AC$94</f>
        <v>0.11262674106325553</v>
      </c>
      <c r="AD107" s="42">
        <f>+((Benelux!N107*Benelux!$N$94)+(Benelux!Z107*Benelux!$Z$94))/'H7H9 BENELUX'!$AD$94</f>
        <v>0.10444820250315992</v>
      </c>
      <c r="AE107" s="42">
        <f>+((Benelux!O107*Benelux!$O$94)+(Benelux!AA107*Benelux!$AA$94))/'H7H9 BENELUX'!$AE$94</f>
        <v>0.10487933865579706</v>
      </c>
      <c r="AF107" s="135"/>
      <c r="AG107" s="97"/>
      <c r="AH107" s="42"/>
      <c r="AI107" s="42"/>
      <c r="AJ107" s="135"/>
      <c r="AK107" s="97"/>
      <c r="AL107" s="42"/>
      <c r="AM107" s="42"/>
      <c r="AN107" s="135"/>
      <c r="AO107" s="84">
        <f t="shared" si="156"/>
        <v>0.11262674106325553</v>
      </c>
      <c r="AP107" s="60">
        <f t="shared" si="151"/>
        <v>0.10444820250315992</v>
      </c>
      <c r="AQ107" s="60">
        <f t="shared" si="152"/>
        <v>0.10487933865579706</v>
      </c>
      <c r="AR107" s="135"/>
      <c r="AS107" s="92">
        <f t="shared" si="170"/>
        <v>0.11261245992410261</v>
      </c>
      <c r="AT107" s="68">
        <f t="shared" si="171"/>
        <v>0.104436552165991</v>
      </c>
      <c r="AU107" s="68">
        <f t="shared" si="172"/>
        <v>0.10487933865579706</v>
      </c>
      <c r="AW107" s="109"/>
      <c r="BA107" s="109"/>
      <c r="BE107" s="109"/>
      <c r="BI107" s="109"/>
      <c r="BM107" s="109"/>
    </row>
    <row r="108" spans="1:65" ht="16.5" hidden="1" outlineLevel="1" x14ac:dyDescent="0.25">
      <c r="A108" s="212"/>
      <c r="B108" s="9"/>
      <c r="C108" s="116" t="s">
        <v>34</v>
      </c>
      <c r="D108" s="6"/>
      <c r="E108" s="121"/>
      <c r="F108" s="119"/>
      <c r="G108" s="119"/>
      <c r="H108" s="117"/>
      <c r="I108" s="118">
        <f>+Benelux!E108+Benelux!Q108</f>
        <v>2.0039769999999998E-2</v>
      </c>
      <c r="J108" s="119">
        <f>+Benelux!F108+Benelux!R108</f>
        <v>1.2374299999999994E-3</v>
      </c>
      <c r="K108" s="119">
        <f>+Benelux!G108+Benelux!S108</f>
        <v>0</v>
      </c>
      <c r="L108" s="117"/>
      <c r="M108" s="121">
        <f>+Benelux!I108+Benelux!U108</f>
        <v>-1.5561899999999801E-3</v>
      </c>
      <c r="N108" s="119">
        <f>+Benelux!J108+Benelux!V108</f>
        <v>0.12881977000000003</v>
      </c>
      <c r="O108" s="119">
        <f>+Benelux!K108+Benelux!W108</f>
        <v>0</v>
      </c>
      <c r="P108" s="117"/>
      <c r="Q108" s="121"/>
      <c r="R108" s="119"/>
      <c r="S108" s="119"/>
      <c r="T108" s="117"/>
      <c r="U108" s="122">
        <f t="shared" ref="U108:W108" si="173">+I108+M108</f>
        <v>1.8483580000000017E-2</v>
      </c>
      <c r="V108" s="123">
        <f t="shared" si="173"/>
        <v>0.13005720000000004</v>
      </c>
      <c r="W108" s="123">
        <f t="shared" si="173"/>
        <v>0</v>
      </c>
      <c r="X108" s="117"/>
      <c r="Y108" s="121"/>
      <c r="Z108" s="119"/>
      <c r="AA108" s="119"/>
      <c r="AB108" s="117"/>
      <c r="AC108" s="121">
        <f>+Benelux!M108+Benelux!Y108</f>
        <v>1.0829935699999935</v>
      </c>
      <c r="AD108" s="119">
        <f>+Benelux!N108+Benelux!Z108</f>
        <v>-0.63251414000000228</v>
      </c>
      <c r="AE108" s="119">
        <f>+Benelux!O108+Benelux!AA108</f>
        <v>1.3588259773164886</v>
      </c>
      <c r="AF108" s="117"/>
      <c r="AG108" s="121"/>
      <c r="AH108" s="119"/>
      <c r="AI108" s="119"/>
      <c r="AJ108" s="117"/>
      <c r="AK108" s="121"/>
      <c r="AL108" s="119"/>
      <c r="AM108" s="119"/>
      <c r="AN108" s="117"/>
      <c r="AO108" s="124">
        <f t="shared" si="156"/>
        <v>1.0829935699999935</v>
      </c>
      <c r="AP108" s="123">
        <f t="shared" si="151"/>
        <v>-0.63251414000000228</v>
      </c>
      <c r="AQ108" s="123">
        <f t="shared" si="152"/>
        <v>1.3588259773164886</v>
      </c>
      <c r="AR108" s="117"/>
      <c r="AS108" s="161">
        <f t="shared" ref="AS108:AU108" si="174">+U108+AO108</f>
        <v>1.1014771499999936</v>
      </c>
      <c r="AT108" s="160">
        <f t="shared" si="174"/>
        <v>-0.50245694000000229</v>
      </c>
      <c r="AU108" s="160">
        <f t="shared" si="174"/>
        <v>1.3588259773164886</v>
      </c>
      <c r="AW108" s="108"/>
      <c r="BA108" s="108"/>
      <c r="BE108" s="108"/>
      <c r="BI108" s="108"/>
      <c r="BM108" s="108"/>
    </row>
    <row r="109" spans="1:65" hidden="1" outlineLevel="1" x14ac:dyDescent="0.35"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</row>
    <row r="110" spans="1:65" ht="16.5" hidden="1" collapsed="1" x14ac:dyDescent="0.25">
      <c r="A110" s="215" t="s">
        <v>63</v>
      </c>
      <c r="B110" s="9"/>
      <c r="C110" s="116" t="s">
        <v>19</v>
      </c>
      <c r="D110" s="6"/>
      <c r="E110" s="121"/>
      <c r="F110" s="119"/>
      <c r="G110" s="119"/>
      <c r="H110" s="117"/>
      <c r="I110" s="118" t="e">
        <f>+Benelux!E110+Benelux!Q110</f>
        <v>#VALUE!</v>
      </c>
      <c r="J110" s="119" t="e">
        <f>+Benelux!F110+Benelux!R110</f>
        <v>#VALUE!</v>
      </c>
      <c r="K110" s="119" t="e">
        <f>+Benelux!G110+Benelux!S110</f>
        <v>#VALUE!</v>
      </c>
      <c r="L110" s="117"/>
      <c r="M110" s="118" t="e">
        <f>+Benelux!I110+Benelux!U110</f>
        <v>#VALUE!</v>
      </c>
      <c r="N110" s="119" t="e">
        <f>+Benelux!J110+Benelux!V110</f>
        <v>#VALUE!</v>
      </c>
      <c r="O110" s="119" t="e">
        <f>+Benelux!K110+Benelux!W110</f>
        <v>#VALUE!</v>
      </c>
      <c r="P110" s="117"/>
      <c r="Q110" s="121"/>
      <c r="R110" s="119"/>
      <c r="S110" s="119"/>
      <c r="T110" s="117"/>
      <c r="U110" s="122" t="e">
        <f t="shared" ref="U110:U111" si="175">+I110+M110</f>
        <v>#VALUE!</v>
      </c>
      <c r="V110" s="123" t="e">
        <f t="shared" ref="V110:V111" si="176">+J110+N110</f>
        <v>#VALUE!</v>
      </c>
      <c r="W110" s="123" t="e">
        <f t="shared" ref="W110:W111" si="177">+K110+O110</f>
        <v>#VALUE!</v>
      </c>
      <c r="X110" s="117"/>
      <c r="Y110" s="121"/>
      <c r="Z110" s="119"/>
      <c r="AA110" s="119"/>
      <c r="AB110" s="117"/>
      <c r="AC110" s="121"/>
      <c r="AD110" s="119"/>
      <c r="AE110" s="119"/>
      <c r="AF110" s="117"/>
      <c r="AG110" s="121">
        <f>+Benelux!M110+Benelux!Y110</f>
        <v>1345</v>
      </c>
      <c r="AH110" s="119">
        <f>+Benelux!N110+Benelux!Z110</f>
        <v>1345</v>
      </c>
      <c r="AI110" s="119">
        <f>+Benelux!O110+Benelux!AA110</f>
        <v>1345</v>
      </c>
      <c r="AJ110" s="117"/>
      <c r="AK110" s="121"/>
      <c r="AL110" s="119"/>
      <c r="AM110" s="119"/>
      <c r="AN110" s="117"/>
      <c r="AO110" s="124">
        <f>+AG110</f>
        <v>1345</v>
      </c>
      <c r="AP110" s="123">
        <f t="shared" ref="AP110:AP125" si="178">+AH110</f>
        <v>1345</v>
      </c>
      <c r="AQ110" s="123">
        <f t="shared" ref="AQ110:AQ125" si="179">+AI110</f>
        <v>1345</v>
      </c>
      <c r="AR110" s="117"/>
      <c r="AS110" s="159" t="e">
        <f t="shared" ref="AS110:AS111" si="180">+U110+AO110</f>
        <v>#VALUE!</v>
      </c>
      <c r="AT110" s="160" t="e">
        <f t="shared" ref="AT110:AT111" si="181">+V110+AP110</f>
        <v>#VALUE!</v>
      </c>
      <c r="AU110" s="160" t="e">
        <f t="shared" ref="AU110:AU111" si="182">+W110+AQ110</f>
        <v>#VALUE!</v>
      </c>
      <c r="AW110" s="108"/>
      <c r="BA110" s="108"/>
      <c r="BE110" s="108"/>
      <c r="BI110" s="108"/>
      <c r="BM110" s="108"/>
    </row>
    <row r="111" spans="1:65" ht="16.5" hidden="1" x14ac:dyDescent="0.25">
      <c r="A111" s="215"/>
      <c r="B111" s="9"/>
      <c r="C111" s="116" t="s">
        <v>55</v>
      </c>
      <c r="D111" s="6"/>
      <c r="E111" s="121"/>
      <c r="F111" s="119"/>
      <c r="G111" s="119"/>
      <c r="H111" s="117"/>
      <c r="I111" s="121" t="e">
        <f>+Benelux!E111+Benelux!Q111</f>
        <v>#VALUE!</v>
      </c>
      <c r="J111" s="119" t="e">
        <f>+Benelux!F111+Benelux!R111</f>
        <v>#VALUE!</v>
      </c>
      <c r="K111" s="119" t="e">
        <f>+Benelux!G111+Benelux!S111</f>
        <v>#VALUE!</v>
      </c>
      <c r="L111" s="117"/>
      <c r="M111" s="118" t="e">
        <f>+Benelux!I111+Benelux!U111</f>
        <v>#VALUE!</v>
      </c>
      <c r="N111" s="119" t="e">
        <f>+Benelux!J111+Benelux!V111</f>
        <v>#VALUE!</v>
      </c>
      <c r="O111" s="119" t="e">
        <f>+Benelux!K111+Benelux!W111</f>
        <v>#VALUE!</v>
      </c>
      <c r="P111" s="117"/>
      <c r="Q111" s="121"/>
      <c r="R111" s="119"/>
      <c r="S111" s="119"/>
      <c r="T111" s="117"/>
      <c r="U111" s="125" t="e">
        <f t="shared" si="175"/>
        <v>#VALUE!</v>
      </c>
      <c r="V111" s="123" t="e">
        <f t="shared" si="176"/>
        <v>#VALUE!</v>
      </c>
      <c r="W111" s="123" t="e">
        <f t="shared" si="177"/>
        <v>#VALUE!</v>
      </c>
      <c r="X111" s="117"/>
      <c r="Y111" s="121"/>
      <c r="Z111" s="119"/>
      <c r="AA111" s="119"/>
      <c r="AB111" s="117"/>
      <c r="AC111" s="121"/>
      <c r="AD111" s="119"/>
      <c r="AE111" s="119"/>
      <c r="AF111" s="117"/>
      <c r="AG111" s="121">
        <f>+Benelux!M111+Benelux!Y111</f>
        <v>1345</v>
      </c>
      <c r="AH111" s="119">
        <f>+Benelux!N111+Benelux!Z111</f>
        <v>1345</v>
      </c>
      <c r="AI111" s="119">
        <f>+Benelux!O111+Benelux!AA111</f>
        <v>1345</v>
      </c>
      <c r="AJ111" s="117"/>
      <c r="AK111" s="121"/>
      <c r="AL111" s="119"/>
      <c r="AM111" s="119"/>
      <c r="AN111" s="117"/>
      <c r="AO111" s="124">
        <f t="shared" ref="AO111:AO125" si="183">+AG111</f>
        <v>1345</v>
      </c>
      <c r="AP111" s="123">
        <f t="shared" si="178"/>
        <v>1345</v>
      </c>
      <c r="AQ111" s="123">
        <f t="shared" si="179"/>
        <v>1345</v>
      </c>
      <c r="AR111" s="117"/>
      <c r="AS111" s="161" t="e">
        <f t="shared" si="180"/>
        <v>#VALUE!</v>
      </c>
      <c r="AT111" s="160" t="e">
        <f t="shared" si="181"/>
        <v>#VALUE!</v>
      </c>
      <c r="AU111" s="160" t="e">
        <f t="shared" si="182"/>
        <v>#VALUE!</v>
      </c>
      <c r="AW111" s="108"/>
      <c r="BA111" s="108"/>
      <c r="BE111" s="108"/>
      <c r="BI111" s="108"/>
      <c r="BM111" s="108"/>
    </row>
    <row r="112" spans="1:65" ht="16.5" hidden="1" x14ac:dyDescent="0.25">
      <c r="A112" s="215"/>
      <c r="B112" s="9"/>
      <c r="C112" s="116" t="s">
        <v>21</v>
      </c>
      <c r="D112" s="6"/>
      <c r="E112" s="131"/>
      <c r="F112" s="127"/>
      <c r="G112" s="127"/>
      <c r="H112" s="117"/>
      <c r="I112" s="128" t="e">
        <f>+I113+I118+I119+I120+I121</f>
        <v>#VALUE!</v>
      </c>
      <c r="J112" s="127" t="e">
        <f t="shared" ref="J112" si="184">+J113+J118+J119+J120+J121</f>
        <v>#VALUE!</v>
      </c>
      <c r="K112" s="127" t="e">
        <f t="shared" ref="K112" si="185">+K113+K118+K119+K120+K121</f>
        <v>#VALUE!</v>
      </c>
      <c r="L112" s="117"/>
      <c r="M112" s="128" t="e">
        <f>+M113+M118+M119+M120+M121</f>
        <v>#VALUE!</v>
      </c>
      <c r="N112" s="127" t="e">
        <f>+N113+N118+N119+N120+N121</f>
        <v>#VALUE!</v>
      </c>
      <c r="O112" s="127" t="e">
        <f>+O113+O118+O119+O120+O121</f>
        <v>#VALUE!</v>
      </c>
      <c r="P112" s="117"/>
      <c r="Q112" s="131"/>
      <c r="R112" s="127"/>
      <c r="S112" s="127"/>
      <c r="T112" s="117"/>
      <c r="U112" s="129" t="e">
        <f>+U113+U118+U119+U120+U121</f>
        <v>#VALUE!</v>
      </c>
      <c r="V112" s="130" t="e">
        <f>+V113+V118+V119+V120+V121</f>
        <v>#VALUE!</v>
      </c>
      <c r="W112" s="130" t="e">
        <f>+W113+W118+W119+W120+W121</f>
        <v>#VALUE!</v>
      </c>
      <c r="X112" s="117"/>
      <c r="Y112" s="131"/>
      <c r="Z112" s="127"/>
      <c r="AA112" s="127"/>
      <c r="AB112" s="117"/>
      <c r="AC112" s="131"/>
      <c r="AD112" s="127"/>
      <c r="AE112" s="127"/>
      <c r="AF112" s="117"/>
      <c r="AG112" s="126">
        <f>+AG113+AG118+AG119+AG120+AG121</f>
        <v>13450</v>
      </c>
      <c r="AH112" s="127">
        <f>+AH113+AH118+AH119+AH120+AH121</f>
        <v>13450</v>
      </c>
      <c r="AI112" s="127">
        <f>+AI113+AI118+AI119+AI120+AI121</f>
        <v>13450</v>
      </c>
      <c r="AJ112" s="117"/>
      <c r="AK112" s="131"/>
      <c r="AL112" s="127"/>
      <c r="AM112" s="127"/>
      <c r="AN112" s="117"/>
      <c r="AO112" s="132">
        <f t="shared" si="183"/>
        <v>13450</v>
      </c>
      <c r="AP112" s="130">
        <f t="shared" si="178"/>
        <v>13450</v>
      </c>
      <c r="AQ112" s="130">
        <f t="shared" si="179"/>
        <v>13450</v>
      </c>
      <c r="AR112" s="117"/>
      <c r="AS112" s="164" t="e">
        <f>+AS113+AS118+AS119+AS120+AS121</f>
        <v>#VALUE!</v>
      </c>
      <c r="AT112" s="163" t="e">
        <f>+AT113+AT118+AT119+AT120+AT121</f>
        <v>#VALUE!</v>
      </c>
      <c r="AU112" s="163" t="e">
        <f>+AU113+AU118+AU119+AU120+AU121</f>
        <v>#VALUE!</v>
      </c>
      <c r="AW112" s="109"/>
      <c r="BA112" s="109"/>
      <c r="BE112" s="109"/>
      <c r="BI112" s="109"/>
      <c r="BM112" s="109"/>
    </row>
    <row r="113" spans="1:65" ht="16.5" hidden="1" x14ac:dyDescent="0.25">
      <c r="A113" s="215"/>
      <c r="B113" s="9"/>
      <c r="C113" s="116" t="s">
        <v>56</v>
      </c>
      <c r="D113" s="6"/>
      <c r="E113" s="131"/>
      <c r="F113" s="127"/>
      <c r="G113" s="127"/>
      <c r="H113" s="117"/>
      <c r="I113" s="126" t="e">
        <f>+I114+I115+I116+I117</f>
        <v>#VALUE!</v>
      </c>
      <c r="J113" s="127" t="e">
        <f t="shared" ref="J113" si="186">+J114+J115+J116+J117</f>
        <v>#VALUE!</v>
      </c>
      <c r="K113" s="127" t="e">
        <f t="shared" ref="K113" si="187">+K114+K115+K116+K117</f>
        <v>#VALUE!</v>
      </c>
      <c r="L113" s="117"/>
      <c r="M113" s="126" t="e">
        <f>+M114+M115+M116+M117</f>
        <v>#VALUE!</v>
      </c>
      <c r="N113" s="127" t="e">
        <f>+N114+N115+N116+N117</f>
        <v>#VALUE!</v>
      </c>
      <c r="O113" s="127" t="e">
        <f>+O114+O115+O116+O117</f>
        <v>#VALUE!</v>
      </c>
      <c r="P113" s="117"/>
      <c r="Q113" s="131"/>
      <c r="R113" s="127"/>
      <c r="S113" s="127"/>
      <c r="T113" s="117"/>
      <c r="U113" s="132" t="e">
        <f>+U114+U115+U116+U117</f>
        <v>#VALUE!</v>
      </c>
      <c r="V113" s="130" t="e">
        <f>+V114+V115+V116+V117</f>
        <v>#VALUE!</v>
      </c>
      <c r="W113" s="130" t="e">
        <f>+W114+W115+W116+W117</f>
        <v>#VALUE!</v>
      </c>
      <c r="X113" s="117"/>
      <c r="Y113" s="131"/>
      <c r="Z113" s="127"/>
      <c r="AA113" s="127"/>
      <c r="AB113" s="117"/>
      <c r="AC113" s="131"/>
      <c r="AD113" s="127"/>
      <c r="AE113" s="127"/>
      <c r="AF113" s="117"/>
      <c r="AG113" s="128">
        <f>+AG114+AG115+AG116+AG117</f>
        <v>5380</v>
      </c>
      <c r="AH113" s="127">
        <f>+AH114+AH115+AH116+AH117</f>
        <v>5380</v>
      </c>
      <c r="AI113" s="127">
        <f>+AI114+AI115+AI116+AI117</f>
        <v>5380</v>
      </c>
      <c r="AJ113" s="117"/>
      <c r="AK113" s="131"/>
      <c r="AL113" s="127"/>
      <c r="AM113" s="127"/>
      <c r="AN113" s="117"/>
      <c r="AO113" s="129">
        <f t="shared" si="183"/>
        <v>5380</v>
      </c>
      <c r="AP113" s="130">
        <f t="shared" si="178"/>
        <v>5380</v>
      </c>
      <c r="AQ113" s="130">
        <f t="shared" si="179"/>
        <v>5380</v>
      </c>
      <c r="AR113" s="117"/>
      <c r="AS113" s="182" t="e">
        <f>+AS114+AS115+AS116+AS117</f>
        <v>#VALUE!</v>
      </c>
      <c r="AT113" s="163" t="e">
        <f>+AT114+AT115+AT116+AT117</f>
        <v>#VALUE!</v>
      </c>
      <c r="AU113" s="163" t="e">
        <f>+AU114+AU115+AU116+AU117</f>
        <v>#VALUE!</v>
      </c>
      <c r="AW113" s="109"/>
      <c r="BA113" s="109"/>
      <c r="BE113" s="109"/>
      <c r="BI113" s="109"/>
      <c r="BM113" s="109"/>
    </row>
    <row r="114" spans="1:65" ht="16.5" hidden="1" x14ac:dyDescent="0.25">
      <c r="A114" s="215"/>
      <c r="B114" s="9"/>
      <c r="C114" s="38" t="s">
        <v>23</v>
      </c>
      <c r="D114" s="6"/>
      <c r="E114" s="97"/>
      <c r="F114" s="42"/>
      <c r="G114" s="42"/>
      <c r="H114" s="117"/>
      <c r="I114" s="73" t="e">
        <f>+((Benelux!E114*Benelux!$E$111)+(Benelux!Q114*Benelux!$Q$111))/'H7H9 BENELUX'!$I$111</f>
        <v>#VALUE!</v>
      </c>
      <c r="J114" s="42" t="e">
        <f>+((Benelux!F114*Benelux!$F$111)+(Benelux!R114*Benelux!$R$111))/'H7H9 BENELUX'!$J$111</f>
        <v>#VALUE!</v>
      </c>
      <c r="K114" s="42" t="e">
        <f>+((Benelux!G114*Benelux!$G$111)+(Benelux!S114*Benelux!$S$111))/'H7H9 BENELUX'!$K$111</f>
        <v>#VALUE!</v>
      </c>
      <c r="L114" s="117"/>
      <c r="M114" s="74" t="e">
        <f>+((Benelux!I114*Benelux!$I$111)+(Benelux!U114*Benelux!$U$111))/'H7H9 BENELUX'!$M$111</f>
        <v>#VALUE!</v>
      </c>
      <c r="N114" s="42" t="e">
        <f>+((Benelux!J114*Benelux!$J$111)+(Benelux!V114*Benelux!$V$111))/'H7H9 BENELUX'!$N$111</f>
        <v>#VALUE!</v>
      </c>
      <c r="O114" s="42" t="e">
        <f>+((Benelux!K114*Benelux!$K$111)+(Benelux!W114*Benelux!$W$111))/'H7H9 BENELUX'!$O$111</f>
        <v>#VALUE!</v>
      </c>
      <c r="P114" s="117"/>
      <c r="Q114" s="97"/>
      <c r="R114" s="42"/>
      <c r="S114" s="42"/>
      <c r="T114" s="117"/>
      <c r="U114" s="85" t="e">
        <f>+((I114*$I$111)+(M114*$M$111))/$U$111</f>
        <v>#VALUE!</v>
      </c>
      <c r="V114" s="60" t="e">
        <f>+((J114*$J$111)+(N114*$N$111))/$V$111</f>
        <v>#VALUE!</v>
      </c>
      <c r="W114" s="60" t="e">
        <f>+((K114*$K$111)+(O114*$O$111))/$W$111</f>
        <v>#VALUE!</v>
      </c>
      <c r="X114" s="117"/>
      <c r="Y114" s="97"/>
      <c r="Z114" s="42"/>
      <c r="AA114" s="42"/>
      <c r="AB114" s="117"/>
      <c r="AC114" s="97"/>
      <c r="AD114" s="42"/>
      <c r="AE114" s="42"/>
      <c r="AF114" s="117"/>
      <c r="AG114" s="73">
        <f>+((Benelux!M114*Benelux!$M$111)+(Benelux!Y114*Benelux!$Y$111))/'H7H9 BENELUX'!$AG$111</f>
        <v>1345</v>
      </c>
      <c r="AH114" s="42">
        <f>+((Benelux!N114*Benelux!$N$111)+(Benelux!Z114*Benelux!$Z$111))/'H7H9 BENELUX'!$AH$111</f>
        <v>1345</v>
      </c>
      <c r="AI114" s="42">
        <f>+((Benelux!O114*Benelux!$O$111)+(Benelux!AA114*Benelux!$AA$111))/'H7H9 BENELUX'!$AI$111</f>
        <v>1345</v>
      </c>
      <c r="AJ114" s="117"/>
      <c r="AK114" s="97"/>
      <c r="AL114" s="42"/>
      <c r="AM114" s="42"/>
      <c r="AN114" s="117"/>
      <c r="AO114" s="84">
        <f t="shared" si="183"/>
        <v>1345</v>
      </c>
      <c r="AP114" s="60">
        <f t="shared" si="178"/>
        <v>1345</v>
      </c>
      <c r="AQ114" s="60">
        <f t="shared" si="179"/>
        <v>1345</v>
      </c>
      <c r="AR114" s="117"/>
      <c r="AS114" s="92" t="e">
        <f>+((U114*$U$111)+(AO114*$AO$111))/$AS$111</f>
        <v>#VALUE!</v>
      </c>
      <c r="AT114" s="68" t="e">
        <f>+((V114*$V$111)+(AP114*$AP$111))/$AT$111</f>
        <v>#VALUE!</v>
      </c>
      <c r="AU114" s="68" t="e">
        <f>+((W114*$W$111)+(AQ114*$AQ$111))/$AU$111</f>
        <v>#VALUE!</v>
      </c>
      <c r="AW114" s="109"/>
      <c r="BA114" s="109"/>
      <c r="BE114" s="109"/>
      <c r="BI114" s="109"/>
      <c r="BM114" s="109"/>
    </row>
    <row r="115" spans="1:65" ht="16.5" hidden="1" x14ac:dyDescent="0.25">
      <c r="A115" s="215"/>
      <c r="B115" s="9"/>
      <c r="C115" s="38" t="s">
        <v>24</v>
      </c>
      <c r="D115" s="7"/>
      <c r="E115" s="97"/>
      <c r="F115" s="42"/>
      <c r="G115" s="42"/>
      <c r="H115" s="134"/>
      <c r="I115" s="97" t="e">
        <f>+((Benelux!E115*Benelux!$E$111)+(Benelux!Q115*Benelux!$Q$111))/'H7H9 BENELUX'!$I$111</f>
        <v>#VALUE!</v>
      </c>
      <c r="J115" s="42" t="e">
        <f>+((Benelux!F115*Benelux!$F$111)+(Benelux!R115*Benelux!$R$111))/'H7H9 BENELUX'!$J$111</f>
        <v>#VALUE!</v>
      </c>
      <c r="K115" s="42" t="e">
        <f>+((Benelux!G115*Benelux!$G$111)+(Benelux!S115*Benelux!$S$111))/'H7H9 BENELUX'!$K$111</f>
        <v>#VALUE!</v>
      </c>
      <c r="L115" s="134"/>
      <c r="M115" s="97" t="e">
        <f>+((Benelux!I115*Benelux!$I$111)+(Benelux!U115*Benelux!$U$111))/'H7H9 BENELUX'!$M$111</f>
        <v>#VALUE!</v>
      </c>
      <c r="N115" s="42" t="e">
        <f>+((Benelux!J115*Benelux!$J$111)+(Benelux!V115*Benelux!$V$111))/'H7H9 BENELUX'!$N$111</f>
        <v>#VALUE!</v>
      </c>
      <c r="O115" s="42" t="e">
        <f>+((Benelux!K115*Benelux!$K$111)+(Benelux!W115*Benelux!$W$111))/'H7H9 BENELUX'!$O$111</f>
        <v>#VALUE!</v>
      </c>
      <c r="P115" s="134"/>
      <c r="Q115" s="97"/>
      <c r="R115" s="42"/>
      <c r="S115" s="42"/>
      <c r="T115" s="134"/>
      <c r="U115" s="99" t="e">
        <f t="shared" ref="U115:U120" si="188">+((I115*$I$111)+(M115*$M$111))/$U$111</f>
        <v>#VALUE!</v>
      </c>
      <c r="V115" s="60" t="e">
        <f t="shared" ref="V115:V120" si="189">+((J115*$J$111)+(N115*$N$111))/$V$111</f>
        <v>#VALUE!</v>
      </c>
      <c r="W115" s="60" t="e">
        <f t="shared" ref="W115:W120" si="190">+((K115*$K$111)+(O115*$O$111))/$W$111</f>
        <v>#VALUE!</v>
      </c>
      <c r="X115" s="134"/>
      <c r="Y115" s="97"/>
      <c r="Z115" s="42"/>
      <c r="AA115" s="42"/>
      <c r="AB115" s="134"/>
      <c r="AC115" s="97"/>
      <c r="AD115" s="42"/>
      <c r="AE115" s="42"/>
      <c r="AF115" s="134"/>
      <c r="AG115" s="97">
        <f>+((Benelux!M115*Benelux!$M$111)+(Benelux!Y115*Benelux!$Y$111))/'H7H9 BENELUX'!$AG$111</f>
        <v>1345</v>
      </c>
      <c r="AH115" s="42">
        <f>+((Benelux!N115*Benelux!$N$111)+(Benelux!Z115*Benelux!$Z$111))/'H7H9 BENELUX'!$AH$111</f>
        <v>1345</v>
      </c>
      <c r="AI115" s="42">
        <f>+((Benelux!O115*Benelux!$O$111)+(Benelux!AA115*Benelux!$AA$111))/'H7H9 BENELUX'!$AI$111</f>
        <v>1345</v>
      </c>
      <c r="AJ115" s="134"/>
      <c r="AK115" s="97"/>
      <c r="AL115" s="42"/>
      <c r="AM115" s="42"/>
      <c r="AN115" s="134"/>
      <c r="AO115" s="99">
        <f t="shared" si="183"/>
        <v>1345</v>
      </c>
      <c r="AP115" s="60">
        <f t="shared" si="178"/>
        <v>1345</v>
      </c>
      <c r="AQ115" s="60">
        <f t="shared" si="179"/>
        <v>1345</v>
      </c>
      <c r="AR115" s="134"/>
      <c r="AS115" s="106" t="e">
        <f t="shared" ref="AS115:AS120" si="191">+((U115*$U$111)+(AO115*$AO$111))/$AS$111</f>
        <v>#VALUE!</v>
      </c>
      <c r="AT115" s="68" t="e">
        <f t="shared" ref="AT115:AT120" si="192">+((V115*$V$111)+(AP115*$AP$111))/$AT$111</f>
        <v>#VALUE!</v>
      </c>
      <c r="AU115" s="68" t="e">
        <f t="shared" ref="AU115:AU120" si="193">+((W115*$W$111)+(AQ115*$AQ$111))/$AU$111</f>
        <v>#VALUE!</v>
      </c>
      <c r="AW115" s="109"/>
      <c r="BA115" s="109"/>
      <c r="BE115" s="109"/>
      <c r="BI115" s="109"/>
      <c r="BM115" s="109"/>
    </row>
    <row r="116" spans="1:65" ht="16.5" hidden="1" x14ac:dyDescent="0.25">
      <c r="A116" s="215"/>
      <c r="B116" s="9"/>
      <c r="C116" s="38" t="s">
        <v>25</v>
      </c>
      <c r="D116" s="7"/>
      <c r="E116" s="97"/>
      <c r="F116" s="42"/>
      <c r="G116" s="42"/>
      <c r="H116" s="134"/>
      <c r="I116" s="74" t="e">
        <f>+((Benelux!E116*Benelux!$E$111)+(Benelux!Q116*Benelux!$Q$111))/'H7H9 BENELUX'!$I$111</f>
        <v>#VALUE!</v>
      </c>
      <c r="J116" s="42" t="e">
        <f>+((Benelux!F116*Benelux!$F$111)+(Benelux!R116*Benelux!$R$111))/'H7H9 BENELUX'!$J$111</f>
        <v>#VALUE!</v>
      </c>
      <c r="K116" s="42" t="e">
        <f>+((Benelux!G116*Benelux!$G$111)+(Benelux!S116*Benelux!$S$111))/'H7H9 BENELUX'!$K$111</f>
        <v>#VALUE!</v>
      </c>
      <c r="L116" s="134"/>
      <c r="M116" s="74" t="e">
        <f>+((Benelux!I116*Benelux!$I$111)+(Benelux!U116*Benelux!$U$111))/'H7H9 BENELUX'!$M$111</f>
        <v>#VALUE!</v>
      </c>
      <c r="N116" s="42" t="e">
        <f>+((Benelux!J116*Benelux!$J$111)+(Benelux!V116*Benelux!$V$111))/'H7H9 BENELUX'!$N$111</f>
        <v>#VALUE!</v>
      </c>
      <c r="O116" s="42" t="e">
        <f>+((Benelux!K116*Benelux!$K$111)+(Benelux!W116*Benelux!$W$111))/'H7H9 BENELUX'!$O$111</f>
        <v>#VALUE!</v>
      </c>
      <c r="P116" s="134"/>
      <c r="Q116" s="97"/>
      <c r="R116" s="42"/>
      <c r="S116" s="42"/>
      <c r="T116" s="134"/>
      <c r="U116" s="85" t="e">
        <f t="shared" si="188"/>
        <v>#VALUE!</v>
      </c>
      <c r="V116" s="60" t="e">
        <f t="shared" si="189"/>
        <v>#VALUE!</v>
      </c>
      <c r="W116" s="60" t="e">
        <f t="shared" si="190"/>
        <v>#VALUE!</v>
      </c>
      <c r="X116" s="134"/>
      <c r="Y116" s="97"/>
      <c r="Z116" s="42"/>
      <c r="AA116" s="42"/>
      <c r="AB116" s="134"/>
      <c r="AC116" s="97"/>
      <c r="AD116" s="42"/>
      <c r="AE116" s="42"/>
      <c r="AF116" s="134"/>
      <c r="AG116" s="97">
        <f>+((Benelux!M116*Benelux!$M$111)+(Benelux!Y116*Benelux!$Y$111))/'H7H9 BENELUX'!$AG$111</f>
        <v>1345</v>
      </c>
      <c r="AH116" s="42">
        <f>+((Benelux!N116*Benelux!$N$111)+(Benelux!Z116*Benelux!$Z$111))/'H7H9 BENELUX'!$AH$111</f>
        <v>1345</v>
      </c>
      <c r="AI116" s="42">
        <f>+((Benelux!O116*Benelux!$O$111)+(Benelux!AA116*Benelux!$AA$111))/'H7H9 BENELUX'!$AI$111</f>
        <v>1345</v>
      </c>
      <c r="AJ116" s="134"/>
      <c r="AK116" s="97"/>
      <c r="AL116" s="42"/>
      <c r="AM116" s="42"/>
      <c r="AN116" s="134"/>
      <c r="AO116" s="99">
        <f t="shared" si="183"/>
        <v>1345</v>
      </c>
      <c r="AP116" s="60">
        <f t="shared" si="178"/>
        <v>1345</v>
      </c>
      <c r="AQ116" s="60">
        <f t="shared" si="179"/>
        <v>1345</v>
      </c>
      <c r="AR116" s="134"/>
      <c r="AS116" s="93" t="e">
        <f t="shared" si="191"/>
        <v>#VALUE!</v>
      </c>
      <c r="AT116" s="68" t="e">
        <f t="shared" si="192"/>
        <v>#VALUE!</v>
      </c>
      <c r="AU116" s="68" t="e">
        <f t="shared" si="193"/>
        <v>#VALUE!</v>
      </c>
      <c r="AW116" s="109"/>
      <c r="BA116" s="109"/>
      <c r="BE116" s="109"/>
      <c r="BI116" s="109"/>
      <c r="BM116" s="109"/>
    </row>
    <row r="117" spans="1:65" ht="16.5" hidden="1" x14ac:dyDescent="0.25">
      <c r="A117" s="215"/>
      <c r="B117" s="9"/>
      <c r="C117" s="38" t="s">
        <v>53</v>
      </c>
      <c r="D117" s="7"/>
      <c r="E117" s="97"/>
      <c r="F117" s="42"/>
      <c r="G117" s="42"/>
      <c r="H117" s="134"/>
      <c r="I117" s="74" t="e">
        <f>+((Benelux!E117*Benelux!$E$111)+(Benelux!Q117*Benelux!$Q$111))/'H7H9 BENELUX'!$I$111</f>
        <v>#VALUE!</v>
      </c>
      <c r="J117" s="42" t="e">
        <f>+((Benelux!F117*Benelux!$F$111)+(Benelux!R117*Benelux!$R$111))/'H7H9 BENELUX'!$J$111</f>
        <v>#VALUE!</v>
      </c>
      <c r="K117" s="42" t="e">
        <f>+((Benelux!G117*Benelux!$G$111)+(Benelux!S117*Benelux!$S$111))/'H7H9 BENELUX'!$K$111</f>
        <v>#VALUE!</v>
      </c>
      <c r="L117" s="134"/>
      <c r="M117" s="73" t="e">
        <f>+((Benelux!I117*Benelux!$I$111)+(Benelux!U117*Benelux!$U$111))/'H7H9 BENELUX'!$M$111</f>
        <v>#VALUE!</v>
      </c>
      <c r="N117" s="42" t="e">
        <f>+((Benelux!J117*Benelux!$J$111)+(Benelux!V117*Benelux!$V$111))/'H7H9 BENELUX'!$N$111</f>
        <v>#VALUE!</v>
      </c>
      <c r="O117" s="42" t="e">
        <f>+((Benelux!K117*Benelux!$K$111)+(Benelux!W117*Benelux!$W$111))/'H7H9 BENELUX'!$O$111</f>
        <v>#VALUE!</v>
      </c>
      <c r="P117" s="134"/>
      <c r="Q117" s="97"/>
      <c r="R117" s="42"/>
      <c r="S117" s="42"/>
      <c r="T117" s="134"/>
      <c r="U117" s="84" t="e">
        <f t="shared" si="188"/>
        <v>#VALUE!</v>
      </c>
      <c r="V117" s="60" t="e">
        <f t="shared" si="189"/>
        <v>#VALUE!</v>
      </c>
      <c r="W117" s="60" t="e">
        <f t="shared" si="190"/>
        <v>#VALUE!</v>
      </c>
      <c r="X117" s="134"/>
      <c r="Y117" s="97"/>
      <c r="Z117" s="42"/>
      <c r="AA117" s="42"/>
      <c r="AB117" s="134"/>
      <c r="AC117" s="97"/>
      <c r="AD117" s="42"/>
      <c r="AE117" s="42"/>
      <c r="AF117" s="134"/>
      <c r="AG117" s="74">
        <f>+((Benelux!M117*Benelux!$M$111)+(Benelux!Y117*Benelux!$Y$111))/'H7H9 BENELUX'!$AG$111</f>
        <v>1345</v>
      </c>
      <c r="AH117" s="42">
        <f>+((Benelux!N117*Benelux!$N$111)+(Benelux!Z117*Benelux!$Z$111))/'H7H9 BENELUX'!$AH$111</f>
        <v>1345</v>
      </c>
      <c r="AI117" s="42">
        <f>+((Benelux!O117*Benelux!$O$111)+(Benelux!AA117*Benelux!$AA$111))/'H7H9 BENELUX'!$AI$111</f>
        <v>1345</v>
      </c>
      <c r="AJ117" s="134"/>
      <c r="AK117" s="97"/>
      <c r="AL117" s="42"/>
      <c r="AM117" s="42"/>
      <c r="AN117" s="134"/>
      <c r="AO117" s="85">
        <f t="shared" si="183"/>
        <v>1345</v>
      </c>
      <c r="AP117" s="60">
        <f t="shared" si="178"/>
        <v>1345</v>
      </c>
      <c r="AQ117" s="60">
        <f t="shared" si="179"/>
        <v>1345</v>
      </c>
      <c r="AR117" s="134"/>
      <c r="AS117" s="93" t="e">
        <f t="shared" si="191"/>
        <v>#VALUE!</v>
      </c>
      <c r="AT117" s="68" t="e">
        <f t="shared" si="192"/>
        <v>#VALUE!</v>
      </c>
      <c r="AU117" s="68" t="e">
        <f t="shared" si="193"/>
        <v>#VALUE!</v>
      </c>
      <c r="AW117" s="109"/>
      <c r="BA117" s="109"/>
      <c r="BE117" s="109"/>
      <c r="BI117" s="109"/>
      <c r="BM117" s="109"/>
    </row>
    <row r="118" spans="1:65" ht="16.5" hidden="1" x14ac:dyDescent="0.25">
      <c r="A118" s="215"/>
      <c r="B118" s="9"/>
      <c r="C118" s="116" t="s">
        <v>27</v>
      </c>
      <c r="D118" s="7"/>
      <c r="E118" s="131"/>
      <c r="F118" s="127"/>
      <c r="G118" s="127"/>
      <c r="H118" s="134"/>
      <c r="I118" s="128" t="e">
        <f>+((Benelux!E118*Benelux!$E$111)+(Benelux!Q118*Benelux!$Q$111))/'H7H9 BENELUX'!$I$111</f>
        <v>#VALUE!</v>
      </c>
      <c r="J118" s="127" t="e">
        <f>+((Benelux!F118*Benelux!$F$111)+(Benelux!R118*Benelux!$R$111))/'H7H9 BENELUX'!$J$111</f>
        <v>#VALUE!</v>
      </c>
      <c r="K118" s="127" t="e">
        <f>+((Benelux!G118*Benelux!$G$111)+(Benelux!S118*Benelux!$S$111))/'H7H9 BENELUX'!$K$111</f>
        <v>#VALUE!</v>
      </c>
      <c r="L118" s="134"/>
      <c r="M118" s="128" t="e">
        <f>+((Benelux!I118*Benelux!$I$111)+(Benelux!U118*Benelux!$U$111))/'H7H9 BENELUX'!$M$111</f>
        <v>#VALUE!</v>
      </c>
      <c r="N118" s="127" t="e">
        <f>+((Benelux!J118*Benelux!$J$111)+(Benelux!V118*Benelux!$V$111))/'H7H9 BENELUX'!$N$111</f>
        <v>#VALUE!</v>
      </c>
      <c r="O118" s="127" t="e">
        <f>+((Benelux!K118*Benelux!$K$111)+(Benelux!W118*Benelux!$W$111))/'H7H9 BENELUX'!$O$111</f>
        <v>#VALUE!</v>
      </c>
      <c r="P118" s="134"/>
      <c r="Q118" s="131"/>
      <c r="R118" s="127"/>
      <c r="S118" s="127"/>
      <c r="T118" s="134"/>
      <c r="U118" s="129" t="e">
        <f t="shared" si="188"/>
        <v>#VALUE!</v>
      </c>
      <c r="V118" s="130" t="e">
        <f t="shared" si="189"/>
        <v>#VALUE!</v>
      </c>
      <c r="W118" s="130" t="e">
        <f t="shared" si="190"/>
        <v>#VALUE!</v>
      </c>
      <c r="X118" s="134"/>
      <c r="Y118" s="131"/>
      <c r="Z118" s="127"/>
      <c r="AA118" s="127"/>
      <c r="AB118" s="134"/>
      <c r="AC118" s="131"/>
      <c r="AD118" s="127"/>
      <c r="AE118" s="127"/>
      <c r="AF118" s="134"/>
      <c r="AG118" s="126">
        <f>+((Benelux!M118*Benelux!$M$111)+(Benelux!Y118*Benelux!$Y$111))/'H7H9 BENELUX'!$AG$111</f>
        <v>1345</v>
      </c>
      <c r="AH118" s="127">
        <f>+((Benelux!N118*Benelux!$N$111)+(Benelux!Z118*Benelux!$Z$111))/'H7H9 BENELUX'!$AH$111</f>
        <v>1345</v>
      </c>
      <c r="AI118" s="127">
        <f>+((Benelux!O118*Benelux!$O$111)+(Benelux!AA118*Benelux!$AA$111))/'H7H9 BENELUX'!$AI$111</f>
        <v>1345</v>
      </c>
      <c r="AJ118" s="134"/>
      <c r="AK118" s="131"/>
      <c r="AL118" s="127"/>
      <c r="AM118" s="127"/>
      <c r="AN118" s="134"/>
      <c r="AO118" s="132">
        <f t="shared" si="183"/>
        <v>1345</v>
      </c>
      <c r="AP118" s="130">
        <f t="shared" si="178"/>
        <v>1345</v>
      </c>
      <c r="AQ118" s="130">
        <f t="shared" si="179"/>
        <v>1345</v>
      </c>
      <c r="AR118" s="134"/>
      <c r="AS118" s="164" t="e">
        <f t="shared" si="191"/>
        <v>#VALUE!</v>
      </c>
      <c r="AT118" s="163" t="e">
        <f t="shared" si="192"/>
        <v>#VALUE!</v>
      </c>
      <c r="AU118" s="163" t="e">
        <f t="shared" si="193"/>
        <v>#VALUE!</v>
      </c>
      <c r="AW118" s="109"/>
      <c r="BA118" s="109"/>
      <c r="BE118" s="109"/>
      <c r="BI118" s="109"/>
      <c r="BM118" s="109"/>
    </row>
    <row r="119" spans="1:65" ht="16.5" hidden="1" x14ac:dyDescent="0.25">
      <c r="A119" s="215"/>
      <c r="B119" s="9"/>
      <c r="C119" s="116" t="s">
        <v>57</v>
      </c>
      <c r="D119" s="7"/>
      <c r="E119" s="131"/>
      <c r="F119" s="127"/>
      <c r="G119" s="127"/>
      <c r="H119" s="134"/>
      <c r="I119" s="128" t="e">
        <f>+((Benelux!E119*Benelux!$E$111)+(Benelux!Q119*Benelux!$Q$111))/'H7H9 BENELUX'!$I$111</f>
        <v>#VALUE!</v>
      </c>
      <c r="J119" s="127" t="e">
        <f>+((Benelux!F119*Benelux!$F$111)+(Benelux!R119*Benelux!$R$111))/'H7H9 BENELUX'!$J$111</f>
        <v>#VALUE!</v>
      </c>
      <c r="K119" s="127" t="e">
        <f>+((Benelux!G119*Benelux!$G$111)+(Benelux!S119*Benelux!$S$111))/'H7H9 BENELUX'!$K$111</f>
        <v>#VALUE!</v>
      </c>
      <c r="L119" s="134"/>
      <c r="M119" s="128" t="e">
        <f>+((Benelux!I119*Benelux!$I$111)+(Benelux!U119*Benelux!$U$111))/'H7H9 BENELUX'!$M$111</f>
        <v>#VALUE!</v>
      </c>
      <c r="N119" s="127" t="e">
        <f>+((Benelux!J119*Benelux!$J$111)+(Benelux!V119*Benelux!$V$111))/'H7H9 BENELUX'!$N$111</f>
        <v>#VALUE!</v>
      </c>
      <c r="O119" s="127" t="e">
        <f>+((Benelux!K119*Benelux!$K$111)+(Benelux!W119*Benelux!$W$111))/'H7H9 BENELUX'!$O$111</f>
        <v>#VALUE!</v>
      </c>
      <c r="P119" s="134"/>
      <c r="Q119" s="131"/>
      <c r="R119" s="127"/>
      <c r="S119" s="127"/>
      <c r="T119" s="134"/>
      <c r="U119" s="129" t="e">
        <f t="shared" si="188"/>
        <v>#VALUE!</v>
      </c>
      <c r="V119" s="130" t="e">
        <f t="shared" si="189"/>
        <v>#VALUE!</v>
      </c>
      <c r="W119" s="130" t="e">
        <f t="shared" si="190"/>
        <v>#VALUE!</v>
      </c>
      <c r="X119" s="134"/>
      <c r="Y119" s="131"/>
      <c r="Z119" s="127"/>
      <c r="AA119" s="127"/>
      <c r="AB119" s="134"/>
      <c r="AC119" s="131"/>
      <c r="AD119" s="127"/>
      <c r="AE119" s="127"/>
      <c r="AF119" s="134"/>
      <c r="AG119" s="126">
        <f>+((Benelux!M119*Benelux!$M$111)+(Benelux!Y119*Benelux!$Y$111))/'H7H9 BENELUX'!$AG$111</f>
        <v>1345</v>
      </c>
      <c r="AH119" s="127">
        <f>+((Benelux!N119*Benelux!$N$111)+(Benelux!Z119*Benelux!$Z$111))/'H7H9 BENELUX'!$AH$111</f>
        <v>1345</v>
      </c>
      <c r="AI119" s="127">
        <f>+((Benelux!O119*Benelux!$O$111)+(Benelux!AA119*Benelux!$AA$111))/'H7H9 BENELUX'!$AI$111</f>
        <v>1345</v>
      </c>
      <c r="AJ119" s="134"/>
      <c r="AK119" s="131"/>
      <c r="AL119" s="127"/>
      <c r="AM119" s="127"/>
      <c r="AN119" s="134"/>
      <c r="AO119" s="132">
        <f t="shared" si="183"/>
        <v>1345</v>
      </c>
      <c r="AP119" s="130">
        <f t="shared" si="178"/>
        <v>1345</v>
      </c>
      <c r="AQ119" s="130">
        <f t="shared" si="179"/>
        <v>1345</v>
      </c>
      <c r="AR119" s="134"/>
      <c r="AS119" s="164" t="e">
        <f t="shared" si="191"/>
        <v>#VALUE!</v>
      </c>
      <c r="AT119" s="163" t="e">
        <f t="shared" si="192"/>
        <v>#VALUE!</v>
      </c>
      <c r="AU119" s="163" t="e">
        <f t="shared" si="193"/>
        <v>#VALUE!</v>
      </c>
      <c r="AW119" s="109"/>
      <c r="BA119" s="109"/>
      <c r="BE119" s="109"/>
      <c r="BI119" s="109"/>
      <c r="BM119" s="109"/>
    </row>
    <row r="120" spans="1:65" ht="16.5" hidden="1" x14ac:dyDescent="0.25">
      <c r="A120" s="215"/>
      <c r="B120" s="9"/>
      <c r="C120" s="116" t="s">
        <v>29</v>
      </c>
      <c r="D120" s="7"/>
      <c r="E120" s="131"/>
      <c r="F120" s="127"/>
      <c r="G120" s="127"/>
      <c r="H120" s="134"/>
      <c r="I120" s="126" t="e">
        <f>+((Benelux!E120*Benelux!$E$111)+(Benelux!Q120*Benelux!$Q$111))/'H7H9 BENELUX'!$I$111</f>
        <v>#VALUE!</v>
      </c>
      <c r="J120" s="127" t="e">
        <f>+((Benelux!F120*Benelux!$F$111)+(Benelux!R120*Benelux!$R$111))/'H7H9 BENELUX'!$J$111</f>
        <v>#VALUE!</v>
      </c>
      <c r="K120" s="127" t="e">
        <f>+((Benelux!G120*Benelux!$G$111)+(Benelux!S120*Benelux!$S$111))/'H7H9 BENELUX'!$K$111</f>
        <v>#VALUE!</v>
      </c>
      <c r="L120" s="134"/>
      <c r="M120" s="126" t="e">
        <f>+((Benelux!I120*Benelux!$I$111)+(Benelux!U120*Benelux!$U$111))/'H7H9 BENELUX'!$M$111</f>
        <v>#VALUE!</v>
      </c>
      <c r="N120" s="127" t="e">
        <f>+((Benelux!J120*Benelux!$J$111)+(Benelux!V120*Benelux!$V$111))/'H7H9 BENELUX'!$N$111</f>
        <v>#VALUE!</v>
      </c>
      <c r="O120" s="127" t="e">
        <f>+((Benelux!K120*Benelux!$K$111)+(Benelux!W120*Benelux!$W$111))/'H7H9 BENELUX'!$O$111</f>
        <v>#VALUE!</v>
      </c>
      <c r="P120" s="134"/>
      <c r="Q120" s="131"/>
      <c r="R120" s="127"/>
      <c r="S120" s="127"/>
      <c r="T120" s="134"/>
      <c r="U120" s="132" t="e">
        <f t="shared" si="188"/>
        <v>#VALUE!</v>
      </c>
      <c r="V120" s="130" t="e">
        <f t="shared" si="189"/>
        <v>#VALUE!</v>
      </c>
      <c r="W120" s="130" t="e">
        <f t="shared" si="190"/>
        <v>#VALUE!</v>
      </c>
      <c r="X120" s="134"/>
      <c r="Y120" s="131"/>
      <c r="Z120" s="127"/>
      <c r="AA120" s="127"/>
      <c r="AB120" s="134"/>
      <c r="AC120" s="131"/>
      <c r="AD120" s="127"/>
      <c r="AE120" s="127"/>
      <c r="AF120" s="134"/>
      <c r="AG120" s="128">
        <f>+((Benelux!M120*Benelux!$M$111)+(Benelux!Y120*Benelux!$Y$111))/'H7H9 BENELUX'!$AG$111</f>
        <v>1345</v>
      </c>
      <c r="AH120" s="127">
        <f>+((Benelux!N120*Benelux!$N$111)+(Benelux!Z120*Benelux!$Z$111))/'H7H9 BENELUX'!$AH$111</f>
        <v>1345</v>
      </c>
      <c r="AI120" s="127">
        <f>+((Benelux!O120*Benelux!$O$111)+(Benelux!AA120*Benelux!$AA$111))/'H7H9 BENELUX'!$AI$111</f>
        <v>1345</v>
      </c>
      <c r="AJ120" s="134"/>
      <c r="AK120" s="131"/>
      <c r="AL120" s="127"/>
      <c r="AM120" s="127"/>
      <c r="AN120" s="134"/>
      <c r="AO120" s="129">
        <f t="shared" si="183"/>
        <v>1345</v>
      </c>
      <c r="AP120" s="130">
        <f t="shared" si="178"/>
        <v>1345</v>
      </c>
      <c r="AQ120" s="130">
        <f t="shared" si="179"/>
        <v>1345</v>
      </c>
      <c r="AR120" s="134"/>
      <c r="AS120" s="162" t="e">
        <f t="shared" si="191"/>
        <v>#VALUE!</v>
      </c>
      <c r="AT120" s="163" t="e">
        <f t="shared" si="192"/>
        <v>#VALUE!</v>
      </c>
      <c r="AU120" s="163" t="e">
        <f t="shared" si="193"/>
        <v>#VALUE!</v>
      </c>
      <c r="AW120" s="109"/>
      <c r="BA120" s="109"/>
      <c r="BE120" s="109"/>
      <c r="BI120" s="109"/>
      <c r="BM120" s="109"/>
    </row>
    <row r="121" spans="1:65" ht="16.5" hidden="1" x14ac:dyDescent="0.25">
      <c r="A121" s="215"/>
      <c r="B121" s="9"/>
      <c r="C121" s="116" t="s">
        <v>58</v>
      </c>
      <c r="D121" s="7"/>
      <c r="E121" s="131"/>
      <c r="F121" s="127"/>
      <c r="G121" s="127"/>
      <c r="H121" s="134"/>
      <c r="I121" s="126" t="e">
        <f>+I122+I123+I124</f>
        <v>#VALUE!</v>
      </c>
      <c r="J121" s="127" t="e">
        <f t="shared" ref="J121" si="194">+J122+J123+J124</f>
        <v>#VALUE!</v>
      </c>
      <c r="K121" s="127" t="e">
        <f t="shared" ref="K121" si="195">+K122+K123+K124</f>
        <v>#VALUE!</v>
      </c>
      <c r="L121" s="134"/>
      <c r="M121" s="126" t="e">
        <f>+M122+M123+M124</f>
        <v>#VALUE!</v>
      </c>
      <c r="N121" s="127" t="e">
        <f>+N122+N123+N124</f>
        <v>#VALUE!</v>
      </c>
      <c r="O121" s="127" t="e">
        <f>+O122+O123+O124</f>
        <v>#VALUE!</v>
      </c>
      <c r="P121" s="134"/>
      <c r="Q121" s="131"/>
      <c r="R121" s="127"/>
      <c r="S121" s="127"/>
      <c r="T121" s="134"/>
      <c r="U121" s="132" t="e">
        <f>+U122+U123+U124</f>
        <v>#VALUE!</v>
      </c>
      <c r="V121" s="130" t="e">
        <f>+V122+V123+V124</f>
        <v>#VALUE!</v>
      </c>
      <c r="W121" s="130" t="e">
        <f>+W122+W123+W124</f>
        <v>#VALUE!</v>
      </c>
      <c r="X121" s="134"/>
      <c r="Y121" s="131"/>
      <c r="Z121" s="127"/>
      <c r="AA121" s="127"/>
      <c r="AB121" s="134"/>
      <c r="AC121" s="131"/>
      <c r="AD121" s="127"/>
      <c r="AE121" s="127"/>
      <c r="AF121" s="134"/>
      <c r="AG121" s="131">
        <f>+AG122+AG123+AG124</f>
        <v>4035</v>
      </c>
      <c r="AH121" s="127">
        <f>+AH122+AH123+AH124</f>
        <v>4035</v>
      </c>
      <c r="AI121" s="127">
        <f>+AI122+AI123+AI124</f>
        <v>4035</v>
      </c>
      <c r="AJ121" s="134"/>
      <c r="AK121" s="131"/>
      <c r="AL121" s="127"/>
      <c r="AM121" s="127"/>
      <c r="AN121" s="134"/>
      <c r="AO121" s="133">
        <f t="shared" si="183"/>
        <v>4035</v>
      </c>
      <c r="AP121" s="130">
        <f t="shared" si="178"/>
        <v>4035</v>
      </c>
      <c r="AQ121" s="130">
        <f t="shared" si="179"/>
        <v>4035</v>
      </c>
      <c r="AR121" s="134"/>
      <c r="AS121" s="162" t="e">
        <f>+AS122+AS123+AS124</f>
        <v>#VALUE!</v>
      </c>
      <c r="AT121" s="163" t="e">
        <f>+AT122+AT123+AT124</f>
        <v>#VALUE!</v>
      </c>
      <c r="AU121" s="163" t="e">
        <f>+AU122+AU123+AU124</f>
        <v>#VALUE!</v>
      </c>
      <c r="AW121" s="109"/>
      <c r="BA121" s="109"/>
      <c r="BE121" s="109"/>
      <c r="BI121" s="109"/>
      <c r="BM121" s="109"/>
    </row>
    <row r="122" spans="1:65" ht="16.5" hidden="1" x14ac:dyDescent="0.25">
      <c r="A122" s="215"/>
      <c r="B122" s="9"/>
      <c r="C122" s="39" t="s">
        <v>59</v>
      </c>
      <c r="D122" s="8"/>
      <c r="E122" s="97"/>
      <c r="F122" s="42"/>
      <c r="G122" s="42"/>
      <c r="H122" s="135"/>
      <c r="I122" s="74" t="e">
        <f>+((Benelux!E122*Benelux!$E$111)+(Benelux!Q122*Benelux!$Q$111))/'H7H9 BENELUX'!$I$111</f>
        <v>#VALUE!</v>
      </c>
      <c r="J122" s="42" t="e">
        <f>+((Benelux!F122*Benelux!$F$111)+(Benelux!R122*Benelux!$R$111))/'H7H9 BENELUX'!$J$111</f>
        <v>#VALUE!</v>
      </c>
      <c r="K122" s="42" t="e">
        <f>+((Benelux!G122*Benelux!$G$111)+(Benelux!S122*Benelux!$S$111))/'H7H9 BENELUX'!$K$111</f>
        <v>#VALUE!</v>
      </c>
      <c r="L122" s="135"/>
      <c r="M122" s="74" t="e">
        <f>+((Benelux!I122*Benelux!$I$111)+(Benelux!U122*Benelux!$U$111))/'H7H9 BENELUX'!$M$111</f>
        <v>#VALUE!</v>
      </c>
      <c r="N122" s="42" t="e">
        <f>+((Benelux!J122*Benelux!$J$111)+(Benelux!V122*Benelux!$V$111))/'H7H9 BENELUX'!$N$111</f>
        <v>#VALUE!</v>
      </c>
      <c r="O122" s="42" t="e">
        <f>+((Benelux!K122*Benelux!$K$111)+(Benelux!W122*Benelux!$W$111))/'H7H9 BENELUX'!$O$111</f>
        <v>#VALUE!</v>
      </c>
      <c r="P122" s="135"/>
      <c r="Q122" s="97"/>
      <c r="R122" s="42"/>
      <c r="S122" s="42"/>
      <c r="T122" s="135"/>
      <c r="U122" s="85" t="e">
        <f t="shared" ref="U122:U124" si="196">+((I122*$I$111)+(M122*$M$111))/$U$111</f>
        <v>#VALUE!</v>
      </c>
      <c r="V122" s="60" t="e">
        <f t="shared" ref="V122:V124" si="197">+((J122*$J$111)+(N122*$N$111))/$V$111</f>
        <v>#VALUE!</v>
      </c>
      <c r="W122" s="60" t="e">
        <f t="shared" ref="W122:W124" si="198">+((K122*$K$111)+(O122*$O$111))/$W$111</f>
        <v>#VALUE!</v>
      </c>
      <c r="X122" s="135"/>
      <c r="Y122" s="97"/>
      <c r="Z122" s="42"/>
      <c r="AA122" s="42"/>
      <c r="AB122" s="135"/>
      <c r="AC122" s="97"/>
      <c r="AD122" s="42"/>
      <c r="AE122" s="42"/>
      <c r="AF122" s="135"/>
      <c r="AG122" s="73">
        <f>+((Benelux!M122*Benelux!$M$111)+(Benelux!Y122*Benelux!$Y$111))/'H7H9 BENELUX'!$AG$111</f>
        <v>1345</v>
      </c>
      <c r="AH122" s="42">
        <f>+((Benelux!N122*Benelux!$N$111)+(Benelux!Z122*Benelux!$Z$111))/'H7H9 BENELUX'!$AH$111</f>
        <v>1345</v>
      </c>
      <c r="AI122" s="42">
        <f>+((Benelux!O122*Benelux!$O$111)+(Benelux!AA122*Benelux!$AA$111))/'H7H9 BENELUX'!$AI$111</f>
        <v>1345</v>
      </c>
      <c r="AJ122" s="135"/>
      <c r="AK122" s="97"/>
      <c r="AL122" s="42"/>
      <c r="AM122" s="42"/>
      <c r="AN122" s="135"/>
      <c r="AO122" s="84">
        <f t="shared" si="183"/>
        <v>1345</v>
      </c>
      <c r="AP122" s="60">
        <f t="shared" si="178"/>
        <v>1345</v>
      </c>
      <c r="AQ122" s="60">
        <f t="shared" si="179"/>
        <v>1345</v>
      </c>
      <c r="AR122" s="135"/>
      <c r="AS122" s="92" t="e">
        <f t="shared" ref="AS122:AS124" si="199">+((U122*$U$111)+(AO122*$AO$111))/$AS$111</f>
        <v>#VALUE!</v>
      </c>
      <c r="AT122" s="68" t="e">
        <f t="shared" ref="AT122:AT124" si="200">+((V122*$V$111)+(AP122*$AP$111))/$AT$111</f>
        <v>#VALUE!</v>
      </c>
      <c r="AU122" s="68" t="e">
        <f t="shared" ref="AU122:AU124" si="201">+((W122*$W$111)+(AQ122*$AQ$111))/$AU$111</f>
        <v>#VALUE!</v>
      </c>
      <c r="AW122" s="109"/>
      <c r="BA122" s="109"/>
      <c r="BE122" s="109"/>
      <c r="BI122" s="109"/>
      <c r="BM122" s="109"/>
    </row>
    <row r="123" spans="1:65" ht="16.5" hidden="1" x14ac:dyDescent="0.25">
      <c r="A123" s="215"/>
      <c r="B123" s="9"/>
      <c r="C123" s="39" t="s">
        <v>60</v>
      </c>
      <c r="D123" s="8"/>
      <c r="E123" s="97"/>
      <c r="F123" s="42"/>
      <c r="G123" s="42"/>
      <c r="H123" s="135"/>
      <c r="I123" s="73" t="e">
        <f>+((Benelux!E123*Benelux!$E$111)+(Benelux!Q123*Benelux!$Q$111))/'H7H9 BENELUX'!$I$111</f>
        <v>#VALUE!</v>
      </c>
      <c r="J123" s="42" t="e">
        <f>+((Benelux!F123*Benelux!$F$111)+(Benelux!R123*Benelux!$R$111))/'H7H9 BENELUX'!$J$111</f>
        <v>#VALUE!</v>
      </c>
      <c r="K123" s="42" t="e">
        <f>+((Benelux!G123*Benelux!$G$111)+(Benelux!S123*Benelux!$S$111))/'H7H9 BENELUX'!$K$111</f>
        <v>#VALUE!</v>
      </c>
      <c r="L123" s="135"/>
      <c r="M123" s="74" t="e">
        <f>+((Benelux!I123*Benelux!$I$111)+(Benelux!U123*Benelux!$U$111))/'H7H9 BENELUX'!$M$111</f>
        <v>#VALUE!</v>
      </c>
      <c r="N123" s="42" t="e">
        <f>+((Benelux!J123*Benelux!$J$111)+(Benelux!V123*Benelux!$V$111))/'H7H9 BENELUX'!$N$111</f>
        <v>#VALUE!</v>
      </c>
      <c r="O123" s="42" t="e">
        <f>+((Benelux!K123*Benelux!$K$111)+(Benelux!W123*Benelux!$W$111))/'H7H9 BENELUX'!$O$111</f>
        <v>#VALUE!</v>
      </c>
      <c r="P123" s="135"/>
      <c r="Q123" s="97"/>
      <c r="R123" s="42"/>
      <c r="S123" s="42"/>
      <c r="T123" s="135"/>
      <c r="U123" s="85" t="e">
        <f t="shared" si="196"/>
        <v>#VALUE!</v>
      </c>
      <c r="V123" s="60" t="e">
        <f t="shared" si="197"/>
        <v>#VALUE!</v>
      </c>
      <c r="W123" s="60" t="e">
        <f t="shared" si="198"/>
        <v>#VALUE!</v>
      </c>
      <c r="X123" s="135"/>
      <c r="Y123" s="97"/>
      <c r="Z123" s="42"/>
      <c r="AA123" s="42"/>
      <c r="AB123" s="135"/>
      <c r="AC123" s="97"/>
      <c r="AD123" s="42"/>
      <c r="AE123" s="42"/>
      <c r="AF123" s="135"/>
      <c r="AG123" s="97">
        <f>+((Benelux!M123*Benelux!$M$111)+(Benelux!Y123*Benelux!$Y$111))/'H7H9 BENELUX'!$AG$111</f>
        <v>1345</v>
      </c>
      <c r="AH123" s="42">
        <f>+((Benelux!N123*Benelux!$N$111)+(Benelux!Z123*Benelux!$Z$111))/'H7H9 BENELUX'!$AH$111</f>
        <v>1345</v>
      </c>
      <c r="AI123" s="42">
        <f>+((Benelux!O123*Benelux!$O$111)+(Benelux!AA123*Benelux!$AA$111))/'H7H9 BENELUX'!$AI$111</f>
        <v>1345</v>
      </c>
      <c r="AJ123" s="135"/>
      <c r="AK123" s="97"/>
      <c r="AL123" s="42"/>
      <c r="AM123" s="42"/>
      <c r="AN123" s="135"/>
      <c r="AO123" s="99">
        <f t="shared" si="183"/>
        <v>1345</v>
      </c>
      <c r="AP123" s="60">
        <f t="shared" si="178"/>
        <v>1345</v>
      </c>
      <c r="AQ123" s="60">
        <f t="shared" si="179"/>
        <v>1345</v>
      </c>
      <c r="AR123" s="135"/>
      <c r="AS123" s="106" t="e">
        <f t="shared" si="199"/>
        <v>#VALUE!</v>
      </c>
      <c r="AT123" s="68" t="e">
        <f t="shared" si="200"/>
        <v>#VALUE!</v>
      </c>
      <c r="AU123" s="68" t="e">
        <f t="shared" si="201"/>
        <v>#VALUE!</v>
      </c>
      <c r="AW123" s="109"/>
      <c r="BA123" s="109"/>
      <c r="BE123" s="109"/>
      <c r="BI123" s="109"/>
      <c r="BM123" s="109"/>
    </row>
    <row r="124" spans="1:65" ht="16.5" hidden="1" x14ac:dyDescent="0.25">
      <c r="A124" s="215"/>
      <c r="B124" s="9"/>
      <c r="C124" s="39" t="s">
        <v>61</v>
      </c>
      <c r="D124" s="8"/>
      <c r="E124" s="97"/>
      <c r="F124" s="42"/>
      <c r="G124" s="42"/>
      <c r="H124" s="135"/>
      <c r="I124" s="74" t="e">
        <f>+((Benelux!E124*Benelux!$E$111)+(Benelux!Q124*Benelux!$Q$111))/'H7H9 BENELUX'!$I$111</f>
        <v>#VALUE!</v>
      </c>
      <c r="J124" s="42" t="e">
        <f>+((Benelux!F124*Benelux!$F$111)+(Benelux!R124*Benelux!$R$111))/'H7H9 BENELUX'!$J$111</f>
        <v>#VALUE!</v>
      </c>
      <c r="K124" s="42" t="e">
        <f>+((Benelux!G124*Benelux!$G$111)+(Benelux!S124*Benelux!$S$111))/'H7H9 BENELUX'!$K$111</f>
        <v>#VALUE!</v>
      </c>
      <c r="L124" s="135"/>
      <c r="M124" s="74" t="e">
        <f>+((Benelux!I124*Benelux!$I$111)+(Benelux!U124*Benelux!$U$111))/'H7H9 BENELUX'!$M$111</f>
        <v>#VALUE!</v>
      </c>
      <c r="N124" s="42" t="e">
        <f>+((Benelux!J124*Benelux!$J$111)+(Benelux!V124*Benelux!$V$111))/'H7H9 BENELUX'!$N$111</f>
        <v>#VALUE!</v>
      </c>
      <c r="O124" s="42" t="e">
        <f>+((Benelux!K124*Benelux!$K$111)+(Benelux!W124*Benelux!$W$111))/'H7H9 BENELUX'!$O$111</f>
        <v>#VALUE!</v>
      </c>
      <c r="P124" s="135"/>
      <c r="Q124" s="97"/>
      <c r="R124" s="42"/>
      <c r="S124" s="42"/>
      <c r="T124" s="135"/>
      <c r="U124" s="85" t="e">
        <f t="shared" si="196"/>
        <v>#VALUE!</v>
      </c>
      <c r="V124" s="60" t="e">
        <f t="shared" si="197"/>
        <v>#VALUE!</v>
      </c>
      <c r="W124" s="60" t="e">
        <f t="shared" si="198"/>
        <v>#VALUE!</v>
      </c>
      <c r="X124" s="135"/>
      <c r="Y124" s="97"/>
      <c r="Z124" s="42"/>
      <c r="AA124" s="42"/>
      <c r="AB124" s="135"/>
      <c r="AC124" s="97"/>
      <c r="AD124" s="42"/>
      <c r="AE124" s="42"/>
      <c r="AF124" s="135"/>
      <c r="AG124" s="74">
        <f>+((Benelux!M124*Benelux!$M$111)+(Benelux!Y124*Benelux!$Y$111))/'H7H9 BENELUX'!$AG$111</f>
        <v>1345</v>
      </c>
      <c r="AH124" s="42">
        <f>+((Benelux!N124*Benelux!$N$111)+(Benelux!Z124*Benelux!$Z$111))/'H7H9 BENELUX'!$AH$111</f>
        <v>1345</v>
      </c>
      <c r="AI124" s="42">
        <f>+((Benelux!O124*Benelux!$O$111)+(Benelux!AA124*Benelux!$AA$111))/'H7H9 BENELUX'!$AI$111</f>
        <v>1345</v>
      </c>
      <c r="AJ124" s="135"/>
      <c r="AK124" s="97"/>
      <c r="AL124" s="42"/>
      <c r="AM124" s="42"/>
      <c r="AN124" s="135"/>
      <c r="AO124" s="85">
        <f t="shared" si="183"/>
        <v>1345</v>
      </c>
      <c r="AP124" s="60">
        <f t="shared" si="178"/>
        <v>1345</v>
      </c>
      <c r="AQ124" s="60">
        <f t="shared" si="179"/>
        <v>1345</v>
      </c>
      <c r="AR124" s="135"/>
      <c r="AS124" s="93" t="e">
        <f t="shared" si="199"/>
        <v>#VALUE!</v>
      </c>
      <c r="AT124" s="68" t="e">
        <f t="shared" si="200"/>
        <v>#VALUE!</v>
      </c>
      <c r="AU124" s="68" t="e">
        <f t="shared" si="201"/>
        <v>#VALUE!</v>
      </c>
      <c r="AW124" s="109"/>
      <c r="BA124" s="109"/>
      <c r="BE124" s="109"/>
      <c r="BI124" s="109"/>
      <c r="BM124" s="109"/>
    </row>
    <row r="125" spans="1:65" ht="16.5" hidden="1" x14ac:dyDescent="0.25">
      <c r="A125" s="215"/>
      <c r="B125" s="9"/>
      <c r="C125" s="116" t="s">
        <v>34</v>
      </c>
      <c r="D125" s="6"/>
      <c r="E125" s="121"/>
      <c r="F125" s="119"/>
      <c r="G125" s="119"/>
      <c r="H125" s="117"/>
      <c r="I125" s="121" t="e">
        <f>+Benelux!E125+Benelux!Q125</f>
        <v>#VALUE!</v>
      </c>
      <c r="J125" s="119" t="e">
        <f>+Benelux!F125+Benelux!R125</f>
        <v>#VALUE!</v>
      </c>
      <c r="K125" s="119" t="e">
        <f>+Benelux!G125+Benelux!S125</f>
        <v>#VALUE!</v>
      </c>
      <c r="L125" s="117"/>
      <c r="M125" s="121" t="e">
        <f>+Benelux!I125+Benelux!U125</f>
        <v>#VALUE!</v>
      </c>
      <c r="N125" s="119" t="e">
        <f>+Benelux!J125+Benelux!V125</f>
        <v>#VALUE!</v>
      </c>
      <c r="O125" s="119" t="e">
        <f>+Benelux!K125+Benelux!W125</f>
        <v>#VALUE!</v>
      </c>
      <c r="P125" s="117"/>
      <c r="Q125" s="121"/>
      <c r="R125" s="119"/>
      <c r="S125" s="119"/>
      <c r="T125" s="117"/>
      <c r="U125" s="124" t="e">
        <f t="shared" ref="U125:W125" si="202">+I125+M125</f>
        <v>#VALUE!</v>
      </c>
      <c r="V125" s="165" t="e">
        <f t="shared" si="202"/>
        <v>#VALUE!</v>
      </c>
      <c r="W125" s="123" t="e">
        <f t="shared" si="202"/>
        <v>#VALUE!</v>
      </c>
      <c r="X125" s="117"/>
      <c r="Y125" s="121"/>
      <c r="Z125" s="119"/>
      <c r="AA125" s="119"/>
      <c r="AB125" s="117"/>
      <c r="AC125" s="121"/>
      <c r="AD125" s="119"/>
      <c r="AE125" s="119"/>
      <c r="AF125" s="117"/>
      <c r="AG125" s="118">
        <f>+Benelux!M125+Benelux!Y125</f>
        <v>1345</v>
      </c>
      <c r="AH125" s="119">
        <f>+Benelux!N125+Benelux!Z125</f>
        <v>1345</v>
      </c>
      <c r="AI125" s="119">
        <f>+Benelux!O125+Benelux!AA125</f>
        <v>1345</v>
      </c>
      <c r="AJ125" s="117"/>
      <c r="AK125" s="121"/>
      <c r="AL125" s="119"/>
      <c r="AM125" s="119"/>
      <c r="AN125" s="117"/>
      <c r="AO125" s="122">
        <f t="shared" si="183"/>
        <v>1345</v>
      </c>
      <c r="AP125" s="123">
        <f t="shared" si="178"/>
        <v>1345</v>
      </c>
      <c r="AQ125" s="123">
        <f t="shared" si="179"/>
        <v>1345</v>
      </c>
      <c r="AR125" s="117"/>
      <c r="AS125" s="161" t="e">
        <f t="shared" ref="AS125:AU125" si="203">+U125+AO125</f>
        <v>#VALUE!</v>
      </c>
      <c r="AT125" s="167" t="e">
        <f t="shared" si="203"/>
        <v>#VALUE!</v>
      </c>
      <c r="AU125" s="160" t="e">
        <f t="shared" si="203"/>
        <v>#VALUE!</v>
      </c>
      <c r="AW125" s="108"/>
      <c r="BA125" s="108"/>
      <c r="BE125" s="108"/>
      <c r="BI125" s="108"/>
      <c r="BM125" s="108"/>
    </row>
    <row r="126" spans="1:65" hidden="1" x14ac:dyDescent="0.35"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</row>
    <row r="127" spans="1:65" ht="16.5" hidden="1" x14ac:dyDescent="0.25">
      <c r="A127" s="215" t="s">
        <v>64</v>
      </c>
      <c r="B127" s="9"/>
      <c r="C127" s="116" t="s">
        <v>19</v>
      </c>
      <c r="D127" s="6"/>
      <c r="E127" s="121"/>
      <c r="F127" s="119"/>
      <c r="G127" s="119"/>
      <c r="H127" s="117"/>
      <c r="I127" s="118">
        <f>+Benelux!E127+Benelux!Q127</f>
        <v>3.0884357600000003</v>
      </c>
      <c r="J127" s="119">
        <f>+Benelux!F127+Benelux!R127</f>
        <v>2.84041203</v>
      </c>
      <c r="K127" s="119">
        <f>+Benelux!G127+Benelux!S127</f>
        <v>2.9710452833722698</v>
      </c>
      <c r="L127" s="117"/>
      <c r="M127" s="118">
        <f>+Benelux!I127+Benelux!U127</f>
        <v>12.136989939999999</v>
      </c>
      <c r="N127" s="119">
        <f>+Benelux!J127+Benelux!V127</f>
        <v>12.150020420000001</v>
      </c>
      <c r="O127" s="119">
        <f>+Benelux!K127+Benelux!W127</f>
        <v>11.918013027310325</v>
      </c>
      <c r="P127" s="117"/>
      <c r="Q127" s="121"/>
      <c r="R127" s="119"/>
      <c r="S127" s="119"/>
      <c r="T127" s="117"/>
      <c r="U127" s="122">
        <f t="shared" ref="U127:U128" si="204">+I127+M127</f>
        <v>15.225425699999999</v>
      </c>
      <c r="V127" s="123">
        <f t="shared" ref="V127:V128" si="205">+J127+N127</f>
        <v>14.99043245</v>
      </c>
      <c r="W127" s="123">
        <f t="shared" ref="W127:W128" si="206">+K127+O127</f>
        <v>14.889058310682595</v>
      </c>
      <c r="X127" s="117"/>
      <c r="Y127" s="121"/>
      <c r="Z127" s="119"/>
      <c r="AA127" s="119"/>
      <c r="AB127" s="117"/>
      <c r="AC127" s="121"/>
      <c r="AD127" s="119"/>
      <c r="AE127" s="119"/>
      <c r="AF127" s="117"/>
      <c r="AG127" s="121">
        <f>+Benelux!M127+Benelux!Y127</f>
        <v>43.196668170000002</v>
      </c>
      <c r="AH127" s="119">
        <f>+Benelux!N127+Benelux!Z127</f>
        <v>43.184557829999989</v>
      </c>
      <c r="AI127" s="119">
        <f>+Benelux!O127+Benelux!AA127</f>
        <v>45.109579333571133</v>
      </c>
      <c r="AJ127" s="117"/>
      <c r="AK127" s="121"/>
      <c r="AL127" s="119"/>
      <c r="AM127" s="119"/>
      <c r="AN127" s="117"/>
      <c r="AO127" s="124">
        <f>+AG127</f>
        <v>43.196668170000002</v>
      </c>
      <c r="AP127" s="123">
        <f t="shared" ref="AP127:AP142" si="207">+AH127</f>
        <v>43.184557829999989</v>
      </c>
      <c r="AQ127" s="123">
        <f t="shared" ref="AQ127:AQ142" si="208">+AI127</f>
        <v>45.109579333571133</v>
      </c>
      <c r="AR127" s="117"/>
      <c r="AS127" s="161">
        <f t="shared" ref="AS127:AS128" si="209">+U127+AO127</f>
        <v>58.422093869999998</v>
      </c>
      <c r="AT127" s="160">
        <f t="shared" ref="AT127:AT128" si="210">+V127+AP127</f>
        <v>58.174990279999989</v>
      </c>
      <c r="AU127" s="160">
        <f t="shared" ref="AU127:AU128" si="211">+W127+AQ127</f>
        <v>59.998637644253726</v>
      </c>
      <c r="AW127" s="108"/>
      <c r="BA127" s="108"/>
      <c r="BE127" s="108"/>
      <c r="BI127" s="108"/>
      <c r="BM127" s="108"/>
    </row>
    <row r="128" spans="1:65" ht="16.5" hidden="1" x14ac:dyDescent="0.25">
      <c r="A128" s="215"/>
      <c r="B128" s="9"/>
      <c r="C128" s="116" t="s">
        <v>55</v>
      </c>
      <c r="D128" s="6"/>
      <c r="E128" s="121"/>
      <c r="F128" s="119"/>
      <c r="G128" s="119"/>
      <c r="H128" s="117"/>
      <c r="I128" s="121">
        <f>+Benelux!E128+Benelux!Q128</f>
        <v>2.7323852500000001</v>
      </c>
      <c r="J128" s="119">
        <f>+Benelux!F128+Benelux!R128</f>
        <v>2.6633897200000001</v>
      </c>
      <c r="K128" s="119">
        <f>+Benelux!G128+Benelux!S128</f>
        <v>2.8898952092239716</v>
      </c>
      <c r="L128" s="117"/>
      <c r="M128" s="118">
        <f>+Benelux!I128+Benelux!U128</f>
        <v>6.32915575</v>
      </c>
      <c r="N128" s="119">
        <f>+Benelux!J128+Benelux!V128</f>
        <v>6.4349911600000009</v>
      </c>
      <c r="O128" s="119">
        <f>+Benelux!K128+Benelux!W128</f>
        <v>6.278216335244327</v>
      </c>
      <c r="P128" s="117"/>
      <c r="Q128" s="121"/>
      <c r="R128" s="119"/>
      <c r="S128" s="119"/>
      <c r="T128" s="117"/>
      <c r="U128" s="125">
        <f t="shared" si="204"/>
        <v>9.0615410000000001</v>
      </c>
      <c r="V128" s="123">
        <f t="shared" si="205"/>
        <v>9.0983808800000006</v>
      </c>
      <c r="W128" s="123">
        <f t="shared" si="206"/>
        <v>9.1681115444682995</v>
      </c>
      <c r="X128" s="117"/>
      <c r="Y128" s="121"/>
      <c r="Z128" s="119"/>
      <c r="AA128" s="119"/>
      <c r="AB128" s="117"/>
      <c r="AC128" s="121"/>
      <c r="AD128" s="119"/>
      <c r="AE128" s="119"/>
      <c r="AF128" s="117"/>
      <c r="AG128" s="121">
        <f>+Benelux!M128+Benelux!Y128</f>
        <v>16.334504120000005</v>
      </c>
      <c r="AH128" s="119">
        <f>+Benelux!N128+Benelux!Z128</f>
        <v>16.868902739999989</v>
      </c>
      <c r="AI128" s="119">
        <f>+Benelux!O128+Benelux!AA128</f>
        <v>17.695976721155088</v>
      </c>
      <c r="AJ128" s="117"/>
      <c r="AK128" s="121"/>
      <c r="AL128" s="119"/>
      <c r="AM128" s="119"/>
      <c r="AN128" s="117"/>
      <c r="AO128" s="124">
        <f t="shared" ref="AO128:AO142" si="212">+AG128</f>
        <v>16.334504120000005</v>
      </c>
      <c r="AP128" s="123">
        <f t="shared" si="207"/>
        <v>16.868902739999989</v>
      </c>
      <c r="AQ128" s="123">
        <f t="shared" si="208"/>
        <v>17.695976721155088</v>
      </c>
      <c r="AR128" s="117"/>
      <c r="AS128" s="161">
        <f t="shared" si="209"/>
        <v>25.396045120000004</v>
      </c>
      <c r="AT128" s="160">
        <f t="shared" si="210"/>
        <v>25.967283619999989</v>
      </c>
      <c r="AU128" s="160">
        <f t="shared" si="211"/>
        <v>26.864088265623387</v>
      </c>
      <c r="AW128" s="108"/>
      <c r="BA128" s="108"/>
      <c r="BE128" s="108"/>
      <c r="BI128" s="108"/>
      <c r="BM128" s="108"/>
    </row>
    <row r="129" spans="1:65" ht="16.5" hidden="1" x14ac:dyDescent="0.25">
      <c r="A129" s="215"/>
      <c r="B129" s="9"/>
      <c r="C129" s="116" t="s">
        <v>21</v>
      </c>
      <c r="D129" s="6"/>
      <c r="E129" s="131"/>
      <c r="F129" s="127"/>
      <c r="G129" s="127"/>
      <c r="H129" s="117"/>
      <c r="I129" s="128">
        <f>+I130+I135+I136+I137+I138</f>
        <v>1.0794242136975374</v>
      </c>
      <c r="J129" s="127">
        <f t="shared" ref="J129:K129" si="213">+J130+J135+J136+J137+J138</f>
        <v>1.4125170611531832</v>
      </c>
      <c r="K129" s="127">
        <f t="shared" si="213"/>
        <v>122.59920114409279</v>
      </c>
      <c r="L129" s="117"/>
      <c r="M129" s="128">
        <f>+M130+M135+M136+M137+M138</f>
        <v>1.0875033388141855</v>
      </c>
      <c r="N129" s="127">
        <f>+N130+N135+N136+N137+N138</f>
        <v>0.85231236432654145</v>
      </c>
      <c r="O129" s="127">
        <f>+O130+O135+O136+O137+O138</f>
        <v>0.91938883824524975</v>
      </c>
      <c r="P129" s="117"/>
      <c r="Q129" s="131"/>
      <c r="R129" s="127"/>
      <c r="S129" s="127"/>
      <c r="T129" s="117"/>
      <c r="U129" s="129">
        <f>+U130+U135+U136+U137+U138</f>
        <v>1.0850671877995142</v>
      </c>
      <c r="V129" s="130">
        <f>+V130+V135+V136+V137+V138</f>
        <v>1.0163023588434335</v>
      </c>
      <c r="W129" s="130">
        <f>+W130+W135+W136+W137+W138</f>
        <v>39.274278494240832</v>
      </c>
      <c r="X129" s="117"/>
      <c r="Y129" s="131"/>
      <c r="Z129" s="127"/>
      <c r="AA129" s="127"/>
      <c r="AB129" s="117"/>
      <c r="AC129" s="131"/>
      <c r="AD129" s="127"/>
      <c r="AE129" s="127"/>
      <c r="AF129" s="117"/>
      <c r="AG129" s="126">
        <f>+AG130+AG135+AG136+AG137+AG138</f>
        <v>0.81073042760969938</v>
      </c>
      <c r="AH129" s="127">
        <f>+AH130+AH135+AH136+AH137+AH138</f>
        <v>1.0781042590799839</v>
      </c>
      <c r="AI129" s="127">
        <f>+AI130+AI135+AI136+AI137+AI138</f>
        <v>0.91189194750158309</v>
      </c>
      <c r="AJ129" s="117"/>
      <c r="AK129" s="131"/>
      <c r="AL129" s="127"/>
      <c r="AM129" s="127"/>
      <c r="AN129" s="117"/>
      <c r="AO129" s="132">
        <f t="shared" si="212"/>
        <v>0.81073042760969938</v>
      </c>
      <c r="AP129" s="130">
        <f t="shared" si="207"/>
        <v>1.0781042590799839</v>
      </c>
      <c r="AQ129" s="130">
        <f t="shared" si="208"/>
        <v>0.91189194750158309</v>
      </c>
      <c r="AR129" s="117"/>
      <c r="AS129" s="162">
        <f>+AS130+AS135+AS136+AS137+AS138</f>
        <v>0.90861629088175111</v>
      </c>
      <c r="AT129" s="163">
        <f>+AT130+AT135+AT136+AT137+AT138</f>
        <v>1.0564501948471421</v>
      </c>
      <c r="AU129" s="163">
        <f>+AU130+AU135+AU136+AU137+AU138</f>
        <v>14.004115122727734</v>
      </c>
      <c r="AW129" s="109"/>
      <c r="BA129" s="109"/>
      <c r="BE129" s="109"/>
      <c r="BI129" s="109"/>
      <c r="BM129" s="109"/>
    </row>
    <row r="130" spans="1:65" ht="16.5" hidden="1" x14ac:dyDescent="0.25">
      <c r="A130" s="215"/>
      <c r="B130" s="9"/>
      <c r="C130" s="116" t="s">
        <v>56</v>
      </c>
      <c r="D130" s="6"/>
      <c r="E130" s="131"/>
      <c r="F130" s="127"/>
      <c r="G130" s="127"/>
      <c r="H130" s="117"/>
      <c r="I130" s="126">
        <f>+I131+I132+I133+I134</f>
        <v>0.50004228722871347</v>
      </c>
      <c r="J130" s="127">
        <f t="shared" ref="J130:K130" si="214">+J131+J132+J133+J134</f>
        <v>0.72861633632797829</v>
      </c>
      <c r="K130" s="127">
        <f t="shared" si="214"/>
        <v>122.12813937367123</v>
      </c>
      <c r="L130" s="117"/>
      <c r="M130" s="126">
        <f>+M131+M132+M133+M134</f>
        <v>0.48439614556807198</v>
      </c>
      <c r="N130" s="127">
        <f>+N131+N132+N133+N134</f>
        <v>0.49657901783349134</v>
      </c>
      <c r="O130" s="127">
        <f>+O131+O132+O133+O134</f>
        <v>0.5053072079500186</v>
      </c>
      <c r="P130" s="117"/>
      <c r="Q130" s="131"/>
      <c r="R130" s="127"/>
      <c r="S130" s="127"/>
      <c r="T130" s="117"/>
      <c r="U130" s="132">
        <f>+U131+U132+U133+U134</f>
        <v>0.4891140281768851</v>
      </c>
      <c r="V130" s="130">
        <f>+V131+V132+V133+V134</f>
        <v>0.5645038296088567</v>
      </c>
      <c r="W130" s="130">
        <f>+W131+W132+W133+W134</f>
        <v>38.842236062184703</v>
      </c>
      <c r="X130" s="117"/>
      <c r="Y130" s="131"/>
      <c r="Z130" s="127"/>
      <c r="AA130" s="127"/>
      <c r="AB130" s="117"/>
      <c r="AC130" s="131"/>
      <c r="AD130" s="127"/>
      <c r="AE130" s="127"/>
      <c r="AF130" s="117"/>
      <c r="AG130" s="128">
        <f>+AG131+AG132+AG133+AG134</f>
        <v>0.65459124326328166</v>
      </c>
      <c r="AH130" s="127">
        <f>+AH131+AH132+AH133+AH134</f>
        <v>0.67752724561621414</v>
      </c>
      <c r="AI130" s="127">
        <f>+AI131+AI132+AI133+AI134</f>
        <v>0.63955941118730064</v>
      </c>
      <c r="AJ130" s="117"/>
      <c r="AK130" s="131"/>
      <c r="AL130" s="127"/>
      <c r="AM130" s="127"/>
      <c r="AN130" s="117"/>
      <c r="AO130" s="129">
        <f t="shared" si="212"/>
        <v>0.65459124326328166</v>
      </c>
      <c r="AP130" s="130">
        <f t="shared" si="207"/>
        <v>0.67752724561621414</v>
      </c>
      <c r="AQ130" s="130">
        <f t="shared" si="208"/>
        <v>0.63955941118730064</v>
      </c>
      <c r="AR130" s="117"/>
      <c r="AS130" s="182">
        <f>+AS131+AS132+AS133+AS134</f>
        <v>0.59554746058035035</v>
      </c>
      <c r="AT130" s="163">
        <f>+AT131+AT132+AT133+AT134</f>
        <v>0.63792625760984412</v>
      </c>
      <c r="AU130" s="163">
        <f>+AU131+AU132+AU133+AU134</f>
        <v>13.677277176647122</v>
      </c>
      <c r="AW130" s="109"/>
      <c r="BA130" s="109"/>
      <c r="BE130" s="109"/>
      <c r="BI130" s="109"/>
      <c r="BM130" s="109"/>
    </row>
    <row r="131" spans="1:65" ht="16.5" hidden="1" x14ac:dyDescent="0.25">
      <c r="A131" s="215"/>
      <c r="B131" s="9"/>
      <c r="C131" s="38" t="s">
        <v>23</v>
      </c>
      <c r="D131" s="6"/>
      <c r="E131" s="97"/>
      <c r="F131" s="42"/>
      <c r="G131" s="42"/>
      <c r="H131" s="117"/>
      <c r="I131" s="73">
        <f>+((Benelux!E131*Benelux!$E$128)+(Benelux!Q131*Benelux!$Q$128))/'H7H9 BENELUX'!$I$128</f>
        <v>0.44362642981091438</v>
      </c>
      <c r="J131" s="42">
        <f>+((Benelux!F131*Benelux!$F$128)+(Benelux!R131*Benelux!$R$128))/'H7H9 BENELUX'!$J$128</f>
        <v>0.65593483709601041</v>
      </c>
      <c r="K131" s="42">
        <f>+((Benelux!G131*Benelux!$G$128)+(Benelux!S131*Benelux!$S$128))/'H7H9 BENELUX'!$K$128</f>
        <v>0.42858077663790833</v>
      </c>
      <c r="L131" s="117"/>
      <c r="M131" s="74">
        <f>+((Benelux!I131*Benelux!$I$128)+(Benelux!U131*Benelux!$U$128))/'H7H9 BENELUX'!$M$128</f>
        <v>0.37562400537373614</v>
      </c>
      <c r="N131" s="42">
        <f>+((Benelux!J131*Benelux!$J$128)+(Benelux!V131*Benelux!$V$128))/'H7H9 BENELUX'!$N$128</f>
        <v>0.39265858891605598</v>
      </c>
      <c r="O131" s="42">
        <f>+((Benelux!K131*Benelux!$K$128)+(Benelux!W131*Benelux!$W$128))/'H7H9 BENELUX'!$O$128</f>
        <v>0.38109852984962822</v>
      </c>
      <c r="P131" s="117"/>
      <c r="Q131" s="97"/>
      <c r="R131" s="42"/>
      <c r="S131" s="42"/>
      <c r="T131" s="117"/>
      <c r="U131" s="99">
        <f t="shared" ref="U131:U137" si="215">+((I131*$I$128)+(M131*$M$128))/$U$128</f>
        <v>0.39612921762145265</v>
      </c>
      <c r="V131" s="60">
        <f t="shared" ref="V131:V137" si="216">+((J131*$J$128)+(N131*$N$128))/$V$128</f>
        <v>0.46972804359936654</v>
      </c>
      <c r="W131" s="60">
        <f t="shared" ref="W131:W137" si="217">+((K131*$K$128)+(O131*$O$128))/$W$128</f>
        <v>0.3960654853508877</v>
      </c>
      <c r="X131" s="117"/>
      <c r="Y131" s="97"/>
      <c r="Z131" s="42"/>
      <c r="AA131" s="42"/>
      <c r="AB131" s="117"/>
      <c r="AC131" s="97"/>
      <c r="AD131" s="42"/>
      <c r="AE131" s="42"/>
      <c r="AF131" s="117"/>
      <c r="AG131" s="74">
        <f>+((Benelux!M131*Benelux!$M$128)+(Benelux!Y131*Benelux!$Y$128))/'H7H9 BENELUX'!$AG$128</f>
        <v>0.47477165300755991</v>
      </c>
      <c r="AH131" s="42">
        <f>+((Benelux!N131*Benelux!$N$128)+(Benelux!Z131*Benelux!$Z$128))/'H7H9 BENELUX'!$AH$128</f>
        <v>0.514484431329573</v>
      </c>
      <c r="AI131" s="42">
        <f>+((Benelux!O131*Benelux!$O$128)+(Benelux!AA131*Benelux!$AA$128))/'H7H9 BENELUX'!$AI$128</f>
        <v>0.48169859884162769</v>
      </c>
      <c r="AJ131" s="117"/>
      <c r="AK131" s="97"/>
      <c r="AL131" s="42"/>
      <c r="AM131" s="42"/>
      <c r="AN131" s="117"/>
      <c r="AO131" s="85">
        <f t="shared" si="212"/>
        <v>0.47477165300755991</v>
      </c>
      <c r="AP131" s="60">
        <f t="shared" si="207"/>
        <v>0.514484431329573</v>
      </c>
      <c r="AQ131" s="60">
        <f t="shared" si="208"/>
        <v>0.48169859884162769</v>
      </c>
      <c r="AR131" s="117"/>
      <c r="AS131" s="93">
        <f t="shared" ref="AS131:AS137" si="218">+((U131*$U$128)+(AO131*$AO$128))/$AS$128</f>
        <v>0.44671131332774683</v>
      </c>
      <c r="AT131" s="68">
        <f t="shared" ref="AT131:AT137" si="219">+((V131*$V$128)+(AP131*$AP$128))/$AT$128</f>
        <v>0.4988027501671759</v>
      </c>
      <c r="AU131" s="68">
        <f t="shared" ref="AU131:AU137" si="220">+((W131*$W$128)+(AQ131*$AQ$128))/$AU$128</f>
        <v>0.45247393546870907</v>
      </c>
      <c r="AW131" s="109"/>
      <c r="BA131" s="109"/>
      <c r="BE131" s="109"/>
      <c r="BI131" s="109"/>
      <c r="BM131" s="109"/>
    </row>
    <row r="132" spans="1:65" ht="16.5" hidden="1" x14ac:dyDescent="0.25">
      <c r="A132" s="215"/>
      <c r="B132" s="9"/>
      <c r="C132" s="38" t="s">
        <v>24</v>
      </c>
      <c r="D132" s="7"/>
      <c r="E132" s="97"/>
      <c r="F132" s="42"/>
      <c r="G132" s="42"/>
      <c r="H132" s="134"/>
      <c r="I132" s="97">
        <f>+((Benelux!E132*Benelux!$E$128)+(Benelux!Q132*Benelux!$Q$128))/'H7H9 BENELUX'!$I$128</f>
        <v>5.028573478062802E-4</v>
      </c>
      <c r="J132" s="42">
        <f>+((Benelux!F132*Benelux!$F$128)+(Benelux!R132*Benelux!$R$128))/'H7H9 BENELUX'!$J$128</f>
        <v>0</v>
      </c>
      <c r="K132" s="42">
        <f>+((Benelux!G132*Benelux!$G$128)+(Benelux!S132*Benelux!$S$128))/'H7H9 BENELUX'!$K$128</f>
        <v>0</v>
      </c>
      <c r="L132" s="134"/>
      <c r="M132" s="97">
        <f>+((Benelux!I132*Benelux!$I$128)+(Benelux!U132*Benelux!$U$128))/'H7H9 BENELUX'!$M$128</f>
        <v>1.0559228219340313E-4</v>
      </c>
      <c r="N132" s="42">
        <f>+((Benelux!J132*Benelux!$J$128)+(Benelux!V132*Benelux!$V$128))/'H7H9 BENELUX'!$N$128</f>
        <v>0</v>
      </c>
      <c r="O132" s="42">
        <f>+((Benelux!K132*Benelux!$K$128)+(Benelux!W132*Benelux!$W$128))/'H7H9 BENELUX'!$O$128</f>
        <v>0</v>
      </c>
      <c r="P132" s="134"/>
      <c r="Q132" s="97"/>
      <c r="R132" s="42"/>
      <c r="S132" s="42"/>
      <c r="T132" s="134"/>
      <c r="U132" s="99">
        <f t="shared" si="215"/>
        <v>2.2538219492688935E-4</v>
      </c>
      <c r="V132" s="60">
        <f t="shared" si="216"/>
        <v>0</v>
      </c>
      <c r="W132" s="60">
        <f t="shared" si="217"/>
        <v>0</v>
      </c>
      <c r="X132" s="134"/>
      <c r="Y132" s="97"/>
      <c r="Z132" s="42"/>
      <c r="AA132" s="42"/>
      <c r="AB132" s="134"/>
      <c r="AC132" s="97"/>
      <c r="AD132" s="42"/>
      <c r="AE132" s="42"/>
      <c r="AF132" s="134"/>
      <c r="AG132" s="97">
        <f>+((Benelux!M132*Benelux!$M$128)+(Benelux!Y132*Benelux!$Y$128))/'H7H9 BENELUX'!$AG$128</f>
        <v>0</v>
      </c>
      <c r="AH132" s="42">
        <f>+((Benelux!N132*Benelux!$N$128)+(Benelux!Z132*Benelux!$Z$128))/'H7H9 BENELUX'!$AH$128</f>
        <v>0</v>
      </c>
      <c r="AI132" s="42">
        <f>+((Benelux!O132*Benelux!$O$128)+(Benelux!AA132*Benelux!$AA$128))/'H7H9 BENELUX'!$AI$128</f>
        <v>0</v>
      </c>
      <c r="AJ132" s="134"/>
      <c r="AK132" s="97"/>
      <c r="AL132" s="42"/>
      <c r="AM132" s="42"/>
      <c r="AN132" s="134"/>
      <c r="AO132" s="99">
        <f t="shared" si="212"/>
        <v>0</v>
      </c>
      <c r="AP132" s="60">
        <f t="shared" si="207"/>
        <v>0</v>
      </c>
      <c r="AQ132" s="60">
        <f t="shared" si="208"/>
        <v>0</v>
      </c>
      <c r="AR132" s="134"/>
      <c r="AS132" s="106">
        <f t="shared" si="218"/>
        <v>8.0418426977499379E-5</v>
      </c>
      <c r="AT132" s="68">
        <f t="shared" si="219"/>
        <v>0</v>
      </c>
      <c r="AU132" s="68">
        <f t="shared" si="220"/>
        <v>0</v>
      </c>
      <c r="AW132" s="109"/>
      <c r="BA132" s="109"/>
      <c r="BE132" s="109"/>
      <c r="BI132" s="109"/>
      <c r="BM132" s="109"/>
    </row>
    <row r="133" spans="1:65" ht="16.5" hidden="1" x14ac:dyDescent="0.25">
      <c r="A133" s="215"/>
      <c r="B133" s="9"/>
      <c r="C133" s="38" t="s">
        <v>25</v>
      </c>
      <c r="D133" s="7"/>
      <c r="E133" s="97"/>
      <c r="F133" s="42"/>
      <c r="G133" s="42"/>
      <c r="H133" s="134"/>
      <c r="I133" s="74">
        <f>+((Benelux!E133*Benelux!$E$128)+(Benelux!Q133*Benelux!$Q$128))/'H7H9 BENELUX'!$I$128</f>
        <v>2.7500919452883615E-2</v>
      </c>
      <c r="J133" s="42">
        <f>+((Benelux!F133*Benelux!$F$128)+(Benelux!R133*Benelux!$R$128))/'H7H9 BENELUX'!$J$128</f>
        <v>2.5299875336535882E-2</v>
      </c>
      <c r="K133" s="42">
        <f>+((Benelux!G133*Benelux!$G$128)+(Benelux!S13*Benelux!$S$128))/'H7H9 BENELUX'!$K$128</f>
        <v>121.65752334050794</v>
      </c>
      <c r="L133" s="134"/>
      <c r="M133" s="74">
        <f>+((Benelux!I133*Benelux!$I$128)+(Benelux!U133*Benelux!$U$128))/'H7H9 BENELUX'!$M$128</f>
        <v>7.9056770968353327E-2</v>
      </c>
      <c r="N133" s="42">
        <f>+((Benelux!J133*Benelux!$J$128)+(Benelux!V133*Benelux!$V$128))/'H7H9 BENELUX'!$N$128</f>
        <v>6.3162693051330474E-2</v>
      </c>
      <c r="O133" s="42">
        <f>+((Benelux!K133*Benelux!$K$128)+(Benelux!W133*Benelux!$W$128))/'H7H9 BENELUX'!$O$128</f>
        <v>8.898522759265412E-2</v>
      </c>
      <c r="P133" s="134"/>
      <c r="Q133" s="97"/>
      <c r="R133" s="42"/>
      <c r="S133" s="42"/>
      <c r="T133" s="134"/>
      <c r="U133" s="85">
        <f t="shared" si="215"/>
        <v>6.351080056088515E-2</v>
      </c>
      <c r="V133" s="60">
        <f t="shared" si="216"/>
        <v>5.2079024341275572E-2</v>
      </c>
      <c r="W133" s="60">
        <f t="shared" si="217"/>
        <v>38.408799965977835</v>
      </c>
      <c r="X133" s="134"/>
      <c r="Y133" s="97"/>
      <c r="Z133" s="42"/>
      <c r="AA133" s="42"/>
      <c r="AB133" s="134"/>
      <c r="AC133" s="97"/>
      <c r="AD133" s="42"/>
      <c r="AE133" s="42"/>
      <c r="AF133" s="134"/>
      <c r="AG133" s="73">
        <f>+((Benelux!M133*Benelux!$M$128)+(Benelux!Y133*Benelux!$Y$128))/'H7H9 BENELUX'!$AG$128</f>
        <v>0.13692345426944003</v>
      </c>
      <c r="AH133" s="42">
        <f>+((Benelux!N133*Benelux!$N$128)+(Benelux!Z133*Benelux!$Z$128))/'H7H9 BENELUX'!$AH$128</f>
        <v>0.11573532414931872</v>
      </c>
      <c r="AI133" s="42">
        <f>+((Benelux!O133*Benelux!$O$128)+(Benelux!AA133*Benelux!$AA$128))/'H7H9 BENELUX'!$AI$128</f>
        <v>0.10998200201759459</v>
      </c>
      <c r="AJ133" s="134"/>
      <c r="AK133" s="97"/>
      <c r="AL133" s="42"/>
      <c r="AM133" s="42"/>
      <c r="AN133" s="134"/>
      <c r="AO133" s="84">
        <f t="shared" si="212"/>
        <v>0.13692345426944003</v>
      </c>
      <c r="AP133" s="60">
        <f t="shared" si="207"/>
        <v>0.11573532414931872</v>
      </c>
      <c r="AQ133" s="60">
        <f t="shared" si="208"/>
        <v>0.10998200201759459</v>
      </c>
      <c r="AR133" s="134"/>
      <c r="AS133" s="92">
        <f t="shared" si="218"/>
        <v>0.11072914848853771</v>
      </c>
      <c r="AT133" s="68">
        <f t="shared" si="219"/>
        <v>9.343151796225295E-2</v>
      </c>
      <c r="AU133" s="68">
        <f t="shared" si="220"/>
        <v>13.180510643936712</v>
      </c>
      <c r="AW133" s="109"/>
      <c r="BA133" s="109"/>
      <c r="BE133" s="109"/>
      <c r="BI133" s="109"/>
      <c r="BM133" s="109"/>
    </row>
    <row r="134" spans="1:65" ht="16.5" hidden="1" x14ac:dyDescent="0.25">
      <c r="A134" s="215"/>
      <c r="B134" s="9"/>
      <c r="C134" s="38" t="s">
        <v>53</v>
      </c>
      <c r="D134" s="7"/>
      <c r="E134" s="97"/>
      <c r="F134" s="42"/>
      <c r="G134" s="42"/>
      <c r="H134" s="134"/>
      <c r="I134" s="74">
        <f>+((Benelux!E134*Benelux!$E$128)+(Benelux!Q134*Benelux!$Q$128))/'H7H9 BENELUX'!$I$128</f>
        <v>2.8412080617109172E-2</v>
      </c>
      <c r="J134" s="42">
        <f>+((Benelux!F134*Benelux!$F$128)+(Benelux!R134*Benelux!$R$128))/'H7H9 BENELUX'!$J$128</f>
        <v>4.7381623895432025E-2</v>
      </c>
      <c r="K134" s="42">
        <f>+((Benelux!G134*Benelux!$G$128)+(Benelux!S134*Benelux!$S$128))/'H7H9 BENELUX'!$K$128</f>
        <v>4.2035256525377832E-2</v>
      </c>
      <c r="L134" s="134"/>
      <c r="M134" s="74">
        <f>+((Benelux!I134*Benelux!$I$128)+(Benelux!U134*Benelux!$U$128))/'H7H9 BENELUX'!$M$128</f>
        <v>2.9609776943789082E-2</v>
      </c>
      <c r="N134" s="42">
        <f>+((Benelux!J134*Benelux!$J$128)+(Benelux!V134*Benelux!$V$128))/'H7H9 BENELUX'!$N$128</f>
        <v>4.0757735866104899E-2</v>
      </c>
      <c r="O134" s="42">
        <f>+((Benelux!K134*Benelux!$K$128)+(Benelux!W134*Benelux!$W$128))/'H7H9 BENELUX'!$O$128</f>
        <v>3.5223450507736211E-2</v>
      </c>
      <c r="P134" s="134"/>
      <c r="Q134" s="97"/>
      <c r="R134" s="42"/>
      <c r="S134" s="42"/>
      <c r="T134" s="134"/>
      <c r="U134" s="85">
        <f t="shared" si="215"/>
        <v>2.9248627799620404E-2</v>
      </c>
      <c r="V134" s="60">
        <f t="shared" si="216"/>
        <v>4.2696761668214532E-2</v>
      </c>
      <c r="W134" s="60">
        <f t="shared" si="217"/>
        <v>3.7370610855978585E-2</v>
      </c>
      <c r="X134" s="134"/>
      <c r="Y134" s="97"/>
      <c r="Z134" s="42"/>
      <c r="AA134" s="42"/>
      <c r="AB134" s="134"/>
      <c r="AC134" s="97"/>
      <c r="AD134" s="42"/>
      <c r="AE134" s="42"/>
      <c r="AF134" s="134"/>
      <c r="AG134" s="74">
        <f>+((Benelux!M134*Benelux!$M$128)+(Benelux!Y134*Benelux!$Y$128))/'H7H9 BENELUX'!$AG$128</f>
        <v>4.2896135986281753E-2</v>
      </c>
      <c r="AH134" s="42">
        <f>+((Benelux!N134*Benelux!$N$128)+(Benelux!Z134*Benelux!$Z$128))/'H7H9 BENELUX'!$AH$128</f>
        <v>4.7307490137322376E-2</v>
      </c>
      <c r="AI134" s="42">
        <f>+((Benelux!O134*Benelux!$O$128)+(Benelux!AA134*Benelux!$AA$128))/'H7H9 BENELUX'!$AI$128</f>
        <v>4.7878810328078357E-2</v>
      </c>
      <c r="AJ134" s="134"/>
      <c r="AK134" s="97"/>
      <c r="AL134" s="42"/>
      <c r="AM134" s="42"/>
      <c r="AN134" s="134"/>
      <c r="AO134" s="85">
        <f t="shared" si="212"/>
        <v>4.2896135986281753E-2</v>
      </c>
      <c r="AP134" s="60">
        <f t="shared" si="207"/>
        <v>4.7307490137322376E-2</v>
      </c>
      <c r="AQ134" s="60">
        <f t="shared" si="208"/>
        <v>4.7878810328078357E-2</v>
      </c>
      <c r="AR134" s="134"/>
      <c r="AS134" s="93">
        <f t="shared" si="218"/>
        <v>3.802658033708832E-2</v>
      </c>
      <c r="AT134" s="68">
        <f t="shared" si="219"/>
        <v>4.5691989480415293E-2</v>
      </c>
      <c r="AU134" s="68">
        <f t="shared" si="220"/>
        <v>4.4292597241702543E-2</v>
      </c>
      <c r="AW134" s="109"/>
      <c r="BA134" s="109"/>
      <c r="BE134" s="109"/>
      <c r="BI134" s="109"/>
      <c r="BM134" s="109"/>
    </row>
    <row r="135" spans="1:65" ht="16.5" hidden="1" x14ac:dyDescent="0.25">
      <c r="A135" s="215"/>
      <c r="B135" s="9"/>
      <c r="C135" s="116" t="s">
        <v>27</v>
      </c>
      <c r="D135" s="7"/>
      <c r="E135" s="131"/>
      <c r="F135" s="127"/>
      <c r="G135" s="127"/>
      <c r="H135" s="134"/>
      <c r="I135" s="126">
        <f>+((Benelux!E135*Benelux!$E$128)+(Benelux!Q135*Benelux!$Q$128))/'H7H9 BENELUX'!$I$128</f>
        <v>-4.0932445378996249E-2</v>
      </c>
      <c r="J135" s="127">
        <f>+((Benelux!F135*Benelux!$F$128)+(Benelux!R135*Benelux!$R$128))/'H7H9 BENELUX'!$J$128</f>
        <v>-6.3380367781850563E-2</v>
      </c>
      <c r="K135" s="127">
        <f>+((Benelux!G135*Benelux!$G$128)+(Benelux!S135*Benelux!$S$128))/'H7H9 BENELUX'!$K$128</f>
        <v>-3.1876393608394671E-2</v>
      </c>
      <c r="L135" s="134"/>
      <c r="M135" s="128">
        <f>+((Benelux!I135*Benelux!$I$128)+(Benelux!U135*Benelux!$U$128))/'H7H9 BENELUX'!$M$128</f>
        <v>-5.0109025994501719E-2</v>
      </c>
      <c r="N135" s="127">
        <f>+((Benelux!J135*Benelux!$J$128)+(Benelux!V135*Benelux!$V$128))/'H7H9 BENELUX'!$N$128</f>
        <v>-4.6052332106078592E-2</v>
      </c>
      <c r="O135" s="127">
        <f>+((Benelux!K135*Benelux!$K$128)+(Benelux!W135*Benelux!$W$128))/'H7H9 BENELUX'!$O$128</f>
        <v>-4.3446625977926707E-2</v>
      </c>
      <c r="P135" s="134"/>
      <c r="Q135" s="131"/>
      <c r="R135" s="127"/>
      <c r="S135" s="127"/>
      <c r="T135" s="134"/>
      <c r="U135" s="129">
        <f t="shared" si="215"/>
        <v>-4.7341952102848736E-2</v>
      </c>
      <c r="V135" s="130">
        <f t="shared" si="216"/>
        <v>-5.1124807384410137E-2</v>
      </c>
      <c r="W135" s="130">
        <f t="shared" si="217"/>
        <v>-3.9799554393758069E-2</v>
      </c>
      <c r="X135" s="134"/>
      <c r="Y135" s="131"/>
      <c r="Z135" s="127"/>
      <c r="AA135" s="127"/>
      <c r="AB135" s="134"/>
      <c r="AC135" s="131"/>
      <c r="AD135" s="127"/>
      <c r="AE135" s="127"/>
      <c r="AF135" s="134"/>
      <c r="AG135" s="126">
        <f>+((Benelux!M135*Benelux!$M$128)+(Benelux!Y135*Benelux!$Y$128))/'H7H9 BENELUX'!$AG$128</f>
        <v>-7.0669054996693681E-2</v>
      </c>
      <c r="AH135" s="127">
        <f>+((Benelux!N135*Benelux!$N$128)+(Benelux!Z135*Benelux!$Z$128))/'H7H9 BENELUX'!$AH$128</f>
        <v>-6.695397545460037E-2</v>
      </c>
      <c r="AI135" s="127">
        <f>+((Benelux!O135*Benelux!$O$128)+(Benelux!AA135*Benelux!$AA$128))/'H7H9 BENELUX'!$AI$128</f>
        <v>-5.1156698538167497E-2</v>
      </c>
      <c r="AJ135" s="134"/>
      <c r="AK135" s="131"/>
      <c r="AL135" s="127"/>
      <c r="AM135" s="127"/>
      <c r="AN135" s="134"/>
      <c r="AO135" s="132">
        <f t="shared" si="212"/>
        <v>-7.0669054996693681E-2</v>
      </c>
      <c r="AP135" s="130">
        <f t="shared" si="207"/>
        <v>-6.695397545460037E-2</v>
      </c>
      <c r="AQ135" s="130">
        <f t="shared" si="208"/>
        <v>-5.1156698538167497E-2</v>
      </c>
      <c r="AR135" s="134"/>
      <c r="AS135" s="164">
        <f t="shared" si="218"/>
        <v>-6.2345731491596904E-2</v>
      </c>
      <c r="AT135" s="163">
        <f t="shared" si="219"/>
        <v>-6.1407773463522601E-2</v>
      </c>
      <c r="AU135" s="163">
        <f t="shared" si="220"/>
        <v>-4.7280759652283455E-2</v>
      </c>
      <c r="AW135" s="109"/>
      <c r="BA135" s="109"/>
      <c r="BE135" s="109"/>
      <c r="BI135" s="109"/>
      <c r="BM135" s="109"/>
    </row>
    <row r="136" spans="1:65" ht="16.5" hidden="1" x14ac:dyDescent="0.25">
      <c r="A136" s="215"/>
      <c r="B136" s="9"/>
      <c r="C136" s="116" t="s">
        <v>57</v>
      </c>
      <c r="D136" s="7"/>
      <c r="E136" s="131"/>
      <c r="F136" s="127"/>
      <c r="G136" s="127"/>
      <c r="H136" s="134"/>
      <c r="I136" s="128">
        <f>+((Benelux!E136*Benelux!$E$128)+(Benelux!Q136*Benelux!$Q$128))/'H7H9 BENELUX'!$I$128</f>
        <v>0.30354837042104482</v>
      </c>
      <c r="J136" s="127">
        <f>+((Benelux!F136*Benelux!$F$128)+(Benelux!R136*Benelux!$R$128))/'H7H9 BENELUX'!$J$128</f>
        <v>0.23932353392127634</v>
      </c>
      <c r="K136" s="127">
        <f>+((Benelux!G136*Benelux!$G$128)+(Benelux!S136*Benelux!$S$128))/'H7H9 BENELUX'!$K$128</f>
        <v>5.5860167077907003E-3</v>
      </c>
      <c r="L136" s="134"/>
      <c r="M136" s="128">
        <f>+((Benelux!I136*Benelux!$I$128)+(Benelux!U136*Benelux!$U$128))/'H7H9 BENELUX'!$M$128</f>
        <v>0.28073274543765175</v>
      </c>
      <c r="N136" s="127">
        <f>+((Benelux!J136*Benelux!$J$128)+(Benelux!V136*Benelux!$V$128))/'H7H9 BENELUX'!$N$128</f>
        <v>-9.7224489427271354E-2</v>
      </c>
      <c r="O136" s="127">
        <f>+((Benelux!K136*Benelux!$K$128)+(Benelux!W136*Benelux!$W$128))/'H7H9 BENELUX'!$O$128</f>
        <v>-1.6932053279915867E-3</v>
      </c>
      <c r="P136" s="134"/>
      <c r="Q136" s="131"/>
      <c r="R136" s="127"/>
      <c r="S136" s="127"/>
      <c r="T136" s="134"/>
      <c r="U136" s="129">
        <f t="shared" si="215"/>
        <v>0.28761248886916685</v>
      </c>
      <c r="V136" s="130">
        <f t="shared" si="216"/>
        <v>1.2939785831425905E-3</v>
      </c>
      <c r="W136" s="130">
        <f t="shared" si="217"/>
        <v>6.0128997630881306E-4</v>
      </c>
      <c r="X136" s="134"/>
      <c r="Y136" s="131"/>
      <c r="Z136" s="127"/>
      <c r="AA136" s="127"/>
      <c r="AB136" s="134"/>
      <c r="AC136" s="131"/>
      <c r="AD136" s="127"/>
      <c r="AE136" s="127"/>
      <c r="AF136" s="134"/>
      <c r="AG136" s="126">
        <f>+((Benelux!M136*Benelux!$M$128)+(Benelux!Y136*Benelux!$Y$128))/'H7H9 BENELUX'!$AG$128</f>
        <v>-0.13867994053314431</v>
      </c>
      <c r="AH136" s="127">
        <f>+((Benelux!N136*Benelux!$N$128)+(Benelux!Z136*Benelux!$Z$128))/'H7H9 BENELUX'!$AH$128</f>
        <v>7.3931349253839998E-2</v>
      </c>
      <c r="AI136" s="127">
        <f>+((Benelux!O136*Benelux!$O$128)+(Benelux!AA136*Benelux!$AA$128))/'H7H9 BENELUX'!$AI$128</f>
        <v>-1.8959619134217641E-2</v>
      </c>
      <c r="AJ136" s="134"/>
      <c r="AK136" s="131"/>
      <c r="AL136" s="127"/>
      <c r="AM136" s="127"/>
      <c r="AN136" s="134"/>
      <c r="AO136" s="132">
        <f t="shared" si="212"/>
        <v>-0.13867994053314431</v>
      </c>
      <c r="AP136" s="130">
        <f t="shared" si="207"/>
        <v>7.3931349253839998E-2</v>
      </c>
      <c r="AQ136" s="130">
        <f t="shared" si="208"/>
        <v>-1.8959619134217641E-2</v>
      </c>
      <c r="AR136" s="134"/>
      <c r="AS136" s="164">
        <f t="shared" si="218"/>
        <v>1.3425094277041416E-2</v>
      </c>
      <c r="AT136" s="163">
        <f t="shared" si="219"/>
        <v>4.8480767893272318E-2</v>
      </c>
      <c r="AU136" s="163">
        <f t="shared" si="220"/>
        <v>-1.2283919037371223E-2</v>
      </c>
      <c r="AW136" s="109"/>
      <c r="BA136" s="109"/>
      <c r="BE136" s="109"/>
      <c r="BI136" s="109"/>
      <c r="BM136" s="109"/>
    </row>
    <row r="137" spans="1:65" ht="16.5" hidden="1" x14ac:dyDescent="0.25">
      <c r="A137" s="215"/>
      <c r="B137" s="9"/>
      <c r="C137" s="116" t="s">
        <v>29</v>
      </c>
      <c r="D137" s="7"/>
      <c r="E137" s="131"/>
      <c r="F137" s="127"/>
      <c r="G137" s="127"/>
      <c r="H137" s="134"/>
      <c r="I137" s="126">
        <f>+((Benelux!E137*Benelux!$E$128)+(Benelux!Q137*Benelux!$Q$128))/'H7H9 BENELUX'!$I$128</f>
        <v>-8.1373089684187078E-2</v>
      </c>
      <c r="J137" s="127">
        <f>+((Benelux!F137*Benelux!$F$128)+(Benelux!R137*Benelux!$R$128))/'H7H9 BENELUX'!$J$128</f>
        <v>2.268812541635851E-2</v>
      </c>
      <c r="K137" s="127">
        <f>+((Benelux!G137*Benelux!$G$128)+(Benelux!S137*Benelux!$S$128))/'H7H9 BENELUX'!$K$128</f>
        <v>0</v>
      </c>
      <c r="L137" s="134"/>
      <c r="M137" s="126">
        <f>+((Benelux!I137*Benelux!$I$128)+(Benelux!U137*Benelux!$U$128))/'H7H9 BENELUX'!$M$128</f>
        <v>-5.1348992320184229E-2</v>
      </c>
      <c r="N137" s="127">
        <f>+((Benelux!J137*Benelux!$J$128)+(Benelux!V137*Benelux!$V$128))/'H7H9 BENELUX'!$N$128</f>
        <v>5.1975152985291748E-2</v>
      </c>
      <c r="O137" s="127">
        <f>+((Benelux!K137*Benelux!$K$128)+(Benelux!W137*Benelux!$W$128))/'H7H9 BENELUX'!$O$128</f>
        <v>0</v>
      </c>
      <c r="P137" s="134"/>
      <c r="Q137" s="131"/>
      <c r="R137" s="127"/>
      <c r="S137" s="127"/>
      <c r="T137" s="134"/>
      <c r="U137" s="132">
        <f t="shared" si="215"/>
        <v>-6.0402353197982525E-2</v>
      </c>
      <c r="V137" s="130">
        <f t="shared" si="216"/>
        <v>4.3401894821532248E-2</v>
      </c>
      <c r="W137" s="130">
        <f t="shared" si="217"/>
        <v>0</v>
      </c>
      <c r="X137" s="134"/>
      <c r="Y137" s="131"/>
      <c r="Z137" s="127"/>
      <c r="AA137" s="127"/>
      <c r="AB137" s="134"/>
      <c r="AC137" s="131"/>
      <c r="AD137" s="127"/>
      <c r="AE137" s="127"/>
      <c r="AF137" s="134"/>
      <c r="AG137" s="128">
        <f>+((Benelux!M137*Benelux!$M$128)+(Benelux!Y137*Benelux!$Y$128))/'H7H9 BENELUX'!$AG$128</f>
        <v>3.0729038133788172E-2</v>
      </c>
      <c r="AH137" s="127">
        <f>+((Benelux!N137*Benelux!$N$128)+(Benelux!Z137*Benelux!$Z$128))/'H7H9 BENELUX'!$AH$128</f>
        <v>7.6398126177114986E-2</v>
      </c>
      <c r="AI137" s="127">
        <f>+((Benelux!O137*Benelux!$O$128)+(Benelux!AA137*Benelux!$AA$128))/'H7H9 BENELUX'!$AI$128</f>
        <v>0</v>
      </c>
      <c r="AJ137" s="134"/>
      <c r="AK137" s="131"/>
      <c r="AL137" s="127"/>
      <c r="AM137" s="127"/>
      <c r="AN137" s="134"/>
      <c r="AO137" s="129">
        <f t="shared" si="212"/>
        <v>3.0729038133788172E-2</v>
      </c>
      <c r="AP137" s="130">
        <f t="shared" si="207"/>
        <v>7.6398126177114986E-2</v>
      </c>
      <c r="AQ137" s="130">
        <f t="shared" si="208"/>
        <v>0</v>
      </c>
      <c r="AR137" s="134"/>
      <c r="AS137" s="162">
        <f t="shared" si="218"/>
        <v>-1.7874751673145404E-3</v>
      </c>
      <c r="AT137" s="163">
        <f t="shared" si="219"/>
        <v>6.4836952321931027E-2</v>
      </c>
      <c r="AU137" s="163">
        <f t="shared" si="220"/>
        <v>0</v>
      </c>
      <c r="AW137" s="109"/>
      <c r="BA137" s="109"/>
      <c r="BE137" s="109"/>
      <c r="BI137" s="109"/>
      <c r="BM137" s="109"/>
    </row>
    <row r="138" spans="1:65" ht="16.5" hidden="1" x14ac:dyDescent="0.25">
      <c r="A138" s="215"/>
      <c r="B138" s="9"/>
      <c r="C138" s="116" t="s">
        <v>58</v>
      </c>
      <c r="D138" s="7"/>
      <c r="E138" s="131"/>
      <c r="F138" s="127"/>
      <c r="G138" s="127"/>
      <c r="H138" s="134"/>
      <c r="I138" s="126">
        <f>+I139+I140+I141</f>
        <v>0.39813909111096257</v>
      </c>
      <c r="J138" s="127">
        <f t="shared" ref="J138:K138" si="221">+J139+J140+J141</f>
        <v>0.48526943326942051</v>
      </c>
      <c r="K138" s="127">
        <f t="shared" si="221"/>
        <v>0.49735214732216365</v>
      </c>
      <c r="L138" s="134"/>
      <c r="M138" s="126">
        <f>+M139+M140+M141</f>
        <v>0.42383246612314751</v>
      </c>
      <c r="N138" s="127">
        <f>+N139+N140+N141</f>
        <v>0.44703501504110832</v>
      </c>
      <c r="O138" s="127">
        <f>+O139+O140+O141</f>
        <v>0.45922146160114941</v>
      </c>
      <c r="P138" s="134"/>
      <c r="Q138" s="131"/>
      <c r="R138" s="127"/>
      <c r="S138" s="127"/>
      <c r="T138" s="134"/>
      <c r="U138" s="132">
        <f>+U139+U140+U141</f>
        <v>0.41608497605429362</v>
      </c>
      <c r="V138" s="130">
        <f>+V139+V140+V141</f>
        <v>0.45822746321431207</v>
      </c>
      <c r="W138" s="130">
        <f>+W139+W140+W141</f>
        <v>0.47124069647357747</v>
      </c>
      <c r="X138" s="134"/>
      <c r="Y138" s="131"/>
      <c r="Z138" s="127"/>
      <c r="AA138" s="127"/>
      <c r="AB138" s="134"/>
      <c r="AC138" s="131"/>
      <c r="AD138" s="127"/>
      <c r="AE138" s="127"/>
      <c r="AF138" s="134"/>
      <c r="AG138" s="126">
        <f>+AG139+AG140+AG141</f>
        <v>0.33475914174246763</v>
      </c>
      <c r="AH138" s="127">
        <f>+AH139+AH140+AH141</f>
        <v>0.31720151348741515</v>
      </c>
      <c r="AI138" s="127">
        <f>+AI139+AI140+AI141</f>
        <v>0.34244885398666758</v>
      </c>
      <c r="AJ138" s="134"/>
      <c r="AK138" s="131"/>
      <c r="AL138" s="127"/>
      <c r="AM138" s="127"/>
      <c r="AN138" s="134"/>
      <c r="AO138" s="132">
        <f t="shared" si="212"/>
        <v>0.33475914174246763</v>
      </c>
      <c r="AP138" s="130">
        <f t="shared" si="207"/>
        <v>0.31720151348741515</v>
      </c>
      <c r="AQ138" s="130">
        <f t="shared" si="208"/>
        <v>0.34244885398666758</v>
      </c>
      <c r="AR138" s="134"/>
      <c r="AS138" s="162">
        <f>+AS139+AS140+AS141</f>
        <v>0.36377694268327088</v>
      </c>
      <c r="AT138" s="163">
        <f>+AT139+AT140+AT141</f>
        <v>0.36661399048561727</v>
      </c>
      <c r="AU138" s="163">
        <f>+AU139+AU140+AU141</f>
        <v>0.38640262477026655</v>
      </c>
      <c r="AW138" s="109"/>
      <c r="BA138" s="109"/>
      <c r="BE138" s="109"/>
      <c r="BI138" s="109"/>
      <c r="BM138" s="109"/>
    </row>
    <row r="139" spans="1:65" ht="16.5" hidden="1" x14ac:dyDescent="0.25">
      <c r="A139" s="215"/>
      <c r="B139" s="9"/>
      <c r="C139" s="39" t="s">
        <v>59</v>
      </c>
      <c r="D139" s="8"/>
      <c r="E139" s="97"/>
      <c r="F139" s="42"/>
      <c r="G139" s="42"/>
      <c r="H139" s="135"/>
      <c r="I139" s="74">
        <f>+((Benelux!E139*Benelux!$E$128)+(Benelux!Q1139*Benelux!$Q$128))/'H7H9 BENELUX'!$I$128</f>
        <v>0.16405661317341694</v>
      </c>
      <c r="J139" s="42">
        <f>+((Benelux!F139*Benelux!$F$128)+(Benelux!R139*Benelux!$R$128))/'H7H9 BENELUX'!$J$128</f>
        <v>0.24895959274033713</v>
      </c>
      <c r="K139" s="42">
        <f>+((Benelux!G139*Benelux!$G$128)+(Benelux!S139*Benelux!$S$128))/'H7H9 BENELUX'!$K$128</f>
        <v>0.26935676680642862</v>
      </c>
      <c r="L139" s="135"/>
      <c r="M139" s="74">
        <f>+((Benelux!I139*Benelux!$I$128)+(Benelux!U139*Benelux!$U$128))/'H7H9 BENELUX'!$M$128</f>
        <v>0.21984295140785554</v>
      </c>
      <c r="N139" s="42">
        <f>+((Benelux!J139*Benelux!$J$128)+(Benelux!V139*Benelux!$V$128))/'H7H9 BENELUX'!$N$128</f>
        <v>0.22164970775189063</v>
      </c>
      <c r="O139" s="42">
        <f>+((Benelux!K139*Benelux!$K$128)+(Benelux!W139*Benelux!$W$128))/'H7H9 BENELUX'!$O$128</f>
        <v>0.21985013493366903</v>
      </c>
      <c r="P139" s="135"/>
      <c r="Q139" s="97"/>
      <c r="R139" s="42"/>
      <c r="S139" s="42"/>
      <c r="T139" s="135"/>
      <c r="U139" s="85">
        <f>+((I139*$I$128)+(M139*$M$128))/$U$128</f>
        <v>0.20302133489215574</v>
      </c>
      <c r="V139" s="60">
        <f>+((J139*$J$128)+(N139*$N$128))/$V$128</f>
        <v>0.22964419247306783</v>
      </c>
      <c r="W139" s="60">
        <f>+((K139*$K$128)+(O139*$O$128))/$W$128</f>
        <v>0.23545520011857346</v>
      </c>
      <c r="X139" s="135"/>
      <c r="Y139" s="97"/>
      <c r="Z139" s="42"/>
      <c r="AA139" s="42"/>
      <c r="AB139" s="135"/>
      <c r="AC139" s="97"/>
      <c r="AD139" s="42"/>
      <c r="AE139" s="42"/>
      <c r="AF139" s="135"/>
      <c r="AG139" s="74">
        <f>+((Benelux!M139*Benelux!$M$128)+(Benelux!Y139*Benelux!$Y$128))/'H7H9 BENELUX'!$AG$128</f>
        <v>0.19938147531594622</v>
      </c>
      <c r="AH139" s="42">
        <f>+((Benelux!N139*Benelux!$N$128)+(Benelux!Z139*Benelux!$Z$128))/'H7H9 BENELUX'!$AH$128</f>
        <v>0.20001650267384272</v>
      </c>
      <c r="AI139" s="42">
        <f>+((Benelux!O139*Benelux!$O$128)+(Benelux!AA139*Benelux!$AA$128))/'H7H9 BENELUX'!$AI$128</f>
        <v>0.20286488120097532</v>
      </c>
      <c r="AJ139" s="135"/>
      <c r="AK139" s="97"/>
      <c r="AL139" s="42"/>
      <c r="AM139" s="42"/>
      <c r="AN139" s="135"/>
      <c r="AO139" s="85">
        <f t="shared" si="212"/>
        <v>0.19938147531594622</v>
      </c>
      <c r="AP139" s="60">
        <f t="shared" si="207"/>
        <v>0.20001650267384272</v>
      </c>
      <c r="AQ139" s="60">
        <f t="shared" si="208"/>
        <v>0.20286488120097532</v>
      </c>
      <c r="AR139" s="135"/>
      <c r="AS139" s="93">
        <f>+((U139*$U$128)+(AO139*$AO$128))/$AS$128</f>
        <v>0.20068021047837867</v>
      </c>
      <c r="AT139" s="68">
        <f>+((V139*$V$128)+(AP139*$AP$128))/$AT$128</f>
        <v>0.21039741160265429</v>
      </c>
      <c r="AU139" s="68">
        <f>+((W139*$W$128)+(AQ139*$AQ$128))/$AU$128</f>
        <v>0.21398722699406461</v>
      </c>
      <c r="AW139" s="109"/>
      <c r="BA139" s="109"/>
      <c r="BE139" s="109"/>
      <c r="BI139" s="109"/>
      <c r="BM139" s="109"/>
    </row>
    <row r="140" spans="1:65" ht="16.5" hidden="1" x14ac:dyDescent="0.25">
      <c r="A140" s="215"/>
      <c r="B140" s="9"/>
      <c r="C140" s="39" t="s">
        <v>60</v>
      </c>
      <c r="D140" s="8"/>
      <c r="E140" s="97"/>
      <c r="F140" s="42"/>
      <c r="G140" s="42"/>
      <c r="H140" s="135"/>
      <c r="I140" s="73">
        <f>+((Benelux!E140*Benelux!$E$128)+(Benelux!Q140*Benelux!$Q$128))/'H7H9 BENELUX'!$I$128</f>
        <v>0.11936499071644456</v>
      </c>
      <c r="J140" s="42">
        <f>+((Benelux!F140*Benelux!$F$128)+(Benelux!R140*Benelux!$R$128))/'H7H9 BENELUX'!$J$128</f>
        <v>0.11272712278847424</v>
      </c>
      <c r="K140" s="42">
        <f>+((Benelux!G140*Benelux!$G$128)+(Benelux!S140*Benelux!$S$128))/'H7H9 BENELUX'!$K$128</f>
        <v>0.11202898178099482</v>
      </c>
      <c r="L140" s="135"/>
      <c r="M140" s="74">
        <f>+((Benelux!I140*Benelux!$I$128)+(Benelux!U140*Benelux!$U$128))/'H7H9 BENELUX'!$M$128</f>
        <v>0.11807141734503847</v>
      </c>
      <c r="N140" s="42">
        <f>+((Benelux!J140*Benelux!$J$128)+(Benelux!V140*Benelux!$V$128))/'H7H9 BENELUX'!$N$128</f>
        <v>0.14225873000266867</v>
      </c>
      <c r="O140" s="42">
        <f>+((Benelux!K140*Benelux!$K$128)+(Benelux!W140*Benelux!$W$128))/'H7H9 BENELUX'!$O$128</f>
        <v>0.13339335458602436</v>
      </c>
      <c r="P140" s="135"/>
      <c r="Q140" s="97"/>
      <c r="R140" s="42"/>
      <c r="S140" s="42"/>
      <c r="T140" s="135"/>
      <c r="U140" s="85">
        <f>+((I140*$I$128)+(M140*$M$128))/$U$128</f>
        <v>0.1184614769165642</v>
      </c>
      <c r="V140" s="60">
        <f>+((J140*$J$128)+(N140*$N$128))/$V$128</f>
        <v>0.13361387548330464</v>
      </c>
      <c r="W140" s="60">
        <f>+((K140*$K$128)+(O140*$O$128))/$W$128</f>
        <v>0.12665905621739446</v>
      </c>
      <c r="X140" s="135"/>
      <c r="Y140" s="97"/>
      <c r="Z140" s="42"/>
      <c r="AA140" s="42"/>
      <c r="AB140" s="135"/>
      <c r="AC140" s="97"/>
      <c r="AD140" s="42"/>
      <c r="AE140" s="42"/>
      <c r="AF140" s="135"/>
      <c r="AG140" s="97">
        <f>+((Benelux!M140*Benelux!$M$128)+(Benelux!Y140*Benelux!$Y$128))/'H7H9 BENELUX'!$AG$128</f>
        <v>6.5489632996584626E-2</v>
      </c>
      <c r="AH140" s="42">
        <f>+((Benelux!N140*Benelux!$N$128)+(Benelux!Z140*Benelux!$Z$128))/'H7H9 BENELUX'!$AH$128</f>
        <v>5.0179457019028408E-2</v>
      </c>
      <c r="AI140" s="42">
        <f>+((Benelux!O140*Benelux!$O$128)+(Benelux!AA140*Benelux!$AA$128))/'H7H9 BENELUX'!$AI$128</f>
        <v>6.1632040481207288E-2</v>
      </c>
      <c r="AJ140" s="135"/>
      <c r="AK140" s="97"/>
      <c r="AL140" s="42"/>
      <c r="AM140" s="42"/>
      <c r="AN140" s="135"/>
      <c r="AO140" s="99">
        <f t="shared" si="212"/>
        <v>6.5489632996584626E-2</v>
      </c>
      <c r="AP140" s="60">
        <f t="shared" si="207"/>
        <v>5.0179457019028408E-2</v>
      </c>
      <c r="AQ140" s="60">
        <f t="shared" si="208"/>
        <v>6.1632040481207288E-2</v>
      </c>
      <c r="AR140" s="135"/>
      <c r="AS140" s="106">
        <f>+((U140*$U$128)+(AO140*$AO$128))/$AS$128</f>
        <v>8.4390471030947656E-2</v>
      </c>
      <c r="AT140" s="68">
        <f>+((V140*$V$128)+(AP140*$AP$128))/$AT$128</f>
        <v>7.9413093035720472E-2</v>
      </c>
      <c r="AU140" s="68">
        <f>+((W140*$W$128)+(AQ140*$AQ$128))/$AU$128</f>
        <v>8.3824304286272064E-2</v>
      </c>
      <c r="AW140" s="109"/>
      <c r="BA140" s="109"/>
      <c r="BE140" s="109"/>
      <c r="BI140" s="109"/>
      <c r="BM140" s="109"/>
    </row>
    <row r="141" spans="1:65" ht="16.5" hidden="1" x14ac:dyDescent="0.25">
      <c r="A141" s="215"/>
      <c r="B141" s="9"/>
      <c r="C141" s="39" t="s">
        <v>61</v>
      </c>
      <c r="D141" s="8"/>
      <c r="E141" s="97"/>
      <c r="F141" s="42"/>
      <c r="G141" s="42"/>
      <c r="H141" s="135"/>
      <c r="I141" s="74">
        <f>+((Benelux!E141*Benelux!$E$128)+(Benelux!Q141*Benelux!$Q$128))/'H7H9 BENELUX'!$I$128</f>
        <v>0.11471748722110106</v>
      </c>
      <c r="J141" s="42">
        <f>+((Benelux!F141*Benelux!$F$128)+(Benelux!R141*Benelux!$R$128))/'H7H9 BENELUX'!$J$128</f>
        <v>0.12358271774060914</v>
      </c>
      <c r="K141" s="42">
        <f>+((Benelux!G141*Benelux!$G$128)+(Benelux!S141*Benelux!$S$128))/'H7H9 BENELUX'!$K$128</f>
        <v>0.1159663987347402</v>
      </c>
      <c r="L141" s="135"/>
      <c r="M141" s="74">
        <f>+((Benelux!I141*Benelux!$I$128)+(Benelux!U141*Benelux!$U$128))/'H7H9 BENELUX'!$M$128</f>
        <v>8.5918097370253521E-2</v>
      </c>
      <c r="N141" s="42">
        <f>+((Benelux!J141*Benelux!$J$128)+(Benelux!V141*Benelux!$V$128))/'H7H9 BENELUX'!$N$128</f>
        <v>8.3126577286549042E-2</v>
      </c>
      <c r="O141" s="42">
        <f>+((Benelux!K141*Benelux!$K$128)+(Benelux!W141*Benelux!$W$128))/'H7H9 BENELUX'!$O$128</f>
        <v>0.10597797208145596</v>
      </c>
      <c r="P141" s="135"/>
      <c r="Q141" s="97"/>
      <c r="R141" s="42"/>
      <c r="S141" s="42"/>
      <c r="T141" s="135"/>
      <c r="U141" s="85">
        <f>+((I141*$I$128)+(M141*$M$128))/$U$128</f>
        <v>9.4602164245573675E-2</v>
      </c>
      <c r="V141" s="60">
        <f>+((J141*$J$128)+(N141*$N$128))/$V$128</f>
        <v>9.4969395257939557E-2</v>
      </c>
      <c r="W141" s="60">
        <f>+((K141*$K$128)+(O141*$O$128))/$W$128</f>
        <v>0.10912644013760951</v>
      </c>
      <c r="X141" s="135"/>
      <c r="Y141" s="97"/>
      <c r="Z141" s="42"/>
      <c r="AA141" s="42"/>
      <c r="AB141" s="135"/>
      <c r="AC141" s="97"/>
      <c r="AD141" s="42"/>
      <c r="AE141" s="42"/>
      <c r="AF141" s="135"/>
      <c r="AG141" s="74">
        <f>+((Benelux!M141*Benelux!$M$128)+(Benelux!Y141*Benelux!$Y$128))/'H7H9 BENELUX'!$AG$128</f>
        <v>6.9888033429936755E-2</v>
      </c>
      <c r="AH141" s="42">
        <f>+((Benelux!N141*Benelux!$N$128)+(Benelux!Z141*Benelux!$Z$128))/'H7H9 BENELUX'!$AH$128</f>
        <v>6.7005553794544023E-2</v>
      </c>
      <c r="AI141" s="42">
        <f>+((Benelux!O141*Benelux!$O$128)+(Benelux!AA141*Benelux!$AA$128))/'H7H9 BENELUX'!$AI$128</f>
        <v>7.7951932304484967E-2</v>
      </c>
      <c r="AJ141" s="135"/>
      <c r="AK141" s="97"/>
      <c r="AL141" s="42"/>
      <c r="AM141" s="42"/>
      <c r="AN141" s="135"/>
      <c r="AO141" s="85">
        <f t="shared" si="212"/>
        <v>6.9888033429936755E-2</v>
      </c>
      <c r="AP141" s="60">
        <f t="shared" si="207"/>
        <v>6.7005553794544023E-2</v>
      </c>
      <c r="AQ141" s="60">
        <f t="shared" si="208"/>
        <v>7.7951932304484967E-2</v>
      </c>
      <c r="AR141" s="135"/>
      <c r="AS141" s="93">
        <f>+((U141*$U$128)+(AO141*$AO$128))/$AS$128</f>
        <v>7.8706261173944525E-2</v>
      </c>
      <c r="AT141" s="68">
        <f>+((V141*$V$128)+(AP141*$AP$128))/$AT$128</f>
        <v>7.6803485847242475E-2</v>
      </c>
      <c r="AU141" s="68">
        <f>+((W141*$W$128)+(AQ141*$AQ$128))/$AU$128</f>
        <v>8.8591093489929884E-2</v>
      </c>
      <c r="AW141" s="109"/>
      <c r="BA141" s="109"/>
      <c r="BE141" s="109"/>
      <c r="BI141" s="109"/>
      <c r="BM141" s="109"/>
    </row>
    <row r="142" spans="1:65" ht="16.5" hidden="1" x14ac:dyDescent="0.25">
      <c r="A142" s="215"/>
      <c r="B142" s="9"/>
      <c r="C142" s="116" t="s">
        <v>34</v>
      </c>
      <c r="D142" s="6"/>
      <c r="E142" s="121"/>
      <c r="F142" s="119"/>
      <c r="G142" s="119"/>
      <c r="H142" s="117"/>
      <c r="I142" s="121">
        <f>+Benelux!E142+Benelux!Q142</f>
        <v>-0.4690784299999996</v>
      </c>
      <c r="J142" s="119">
        <f>+Benelux!F142+Benelux!R142</f>
        <v>-1.0986936999999997</v>
      </c>
      <c r="K142" s="119">
        <f>+Benelux!G142+Benelux!S142</f>
        <v>2.2182458706398546E-2</v>
      </c>
      <c r="L142" s="117"/>
      <c r="M142" s="121">
        <f>+Benelux!I142+Benelux!U142</f>
        <v>-0.55382225999999823</v>
      </c>
      <c r="N142" s="119">
        <f>+Benelux!J142+Benelux!V142</f>
        <v>0.95036863000000416</v>
      </c>
      <c r="O142" s="119">
        <f>+Benelux!K142+Benelux!W142</f>
        <v>0.50609431253169668</v>
      </c>
      <c r="P142" s="117"/>
      <c r="Q142" s="121"/>
      <c r="R142" s="119"/>
      <c r="S142" s="119"/>
      <c r="T142" s="117"/>
      <c r="U142" s="124">
        <f t="shared" ref="U142" si="222">+I142+M142</f>
        <v>-1.0229006899999979</v>
      </c>
      <c r="V142" s="165">
        <f t="shared" ref="V142" si="223">+J142+N142</f>
        <v>-0.14832506999999551</v>
      </c>
      <c r="W142" s="123">
        <f t="shared" ref="W142" si="224">+K142+O142</f>
        <v>0.52827677123809524</v>
      </c>
      <c r="X142" s="117"/>
      <c r="Y142" s="121"/>
      <c r="Z142" s="119"/>
      <c r="AA142" s="119"/>
      <c r="AB142" s="117"/>
      <c r="AC142" s="121"/>
      <c r="AD142" s="119"/>
      <c r="AE142" s="119"/>
      <c r="AF142" s="117"/>
      <c r="AG142" s="118">
        <f>+Benelux!M142+Benelux!Y142</f>
        <v>3.0815688300000019</v>
      </c>
      <c r="AH142" s="119">
        <f>+Benelux!N142+Benelux!Z142</f>
        <v>-1.3085637000000099</v>
      </c>
      <c r="AI142" s="119">
        <f>+Benelux!O142+Benelux!AA142</f>
        <v>1.559158045958295</v>
      </c>
      <c r="AJ142" s="117"/>
      <c r="AK142" s="121"/>
      <c r="AL142" s="119"/>
      <c r="AM142" s="119"/>
      <c r="AN142" s="117"/>
      <c r="AO142" s="122">
        <f t="shared" si="212"/>
        <v>3.0815688300000019</v>
      </c>
      <c r="AP142" s="123">
        <f t="shared" si="207"/>
        <v>-1.3085637000000099</v>
      </c>
      <c r="AQ142" s="123">
        <f t="shared" si="208"/>
        <v>1.559158045958295</v>
      </c>
      <c r="AR142" s="117"/>
      <c r="AS142" s="159">
        <f t="shared" ref="AS142" si="225">+U142+AO142</f>
        <v>2.058668140000004</v>
      </c>
      <c r="AT142" s="167">
        <f t="shared" ref="AT142" si="226">+V142+AP142</f>
        <v>-1.4568887700000053</v>
      </c>
      <c r="AU142" s="160">
        <f t="shared" ref="AU142" si="227">+W142+AQ142</f>
        <v>2.0874348171963901</v>
      </c>
      <c r="AW142" s="108"/>
      <c r="BA142" s="108"/>
      <c r="BE142" s="108"/>
      <c r="BI142" s="108"/>
      <c r="BM142" s="108"/>
    </row>
    <row r="143" spans="1:65" hidden="1" x14ac:dyDescent="0.35"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</row>
    <row r="144" spans="1:65" ht="16.5" hidden="1" x14ac:dyDescent="0.25">
      <c r="A144" s="215" t="s">
        <v>65</v>
      </c>
      <c r="B144" s="9"/>
      <c r="C144" s="116" t="s">
        <v>19</v>
      </c>
      <c r="D144" s="6"/>
      <c r="E144" s="121"/>
      <c r="F144" s="119"/>
      <c r="G144" s="119"/>
      <c r="H144" s="117"/>
      <c r="I144" s="121">
        <f>+Benelux!E144+Benelux!Q144</f>
        <v>0</v>
      </c>
      <c r="J144" s="119">
        <f>+Benelux!F144+Benelux!R144</f>
        <v>0</v>
      </c>
      <c r="K144" s="119">
        <f>+Benelux!G144+Benelux!S144</f>
        <v>0</v>
      </c>
      <c r="L144" s="117"/>
      <c r="M144" s="121">
        <f>+Benelux!I144+Benelux!U144</f>
        <v>0</v>
      </c>
      <c r="N144" s="119">
        <f>+Benelux!J144+Benelux!V144</f>
        <v>0</v>
      </c>
      <c r="O144" s="119">
        <f>+Benelux!K144+Benelux!W144</f>
        <v>0</v>
      </c>
      <c r="P144" s="117"/>
      <c r="Q144" s="121"/>
      <c r="R144" s="119"/>
      <c r="S144" s="119"/>
      <c r="T144" s="117"/>
      <c r="U144" s="124">
        <f t="shared" ref="U144:U145" si="228">+I144+M144</f>
        <v>0</v>
      </c>
      <c r="V144" s="123">
        <f t="shared" ref="V144:V145" si="229">+J144+N144</f>
        <v>0</v>
      </c>
      <c r="W144" s="123">
        <f t="shared" ref="W144:W145" si="230">+K144+O144</f>
        <v>0</v>
      </c>
      <c r="X144" s="117"/>
      <c r="Y144" s="121"/>
      <c r="Z144" s="119"/>
      <c r="AA144" s="119"/>
      <c r="AB144" s="117"/>
      <c r="AC144" s="121"/>
      <c r="AD144" s="119"/>
      <c r="AE144" s="119"/>
      <c r="AF144" s="117"/>
      <c r="AG144" s="118">
        <f>+Benelux!M144+Benelux!Y144</f>
        <v>20.774809789999999</v>
      </c>
      <c r="AH144" s="119">
        <f>+Benelux!N144+Benelux!Z144</f>
        <v>19.324455620000002</v>
      </c>
      <c r="AI144" s="119">
        <f>+Benelux!O144+Benelux!AA144</f>
        <v>20.573959486138609</v>
      </c>
      <c r="AJ144" s="117"/>
      <c r="AK144" s="121"/>
      <c r="AL144" s="119"/>
      <c r="AM144" s="119"/>
      <c r="AN144" s="117"/>
      <c r="AO144" s="122">
        <f>+AG144</f>
        <v>20.774809789999999</v>
      </c>
      <c r="AP144" s="123">
        <f t="shared" ref="AP144:AP159" si="231">+AH144</f>
        <v>19.324455620000002</v>
      </c>
      <c r="AQ144" s="123">
        <f t="shared" ref="AQ144:AQ159" si="232">+AI144</f>
        <v>20.573959486138609</v>
      </c>
      <c r="AR144" s="117"/>
      <c r="AS144" s="166">
        <f t="shared" ref="AS144:AS145" si="233">+U144+AO144</f>
        <v>20.774809789999999</v>
      </c>
      <c r="AT144" s="160">
        <f t="shared" ref="AT144:AT145" si="234">+V144+AP144</f>
        <v>19.324455620000002</v>
      </c>
      <c r="AU144" s="160">
        <f t="shared" ref="AU144:AU145" si="235">+W144+AQ144</f>
        <v>20.573959486138609</v>
      </c>
      <c r="AW144" s="108"/>
      <c r="BA144" s="108"/>
      <c r="BE144" s="108"/>
      <c r="BI144" s="108"/>
      <c r="BM144" s="108"/>
    </row>
    <row r="145" spans="1:65" ht="16.5" hidden="1" x14ac:dyDescent="0.25">
      <c r="A145" s="215"/>
      <c r="B145" s="9"/>
      <c r="C145" s="116" t="s">
        <v>55</v>
      </c>
      <c r="D145" s="6"/>
      <c r="E145" s="121"/>
      <c r="F145" s="119"/>
      <c r="G145" s="119"/>
      <c r="H145" s="117"/>
      <c r="I145" s="121">
        <f>+Benelux!E145+Benelux!Q145</f>
        <v>0</v>
      </c>
      <c r="J145" s="119">
        <f>+Benelux!F145+Benelux!R145</f>
        <v>0</v>
      </c>
      <c r="K145" s="119">
        <f>+Benelux!G145+Benelux!S145</f>
        <v>0</v>
      </c>
      <c r="L145" s="117"/>
      <c r="M145" s="121">
        <f>+Benelux!I145+Benelux!U145</f>
        <v>0</v>
      </c>
      <c r="N145" s="119">
        <f>+Benelux!J145+Benelux!V145</f>
        <v>0</v>
      </c>
      <c r="O145" s="119">
        <f>+Benelux!K145+Benelux!W145</f>
        <v>0</v>
      </c>
      <c r="P145" s="117"/>
      <c r="Q145" s="121"/>
      <c r="R145" s="119"/>
      <c r="S145" s="119"/>
      <c r="T145" s="117"/>
      <c r="U145" s="124">
        <f t="shared" si="228"/>
        <v>0</v>
      </c>
      <c r="V145" s="123">
        <f t="shared" si="229"/>
        <v>0</v>
      </c>
      <c r="W145" s="123">
        <f t="shared" si="230"/>
        <v>0</v>
      </c>
      <c r="X145" s="117"/>
      <c r="Y145" s="121"/>
      <c r="Z145" s="119"/>
      <c r="AA145" s="119"/>
      <c r="AB145" s="117"/>
      <c r="AC145" s="121"/>
      <c r="AD145" s="119"/>
      <c r="AE145" s="119"/>
      <c r="AF145" s="117"/>
      <c r="AG145" s="121">
        <f>+Benelux!M145+Benelux!Y145</f>
        <v>8.0883617800000014</v>
      </c>
      <c r="AH145" s="119">
        <f>+Benelux!N145+Benelux!Z145</f>
        <v>8.2244270600000018</v>
      </c>
      <c r="AI145" s="119">
        <f>+Benelux!O145+Benelux!AA145</f>
        <v>9.180767293935908</v>
      </c>
      <c r="AJ145" s="117"/>
      <c r="AK145" s="121"/>
      <c r="AL145" s="119"/>
      <c r="AM145" s="119"/>
      <c r="AN145" s="117"/>
      <c r="AO145" s="124">
        <f t="shared" ref="AO145:AO159" si="236">+AG145</f>
        <v>8.0883617800000014</v>
      </c>
      <c r="AP145" s="123">
        <f t="shared" si="231"/>
        <v>8.2244270600000018</v>
      </c>
      <c r="AQ145" s="123">
        <f t="shared" si="232"/>
        <v>9.180767293935908</v>
      </c>
      <c r="AR145" s="117"/>
      <c r="AS145" s="161">
        <f t="shared" si="233"/>
        <v>8.0883617800000014</v>
      </c>
      <c r="AT145" s="160">
        <f t="shared" si="234"/>
        <v>8.2244270600000018</v>
      </c>
      <c r="AU145" s="160">
        <f t="shared" si="235"/>
        <v>9.180767293935908</v>
      </c>
      <c r="AW145" s="108"/>
      <c r="BA145" s="108"/>
      <c r="BE145" s="108"/>
      <c r="BI145" s="108"/>
      <c r="BM145" s="108"/>
    </row>
    <row r="146" spans="1:65" ht="16.5" hidden="1" x14ac:dyDescent="0.25">
      <c r="A146" s="215"/>
      <c r="B146" s="9"/>
      <c r="C146" s="116" t="s">
        <v>21</v>
      </c>
      <c r="D146" s="6"/>
      <c r="E146" s="131"/>
      <c r="F146" s="127"/>
      <c r="G146" s="127"/>
      <c r="H146" s="117"/>
      <c r="I146" s="131">
        <f>+I147+I152+I153+I154+I155</f>
        <v>0</v>
      </c>
      <c r="J146" s="127">
        <f t="shared" ref="J146:K146" si="237">+J147+J152+J153+J154+J155</f>
        <v>0</v>
      </c>
      <c r="K146" s="127">
        <f t="shared" si="237"/>
        <v>0</v>
      </c>
      <c r="L146" s="117"/>
      <c r="M146" s="131">
        <f>+M147+M152+M153+M154+M155</f>
        <v>0</v>
      </c>
      <c r="N146" s="127">
        <f>+N147+N152+N153+N154+N155</f>
        <v>0</v>
      </c>
      <c r="O146" s="127">
        <f>+O147+O152+O153+O154+O155</f>
        <v>0</v>
      </c>
      <c r="P146" s="117"/>
      <c r="Q146" s="131"/>
      <c r="R146" s="127"/>
      <c r="S146" s="127"/>
      <c r="T146" s="117"/>
      <c r="U146" s="133">
        <f>+U147+U152+U153+U154+U155</f>
        <v>0</v>
      </c>
      <c r="V146" s="130">
        <f>+V147+V152+V153+V154+V155</f>
        <v>0</v>
      </c>
      <c r="W146" s="130">
        <f>+W147+W152+W153+W154+W155</f>
        <v>0</v>
      </c>
      <c r="X146" s="117"/>
      <c r="Y146" s="131"/>
      <c r="Z146" s="127"/>
      <c r="AA146" s="127"/>
      <c r="AB146" s="117"/>
      <c r="AC146" s="131"/>
      <c r="AD146" s="127"/>
      <c r="AE146" s="127"/>
      <c r="AF146" s="117"/>
      <c r="AG146" s="128">
        <f>+AG147+AG152+AG153+AG154+AG155</f>
        <v>0.96284639730840538</v>
      </c>
      <c r="AH146" s="127">
        <f>+AH147+AH152+AH153+AH154+AH155</f>
        <v>0.60540740451286834</v>
      </c>
      <c r="AI146" s="127">
        <f>+AI147+AI152+AI153+AI154+AI155</f>
        <v>0.7910471452015041</v>
      </c>
      <c r="AJ146" s="117"/>
      <c r="AK146" s="131"/>
      <c r="AL146" s="127"/>
      <c r="AM146" s="127"/>
      <c r="AN146" s="117"/>
      <c r="AO146" s="129">
        <f t="shared" si="236"/>
        <v>0.96284639730840538</v>
      </c>
      <c r="AP146" s="130">
        <f t="shared" si="231"/>
        <v>0.60540740451286834</v>
      </c>
      <c r="AQ146" s="130">
        <f t="shared" si="232"/>
        <v>0.7910471452015041</v>
      </c>
      <c r="AR146" s="117"/>
      <c r="AS146" s="164">
        <f>+AS147+AS152+AS153+AS154+AS155</f>
        <v>0.96284639730840538</v>
      </c>
      <c r="AT146" s="163">
        <f>+AT147+AT152+AT153+AT154+AT155</f>
        <v>0.60540740451286834</v>
      </c>
      <c r="AU146" s="163">
        <f>+AU147+AU152+AU153+AU154+AU155</f>
        <v>0.7910471452015041</v>
      </c>
      <c r="AW146" s="109"/>
      <c r="BA146" s="109"/>
      <c r="BE146" s="109"/>
      <c r="BI146" s="109"/>
      <c r="BM146" s="109"/>
    </row>
    <row r="147" spans="1:65" ht="16.5" hidden="1" x14ac:dyDescent="0.25">
      <c r="A147" s="215"/>
      <c r="B147" s="9"/>
      <c r="C147" s="116" t="s">
        <v>56</v>
      </c>
      <c r="D147" s="6"/>
      <c r="E147" s="131"/>
      <c r="F147" s="127"/>
      <c r="G147" s="127"/>
      <c r="H147" s="117"/>
      <c r="I147" s="131">
        <f>+I148+I149+I150+I151</f>
        <v>0</v>
      </c>
      <c r="J147" s="127">
        <f t="shared" ref="J147:K147" si="238">+J148+J149+J150+J151</f>
        <v>0</v>
      </c>
      <c r="K147" s="127">
        <f t="shared" si="238"/>
        <v>0</v>
      </c>
      <c r="L147" s="117"/>
      <c r="M147" s="131">
        <f>+M148+M149+M150+M151</f>
        <v>0</v>
      </c>
      <c r="N147" s="127">
        <f>+N148+N149+N150+N151</f>
        <v>0</v>
      </c>
      <c r="O147" s="127">
        <f>+O148+O149+O150+O151</f>
        <v>0</v>
      </c>
      <c r="P147" s="117"/>
      <c r="Q147" s="131"/>
      <c r="R147" s="127"/>
      <c r="S147" s="127"/>
      <c r="T147" s="117"/>
      <c r="U147" s="133">
        <f>+U148+U149+U150+U151</f>
        <v>0</v>
      </c>
      <c r="V147" s="130">
        <f>+V148+V149+V150+V151</f>
        <v>0</v>
      </c>
      <c r="W147" s="130">
        <f>+W148+W149+W150+W151</f>
        <v>0</v>
      </c>
      <c r="X147" s="117"/>
      <c r="Y147" s="131"/>
      <c r="Z147" s="127"/>
      <c r="AA147" s="127"/>
      <c r="AB147" s="117"/>
      <c r="AC147" s="131"/>
      <c r="AD147" s="127"/>
      <c r="AE147" s="127"/>
      <c r="AF147" s="117"/>
      <c r="AG147" s="128">
        <f>+AG148+AG149+AG150+AG151</f>
        <v>0.64485361583319278</v>
      </c>
      <c r="AH147" s="127">
        <f>+AH148+AH149+AH150+AH151</f>
        <v>0.61492540733895207</v>
      </c>
      <c r="AI147" s="127">
        <f>+AI148+AI149+AI150+AI151</f>
        <v>0.59873299055050433</v>
      </c>
      <c r="AJ147" s="117"/>
      <c r="AK147" s="131"/>
      <c r="AL147" s="127"/>
      <c r="AM147" s="127"/>
      <c r="AN147" s="117"/>
      <c r="AO147" s="129">
        <f t="shared" si="236"/>
        <v>0.64485361583319278</v>
      </c>
      <c r="AP147" s="130">
        <f t="shared" si="231"/>
        <v>0.61492540733895207</v>
      </c>
      <c r="AQ147" s="130">
        <f t="shared" si="232"/>
        <v>0.59873299055050433</v>
      </c>
      <c r="AR147" s="117"/>
      <c r="AS147" s="164">
        <f>+AS148+AS149+AS150+AS151</f>
        <v>0.64485361583319278</v>
      </c>
      <c r="AT147" s="163">
        <f>+AT148+AT149+AT150+AT151</f>
        <v>0.61492540733895207</v>
      </c>
      <c r="AU147" s="163">
        <f>+AU148+AU149+AU150+AU151</f>
        <v>0.59873299055050433</v>
      </c>
      <c r="AW147" s="109"/>
      <c r="BA147" s="109"/>
      <c r="BE147" s="109"/>
      <c r="BI147" s="109"/>
      <c r="BM147" s="109"/>
    </row>
    <row r="148" spans="1:65" ht="16.5" hidden="1" x14ac:dyDescent="0.25">
      <c r="A148" s="215"/>
      <c r="B148" s="9"/>
      <c r="C148" s="38" t="s">
        <v>23</v>
      </c>
      <c r="D148" s="6"/>
      <c r="E148" s="97"/>
      <c r="F148" s="42"/>
      <c r="G148" s="42"/>
      <c r="H148" s="117"/>
      <c r="I148" s="97">
        <f>+IFERROR(((Benelux!E148*Benelux!$E$145)+(Benelux!Q148*Benelux!$Q$145))/'H7H9 BENELUX'!$I$145,0)</f>
        <v>0</v>
      </c>
      <c r="J148" s="42">
        <f>+IFERROR(((Benelux!F148*Benelux!$F$145)+(Benelux!R148*Benelux!$R$145))/'H7H9 BENELUX'!$J$145,0)</f>
        <v>0</v>
      </c>
      <c r="K148" s="42">
        <f>+IFERROR(((Benelux!G148*Benelux!$G$145)+(Benelux!S148*Benelux!$S$145))/'H7H9 BENELUX'!$K$145,0)</f>
        <v>0</v>
      </c>
      <c r="L148" s="117"/>
      <c r="M148" s="97">
        <f>+IFERROR(((Benelux!I148*Benelux!$I$145)+(Benelux!U148*Benelux!$U$145))/'H7H9 BENELUX'!$M$145,0)</f>
        <v>0</v>
      </c>
      <c r="N148" s="42">
        <f>+IFERROR(((Benelux!J148*Benelux!$J$145)+(Benelux!V148*Benelux!$V$145))/'H7H9 BENELUX'!$N$145,0)</f>
        <v>0</v>
      </c>
      <c r="O148" s="42">
        <f>+IFERROR(((Benelux!K148*Benelux!$K$145)+(Benelux!W148*Benelux!$W$145))/'H7H9 BENELUX'!$O$145,0)</f>
        <v>0</v>
      </c>
      <c r="P148" s="117"/>
      <c r="Q148" s="97"/>
      <c r="R148" s="42"/>
      <c r="S148" s="42"/>
      <c r="T148" s="117"/>
      <c r="U148" s="99">
        <f t="shared" ref="U148:U154" si="239">+IFERROR(((I148*$I$145)+(M148*$M$145))/$U$145,0)</f>
        <v>0</v>
      </c>
      <c r="V148" s="60">
        <f t="shared" ref="V148:V154" si="240">+IFERROR(((J148*$J$145)+(N148*$N$145))/$V$145,0)</f>
        <v>0</v>
      </c>
      <c r="W148" s="60">
        <f t="shared" ref="W148:W154" si="241">+IFERROR(((K148*$K$145)+(O148*$O$145))/$W$145,0)</f>
        <v>0</v>
      </c>
      <c r="X148" s="117"/>
      <c r="Y148" s="97"/>
      <c r="Z148" s="42"/>
      <c r="AA148" s="42"/>
      <c r="AB148" s="117"/>
      <c r="AC148" s="97"/>
      <c r="AD148" s="42"/>
      <c r="AE148" s="42"/>
      <c r="AF148" s="117"/>
      <c r="AG148" s="73">
        <f>+((Benelux!M148*Benelux!$M$145)+(Benelux!Y148*Benelux!$Y$145))/'H7H9 BENELUX'!$AG$145</f>
        <v>0.50775795238262822</v>
      </c>
      <c r="AH148" s="42">
        <f>+IFERROR(((Benelux!N148*Benelux!$N$145)+(Benelux!Z148*Benelux!$Z$145))/'H7H9 BENELUX'!$AH$145,0)</f>
        <v>0.56188883265504941</v>
      </c>
      <c r="AI148" s="42">
        <f>+((Benelux!O148*Benelux!$O$145)+(Benelux!AA148*Benelux!$AA$145))/'H7H9 BENELUX'!$AI$145</f>
        <v>0.42603469254548376</v>
      </c>
      <c r="AJ148" s="117"/>
      <c r="AK148" s="97"/>
      <c r="AL148" s="42"/>
      <c r="AM148" s="42"/>
      <c r="AN148" s="117"/>
      <c r="AO148" s="84">
        <f t="shared" si="236"/>
        <v>0.50775795238262822</v>
      </c>
      <c r="AP148" s="60">
        <f t="shared" si="231"/>
        <v>0.56188883265504941</v>
      </c>
      <c r="AQ148" s="60">
        <f t="shared" si="232"/>
        <v>0.42603469254548376</v>
      </c>
      <c r="AR148" s="117"/>
      <c r="AS148" s="92">
        <f t="shared" ref="AS148:AS154" si="242">+((U148*$U$145)+(AO148*$AO$145))/$AS$145</f>
        <v>0.50775795238262822</v>
      </c>
      <c r="AT148" s="68">
        <f t="shared" ref="AT148:AT154" si="243">+IFERROR(((V148*$V$145)+(AP148*$AP$145))/$AT$145,0)</f>
        <v>0.56188883265504941</v>
      </c>
      <c r="AU148" s="68">
        <f t="shared" ref="AU148:AU154" si="244">+((W148*$W$145)+(AQ148*$AQ$145))/$AU$145</f>
        <v>0.42603469254548376</v>
      </c>
      <c r="AW148" s="109"/>
      <c r="BA148" s="109"/>
      <c r="BE148" s="109"/>
      <c r="BI148" s="109"/>
      <c r="BM148" s="109"/>
    </row>
    <row r="149" spans="1:65" ht="16.5" hidden="1" x14ac:dyDescent="0.25">
      <c r="A149" s="215"/>
      <c r="B149" s="9"/>
      <c r="C149" s="38" t="s">
        <v>24</v>
      </c>
      <c r="D149" s="7"/>
      <c r="E149" s="97"/>
      <c r="F149" s="42"/>
      <c r="G149" s="42"/>
      <c r="H149" s="134"/>
      <c r="I149" s="97">
        <f>IFERROR(+((Benelux!E149*Benelux!$E$145)+(Benelux!Q149*Benelux!$Q$145))/'H7H9 BENELUX'!$I$145,0)</f>
        <v>0</v>
      </c>
      <c r="J149" s="42">
        <f>+IFERROR(((Benelux!F149*Benelux!$F$145)+(Benelux!R149*Benelux!$R$145))/'H7H9 BENELUX'!$J$145,0)</f>
        <v>0</v>
      </c>
      <c r="K149" s="42">
        <f>+IFERROR(((Benelux!G149*Benelux!$G$145)+(Benelux!S149*Benelux!$S$145))/'H7H9 BENELUX'!$K$145,0)</f>
        <v>0</v>
      </c>
      <c r="L149" s="134"/>
      <c r="M149" s="97">
        <f>+IFERROR(((Benelux!I149*Benelux!$I$145)+(Benelux!U149*Benelux!$U$145))/'H7H9 BENELUX'!$M$145,0)</f>
        <v>0</v>
      </c>
      <c r="N149" s="42">
        <f>+IFERROR(((Benelux!J149*Benelux!$J$145)+(Benelux!V149*Benelux!$V$145))/'H7H9 BENELUX'!$N$145,0)</f>
        <v>0</v>
      </c>
      <c r="O149" s="42">
        <f>+IFERROR(((Benelux!K149*Benelux!$K$145)+(Benelux!W149*Benelux!$W$145))/'H7H9 BENELUX'!$O$145,0)</f>
        <v>0</v>
      </c>
      <c r="P149" s="134"/>
      <c r="Q149" s="97"/>
      <c r="R149" s="42"/>
      <c r="S149" s="42"/>
      <c r="T149" s="134"/>
      <c r="U149" s="99">
        <f t="shared" si="239"/>
        <v>0</v>
      </c>
      <c r="V149" s="60">
        <f t="shared" si="240"/>
        <v>0</v>
      </c>
      <c r="W149" s="60">
        <f t="shared" si="241"/>
        <v>0</v>
      </c>
      <c r="X149" s="134"/>
      <c r="Y149" s="97"/>
      <c r="Z149" s="42"/>
      <c r="AA149" s="42"/>
      <c r="AB149" s="134"/>
      <c r="AC149" s="97"/>
      <c r="AD149" s="42"/>
      <c r="AE149" s="42"/>
      <c r="AF149" s="134"/>
      <c r="AG149" s="97">
        <f>+((Benelux!M149*Benelux!$M$145)+(Benelux!Y149*Benelux!$Y$145))/'H7H9 BENELUX'!$AG$145</f>
        <v>0</v>
      </c>
      <c r="AH149" s="42">
        <f>+IFERROR(((Benelux!N149*Benelux!$N$145)+(Benelux!Z149*Benelux!$Z$145))/'H7H9 BENELUX'!$AH$145,0)</f>
        <v>0</v>
      </c>
      <c r="AI149" s="42">
        <f>+((Benelux!O149*Benelux!$O$145)+(Benelux!AA149*Benelux!$AA$145))/'H7H9 BENELUX'!$AI$145</f>
        <v>0</v>
      </c>
      <c r="AJ149" s="134"/>
      <c r="AK149" s="97"/>
      <c r="AL149" s="42"/>
      <c r="AM149" s="42"/>
      <c r="AN149" s="134"/>
      <c r="AO149" s="99">
        <f t="shared" si="236"/>
        <v>0</v>
      </c>
      <c r="AP149" s="60">
        <f t="shared" si="231"/>
        <v>0</v>
      </c>
      <c r="AQ149" s="60">
        <f t="shared" si="232"/>
        <v>0</v>
      </c>
      <c r="AR149" s="134"/>
      <c r="AS149" s="106">
        <f t="shared" si="242"/>
        <v>0</v>
      </c>
      <c r="AT149" s="68">
        <f t="shared" si="243"/>
        <v>0</v>
      </c>
      <c r="AU149" s="68">
        <f t="shared" si="244"/>
        <v>0</v>
      </c>
      <c r="AW149" s="109"/>
      <c r="BA149" s="109"/>
      <c r="BE149" s="109"/>
      <c r="BI149" s="109"/>
      <c r="BM149" s="109"/>
    </row>
    <row r="150" spans="1:65" ht="16.5" hidden="1" x14ac:dyDescent="0.25">
      <c r="A150" s="215"/>
      <c r="B150" s="9"/>
      <c r="C150" s="38" t="s">
        <v>25</v>
      </c>
      <c r="D150" s="7"/>
      <c r="E150" s="97"/>
      <c r="F150" s="42"/>
      <c r="G150" s="42"/>
      <c r="H150" s="134"/>
      <c r="I150" s="97">
        <f>+IFERROR(((Benelux!E150*Benelux!$E$145)+(Benelux!Q150*Benelux!$Q$145))/'H7H9 BENELUX'!$I$145,0)</f>
        <v>0</v>
      </c>
      <c r="J150" s="42">
        <f>+IFERROR(((Benelux!F150*Benelux!$F$145)+(Benelux!R150*Benelux!$R$145))/'H7H9 BENELUX'!$J$145,0)</f>
        <v>0</v>
      </c>
      <c r="K150" s="42">
        <f>+IFERROR(((Benelux!G150*Benelux!$G$145)+(Benelux!S30*Benelux!$S$145))/'H7H9 BENELUX'!$K$145,0)</f>
        <v>0</v>
      </c>
      <c r="L150" s="134"/>
      <c r="M150" s="97">
        <f>+IFERROR(((Benelux!I150*Benelux!$I$145)+(Benelux!U150*Benelux!$U$145))/'H7H9 BENELUX'!$M$145,0)</f>
        <v>0</v>
      </c>
      <c r="N150" s="42">
        <f>+IFERROR(((Benelux!J150*Benelux!$J$145)+(Benelux!V150*Benelux!$V$145))/'H7H9 BENELUX'!$N$145,0)</f>
        <v>0</v>
      </c>
      <c r="O150" s="42">
        <f>+IFERROR(((Benelux!K150*Benelux!$K$145)+(Benelux!W150*Benelux!$W$145))/'H7H9 BENELUX'!$O$145,0)</f>
        <v>0</v>
      </c>
      <c r="P150" s="134"/>
      <c r="Q150" s="97"/>
      <c r="R150" s="42"/>
      <c r="S150" s="42"/>
      <c r="T150" s="134"/>
      <c r="U150" s="99">
        <f t="shared" si="239"/>
        <v>0</v>
      </c>
      <c r="V150" s="60">
        <f t="shared" si="240"/>
        <v>0</v>
      </c>
      <c r="W150" s="60">
        <f t="shared" si="241"/>
        <v>0</v>
      </c>
      <c r="X150" s="134"/>
      <c r="Y150" s="97"/>
      <c r="Z150" s="42"/>
      <c r="AA150" s="42"/>
      <c r="AB150" s="134"/>
      <c r="AC150" s="97"/>
      <c r="AD150" s="42"/>
      <c r="AE150" s="42"/>
      <c r="AF150" s="134"/>
      <c r="AG150" s="74">
        <f>+((Benelux!M150*Benelux!$M$145)+(Benelux!Y150*Benelux!$Y$145))/'H7H9 BENELUX'!$AG$145</f>
        <v>7.878161385324306E-2</v>
      </c>
      <c r="AH150" s="42">
        <f>+IFERROR(((Benelux!N150*Benelux!$N$145)+(Benelux!Z150*Benelux!$Z$145))/'H7H9 BENELUX'!$AH$145,0)</f>
        <v>0</v>
      </c>
      <c r="AI150" s="42">
        <f>+((Benelux!O150*Benelux!$O$145)+(Benelux!AA150*Benelux!$AA$145))/'H7H9 BENELUX'!$AI$145</f>
        <v>0.12120095781047112</v>
      </c>
      <c r="AJ150" s="134"/>
      <c r="AK150" s="97"/>
      <c r="AL150" s="42"/>
      <c r="AM150" s="42"/>
      <c r="AN150" s="134"/>
      <c r="AO150" s="85">
        <f t="shared" si="236"/>
        <v>7.878161385324306E-2</v>
      </c>
      <c r="AP150" s="60">
        <f t="shared" si="231"/>
        <v>0</v>
      </c>
      <c r="AQ150" s="60">
        <f t="shared" si="232"/>
        <v>0.12120095781047112</v>
      </c>
      <c r="AR150" s="134"/>
      <c r="AS150" s="93">
        <f t="shared" si="242"/>
        <v>7.878161385324306E-2</v>
      </c>
      <c r="AT150" s="68">
        <f t="shared" si="243"/>
        <v>0</v>
      </c>
      <c r="AU150" s="68">
        <f t="shared" si="244"/>
        <v>0.12120095781047112</v>
      </c>
      <c r="AW150" s="109"/>
      <c r="BA150" s="109"/>
      <c r="BE150" s="109"/>
      <c r="BI150" s="109"/>
      <c r="BM150" s="109"/>
    </row>
    <row r="151" spans="1:65" ht="16.5" hidden="1" x14ac:dyDescent="0.25">
      <c r="A151" s="215"/>
      <c r="B151" s="9"/>
      <c r="C151" s="38" t="s">
        <v>53</v>
      </c>
      <c r="D151" s="7"/>
      <c r="E151" s="97"/>
      <c r="F151" s="42"/>
      <c r="G151" s="42"/>
      <c r="H151" s="134"/>
      <c r="I151" s="97">
        <f>+IFERROR(((Benelux!E151*Benelux!$E$145)+(Benelux!Q151*Benelux!$Q$145))/'H7H9 BENELUX'!$I$145,0)</f>
        <v>0</v>
      </c>
      <c r="J151" s="42">
        <f>+IFERROR(((Benelux!F151*Benelux!$F$145)+(Benelux!R151*Benelux!$R$145))/'H7H9 BENELUX'!$J$145,0)</f>
        <v>0</v>
      </c>
      <c r="K151" s="42">
        <f>+IFERROR(((Benelux!G151*Benelux!$G$145)+(Benelux!S151*Benelux!$S$145))/'H7H9 BENELUX'!$K$145,0)</f>
        <v>0</v>
      </c>
      <c r="L151" s="134"/>
      <c r="M151" s="97">
        <f>+IFERROR(((Benelux!I151*Benelux!$I$145)+(Benelux!U151*Benelux!$U$145))/'H7H9 BENELUX'!$M$145,0)</f>
        <v>0</v>
      </c>
      <c r="N151" s="42">
        <f>+IFERROR(((Benelux!J151*Benelux!$J$145)+(Benelux!V151*Benelux!$V$145))/'H7H9 BENELUX'!$N$145,0)</f>
        <v>0</v>
      </c>
      <c r="O151" s="42">
        <f>+IFERROR(((Benelux!K151*Benelux!$K$145)+(Benelux!W151*Benelux!$W$145))/'H7H9 BENELUX'!$O$145,0)</f>
        <v>0</v>
      </c>
      <c r="P151" s="134"/>
      <c r="Q151" s="97"/>
      <c r="R151" s="42"/>
      <c r="S151" s="42"/>
      <c r="T151" s="134"/>
      <c r="U151" s="99">
        <f t="shared" si="239"/>
        <v>0</v>
      </c>
      <c r="V151" s="60">
        <f t="shared" si="240"/>
        <v>0</v>
      </c>
      <c r="W151" s="60">
        <f t="shared" si="241"/>
        <v>0</v>
      </c>
      <c r="X151" s="134"/>
      <c r="Y151" s="97"/>
      <c r="Z151" s="42"/>
      <c r="AA151" s="42"/>
      <c r="AB151" s="134"/>
      <c r="AC151" s="97"/>
      <c r="AD151" s="42"/>
      <c r="AE151" s="42"/>
      <c r="AF151" s="134"/>
      <c r="AG151" s="73">
        <f>+((Benelux!M151*Benelux!$M$145)+(Benelux!Y151*Benelux!$Y$145))/'H7H9 BENELUX'!$AG$145</f>
        <v>5.8314049597321553E-2</v>
      </c>
      <c r="AH151" s="42">
        <f>+IFERROR(((Benelux!N151*Benelux!$N$145)+(Benelux!Z151*Benelux!$Z$145))/'H7H9 BENELUX'!$AH$145,0)</f>
        <v>5.3036574683902646E-2</v>
      </c>
      <c r="AI151" s="42">
        <f>+((Benelux!O151*Benelux!$O$145)+(Benelux!AA151*Benelux!$AA$145))/'H7H9 BENELUX'!$AI$145</f>
        <v>5.1497340194549455E-2</v>
      </c>
      <c r="AJ151" s="134"/>
      <c r="AK151" s="97"/>
      <c r="AL151" s="42"/>
      <c r="AM151" s="42"/>
      <c r="AN151" s="134"/>
      <c r="AO151" s="84">
        <f t="shared" si="236"/>
        <v>5.8314049597321553E-2</v>
      </c>
      <c r="AP151" s="60">
        <f t="shared" si="231"/>
        <v>5.3036574683902646E-2</v>
      </c>
      <c r="AQ151" s="60">
        <f t="shared" si="232"/>
        <v>5.1497340194549455E-2</v>
      </c>
      <c r="AR151" s="134"/>
      <c r="AS151" s="92">
        <f t="shared" si="242"/>
        <v>5.8314049597321553E-2</v>
      </c>
      <c r="AT151" s="68">
        <f t="shared" si="243"/>
        <v>5.3036574683902646E-2</v>
      </c>
      <c r="AU151" s="68">
        <f t="shared" si="244"/>
        <v>5.1497340194549455E-2</v>
      </c>
      <c r="AW151" s="109"/>
      <c r="BA151" s="109"/>
      <c r="BE151" s="109"/>
      <c r="BI151" s="109"/>
      <c r="BM151" s="109"/>
    </row>
    <row r="152" spans="1:65" ht="16.5" hidden="1" x14ac:dyDescent="0.25">
      <c r="A152" s="215"/>
      <c r="B152" s="9"/>
      <c r="C152" s="116" t="s">
        <v>27</v>
      </c>
      <c r="D152" s="7"/>
      <c r="E152" s="131"/>
      <c r="F152" s="127"/>
      <c r="G152" s="127"/>
      <c r="H152" s="134"/>
      <c r="I152" s="126">
        <f>+IFERROR(((Benelux!E152*Benelux!$E$145)+(Benelux!Q152*Benelux!$Q$145))/'H7H9 BENELUX'!$I$145,0)</f>
        <v>0</v>
      </c>
      <c r="J152" s="127">
        <f>+IFERROR(((Benelux!F152*Benelux!$F$145)+(Benelux!R152*Benelux!$R$145))/'H7H9 BENELUX'!$J$145,0)</f>
        <v>0</v>
      </c>
      <c r="K152" s="127">
        <f>+IFERROR(((Benelux!G152*Benelux!$G$145)+(Benelux!S152*Benelux!$S$145))/'H7H9 BENELUX'!$K$145,0)</f>
        <v>0</v>
      </c>
      <c r="L152" s="134"/>
      <c r="M152" s="128">
        <f>+IFERROR(((Benelux!I152*Benelux!$I$145)+(Benelux!U152*Benelux!$U$145))/'H7H9 BENELUX'!$M$145,0)</f>
        <v>0</v>
      </c>
      <c r="N152" s="127">
        <f>+IFERROR(((Benelux!J152*Benelux!$J$145)+(Benelux!V152*Benelux!$V$145))/'H7H9 BENELUX'!$N$145,0)</f>
        <v>0</v>
      </c>
      <c r="O152" s="127">
        <f>+IFERROR(((Benelux!K152*Benelux!$K$145)+(Benelux!W152*Benelux!$W$145))/'H7H9 BENELUX'!$O$145,0)</f>
        <v>0</v>
      </c>
      <c r="P152" s="134"/>
      <c r="Q152" s="131"/>
      <c r="R152" s="127"/>
      <c r="S152" s="127"/>
      <c r="T152" s="134"/>
      <c r="U152" s="129">
        <f t="shared" si="239"/>
        <v>0</v>
      </c>
      <c r="V152" s="130">
        <f t="shared" si="240"/>
        <v>0</v>
      </c>
      <c r="W152" s="130">
        <f t="shared" si="241"/>
        <v>0</v>
      </c>
      <c r="X152" s="134"/>
      <c r="Y152" s="131"/>
      <c r="Z152" s="127"/>
      <c r="AA152" s="127"/>
      <c r="AB152" s="134"/>
      <c r="AC152" s="131"/>
      <c r="AD152" s="127"/>
      <c r="AE152" s="127"/>
      <c r="AF152" s="134"/>
      <c r="AG152" s="126">
        <f>+((Benelux!M152*Benelux!$M$145)+(Benelux!Y152*Benelux!$Y$145))/'H7H9 BENELUX'!$AG$145</f>
        <v>-6.8494729225625717E-2</v>
      </c>
      <c r="AH152" s="127">
        <f>+IFERROR(((Benelux!N152*Benelux!$N$145)+(Benelux!Z152*Benelux!$Z$145))/'H7H9 BENELUX'!$AH$145,0)</f>
        <v>-5.9140843058312666E-2</v>
      </c>
      <c r="AI152" s="127">
        <f>+((Benelux!O152*Benelux!$O$145)+(Benelux!AA152*Benelux!$AA$145))/'H7H9 BENELUX'!$AI$145</f>
        <v>-4.8529923414496696E-2</v>
      </c>
      <c r="AJ152" s="134"/>
      <c r="AK152" s="131"/>
      <c r="AL152" s="127"/>
      <c r="AM152" s="127"/>
      <c r="AN152" s="134"/>
      <c r="AO152" s="132">
        <f t="shared" si="236"/>
        <v>-6.8494729225625717E-2</v>
      </c>
      <c r="AP152" s="130">
        <f t="shared" si="231"/>
        <v>-5.9140843058312666E-2</v>
      </c>
      <c r="AQ152" s="130">
        <f t="shared" si="232"/>
        <v>-4.8529923414496696E-2</v>
      </c>
      <c r="AR152" s="134"/>
      <c r="AS152" s="164">
        <f t="shared" si="242"/>
        <v>-6.8494729225625717E-2</v>
      </c>
      <c r="AT152" s="163">
        <f t="shared" si="243"/>
        <v>-5.9140843058312666E-2</v>
      </c>
      <c r="AU152" s="163">
        <f t="shared" si="244"/>
        <v>-4.8529923414496696E-2</v>
      </c>
      <c r="AW152" s="109"/>
      <c r="BA152" s="109"/>
      <c r="BE152" s="109"/>
      <c r="BI152" s="109"/>
      <c r="BM152" s="109"/>
    </row>
    <row r="153" spans="1:65" ht="16.5" hidden="1" x14ac:dyDescent="0.25">
      <c r="A153" s="215"/>
      <c r="B153" s="9"/>
      <c r="C153" s="116" t="s">
        <v>57</v>
      </c>
      <c r="D153" s="7"/>
      <c r="E153" s="131"/>
      <c r="F153" s="127"/>
      <c r="G153" s="127"/>
      <c r="H153" s="134"/>
      <c r="I153" s="131">
        <f>+IFERROR(((Benelux!E153*Benelux!$E$145)+(Benelux!Q153*Benelux!$Q$145))/'H7H9 BENELUX'!$I$145,0)</f>
        <v>0</v>
      </c>
      <c r="J153" s="127">
        <f>+IFERROR(((Benelux!F153*Benelux!$F$145)+(Benelux!R153*Benelux!$R$145))/'H7H9 BENELUX'!$J$145,0)</f>
        <v>0</v>
      </c>
      <c r="K153" s="127">
        <f>+IFERROR(((Benelux!G153*Benelux!$G$145)+(Benelux!S153*Benelux!$S$145))/'H7H9 BENELUX'!$K$145,0)</f>
        <v>0</v>
      </c>
      <c r="L153" s="134"/>
      <c r="M153" s="131">
        <f>+IFERROR(((Benelux!I153*Benelux!$I$145)+(Benelux!U153*Benelux!$U$145))/'H7H9 BENELUX'!$M$145,0)</f>
        <v>0</v>
      </c>
      <c r="N153" s="127">
        <f>+IFERROR(((Benelux!J153*Benelux!$J$145)+(Benelux!V153*Benelux!$V$145))/'H7H9 BENELUX'!$N$145,0)</f>
        <v>0</v>
      </c>
      <c r="O153" s="127">
        <f>+IFERROR(((Benelux!K153*Benelux!$K$145)+(Benelux!W153*Benelux!$W$145))/'H7H9 BENELUX'!$O$145,0)</f>
        <v>0</v>
      </c>
      <c r="P153" s="134"/>
      <c r="Q153" s="131"/>
      <c r="R153" s="127"/>
      <c r="S153" s="127"/>
      <c r="T153" s="134"/>
      <c r="U153" s="133">
        <f t="shared" si="239"/>
        <v>0</v>
      </c>
      <c r="V153" s="130">
        <f t="shared" si="240"/>
        <v>0</v>
      </c>
      <c r="W153" s="130">
        <f t="shared" si="241"/>
        <v>0</v>
      </c>
      <c r="X153" s="134"/>
      <c r="Y153" s="131"/>
      <c r="Z153" s="127"/>
      <c r="AA153" s="127"/>
      <c r="AB153" s="134"/>
      <c r="AC153" s="131"/>
      <c r="AD153" s="127"/>
      <c r="AE153" s="127"/>
      <c r="AF153" s="134"/>
      <c r="AG153" s="128">
        <f>+((Benelux!M153*Benelux!$M$145)+(Benelux!Y153*Benelux!$Y$145))/'H7H9 BENELUX'!$AG$145</f>
        <v>0.14883576708657062</v>
      </c>
      <c r="AH153" s="127">
        <f>+IFERROR(((Benelux!N153*Benelux!$N$145)+(Benelux!Z153*Benelux!$Z$145))/'H7H9 BENELUX'!$AH$145,0)</f>
        <v>-0.30920617466087658</v>
      </c>
      <c r="AI153" s="127">
        <f>+((Benelux!O153*Benelux!$O$145)+(Benelux!AA153*Benelux!$AA$145))/'H7H9 BENELUX'!$AI$145</f>
        <v>-9.8863007306004488E-3</v>
      </c>
      <c r="AJ153" s="134"/>
      <c r="AK153" s="131"/>
      <c r="AL153" s="127"/>
      <c r="AM153" s="127"/>
      <c r="AN153" s="134"/>
      <c r="AO153" s="129">
        <f t="shared" si="236"/>
        <v>0.14883576708657062</v>
      </c>
      <c r="AP153" s="130">
        <f t="shared" si="231"/>
        <v>-0.30920617466087658</v>
      </c>
      <c r="AQ153" s="130">
        <f t="shared" si="232"/>
        <v>-9.8863007306004488E-3</v>
      </c>
      <c r="AR153" s="134"/>
      <c r="AS153" s="164">
        <f t="shared" si="242"/>
        <v>0.14883576708657062</v>
      </c>
      <c r="AT153" s="163">
        <f t="shared" si="243"/>
        <v>-0.30920617466087658</v>
      </c>
      <c r="AU153" s="163">
        <f t="shared" si="244"/>
        <v>-9.8863007306004488E-3</v>
      </c>
      <c r="AW153" s="109"/>
      <c r="BA153" s="109"/>
      <c r="BE153" s="109"/>
      <c r="BI153" s="109"/>
      <c r="BM153" s="109"/>
    </row>
    <row r="154" spans="1:65" ht="16.5" hidden="1" x14ac:dyDescent="0.25">
      <c r="A154" s="215"/>
      <c r="B154" s="9"/>
      <c r="C154" s="116" t="s">
        <v>29</v>
      </c>
      <c r="D154" s="7"/>
      <c r="E154" s="131"/>
      <c r="F154" s="127"/>
      <c r="G154" s="127"/>
      <c r="H154" s="134"/>
      <c r="I154" s="131">
        <f>+IFERROR(((Benelux!E154*Benelux!$E$145)+(Benelux!Q154*Benelux!$Q$145))/'H7H9 BENELUX'!$I$145,0)</f>
        <v>0</v>
      </c>
      <c r="J154" s="127">
        <f>+IFERROR(((Benelux!F154*Benelux!$F$145)+(Benelux!R154*Benelux!$R$145))/'H7H9 BENELUX'!$J$145,0)</f>
        <v>0</v>
      </c>
      <c r="K154" s="127">
        <f>+IFERROR(((Benelux!G154*Benelux!$G$145)+(Benelux!S154*Benelux!$S$145))/'H7H9 BENELUX'!$K$145,0)</f>
        <v>0</v>
      </c>
      <c r="L154" s="134"/>
      <c r="M154" s="131">
        <f>+IFERROR(((Benelux!I154*Benelux!$I$145)+(Benelux!U154*Benelux!$U$145))/'H7H9 BENELUX'!$M$145,0)</f>
        <v>0</v>
      </c>
      <c r="N154" s="127">
        <f>+IFERROR(((Benelux!J154*Benelux!$J$145)+(Benelux!V154*Benelux!$V$145))/'H7H9 BENELUX'!$N$145,0)</f>
        <v>0</v>
      </c>
      <c r="O154" s="127">
        <f>+IFERROR(((Benelux!K154*Benelux!$K$145)+(Benelux!W154*Benelux!$W$145))/'H7H9 BENELUX'!$O$145,0)</f>
        <v>0</v>
      </c>
      <c r="P154" s="134"/>
      <c r="Q154" s="131"/>
      <c r="R154" s="127"/>
      <c r="S154" s="127"/>
      <c r="T154" s="134"/>
      <c r="U154" s="133">
        <f t="shared" si="239"/>
        <v>0</v>
      </c>
      <c r="V154" s="130">
        <f t="shared" si="240"/>
        <v>0</v>
      </c>
      <c r="W154" s="130">
        <f t="shared" si="241"/>
        <v>0</v>
      </c>
      <c r="X154" s="134"/>
      <c r="Y154" s="131"/>
      <c r="Z154" s="127"/>
      <c r="AA154" s="127"/>
      <c r="AB154" s="134"/>
      <c r="AC154" s="131"/>
      <c r="AD154" s="127"/>
      <c r="AE154" s="127"/>
      <c r="AF154" s="134"/>
      <c r="AG154" s="126">
        <f>+((Benelux!M154*Benelux!$M$145)+(Benelux!Y154*Benelux!$Y$145))/'H7H9 BENELUX'!$AG$145</f>
        <v>-3.0428969016764212E-2</v>
      </c>
      <c r="AH154" s="127">
        <f>+IFERROR(((Benelux!N154*Benelux!$N$145)+(Benelux!Z154*Benelux!$Z$145))/'H7H9 BENELUX'!$AH$145,0)</f>
        <v>6.0917686587155379E-2</v>
      </c>
      <c r="AI154" s="127">
        <f>+((Benelux!O154*Benelux!$O$145)+(Benelux!AA154*Benelux!$AA$145))/'H7H9 BENELUX'!$AI$145</f>
        <v>0</v>
      </c>
      <c r="AJ154" s="134"/>
      <c r="AK154" s="131"/>
      <c r="AL154" s="127"/>
      <c r="AM154" s="127"/>
      <c r="AN154" s="134"/>
      <c r="AO154" s="132">
        <f t="shared" si="236"/>
        <v>-3.0428969016764212E-2</v>
      </c>
      <c r="AP154" s="130">
        <f t="shared" si="231"/>
        <v>6.0917686587155379E-2</v>
      </c>
      <c r="AQ154" s="130">
        <f t="shared" si="232"/>
        <v>0</v>
      </c>
      <c r="AR154" s="134"/>
      <c r="AS154" s="162">
        <f t="shared" si="242"/>
        <v>-3.0428969016764212E-2</v>
      </c>
      <c r="AT154" s="163">
        <f t="shared" si="243"/>
        <v>6.0917686587155379E-2</v>
      </c>
      <c r="AU154" s="163">
        <f t="shared" si="244"/>
        <v>0</v>
      </c>
      <c r="AW154" s="109"/>
      <c r="BA154" s="109"/>
      <c r="BE154" s="109"/>
      <c r="BI154" s="109"/>
      <c r="BM154" s="109"/>
    </row>
    <row r="155" spans="1:65" ht="16.5" hidden="1" x14ac:dyDescent="0.25">
      <c r="A155" s="215"/>
      <c r="B155" s="9"/>
      <c r="C155" s="116" t="s">
        <v>58</v>
      </c>
      <c r="D155" s="7"/>
      <c r="E155" s="131"/>
      <c r="F155" s="127"/>
      <c r="G155" s="127"/>
      <c r="H155" s="134"/>
      <c r="I155" s="131">
        <f>+I156+I157+I158</f>
        <v>0</v>
      </c>
      <c r="J155" s="127">
        <f t="shared" ref="J155:K155" si="245">+J156+J157+J158</f>
        <v>0</v>
      </c>
      <c r="K155" s="127">
        <f t="shared" si="245"/>
        <v>0</v>
      </c>
      <c r="L155" s="134"/>
      <c r="M155" s="131">
        <f>+IFERROR(M156+M157+M158,0)</f>
        <v>0</v>
      </c>
      <c r="N155" s="127">
        <f>+N156+N157+N158</f>
        <v>0</v>
      </c>
      <c r="O155" s="127">
        <f>+O156+O157+O158</f>
        <v>0</v>
      </c>
      <c r="P155" s="134"/>
      <c r="Q155" s="131"/>
      <c r="R155" s="127"/>
      <c r="S155" s="127"/>
      <c r="T155" s="134"/>
      <c r="U155" s="133">
        <f>+U156+U157+U158</f>
        <v>0</v>
      </c>
      <c r="V155" s="130">
        <f>+V156+V157+V158</f>
        <v>0</v>
      </c>
      <c r="W155" s="130">
        <f>+W156+W157+W158</f>
        <v>0</v>
      </c>
      <c r="X155" s="134"/>
      <c r="Y155" s="131"/>
      <c r="Z155" s="127"/>
      <c r="AA155" s="127"/>
      <c r="AB155" s="134"/>
      <c r="AC155" s="131"/>
      <c r="AD155" s="127"/>
      <c r="AE155" s="127"/>
      <c r="AF155" s="134"/>
      <c r="AG155" s="128">
        <f>+AG156+AG157+AG158</f>
        <v>0.26808071263103184</v>
      </c>
      <c r="AH155" s="127">
        <f>+AH156+AH157+AH158</f>
        <v>0.29791132830595013</v>
      </c>
      <c r="AI155" s="127">
        <f>+AI156+AI157+AI158</f>
        <v>0.25073037879609694</v>
      </c>
      <c r="AJ155" s="134"/>
      <c r="AK155" s="131"/>
      <c r="AL155" s="127"/>
      <c r="AM155" s="127"/>
      <c r="AN155" s="134"/>
      <c r="AO155" s="129">
        <f t="shared" si="236"/>
        <v>0.26808071263103184</v>
      </c>
      <c r="AP155" s="130">
        <f t="shared" si="231"/>
        <v>0.29791132830595013</v>
      </c>
      <c r="AQ155" s="130">
        <f t="shared" si="232"/>
        <v>0.25073037879609694</v>
      </c>
      <c r="AR155" s="134"/>
      <c r="AS155" s="164">
        <f>+AS156+AS157+AS158</f>
        <v>0.26808071263103184</v>
      </c>
      <c r="AT155" s="163">
        <f>+AT156+AT157+AT158</f>
        <v>0.29791132830595013</v>
      </c>
      <c r="AU155" s="163">
        <f>+AU156+AU157+AU158</f>
        <v>0.25073037879609694</v>
      </c>
      <c r="AW155" s="109"/>
      <c r="BA155" s="109"/>
      <c r="BE155" s="109"/>
      <c r="BI155" s="109"/>
      <c r="BM155" s="109"/>
    </row>
    <row r="156" spans="1:65" ht="16.5" hidden="1" x14ac:dyDescent="0.25">
      <c r="A156" s="215"/>
      <c r="B156" s="9"/>
      <c r="C156" s="39" t="s">
        <v>59</v>
      </c>
      <c r="D156" s="8"/>
      <c r="E156" s="97"/>
      <c r="F156" s="42"/>
      <c r="G156" s="42"/>
      <c r="H156" s="135"/>
      <c r="I156" s="97">
        <f>+IFERROR(((Benelux!E156*Benelux!$E$145)+(Benelux!Q1156*Benelux!$Q$145))/'H7H9 BENELUX'!$I$145,0)</f>
        <v>0</v>
      </c>
      <c r="J156" s="42">
        <f>+IFERROR(((Benelux!F156*Benelux!$F$145)+(Benelux!R156*Benelux!$R$145))/'H7H9 BENELUX'!$J$145,0)</f>
        <v>0</v>
      </c>
      <c r="K156" s="42">
        <f>+IFERROR(((Benelux!G156*Benelux!$G$145)+(Benelux!S156*Benelux!$S$145))/'H7H9 BENELUX'!$K$145,0)</f>
        <v>0</v>
      </c>
      <c r="L156" s="135"/>
      <c r="M156" s="97">
        <f>+IFERROR(((Benelux!I156*Benelux!$I$145)+(Benelux!U156*Benelux!$U$145))/'H7H9 BENELUX'!$M$145,0)</f>
        <v>0</v>
      </c>
      <c r="N156" s="42">
        <f>+IFERROR(((Benelux!J156*Benelux!$J$145)+(Benelux!V156*Benelux!$V$145))/'H7H9 BENELUX'!$N$145,0)</f>
        <v>0</v>
      </c>
      <c r="O156" s="42">
        <f>+IFERROR(((Benelux!K156*Benelux!$K$145)+(Benelux!W156*Benelux!$W$145))/'H7H9 BENELUX'!$O$145,0)</f>
        <v>0</v>
      </c>
      <c r="P156" s="135"/>
      <c r="Q156" s="97"/>
      <c r="R156" s="42"/>
      <c r="S156" s="42"/>
      <c r="T156" s="135"/>
      <c r="U156" s="99">
        <f>+IFERROR(((I156*$I$145)+(M156*$M$145))/$U$145,0)</f>
        <v>0</v>
      </c>
      <c r="V156" s="60">
        <f>+IFERROR(((J156*$J$145)+(N156*$N$145))/$V$145,0)</f>
        <v>0</v>
      </c>
      <c r="W156" s="60">
        <f>+IFERROR(((K156*$K$145)+(O156*$O$145))/$W$145,0)</f>
        <v>0</v>
      </c>
      <c r="X156" s="135"/>
      <c r="Y156" s="97"/>
      <c r="Z156" s="42"/>
      <c r="AA156" s="42"/>
      <c r="AB156" s="135"/>
      <c r="AC156" s="97"/>
      <c r="AD156" s="42"/>
      <c r="AE156" s="42"/>
      <c r="AF156" s="135"/>
      <c r="AG156" s="73">
        <f>+((Benelux!M156*Benelux!$M$145)+(Benelux!Y156*Benelux!$Y$145))/'H7H9 BENELUX'!$AG$145</f>
        <v>0.17464464849889555</v>
      </c>
      <c r="AH156" s="42">
        <f>+IFERROR(((Benelux!N156*Benelux!$N$145)+(Benelux!Z156*Benelux!$Z$145))/'H7H9 BENELUX'!$AH$145,0)</f>
        <v>0.17069651779488215</v>
      </c>
      <c r="AI156" s="42">
        <f>+((Benelux!O156*Benelux!$O$145)+(Benelux!AA156*Benelux!$AA$145))/'H7H9 BENELUX'!$AI$145</f>
        <v>0.14257401948908532</v>
      </c>
      <c r="AJ156" s="135"/>
      <c r="AK156" s="97"/>
      <c r="AL156" s="42"/>
      <c r="AM156" s="42"/>
      <c r="AN156" s="135"/>
      <c r="AO156" s="84">
        <f t="shared" si="236"/>
        <v>0.17464464849889555</v>
      </c>
      <c r="AP156" s="60">
        <f t="shared" si="231"/>
        <v>0.17069651779488215</v>
      </c>
      <c r="AQ156" s="60">
        <f t="shared" si="232"/>
        <v>0.14257401948908532</v>
      </c>
      <c r="AR156" s="135"/>
      <c r="AS156" s="92">
        <f>+((U156*$U$145)+(AO156*$AO$145))/$AS$145</f>
        <v>0.17464464849889555</v>
      </c>
      <c r="AT156" s="68">
        <f>+IFERROR(((V156*$V$145)+(AP156*$AP$145))/$AT$145,0)</f>
        <v>0.17069651779488215</v>
      </c>
      <c r="AU156" s="68">
        <f>+((W156*$W$145)+(AQ156*$AQ$145))/$AU$145</f>
        <v>0.14257401948908532</v>
      </c>
      <c r="AW156" s="109"/>
      <c r="BA156" s="109"/>
      <c r="BE156" s="109"/>
      <c r="BI156" s="109"/>
      <c r="BM156" s="109"/>
    </row>
    <row r="157" spans="1:65" ht="16.5" hidden="1" x14ac:dyDescent="0.25">
      <c r="A157" s="215"/>
      <c r="B157" s="9"/>
      <c r="C157" s="39" t="s">
        <v>60</v>
      </c>
      <c r="D157" s="8"/>
      <c r="E157" s="97"/>
      <c r="F157" s="42"/>
      <c r="G157" s="42"/>
      <c r="H157" s="135"/>
      <c r="I157" s="97">
        <f>+IFERROR(((Benelux!E157*Benelux!$E$145)+(Benelux!Q157*Benelux!$Q$145))/'H7H9 BENELUX'!$I$145,0)</f>
        <v>0</v>
      </c>
      <c r="J157" s="42">
        <f>+IFERROR(((Benelux!F157*Benelux!$F$145)+(Benelux!R157*Benelux!$R$145))/'H7H9 BENELUX'!$J$145,0)</f>
        <v>0</v>
      </c>
      <c r="K157" s="42">
        <f>+IFERROR(((Benelux!G157*Benelux!$G$145)+(Benelux!S157*Benelux!$S$145))/'H7H9 BENELUX'!$K$145,0)</f>
        <v>0</v>
      </c>
      <c r="L157" s="135"/>
      <c r="M157" s="97">
        <f>+IFERROR(((Benelux!I157*Benelux!$I$145)+(Benelux!U157*Benelux!$U$145))/'H7H9 BENELUX'!$M$145,0)</f>
        <v>0</v>
      </c>
      <c r="N157" s="42">
        <f>+IFERROR(((Benelux!J157*Benelux!$J$145)+(Benelux!V157*Benelux!$V$145))/'H7H9 BENELUX'!$N$145,0)</f>
        <v>0</v>
      </c>
      <c r="O157" s="42">
        <f>+IFERROR(((Benelux!K157*Benelux!$K$145)+(Benelux!W157*Benelux!$W$145))/'H7H9 BENELUX'!$O$145,0)</f>
        <v>0</v>
      </c>
      <c r="P157" s="135"/>
      <c r="Q157" s="97"/>
      <c r="R157" s="42"/>
      <c r="S157" s="42"/>
      <c r="T157" s="135"/>
      <c r="U157" s="99">
        <f>+IFERROR(((I157*$I$145)+(M157*$M$145))/$U$145,0)</f>
        <v>0</v>
      </c>
      <c r="V157" s="60">
        <f>+IFERROR(((J157*$J$145)+(N157*$N$145))/$V$145,0)</f>
        <v>0</v>
      </c>
      <c r="W157" s="60">
        <f>+IFERROR(((K157*$K$145)+(O157*$O$145))/$W$145,0)</f>
        <v>0</v>
      </c>
      <c r="X157" s="135"/>
      <c r="Y157" s="97"/>
      <c r="Z157" s="42"/>
      <c r="AA157" s="42"/>
      <c r="AB157" s="135"/>
      <c r="AC157" s="97"/>
      <c r="AD157" s="42"/>
      <c r="AE157" s="42"/>
      <c r="AF157" s="135"/>
      <c r="AG157" s="74">
        <f>+((Benelux!M157*Benelux!$M$145)+(Benelux!Y157*Benelux!$Y$145))/'H7H9 BENELUX'!$AG$145</f>
        <v>3.8791562313128865E-2</v>
      </c>
      <c r="AH157" s="42">
        <f>+IFERROR(((Benelux!N157*Benelux!$N$145)+(Benelux!Z157*Benelux!$Z$145))/'H7H9 BENELUX'!$AH$145,0)</f>
        <v>5.5647217327257796E-2</v>
      </c>
      <c r="AI157" s="42">
        <f>+((Benelux!O157*Benelux!$O$145)+(Benelux!AA157*Benelux!$AA$145))/'H7H9 BENELUX'!$AI$145</f>
        <v>4.1416165538049846E-2</v>
      </c>
      <c r="AJ157" s="135"/>
      <c r="AK157" s="97"/>
      <c r="AL157" s="42"/>
      <c r="AM157" s="42"/>
      <c r="AN157" s="135"/>
      <c r="AO157" s="85">
        <f t="shared" si="236"/>
        <v>3.8791562313128865E-2</v>
      </c>
      <c r="AP157" s="60">
        <f t="shared" si="231"/>
        <v>5.5647217327257796E-2</v>
      </c>
      <c r="AQ157" s="60">
        <f t="shared" si="232"/>
        <v>4.1416165538049846E-2</v>
      </c>
      <c r="AR157" s="135"/>
      <c r="AS157" s="93">
        <f>+((U157*$U$145)+(AO157*$AO$145))/$AS$145</f>
        <v>3.8791562313128865E-2</v>
      </c>
      <c r="AT157" s="68">
        <f>+IFERROR(((V157*$V$145)+(AP157*$AP$145))/$AT$145,0)</f>
        <v>5.5647217327257796E-2</v>
      </c>
      <c r="AU157" s="68">
        <f>+((W157*$W$145)+(AQ157*$AQ$145))/$AU$145</f>
        <v>4.1416165538049846E-2</v>
      </c>
      <c r="AW157" s="109"/>
      <c r="BA157" s="109"/>
      <c r="BE157" s="109"/>
      <c r="BI157" s="109"/>
      <c r="BM157" s="109"/>
    </row>
    <row r="158" spans="1:65" ht="16.5" hidden="1" x14ac:dyDescent="0.25">
      <c r="A158" s="215"/>
      <c r="B158" s="9"/>
      <c r="C158" s="39" t="s">
        <v>61</v>
      </c>
      <c r="D158" s="8"/>
      <c r="E158" s="97"/>
      <c r="F158" s="42"/>
      <c r="G158" s="42"/>
      <c r="H158" s="135"/>
      <c r="I158" s="97">
        <f>+IFERROR(((Benelux!E158*Benelux!$E$145)+(Benelux!Q158*Benelux!$Q$145))/'H7H9 BENELUX'!$I$145,0)</f>
        <v>0</v>
      </c>
      <c r="J158" s="42">
        <f>+IFERROR(((Benelux!F158*Benelux!$F$145)+(Benelux!R158*Benelux!$R$145))/'H7H9 BENELUX'!$J$145,0)</f>
        <v>0</v>
      </c>
      <c r="K158" s="42">
        <f>+IFERROR(((Benelux!G158*Benelux!$G$145)+(Benelux!S158*Benelux!$S$145))/'H7H9 BENELUX'!$K$145,0)</f>
        <v>0</v>
      </c>
      <c r="L158" s="135"/>
      <c r="M158" s="97">
        <f>+IFERROR(((Benelux!I158*Benelux!$I$145)+(Benelux!U158*Benelux!$U$145))/'H7H9 BENELUX'!$M$145,0)</f>
        <v>0</v>
      </c>
      <c r="N158" s="42">
        <f>+IFERROR(((Benelux!J158*Benelux!$J$145)+(Benelux!V158*Benelux!$V$145))/'H7H9 BENELUX'!$N$145,0)</f>
        <v>0</v>
      </c>
      <c r="O158" s="42">
        <f>+IFERROR(((Benelux!K158*Benelux!$K$145)+(Benelux!W158*Benelux!$W$145))/'H7H9 BENELUX'!$O$145,0)</f>
        <v>0</v>
      </c>
      <c r="P158" s="135"/>
      <c r="Q158" s="97"/>
      <c r="R158" s="42"/>
      <c r="S158" s="42"/>
      <c r="T158" s="135"/>
      <c r="U158" s="99">
        <f>+IFERROR(((I158*$I$145)+(M158*$M$145))/$U$145,0)</f>
        <v>0</v>
      </c>
      <c r="V158" s="60">
        <f>+IFERROR(((J158*$J$145)+(N158*$N$145))/$V$145,0)</f>
        <v>0</v>
      </c>
      <c r="W158" s="60">
        <f>+IFERROR(((K158*$K$145)+(O158*$O$145))/$W$145,0)</f>
        <v>0</v>
      </c>
      <c r="X158" s="135"/>
      <c r="Y158" s="97"/>
      <c r="Z158" s="42"/>
      <c r="AA158" s="42"/>
      <c r="AB158" s="135"/>
      <c r="AC158" s="97"/>
      <c r="AD158" s="42"/>
      <c r="AE158" s="42"/>
      <c r="AF158" s="135"/>
      <c r="AG158" s="74">
        <f>+((Benelux!M158*Benelux!$M$145)+(Benelux!Y158*Benelux!$Y$145))/'H7H9 BENELUX'!$AG$145</f>
        <v>5.4644501819007402E-2</v>
      </c>
      <c r="AH158" s="42">
        <f>+IFERROR(((Benelux!N158*Benelux!$N$145)+(Benelux!Z158*Benelux!$Z$145))/'H7H9 BENELUX'!$AH$145,0)</f>
        <v>7.1567593183810174E-2</v>
      </c>
      <c r="AI158" s="42">
        <f>+((Benelux!O158*Benelux!$O$145)+(Benelux!AA158*Benelux!$AA$145))/'H7H9 BENELUX'!$AI$145</f>
        <v>6.6740193768961786E-2</v>
      </c>
      <c r="AJ158" s="135"/>
      <c r="AK158" s="97"/>
      <c r="AL158" s="42"/>
      <c r="AM158" s="42"/>
      <c r="AN158" s="135"/>
      <c r="AO158" s="85">
        <f t="shared" si="236"/>
        <v>5.4644501819007402E-2</v>
      </c>
      <c r="AP158" s="60">
        <f t="shared" si="231"/>
        <v>7.1567593183810174E-2</v>
      </c>
      <c r="AQ158" s="60">
        <f t="shared" si="232"/>
        <v>6.6740193768961786E-2</v>
      </c>
      <c r="AR158" s="135"/>
      <c r="AS158" s="93">
        <f>+((U158*$U$145)+(AO158*$AO$145))/$AS$145</f>
        <v>5.4644501819007402E-2</v>
      </c>
      <c r="AT158" s="68">
        <f>+IFERROR(((V158*$V$145)+(AP158*$AP$145))/$AT$145,0)</f>
        <v>7.1567593183810174E-2</v>
      </c>
      <c r="AU158" s="68">
        <f>+((W158*$W$145)+(AQ158*$AQ$145))/$AU$145</f>
        <v>6.6740193768961786E-2</v>
      </c>
      <c r="AW158" s="109"/>
      <c r="BA158" s="109"/>
      <c r="BE158" s="109"/>
      <c r="BI158" s="109"/>
      <c r="BM158" s="109"/>
    </row>
    <row r="159" spans="1:65" ht="16.5" hidden="1" x14ac:dyDescent="0.25">
      <c r="A159" s="215"/>
      <c r="B159" s="9"/>
      <c r="C159" s="116" t="s">
        <v>34</v>
      </c>
      <c r="D159" s="6"/>
      <c r="E159" s="121"/>
      <c r="F159" s="119"/>
      <c r="G159" s="119"/>
      <c r="H159" s="117"/>
      <c r="I159" s="121">
        <f>+Benelux!E159+Benelux!Q159</f>
        <v>0</v>
      </c>
      <c r="J159" s="119">
        <f>+Benelux!F159+Benelux!R159</f>
        <v>0</v>
      </c>
      <c r="K159" s="119">
        <f>+Benelux!G159+Benelux!S159</f>
        <v>0</v>
      </c>
      <c r="L159" s="117"/>
      <c r="M159" s="121">
        <f>+Benelux!I159+Benelux!U159</f>
        <v>-8.5186120000000032E-2</v>
      </c>
      <c r="N159" s="119">
        <f>+Benelux!J159+Benelux!V159</f>
        <v>-8.5440189999999999E-2</v>
      </c>
      <c r="O159" s="119">
        <f>+Benelux!K159+Benelux!W159</f>
        <v>0</v>
      </c>
      <c r="P159" s="117"/>
      <c r="Q159" s="121"/>
      <c r="R159" s="119"/>
      <c r="S159" s="119"/>
      <c r="T159" s="117"/>
      <c r="U159" s="124">
        <f t="shared" ref="U159" si="246">+I159+M159</f>
        <v>-8.5186120000000032E-2</v>
      </c>
      <c r="V159" s="165">
        <f t="shared" ref="V159" si="247">+J159+N159</f>
        <v>-8.5440189999999999E-2</v>
      </c>
      <c r="W159" s="123">
        <f t="shared" ref="W159" si="248">+K159+O159</f>
        <v>0</v>
      </c>
      <c r="X159" s="117"/>
      <c r="Y159" s="121"/>
      <c r="Z159" s="119"/>
      <c r="AA159" s="119"/>
      <c r="AB159" s="117"/>
      <c r="AC159" s="121"/>
      <c r="AD159" s="119"/>
      <c r="AE159" s="119"/>
      <c r="AF159" s="117"/>
      <c r="AG159" s="121">
        <f>+Benelux!M159+Benelux!Y159</f>
        <v>0.30051177999999845</v>
      </c>
      <c r="AH159" s="119">
        <f>+Benelux!N159+Benelux!Z159</f>
        <v>3.2452980200000034</v>
      </c>
      <c r="AI159" s="119">
        <f>+Benelux!O159+Benelux!AA159</f>
        <v>1.9183475353085684</v>
      </c>
      <c r="AJ159" s="117"/>
      <c r="AK159" s="121"/>
      <c r="AL159" s="119"/>
      <c r="AM159" s="119"/>
      <c r="AN159" s="117"/>
      <c r="AO159" s="124">
        <f t="shared" si="236"/>
        <v>0.30051177999999845</v>
      </c>
      <c r="AP159" s="123">
        <f t="shared" si="231"/>
        <v>3.2452980200000034</v>
      </c>
      <c r="AQ159" s="123">
        <f t="shared" si="232"/>
        <v>1.9183475353085684</v>
      </c>
      <c r="AR159" s="117"/>
      <c r="AS159" s="161">
        <f>+U159+AO159</f>
        <v>0.21532565999999842</v>
      </c>
      <c r="AT159" s="167">
        <f t="shared" ref="AT159" si="249">+V159+AP159</f>
        <v>3.1598578300000035</v>
      </c>
      <c r="AU159" s="160">
        <f t="shared" ref="AU159" si="250">+W159+AQ159</f>
        <v>1.9183475353085684</v>
      </c>
      <c r="AW159" s="108"/>
      <c r="BA159" s="108"/>
      <c r="BE159" s="108"/>
      <c r="BI159" s="108"/>
      <c r="BM159" s="108"/>
    </row>
    <row r="160" spans="1:65" hidden="1" x14ac:dyDescent="0.35"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</row>
    <row r="161" spans="1:65" ht="16.5" hidden="1" x14ac:dyDescent="0.25">
      <c r="A161" s="215" t="s">
        <v>68</v>
      </c>
      <c r="B161" s="9"/>
      <c r="C161" s="116" t="s">
        <v>19</v>
      </c>
      <c r="D161" s="6"/>
      <c r="E161" s="121"/>
      <c r="F161" s="119"/>
      <c r="G161" s="119"/>
      <c r="H161" s="117"/>
      <c r="I161" s="118" t="e">
        <f>+Benelux!E161+Benelux!Q161</f>
        <v>#VALUE!</v>
      </c>
      <c r="J161" s="119" t="e">
        <f>+Benelux!F161+Benelux!R161</f>
        <v>#VALUE!</v>
      </c>
      <c r="K161" s="119" t="e">
        <f>+Benelux!G161+Benelux!S161</f>
        <v>#VALUE!</v>
      </c>
      <c r="L161" s="117"/>
      <c r="M161" s="120">
        <f>+Benelux!I161+Benelux!U161</f>
        <v>573</v>
      </c>
      <c r="N161" s="119">
        <f>+Benelux!J161+Benelux!V161</f>
        <v>573</v>
      </c>
      <c r="O161" s="119">
        <f>+Benelux!K161+Benelux!W161</f>
        <v>573</v>
      </c>
      <c r="P161" s="117"/>
      <c r="Q161" s="121"/>
      <c r="R161" s="119"/>
      <c r="S161" s="119"/>
      <c r="T161" s="117"/>
      <c r="U161" s="122" t="e">
        <f t="shared" ref="U161:U162" si="251">+I161+M161</f>
        <v>#VALUE!</v>
      </c>
      <c r="V161" s="123" t="e">
        <f t="shared" ref="V161:V162" si="252">+J161+N161</f>
        <v>#VALUE!</v>
      </c>
      <c r="W161" s="123" t="e">
        <f t="shared" ref="W161:W162" si="253">+K161+O161</f>
        <v>#VALUE!</v>
      </c>
      <c r="X161" s="117"/>
      <c r="Y161" s="121"/>
      <c r="Z161" s="119"/>
      <c r="AA161" s="119"/>
      <c r="AB161" s="117"/>
      <c r="AC161" s="121"/>
      <c r="AD161" s="119"/>
      <c r="AE161" s="119"/>
      <c r="AF161" s="117"/>
      <c r="AG161" s="121"/>
      <c r="AH161" s="119"/>
      <c r="AI161" s="119"/>
      <c r="AJ161" s="117"/>
      <c r="AK161" s="118" t="e">
        <f>+Benelux!M161+Benelux!Y161</f>
        <v>#VALUE!</v>
      </c>
      <c r="AL161" s="119" t="e">
        <f>+Benelux!N161+Benelux!Z161</f>
        <v>#VALUE!</v>
      </c>
      <c r="AM161" s="119" t="e">
        <f>+Benelux!O161+Benelux!AA161</f>
        <v>#VALUE!</v>
      </c>
      <c r="AN161" s="117"/>
      <c r="AO161" s="122" t="e">
        <f>+AK161</f>
        <v>#VALUE!</v>
      </c>
      <c r="AP161" s="123" t="e">
        <f t="shared" ref="AP161:AP176" si="254">+AL161</f>
        <v>#VALUE!</v>
      </c>
      <c r="AQ161" s="123" t="e">
        <f t="shared" ref="AQ161:AQ176" si="255">+AM161</f>
        <v>#VALUE!</v>
      </c>
      <c r="AR161" s="117"/>
      <c r="AS161" s="166" t="e">
        <f t="shared" ref="AS161:AS162" si="256">+U161+AO161</f>
        <v>#VALUE!</v>
      </c>
      <c r="AT161" s="160" t="e">
        <f t="shared" ref="AT161:AT162" si="257">+V161+AP161</f>
        <v>#VALUE!</v>
      </c>
      <c r="AU161" s="160" t="e">
        <f t="shared" ref="AU161:AU162" si="258">+W161+AQ161</f>
        <v>#VALUE!</v>
      </c>
      <c r="AW161" s="108"/>
      <c r="BA161" s="108"/>
      <c r="BE161" s="108"/>
      <c r="BI161" s="108"/>
      <c r="BM161" s="108"/>
    </row>
    <row r="162" spans="1:65" ht="16.5" hidden="1" x14ac:dyDescent="0.25">
      <c r="A162" s="212"/>
      <c r="B162" s="9"/>
      <c r="C162" s="116" t="s">
        <v>55</v>
      </c>
      <c r="D162" s="6"/>
      <c r="E162" s="121"/>
      <c r="F162" s="119"/>
      <c r="G162" s="119"/>
      <c r="H162" s="117"/>
      <c r="I162" s="118" t="e">
        <f>+Benelux!E162+Benelux!Q162</f>
        <v>#VALUE!</v>
      </c>
      <c r="J162" s="119" t="e">
        <f>+Benelux!F162+Benelux!R162</f>
        <v>#VALUE!</v>
      </c>
      <c r="K162" s="119" t="e">
        <f>+Benelux!G162+Benelux!S162</f>
        <v>#VALUE!</v>
      </c>
      <c r="L162" s="117"/>
      <c r="M162" s="121">
        <f>+Benelux!I162+Benelux!U162</f>
        <v>573</v>
      </c>
      <c r="N162" s="119">
        <f>+Benelux!J162+Benelux!V162</f>
        <v>573</v>
      </c>
      <c r="O162" s="119">
        <f>+Benelux!K162+Benelux!W162</f>
        <v>573</v>
      </c>
      <c r="P162" s="117"/>
      <c r="Q162" s="121"/>
      <c r="R162" s="119"/>
      <c r="S162" s="119"/>
      <c r="T162" s="117"/>
      <c r="U162" s="122" t="e">
        <f t="shared" si="251"/>
        <v>#VALUE!</v>
      </c>
      <c r="V162" s="123" t="e">
        <f t="shared" si="252"/>
        <v>#VALUE!</v>
      </c>
      <c r="W162" s="123" t="e">
        <f t="shared" si="253"/>
        <v>#VALUE!</v>
      </c>
      <c r="X162" s="117"/>
      <c r="Y162" s="121"/>
      <c r="Z162" s="119"/>
      <c r="AA162" s="119"/>
      <c r="AB162" s="117"/>
      <c r="AC162" s="121"/>
      <c r="AD162" s="119"/>
      <c r="AE162" s="119"/>
      <c r="AF162" s="117"/>
      <c r="AG162" s="121"/>
      <c r="AH162" s="119"/>
      <c r="AI162" s="119"/>
      <c r="AJ162" s="117"/>
      <c r="AK162" s="118" t="e">
        <f>+Benelux!M162+Benelux!Y162</f>
        <v>#VALUE!</v>
      </c>
      <c r="AL162" s="119" t="e">
        <f>+Benelux!N162+Benelux!Z162</f>
        <v>#VALUE!</v>
      </c>
      <c r="AM162" s="119" t="e">
        <f>+Benelux!O162+Benelux!AA162</f>
        <v>#VALUE!</v>
      </c>
      <c r="AN162" s="117"/>
      <c r="AO162" s="122" t="e">
        <f t="shared" ref="AO162:AO176" si="259">+AK162</f>
        <v>#VALUE!</v>
      </c>
      <c r="AP162" s="123" t="e">
        <f t="shared" si="254"/>
        <v>#VALUE!</v>
      </c>
      <c r="AQ162" s="123" t="e">
        <f t="shared" si="255"/>
        <v>#VALUE!</v>
      </c>
      <c r="AR162" s="117"/>
      <c r="AS162" s="166" t="e">
        <f t="shared" si="256"/>
        <v>#VALUE!</v>
      </c>
      <c r="AT162" s="160" t="e">
        <f t="shared" si="257"/>
        <v>#VALUE!</v>
      </c>
      <c r="AU162" s="160" t="e">
        <f t="shared" si="258"/>
        <v>#VALUE!</v>
      </c>
      <c r="AW162" s="108"/>
      <c r="BA162" s="108"/>
      <c r="BE162" s="108"/>
      <c r="BI162" s="108"/>
      <c r="BM162" s="108"/>
    </row>
    <row r="163" spans="1:65" ht="16.5" hidden="1" x14ac:dyDescent="0.25">
      <c r="A163" s="212"/>
      <c r="B163" s="9"/>
      <c r="C163" s="116" t="s">
        <v>21</v>
      </c>
      <c r="D163" s="6"/>
      <c r="E163" s="131"/>
      <c r="F163" s="127"/>
      <c r="G163" s="127"/>
      <c r="H163" s="117"/>
      <c r="I163" s="126" t="e">
        <f>+I164+I169+I170+I171+I172</f>
        <v>#VALUE!</v>
      </c>
      <c r="J163" s="127" t="e">
        <f t="shared" ref="J163:K163" si="260">+J164+J169+J170+J171+J172</f>
        <v>#VALUE!</v>
      </c>
      <c r="K163" s="127" t="e">
        <f t="shared" si="260"/>
        <v>#VALUE!</v>
      </c>
      <c r="L163" s="117"/>
      <c r="M163" s="128">
        <f>+M164+M169+M170+M171+M172</f>
        <v>3730.8376963350784</v>
      </c>
      <c r="N163" s="127">
        <f>+N164+N169+N170+N171+N172</f>
        <v>3730.8376963350784</v>
      </c>
      <c r="O163" s="127">
        <f>+O164+O169+O170+O171+O172</f>
        <v>3730.8376963350784</v>
      </c>
      <c r="P163" s="117"/>
      <c r="Q163" s="131"/>
      <c r="R163" s="127"/>
      <c r="S163" s="127"/>
      <c r="T163" s="117"/>
      <c r="U163" s="132" t="e">
        <f>+U164+U169+U170+U171+U172</f>
        <v>#VALUE!</v>
      </c>
      <c r="V163" s="130" t="e">
        <f>+V164+V169+V170+V171+V172</f>
        <v>#VALUE!</v>
      </c>
      <c r="W163" s="130" t="e">
        <f>+W164+W169+W170+W171+W172</f>
        <v>#VALUE!</v>
      </c>
      <c r="X163" s="117"/>
      <c r="Y163" s="131"/>
      <c r="Z163" s="127"/>
      <c r="AA163" s="127"/>
      <c r="AB163" s="117"/>
      <c r="AC163" s="131"/>
      <c r="AD163" s="127"/>
      <c r="AE163" s="127"/>
      <c r="AF163" s="117"/>
      <c r="AG163" s="131"/>
      <c r="AH163" s="127"/>
      <c r="AI163" s="127"/>
      <c r="AJ163" s="117"/>
      <c r="AK163" s="126" t="e">
        <f>+AK164+AK169+AK170+AK171+AK172</f>
        <v>#VALUE!</v>
      </c>
      <c r="AL163" s="127" t="e">
        <f>+AL164+AL169+AL170+AL171+AL172</f>
        <v>#VALUE!</v>
      </c>
      <c r="AM163" s="127" t="e">
        <f>+AM164+AM169+AM170+AM171+AM172</f>
        <v>#VALUE!</v>
      </c>
      <c r="AN163" s="117"/>
      <c r="AO163" s="132" t="e">
        <f t="shared" si="259"/>
        <v>#VALUE!</v>
      </c>
      <c r="AP163" s="130" t="e">
        <f t="shared" si="254"/>
        <v>#VALUE!</v>
      </c>
      <c r="AQ163" s="130" t="e">
        <f t="shared" si="255"/>
        <v>#VALUE!</v>
      </c>
      <c r="AR163" s="117"/>
      <c r="AS163" s="162" t="e">
        <f>+AS164+AS169+AS170+AS171+AS172</f>
        <v>#VALUE!</v>
      </c>
      <c r="AT163" s="163" t="e">
        <f>+AT164+AT169+AT170+AT171+AT172</f>
        <v>#VALUE!</v>
      </c>
      <c r="AU163" s="163" t="e">
        <f>+AU164+AU169+AU170+AU171+AU172</f>
        <v>#VALUE!</v>
      </c>
      <c r="AW163" s="109"/>
      <c r="BA163" s="109"/>
      <c r="BE163" s="109"/>
      <c r="BI163" s="109"/>
      <c r="BM163" s="109"/>
    </row>
    <row r="164" spans="1:65" ht="16.5" hidden="1" x14ac:dyDescent="0.25">
      <c r="A164" s="212"/>
      <c r="B164" s="9"/>
      <c r="C164" s="116" t="s">
        <v>56</v>
      </c>
      <c r="D164" s="6"/>
      <c r="E164" s="131"/>
      <c r="F164" s="127"/>
      <c r="G164" s="127"/>
      <c r="H164" s="117"/>
      <c r="I164" s="128" t="e">
        <f>+I165+I166+I167+I168</f>
        <v>#VALUE!</v>
      </c>
      <c r="J164" s="127" t="e">
        <f t="shared" ref="J164:K164" si="261">+J165+J166+J167+J168</f>
        <v>#VALUE!</v>
      </c>
      <c r="K164" s="127" t="e">
        <f t="shared" si="261"/>
        <v>#VALUE!</v>
      </c>
      <c r="L164" s="117"/>
      <c r="M164" s="128">
        <f>+M165+M166+M167+M168</f>
        <v>1492.3350785340315</v>
      </c>
      <c r="N164" s="127">
        <f>+N165+N166+N167+N168</f>
        <v>1492.3350785340315</v>
      </c>
      <c r="O164" s="127">
        <f>+O165+O166+O167+O168</f>
        <v>1492.3350785340315</v>
      </c>
      <c r="P164" s="117"/>
      <c r="Q164" s="131"/>
      <c r="R164" s="127"/>
      <c r="S164" s="127"/>
      <c r="T164" s="117"/>
      <c r="U164" s="129" t="e">
        <f>+U165+U166+U167+U168</f>
        <v>#VALUE!</v>
      </c>
      <c r="V164" s="130" t="e">
        <f>+V165+V166+V167+V168</f>
        <v>#VALUE!</v>
      </c>
      <c r="W164" s="130" t="e">
        <f>+W165+W166+W167+W168</f>
        <v>#VALUE!</v>
      </c>
      <c r="X164" s="117"/>
      <c r="Y164" s="131"/>
      <c r="Z164" s="127"/>
      <c r="AA164" s="127"/>
      <c r="AB164" s="117"/>
      <c r="AC164" s="131"/>
      <c r="AD164" s="127"/>
      <c r="AE164" s="127"/>
      <c r="AF164" s="117"/>
      <c r="AG164" s="131"/>
      <c r="AH164" s="127"/>
      <c r="AI164" s="127"/>
      <c r="AJ164" s="117"/>
      <c r="AK164" s="126" t="e">
        <f>+AK165+AK166+AK167+AK168</f>
        <v>#VALUE!</v>
      </c>
      <c r="AL164" s="127" t="e">
        <f>+AL165+AL166+AL167+AL168</f>
        <v>#VALUE!</v>
      </c>
      <c r="AM164" s="127" t="e">
        <f>+AM165+AM166+AM167+AM168</f>
        <v>#VALUE!</v>
      </c>
      <c r="AN164" s="117"/>
      <c r="AO164" s="132" t="e">
        <f t="shared" si="259"/>
        <v>#VALUE!</v>
      </c>
      <c r="AP164" s="130" t="e">
        <f t="shared" si="254"/>
        <v>#VALUE!</v>
      </c>
      <c r="AQ164" s="130" t="e">
        <f t="shared" si="255"/>
        <v>#VALUE!</v>
      </c>
      <c r="AR164" s="117"/>
      <c r="AS164" s="164" t="e">
        <f>+AS165+AS166+AS167+AS168</f>
        <v>#VALUE!</v>
      </c>
      <c r="AT164" s="163" t="e">
        <f>+AT165+AT166+AT167+AT168</f>
        <v>#VALUE!</v>
      </c>
      <c r="AU164" s="163" t="e">
        <f>+AU165+AU166+AU167+AU168</f>
        <v>#VALUE!</v>
      </c>
      <c r="AW164" s="109"/>
      <c r="BA164" s="109"/>
      <c r="BE164" s="109"/>
      <c r="BI164" s="109"/>
      <c r="BM164" s="109"/>
    </row>
    <row r="165" spans="1:65" ht="16.5" hidden="1" x14ac:dyDescent="0.25">
      <c r="A165" s="212"/>
      <c r="B165" s="9"/>
      <c r="C165" s="38" t="s">
        <v>23</v>
      </c>
      <c r="D165" s="6"/>
      <c r="E165" s="97"/>
      <c r="F165" s="42"/>
      <c r="G165" s="42"/>
      <c r="H165" s="117"/>
      <c r="I165" s="73" t="e">
        <f>+((Benelux!E165*Benelux!$E$162)+(Benelux!Q165*Benelux!$Q$162))/'H7H9 BENELUX'!$I$162</f>
        <v>#VALUE!</v>
      </c>
      <c r="J165" s="42" t="e">
        <f>+((Benelux!F165*Benelux!$F$162)+(Benelux!R165*Benelux!$R$162))/'H7H9 BENELUX'!$J$162</f>
        <v>#VALUE!</v>
      </c>
      <c r="K165" s="42" t="e">
        <f>+((Benelux!G165*Benelux!$G$162)+(Benelux!S165*Benelux!$S$162))/'H7H9 BENELUX'!$K$162</f>
        <v>#VALUE!</v>
      </c>
      <c r="L165" s="117"/>
      <c r="M165" s="73">
        <f>+((Benelux!I165*Benelux!$I$162)+(Benelux!U165*Benelux!$U$162))/'H7H9 BENELUX'!$M$162</f>
        <v>373.08376963350787</v>
      </c>
      <c r="N165" s="42">
        <f>+((Benelux!J165*Benelux!$J$162)+(Benelux!V165*Benelux!$V$162))/'H7H9 BENELUX'!$N$162</f>
        <v>373.08376963350787</v>
      </c>
      <c r="O165" s="42">
        <f>+((Benelux!K165*Benelux!$K$162)+(Benelux!W165*Benelux!$W$162))/'H7H9 BENELUX'!$O$162</f>
        <v>373.08376963350787</v>
      </c>
      <c r="P165" s="117"/>
      <c r="Q165" s="97"/>
      <c r="R165" s="42"/>
      <c r="S165" s="42"/>
      <c r="T165" s="117"/>
      <c r="U165" s="84" t="e">
        <f>+((I165*$I$162)+(M165*$M$162))/$U$162</f>
        <v>#VALUE!</v>
      </c>
      <c r="V165" s="60" t="e">
        <f>+((J165*$J$162)+(N165*$N$162))/$V$162</f>
        <v>#VALUE!</v>
      </c>
      <c r="W165" s="60" t="e">
        <f>+((K165*$K$162)+(O165*$O$162))/$W$162</f>
        <v>#VALUE!</v>
      </c>
      <c r="X165" s="117"/>
      <c r="Y165" s="97"/>
      <c r="Z165" s="42"/>
      <c r="AA165" s="42"/>
      <c r="AB165" s="117"/>
      <c r="AC165" s="97"/>
      <c r="AD165" s="42"/>
      <c r="AE165" s="42"/>
      <c r="AF165" s="117"/>
      <c r="AG165" s="97"/>
      <c r="AH165" s="42"/>
      <c r="AI165" s="42"/>
      <c r="AJ165" s="117"/>
      <c r="AK165" s="73" t="e">
        <f>+((Benelux!M165*Benelux!$M$162)+(Benelux!Y165*Benelux!$Y$162))/'H7H9 BENELUX'!$AK$162</f>
        <v>#VALUE!</v>
      </c>
      <c r="AL165" s="42" t="e">
        <f>+((Benelux!N165*Benelux!$N$162)+(Benelux!Z165*Benelux!$Z$162))/'H7H9 BENELUX'!$AL$162</f>
        <v>#VALUE!</v>
      </c>
      <c r="AM165" s="42" t="e">
        <f>+((Benelux!O165*Benelux!$O$162)+(Benelux!AA165*Benelux!$AA$162))/'H7H9 BENELUX'!$AM$162</f>
        <v>#VALUE!</v>
      </c>
      <c r="AN165" s="117"/>
      <c r="AO165" s="84" t="e">
        <f t="shared" si="259"/>
        <v>#VALUE!</v>
      </c>
      <c r="AP165" s="60" t="e">
        <f t="shared" si="254"/>
        <v>#VALUE!</v>
      </c>
      <c r="AQ165" s="60" t="e">
        <f t="shared" si="255"/>
        <v>#VALUE!</v>
      </c>
      <c r="AR165" s="117"/>
      <c r="AS165" s="92" t="e">
        <f>+((U165*$U$162)+(AO165*$AO$162))/$AS$162</f>
        <v>#VALUE!</v>
      </c>
      <c r="AT165" s="68" t="e">
        <f>+((V165*$V$162)+(AP165*$AP$162))/$AT$162</f>
        <v>#VALUE!</v>
      </c>
      <c r="AU165" s="68" t="e">
        <f>+((W165*$W$162)+(AQ165*$AQ$162))/$AU$162</f>
        <v>#VALUE!</v>
      </c>
      <c r="AW165" s="109"/>
      <c r="BA165" s="109"/>
      <c r="BE165" s="109"/>
      <c r="BI165" s="109"/>
      <c r="BM165" s="109"/>
    </row>
    <row r="166" spans="1:65" ht="16.5" hidden="1" x14ac:dyDescent="0.25">
      <c r="A166" s="212"/>
      <c r="B166" s="9"/>
      <c r="C166" s="38" t="s">
        <v>24</v>
      </c>
      <c r="D166" s="7"/>
      <c r="E166" s="97"/>
      <c r="F166" s="42"/>
      <c r="G166" s="42"/>
      <c r="H166" s="134"/>
      <c r="I166" s="97" t="e">
        <f>+((Benelux!E166*Benelux!$E$162)+(Benelux!Q166*Benelux!$Q$162))/'H7H9 BENELUX'!$I$162</f>
        <v>#VALUE!</v>
      </c>
      <c r="J166" s="42" t="e">
        <f>+((Benelux!F166*Benelux!$F$162)+(Benelux!R166*Benelux!$R$162))/'H7H9 BENELUX'!$J$162</f>
        <v>#VALUE!</v>
      </c>
      <c r="K166" s="42" t="e">
        <f>+((Benelux!G166*Benelux!$G$162)+(Benelux!S166*Benelux!$S$162))/'H7H9 BENELUX'!$K$162</f>
        <v>#VALUE!</v>
      </c>
      <c r="L166" s="134"/>
      <c r="M166" s="97">
        <f>+((Benelux!I166*Benelux!$I$162)+(Benelux!U166*Benelux!$U$162))/'H7H9 BENELUX'!$M$162</f>
        <v>373.08376963350787</v>
      </c>
      <c r="N166" s="42">
        <f>+((Benelux!J166*Benelux!$J$162)+(Benelux!V166*Benelux!$V$162))/'H7H9 BENELUX'!$N$162</f>
        <v>373.08376963350787</v>
      </c>
      <c r="O166" s="42">
        <f>+((Benelux!K166*Benelux!$K$162)+(Benelux!W166*Benelux!$W$162))/'H7H9 BENELUX'!$O$162</f>
        <v>373.08376963350787</v>
      </c>
      <c r="P166" s="134"/>
      <c r="Q166" s="97"/>
      <c r="R166" s="42"/>
      <c r="S166" s="42"/>
      <c r="T166" s="134"/>
      <c r="U166" s="99" t="e">
        <f t="shared" ref="U166:U171" si="262">+((I166*$I$162)+(M166*$M$162))/$U$162</f>
        <v>#VALUE!</v>
      </c>
      <c r="V166" s="60" t="e">
        <f t="shared" ref="V166:V171" si="263">+((J166*$J$162)+(N166*$N$162))/$V$162</f>
        <v>#VALUE!</v>
      </c>
      <c r="W166" s="60" t="e">
        <f t="shared" ref="W166:W171" si="264">+((K166*$K$162)+(O166*$O$162))/$W$162</f>
        <v>#VALUE!</v>
      </c>
      <c r="X166" s="134"/>
      <c r="Y166" s="97"/>
      <c r="Z166" s="42"/>
      <c r="AA166" s="42"/>
      <c r="AB166" s="134"/>
      <c r="AC166" s="97"/>
      <c r="AD166" s="42"/>
      <c r="AE166" s="42"/>
      <c r="AF166" s="134"/>
      <c r="AG166" s="97"/>
      <c r="AH166" s="42"/>
      <c r="AI166" s="42"/>
      <c r="AJ166" s="134"/>
      <c r="AK166" s="97" t="e">
        <f>+((Benelux!M166*Benelux!$M$162)+(Benelux!Y166*Benelux!$Y$162))/'H7H9 BENELUX'!$AK$162</f>
        <v>#VALUE!</v>
      </c>
      <c r="AL166" s="42" t="e">
        <f>+((Benelux!N166*Benelux!$N$162)+(Benelux!Z166*Benelux!$Z$162))/'H7H9 BENELUX'!$AL$162</f>
        <v>#VALUE!</v>
      </c>
      <c r="AM166" s="42" t="e">
        <f>+((Benelux!O166*Benelux!$O$162)+(Benelux!AA166*Benelux!$AA$162))/'H7H9 BENELUX'!$AM$162</f>
        <v>#VALUE!</v>
      </c>
      <c r="AN166" s="134"/>
      <c r="AO166" s="99" t="e">
        <f t="shared" si="259"/>
        <v>#VALUE!</v>
      </c>
      <c r="AP166" s="60" t="e">
        <f t="shared" si="254"/>
        <v>#VALUE!</v>
      </c>
      <c r="AQ166" s="60" t="e">
        <f t="shared" si="255"/>
        <v>#VALUE!</v>
      </c>
      <c r="AR166" s="134"/>
      <c r="AS166" s="106" t="e">
        <f t="shared" ref="AS166:AS171" si="265">+((U166*$U$162)+(AO166*$AO$162))/$AS$162</f>
        <v>#VALUE!</v>
      </c>
      <c r="AT166" s="68" t="e">
        <f t="shared" ref="AT166:AT171" si="266">+((V166*$V$162)+(AP166*$AP$162))/$AT$162</f>
        <v>#VALUE!</v>
      </c>
      <c r="AU166" s="68" t="e">
        <f t="shared" ref="AU166:AU171" si="267">+((W166*$W$162)+(AQ166*$AQ$162))/$AU$162</f>
        <v>#VALUE!</v>
      </c>
      <c r="AW166" s="109"/>
      <c r="BA166" s="109"/>
      <c r="BE166" s="109"/>
      <c r="BI166" s="109"/>
      <c r="BM166" s="109"/>
    </row>
    <row r="167" spans="1:65" ht="16.5" hidden="1" x14ac:dyDescent="0.25">
      <c r="A167" s="212"/>
      <c r="B167" s="9"/>
      <c r="C167" s="38" t="s">
        <v>25</v>
      </c>
      <c r="D167" s="7"/>
      <c r="E167" s="97"/>
      <c r="F167" s="42"/>
      <c r="G167" s="42"/>
      <c r="H167" s="134"/>
      <c r="I167" s="97" t="e">
        <f>+((Benelux!E167*Benelux!$E$162)+(Benelux!Q167*Benelux!$Q$162))/'H7H9 BENELUX'!$I$162</f>
        <v>#VALUE!</v>
      </c>
      <c r="J167" s="42" t="e">
        <f>+((Benelux!F167*Benelux!$F$162)+(Benelux!R167*Benelux!$R$162))/'H7H9 BENELUX'!$J$162</f>
        <v>#VALUE!</v>
      </c>
      <c r="K167" s="42" t="e">
        <f>+((Benelux!G167*Benelux!$G$162)+(Benelux!S167*Benelux!$S$162))/'H7H9 BENELUX'!$K$162</f>
        <v>#VALUE!</v>
      </c>
      <c r="L167" s="134"/>
      <c r="M167" s="97">
        <f>+((Benelux!I167*Benelux!$I$162)+(Benelux!U167*Benelux!$U$162))/'H7H9 BENELUX'!$M$162</f>
        <v>373.08376963350787</v>
      </c>
      <c r="N167" s="42">
        <f>+((Benelux!J167*Benelux!$J$162)+(Benelux!V167*Benelux!$V$162))/'H7H9 BENELUX'!$N$162</f>
        <v>373.08376963350787</v>
      </c>
      <c r="O167" s="42">
        <f>+((Benelux!K167*Benelux!$K$162)+(Benelux!W167*Benelux!$W$162))/'H7H9 BENELUX'!$O$162</f>
        <v>373.08376963350787</v>
      </c>
      <c r="P167" s="134"/>
      <c r="Q167" s="97"/>
      <c r="R167" s="42"/>
      <c r="S167" s="42"/>
      <c r="T167" s="134"/>
      <c r="U167" s="99" t="e">
        <f t="shared" si="262"/>
        <v>#VALUE!</v>
      </c>
      <c r="V167" s="60" t="e">
        <f t="shared" si="263"/>
        <v>#VALUE!</v>
      </c>
      <c r="W167" s="60" t="e">
        <f t="shared" si="264"/>
        <v>#VALUE!</v>
      </c>
      <c r="X167" s="134"/>
      <c r="Y167" s="97"/>
      <c r="Z167" s="42"/>
      <c r="AA167" s="42"/>
      <c r="AB167" s="134"/>
      <c r="AC167" s="97"/>
      <c r="AD167" s="42"/>
      <c r="AE167" s="42"/>
      <c r="AF167" s="134"/>
      <c r="AG167" s="97"/>
      <c r="AH167" s="42"/>
      <c r="AI167" s="42"/>
      <c r="AJ167" s="134"/>
      <c r="AK167" s="74" t="e">
        <f>+((Benelux!M167*Benelux!$M$162)+(Benelux!Y167*Benelux!$Y$162))/'H7H9 BENELUX'!$AK$162</f>
        <v>#VALUE!</v>
      </c>
      <c r="AL167" s="42" t="e">
        <f>+((Benelux!N167*Benelux!$N$162)+(Benelux!Z167*Benelux!$Z$162))/'H7H9 BENELUX'!$AL$162</f>
        <v>#VALUE!</v>
      </c>
      <c r="AM167" s="42" t="e">
        <f>+((Benelux!O167*Benelux!$O$162)+(Benelux!AA167*Benelux!$AA$162))/'H7H9 BENELUX'!$AM$162</f>
        <v>#VALUE!</v>
      </c>
      <c r="AN167" s="134"/>
      <c r="AO167" s="85" t="e">
        <f t="shared" si="259"/>
        <v>#VALUE!</v>
      </c>
      <c r="AP167" s="60" t="e">
        <f t="shared" si="254"/>
        <v>#VALUE!</v>
      </c>
      <c r="AQ167" s="60" t="e">
        <f t="shared" si="255"/>
        <v>#VALUE!</v>
      </c>
      <c r="AR167" s="134"/>
      <c r="AS167" s="93" t="e">
        <f t="shared" si="265"/>
        <v>#VALUE!</v>
      </c>
      <c r="AT167" s="68" t="e">
        <f t="shared" si="266"/>
        <v>#VALUE!</v>
      </c>
      <c r="AU167" s="68" t="e">
        <f t="shared" si="267"/>
        <v>#VALUE!</v>
      </c>
      <c r="AW167" s="109"/>
      <c r="BA167" s="109"/>
      <c r="BE167" s="109"/>
      <c r="BI167" s="109"/>
      <c r="BM167" s="109"/>
    </row>
    <row r="168" spans="1:65" ht="16.5" hidden="1" x14ac:dyDescent="0.25">
      <c r="A168" s="212"/>
      <c r="B168" s="9"/>
      <c r="C168" s="38" t="s">
        <v>53</v>
      </c>
      <c r="D168" s="7"/>
      <c r="E168" s="97"/>
      <c r="F168" s="42"/>
      <c r="G168" s="42"/>
      <c r="H168" s="134"/>
      <c r="I168" s="73" t="e">
        <f>+((Benelux!E168*Benelux!$E$162)+(Benelux!Q168*Benelux!$Q$162))/'H7H9 BENELUX'!$I$162</f>
        <v>#VALUE!</v>
      </c>
      <c r="J168" s="42" t="e">
        <f>+((Benelux!F168*Benelux!$F$162)+(Benelux!R168*Benelux!$R$162))/'H7H9 BENELUX'!$J$162</f>
        <v>#VALUE!</v>
      </c>
      <c r="K168" s="42" t="e">
        <f>+((Benelux!G168*Benelux!$G$162)+(Benelux!S168*Benelux!$S$162))/'H7H9 BENELUX'!$K$162</f>
        <v>#VALUE!</v>
      </c>
      <c r="L168" s="134"/>
      <c r="M168" s="73">
        <f>+((Benelux!I168*Benelux!$I$162)+(Benelux!U168*Benelux!$U$162))/'H7H9 BENELUX'!$M$162</f>
        <v>373.08376963350787</v>
      </c>
      <c r="N168" s="42">
        <f>+((Benelux!J168*Benelux!$J$162)+(Benelux!V168*Benelux!$V$162))/'H7H9 BENELUX'!$N$162</f>
        <v>373.08376963350787</v>
      </c>
      <c r="O168" s="42">
        <f>+((Benelux!K168*Benelux!$K$162)+(Benelux!W168*Benelux!$W$162))/'H7H9 BENELUX'!$O$162</f>
        <v>373.08376963350787</v>
      </c>
      <c r="P168" s="134"/>
      <c r="Q168" s="97"/>
      <c r="R168" s="42"/>
      <c r="S168" s="42"/>
      <c r="T168" s="134"/>
      <c r="U168" s="84" t="e">
        <f t="shared" si="262"/>
        <v>#VALUE!</v>
      </c>
      <c r="V168" s="60" t="e">
        <f t="shared" si="263"/>
        <v>#VALUE!</v>
      </c>
      <c r="W168" s="60" t="e">
        <f t="shared" si="264"/>
        <v>#VALUE!</v>
      </c>
      <c r="X168" s="134"/>
      <c r="Y168" s="97"/>
      <c r="Z168" s="42"/>
      <c r="AA168" s="42"/>
      <c r="AB168" s="134"/>
      <c r="AC168" s="97"/>
      <c r="AD168" s="42"/>
      <c r="AE168" s="42"/>
      <c r="AF168" s="134"/>
      <c r="AG168" s="97"/>
      <c r="AH168" s="42"/>
      <c r="AI168" s="42"/>
      <c r="AJ168" s="134"/>
      <c r="AK168" s="74" t="e">
        <f>+((Benelux!M168*Benelux!$M$162)+(Benelux!Y168*Benelux!$Y$162))/'H7H9 BENELUX'!$AK$162</f>
        <v>#VALUE!</v>
      </c>
      <c r="AL168" s="42" t="e">
        <f>+((Benelux!N168*Benelux!$N$162)+(Benelux!Z168*Benelux!$Z$162))/'H7H9 BENELUX'!$AL$162</f>
        <v>#VALUE!</v>
      </c>
      <c r="AM168" s="42" t="e">
        <f>+((Benelux!O168*Benelux!$O$162)+(Benelux!AA168*Benelux!$AA$162))/'H7H9 BENELUX'!$AM$162</f>
        <v>#VALUE!</v>
      </c>
      <c r="AN168" s="134"/>
      <c r="AO168" s="85" t="e">
        <f t="shared" si="259"/>
        <v>#VALUE!</v>
      </c>
      <c r="AP168" s="60" t="e">
        <f t="shared" si="254"/>
        <v>#VALUE!</v>
      </c>
      <c r="AQ168" s="60" t="e">
        <f t="shared" si="255"/>
        <v>#VALUE!</v>
      </c>
      <c r="AR168" s="134"/>
      <c r="AS168" s="92" t="e">
        <f t="shared" si="265"/>
        <v>#VALUE!</v>
      </c>
      <c r="AT168" s="68" t="e">
        <f t="shared" si="266"/>
        <v>#VALUE!</v>
      </c>
      <c r="AU168" s="68" t="e">
        <f t="shared" si="267"/>
        <v>#VALUE!</v>
      </c>
      <c r="AW168" s="109"/>
      <c r="BA168" s="109"/>
      <c r="BE168" s="109"/>
      <c r="BI168" s="109"/>
      <c r="BM168" s="109"/>
    </row>
    <row r="169" spans="1:65" ht="16.5" hidden="1" x14ac:dyDescent="0.25">
      <c r="A169" s="212"/>
      <c r="B169" s="9"/>
      <c r="C169" s="116" t="s">
        <v>27</v>
      </c>
      <c r="D169" s="7"/>
      <c r="E169" s="131"/>
      <c r="F169" s="127"/>
      <c r="G169" s="127"/>
      <c r="H169" s="134"/>
      <c r="I169" s="126" t="e">
        <f>+((Benelux!E169*Benelux!$E$162)+(Benelux!Q169*Benelux!$Q$162))/'H7H9 BENELUX'!$I$162</f>
        <v>#VALUE!</v>
      </c>
      <c r="J169" s="127" t="e">
        <f>+((Benelux!F169*Benelux!$F$162)+(Benelux!R169*Benelux!$R$162))/'H7H9 BENELUX'!$J$162</f>
        <v>#VALUE!</v>
      </c>
      <c r="K169" s="127" t="e">
        <f>+((Benelux!G169*Benelux!$G$162)+(Benelux!S169*Benelux!$S$162))/'H7H9 BENELUX'!$K$162</f>
        <v>#VALUE!</v>
      </c>
      <c r="L169" s="134"/>
      <c r="M169" s="128">
        <f>+((Benelux!I169*Benelux!$I$162)+(Benelux!U169*Benelux!$U$162))/'H7H9 BENELUX'!$M$162</f>
        <v>373.08376963350787</v>
      </c>
      <c r="N169" s="127">
        <f>+((Benelux!J169*Benelux!$J$162)+(Benelux!V169*Benelux!$V$162))/'H7H9 BENELUX'!$N$162</f>
        <v>373.08376963350787</v>
      </c>
      <c r="O169" s="127">
        <f>+((Benelux!K169*Benelux!$K$162)+(Benelux!W169*Benelux!$W$162))/'H7H9 BENELUX'!$O$162</f>
        <v>373.08376963350787</v>
      </c>
      <c r="P169" s="134"/>
      <c r="Q169" s="131"/>
      <c r="R169" s="127"/>
      <c r="S169" s="127"/>
      <c r="T169" s="134"/>
      <c r="U169" s="132" t="e">
        <f t="shared" si="262"/>
        <v>#VALUE!</v>
      </c>
      <c r="V169" s="130" t="e">
        <f t="shared" si="263"/>
        <v>#VALUE!</v>
      </c>
      <c r="W169" s="130" t="e">
        <f t="shared" si="264"/>
        <v>#VALUE!</v>
      </c>
      <c r="X169" s="134"/>
      <c r="Y169" s="131"/>
      <c r="Z169" s="127"/>
      <c r="AA169" s="127"/>
      <c r="AB169" s="134"/>
      <c r="AC169" s="131"/>
      <c r="AD169" s="127"/>
      <c r="AE169" s="127"/>
      <c r="AF169" s="134"/>
      <c r="AG169" s="131"/>
      <c r="AH169" s="127"/>
      <c r="AI169" s="127"/>
      <c r="AJ169" s="134"/>
      <c r="AK169" s="128" t="e">
        <f>+((Benelux!M169*Benelux!$M$162)+(Benelux!Y169*Benelux!$Y$162))/'H7H9 BENELUX'!$AK$162</f>
        <v>#VALUE!</v>
      </c>
      <c r="AL169" s="127" t="e">
        <f>+((Benelux!N169*Benelux!$N$162)+(Benelux!Z169*Benelux!$Z$162))/'H7H9 BENELUX'!$AL$162</f>
        <v>#VALUE!</v>
      </c>
      <c r="AM169" s="127" t="e">
        <f>+((Benelux!O169*Benelux!$O$162)+(Benelux!AA169*Benelux!$AA$162))/'H7H9 BENELUX'!$AM$162</f>
        <v>#VALUE!</v>
      </c>
      <c r="AN169" s="134"/>
      <c r="AO169" s="129" t="e">
        <f t="shared" si="259"/>
        <v>#VALUE!</v>
      </c>
      <c r="AP169" s="130" t="e">
        <f t="shared" si="254"/>
        <v>#VALUE!</v>
      </c>
      <c r="AQ169" s="130" t="e">
        <f t="shared" si="255"/>
        <v>#VALUE!</v>
      </c>
      <c r="AR169" s="134"/>
      <c r="AS169" s="164" t="e">
        <f t="shared" si="265"/>
        <v>#VALUE!</v>
      </c>
      <c r="AT169" s="163" t="e">
        <f t="shared" si="266"/>
        <v>#VALUE!</v>
      </c>
      <c r="AU169" s="163" t="e">
        <f t="shared" si="267"/>
        <v>#VALUE!</v>
      </c>
      <c r="AW169" s="109"/>
      <c r="BA169" s="109"/>
      <c r="BE169" s="109"/>
      <c r="BI169" s="109"/>
      <c r="BM169" s="109"/>
    </row>
    <row r="170" spans="1:65" ht="16.5" hidden="1" x14ac:dyDescent="0.25">
      <c r="A170" s="212"/>
      <c r="B170" s="9"/>
      <c r="C170" s="116" t="s">
        <v>57</v>
      </c>
      <c r="D170" s="7"/>
      <c r="E170" s="131"/>
      <c r="F170" s="127"/>
      <c r="G170" s="127"/>
      <c r="H170" s="134"/>
      <c r="I170" s="126" t="e">
        <f>+((Benelux!E170*Benelux!$E$162)+(Benelux!Q170*Benelux!$Q$162))/'H7H9 BENELUX'!$I$162</f>
        <v>#VALUE!</v>
      </c>
      <c r="J170" s="127" t="e">
        <f>+((Benelux!F170*Benelux!$F$162)+(Benelux!R170*Benelux!$R$162))/'H7H9 BENELUX'!$J$162</f>
        <v>#VALUE!</v>
      </c>
      <c r="K170" s="127" t="e">
        <f>+((Benelux!G170*Benelux!$G$162)+(Benelux!S170*Benelux!$S$162))/'H7H9 BENELUX'!$K$162</f>
        <v>#VALUE!</v>
      </c>
      <c r="L170" s="134"/>
      <c r="M170" s="126">
        <f>+((Benelux!I170*Benelux!$I$162)+(Benelux!U170*Benelux!$U$162))/'H7H9 BENELUX'!$M$162</f>
        <v>373.08376963350787</v>
      </c>
      <c r="N170" s="127">
        <f>+((Benelux!J170*Benelux!$J$162)+(Benelux!V170*Benelux!$V$162))/'H7H9 BENELUX'!$N$162</f>
        <v>373.08376963350787</v>
      </c>
      <c r="O170" s="127">
        <f>+((Benelux!K170*Benelux!$K$162)+(Benelux!W170*Benelux!$W$162))/'H7H9 BENELUX'!$O$162</f>
        <v>373.08376963350787</v>
      </c>
      <c r="P170" s="134"/>
      <c r="Q170" s="131"/>
      <c r="R170" s="127"/>
      <c r="S170" s="127"/>
      <c r="T170" s="134"/>
      <c r="U170" s="132" t="e">
        <f t="shared" si="262"/>
        <v>#VALUE!</v>
      </c>
      <c r="V170" s="130" t="e">
        <f t="shared" si="263"/>
        <v>#VALUE!</v>
      </c>
      <c r="W170" s="130" t="e">
        <f t="shared" si="264"/>
        <v>#VALUE!</v>
      </c>
      <c r="X170" s="134"/>
      <c r="Y170" s="131"/>
      <c r="Z170" s="127"/>
      <c r="AA170" s="127"/>
      <c r="AB170" s="134"/>
      <c r="AC170" s="131"/>
      <c r="AD170" s="127"/>
      <c r="AE170" s="127"/>
      <c r="AF170" s="134"/>
      <c r="AG170" s="131"/>
      <c r="AH170" s="127"/>
      <c r="AI170" s="127"/>
      <c r="AJ170" s="134"/>
      <c r="AK170" s="126" t="e">
        <f>+((Benelux!M170*Benelux!$M$162)+(Benelux!Y170*Benelux!$Y$162))/'H7H9 BENELUX'!$AK$162</f>
        <v>#VALUE!</v>
      </c>
      <c r="AL170" s="127" t="e">
        <f>+((Benelux!N170*Benelux!$N$162)+(Benelux!Z170*Benelux!$Z$162))/'H7H9 BENELUX'!$AL$162</f>
        <v>#VALUE!</v>
      </c>
      <c r="AM170" s="127" t="e">
        <f>+((Benelux!O170*Benelux!$O$162)+(Benelux!AA170*Benelux!$AA$162))/'H7H9 BENELUX'!$AM$162</f>
        <v>#VALUE!</v>
      </c>
      <c r="AN170" s="134"/>
      <c r="AO170" s="132" t="e">
        <f t="shared" si="259"/>
        <v>#VALUE!</v>
      </c>
      <c r="AP170" s="130" t="e">
        <f t="shared" si="254"/>
        <v>#VALUE!</v>
      </c>
      <c r="AQ170" s="130" t="e">
        <f t="shared" si="255"/>
        <v>#VALUE!</v>
      </c>
      <c r="AR170" s="134"/>
      <c r="AS170" s="162" t="e">
        <f t="shared" si="265"/>
        <v>#VALUE!</v>
      </c>
      <c r="AT170" s="163" t="e">
        <f t="shared" si="266"/>
        <v>#VALUE!</v>
      </c>
      <c r="AU170" s="163" t="e">
        <f t="shared" si="267"/>
        <v>#VALUE!</v>
      </c>
      <c r="AW170" s="109"/>
      <c r="BA170" s="109"/>
      <c r="BE170" s="109"/>
      <c r="BI170" s="109"/>
      <c r="BM170" s="109"/>
    </row>
    <row r="171" spans="1:65" ht="16.5" hidden="1" x14ac:dyDescent="0.25">
      <c r="A171" s="212"/>
      <c r="B171" s="9"/>
      <c r="C171" s="116" t="s">
        <v>29</v>
      </c>
      <c r="D171" s="7"/>
      <c r="E171" s="131"/>
      <c r="F171" s="127"/>
      <c r="G171" s="127"/>
      <c r="H171" s="134"/>
      <c r="I171" s="128" t="e">
        <f>+((Benelux!E171*Benelux!$E$162)+(Benelux!Q171*Benelux!$Q$162))/'H7H9 BENELUX'!$I$162</f>
        <v>#VALUE!</v>
      </c>
      <c r="J171" s="127" t="e">
        <f>+((Benelux!F171*Benelux!$F$162)+(Benelux!R171*Benelux!$R$162))/'H7H9 BENELUX'!$J$162</f>
        <v>#VALUE!</v>
      </c>
      <c r="K171" s="127" t="e">
        <f>+((Benelux!G171*Benelux!$G$162)+(Benelux!S171*Benelux!$S$162))/'H7H9 BENELUX'!$K$162</f>
        <v>#VALUE!</v>
      </c>
      <c r="L171" s="134"/>
      <c r="M171" s="128">
        <f>+((Benelux!I171*Benelux!$I$162)+(Benelux!U171*Benelux!$U$162))/'H7H9 BENELUX'!$M$162</f>
        <v>373.08376963350787</v>
      </c>
      <c r="N171" s="127">
        <f>+((Benelux!J171*Benelux!$J$162)+(Benelux!V171*Benelux!$V$162))/'H7H9 BENELUX'!$N$162</f>
        <v>373.08376963350787</v>
      </c>
      <c r="O171" s="127">
        <f>+((Benelux!K171*Benelux!$K$162)+(Benelux!W171*Benelux!$W$162))/'H7H9 BENELUX'!$O$162</f>
        <v>373.08376963350787</v>
      </c>
      <c r="P171" s="134"/>
      <c r="Q171" s="131"/>
      <c r="R171" s="127"/>
      <c r="S171" s="127"/>
      <c r="T171" s="134"/>
      <c r="U171" s="129" t="e">
        <f t="shared" si="262"/>
        <v>#VALUE!</v>
      </c>
      <c r="V171" s="130" t="e">
        <f t="shared" si="263"/>
        <v>#VALUE!</v>
      </c>
      <c r="W171" s="130" t="e">
        <f t="shared" si="264"/>
        <v>#VALUE!</v>
      </c>
      <c r="X171" s="134"/>
      <c r="Y171" s="131"/>
      <c r="Z171" s="127"/>
      <c r="AA171" s="127"/>
      <c r="AB171" s="134"/>
      <c r="AC171" s="131"/>
      <c r="AD171" s="127"/>
      <c r="AE171" s="127"/>
      <c r="AF171" s="134"/>
      <c r="AG171" s="131"/>
      <c r="AH171" s="127"/>
      <c r="AI171" s="127"/>
      <c r="AJ171" s="134"/>
      <c r="AK171" s="128" t="e">
        <f>+((Benelux!M171*Benelux!$M$162)+(Benelux!Y171*Benelux!$Y$162))/'H7H9 BENELUX'!$AK$162</f>
        <v>#VALUE!</v>
      </c>
      <c r="AL171" s="127" t="e">
        <f>+((Benelux!N171*Benelux!$N$162)+(Benelux!Z171*Benelux!$Z$162))/'H7H9 BENELUX'!$AL$162</f>
        <v>#VALUE!</v>
      </c>
      <c r="AM171" s="127" t="e">
        <f>+((Benelux!O171*Benelux!$O$162)+(Benelux!AA171*Benelux!$AA$162))/'H7H9 BENELUX'!$AM$162</f>
        <v>#VALUE!</v>
      </c>
      <c r="AN171" s="134"/>
      <c r="AO171" s="129" t="e">
        <f t="shared" si="259"/>
        <v>#VALUE!</v>
      </c>
      <c r="AP171" s="130" t="e">
        <f t="shared" si="254"/>
        <v>#VALUE!</v>
      </c>
      <c r="AQ171" s="130" t="e">
        <f t="shared" si="255"/>
        <v>#VALUE!</v>
      </c>
      <c r="AR171" s="134"/>
      <c r="AS171" s="164" t="e">
        <f t="shared" si="265"/>
        <v>#VALUE!</v>
      </c>
      <c r="AT171" s="163" t="e">
        <f t="shared" si="266"/>
        <v>#VALUE!</v>
      </c>
      <c r="AU171" s="163" t="e">
        <f t="shared" si="267"/>
        <v>#VALUE!</v>
      </c>
      <c r="AW171" s="109"/>
      <c r="BA171" s="109"/>
      <c r="BE171" s="109"/>
      <c r="BI171" s="109"/>
      <c r="BM171" s="109"/>
    </row>
    <row r="172" spans="1:65" ht="16.5" hidden="1" x14ac:dyDescent="0.25">
      <c r="A172" s="212"/>
      <c r="B172" s="9"/>
      <c r="C172" s="116" t="s">
        <v>58</v>
      </c>
      <c r="D172" s="7"/>
      <c r="E172" s="131"/>
      <c r="F172" s="127"/>
      <c r="G172" s="127"/>
      <c r="H172" s="134"/>
      <c r="I172" s="126" t="e">
        <f>+I173+I174+I175</f>
        <v>#VALUE!</v>
      </c>
      <c r="J172" s="127" t="e">
        <f t="shared" ref="J172:K172" si="268">+J173+J174+J175</f>
        <v>#VALUE!</v>
      </c>
      <c r="K172" s="127" t="e">
        <f t="shared" si="268"/>
        <v>#VALUE!</v>
      </c>
      <c r="L172" s="134"/>
      <c r="M172" s="128">
        <f>+M173+M174+M175</f>
        <v>1119.2513089005236</v>
      </c>
      <c r="N172" s="127">
        <f>+N173+N174+N175</f>
        <v>1119.2513089005236</v>
      </c>
      <c r="O172" s="127">
        <f>+O173+O174+O175</f>
        <v>1119.2513089005236</v>
      </c>
      <c r="P172" s="134"/>
      <c r="Q172" s="131"/>
      <c r="R172" s="127"/>
      <c r="S172" s="127"/>
      <c r="T172" s="134"/>
      <c r="U172" s="132" t="e">
        <f>+U173+U174+U175</f>
        <v>#VALUE!</v>
      </c>
      <c r="V172" s="130" t="e">
        <f>+V173+V174+V175</f>
        <v>#VALUE!</v>
      </c>
      <c r="W172" s="130" t="e">
        <f>+W173+W174+W175</f>
        <v>#VALUE!</v>
      </c>
      <c r="X172" s="134"/>
      <c r="Y172" s="131"/>
      <c r="Z172" s="127"/>
      <c r="AA172" s="127"/>
      <c r="AB172" s="134"/>
      <c r="AC172" s="131"/>
      <c r="AD172" s="127"/>
      <c r="AE172" s="127"/>
      <c r="AF172" s="134"/>
      <c r="AG172" s="131"/>
      <c r="AH172" s="127"/>
      <c r="AI172" s="127"/>
      <c r="AJ172" s="134"/>
      <c r="AK172" s="126" t="e">
        <f>+AK173+AK174+AK175</f>
        <v>#VALUE!</v>
      </c>
      <c r="AL172" s="127" t="e">
        <f>+AL173+AL174+AL175</f>
        <v>#VALUE!</v>
      </c>
      <c r="AM172" s="127" t="e">
        <f>+AM173+AM174+AM175</f>
        <v>#VALUE!</v>
      </c>
      <c r="AN172" s="134"/>
      <c r="AO172" s="132" t="e">
        <f t="shared" si="259"/>
        <v>#VALUE!</v>
      </c>
      <c r="AP172" s="130" t="e">
        <f t="shared" si="254"/>
        <v>#VALUE!</v>
      </c>
      <c r="AQ172" s="130" t="e">
        <f t="shared" si="255"/>
        <v>#VALUE!</v>
      </c>
      <c r="AR172" s="134"/>
      <c r="AS172" s="162" t="e">
        <f>+AS173+AS174+AS175</f>
        <v>#VALUE!</v>
      </c>
      <c r="AT172" s="163" t="e">
        <f>+AT173+AT174+AT175</f>
        <v>#VALUE!</v>
      </c>
      <c r="AU172" s="163" t="e">
        <f>+AU173+AU174+AU175</f>
        <v>#VALUE!</v>
      </c>
      <c r="AW172" s="109"/>
      <c r="BA172" s="109"/>
      <c r="BE172" s="109"/>
      <c r="BI172" s="109"/>
      <c r="BM172" s="109"/>
    </row>
    <row r="173" spans="1:65" ht="16.5" hidden="1" x14ac:dyDescent="0.25">
      <c r="A173" s="212"/>
      <c r="B173" s="9"/>
      <c r="C173" s="39" t="s">
        <v>59</v>
      </c>
      <c r="D173" s="8"/>
      <c r="E173" s="97"/>
      <c r="F173" s="42"/>
      <c r="G173" s="42"/>
      <c r="H173" s="135"/>
      <c r="I173" s="73" t="e">
        <f>+((Benelux!E173*Benelux!$E$162)+(Benelux!Q173*Benelux!$Q$162))/'H7H9 BENELUX'!$I$162</f>
        <v>#VALUE!</v>
      </c>
      <c r="J173" s="42" t="e">
        <f>+((Benelux!F173*Benelux!$F$162)+(Benelux!R173*Benelux!$R$162))/'H7H9 BENELUX'!$J$162</f>
        <v>#VALUE!</v>
      </c>
      <c r="K173" s="42" t="e">
        <f>+((Benelux!G173*Benelux!$G$162)+(Benelux!S173*Benelux!$S$162))/'H7H9 BENELUX'!$K$162</f>
        <v>#VALUE!</v>
      </c>
      <c r="L173" s="135"/>
      <c r="M173" s="97">
        <f>+((Benelux!I173*Benelux!$I$162)+(Benelux!U173*Benelux!$U$162))/'H7H9 BENELUX'!$M$162</f>
        <v>373.08376963350787</v>
      </c>
      <c r="N173" s="42">
        <f>+((Benelux!J173*Benelux!$J$162)+(Benelux!V173*Benelux!$V$162))/'H7H9 BENELUX'!$N$162</f>
        <v>373.08376963350787</v>
      </c>
      <c r="O173" s="42">
        <f>+((Benelux!K173*Benelux!$K$162)+(Benelux!W173*Benelux!$W$162))/'H7H9 BENELUX'!$O$162</f>
        <v>373.08376963350787</v>
      </c>
      <c r="P173" s="135"/>
      <c r="Q173" s="97"/>
      <c r="R173" s="42"/>
      <c r="S173" s="42"/>
      <c r="T173" s="135"/>
      <c r="U173" s="84" t="e">
        <f t="shared" ref="U173:U175" si="269">+((I173*$I$162)+(M173*$M$162))/$U$162</f>
        <v>#VALUE!</v>
      </c>
      <c r="V173" s="60" t="e">
        <f t="shared" ref="V173:V175" si="270">+((J173*$J$162)+(N173*$N$162))/$V$162</f>
        <v>#VALUE!</v>
      </c>
      <c r="W173" s="60" t="e">
        <f t="shared" ref="W173:W175" si="271">+((K173*$K$162)+(O173*$O$162))/$W$162</f>
        <v>#VALUE!</v>
      </c>
      <c r="X173" s="135"/>
      <c r="Y173" s="97"/>
      <c r="Z173" s="42"/>
      <c r="AA173" s="42"/>
      <c r="AB173" s="135"/>
      <c r="AC173" s="97"/>
      <c r="AD173" s="42"/>
      <c r="AE173" s="42"/>
      <c r="AF173" s="135"/>
      <c r="AG173" s="97"/>
      <c r="AH173" s="42"/>
      <c r="AI173" s="42"/>
      <c r="AJ173" s="135"/>
      <c r="AK173" s="97" t="e">
        <f>+((Benelux!M173*Benelux!$M$162)+(Benelux!Y173*Benelux!$Y$162))/'H7H9 BENELUX'!$AK$162</f>
        <v>#VALUE!</v>
      </c>
      <c r="AL173" s="42" t="e">
        <f>+((Benelux!N173*Benelux!$N$162)+(Benelux!Z173*Benelux!$Z$162))/'H7H9 BENELUX'!$AL$162</f>
        <v>#VALUE!</v>
      </c>
      <c r="AM173" s="42" t="e">
        <f>+((Benelux!O173*Benelux!$O$162)+(Benelux!AA173*Benelux!$AA$162))/'H7H9 BENELUX'!$AM$162</f>
        <v>#VALUE!</v>
      </c>
      <c r="AN173" s="135"/>
      <c r="AO173" s="99" t="e">
        <f t="shared" si="259"/>
        <v>#VALUE!</v>
      </c>
      <c r="AP173" s="60" t="e">
        <f t="shared" si="254"/>
        <v>#VALUE!</v>
      </c>
      <c r="AQ173" s="60" t="e">
        <f t="shared" si="255"/>
        <v>#VALUE!</v>
      </c>
      <c r="AR173" s="135"/>
      <c r="AS173" s="92" t="e">
        <f t="shared" ref="AS173:AS175" si="272">+((U173*$U$162)+(AO173*$AO$162))/$AS$162</f>
        <v>#VALUE!</v>
      </c>
      <c r="AT173" s="68" t="e">
        <f t="shared" ref="AT173:AT175" si="273">+((V173*$V$162)+(AP173*$AP$162))/$AT$162</f>
        <v>#VALUE!</v>
      </c>
      <c r="AU173" s="68" t="e">
        <f t="shared" ref="AU173:AU175" si="274">+((W173*$W$162)+(AQ173*$AQ$162))/$AU$162</f>
        <v>#VALUE!</v>
      </c>
      <c r="AW173" s="109"/>
      <c r="BA173" s="109"/>
      <c r="BE173" s="109"/>
      <c r="BI173" s="109"/>
      <c r="BM173" s="109"/>
    </row>
    <row r="174" spans="1:65" ht="16.5" hidden="1" x14ac:dyDescent="0.25">
      <c r="A174" s="212"/>
      <c r="B174" s="9"/>
      <c r="C174" s="39" t="s">
        <v>60</v>
      </c>
      <c r="D174" s="8"/>
      <c r="E174" s="97"/>
      <c r="F174" s="42"/>
      <c r="G174" s="42"/>
      <c r="H174" s="135"/>
      <c r="I174" s="74" t="e">
        <f>+((Benelux!E174*Benelux!$E$162)+(Benelux!Q174*Benelux!$Q$162))/'H7H9 BENELUX'!$I$162</f>
        <v>#VALUE!</v>
      </c>
      <c r="J174" s="42" t="e">
        <f>+((Benelux!F174*Benelux!$F$162)+(Benelux!R174*Benelux!$R$162))/'H7H9 BENELUX'!$J$162</f>
        <v>#VALUE!</v>
      </c>
      <c r="K174" s="42" t="e">
        <f>+((Benelux!G174*Benelux!$G$162)+(Benelux!S174*Benelux!$S$162))/'H7H9 BENELUX'!$K$162</f>
        <v>#VALUE!</v>
      </c>
      <c r="L174" s="135"/>
      <c r="M174" s="73">
        <f>+((Benelux!I174*Benelux!$I$162)+(Benelux!U174*Benelux!$U$162))/'H7H9 BENELUX'!$M$162</f>
        <v>373.08376963350787</v>
      </c>
      <c r="N174" s="42">
        <f>+((Benelux!J174*Benelux!$J$162)+(Benelux!V174*Benelux!$V$162))/'H7H9 BENELUX'!$N$162</f>
        <v>373.08376963350787</v>
      </c>
      <c r="O174" s="42">
        <f>+((Benelux!K174*Benelux!$K$162)+(Benelux!W174*Benelux!$W$162))/'H7H9 BENELUX'!$O$162</f>
        <v>373.08376963350787</v>
      </c>
      <c r="P174" s="135"/>
      <c r="Q174" s="97"/>
      <c r="R174" s="42"/>
      <c r="S174" s="42"/>
      <c r="T174" s="135"/>
      <c r="U174" s="85" t="e">
        <f t="shared" si="269"/>
        <v>#VALUE!</v>
      </c>
      <c r="V174" s="60" t="e">
        <f t="shared" si="270"/>
        <v>#VALUE!</v>
      </c>
      <c r="W174" s="60" t="e">
        <f t="shared" si="271"/>
        <v>#VALUE!</v>
      </c>
      <c r="X174" s="135"/>
      <c r="Y174" s="97"/>
      <c r="Z174" s="42"/>
      <c r="AA174" s="42"/>
      <c r="AB174" s="135"/>
      <c r="AC174" s="97"/>
      <c r="AD174" s="42"/>
      <c r="AE174" s="42"/>
      <c r="AF174" s="135"/>
      <c r="AG174" s="97"/>
      <c r="AH174" s="42"/>
      <c r="AI174" s="42"/>
      <c r="AJ174" s="135"/>
      <c r="AK174" s="97" t="e">
        <f>+((Benelux!M174*Benelux!$M$162)+(Benelux!Y174*Benelux!$Y$162))/'H7H9 BENELUX'!$AK$162</f>
        <v>#VALUE!</v>
      </c>
      <c r="AL174" s="42" t="e">
        <f>+((Benelux!N174*Benelux!$N$162)+(Benelux!Z174*Benelux!$Z$162))/'H7H9 BENELUX'!$AL$162</f>
        <v>#VALUE!</v>
      </c>
      <c r="AM174" s="42" t="e">
        <f>+((Benelux!O174*Benelux!$O$162)+(Benelux!AA174*Benelux!$AA$162))/'H7H9 BENELUX'!$AM$162</f>
        <v>#VALUE!</v>
      </c>
      <c r="AN174" s="135"/>
      <c r="AO174" s="99" t="e">
        <f t="shared" si="259"/>
        <v>#VALUE!</v>
      </c>
      <c r="AP174" s="60" t="e">
        <f t="shared" si="254"/>
        <v>#VALUE!</v>
      </c>
      <c r="AQ174" s="60" t="e">
        <f t="shared" si="255"/>
        <v>#VALUE!</v>
      </c>
      <c r="AR174" s="135"/>
      <c r="AS174" s="106" t="e">
        <f t="shared" si="272"/>
        <v>#VALUE!</v>
      </c>
      <c r="AT174" s="68" t="e">
        <f t="shared" si="273"/>
        <v>#VALUE!</v>
      </c>
      <c r="AU174" s="68" t="e">
        <f t="shared" si="274"/>
        <v>#VALUE!</v>
      </c>
      <c r="AW174" s="109"/>
      <c r="BA174" s="109"/>
      <c r="BE174" s="109"/>
      <c r="BI174" s="109"/>
      <c r="BM174" s="109"/>
    </row>
    <row r="175" spans="1:65" ht="16.5" hidden="1" x14ac:dyDescent="0.25">
      <c r="A175" s="212"/>
      <c r="B175" s="9"/>
      <c r="C175" s="39" t="s">
        <v>61</v>
      </c>
      <c r="D175" s="8"/>
      <c r="E175" s="97"/>
      <c r="F175" s="42"/>
      <c r="G175" s="42"/>
      <c r="H175" s="135"/>
      <c r="I175" s="74" t="e">
        <f>+((Benelux!E175*Benelux!$E$162)+(Benelux!Q175*Benelux!$Q$162))/'H7H9 BENELUX'!$I$162</f>
        <v>#VALUE!</v>
      </c>
      <c r="J175" s="42" t="e">
        <f>+((Benelux!F175*Benelux!$F$162)+(Benelux!R175*Benelux!$R$162))/'H7H9 BENELUX'!$J$162</f>
        <v>#VALUE!</v>
      </c>
      <c r="K175" s="42" t="e">
        <f>+((Benelux!G175*Benelux!$G$162)+(Benelux!S175*Benelux!$S$162))/'H7H9 BENELUX'!$K$162</f>
        <v>#VALUE!</v>
      </c>
      <c r="L175" s="135"/>
      <c r="M175" s="73">
        <f>+((Benelux!I175*Benelux!$I$162)+(Benelux!U175*Benelux!$U$162))/'H7H9 BENELUX'!$M$162</f>
        <v>373.08376963350787</v>
      </c>
      <c r="N175" s="42">
        <f>+((Benelux!J175*Benelux!$J$162)+(Benelux!V175*Benelux!$V$162))/'H7H9 BENELUX'!$N$162</f>
        <v>373.08376963350787</v>
      </c>
      <c r="O175" s="42">
        <f>+((Benelux!K175*Benelux!$K$162)+(Benelux!W175*Benelux!$W$162))/'H7H9 BENELUX'!$O$162</f>
        <v>373.08376963350787</v>
      </c>
      <c r="P175" s="135"/>
      <c r="Q175" s="97"/>
      <c r="R175" s="42"/>
      <c r="S175" s="42"/>
      <c r="T175" s="135"/>
      <c r="U175" s="85" t="e">
        <f t="shared" si="269"/>
        <v>#VALUE!</v>
      </c>
      <c r="V175" s="60" t="e">
        <f t="shared" si="270"/>
        <v>#VALUE!</v>
      </c>
      <c r="W175" s="60" t="e">
        <f t="shared" si="271"/>
        <v>#VALUE!</v>
      </c>
      <c r="X175" s="135"/>
      <c r="Y175" s="97"/>
      <c r="Z175" s="42"/>
      <c r="AA175" s="42"/>
      <c r="AB175" s="135"/>
      <c r="AC175" s="97"/>
      <c r="AD175" s="42"/>
      <c r="AE175" s="42"/>
      <c r="AF175" s="135"/>
      <c r="AG175" s="97"/>
      <c r="AH175" s="42"/>
      <c r="AI175" s="42"/>
      <c r="AJ175" s="135"/>
      <c r="AK175" s="74" t="e">
        <f>+((Benelux!M175*Benelux!$M$162)+(Benelux!Y175*Benelux!$Y$162))/'H7H9 BENELUX'!$AK$162</f>
        <v>#VALUE!</v>
      </c>
      <c r="AL175" s="42" t="e">
        <f>+((Benelux!N175*Benelux!$N$162)+(Benelux!Z175*Benelux!$Z$162))/'H7H9 BENELUX'!$AL$162</f>
        <v>#VALUE!</v>
      </c>
      <c r="AM175" s="42" t="e">
        <f>+((Benelux!O175*Benelux!$O$162)+(Benelux!AA175*Benelux!$AA$162))/'H7H9 BENELUX'!$AM$162</f>
        <v>#VALUE!</v>
      </c>
      <c r="AN175" s="135"/>
      <c r="AO175" s="85" t="e">
        <f t="shared" si="259"/>
        <v>#VALUE!</v>
      </c>
      <c r="AP175" s="60" t="e">
        <f t="shared" si="254"/>
        <v>#VALUE!</v>
      </c>
      <c r="AQ175" s="60" t="e">
        <f t="shared" si="255"/>
        <v>#VALUE!</v>
      </c>
      <c r="AR175" s="135"/>
      <c r="AS175" s="93" t="e">
        <f t="shared" si="272"/>
        <v>#VALUE!</v>
      </c>
      <c r="AT175" s="68" t="e">
        <f t="shared" si="273"/>
        <v>#VALUE!</v>
      </c>
      <c r="AU175" s="68" t="e">
        <f t="shared" si="274"/>
        <v>#VALUE!</v>
      </c>
      <c r="AW175" s="109"/>
      <c r="BA175" s="109"/>
      <c r="BE175" s="109"/>
      <c r="BI175" s="109"/>
      <c r="BM175" s="109"/>
    </row>
    <row r="176" spans="1:65" ht="16.5" hidden="1" x14ac:dyDescent="0.25">
      <c r="A176" s="212"/>
      <c r="B176" s="9"/>
      <c r="C176" s="116" t="s">
        <v>34</v>
      </c>
      <c r="D176" s="6"/>
      <c r="E176" s="121"/>
      <c r="F176" s="119"/>
      <c r="G176" s="119"/>
      <c r="H176" s="117"/>
      <c r="I176" s="118" t="e">
        <f>+Benelux!E176+Benelux!Q176</f>
        <v>#VALUE!</v>
      </c>
      <c r="J176" s="119" t="e">
        <f>+Benelux!F176+Benelux!R176</f>
        <v>#VALUE!</v>
      </c>
      <c r="K176" s="119" t="e">
        <f>+Benelux!G176+Benelux!S176</f>
        <v>#VALUE!</v>
      </c>
      <c r="L176" s="117"/>
      <c r="M176" s="121">
        <f>+Benelux!I176+Benelux!U176</f>
        <v>573</v>
      </c>
      <c r="N176" s="119">
        <f>+Benelux!J176+Benelux!V176</f>
        <v>573</v>
      </c>
      <c r="O176" s="119">
        <f>+Benelux!K176+Benelux!W176</f>
        <v>573</v>
      </c>
      <c r="P176" s="117"/>
      <c r="Q176" s="121"/>
      <c r="R176" s="119"/>
      <c r="S176" s="119"/>
      <c r="T176" s="117"/>
      <c r="U176" s="122" t="e">
        <f t="shared" ref="U176:W176" si="275">+I176+M176</f>
        <v>#VALUE!</v>
      </c>
      <c r="V176" s="165" t="e">
        <f t="shared" si="275"/>
        <v>#VALUE!</v>
      </c>
      <c r="W176" s="123" t="e">
        <f t="shared" si="275"/>
        <v>#VALUE!</v>
      </c>
      <c r="X176" s="117"/>
      <c r="Y176" s="121"/>
      <c r="Z176" s="119"/>
      <c r="AA176" s="119"/>
      <c r="AB176" s="117"/>
      <c r="AC176" s="121"/>
      <c r="AD176" s="119"/>
      <c r="AE176" s="119"/>
      <c r="AF176" s="117"/>
      <c r="AG176" s="121"/>
      <c r="AH176" s="119"/>
      <c r="AI176" s="119"/>
      <c r="AJ176" s="117"/>
      <c r="AK176" s="118" t="e">
        <f>+Benelux!M176+Benelux!Y176</f>
        <v>#VALUE!</v>
      </c>
      <c r="AL176" s="119" t="e">
        <f>+Benelux!N176+Benelux!Z176</f>
        <v>#VALUE!</v>
      </c>
      <c r="AM176" s="119" t="e">
        <f>+Benelux!O176+Benelux!AA176</f>
        <v>#VALUE!</v>
      </c>
      <c r="AN176" s="117"/>
      <c r="AO176" s="122" t="e">
        <f t="shared" si="259"/>
        <v>#VALUE!</v>
      </c>
      <c r="AP176" s="123" t="e">
        <f t="shared" si="254"/>
        <v>#VALUE!</v>
      </c>
      <c r="AQ176" s="123" t="e">
        <f t="shared" si="255"/>
        <v>#VALUE!</v>
      </c>
      <c r="AR176" s="117"/>
      <c r="AS176" s="166" t="e">
        <f t="shared" ref="AS176:AU176" si="276">+U176+AO176</f>
        <v>#VALUE!</v>
      </c>
      <c r="AT176" s="167" t="e">
        <f t="shared" si="276"/>
        <v>#VALUE!</v>
      </c>
      <c r="AU176" s="160" t="e">
        <f t="shared" si="276"/>
        <v>#VALUE!</v>
      </c>
      <c r="AW176" s="108"/>
      <c r="BA176" s="108"/>
      <c r="BE176" s="108"/>
      <c r="BI176" s="108"/>
      <c r="BM176" s="108"/>
    </row>
    <row r="177" spans="1:65" hidden="1" x14ac:dyDescent="0.35"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</row>
    <row r="178" spans="1:65" ht="16.5" hidden="1" outlineLevel="1" x14ac:dyDescent="0.25">
      <c r="A178" s="212" t="s">
        <v>42</v>
      </c>
      <c r="B178" s="9"/>
      <c r="C178" s="116" t="s">
        <v>19</v>
      </c>
      <c r="D178" s="6"/>
      <c r="E178" s="121"/>
      <c r="F178" s="119"/>
      <c r="G178" s="119"/>
      <c r="H178" s="117"/>
      <c r="I178" s="118">
        <f>+Benelux!E178+Benelux!Q178</f>
        <v>1.2895544299999993</v>
      </c>
      <c r="J178" s="119">
        <f>+Benelux!F178+Benelux!R178</f>
        <v>1.1090942899999994</v>
      </c>
      <c r="K178" s="119">
        <f>+Benelux!G178+Benelux!S178</f>
        <v>1.24987918860228</v>
      </c>
      <c r="L178" s="117"/>
      <c r="M178" s="118">
        <f>+Benelux!I178+Benelux!U178</f>
        <v>0.40433286000000007</v>
      </c>
      <c r="N178" s="119">
        <f>+Benelux!J178+Benelux!V178</f>
        <v>2.4586641199999995</v>
      </c>
      <c r="O178" s="119">
        <f>+Benelux!K178+Benelux!W178</f>
        <v>0.37413000000000002</v>
      </c>
      <c r="P178" s="117"/>
      <c r="Q178" s="121"/>
      <c r="R178" s="119"/>
      <c r="S178" s="119"/>
      <c r="T178" s="117"/>
      <c r="U178" s="122">
        <f t="shared" ref="U178:U179" si="277">+I178+M178</f>
        <v>1.6938872899999993</v>
      </c>
      <c r="V178" s="123">
        <f t="shared" ref="V178:V179" si="278">+J178+N178</f>
        <v>3.5677584099999988</v>
      </c>
      <c r="W178" s="123">
        <f t="shared" ref="W178:W179" si="279">+K178+O178</f>
        <v>1.6240091886022801</v>
      </c>
      <c r="X178" s="117"/>
      <c r="Y178" s="121"/>
      <c r="Z178" s="119"/>
      <c r="AA178" s="119"/>
      <c r="AB178" s="117"/>
      <c r="AC178" s="121"/>
      <c r="AD178" s="119"/>
      <c r="AE178" s="119"/>
      <c r="AF178" s="117"/>
      <c r="AG178" s="121"/>
      <c r="AH178" s="119"/>
      <c r="AI178" s="119"/>
      <c r="AJ178" s="117"/>
      <c r="AK178" s="118">
        <f>+Benelux!M178+Benelux!Y178</f>
        <v>5.8662681300000079</v>
      </c>
      <c r="AL178" s="119">
        <f>+Benelux!N178+Benelux!Z178</f>
        <v>3.7568863499999985</v>
      </c>
      <c r="AM178" s="119">
        <f>+Benelux!O178+Benelux!AA178</f>
        <v>5.0179404784264108</v>
      </c>
      <c r="AN178" s="117"/>
      <c r="AO178" s="122">
        <f>+AK178</f>
        <v>5.8662681300000079</v>
      </c>
      <c r="AP178" s="123">
        <f t="shared" ref="AP178:AP193" si="280">+AL178</f>
        <v>3.7568863499999985</v>
      </c>
      <c r="AQ178" s="123">
        <f t="shared" ref="AQ178:AQ193" si="281">+AM178</f>
        <v>5.0179404784264108</v>
      </c>
      <c r="AR178" s="117"/>
      <c r="AS178" s="166">
        <f t="shared" ref="AS178:AS179" si="282">+U178+AO178</f>
        <v>7.5601554200000072</v>
      </c>
      <c r="AT178" s="160">
        <f t="shared" ref="AT178:AT179" si="283">+V178+AP178</f>
        <v>7.3246447599999973</v>
      </c>
      <c r="AU178" s="160">
        <f t="shared" ref="AU178:AU179" si="284">+W178+AQ178</f>
        <v>6.6419496670286904</v>
      </c>
      <c r="AW178" s="108"/>
      <c r="BA178" s="108"/>
      <c r="BE178" s="108"/>
      <c r="BI178" s="108"/>
      <c r="BM178" s="108"/>
    </row>
    <row r="179" spans="1:65" ht="16.5" hidden="1" outlineLevel="1" x14ac:dyDescent="0.25">
      <c r="A179" s="212"/>
      <c r="B179" s="9"/>
      <c r="C179" s="116" t="s">
        <v>55</v>
      </c>
      <c r="D179" s="6"/>
      <c r="E179" s="121"/>
      <c r="F179" s="119"/>
      <c r="G179" s="119"/>
      <c r="H179" s="117"/>
      <c r="I179" s="121">
        <f>+Benelux!E179+Benelux!Q179</f>
        <v>1.16279785</v>
      </c>
      <c r="J179" s="119">
        <f>+Benelux!F179+Benelux!R179</f>
        <v>0.96441820000000056</v>
      </c>
      <c r="K179" s="119">
        <f>+Benelux!G179+Benelux!S179</f>
        <v>1.3097605457338584</v>
      </c>
      <c r="L179" s="117"/>
      <c r="M179" s="121">
        <f>+Benelux!I179+Benelux!U179</f>
        <v>-0.41640734000000018</v>
      </c>
      <c r="N179" s="119">
        <f>+Benelux!J179+Benelux!V179</f>
        <v>1.8055314499999993</v>
      </c>
      <c r="O179" s="119">
        <f>+Benelux!K179+Benelux!W179</f>
        <v>0.16665027249864792</v>
      </c>
      <c r="P179" s="117"/>
      <c r="Q179" s="121"/>
      <c r="R179" s="119"/>
      <c r="S179" s="119"/>
      <c r="T179" s="117"/>
      <c r="U179" s="124">
        <f t="shared" si="277"/>
        <v>0.7463905099999999</v>
      </c>
      <c r="V179" s="123">
        <f t="shared" si="278"/>
        <v>2.76994965</v>
      </c>
      <c r="W179" s="123">
        <f t="shared" si="279"/>
        <v>1.4764108182325062</v>
      </c>
      <c r="X179" s="117"/>
      <c r="Y179" s="121"/>
      <c r="Z179" s="119"/>
      <c r="AA179" s="119"/>
      <c r="AB179" s="117"/>
      <c r="AC179" s="121"/>
      <c r="AD179" s="119"/>
      <c r="AE179" s="119"/>
      <c r="AF179" s="117"/>
      <c r="AG179" s="121"/>
      <c r="AH179" s="119"/>
      <c r="AI179" s="119"/>
      <c r="AJ179" s="117"/>
      <c r="AK179" s="118">
        <f>+Benelux!M179+Benelux!Y179</f>
        <v>4.0425233700000076</v>
      </c>
      <c r="AL179" s="119">
        <f>+Benelux!N179+Benelux!Z179</f>
        <v>1.7345666299999993</v>
      </c>
      <c r="AM179" s="119">
        <f>+Benelux!O179+Benelux!AA179</f>
        <v>3.2016311764955327</v>
      </c>
      <c r="AN179" s="117"/>
      <c r="AO179" s="122">
        <f t="shared" ref="AO179:AO193" si="285">+AK179</f>
        <v>4.0425233700000076</v>
      </c>
      <c r="AP179" s="123">
        <f t="shared" si="280"/>
        <v>1.7345666299999993</v>
      </c>
      <c r="AQ179" s="123">
        <f t="shared" si="281"/>
        <v>3.2016311764955327</v>
      </c>
      <c r="AR179" s="117"/>
      <c r="AS179" s="166">
        <f t="shared" si="282"/>
        <v>4.7889138800000079</v>
      </c>
      <c r="AT179" s="160">
        <f t="shared" si="283"/>
        <v>4.5045162799999989</v>
      </c>
      <c r="AU179" s="160">
        <f t="shared" si="284"/>
        <v>4.6780419947280389</v>
      </c>
      <c r="AW179" s="108"/>
      <c r="BA179" s="108"/>
      <c r="BE179" s="108"/>
      <c r="BI179" s="108"/>
      <c r="BM179" s="108"/>
    </row>
    <row r="180" spans="1:65" ht="16.5" hidden="1" outlineLevel="1" x14ac:dyDescent="0.25">
      <c r="A180" s="212"/>
      <c r="B180" s="9"/>
      <c r="C180" s="116" t="s">
        <v>21</v>
      </c>
      <c r="D180" s="6"/>
      <c r="E180" s="131"/>
      <c r="F180" s="127"/>
      <c r="G180" s="127"/>
      <c r="H180" s="117"/>
      <c r="I180" s="126">
        <f>+I181+I186+I187+I188+I189</f>
        <v>-0.67502388312809503</v>
      </c>
      <c r="J180" s="127">
        <f t="shared" ref="J180" si="286">+J181+J186+J187+J188+J189</f>
        <v>0.33940531192795775</v>
      </c>
      <c r="K180" s="127">
        <f t="shared" ref="K180" si="287">+K181+K186+K187+K188+K189</f>
        <v>0.73075508037598202</v>
      </c>
      <c r="L180" s="117"/>
      <c r="M180" s="126">
        <f>+M181+M186+M187+M188+M189</f>
        <v>8.0843915959790763E-2</v>
      </c>
      <c r="N180" s="127">
        <f>+N181+N186+N187+N188+N189</f>
        <v>9.0140839141849657E-2</v>
      </c>
      <c r="O180" s="127">
        <f>+O181+O186+O187+O188+O189</f>
        <v>0.74261305189328031</v>
      </c>
      <c r="P180" s="117"/>
      <c r="Q180" s="131"/>
      <c r="R180" s="127"/>
      <c r="S180" s="127"/>
      <c r="T180" s="117"/>
      <c r="U180" s="132">
        <f>+U181+U186+U187+U188+U189</f>
        <v>-1.0967185528658454</v>
      </c>
      <c r="V180" s="130">
        <f>+V181+V186+V187+V188+V189</f>
        <v>0.17692768531009229</v>
      </c>
      <c r="W180" s="130">
        <f>+W181+W186+W187+W188+W189</f>
        <v>0.73209355213481453</v>
      </c>
      <c r="X180" s="117"/>
      <c r="Y180" s="131"/>
      <c r="Z180" s="127"/>
      <c r="AA180" s="127"/>
      <c r="AB180" s="117"/>
      <c r="AC180" s="131"/>
      <c r="AD180" s="127"/>
      <c r="AE180" s="127"/>
      <c r="AF180" s="117"/>
      <c r="AG180" s="131"/>
      <c r="AH180" s="127"/>
      <c r="AI180" s="127"/>
      <c r="AJ180" s="117"/>
      <c r="AK180" s="126">
        <f>+AK181+AK186+AK187+AK188+AK189</f>
        <v>-4.3703292184059966E-2</v>
      </c>
      <c r="AL180" s="127">
        <f>+AL181+AL186+AL187+AL188+AL189</f>
        <v>4.7755496137961401E-2</v>
      </c>
      <c r="AM180" s="127">
        <f>+AM181+AM186+AM187+AM188+AM189</f>
        <v>0.42102375835334721</v>
      </c>
      <c r="AN180" s="117"/>
      <c r="AO180" s="132">
        <f t="shared" si="285"/>
        <v>-4.3703292184059966E-2</v>
      </c>
      <c r="AP180" s="130">
        <f t="shared" si="280"/>
        <v>4.7755496137961401E-2</v>
      </c>
      <c r="AQ180" s="130">
        <f t="shared" si="281"/>
        <v>0.42102375835334721</v>
      </c>
      <c r="AR180" s="117"/>
      <c r="AS180" s="162">
        <f>+AS181+AS186+AS187+AS188+AS189</f>
        <v>-0.20782413819477563</v>
      </c>
      <c r="AT180" s="163">
        <f>+AT181+AT186+AT187+AT188+AT189</f>
        <v>0.12718699065285702</v>
      </c>
      <c r="AU180" s="163">
        <f>+AU181+AU186+AU187+AU188+AU189</f>
        <v>0.51919876603431458</v>
      </c>
      <c r="AW180" s="109"/>
      <c r="BA180" s="109"/>
      <c r="BE180" s="109"/>
      <c r="BI180" s="109"/>
      <c r="BM180" s="109"/>
    </row>
    <row r="181" spans="1:65" ht="16.5" hidden="1" outlineLevel="1" x14ac:dyDescent="0.25">
      <c r="A181" s="212"/>
      <c r="B181" s="9"/>
      <c r="C181" s="116" t="s">
        <v>56</v>
      </c>
      <c r="D181" s="6"/>
      <c r="E181" s="131"/>
      <c r="F181" s="127"/>
      <c r="G181" s="127"/>
      <c r="H181" s="117"/>
      <c r="I181" s="128">
        <f>+I182+I183+I184+I185</f>
        <v>0.22880363082886673</v>
      </c>
      <c r="J181" s="127">
        <f t="shared" ref="J181" si="288">+J182+J183+J184+J185</f>
        <v>0.25769804012408715</v>
      </c>
      <c r="K181" s="127">
        <f t="shared" ref="K181" si="289">+K182+K183+K184+K185</f>
        <v>0.20998824416182352</v>
      </c>
      <c r="L181" s="117"/>
      <c r="M181" s="126">
        <f>+M182+M183+M184+M185</f>
        <v>-0.13006125204229105</v>
      </c>
      <c r="N181" s="127">
        <f>+N182+N183+N184+N185</f>
        <v>0.12960169151304457</v>
      </c>
      <c r="O181" s="127">
        <f>+O182+O183+O184+O185</f>
        <v>0.28387922204950639</v>
      </c>
      <c r="P181" s="117"/>
      <c r="Q181" s="131"/>
      <c r="R181" s="127"/>
      <c r="S181" s="127"/>
      <c r="T181" s="117"/>
      <c r="U181" s="129">
        <f>+U182+U183+U184+U185</f>
        <v>0.42901246158662976</v>
      </c>
      <c r="V181" s="130">
        <f>+V182+V183+V184+V185</f>
        <v>0.1742012205889735</v>
      </c>
      <c r="W181" s="130">
        <f>+W182+W183+W184+W185</f>
        <v>0.21832870837957807</v>
      </c>
      <c r="X181" s="117"/>
      <c r="Y181" s="131"/>
      <c r="Z181" s="127"/>
      <c r="AA181" s="127"/>
      <c r="AB181" s="117"/>
      <c r="AC181" s="131"/>
      <c r="AD181" s="127"/>
      <c r="AE181" s="127"/>
      <c r="AF181" s="117"/>
      <c r="AG181" s="131"/>
      <c r="AH181" s="127"/>
      <c r="AI181" s="127"/>
      <c r="AJ181" s="117"/>
      <c r="AK181" s="126">
        <f>+AK182+AK183+AK184+AK185</f>
        <v>0.190980820476988</v>
      </c>
      <c r="AL181" s="127">
        <f>+AL182+AL183+AL184+AL185</f>
        <v>0.39657070999918886</v>
      </c>
      <c r="AM181" s="127">
        <f>+AM182+AM183+AM184+AM185</f>
        <v>0.22109039263741662</v>
      </c>
      <c r="AN181" s="117"/>
      <c r="AO181" s="132">
        <f t="shared" si="285"/>
        <v>0.190980820476988</v>
      </c>
      <c r="AP181" s="130">
        <f t="shared" si="280"/>
        <v>0.39657070999918886</v>
      </c>
      <c r="AQ181" s="130">
        <f t="shared" si="281"/>
        <v>0.22109039263741662</v>
      </c>
      <c r="AR181" s="117"/>
      <c r="AS181" s="182">
        <f>+AS182+AS183+AS184+AS185</f>
        <v>0.22807995453031579</v>
      </c>
      <c r="AT181" s="163">
        <f>+AT182+AT183+AT184+AT185</f>
        <v>0.25982965922369811</v>
      </c>
      <c r="AU181" s="163">
        <f>+AU182+AU183+AU184+AU185</f>
        <v>0.2202187928271947</v>
      </c>
      <c r="AW181" s="109"/>
      <c r="BA181" s="109"/>
      <c r="BE181" s="109"/>
      <c r="BI181" s="109"/>
      <c r="BM181" s="109"/>
    </row>
    <row r="182" spans="1:65" ht="16.5" hidden="1" outlineLevel="1" x14ac:dyDescent="0.25">
      <c r="A182" s="212"/>
      <c r="B182" s="9"/>
      <c r="C182" s="38" t="s">
        <v>23</v>
      </c>
      <c r="D182" s="6"/>
      <c r="E182" s="97"/>
      <c r="F182" s="42"/>
      <c r="G182" s="42"/>
      <c r="H182" s="117"/>
      <c r="I182" s="73">
        <f>+((Benelux!E182*Benelux!$E$179)+(Benelux!Q182*Benelux!$Q$179))/'H7H9 BENELUX'!$I$179</f>
        <v>0.20291173568991375</v>
      </c>
      <c r="J182" s="42">
        <f>+((Benelux!F182*Benelux!$F$179)+(Benelux!R182*Benelux!$R$179))/'H7H9 BENELUX'!$J$179</f>
        <v>0.24004195482830987</v>
      </c>
      <c r="K182" s="42">
        <f>+((Benelux!G182*Benelux!$G$179)+(Benelux!S182*Benelux!$S$179))/'H7H9 BENELUX'!$K$179</f>
        <v>0.19272650447384648</v>
      </c>
      <c r="L182" s="117"/>
      <c r="M182" s="74">
        <f>+((Benelux!I182*Benelux!$I$179)+(Benelux!U182*Benelux!$U$179))/'H7H9 BENELUX'!$M$179</f>
        <v>-9.4514952594255394E-2</v>
      </c>
      <c r="N182" s="42">
        <f>+((Benelux!J182*Benelux!$J$179)+(Benelux!V182*Benelux!$V$179))/'H7H9 BENELUX'!$N$179</f>
        <v>0.12197076932667114</v>
      </c>
      <c r="O182" s="42">
        <f>+((Benelux!K182*Benelux!$K$179)+(Benelux!W182*Benelux!$W$179))/'H7H9 BENELUX'!$O$179</f>
        <v>0.25876185047195283</v>
      </c>
      <c r="P182" s="117"/>
      <c r="Q182" s="97"/>
      <c r="R182" s="42"/>
      <c r="S182" s="42"/>
      <c r="T182" s="117"/>
      <c r="U182" s="84">
        <f>+((I182*$I$179)+(M182*$M$179))/$U$179</f>
        <v>0.36884452081257035</v>
      </c>
      <c r="V182" s="60">
        <f>+((J182*$J$179)+(N182*$N$179))/$V$179</f>
        <v>0.16307981988048048</v>
      </c>
      <c r="W182" s="60">
        <f>+((K182*$K$179)+(O182*$O$179))/$W$179</f>
        <v>0.20018026210636058</v>
      </c>
      <c r="X182" s="117"/>
      <c r="Y182" s="97"/>
      <c r="Z182" s="42"/>
      <c r="AA182" s="42"/>
      <c r="AB182" s="117"/>
      <c r="AC182" s="97"/>
      <c r="AD182" s="42"/>
      <c r="AE182" s="42"/>
      <c r="AF182" s="117"/>
      <c r="AG182" s="97"/>
      <c r="AH182" s="42"/>
      <c r="AI182" s="42"/>
      <c r="AJ182" s="117"/>
      <c r="AK182" s="74">
        <f>+((Benelux!M182*Benelux!$M$179)+(Benelux!Y182*Benelux!$Y$179))/'H7H9 BENELUX'!$AK$179</f>
        <v>0.15188542991651247</v>
      </c>
      <c r="AL182" s="42">
        <f>+((Benelux!N182*Benelux!$N$179)+(Benelux!Z182*Benelux!$Z$179))/'H7H9 BENELUX'!$AL$179</f>
        <v>0.33530746524277377</v>
      </c>
      <c r="AM182" s="42">
        <f>+((Benelux!O182*Benelux!$O$179)+(Benelux!AA182*Benelux!$AA$179))/'H7H9 BENELUX'!$AM$179</f>
        <v>0.17452313064017724</v>
      </c>
      <c r="AN182" s="117"/>
      <c r="AO182" s="85">
        <f t="shared" si="285"/>
        <v>0.15188542991651247</v>
      </c>
      <c r="AP182" s="60">
        <f t="shared" si="280"/>
        <v>0.33530746524277377</v>
      </c>
      <c r="AQ182" s="60">
        <f t="shared" si="281"/>
        <v>0.17452313064017724</v>
      </c>
      <c r="AR182" s="117"/>
      <c r="AS182" s="106">
        <f>+((U182*$U$179)+(AO182*$AO$179))/$AS$179</f>
        <v>0.18570023856849949</v>
      </c>
      <c r="AT182" s="68">
        <f>+((V182*$V$179)+(AP182*$AP$179))/$AT$179</f>
        <v>0.22939999897169872</v>
      </c>
      <c r="AU182" s="68">
        <f>+((W182*$W$179)+(AQ182*$AQ$179))/$AU$179</f>
        <v>0.18262063521670233</v>
      </c>
      <c r="AW182" s="109"/>
      <c r="BA182" s="109"/>
      <c r="BE182" s="109"/>
      <c r="BI182" s="109"/>
      <c r="BM182" s="109"/>
    </row>
    <row r="183" spans="1:65" ht="16.5" hidden="1" outlineLevel="1" x14ac:dyDescent="0.25">
      <c r="A183" s="212"/>
      <c r="B183" s="9"/>
      <c r="C183" s="38" t="s">
        <v>24</v>
      </c>
      <c r="D183" s="7"/>
      <c r="E183" s="97"/>
      <c r="F183" s="42"/>
      <c r="G183" s="42"/>
      <c r="H183" s="134"/>
      <c r="I183" s="97">
        <f>+((Benelux!E183*Benelux!$E$179)+(Benelux!Q183*Benelux!$Q$179))/'H7H9 BENELUX'!$I$179</f>
        <v>0</v>
      </c>
      <c r="J183" s="42">
        <f>+((Benelux!F183*Benelux!$F$179)+(Benelux!R183*Benelux!$R$179))/'H7H9 BENELUX'!$J$179</f>
        <v>0</v>
      </c>
      <c r="K183" s="42">
        <f>+((Benelux!G183*Benelux!$G$179)+(Benelux!S183*Benelux!$S$179))/'H7H9 BENELUX'!$K$179</f>
        <v>0</v>
      </c>
      <c r="L183" s="134"/>
      <c r="M183" s="97">
        <f>+((Benelux!I183*Benelux!$I$179)+(Benelux!U183*Benelux!$U$179))/'H7H9 BENELUX'!$M$179</f>
        <v>0</v>
      </c>
      <c r="N183" s="42">
        <f>+((Benelux!J183*Benelux!$J$179)+(Benelux!V183*Benelux!$V$179))/'H7H9 BENELUX'!$N$179</f>
        <v>0</v>
      </c>
      <c r="O183" s="42">
        <f>+((Benelux!K183*Benelux!$K$179)+(Benelux!W183*Benelux!$W$179))/'H7H9 BENELUX'!$O$179</f>
        <v>0</v>
      </c>
      <c r="P183" s="134"/>
      <c r="Q183" s="97"/>
      <c r="R183" s="42"/>
      <c r="S183" s="42"/>
      <c r="T183" s="134"/>
      <c r="U183" s="99">
        <f t="shared" ref="U183:U188" si="290">+((I183*$I$179)+(M183*$M$179))/$U$179</f>
        <v>0</v>
      </c>
      <c r="V183" s="60">
        <f t="shared" ref="V183:V188" si="291">+((J183*$J$179)+(N183*$N$179))/$V$179</f>
        <v>0</v>
      </c>
      <c r="W183" s="60">
        <f t="shared" ref="W183:W188" si="292">+((K183*$K$179)+(O183*$O$179))/$W$179</f>
        <v>0</v>
      </c>
      <c r="X183" s="134"/>
      <c r="Y183" s="97"/>
      <c r="Z183" s="42"/>
      <c r="AA183" s="42"/>
      <c r="AB183" s="134"/>
      <c r="AC183" s="97"/>
      <c r="AD183" s="42"/>
      <c r="AE183" s="42"/>
      <c r="AF183" s="134"/>
      <c r="AG183" s="97"/>
      <c r="AH183" s="42"/>
      <c r="AI183" s="42"/>
      <c r="AJ183" s="134"/>
      <c r="AK183" s="97">
        <f>+((Benelux!M183*Benelux!$M$179)+(Benelux!Y183*Benelux!$Y$179))/'H7H9 BENELUX'!$AK$179</f>
        <v>0</v>
      </c>
      <c r="AL183" s="42">
        <f>+((Benelux!N183*Benelux!$N$179)+(Benelux!Z183*Benelux!$Z$179))/'H7H9 BENELUX'!$AL$179</f>
        <v>0</v>
      </c>
      <c r="AM183" s="42">
        <f>+((Benelux!O183*Benelux!$O$179)+(Benelux!AA183*Benelux!$AA$179))/'H7H9 BENELUX'!$AM$179</f>
        <v>0</v>
      </c>
      <c r="AN183" s="134"/>
      <c r="AO183" s="99">
        <f t="shared" si="285"/>
        <v>0</v>
      </c>
      <c r="AP183" s="60">
        <f t="shared" si="280"/>
        <v>0</v>
      </c>
      <c r="AQ183" s="60">
        <f t="shared" si="281"/>
        <v>0</v>
      </c>
      <c r="AR183" s="134"/>
      <c r="AS183" s="106">
        <f t="shared" ref="AS183:AS188" si="293">+((U183*$U$179)+(AO183*$AO$179))/$AS$179</f>
        <v>0</v>
      </c>
      <c r="AT183" s="68">
        <f t="shared" ref="AT183:AT188" si="294">+((V183*$V$179)+(AP183*$AP$179))/$AT$179</f>
        <v>0</v>
      </c>
      <c r="AU183" s="68">
        <f t="shared" ref="AU183:AU188" si="295">+((W183*$W$179)+(AQ183*$AQ$179))/$AU$179</f>
        <v>0</v>
      </c>
      <c r="AW183" s="109"/>
      <c r="BA183" s="109"/>
      <c r="BE183" s="109"/>
      <c r="BI183" s="109"/>
      <c r="BM183" s="109"/>
    </row>
    <row r="184" spans="1:65" ht="16.5" hidden="1" outlineLevel="1" x14ac:dyDescent="0.25">
      <c r="A184" s="212"/>
      <c r="B184" s="9"/>
      <c r="C184" s="38" t="s">
        <v>25</v>
      </c>
      <c r="D184" s="7"/>
      <c r="E184" s="97"/>
      <c r="F184" s="42"/>
      <c r="G184" s="42"/>
      <c r="H184" s="134"/>
      <c r="I184" s="97">
        <f>+((Benelux!E184*Benelux!$E$179)+(Benelux!Q184*Benelux!$Q$179))/'H7H9 BENELUX'!$I$179</f>
        <v>0</v>
      </c>
      <c r="J184" s="42">
        <f>+((Benelux!F184*Benelux!$F$179)+(Benelux!R184*Benelux!$R$179))/'H7H9 BENELUX'!$J$179</f>
        <v>0</v>
      </c>
      <c r="K184" s="42">
        <f>+((Benelux!G184*Benelux!$G$179)+(Benelux!S184*Benelux!$S$179))/'H7H9 BENELUX'!$K$179</f>
        <v>0</v>
      </c>
      <c r="L184" s="134"/>
      <c r="M184" s="97">
        <f>+((Benelux!I184*Benelux!$I$179)+(Benelux!U184*Benelux!$U$179))/'H7H9 BENELUX'!$M$179</f>
        <v>0</v>
      </c>
      <c r="N184" s="42">
        <f>+((Benelux!J184*Benelux!$J$179)+(Benelux!V184*Benelux!$V$179))/'H7H9 BENELUX'!$N$179</f>
        <v>0</v>
      </c>
      <c r="O184" s="42">
        <f>+((Benelux!K184*Benelux!$K$179)+(Benelux!W184*Benelux!$W$179))/'H7H9 BENELUX'!$O$179</f>
        <v>0</v>
      </c>
      <c r="P184" s="134"/>
      <c r="Q184" s="97"/>
      <c r="R184" s="42"/>
      <c r="S184" s="42"/>
      <c r="T184" s="134"/>
      <c r="U184" s="99">
        <f t="shared" si="290"/>
        <v>0</v>
      </c>
      <c r="V184" s="60">
        <f t="shared" si="291"/>
        <v>0</v>
      </c>
      <c r="W184" s="60">
        <f t="shared" si="292"/>
        <v>0</v>
      </c>
      <c r="X184" s="134"/>
      <c r="Y184" s="97"/>
      <c r="Z184" s="42"/>
      <c r="AA184" s="42"/>
      <c r="AB184" s="134"/>
      <c r="AC184" s="97"/>
      <c r="AD184" s="42"/>
      <c r="AE184" s="42"/>
      <c r="AF184" s="134"/>
      <c r="AG184" s="97"/>
      <c r="AH184" s="42"/>
      <c r="AI184" s="42"/>
      <c r="AJ184" s="134"/>
      <c r="AK184" s="97">
        <f>+((Benelux!M184*Benelux!$M$179)+(Benelux!Y184*Benelux!$Y$179))/'H7H9 BENELUX'!$AK$179</f>
        <v>0</v>
      </c>
      <c r="AL184" s="42">
        <f>+((Benelux!N184*Benelux!$N$179)+(Benelux!Z184*Benelux!$Z$179))/'H7H9 BENELUX'!$AL$179</f>
        <v>0</v>
      </c>
      <c r="AM184" s="42">
        <f>+((Benelux!O184*Benelux!$O$179)+(Benelux!AA184*Benelux!$AA$179))/'H7H9 BENELUX'!$AM$179</f>
        <v>0</v>
      </c>
      <c r="AN184" s="134"/>
      <c r="AO184" s="99">
        <f t="shared" si="285"/>
        <v>0</v>
      </c>
      <c r="AP184" s="60">
        <f t="shared" si="280"/>
        <v>0</v>
      </c>
      <c r="AQ184" s="60">
        <f t="shared" si="281"/>
        <v>0</v>
      </c>
      <c r="AR184" s="134"/>
      <c r="AS184" s="106">
        <f t="shared" si="293"/>
        <v>0</v>
      </c>
      <c r="AT184" s="68">
        <f t="shared" si="294"/>
        <v>0</v>
      </c>
      <c r="AU184" s="68">
        <f t="shared" si="295"/>
        <v>0</v>
      </c>
      <c r="AW184" s="109"/>
      <c r="BA184" s="109"/>
      <c r="BE184" s="109"/>
      <c r="BI184" s="109"/>
      <c r="BM184" s="109"/>
    </row>
    <row r="185" spans="1:65" ht="16.5" hidden="1" outlineLevel="1" x14ac:dyDescent="0.25">
      <c r="A185" s="212"/>
      <c r="B185" s="9"/>
      <c r="C185" s="38" t="s">
        <v>53</v>
      </c>
      <c r="D185" s="7"/>
      <c r="E185" s="97"/>
      <c r="F185" s="42"/>
      <c r="G185" s="42"/>
      <c r="H185" s="134"/>
      <c r="I185" s="73">
        <f>+((Benelux!E185*Benelux!$E$179)+(Benelux!Q185*Benelux!$Q$179))/'H7H9 BENELUX'!$I$179</f>
        <v>2.5891895138953E-2</v>
      </c>
      <c r="J185" s="42">
        <f>+((Benelux!F185*Benelux!$F$179)+(Benelux!R185*Benelux!$R$179))/'H7H9 BENELUX'!$J$179</f>
        <v>1.7656085295777283E-2</v>
      </c>
      <c r="K185" s="42">
        <f>+((Benelux!G185*Benelux!$G$179)+(Benelux!S185*Benelux!$S$179))/'H7H9 BENELUX'!$K$179</f>
        <v>1.7261739687977042E-2</v>
      </c>
      <c r="L185" s="134"/>
      <c r="M185" s="74">
        <f>+((Benelux!I185*Benelux!$I$179)+(Benelux!U185*Benelux!$U$179))/'H7H9 BENELUX'!$M$179</f>
        <v>-3.5546299448035647E-2</v>
      </c>
      <c r="N185" s="42">
        <f>+((Benelux!J185*Benelux!$J$179)+(Benelux!V185*Benelux!$V$179))/'H7H9 BENELUX'!$N$179</f>
        <v>7.6309221863734384E-3</v>
      </c>
      <c r="O185" s="42">
        <f>+((Benelux!K185*Benelux!$K$179)+(Benelux!W185*Benelux!$W$179))/'H7H9 BENELUX'!$O$179</f>
        <v>2.5117371577553577E-2</v>
      </c>
      <c r="P185" s="134"/>
      <c r="Q185" s="97"/>
      <c r="R185" s="42"/>
      <c r="S185" s="42"/>
      <c r="T185" s="134"/>
      <c r="U185" s="84">
        <f t="shared" si="290"/>
        <v>6.0167940774059424E-2</v>
      </c>
      <c r="V185" s="60">
        <f t="shared" si="291"/>
        <v>1.1121400708493023E-2</v>
      </c>
      <c r="W185" s="60">
        <f t="shared" si="292"/>
        <v>1.8148446273217489E-2</v>
      </c>
      <c r="X185" s="134"/>
      <c r="Y185" s="97"/>
      <c r="Z185" s="42"/>
      <c r="AA185" s="42"/>
      <c r="AB185" s="134"/>
      <c r="AC185" s="97"/>
      <c r="AD185" s="42"/>
      <c r="AE185" s="42"/>
      <c r="AF185" s="134"/>
      <c r="AG185" s="97"/>
      <c r="AH185" s="42"/>
      <c r="AI185" s="42"/>
      <c r="AJ185" s="134"/>
      <c r="AK185" s="74">
        <f>+((Benelux!M185*Benelux!$M$179)+(Benelux!Y185*Benelux!$Y$179))/'H7H9 BENELUX'!$AK$179</f>
        <v>3.9095390560475528E-2</v>
      </c>
      <c r="AL185" s="42">
        <f>+((Benelux!N185*Benelux!$N$179)+(Benelux!Z185*Benelux!$Z$179))/'H7H9 BENELUX'!$AL$179</f>
        <v>6.1263244756415078E-2</v>
      </c>
      <c r="AM185" s="42">
        <f>+((Benelux!O185*Benelux!$O$179)+(Benelux!AA185*Benelux!$AA$179))/'H7H9 BENELUX'!$AM$179</f>
        <v>4.656726199723938E-2</v>
      </c>
      <c r="AN185" s="134"/>
      <c r="AO185" s="85">
        <f t="shared" si="285"/>
        <v>3.9095390560475528E-2</v>
      </c>
      <c r="AP185" s="60">
        <f t="shared" si="280"/>
        <v>6.1263244756415078E-2</v>
      </c>
      <c r="AQ185" s="60">
        <f t="shared" si="281"/>
        <v>4.656726199723938E-2</v>
      </c>
      <c r="AR185" s="134"/>
      <c r="AS185" s="92">
        <f t="shared" si="293"/>
        <v>4.2379715961816312E-2</v>
      </c>
      <c r="AT185" s="68">
        <f t="shared" si="294"/>
        <v>3.0429660251999367E-2</v>
      </c>
      <c r="AU185" s="68">
        <f t="shared" si="295"/>
        <v>3.7598157610492372E-2</v>
      </c>
      <c r="AW185" s="109"/>
      <c r="BA185" s="109"/>
      <c r="BE185" s="109"/>
      <c r="BI185" s="109"/>
      <c r="BM185" s="109"/>
    </row>
    <row r="186" spans="1:65" ht="16.5" hidden="1" outlineLevel="1" x14ac:dyDescent="0.25">
      <c r="A186" s="212"/>
      <c r="B186" s="9"/>
      <c r="C186" s="116" t="s">
        <v>27</v>
      </c>
      <c r="D186" s="7"/>
      <c r="E186" s="131"/>
      <c r="F186" s="127"/>
      <c r="G186" s="127"/>
      <c r="H186" s="134"/>
      <c r="I186" s="126">
        <f>+((Benelux!E186*Benelux!$E$179)+(Benelux!Q186*Benelux!$Q$179))/'H7H9 BENELUX'!$I$179</f>
        <v>-7.7884388933123676E-3</v>
      </c>
      <c r="J186" s="127">
        <f>+((Benelux!F186*Benelux!$F$179)+(Benelux!R186*Benelux!$R$179))/'H7H9 BENELUX'!$J$179</f>
        <v>-2.0016990554512542E-2</v>
      </c>
      <c r="K186" s="127">
        <f>+((Benelux!G186*Benelux!$G$179)+(Benelux!S186*Benelux!$S$179))/'H7H9 BENELUX'!$K$179</f>
        <v>-5.5482978269357757E-3</v>
      </c>
      <c r="L186" s="134"/>
      <c r="M186" s="128">
        <f>+((Benelux!I186*Benelux!$I$179)+(Benelux!U186*Benelux!$U$179))/'H7H9 BENELUX'!$M$179</f>
        <v>6.2657877260280746E-3</v>
      </c>
      <c r="N186" s="127">
        <f>+((Benelux!J186*Benelux!$J$179)+(Benelux!V186*Benelux!$V$179))/'H7H9 BENELUX'!$N$179</f>
        <v>-7.6064972448970673E-3</v>
      </c>
      <c r="O186" s="127">
        <f>+((Benelux!K186*Benelux!$K$179)+(Benelux!W186*Benelux!$W$179))/'H7H9 BENELUX'!$O$179</f>
        <v>-1.0856896557384232E-2</v>
      </c>
      <c r="P186" s="134"/>
      <c r="Q186" s="131"/>
      <c r="R186" s="127"/>
      <c r="S186" s="127"/>
      <c r="T186" s="134"/>
      <c r="U186" s="132">
        <f t="shared" si="290"/>
        <v>-1.5629218008144295E-2</v>
      </c>
      <c r="V186" s="130">
        <f t="shared" si="291"/>
        <v>-1.1927480342467597E-2</v>
      </c>
      <c r="W186" s="130">
        <f t="shared" si="292"/>
        <v>-6.1475073518797285E-3</v>
      </c>
      <c r="X186" s="134"/>
      <c r="Y186" s="131"/>
      <c r="Z186" s="127"/>
      <c r="AA186" s="127"/>
      <c r="AB186" s="134"/>
      <c r="AC186" s="131"/>
      <c r="AD186" s="127"/>
      <c r="AE186" s="127"/>
      <c r="AF186" s="134"/>
      <c r="AG186" s="131"/>
      <c r="AH186" s="127"/>
      <c r="AI186" s="127"/>
      <c r="AJ186" s="134"/>
      <c r="AK186" s="126">
        <f>+((Benelux!M186*Benelux!$M$179)+(Benelux!Y186*Benelux!$Y$179))/'H7H9 BENELUX'!$AK$179</f>
        <v>-8.1432701773100549E-3</v>
      </c>
      <c r="AL186" s="127">
        <f>+((Benelux!N186*Benelux!$N$179)+(Benelux!Z186*Benelux!$Z$179))/'H7H9 BENELUX'!$AL$179</f>
        <v>-2.0551767446373631E-2</v>
      </c>
      <c r="AM186" s="127">
        <f>+((Benelux!O186*Benelux!$O$179)+(Benelux!AA186*Benelux!$AA$179))/'H7H9 BENELUX'!$AM$179</f>
        <v>-5.6650870120132733E-3</v>
      </c>
      <c r="AN186" s="134"/>
      <c r="AO186" s="132">
        <f t="shared" si="285"/>
        <v>-8.1432701773100549E-3</v>
      </c>
      <c r="AP186" s="130">
        <f t="shared" si="280"/>
        <v>-2.0551767446373631E-2</v>
      </c>
      <c r="AQ186" s="130">
        <f t="shared" si="281"/>
        <v>-5.6650870120132733E-3</v>
      </c>
      <c r="AR186" s="134"/>
      <c r="AS186" s="162">
        <f t="shared" si="293"/>
        <v>-9.3100149882001902E-3</v>
      </c>
      <c r="AT186" s="163">
        <f t="shared" si="294"/>
        <v>-1.5248458598089477E-2</v>
      </c>
      <c r="AU186" s="163">
        <f t="shared" si="295"/>
        <v>-5.8173410126222706E-3</v>
      </c>
      <c r="AW186" s="109"/>
      <c r="BA186" s="109"/>
      <c r="BE186" s="109"/>
      <c r="BI186" s="109"/>
      <c r="BM186" s="109"/>
    </row>
    <row r="187" spans="1:65" ht="16.5" hidden="1" outlineLevel="1" x14ac:dyDescent="0.25">
      <c r="A187" s="212"/>
      <c r="B187" s="9"/>
      <c r="C187" s="116" t="s">
        <v>57</v>
      </c>
      <c r="D187" s="7"/>
      <c r="E187" s="131"/>
      <c r="F187" s="127"/>
      <c r="G187" s="127"/>
      <c r="H187" s="134"/>
      <c r="I187" s="126">
        <f>+((Benelux!E187*Benelux!$E$179)+(Benelux!Q187*Benelux!$Q$179))/'H7H9 BENELUX'!$I$179</f>
        <v>-1.8194961918789239</v>
      </c>
      <c r="J187" s="127">
        <f>+((Benelux!F187*Benelux!$F$179)+(Benelux!R187*Benelux!$R$179))/'H7H9 BENELUX'!$J$179</f>
        <v>-0.54141995661218312</v>
      </c>
      <c r="K187" s="127">
        <f>+((Benelux!G187*Benelux!$G$179)+(Benelux!S187*Benelux!$S$179))/'H7H9 BENELUX'!$K$179</f>
        <v>-5.0311716324910691E-3</v>
      </c>
      <c r="L187" s="134"/>
      <c r="M187" s="128">
        <f>+((Benelux!I187*Benelux!$I$179)+(Benelux!U187*Benelux!$U$179))/'H7H9 BENELUX'!$M$179</f>
        <v>0.14043880686637264</v>
      </c>
      <c r="N187" s="127">
        <f>+((Benelux!J187*Benelux!$J$179)+(Benelux!V187*Benelux!$V$179))/'H7H9 BENELUX'!$N$179</f>
        <v>-0.24860209995234364</v>
      </c>
      <c r="O187" s="127">
        <f>+((Benelux!K187*Benelux!$K$179)+(Benelux!W187*Benelux!$W$179))/'H7H9 BENELUX'!$O$179</f>
        <v>-4.6194783245500359E-3</v>
      </c>
      <c r="P187" s="134"/>
      <c r="Q187" s="131"/>
      <c r="R187" s="127"/>
      <c r="S187" s="127"/>
      <c r="T187" s="134"/>
      <c r="U187" s="132">
        <f t="shared" si="290"/>
        <v>-2.9129336196946025</v>
      </c>
      <c r="V187" s="130">
        <f t="shared" si="291"/>
        <v>-0.3505530037342014</v>
      </c>
      <c r="W187" s="130">
        <f t="shared" si="292"/>
        <v>-4.9847016384304884E-3</v>
      </c>
      <c r="X187" s="134"/>
      <c r="Y187" s="131"/>
      <c r="Z187" s="127"/>
      <c r="AA187" s="127"/>
      <c r="AB187" s="134"/>
      <c r="AC187" s="131"/>
      <c r="AD187" s="127"/>
      <c r="AE187" s="127"/>
      <c r="AF187" s="134"/>
      <c r="AG187" s="131"/>
      <c r="AH187" s="127"/>
      <c r="AI187" s="127"/>
      <c r="AJ187" s="134"/>
      <c r="AK187" s="126">
        <f>+((Benelux!M187*Benelux!$M$179)+(Benelux!Y187*Benelux!$Y$179))/'H7H9 BENELUX'!$AK$179</f>
        <v>-0.44135746826863664</v>
      </c>
      <c r="AL187" s="127">
        <f>+((Benelux!N187*Benelux!$N$179)+(Benelux!Z187*Benelux!$Z$179))/'H7H9 BENELUX'!$AL$179</f>
        <v>-0.57380559661752439</v>
      </c>
      <c r="AM187" s="127">
        <f>+((Benelux!O187*Benelux!$O$179)+(Benelux!AA187*Benelux!$AA$179))/'H7H9 BENELUX'!$AM$179</f>
        <v>-3.0522468519858115E-3</v>
      </c>
      <c r="AN187" s="134"/>
      <c r="AO187" s="132">
        <f t="shared" si="285"/>
        <v>-0.44135746826863664</v>
      </c>
      <c r="AP187" s="130">
        <f t="shared" si="280"/>
        <v>-0.57380559661752439</v>
      </c>
      <c r="AQ187" s="130">
        <f t="shared" si="281"/>
        <v>-3.0522468519858115E-3</v>
      </c>
      <c r="AR187" s="134"/>
      <c r="AS187" s="162">
        <f t="shared" si="293"/>
        <v>-0.82657236884785945</v>
      </c>
      <c r="AT187" s="163">
        <f t="shared" si="294"/>
        <v>-0.43652150148295138</v>
      </c>
      <c r="AU187" s="163">
        <f t="shared" si="295"/>
        <v>-3.662138160286898E-3</v>
      </c>
      <c r="AW187" s="109"/>
      <c r="BA187" s="109"/>
      <c r="BE187" s="109"/>
      <c r="BI187" s="109"/>
      <c r="BM187" s="109"/>
    </row>
    <row r="188" spans="1:65" ht="16.5" hidden="1" outlineLevel="1" x14ac:dyDescent="0.25">
      <c r="A188" s="212"/>
      <c r="B188" s="9"/>
      <c r="C188" s="116" t="s">
        <v>29</v>
      </c>
      <c r="D188" s="7"/>
      <c r="E188" s="131"/>
      <c r="F188" s="127"/>
      <c r="G188" s="127"/>
      <c r="H188" s="134"/>
      <c r="I188" s="128">
        <f>+((Benelux!E188*Benelux!$E$179)+(Benelux!Q188*Benelux!$Q$179))/'H7H9 BENELUX'!$I$179</f>
        <v>0.34663839462723461</v>
      </c>
      <c r="J188" s="127">
        <f>+((Benelux!F188*Benelux!$F$179)+(Benelux!R188*Benelux!$R$179))/'H7H9 BENELUX'!$J$179</f>
        <v>7.2111279111074386E-2</v>
      </c>
      <c r="K188" s="127">
        <f>+((Benelux!G188*Benelux!$G$179)+(Benelux!S188*Benelux!$S$179))/'H7H9 BENELUX'!$K$179</f>
        <v>0</v>
      </c>
      <c r="L188" s="134"/>
      <c r="M188" s="126">
        <f>+((Benelux!I188*Benelux!$I$179)+(Benelux!U188*Benelux!$U$179))/'H7H9 BENELUX'!$M$179</f>
        <v>-9.5307157650006795E-3</v>
      </c>
      <c r="N188" s="127">
        <f>+((Benelux!J188*Benelux!$J$179)+(Benelux!V188*Benelux!$V$179))/'H7H9 BENELUX'!$N$179</f>
        <v>2.1599529601104436E-2</v>
      </c>
      <c r="O188" s="127">
        <f>+((Benelux!K188*Benelux!$K$179)+(Benelux!W188*Benelux!$W$179))/'H7H9 BENELUX'!$O$179</f>
        <v>0</v>
      </c>
      <c r="P188" s="134"/>
      <c r="Q188" s="131"/>
      <c r="R188" s="127"/>
      <c r="S188" s="127"/>
      <c r="T188" s="134"/>
      <c r="U188" s="129">
        <f t="shared" si="290"/>
        <v>0.54534326809701805</v>
      </c>
      <c r="V188" s="130">
        <f t="shared" si="291"/>
        <v>3.9186293512591466E-2</v>
      </c>
      <c r="W188" s="130">
        <f t="shared" si="292"/>
        <v>0</v>
      </c>
      <c r="X188" s="134"/>
      <c r="Y188" s="131"/>
      <c r="Z188" s="127"/>
      <c r="AA188" s="127"/>
      <c r="AB188" s="134"/>
      <c r="AC188" s="131"/>
      <c r="AD188" s="127"/>
      <c r="AE188" s="127"/>
      <c r="AF188" s="134"/>
      <c r="AG188" s="131"/>
      <c r="AH188" s="127"/>
      <c r="AI188" s="127"/>
      <c r="AJ188" s="134"/>
      <c r="AK188" s="128">
        <f>+((Benelux!M188*Benelux!$M$179)+(Benelux!Y188*Benelux!$Y$179))/'H7H9 BENELUX'!$AK$179</f>
        <v>2.146533787385373E-2</v>
      </c>
      <c r="AL188" s="127">
        <f>+((Benelux!N188*Benelux!$N$179)+(Benelux!Z188*Benelux!$Z$179))/'H7H9 BENELUX'!$AL$179</f>
        <v>5.3339911191534931E-2</v>
      </c>
      <c r="AM188" s="127">
        <f>+((Benelux!O188*Benelux!$O$179)+(Benelux!AA188*Benelux!$AA$179))/'H7H9 BENELUX'!$AM$179</f>
        <v>0</v>
      </c>
      <c r="AN188" s="134"/>
      <c r="AO188" s="129">
        <f t="shared" si="285"/>
        <v>2.146533787385373E-2</v>
      </c>
      <c r="AP188" s="130">
        <f t="shared" si="280"/>
        <v>5.3339911191534931E-2</v>
      </c>
      <c r="AQ188" s="130">
        <f t="shared" si="281"/>
        <v>0</v>
      </c>
      <c r="AR188" s="134"/>
      <c r="AS188" s="164">
        <f t="shared" si="293"/>
        <v>0.10311590109446676</v>
      </c>
      <c r="AT188" s="163">
        <f t="shared" si="294"/>
        <v>4.4636466493134762E-2</v>
      </c>
      <c r="AU188" s="163">
        <f t="shared" si="295"/>
        <v>0</v>
      </c>
      <c r="AW188" s="109"/>
      <c r="BA188" s="109"/>
      <c r="BE188" s="109"/>
      <c r="BI188" s="109"/>
      <c r="BM188" s="109"/>
    </row>
    <row r="189" spans="1:65" ht="16.5" hidden="1" outlineLevel="1" x14ac:dyDescent="0.25">
      <c r="A189" s="212"/>
      <c r="B189" s="9"/>
      <c r="C189" s="116" t="s">
        <v>58</v>
      </c>
      <c r="D189" s="7"/>
      <c r="E189" s="131"/>
      <c r="F189" s="127"/>
      <c r="G189" s="127"/>
      <c r="H189" s="134"/>
      <c r="I189" s="128">
        <f>+I190+I191+I192</f>
        <v>0.57681872218803987</v>
      </c>
      <c r="J189" s="127">
        <f t="shared" ref="J189" si="296">+J190+J191+J192</f>
        <v>0.57103293985949188</v>
      </c>
      <c r="K189" s="127">
        <f t="shared" ref="K189" si="297">+K190+K191+K192</f>
        <v>0.53134630567358532</v>
      </c>
      <c r="L189" s="134"/>
      <c r="M189" s="126">
        <f>+M190+M191+M192</f>
        <v>7.3731289174681774E-2</v>
      </c>
      <c r="N189" s="127">
        <f>+N190+N191+N192</f>
        <v>0.19514821522494136</v>
      </c>
      <c r="O189" s="127">
        <f>+O190+O191+O192</f>
        <v>0.47421020472570824</v>
      </c>
      <c r="P189" s="134"/>
      <c r="Q189" s="131"/>
      <c r="R189" s="127"/>
      <c r="S189" s="127"/>
      <c r="T189" s="134"/>
      <c r="U189" s="129">
        <f>+U190+U191+U192</f>
        <v>0.85748855515325362</v>
      </c>
      <c r="V189" s="130">
        <f>+V190+V191+V192</f>
        <v>0.3260206552851963</v>
      </c>
      <c r="W189" s="130">
        <f>+W190+W191+W192</f>
        <v>0.52489705274554666</v>
      </c>
      <c r="X189" s="134"/>
      <c r="Y189" s="131"/>
      <c r="Z189" s="127"/>
      <c r="AA189" s="127"/>
      <c r="AB189" s="134"/>
      <c r="AC189" s="131"/>
      <c r="AD189" s="127"/>
      <c r="AE189" s="127"/>
      <c r="AF189" s="134"/>
      <c r="AG189" s="131"/>
      <c r="AH189" s="127"/>
      <c r="AI189" s="127"/>
      <c r="AJ189" s="134"/>
      <c r="AK189" s="126">
        <f>+AK190+AK191+AK192</f>
        <v>0.19335128791104497</v>
      </c>
      <c r="AL189" s="127">
        <f>+AL190+AL191+AL192</f>
        <v>0.19220223901113567</v>
      </c>
      <c r="AM189" s="127">
        <f>+AM190+AM191+AM192</f>
        <v>0.20865069957992968</v>
      </c>
      <c r="AN189" s="134"/>
      <c r="AO189" s="132">
        <f t="shared" si="285"/>
        <v>0.19335128791104497</v>
      </c>
      <c r="AP189" s="130">
        <f t="shared" si="280"/>
        <v>0.19220223901113567</v>
      </c>
      <c r="AQ189" s="130">
        <f t="shared" si="281"/>
        <v>0.20865069957992968</v>
      </c>
      <c r="AR189" s="134"/>
      <c r="AS189" s="162">
        <f>+AS190+AS191+AS192</f>
        <v>0.29686239001650139</v>
      </c>
      <c r="AT189" s="163">
        <f>+AT190+AT191+AT192</f>
        <v>0.27449082501706501</v>
      </c>
      <c r="AU189" s="163">
        <f>+AU190+AU191+AU192</f>
        <v>0.30845945238002903</v>
      </c>
      <c r="AW189" s="109"/>
      <c r="BA189" s="109"/>
      <c r="BE189" s="109"/>
      <c r="BI189" s="109"/>
      <c r="BM189" s="109"/>
    </row>
    <row r="190" spans="1:65" ht="16.5" hidden="1" outlineLevel="1" x14ac:dyDescent="0.25">
      <c r="A190" s="212"/>
      <c r="B190" s="9"/>
      <c r="C190" s="39" t="s">
        <v>59</v>
      </c>
      <c r="D190" s="8"/>
      <c r="E190" s="97"/>
      <c r="F190" s="42"/>
      <c r="G190" s="42"/>
      <c r="H190" s="135"/>
      <c r="I190" s="73">
        <f>+((Benelux!E190*Benelux!$E$179)+(Benelux!Q190*Benelux!$Q$179))/'H7H9 BENELUX'!$I$179</f>
        <v>0.25611335624674575</v>
      </c>
      <c r="J190" s="42">
        <f>+((Benelux!F190*Benelux!$F$179)+(Benelux!R190*Benelux!$R$179))/'H7H9 BENELUX'!$J$179</f>
        <v>0.28862906154197382</v>
      </c>
      <c r="K190" s="42">
        <f>+((Benelux!G190*Benelux!$G$179)+(Benelux!S190*Benelux!$S$179))/'H7H9 BENELUX'!$K$179</f>
        <v>0.24880776551285497</v>
      </c>
      <c r="L190" s="135"/>
      <c r="M190" s="74">
        <f>+((Benelux!I190*Benelux!$I$179)+(Benelux!U190*Benelux!$U$179))/'H7H9 BENELUX'!$M$179</f>
        <v>0.1756086239978383</v>
      </c>
      <c r="N190" s="42">
        <f>+((Benelux!J190*Benelux!$J$179)+(Benelux!V190*Benelux!$V$179))/'H7H9 BENELUX'!$N$179</f>
        <v>0.1530141554720636</v>
      </c>
      <c r="O190" s="42">
        <f>+((Benelux!K190*Benelux!$K$179)+(Benelux!W190*Benelux!$W$179))/'H7H9 BENELUX'!$O$179</f>
        <v>0.19635863147164215</v>
      </c>
      <c r="P190" s="135"/>
      <c r="Q190" s="97"/>
      <c r="R190" s="42"/>
      <c r="S190" s="42"/>
      <c r="T190" s="135"/>
      <c r="U190" s="84">
        <f t="shared" ref="U190:U192" si="298">+((I190*$I$179)+(M190*$M$179))/$U$179</f>
        <v>0.30102652296584004</v>
      </c>
      <c r="V190" s="60">
        <f t="shared" ref="V190:V192" si="299">+((J190*$J$179)+(N190*$N$179))/$V$179</f>
        <v>0.20023143380963626</v>
      </c>
      <c r="W190" s="60">
        <f t="shared" ref="W190:W192" si="300">+((K190*$K$179)+(O190*$O$179))/$W$179</f>
        <v>0.24288755524864805</v>
      </c>
      <c r="X190" s="135"/>
      <c r="Y190" s="97"/>
      <c r="Z190" s="42"/>
      <c r="AA190" s="42"/>
      <c r="AB190" s="135"/>
      <c r="AC190" s="97"/>
      <c r="AD190" s="42"/>
      <c r="AE190" s="42"/>
      <c r="AF190" s="135"/>
      <c r="AG190" s="97"/>
      <c r="AH190" s="42"/>
      <c r="AI190" s="42"/>
      <c r="AJ190" s="135"/>
      <c r="AK190" s="73">
        <f>+((Benelux!M190*Benelux!$M$179)+(Benelux!Y190*Benelux!$Y$179))/'H7H9 BENELUX'!$AK$179</f>
        <v>0.1353488551384672</v>
      </c>
      <c r="AL190" s="42">
        <f>+((Benelux!N190*Benelux!$N$179)+(Benelux!Z190*Benelux!$Z$179))/'H7H9 BENELUX'!$AL$179</f>
        <v>0.11964486483866006</v>
      </c>
      <c r="AM190" s="42">
        <f>+((Benelux!O190*Benelux!$O$179)+(Benelux!AA190*Benelux!$AA$179))/'H7H9 BENELUX'!$AM$179</f>
        <v>0.12941879554963664</v>
      </c>
      <c r="AN190" s="135"/>
      <c r="AO190" s="84">
        <f t="shared" si="285"/>
        <v>0.1353488551384672</v>
      </c>
      <c r="AP190" s="60">
        <f t="shared" si="280"/>
        <v>0.11964486483866006</v>
      </c>
      <c r="AQ190" s="60">
        <f t="shared" si="281"/>
        <v>0.12941879554963664</v>
      </c>
      <c r="AR190" s="135"/>
      <c r="AS190" s="93">
        <f t="shared" ref="AS190:AS192" si="301">+((U190*$U$179)+(AO190*$AO$179))/$AS$179</f>
        <v>0.16117104406980859</v>
      </c>
      <c r="AT190" s="68">
        <f t="shared" ref="AT190:AT192" si="302">+((V190*$V$179)+(AP190*$AP$179))/$AT$179</f>
        <v>0.16919973924480974</v>
      </c>
      <c r="AU190" s="68">
        <f t="shared" ref="AU190:AU192" si="303">+((W190*$W$179)+(AQ190*$AQ$179))/$AU$179</f>
        <v>0.1652300397710097</v>
      </c>
      <c r="AW190" s="109"/>
      <c r="BA190" s="109"/>
      <c r="BE190" s="109"/>
      <c r="BI190" s="109"/>
      <c r="BM190" s="109"/>
    </row>
    <row r="191" spans="1:65" ht="16.5" hidden="1" outlineLevel="1" x14ac:dyDescent="0.25">
      <c r="A191" s="212"/>
      <c r="B191" s="9"/>
      <c r="C191" s="39" t="s">
        <v>60</v>
      </c>
      <c r="D191" s="8"/>
      <c r="E191" s="97"/>
      <c r="F191" s="42"/>
      <c r="G191" s="42"/>
      <c r="H191" s="135"/>
      <c r="I191" s="73">
        <f>+((Benelux!E191*Benelux!$E$179)+(Benelux!Q191*Benelux!$Q$179))/'H7H9 BENELUX'!$I$179</f>
        <v>0.21120891305397577</v>
      </c>
      <c r="J191" s="42">
        <f>+((Benelux!F191*Benelux!$F$179)+(Benelux!R191*Benelux!$R$179))/'H7H9 BENELUX'!$J$179</f>
        <v>0.20610457164744495</v>
      </c>
      <c r="K191" s="42">
        <f>+((Benelux!G191*Benelux!$G$179)+(Benelux!S191*Benelux!$S$179))/'H7H9 BENELUX'!$K$179</f>
        <v>0.18608866012338476</v>
      </c>
      <c r="L191" s="135"/>
      <c r="M191" s="74">
        <f>+((Benelux!I191*Benelux!$I$179)+(Benelux!U191*Benelux!$U$179))/'H7H9 BENELUX'!$M$179</f>
        <v>-1.8989530780125049E-2</v>
      </c>
      <c r="N191" s="42">
        <f>+((Benelux!J191*Benelux!$J$179)+(Benelux!V191*Benelux!$V$179))/'H7H9 BENELUX'!$N$179</f>
        <v>1.9116244139640998E-2</v>
      </c>
      <c r="O191" s="42">
        <f>+((Benelux!K191*Benelux!$K$179)+(Benelux!W191*Benelux!$W$179))/'H7H9 BENELUX'!$O$179</f>
        <v>5.5523602024877279E-2</v>
      </c>
      <c r="P191" s="135"/>
      <c r="Q191" s="97"/>
      <c r="R191" s="42"/>
      <c r="S191" s="42"/>
      <c r="T191" s="135"/>
      <c r="U191" s="84">
        <f t="shared" si="298"/>
        <v>0.33963541417481308</v>
      </c>
      <c r="V191" s="60">
        <f t="shared" si="299"/>
        <v>8.4220296206467149E-2</v>
      </c>
      <c r="W191" s="60">
        <f t="shared" si="300"/>
        <v>0.17135109369389556</v>
      </c>
      <c r="X191" s="135"/>
      <c r="Y191" s="97"/>
      <c r="Z191" s="42"/>
      <c r="AA191" s="42"/>
      <c r="AB191" s="135"/>
      <c r="AC191" s="97"/>
      <c r="AD191" s="42"/>
      <c r="AE191" s="42"/>
      <c r="AF191" s="135"/>
      <c r="AG191" s="97"/>
      <c r="AH191" s="42"/>
      <c r="AI191" s="42"/>
      <c r="AJ191" s="135"/>
      <c r="AK191" s="74">
        <f>+((Benelux!M191*Benelux!$M$179)+(Benelux!Y191*Benelux!$Y$179))/'H7H9 BENELUX'!$AK$179</f>
        <v>1.7992771678151085E-2</v>
      </c>
      <c r="AL191" s="42">
        <f>+((Benelux!N191*Benelux!$N$179)+(Benelux!Z191*Benelux!$Z$179))/'H7H9 BENELUX'!$AL$179</f>
        <v>1.8534739135388542E-2</v>
      </c>
      <c r="AM191" s="42">
        <f>+((Benelux!O191*Benelux!$O$179)+(Benelux!AA191*Benelux!$AA$179))/'H7H9 BENELUX'!$AM$179</f>
        <v>2.0220492198565448E-2</v>
      </c>
      <c r="AN191" s="135"/>
      <c r="AO191" s="85">
        <f t="shared" si="285"/>
        <v>1.7992771678151085E-2</v>
      </c>
      <c r="AP191" s="60">
        <f t="shared" si="280"/>
        <v>1.8534739135388542E-2</v>
      </c>
      <c r="AQ191" s="60">
        <f t="shared" si="281"/>
        <v>2.0220492198565448E-2</v>
      </c>
      <c r="AR191" s="135"/>
      <c r="AS191" s="106">
        <f t="shared" si="301"/>
        <v>6.812334867045039E-2</v>
      </c>
      <c r="AT191" s="68">
        <f t="shared" si="302"/>
        <v>5.892657579650263E-2</v>
      </c>
      <c r="AU191" s="68">
        <f t="shared" si="303"/>
        <v>6.791798086265835E-2</v>
      </c>
      <c r="AW191" s="109"/>
      <c r="BA191" s="109"/>
      <c r="BE191" s="109"/>
      <c r="BI191" s="109"/>
      <c r="BM191" s="109"/>
    </row>
    <row r="192" spans="1:65" ht="16.5" hidden="1" outlineLevel="1" x14ac:dyDescent="0.25">
      <c r="A192" s="212"/>
      <c r="B192" s="9"/>
      <c r="C192" s="39" t="s">
        <v>61</v>
      </c>
      <c r="D192" s="8"/>
      <c r="E192" s="97"/>
      <c r="F192" s="42"/>
      <c r="G192" s="42"/>
      <c r="H192" s="135"/>
      <c r="I192" s="73">
        <f>+((Benelux!E192*Benelux!$E$179)+(Benelux!Q192*Benelux!$Q$179))/'H7H9 BENELUX'!$I$179</f>
        <v>0.1094964528873183</v>
      </c>
      <c r="J192" s="42">
        <f>+((Benelux!F192*Benelux!$F$179)+(Benelux!R192*Benelux!$R$179))/'H7H9 BENELUX'!$J$179</f>
        <v>7.6299306670073161E-2</v>
      </c>
      <c r="K192" s="42">
        <f>+((Benelux!G192*Benelux!$G$179)+(Benelux!S192*Benelux!$S$179))/'H7H9 BENELUX'!$K$179</f>
        <v>9.6449880037345573E-2</v>
      </c>
      <c r="L192" s="135"/>
      <c r="M192" s="74">
        <f>+((Benelux!I192*Benelux!$I$179)+(Benelux!U192*Benelux!$U$179))/'H7H9 BENELUX'!$M$179</f>
        <v>-8.2887804043031477E-2</v>
      </c>
      <c r="N192" s="42">
        <f>+((Benelux!J192*Benelux!$J$179)+(Benelux!V192*Benelux!$V$179))/'H7H9 BENELUX'!$N$179</f>
        <v>2.3017815613236767E-2</v>
      </c>
      <c r="O192" s="42">
        <f>+((Benelux!K192*Benelux!$K$179)+(Benelux!W192*Benelux!$W$179))/'H7H9 BENELUX'!$O$179</f>
        <v>0.22232797122918879</v>
      </c>
      <c r="P192" s="135"/>
      <c r="Q192" s="97"/>
      <c r="R192" s="42"/>
      <c r="S192" s="42"/>
      <c r="T192" s="135"/>
      <c r="U192" s="84">
        <f t="shared" si="298"/>
        <v>0.21682661801260045</v>
      </c>
      <c r="V192" s="60">
        <f t="shared" si="299"/>
        <v>4.1568925269092886E-2</v>
      </c>
      <c r="W192" s="60">
        <f t="shared" si="300"/>
        <v>0.11065840380300303</v>
      </c>
      <c r="X192" s="135"/>
      <c r="Y192" s="97"/>
      <c r="Z192" s="42"/>
      <c r="AA192" s="42"/>
      <c r="AB192" s="135"/>
      <c r="AC192" s="97"/>
      <c r="AD192" s="42"/>
      <c r="AE192" s="42"/>
      <c r="AF192" s="135"/>
      <c r="AG192" s="97"/>
      <c r="AH192" s="42"/>
      <c r="AI192" s="42"/>
      <c r="AJ192" s="135"/>
      <c r="AK192" s="74">
        <f>+((Benelux!M192*Benelux!$M$179)+(Benelux!Y192*Benelux!$Y$179))/'H7H9 BENELUX'!$AK$179</f>
        <v>4.0009661094426698E-2</v>
      </c>
      <c r="AL192" s="42">
        <f>+((Benelux!N192*Benelux!$N$179)+(Benelux!Z192*Benelux!$Z$179))/'H7H9 BENELUX'!$AL$179</f>
        <v>5.4022635037087069E-2</v>
      </c>
      <c r="AM192" s="42">
        <f>+((Benelux!O192*Benelux!$O$179)+(Benelux!AA192*Benelux!$AA$179))/'H7H9 BENELUX'!$AM$179</f>
        <v>5.9011411831727582E-2</v>
      </c>
      <c r="AN192" s="135"/>
      <c r="AO192" s="85">
        <f t="shared" si="285"/>
        <v>4.0009661094426698E-2</v>
      </c>
      <c r="AP192" s="60">
        <f t="shared" si="280"/>
        <v>5.4022635037087069E-2</v>
      </c>
      <c r="AQ192" s="60">
        <f t="shared" si="281"/>
        <v>5.9011411831727582E-2</v>
      </c>
      <c r="AR192" s="135"/>
      <c r="AS192" s="93">
        <f t="shared" si="301"/>
        <v>6.7567997276242409E-2</v>
      </c>
      <c r="AT192" s="68">
        <f t="shared" si="302"/>
        <v>4.6364509975752616E-2</v>
      </c>
      <c r="AU192" s="68">
        <f t="shared" si="303"/>
        <v>7.5311431746360999E-2</v>
      </c>
      <c r="AW192" s="109"/>
      <c r="BA192" s="109"/>
      <c r="BE192" s="109"/>
      <c r="BI192" s="109"/>
      <c r="BM192" s="109"/>
    </row>
    <row r="193" spans="1:65" ht="16.5" hidden="1" outlineLevel="1" x14ac:dyDescent="0.25">
      <c r="A193" s="212"/>
      <c r="B193" s="9"/>
      <c r="C193" s="116" t="s">
        <v>34</v>
      </c>
      <c r="D193" s="6"/>
      <c r="E193" s="121"/>
      <c r="F193" s="119"/>
      <c r="G193" s="119"/>
      <c r="H193" s="117"/>
      <c r="I193" s="118">
        <f>+Benelux!E193+Benelux!Q193</f>
        <v>1.9477141700000002</v>
      </c>
      <c r="J193" s="119">
        <f>+Benelux!F193+Benelux!R193</f>
        <v>0.63708954000000084</v>
      </c>
      <c r="K193" s="119">
        <f>+Benelux!G193+Benelux!S193</f>
        <v>0.3526463728628223</v>
      </c>
      <c r="L193" s="117"/>
      <c r="M193" s="121">
        <f>+Benelux!I193+Benelux!U193</f>
        <v>-0.3827433400000001</v>
      </c>
      <c r="N193" s="119">
        <f>+Benelux!J193+Benelux!V193</f>
        <v>1.6427793299999986</v>
      </c>
      <c r="O193" s="119">
        <f>+Benelux!K193+Benelux!W193</f>
        <v>4.2893605039580181E-2</v>
      </c>
      <c r="P193" s="117"/>
      <c r="Q193" s="121"/>
      <c r="R193" s="119"/>
      <c r="S193" s="119"/>
      <c r="T193" s="117"/>
      <c r="U193" s="122">
        <f t="shared" ref="U193:W193" si="304">+I193+M193</f>
        <v>1.56497083</v>
      </c>
      <c r="V193" s="165">
        <f t="shared" si="304"/>
        <v>2.2798688699999996</v>
      </c>
      <c r="W193" s="123">
        <f t="shared" si="304"/>
        <v>0.39553997790240247</v>
      </c>
      <c r="X193" s="117"/>
      <c r="Y193" s="121"/>
      <c r="Z193" s="119"/>
      <c r="AA193" s="119"/>
      <c r="AB193" s="117"/>
      <c r="AC193" s="121"/>
      <c r="AD193" s="119"/>
      <c r="AE193" s="119"/>
      <c r="AF193" s="117"/>
      <c r="AG193" s="121"/>
      <c r="AH193" s="119"/>
      <c r="AI193" s="119"/>
      <c r="AJ193" s="117"/>
      <c r="AK193" s="118">
        <f>+Benelux!M193+Benelux!Y193</f>
        <v>4.2191949500000074</v>
      </c>
      <c r="AL193" s="119">
        <f>+Benelux!N193+Benelux!Z193</f>
        <v>1.6517317499999977</v>
      </c>
      <c r="AM193" s="119">
        <f>+Benelux!O193+Benelux!AA193</f>
        <v>1.8536683857061353</v>
      </c>
      <c r="AN193" s="117"/>
      <c r="AO193" s="122">
        <f t="shared" si="285"/>
        <v>4.2191949500000074</v>
      </c>
      <c r="AP193" s="165">
        <f t="shared" si="280"/>
        <v>1.6517317499999977</v>
      </c>
      <c r="AQ193" s="123">
        <f t="shared" si="281"/>
        <v>1.8536683857061353</v>
      </c>
      <c r="AR193" s="117"/>
      <c r="AS193" s="166">
        <f t="shared" ref="AS193:AU193" si="305">+U193+AO193</f>
        <v>5.7841657800000075</v>
      </c>
      <c r="AT193" s="167">
        <f t="shared" si="305"/>
        <v>3.9316006199999975</v>
      </c>
      <c r="AU193" s="160">
        <f t="shared" si="305"/>
        <v>2.2492083636085378</v>
      </c>
      <c r="AW193" s="108"/>
      <c r="BA193" s="108"/>
      <c r="BE193" s="108"/>
      <c r="BI193" s="108"/>
      <c r="BM193" s="108"/>
    </row>
    <row r="194" spans="1:65" hidden="1" outlineLevel="1" x14ac:dyDescent="0.35"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</row>
    <row r="195" spans="1:65" ht="16.5" hidden="1" outlineLevel="1" x14ac:dyDescent="0.25">
      <c r="A195" s="212" t="s">
        <v>43</v>
      </c>
      <c r="B195" s="9"/>
      <c r="C195" s="116" t="s">
        <v>19</v>
      </c>
      <c r="D195" s="6"/>
      <c r="E195" s="121"/>
      <c r="F195" s="119"/>
      <c r="G195" s="119"/>
      <c r="H195" s="117"/>
      <c r="I195" s="118">
        <f>+Benelux!E195+Benelux!Q195</f>
        <v>1.3316972599999997</v>
      </c>
      <c r="J195" s="119">
        <f>+Benelux!F195+Benelux!R195</f>
        <v>1.1810509500000002</v>
      </c>
      <c r="K195" s="119">
        <f>+Benelux!G195+Benelux!S195</f>
        <v>0.23235</v>
      </c>
      <c r="L195" s="117"/>
      <c r="M195" s="118">
        <f>+Benelux!I195+Benelux!U195</f>
        <v>0.38157938000000002</v>
      </c>
      <c r="N195" s="119">
        <f>+Benelux!J195+Benelux!V195</f>
        <v>0.36467952999999997</v>
      </c>
      <c r="O195" s="119">
        <f>+Benelux!K195+Benelux!W195</f>
        <v>0.31595999999999996</v>
      </c>
      <c r="P195" s="117"/>
      <c r="Q195" s="121"/>
      <c r="R195" s="119"/>
      <c r="S195" s="119"/>
      <c r="T195" s="117"/>
      <c r="U195" s="122">
        <f t="shared" ref="U195:U196" si="306">+I195+M195</f>
        <v>1.7132766399999997</v>
      </c>
      <c r="V195" s="123">
        <f t="shared" ref="V195:V196" si="307">+J195+N195</f>
        <v>1.54573048</v>
      </c>
      <c r="W195" s="123">
        <f t="shared" ref="W195:W196" si="308">+K195+O195</f>
        <v>0.54830999999999996</v>
      </c>
      <c r="X195" s="117"/>
      <c r="Y195" s="121"/>
      <c r="Z195" s="119"/>
      <c r="AA195" s="119"/>
      <c r="AB195" s="117"/>
      <c r="AC195" s="121"/>
      <c r="AD195" s="119"/>
      <c r="AE195" s="119"/>
      <c r="AF195" s="117"/>
      <c r="AG195" s="121"/>
      <c r="AH195" s="119"/>
      <c r="AI195" s="119"/>
      <c r="AJ195" s="117"/>
      <c r="AK195" s="118">
        <f>+Benelux!M195+Benelux!Y195</f>
        <v>1.8923619999999999</v>
      </c>
      <c r="AL195" s="119">
        <f>+Benelux!N195+Benelux!Z195</f>
        <v>1.70135163</v>
      </c>
      <c r="AM195" s="119">
        <f>+Benelux!O195+Benelux!AA195</f>
        <v>1.6033299999999999</v>
      </c>
      <c r="AN195" s="117"/>
      <c r="AO195" s="122">
        <f>+AK195</f>
        <v>1.8923619999999999</v>
      </c>
      <c r="AP195" s="123">
        <f t="shared" ref="AP195:AP210" si="309">+AL195</f>
        <v>1.70135163</v>
      </c>
      <c r="AQ195" s="123">
        <f t="shared" ref="AQ195:AQ210" si="310">+AM195</f>
        <v>1.6033299999999999</v>
      </c>
      <c r="AR195" s="117"/>
      <c r="AS195" s="166">
        <f t="shared" ref="AS195:AS196" si="311">+U195+AO195</f>
        <v>3.6056386399999996</v>
      </c>
      <c r="AT195" s="160">
        <f t="shared" ref="AT195:AT196" si="312">+V195+AP195</f>
        <v>3.24708211</v>
      </c>
      <c r="AU195" s="160">
        <f t="shared" ref="AU195:AU196" si="313">+W195+AQ195</f>
        <v>2.15164</v>
      </c>
      <c r="AW195" s="108"/>
      <c r="BA195" s="108"/>
      <c r="BE195" s="108"/>
      <c r="BI195" s="108"/>
      <c r="BM195" s="108"/>
    </row>
    <row r="196" spans="1:65" ht="16.5" hidden="1" outlineLevel="1" x14ac:dyDescent="0.25">
      <c r="A196" s="212"/>
      <c r="B196" s="9"/>
      <c r="C196" s="116" t="s">
        <v>55</v>
      </c>
      <c r="D196" s="6"/>
      <c r="E196" s="121"/>
      <c r="F196" s="119"/>
      <c r="G196" s="119"/>
      <c r="H196" s="117"/>
      <c r="I196" s="118">
        <f>+Benelux!E196+Benelux!Q196</f>
        <v>1.2070919399999991</v>
      </c>
      <c r="J196" s="119">
        <f>+Benelux!F196+Benelux!R196</f>
        <v>1.0786223299999995</v>
      </c>
      <c r="K196" s="119">
        <f>+Benelux!G196+Benelux!S196</f>
        <v>0.22189628565338904</v>
      </c>
      <c r="L196" s="117"/>
      <c r="M196" s="118">
        <f>+Benelux!I196+Benelux!U196</f>
        <v>0.20755725000000003</v>
      </c>
      <c r="N196" s="119">
        <f>+Benelux!J196+Benelux!V196</f>
        <v>0.20802046999999999</v>
      </c>
      <c r="O196" s="119">
        <f>+Benelux!K196+Benelux!W196</f>
        <v>0.18809983677189798</v>
      </c>
      <c r="P196" s="117"/>
      <c r="Q196" s="121"/>
      <c r="R196" s="119"/>
      <c r="S196" s="119"/>
      <c r="T196" s="117"/>
      <c r="U196" s="122">
        <f t="shared" si="306"/>
        <v>1.4146491899999991</v>
      </c>
      <c r="V196" s="123">
        <f t="shared" si="307"/>
        <v>1.2866427999999994</v>
      </c>
      <c r="W196" s="123">
        <f t="shared" si="308"/>
        <v>0.40999612242528705</v>
      </c>
      <c r="X196" s="117"/>
      <c r="Y196" s="121"/>
      <c r="Z196" s="119"/>
      <c r="AA196" s="119"/>
      <c r="AB196" s="117"/>
      <c r="AC196" s="121"/>
      <c r="AD196" s="119"/>
      <c r="AE196" s="119"/>
      <c r="AF196" s="117"/>
      <c r="AG196" s="121"/>
      <c r="AH196" s="119"/>
      <c r="AI196" s="119"/>
      <c r="AJ196" s="117"/>
      <c r="AK196" s="120">
        <f>+Benelux!M196+Benelux!Y196</f>
        <v>0.86120008999999975</v>
      </c>
      <c r="AL196" s="119">
        <f>+Benelux!N196+Benelux!Z196</f>
        <v>0.77956283999999965</v>
      </c>
      <c r="AM196" s="119">
        <f>+Benelux!O196+Benelux!AA196</f>
        <v>0.8665907897237648</v>
      </c>
      <c r="AN196" s="117"/>
      <c r="AO196" s="125">
        <f t="shared" ref="AO196:AO210" si="314">+AK196</f>
        <v>0.86120008999999975</v>
      </c>
      <c r="AP196" s="123">
        <f t="shared" si="309"/>
        <v>0.77956283999999965</v>
      </c>
      <c r="AQ196" s="123">
        <f t="shared" si="310"/>
        <v>0.8665907897237648</v>
      </c>
      <c r="AR196" s="117"/>
      <c r="AS196" s="166">
        <f t="shared" si="311"/>
        <v>2.2758492799999988</v>
      </c>
      <c r="AT196" s="160">
        <f t="shared" si="312"/>
        <v>2.0662056399999988</v>
      </c>
      <c r="AU196" s="160">
        <f t="shared" si="313"/>
        <v>1.2765869121490518</v>
      </c>
      <c r="AW196" s="108"/>
      <c r="BA196" s="108"/>
      <c r="BE196" s="108"/>
      <c r="BI196" s="108"/>
      <c r="BM196" s="108"/>
    </row>
    <row r="197" spans="1:65" ht="16.5" hidden="1" outlineLevel="1" x14ac:dyDescent="0.25">
      <c r="A197" s="212"/>
      <c r="B197" s="9"/>
      <c r="C197" s="116" t="s">
        <v>21</v>
      </c>
      <c r="D197" s="6"/>
      <c r="E197" s="131"/>
      <c r="F197" s="127"/>
      <c r="G197" s="127"/>
      <c r="H197" s="117"/>
      <c r="I197" s="126">
        <f>+I198+I203+I204+I205+I206</f>
        <v>0.48925955880378158</v>
      </c>
      <c r="J197" s="127">
        <f t="shared" ref="J197" si="315">+J198+J203+J204+J205+J206</f>
        <v>0.49751508482120882</v>
      </c>
      <c r="K197" s="127" t="e">
        <f t="shared" ref="K197" si="316">+K198+K203+K204+K205+K206</f>
        <v>#DIV/0!</v>
      </c>
      <c r="L197" s="117"/>
      <c r="M197" s="126">
        <f>+M198+M203+M204+M205+M206</f>
        <v>0.72930687798185789</v>
      </c>
      <c r="N197" s="127">
        <f>+N198+N203+N204+N205+N206</f>
        <v>0.52733050742554344</v>
      </c>
      <c r="O197" s="127">
        <f>+O198+O203+O204+O205+O206</f>
        <v>0.86162394146728793</v>
      </c>
      <c r="P197" s="117"/>
      <c r="Q197" s="131"/>
      <c r="R197" s="127"/>
      <c r="S197" s="127"/>
      <c r="T197" s="117"/>
      <c r="U197" s="132">
        <f>+U198+U203+U204+U205+U206</f>
        <v>0.5244792880417235</v>
      </c>
      <c r="V197" s="130">
        <f>+V198+V203+V204+V205+V206</f>
        <v>0.50233555109467831</v>
      </c>
      <c r="W197" s="130" t="e">
        <f>+W198+W203+W204+W205+W206</f>
        <v>#DIV/0!</v>
      </c>
      <c r="X197" s="117"/>
      <c r="Y197" s="131"/>
      <c r="Z197" s="127"/>
      <c r="AA197" s="127"/>
      <c r="AB197" s="117"/>
      <c r="AC197" s="131"/>
      <c r="AD197" s="127"/>
      <c r="AE197" s="127"/>
      <c r="AF197" s="117"/>
      <c r="AG197" s="131"/>
      <c r="AH197" s="127"/>
      <c r="AI197" s="127"/>
      <c r="AJ197" s="117"/>
      <c r="AK197" s="126">
        <f>+AK198+AK203+AK204+AK205+AK206</f>
        <v>0.33306148400425761</v>
      </c>
      <c r="AL197" s="127">
        <f>+AL198+AL203+AL204+AL205+AL206</f>
        <v>0.1740580400163764</v>
      </c>
      <c r="AM197" s="127">
        <f>+AM198+AM203+AM204+AM205+AM206</f>
        <v>0.39592926841002457</v>
      </c>
      <c r="AN197" s="117"/>
      <c r="AO197" s="132">
        <f t="shared" si="314"/>
        <v>0.33306148400425761</v>
      </c>
      <c r="AP197" s="130">
        <f t="shared" si="309"/>
        <v>0.1740580400163764</v>
      </c>
      <c r="AQ197" s="130">
        <f t="shared" si="310"/>
        <v>0.39592926841002457</v>
      </c>
      <c r="AR197" s="117"/>
      <c r="AS197" s="162">
        <f>+AS198+AS203+AS204+AS205+AS206</f>
        <v>0.45204521628075517</v>
      </c>
      <c r="AT197" s="163">
        <f>+AT198+AT203+AT204+AT205+AT206</f>
        <v>0.37847907529668728</v>
      </c>
      <c r="AU197" s="163" t="e">
        <f>+AU198+AU203+AU204+AU205+AU206</f>
        <v>#DIV/0!</v>
      </c>
      <c r="AW197" s="109"/>
      <c r="BA197" s="109"/>
      <c r="BE197" s="109"/>
      <c r="BI197" s="109"/>
      <c r="BM197" s="109"/>
    </row>
    <row r="198" spans="1:65" ht="16.5" hidden="1" outlineLevel="1" x14ac:dyDescent="0.25">
      <c r="A198" s="212"/>
      <c r="B198" s="9"/>
      <c r="C198" s="116" t="s">
        <v>56</v>
      </c>
      <c r="D198" s="6"/>
      <c r="E198" s="131"/>
      <c r="F198" s="127"/>
      <c r="G198" s="127"/>
      <c r="H198" s="117"/>
      <c r="I198" s="128">
        <f>+I199+I200+I201+I202</f>
        <v>0.52453424550245986</v>
      </c>
      <c r="J198" s="127">
        <f t="shared" ref="J198" si="317">+J199+J200+J201+J202</f>
        <v>0.54386369879807717</v>
      </c>
      <c r="K198" s="127" t="e">
        <f t="shared" ref="K198" si="318">+K199+K200+K201+K202</f>
        <v>#DIV/0!</v>
      </c>
      <c r="L198" s="117"/>
      <c r="M198" s="126">
        <f>+M199+M200+M201+M202</f>
        <v>0.31588474987021647</v>
      </c>
      <c r="N198" s="127">
        <f>+N199+N200+N201+N202</f>
        <v>0.55587063138545934</v>
      </c>
      <c r="O198" s="127">
        <f>+O199+O200+O201+O202</f>
        <v>0.36985942942499977</v>
      </c>
      <c r="P198" s="117"/>
      <c r="Q198" s="131"/>
      <c r="R198" s="127"/>
      <c r="S198" s="127"/>
      <c r="T198" s="117"/>
      <c r="U198" s="129">
        <f>+U199+U200+U201+U202</f>
        <v>0.49392120317829508</v>
      </c>
      <c r="V198" s="130">
        <f>+V199+V200+V201+V202</f>
        <v>0.5458049429103401</v>
      </c>
      <c r="W198" s="130" t="e">
        <f>+W199+W200+W201+W202</f>
        <v>#DIV/0!</v>
      </c>
      <c r="X198" s="117"/>
      <c r="Y198" s="131"/>
      <c r="Z198" s="127"/>
      <c r="AA198" s="127"/>
      <c r="AB198" s="117"/>
      <c r="AC198" s="131"/>
      <c r="AD198" s="127"/>
      <c r="AE198" s="127"/>
      <c r="AF198" s="117"/>
      <c r="AG198" s="131"/>
      <c r="AH198" s="127"/>
      <c r="AI198" s="127"/>
      <c r="AJ198" s="117"/>
      <c r="AK198" s="126">
        <f>+AK199+AK200+AK201+AK202</f>
        <v>4.5452317590909702E-2</v>
      </c>
      <c r="AL198" s="127">
        <f>+AL199+AL200+AL201+AL202</f>
        <v>8.3787818824201582E-2</v>
      </c>
      <c r="AM198" s="127">
        <f>+AM199+AM200+AM201+AM202</f>
        <v>9.1185593524651692E-2</v>
      </c>
      <c r="AN198" s="117"/>
      <c r="AO198" s="132">
        <f t="shared" si="314"/>
        <v>4.5452317590909702E-2</v>
      </c>
      <c r="AP198" s="130">
        <f t="shared" si="309"/>
        <v>8.3787818824201582E-2</v>
      </c>
      <c r="AQ198" s="130">
        <f t="shared" si="310"/>
        <v>9.1185593524651692E-2</v>
      </c>
      <c r="AR198" s="117"/>
      <c r="AS198" s="164">
        <f>+AS199+AS200+AS201+AS202</f>
        <v>0.32421688750847355</v>
      </c>
      <c r="AT198" s="163">
        <f>+AT199+AT200+AT201+AT202</f>
        <v>0.37148958222764322</v>
      </c>
      <c r="AU198" s="163" t="e">
        <f>+AU199+AU200+AU201+AU202</f>
        <v>#DIV/0!</v>
      </c>
      <c r="AW198" s="109"/>
      <c r="BA198" s="109"/>
      <c r="BE198" s="109"/>
      <c r="BI198" s="109"/>
      <c r="BM198" s="109"/>
    </row>
    <row r="199" spans="1:65" ht="16.5" hidden="1" outlineLevel="1" x14ac:dyDescent="0.25">
      <c r="A199" s="212"/>
      <c r="B199" s="9"/>
      <c r="C199" s="38" t="s">
        <v>23</v>
      </c>
      <c r="D199" s="6"/>
      <c r="E199" s="97"/>
      <c r="F199" s="42"/>
      <c r="G199" s="42"/>
      <c r="H199" s="117"/>
      <c r="I199" s="73">
        <f>+((Benelux!E199*Benelux!$E$196)+(Benelux!Q199*Benelux!$Q$196))/'H7H9 BENELUX'!$I$196</f>
        <v>0.52453424550245986</v>
      </c>
      <c r="J199" s="42">
        <f>+((Benelux!F199*Benelux!$F$196)+(Benelux!R199*Benelux!$R$196))/'H7H9 BENELUX'!$J$196</f>
        <v>0.54386369879807717</v>
      </c>
      <c r="K199" s="42" t="e">
        <f>+((Benelux!G199*Benelux!$G$196)+(Benelux!S199*Benelux!$S$196))/'H7H9 BENELUX'!$K$196</f>
        <v>#DIV/0!</v>
      </c>
      <c r="L199" s="117"/>
      <c r="M199" s="74">
        <f>+((Benelux!I199*Benelux!$I$196)+(Benelux!U199*Benelux!$U$196))/'H7H9 BENELUX'!$M$196</f>
        <v>0.31588474987021647</v>
      </c>
      <c r="N199" s="42">
        <f>+((Benelux!J199*Benelux!$J$196)+(Benelux!V199*Benelux!$V$196))/'H7H9 BENELUX'!$N$196</f>
        <v>0.55587063138545934</v>
      </c>
      <c r="O199" s="42">
        <f>+((Benelux!K199*Benelux!$K$196)+(Benelux!W199*Benelux!$W$196))/'H7H9 BENELUX'!$O$196</f>
        <v>0.36985942942499977</v>
      </c>
      <c r="P199" s="117"/>
      <c r="Q199" s="97"/>
      <c r="R199" s="42"/>
      <c r="S199" s="42"/>
      <c r="T199" s="117"/>
      <c r="U199" s="84">
        <f>+((I199*$I$196)+(M199*$M$196))/$U$196</f>
        <v>0.49392120317829508</v>
      </c>
      <c r="V199" s="60">
        <f>+((J199*$J$196)+(N199*$N$196))/$V$196</f>
        <v>0.5458049429103401</v>
      </c>
      <c r="W199" s="60" t="e">
        <f>+((K199*$K$196)+(O199*$O$196))/$W$196</f>
        <v>#DIV/0!</v>
      </c>
      <c r="X199" s="117"/>
      <c r="Y199" s="97"/>
      <c r="Z199" s="42"/>
      <c r="AA199" s="42"/>
      <c r="AB199" s="117"/>
      <c r="AC199" s="97"/>
      <c r="AD199" s="42"/>
      <c r="AE199" s="42"/>
      <c r="AF199" s="117"/>
      <c r="AG199" s="97"/>
      <c r="AH199" s="42"/>
      <c r="AI199" s="42"/>
      <c r="AJ199" s="117"/>
      <c r="AK199" s="74">
        <f>+((Benelux!M199*Benelux!$M$196)+(Benelux!Y199*Benelux!$Y$196))/'H7H9 BENELUX'!$AK$196</f>
        <v>4.5452317590909702E-2</v>
      </c>
      <c r="AL199" s="42">
        <f>+((Benelux!N199*Benelux!$N$196)+(Benelux!Z199*Benelux!$Z$196))/'H7H9 BENELUX'!$AL$196</f>
        <v>8.3787818824201582E-2</v>
      </c>
      <c r="AM199" s="42">
        <f>+((Benelux!O199*Benelux!$O$196)+(Benelux!AA199*Benelux!$AA$196))/'H7H9 BENELUX'!$AM$196</f>
        <v>9.1185593524651692E-2</v>
      </c>
      <c r="AN199" s="117"/>
      <c r="AO199" s="85">
        <f t="shared" si="314"/>
        <v>4.5452317590909702E-2</v>
      </c>
      <c r="AP199" s="60">
        <f t="shared" si="309"/>
        <v>8.3787818824201582E-2</v>
      </c>
      <c r="AQ199" s="60">
        <f t="shared" si="310"/>
        <v>9.1185593524651692E-2</v>
      </c>
      <c r="AR199" s="117"/>
      <c r="AS199" s="92">
        <f>+((U199*$U$196)+(AO199*$AO$196))/$AS$196</f>
        <v>0.32421688750847355</v>
      </c>
      <c r="AT199" s="68">
        <f>+((V199*$V$196)+(AP199*$AP$196))/$AT$196</f>
        <v>0.37148958222764322</v>
      </c>
      <c r="AU199" s="68" t="e">
        <f>+((W199*$W$196)+(AQ199*$AQ$196))/$AU$196</f>
        <v>#DIV/0!</v>
      </c>
      <c r="AW199" s="109"/>
      <c r="BA199" s="109"/>
      <c r="BE199" s="109"/>
      <c r="BI199" s="109"/>
      <c r="BM199" s="109"/>
    </row>
    <row r="200" spans="1:65" ht="16.5" hidden="1" outlineLevel="1" x14ac:dyDescent="0.25">
      <c r="A200" s="212"/>
      <c r="B200" s="9"/>
      <c r="C200" s="38" t="s">
        <v>24</v>
      </c>
      <c r="D200" s="7"/>
      <c r="E200" s="97"/>
      <c r="F200" s="42"/>
      <c r="G200" s="42"/>
      <c r="H200" s="134"/>
      <c r="I200" s="97">
        <f>+((Benelux!E200*Benelux!$E$196)+(Benelux!Q200*Benelux!$Q$196))/'H7H9 BENELUX'!$I$196</f>
        <v>0</v>
      </c>
      <c r="J200" s="42">
        <f>+((Benelux!F200*Benelux!$F$196)+(Benelux!R200*Benelux!$R$196))/'H7H9 BENELUX'!$J$196</f>
        <v>0</v>
      </c>
      <c r="K200" s="42" t="e">
        <f>+((Benelux!G200*Benelux!$G$196)+(Benelux!S200*Benelux!$S$196))/'H7H9 BENELUX'!$K$196</f>
        <v>#DIV/0!</v>
      </c>
      <c r="L200" s="134"/>
      <c r="M200" s="97">
        <f>+((Benelux!I200*Benelux!$I$196)+(Benelux!U200*Benelux!$U$196))/'H7H9 BENELUX'!$M$196</f>
        <v>0</v>
      </c>
      <c r="N200" s="42">
        <f>+((Benelux!J200*Benelux!$J$196)+(Benelux!V200*Benelux!$V$196))/'H7H9 BENELUX'!$N$196</f>
        <v>0</v>
      </c>
      <c r="O200" s="42">
        <f>+((Benelux!K200*Benelux!$K$196)+(Benelux!W200*Benelux!$W$196))/'H7H9 BENELUX'!$O$196</f>
        <v>0</v>
      </c>
      <c r="P200" s="134"/>
      <c r="Q200" s="97"/>
      <c r="R200" s="42"/>
      <c r="S200" s="42"/>
      <c r="T200" s="134"/>
      <c r="U200" s="99">
        <f t="shared" ref="U200:U205" si="319">+((I200*$I$196)+(M200*$M$196))/$U$196</f>
        <v>0</v>
      </c>
      <c r="V200" s="60">
        <f t="shared" ref="V200:V205" si="320">+((J200*$J$196)+(N200*$N$196))/$V$196</f>
        <v>0</v>
      </c>
      <c r="W200" s="60" t="e">
        <f t="shared" ref="W200:W205" si="321">+((K200*$K$196)+(O200*$O$196))/$W$196</f>
        <v>#DIV/0!</v>
      </c>
      <c r="X200" s="134"/>
      <c r="Y200" s="97"/>
      <c r="Z200" s="42"/>
      <c r="AA200" s="42"/>
      <c r="AB200" s="134"/>
      <c r="AC200" s="97"/>
      <c r="AD200" s="42"/>
      <c r="AE200" s="42"/>
      <c r="AF200" s="134"/>
      <c r="AG200" s="97"/>
      <c r="AH200" s="42"/>
      <c r="AI200" s="42"/>
      <c r="AJ200" s="134"/>
      <c r="AK200" s="97">
        <f>+((Benelux!M200*Benelux!$M$196)+(Benelux!Y200*Benelux!$Y$196))/'H7H9 BENELUX'!$AK$196</f>
        <v>0</v>
      </c>
      <c r="AL200" s="42">
        <f>+((Benelux!N200*Benelux!$N$196)+(Benelux!Z200*Benelux!$Z$196))/'H7H9 BENELUX'!$AL$196</f>
        <v>0</v>
      </c>
      <c r="AM200" s="42">
        <f>+((Benelux!O200*Benelux!$O$196)+(Benelux!AA200*Benelux!$AA$196))/'H7H9 BENELUX'!$AM$196</f>
        <v>0</v>
      </c>
      <c r="AN200" s="134"/>
      <c r="AO200" s="99">
        <f t="shared" si="314"/>
        <v>0</v>
      </c>
      <c r="AP200" s="60">
        <f t="shared" si="309"/>
        <v>0</v>
      </c>
      <c r="AQ200" s="60">
        <f t="shared" si="310"/>
        <v>0</v>
      </c>
      <c r="AR200" s="134"/>
      <c r="AS200" s="106">
        <f t="shared" ref="AS200:AS205" si="322">+((U200*$U$196)+(AO200*$AO$196))/$AS$196</f>
        <v>0</v>
      </c>
      <c r="AT200" s="68">
        <f t="shared" ref="AT200:AT205" si="323">+((V200*$V$196)+(AP200*$AP$196))/$AT$196</f>
        <v>0</v>
      </c>
      <c r="AU200" s="68" t="e">
        <f t="shared" ref="AU200:AU205" si="324">+((W200*$W$196)+(AQ200*$AQ$196))/$AU$196</f>
        <v>#DIV/0!</v>
      </c>
      <c r="AW200" s="109"/>
      <c r="BA200" s="109"/>
      <c r="BE200" s="109"/>
      <c r="BI200" s="109"/>
      <c r="BM200" s="109"/>
    </row>
    <row r="201" spans="1:65" ht="16.5" hidden="1" outlineLevel="1" x14ac:dyDescent="0.25">
      <c r="A201" s="212"/>
      <c r="B201" s="9"/>
      <c r="C201" s="38" t="s">
        <v>25</v>
      </c>
      <c r="D201" s="7"/>
      <c r="E201" s="97"/>
      <c r="F201" s="42"/>
      <c r="G201" s="42"/>
      <c r="H201" s="134"/>
      <c r="I201" s="97">
        <f>+((Benelux!E201*Benelux!$E$196)+(Benelux!Q201*Benelux!$Q$196))/'H7H9 BENELUX'!$I$196</f>
        <v>0</v>
      </c>
      <c r="J201" s="42">
        <f>+((Benelux!F201*Benelux!$F$196)+(Benelux!R201*Benelux!$R$196))/'H7H9 BENELUX'!$J$196</f>
        <v>0</v>
      </c>
      <c r="K201" s="42" t="e">
        <f>+((Benelux!G201*Benelux!$G$196)+(Benelux!S201*Benelux!$S$196))/'H7H9 BENELUX'!$K$196</f>
        <v>#DIV/0!</v>
      </c>
      <c r="L201" s="134"/>
      <c r="M201" s="97">
        <f>+((Benelux!I201*Benelux!$I$196)+(Benelux!U201*Benelux!$U$196))/'H7H9 BENELUX'!$M$196</f>
        <v>0</v>
      </c>
      <c r="N201" s="42">
        <f>+((Benelux!J201*Benelux!$J$196)+(Benelux!V201*Benelux!$V$196))/'H7H9 BENELUX'!$N$196</f>
        <v>0</v>
      </c>
      <c r="O201" s="42">
        <f>+((Benelux!K201*Benelux!$K$196)+(Benelux!W201*Benelux!$W$196))/'H7H9 BENELUX'!$O$196</f>
        <v>0</v>
      </c>
      <c r="P201" s="134"/>
      <c r="Q201" s="97"/>
      <c r="R201" s="42"/>
      <c r="S201" s="42"/>
      <c r="T201" s="134"/>
      <c r="U201" s="99">
        <f t="shared" si="319"/>
        <v>0</v>
      </c>
      <c r="V201" s="60">
        <f t="shared" si="320"/>
        <v>0</v>
      </c>
      <c r="W201" s="60" t="e">
        <f t="shared" si="321"/>
        <v>#DIV/0!</v>
      </c>
      <c r="X201" s="134"/>
      <c r="Y201" s="97"/>
      <c r="Z201" s="42"/>
      <c r="AA201" s="42"/>
      <c r="AB201" s="134"/>
      <c r="AC201" s="97"/>
      <c r="AD201" s="42"/>
      <c r="AE201" s="42"/>
      <c r="AF201" s="134"/>
      <c r="AG201" s="97"/>
      <c r="AH201" s="42"/>
      <c r="AI201" s="42"/>
      <c r="AJ201" s="134"/>
      <c r="AK201" s="97">
        <f>+((Benelux!M201*Benelux!$M$196)+(Benelux!Y201*Benelux!$Y$196))/'H7H9 BENELUX'!$AK$196</f>
        <v>0</v>
      </c>
      <c r="AL201" s="42">
        <f>+((Benelux!N201*Benelux!$N$196)+(Benelux!Z201*Benelux!$Z$196))/'H7H9 BENELUX'!$AL$196</f>
        <v>0</v>
      </c>
      <c r="AM201" s="42">
        <f>+((Benelux!O201*Benelux!$O$196)+(Benelux!AA201*Benelux!$AA$196))/'H7H9 BENELUX'!$AM$196</f>
        <v>0</v>
      </c>
      <c r="AN201" s="134"/>
      <c r="AO201" s="99">
        <f t="shared" si="314"/>
        <v>0</v>
      </c>
      <c r="AP201" s="60">
        <f t="shared" si="309"/>
        <v>0</v>
      </c>
      <c r="AQ201" s="60">
        <f t="shared" si="310"/>
        <v>0</v>
      </c>
      <c r="AR201" s="134"/>
      <c r="AS201" s="106">
        <f t="shared" si="322"/>
        <v>0</v>
      </c>
      <c r="AT201" s="68">
        <f t="shared" si="323"/>
        <v>0</v>
      </c>
      <c r="AU201" s="68" t="e">
        <f t="shared" si="324"/>
        <v>#DIV/0!</v>
      </c>
      <c r="AW201" s="109"/>
      <c r="BA201" s="109"/>
      <c r="BE201" s="109"/>
      <c r="BI201" s="109"/>
      <c r="BM201" s="109"/>
    </row>
    <row r="202" spans="1:65" ht="16.5" hidden="1" outlineLevel="1" x14ac:dyDescent="0.25">
      <c r="A202" s="212"/>
      <c r="B202" s="9"/>
      <c r="C202" s="38" t="s">
        <v>53</v>
      </c>
      <c r="D202" s="7"/>
      <c r="E202" s="97"/>
      <c r="F202" s="42"/>
      <c r="G202" s="42"/>
      <c r="H202" s="134"/>
      <c r="I202" s="97">
        <f>+((Benelux!E202*Benelux!$E$196)+(Benelux!Q202*Benelux!$Q$196))/'H7H9 BENELUX'!$I$196</f>
        <v>0</v>
      </c>
      <c r="J202" s="42">
        <f>+((Benelux!F202*Benelux!$F$196)+(Benelux!R202*Benelux!$R$196))/'H7H9 BENELUX'!$J$196</f>
        <v>0</v>
      </c>
      <c r="K202" s="42" t="e">
        <f>+((Benelux!G202*Benelux!$G$196)+(Benelux!S202*Benelux!$S$196))/'H7H9 BENELUX'!$K$196</f>
        <v>#DIV/0!</v>
      </c>
      <c r="L202" s="134"/>
      <c r="M202" s="97">
        <f>+((Benelux!I202*Benelux!$I$196)+(Benelux!U202*Benelux!$U$196))/'H7H9 BENELUX'!$M$196</f>
        <v>0</v>
      </c>
      <c r="N202" s="42">
        <f>+((Benelux!J202*Benelux!$J$196)+(Benelux!V202*Benelux!$V$196))/'H7H9 BENELUX'!$N$196</f>
        <v>0</v>
      </c>
      <c r="O202" s="42">
        <f>+((Benelux!K202*Benelux!$K$196)+(Benelux!W202*Benelux!$W$196))/'H7H9 BENELUX'!$O$196</f>
        <v>0</v>
      </c>
      <c r="P202" s="134"/>
      <c r="Q202" s="97"/>
      <c r="R202" s="42"/>
      <c r="S202" s="42"/>
      <c r="T202" s="134"/>
      <c r="U202" s="99">
        <f t="shared" si="319"/>
        <v>0</v>
      </c>
      <c r="V202" s="60">
        <f t="shared" si="320"/>
        <v>0</v>
      </c>
      <c r="W202" s="60" t="e">
        <f t="shared" si="321"/>
        <v>#DIV/0!</v>
      </c>
      <c r="X202" s="134"/>
      <c r="Y202" s="97"/>
      <c r="Z202" s="42"/>
      <c r="AA202" s="42"/>
      <c r="AB202" s="134"/>
      <c r="AC202" s="97"/>
      <c r="AD202" s="42"/>
      <c r="AE202" s="42"/>
      <c r="AF202" s="134"/>
      <c r="AG202" s="97"/>
      <c r="AH202" s="42"/>
      <c r="AI202" s="42"/>
      <c r="AJ202" s="134"/>
      <c r="AK202" s="97">
        <f>+((Benelux!M202*Benelux!$M$196)+(Benelux!Y202*Benelux!$Y$196))/'H7H9 BENELUX'!$AK$196</f>
        <v>0</v>
      </c>
      <c r="AL202" s="42">
        <f>+((Benelux!N202*Benelux!$N$196)+(Benelux!Z202*Benelux!$Z$196))/'H7H9 BENELUX'!$AL$196</f>
        <v>0</v>
      </c>
      <c r="AM202" s="42">
        <f>+((Benelux!O202*Benelux!$O$196)+(Benelux!AA202*Benelux!$AA$196))/'H7H9 BENELUX'!$AM$196</f>
        <v>0</v>
      </c>
      <c r="AN202" s="134"/>
      <c r="AO202" s="99">
        <f t="shared" si="314"/>
        <v>0</v>
      </c>
      <c r="AP202" s="60">
        <f t="shared" si="309"/>
        <v>0</v>
      </c>
      <c r="AQ202" s="60">
        <f t="shared" si="310"/>
        <v>0</v>
      </c>
      <c r="AR202" s="134"/>
      <c r="AS202" s="106">
        <f t="shared" si="322"/>
        <v>0</v>
      </c>
      <c r="AT202" s="68">
        <f t="shared" si="323"/>
        <v>0</v>
      </c>
      <c r="AU202" s="68" t="e">
        <f t="shared" si="324"/>
        <v>#DIV/0!</v>
      </c>
      <c r="AW202" s="109"/>
      <c r="BA202" s="109"/>
      <c r="BE202" s="109"/>
      <c r="BI202" s="109"/>
      <c r="BM202" s="109"/>
    </row>
    <row r="203" spans="1:65" ht="16.5" hidden="1" outlineLevel="1" x14ac:dyDescent="0.25">
      <c r="A203" s="212"/>
      <c r="B203" s="9"/>
      <c r="C203" s="116" t="s">
        <v>27</v>
      </c>
      <c r="D203" s="7"/>
      <c r="E203" s="131"/>
      <c r="F203" s="127"/>
      <c r="G203" s="127"/>
      <c r="H203" s="134"/>
      <c r="I203" s="126">
        <f>+((Benelux!E203*Benelux!$E$196)+(Benelux!Q203*Benelux!$Q$196))/'H7H9 BENELUX'!$I$196</f>
        <v>-1.5521709141724547E-2</v>
      </c>
      <c r="J203" s="127">
        <f>+((Benelux!F203*Benelux!$F$196)+(Benelux!R203*Benelux!$R$196))/'H7H9 BENELUX'!$J$196</f>
        <v>-1.8371156844119857E-2</v>
      </c>
      <c r="K203" s="127" t="e">
        <f>+((Benelux!G203*Benelux!$G$196)+(Benelux!S203*Benelux!$S$196))/'H7H9 BENELUX'!$K$196</f>
        <v>#DIV/0!</v>
      </c>
      <c r="L203" s="134"/>
      <c r="M203" s="126">
        <f>+((Benelux!I203*Benelux!$I$196)+(Benelux!U203*Benelux!$U$196))/'H7H9 BENELUX'!$M$196</f>
        <v>-4.6034046028264478E-3</v>
      </c>
      <c r="N203" s="127">
        <f>+((Benelux!J203*Benelux!$J$196)+(Benelux!V203*Benelux!$V$196))/'H7H9 BENELUX'!$N$196</f>
        <v>-1.1278697716623752E-2</v>
      </c>
      <c r="O203" s="127">
        <f>+((Benelux!K203*Benelux!$K$196)+(Benelux!W203*Benelux!$W$196))/'H7H9 BENELUX'!$O$196</f>
        <v>-4.7224201089781847E-3</v>
      </c>
      <c r="P203" s="134"/>
      <c r="Q203" s="131"/>
      <c r="R203" s="127"/>
      <c r="S203" s="127"/>
      <c r="T203" s="134"/>
      <c r="U203" s="132">
        <f t="shared" si="319"/>
        <v>-1.3919776110711954E-2</v>
      </c>
      <c r="V203" s="130">
        <f t="shared" si="320"/>
        <v>-1.7224469759594511E-2</v>
      </c>
      <c r="W203" s="130" t="e">
        <f t="shared" si="321"/>
        <v>#DIV/0!</v>
      </c>
      <c r="X203" s="134"/>
      <c r="Y203" s="131"/>
      <c r="Z203" s="127"/>
      <c r="AA203" s="127"/>
      <c r="AB203" s="134"/>
      <c r="AC203" s="131"/>
      <c r="AD203" s="127"/>
      <c r="AE203" s="127"/>
      <c r="AF203" s="134"/>
      <c r="AG203" s="131"/>
      <c r="AH203" s="127"/>
      <c r="AI203" s="127"/>
      <c r="AJ203" s="134"/>
      <c r="AK203" s="128">
        <f>+((Benelux!M203*Benelux!$M$196)+(Benelux!Y203*Benelux!$Y$196))/'H7H9 BENELUX'!$AK$196</f>
        <v>-8.6395717863893909E-4</v>
      </c>
      <c r="AL203" s="127">
        <f>+((Benelux!N203*Benelux!$N$196)+(Benelux!Z203*Benelux!$Z$196))/'H7H9 BENELUX'!$AL$196</f>
        <v>-2.5928121458431764E-3</v>
      </c>
      <c r="AM203" s="127">
        <f>+((Benelux!O203*Benelux!$O$196)+(Benelux!AA203*Benelux!$AA$196))/'H7H9 BENELUX'!$AM$196</f>
        <v>-1.3922810236527072E-3</v>
      </c>
      <c r="AN203" s="134"/>
      <c r="AO203" s="129">
        <f t="shared" si="314"/>
        <v>-8.6395717863893909E-4</v>
      </c>
      <c r="AP203" s="130">
        <f t="shared" si="309"/>
        <v>-2.5928121458431764E-3</v>
      </c>
      <c r="AQ203" s="130">
        <f t="shared" si="310"/>
        <v>-1.3922810236527072E-3</v>
      </c>
      <c r="AR203" s="134"/>
      <c r="AS203" s="162">
        <f t="shared" si="322"/>
        <v>-8.979346822123483E-3</v>
      </c>
      <c r="AT203" s="163">
        <f t="shared" si="323"/>
        <v>-1.1704062524967269E-2</v>
      </c>
      <c r="AU203" s="163" t="e">
        <f t="shared" si="324"/>
        <v>#DIV/0!</v>
      </c>
      <c r="AW203" s="109"/>
      <c r="BA203" s="109"/>
      <c r="BE203" s="109"/>
      <c r="BI203" s="109"/>
      <c r="BM203" s="109"/>
    </row>
    <row r="204" spans="1:65" ht="16.5" hidden="1" outlineLevel="1" x14ac:dyDescent="0.25">
      <c r="A204" s="212"/>
      <c r="B204" s="9"/>
      <c r="C204" s="116" t="s">
        <v>57</v>
      </c>
      <c r="D204" s="7"/>
      <c r="E204" s="131"/>
      <c r="F204" s="127"/>
      <c r="G204" s="127"/>
      <c r="H204" s="134"/>
      <c r="I204" s="126">
        <f>+((Benelux!E204*Benelux!$E$196)+(Benelux!Q204*Benelux!$Q$196))/'H7H9 BENELUX'!$I$196</f>
        <v>-0.36051241465500961</v>
      </c>
      <c r="J204" s="127">
        <f>+((Benelux!F204*Benelux!$F$196)+(Benelux!R204*Benelux!$R$196))/'H7H9 BENELUX'!$J$196</f>
        <v>-0.34810137854275675</v>
      </c>
      <c r="K204" s="127" t="e">
        <f>+((Benelux!G204*Benelux!$G$196)+(Benelux!S204*Benelux!$S$196))/'H7H9 BENELUX'!$K$196</f>
        <v>#DIV/0!</v>
      </c>
      <c r="L204" s="134"/>
      <c r="M204" s="126">
        <f>+((Benelux!I204*Benelux!$I$196)+(Benelux!U204*Benelux!$U$196))/'H7H9 BENELUX'!$M$196</f>
        <v>-4.8448897834211975E-2</v>
      </c>
      <c r="N204" s="127">
        <f>+((Benelux!J204*Benelux!$J$196)+(Benelux!V204*Benelux!$V$196))/'H7H9 BENELUX'!$N$196</f>
        <v>-0.43806116773027187</v>
      </c>
      <c r="O204" s="127">
        <f>+((Benelux!K204*Benelux!$K$196)+(Benelux!W204*Benelux!$W$196))/'H7H9 BENELUX'!$O$196</f>
        <v>-2.5113847300836938E-3</v>
      </c>
      <c r="P204" s="134"/>
      <c r="Q204" s="131"/>
      <c r="R204" s="127"/>
      <c r="S204" s="127"/>
      <c r="T204" s="134"/>
      <c r="U204" s="132">
        <f t="shared" si="319"/>
        <v>-0.31472647292859929</v>
      </c>
      <c r="V204" s="130">
        <f t="shared" si="320"/>
        <v>-0.36264580192731061</v>
      </c>
      <c r="W204" s="130" t="e">
        <f t="shared" si="321"/>
        <v>#DIV/0!</v>
      </c>
      <c r="X204" s="134"/>
      <c r="Y204" s="131"/>
      <c r="Z204" s="127"/>
      <c r="AA204" s="127"/>
      <c r="AB204" s="134"/>
      <c r="AC204" s="131"/>
      <c r="AD204" s="127"/>
      <c r="AE204" s="127"/>
      <c r="AF204" s="134"/>
      <c r="AG204" s="131"/>
      <c r="AH204" s="127"/>
      <c r="AI204" s="127"/>
      <c r="AJ204" s="134"/>
      <c r="AK204" s="131">
        <f>+((Benelux!M204*Benelux!$M$196)+(Benelux!Y204*Benelux!$Y$196))/'H7H9 BENELUX'!$AK$196</f>
        <v>2.2207847191469802E-3</v>
      </c>
      <c r="AL204" s="127">
        <f>+((Benelux!N204*Benelux!$N$196)+(Benelux!Z204*Benelux!$Z$196))/'H7H9 BENELUX'!$AL$196</f>
        <v>-0.15936220099972967</v>
      </c>
      <c r="AM204" s="127">
        <f>+((Benelux!O204*Benelux!$O$196)+(Benelux!AA204*Benelux!$AA$196))/'H7H9 BENELUX'!$AM$196</f>
        <v>-7.4041555494829686E-4</v>
      </c>
      <c r="AN204" s="134"/>
      <c r="AO204" s="133">
        <f t="shared" si="314"/>
        <v>2.2207847191469802E-3</v>
      </c>
      <c r="AP204" s="130">
        <f t="shared" si="309"/>
        <v>-0.15936220099972967</v>
      </c>
      <c r="AQ204" s="130">
        <f t="shared" si="310"/>
        <v>-7.4041555494829686E-4</v>
      </c>
      <c r="AR204" s="134"/>
      <c r="AS204" s="162">
        <f t="shared" si="322"/>
        <v>-0.19479102324385905</v>
      </c>
      <c r="AT204" s="163">
        <f t="shared" si="323"/>
        <v>-0.28594852736923149</v>
      </c>
      <c r="AU204" s="163" t="e">
        <f t="shared" si="324"/>
        <v>#DIV/0!</v>
      </c>
      <c r="AW204" s="109"/>
      <c r="BA204" s="109"/>
      <c r="BE204" s="109"/>
      <c r="BI204" s="109"/>
      <c r="BM204" s="109"/>
    </row>
    <row r="205" spans="1:65" ht="16.5" hidden="1" outlineLevel="1" x14ac:dyDescent="0.25">
      <c r="A205" s="212"/>
      <c r="B205" s="9"/>
      <c r="C205" s="116" t="s">
        <v>29</v>
      </c>
      <c r="D205" s="7"/>
      <c r="E205" s="131"/>
      <c r="F205" s="127"/>
      <c r="G205" s="127"/>
      <c r="H205" s="134"/>
      <c r="I205" s="126">
        <f>+((Benelux!E205*Benelux!$E$196)+(Benelux!Q205*Benelux!$Q$196))/'H7H9 BENELUX'!$I$196</f>
        <v>4.889464343536256E-2</v>
      </c>
      <c r="J205" s="127">
        <f>+((Benelux!F205*Benelux!$F$196)+(Benelux!R205*Benelux!$R$196))/'H7H9 BENELUX'!$J$196</f>
        <v>-2.5900177683137723E-2</v>
      </c>
      <c r="K205" s="127" t="e">
        <f>+((Benelux!G205*Benelux!$G$196)+(Benelux!S205*Benelux!$S$196))/'H7H9 BENELUX'!$K$196</f>
        <v>#DIV/0!</v>
      </c>
      <c r="L205" s="134"/>
      <c r="M205" s="128">
        <f>+((Benelux!I205*Benelux!$I$196)+(Benelux!U205*Benelux!$U$196))/'H7H9 BENELUX'!$M$196</f>
        <v>4.5845760627489511E-2</v>
      </c>
      <c r="N205" s="127">
        <f>+((Benelux!J205*Benelux!$J$196)+(Benelux!V205*Benelux!$V$196))/'H7H9 BENELUX'!$N$196</f>
        <v>1.003713721058317E-2</v>
      </c>
      <c r="O205" s="127">
        <f>+((Benelux!K205*Benelux!$K$196)+(Benelux!W205*Benelux!$W$196))/'H7H9 BENELUX'!$O$196</f>
        <v>0</v>
      </c>
      <c r="P205" s="134"/>
      <c r="Q205" s="131"/>
      <c r="R205" s="127"/>
      <c r="S205" s="127"/>
      <c r="T205" s="134"/>
      <c r="U205" s="132">
        <f t="shared" si="319"/>
        <v>4.8447311520391889E-2</v>
      </c>
      <c r="V205" s="130">
        <f t="shared" si="320"/>
        <v>-2.0089942601007844E-2</v>
      </c>
      <c r="W205" s="130" t="e">
        <f t="shared" si="321"/>
        <v>#DIV/0!</v>
      </c>
      <c r="X205" s="134"/>
      <c r="Y205" s="131"/>
      <c r="Z205" s="127"/>
      <c r="AA205" s="127"/>
      <c r="AB205" s="134"/>
      <c r="AC205" s="131"/>
      <c r="AD205" s="127"/>
      <c r="AE205" s="127"/>
      <c r="AF205" s="134"/>
      <c r="AG205" s="131"/>
      <c r="AH205" s="127"/>
      <c r="AI205" s="127"/>
      <c r="AJ205" s="134"/>
      <c r="AK205" s="128">
        <f>+((Benelux!M205*Benelux!$M$196)+(Benelux!Y205*Benelux!$Y$196))/'H7H9 BENELUX'!$AK$196</f>
        <v>5.3513696218958828E-4</v>
      </c>
      <c r="AL205" s="127">
        <f>+((Benelux!N205*Benelux!$N$196)+(Benelux!Z205*Benelux!$Z$196))/'H7H9 BENELUX'!$AL$196</f>
        <v>-3.9205819507764144E-3</v>
      </c>
      <c r="AM205" s="127">
        <f>+((Benelux!O205*Benelux!$O$196)+(Benelux!AA205*Benelux!$AA$196))/'H7H9 BENELUX'!$AM$196</f>
        <v>0</v>
      </c>
      <c r="AN205" s="134"/>
      <c r="AO205" s="129">
        <f t="shared" si="314"/>
        <v>5.3513696218958828E-4</v>
      </c>
      <c r="AP205" s="130">
        <f t="shared" si="309"/>
        <v>-3.9205819507764144E-3</v>
      </c>
      <c r="AQ205" s="130">
        <f t="shared" si="310"/>
        <v>0</v>
      </c>
      <c r="AR205" s="134"/>
      <c r="AS205" s="162">
        <f t="shared" si="322"/>
        <v>3.0316950514403151E-2</v>
      </c>
      <c r="AT205" s="163">
        <f t="shared" si="323"/>
        <v>-1.3989372325980109E-2</v>
      </c>
      <c r="AU205" s="163" t="e">
        <f t="shared" si="324"/>
        <v>#DIV/0!</v>
      </c>
      <c r="AW205" s="109"/>
      <c r="BA205" s="109"/>
      <c r="BE205" s="109"/>
      <c r="BI205" s="109"/>
      <c r="BM205" s="109"/>
    </row>
    <row r="206" spans="1:65" ht="16.5" hidden="1" outlineLevel="1" x14ac:dyDescent="0.25">
      <c r="A206" s="212"/>
      <c r="B206" s="9"/>
      <c r="C206" s="116" t="s">
        <v>58</v>
      </c>
      <c r="D206" s="7"/>
      <c r="E206" s="131"/>
      <c r="F206" s="127"/>
      <c r="G206" s="127"/>
      <c r="H206" s="134"/>
      <c r="I206" s="126">
        <f>+I207+I208+I209</f>
        <v>0.2918647936626933</v>
      </c>
      <c r="J206" s="127">
        <f t="shared" ref="J206" si="325">+J207+J208+J209</f>
        <v>0.34602409909314596</v>
      </c>
      <c r="K206" s="127" t="e">
        <f t="shared" ref="K206" si="326">+K207+K208+K209</f>
        <v>#DIV/0!</v>
      </c>
      <c r="L206" s="134"/>
      <c r="M206" s="126">
        <f>+M207+M208+M209</f>
        <v>0.4206286699211903</v>
      </c>
      <c r="N206" s="127">
        <f>+N207+N208+N209</f>
        <v>0.41076260427639649</v>
      </c>
      <c r="O206" s="127">
        <f>+O207+O208+O209</f>
        <v>0.49899831688135005</v>
      </c>
      <c r="P206" s="134"/>
      <c r="Q206" s="131"/>
      <c r="R206" s="127"/>
      <c r="S206" s="127"/>
      <c r="T206" s="134"/>
      <c r="U206" s="132">
        <f>+U207+U208+U209</f>
        <v>0.31075702238234776</v>
      </c>
      <c r="V206" s="130">
        <f>+V207+V208+V209</f>
        <v>0.35649082247225111</v>
      </c>
      <c r="W206" s="130" t="e">
        <f>+W207+W208+W209</f>
        <v>#DIV/0!</v>
      </c>
      <c r="X206" s="134"/>
      <c r="Y206" s="131"/>
      <c r="Z206" s="127"/>
      <c r="AA206" s="127"/>
      <c r="AB206" s="134"/>
      <c r="AC206" s="131"/>
      <c r="AD206" s="127"/>
      <c r="AE206" s="127"/>
      <c r="AF206" s="134"/>
      <c r="AG206" s="131"/>
      <c r="AH206" s="127"/>
      <c r="AI206" s="127"/>
      <c r="AJ206" s="134"/>
      <c r="AK206" s="126">
        <f>+AK207+AK208+AK209</f>
        <v>0.28571720191065025</v>
      </c>
      <c r="AL206" s="127">
        <f>+AL207+AL208+AL209</f>
        <v>0.25614581628852406</v>
      </c>
      <c r="AM206" s="127">
        <f>+AM207+AM208+AM209</f>
        <v>0.3068763714639739</v>
      </c>
      <c r="AN206" s="134"/>
      <c r="AO206" s="132">
        <f t="shared" si="314"/>
        <v>0.28571720191065025</v>
      </c>
      <c r="AP206" s="130">
        <f t="shared" si="309"/>
        <v>0.25614581628852406</v>
      </c>
      <c r="AQ206" s="130">
        <f t="shared" si="310"/>
        <v>0.3068763714639739</v>
      </c>
      <c r="AR206" s="134"/>
      <c r="AS206" s="162">
        <f>+AS207+AS208+AS209</f>
        <v>0.30128174832386101</v>
      </c>
      <c r="AT206" s="163">
        <f>+AT207+AT208+AT209</f>
        <v>0.31863145528922293</v>
      </c>
      <c r="AU206" s="163" t="e">
        <f>+AU207+AU208+AU209</f>
        <v>#DIV/0!</v>
      </c>
      <c r="AW206" s="109"/>
      <c r="BA206" s="109"/>
      <c r="BE206" s="109"/>
      <c r="BI206" s="109"/>
      <c r="BM206" s="109"/>
    </row>
    <row r="207" spans="1:65" ht="16.5" hidden="1" outlineLevel="1" x14ac:dyDescent="0.25">
      <c r="A207" s="212"/>
      <c r="B207" s="9"/>
      <c r="C207" s="39" t="s">
        <v>59</v>
      </c>
      <c r="D207" s="8"/>
      <c r="E207" s="97"/>
      <c r="F207" s="42"/>
      <c r="G207" s="42"/>
      <c r="H207" s="135"/>
      <c r="I207" s="97">
        <f>+((Benelux!E207*Benelux!$E$196)+(Benelux!Q207*Benelux!$Q$196))/'H7H9 BENELUX'!$I$196</f>
        <v>0.26832063015846175</v>
      </c>
      <c r="J207" s="42">
        <f>+((Benelux!F207*Benelux!$F$196)+(Benelux!R207*Benelux!$R$196))/'H7H9 BENELUX'!$J$196</f>
        <v>0.26403322282415564</v>
      </c>
      <c r="K207" s="42" t="e">
        <f>+((Benelux!G207*Benelux!$G$196)+(Benelux!S207*Benelux!$S$196))/'H7H9 BENELUX'!$K$196</f>
        <v>#DIV/0!</v>
      </c>
      <c r="L207" s="135"/>
      <c r="M207" s="74">
        <f>+((Benelux!I207*Benelux!$I$196)+(Benelux!U207*Benelux!$U$196))/'H7H9 BENELUX'!$M$196</f>
        <v>0.14409402706963975</v>
      </c>
      <c r="N207" s="42">
        <f>+((Benelux!J207*Benelux!$J$196)+(Benelux!V207*Benelux!$V$196))/'H7H9 BENELUX'!$N$196</f>
        <v>0.14524536936196714</v>
      </c>
      <c r="O207" s="42">
        <f>+((Benelux!K207*Benelux!$K$196)+(Benelux!W207*Benelux!$W$196))/'H7H9 BENELUX'!$O$196</f>
        <v>0.14552952396818492</v>
      </c>
      <c r="P207" s="135"/>
      <c r="Q207" s="97"/>
      <c r="R207" s="42"/>
      <c r="S207" s="42"/>
      <c r="T207" s="135"/>
      <c r="U207" s="84">
        <f t="shared" ref="U207:U209" si="327">+((I207*$I$196)+(M207*$M$196))/$U$196</f>
        <v>0.25009410990437853</v>
      </c>
      <c r="V207" s="60">
        <f t="shared" ref="V207:V209" si="328">+((J207*$J$196)+(N207*$N$196))/$V$196</f>
        <v>0.24482796623895922</v>
      </c>
      <c r="W207" s="60" t="e">
        <f t="shared" ref="W207:W209" si="329">+((K207*$K$196)+(O207*$O$196))/$W$196</f>
        <v>#DIV/0!</v>
      </c>
      <c r="X207" s="135"/>
      <c r="Y207" s="97"/>
      <c r="Z207" s="42"/>
      <c r="AA207" s="42"/>
      <c r="AB207" s="135"/>
      <c r="AC207" s="97"/>
      <c r="AD207" s="42"/>
      <c r="AE207" s="42"/>
      <c r="AF207" s="135"/>
      <c r="AG207" s="97"/>
      <c r="AH207" s="42"/>
      <c r="AI207" s="42"/>
      <c r="AJ207" s="135"/>
      <c r="AK207" s="74">
        <f>+((Benelux!M207*Benelux!$M$196)+(Benelux!Y207*Benelux!$Y$196))/'H7H9 BENELUX'!$AK$196</f>
        <v>0.18386909365046644</v>
      </c>
      <c r="AL207" s="42">
        <f>+((Benelux!N207*Benelux!$N$196)+(Benelux!Z207*Benelux!$Z$196))/'H7H9 BENELUX'!$AL$196</f>
        <v>0.1745966239232235</v>
      </c>
      <c r="AM207" s="42">
        <f>+((Benelux!O207*Benelux!$O$196)+(Benelux!AA207*Benelux!$AA$196))/'H7H9 BENELUX'!$AM$196</f>
        <v>0.18666085656704579</v>
      </c>
      <c r="AN207" s="135"/>
      <c r="AO207" s="85">
        <f t="shared" si="314"/>
        <v>0.18386909365046644</v>
      </c>
      <c r="AP207" s="60">
        <f t="shared" si="309"/>
        <v>0.1745966239232235</v>
      </c>
      <c r="AQ207" s="60">
        <f t="shared" si="310"/>
        <v>0.18666085656704579</v>
      </c>
      <c r="AR207" s="135"/>
      <c r="AS207" s="92">
        <f t="shared" ref="AS207:AS209" si="330">+((U207*$U$196)+(AO207*$AO$196))/$AS$196</f>
        <v>0.22503401894874173</v>
      </c>
      <c r="AT207" s="68">
        <f t="shared" ref="AT207:AT209" si="331">+((V207*$V$196)+(AP207*$AP$196))/$AT$196</f>
        <v>0.21833024325691033</v>
      </c>
      <c r="AU207" s="68" t="e">
        <f t="shared" ref="AU207:AU209" si="332">+((W207*$W$196)+(AQ207*$AQ$196))/$AU$196</f>
        <v>#DIV/0!</v>
      </c>
      <c r="AW207" s="109"/>
      <c r="BA207" s="109"/>
      <c r="BE207" s="109"/>
      <c r="BI207" s="109"/>
      <c r="BM207" s="109"/>
    </row>
    <row r="208" spans="1:65" ht="16.5" hidden="1" outlineLevel="1" x14ac:dyDescent="0.25">
      <c r="A208" s="212"/>
      <c r="B208" s="9"/>
      <c r="C208" s="39" t="s">
        <v>60</v>
      </c>
      <c r="D208" s="8"/>
      <c r="E208" s="97"/>
      <c r="F208" s="42"/>
      <c r="G208" s="42"/>
      <c r="H208" s="135"/>
      <c r="I208" s="97">
        <f>+((Benelux!E208*Benelux!$E$196)+(Benelux!Q208*Benelux!$Q$196))/'H7H9 BENELUX'!$I$196</f>
        <v>1.0455781852043523E-2</v>
      </c>
      <c r="J208" s="42">
        <f>+((Benelux!F208*Benelux!$F$196)+(Benelux!R208*Benelux!$R$196))/'H7H9 BENELUX'!$J$196</f>
        <v>1.9871672784671543E-2</v>
      </c>
      <c r="K208" s="42" t="e">
        <f>+((Benelux!G208*Benelux!$G$196)+(Benelux!S208*Benelux!$S$196))/'H7H9 BENELUX'!$K$196</f>
        <v>#DIV/0!</v>
      </c>
      <c r="L208" s="135"/>
      <c r="M208" s="74">
        <f>+((Benelux!I208*Benelux!$I$196)+(Benelux!U208*Benelux!$U$196))/'H7H9 BENELUX'!$M$196</f>
        <v>7.0441384244587929E-2</v>
      </c>
      <c r="N208" s="42">
        <f>+((Benelux!J208*Benelux!$J$196)+(Benelux!V208*Benelux!$V$196))/'H7H9 BENELUX'!$N$196</f>
        <v>9.2651026122573421E-2</v>
      </c>
      <c r="O208" s="42">
        <f>+((Benelux!K208*Benelux!$K$196)+(Benelux!W208*Benelux!$W$196))/'H7H9 BENELUX'!$O$196</f>
        <v>9.0550344281962472E-2</v>
      </c>
      <c r="P208" s="135"/>
      <c r="Q208" s="97"/>
      <c r="R208" s="42"/>
      <c r="S208" s="42"/>
      <c r="T208" s="135"/>
      <c r="U208" s="85">
        <f t="shared" si="327"/>
        <v>1.9256866078578828E-2</v>
      </c>
      <c r="V208" s="60">
        <f t="shared" si="328"/>
        <v>3.1638415883569249E-2</v>
      </c>
      <c r="W208" s="60" t="e">
        <f t="shared" si="329"/>
        <v>#DIV/0!</v>
      </c>
      <c r="X208" s="135"/>
      <c r="Y208" s="97"/>
      <c r="Z208" s="42"/>
      <c r="AA208" s="42"/>
      <c r="AB208" s="135"/>
      <c r="AC208" s="97"/>
      <c r="AD208" s="42"/>
      <c r="AE208" s="42"/>
      <c r="AF208" s="135"/>
      <c r="AG208" s="97"/>
      <c r="AH208" s="42"/>
      <c r="AI208" s="42"/>
      <c r="AJ208" s="135"/>
      <c r="AK208" s="73">
        <f>+((Benelux!M208*Benelux!$M$196)+(Benelux!Y208*Benelux!$Y$196))/'H7H9 BENELUX'!$AK$196</f>
        <v>1.1116568740720874E-2</v>
      </c>
      <c r="AL208" s="42">
        <f>+((Benelux!N208*Benelux!$N$196)+(Benelux!Z208*Benelux!$Z$196))/'H7H9 BENELUX'!$AL$196</f>
        <v>4.1163711702830799E-3</v>
      </c>
      <c r="AM208" s="42">
        <f>+((Benelux!O208*Benelux!$O$196)+(Benelux!AA208*Benelux!$AA$196))/'H7H9 BENELUX'!$AM$196</f>
        <v>5.4851226428809866E-3</v>
      </c>
      <c r="AN208" s="135"/>
      <c r="AO208" s="84">
        <f t="shared" si="314"/>
        <v>1.1116568740720874E-2</v>
      </c>
      <c r="AP208" s="60">
        <f t="shared" si="309"/>
        <v>4.1163711702830799E-3</v>
      </c>
      <c r="AQ208" s="60">
        <f t="shared" si="310"/>
        <v>5.4851226428809866E-3</v>
      </c>
      <c r="AR208" s="135"/>
      <c r="AS208" s="93">
        <f t="shared" si="330"/>
        <v>1.6176510599155324E-2</v>
      </c>
      <c r="AT208" s="68">
        <f t="shared" si="331"/>
        <v>2.1254568833719772E-2</v>
      </c>
      <c r="AU208" s="68" t="e">
        <f t="shared" si="332"/>
        <v>#DIV/0!</v>
      </c>
      <c r="AW208" s="109"/>
      <c r="BA208" s="109"/>
      <c r="BE208" s="109"/>
      <c r="BI208" s="109"/>
      <c r="BM208" s="109"/>
    </row>
    <row r="209" spans="1:65" ht="16.5" hidden="1" outlineLevel="1" x14ac:dyDescent="0.25">
      <c r="A209" s="212"/>
      <c r="B209" s="9"/>
      <c r="C209" s="39" t="s">
        <v>61</v>
      </c>
      <c r="D209" s="8"/>
      <c r="E209" s="97"/>
      <c r="F209" s="42"/>
      <c r="G209" s="42"/>
      <c r="H209" s="135"/>
      <c r="I209" s="74">
        <f>+((Benelux!E209*Benelux!$E$196)+(Benelux!Q209*Benelux!$Q$196))/'H7H9 BENELUX'!$I$196</f>
        <v>1.3088381652187996E-2</v>
      </c>
      <c r="J209" s="42">
        <f>+((Benelux!F209*Benelux!$F$196)+(Benelux!R209*Benelux!$R$196))/'H7H9 BENELUX'!$J$196</f>
        <v>6.2119203484318777E-2</v>
      </c>
      <c r="K209" s="42" t="e">
        <f>+((Benelux!G209*Benelux!$G$196)+(Benelux!S209*Benelux!$S$196))/'H7H9 BENELUX'!$K$196</f>
        <v>#DIV/0!</v>
      </c>
      <c r="L209" s="135"/>
      <c r="M209" s="74">
        <f>+((Benelux!I209*Benelux!$I$196)+(Benelux!U209*Benelux!$U$196))/'H7H9 BENELUX'!$M$196</f>
        <v>0.20609325860696262</v>
      </c>
      <c r="N209" s="42">
        <f>+((Benelux!J209*Benelux!$J$196)+(Benelux!V209*Benelux!$V$196))/'H7H9 BENELUX'!$N$196</f>
        <v>0.17286620879185594</v>
      </c>
      <c r="O209" s="42">
        <f>+((Benelux!K209*Benelux!$K$196)+(Benelux!W209*Benelux!$W$196))/'H7H9 BENELUX'!$O$196</f>
        <v>0.26291844863120267</v>
      </c>
      <c r="P209" s="135"/>
      <c r="Q209" s="97"/>
      <c r="R209" s="42"/>
      <c r="S209" s="42"/>
      <c r="T209" s="135"/>
      <c r="U209" s="85">
        <f t="shared" si="327"/>
        <v>4.1406046399390391E-2</v>
      </c>
      <c r="V209" s="60">
        <f t="shared" si="328"/>
        <v>8.00244403497226E-2</v>
      </c>
      <c r="W209" s="60" t="e">
        <f t="shared" si="329"/>
        <v>#DIV/0!</v>
      </c>
      <c r="X209" s="135"/>
      <c r="Y209" s="97"/>
      <c r="Z209" s="42"/>
      <c r="AA209" s="42"/>
      <c r="AB209" s="135"/>
      <c r="AC209" s="97"/>
      <c r="AD209" s="42"/>
      <c r="AE209" s="42"/>
      <c r="AF209" s="135"/>
      <c r="AG209" s="97"/>
      <c r="AH209" s="42"/>
      <c r="AI209" s="42"/>
      <c r="AJ209" s="135"/>
      <c r="AK209" s="74">
        <f>+((Benelux!M209*Benelux!$M$196)+(Benelux!Y209*Benelux!$Y$196))/'H7H9 BENELUX'!$AK$196</f>
        <v>9.0731539519462931E-2</v>
      </c>
      <c r="AL209" s="42">
        <f>+((Benelux!N209*Benelux!$N$196)+(Benelux!Z209*Benelux!$Z$196))/'H7H9 BENELUX'!$AL$196</f>
        <v>7.7432821195017487E-2</v>
      </c>
      <c r="AM209" s="42">
        <f>+((Benelux!O209*Benelux!$O$196)+(Benelux!AA209*Benelux!$AA$196))/'H7H9 BENELUX'!$AM$196</f>
        <v>0.11473039225404712</v>
      </c>
      <c r="AN209" s="135"/>
      <c r="AO209" s="85">
        <f t="shared" si="314"/>
        <v>9.0731539519462931E-2</v>
      </c>
      <c r="AP209" s="60">
        <f t="shared" si="309"/>
        <v>7.7432821195017487E-2</v>
      </c>
      <c r="AQ209" s="60">
        <f t="shared" si="310"/>
        <v>0.11473039225404712</v>
      </c>
      <c r="AR209" s="135"/>
      <c r="AS209" s="93">
        <f t="shared" si="330"/>
        <v>6.0071218775963969E-2</v>
      </c>
      <c r="AT209" s="68">
        <f t="shared" si="331"/>
        <v>7.9046643198592823E-2</v>
      </c>
      <c r="AU209" s="68" t="e">
        <f t="shared" si="332"/>
        <v>#DIV/0!</v>
      </c>
      <c r="AW209" s="109"/>
      <c r="BA209" s="109"/>
      <c r="BE209" s="109"/>
      <c r="BI209" s="109"/>
      <c r="BM209" s="109"/>
    </row>
    <row r="210" spans="1:65" ht="16.5" hidden="1" outlineLevel="1" x14ac:dyDescent="0.25">
      <c r="A210" s="212"/>
      <c r="B210" s="9"/>
      <c r="C210" s="116" t="s">
        <v>34</v>
      </c>
      <c r="D210" s="6"/>
      <c r="E210" s="121"/>
      <c r="F210" s="119"/>
      <c r="G210" s="119"/>
      <c r="H210" s="117"/>
      <c r="I210" s="118">
        <f>+Benelux!E210+Benelux!Q210</f>
        <v>0.61651066999999871</v>
      </c>
      <c r="J210" s="119">
        <f>+Benelux!F210+Benelux!R210</f>
        <v>0.54199145000000004</v>
      </c>
      <c r="K210" s="119">
        <f>+Benelux!G210+Benelux!S210</f>
        <v>1.5111585261986311E-2</v>
      </c>
      <c r="L210" s="117"/>
      <c r="M210" s="118">
        <f>+Benelux!I210+Benelux!U210</f>
        <v>4.8817280000000088E-2</v>
      </c>
      <c r="N210" s="119">
        <f>+Benelux!J210+Benelux!V210</f>
        <v>8.2599679999999995E-2</v>
      </c>
      <c r="O210" s="119">
        <f>+Benelux!K210+Benelux!W210</f>
        <v>2.6028514023141717E-2</v>
      </c>
      <c r="P210" s="117"/>
      <c r="Q210" s="121"/>
      <c r="R210" s="119"/>
      <c r="S210" s="119"/>
      <c r="T210" s="117"/>
      <c r="U210" s="122">
        <f t="shared" ref="U210:W210" si="333">+I210+M210</f>
        <v>0.66532794999999878</v>
      </c>
      <c r="V210" s="165">
        <f t="shared" si="333"/>
        <v>0.62459112999999999</v>
      </c>
      <c r="W210" s="123">
        <f t="shared" si="333"/>
        <v>4.1140099285128032E-2</v>
      </c>
      <c r="X210" s="117"/>
      <c r="Y210" s="121"/>
      <c r="Z210" s="119"/>
      <c r="AA210" s="119"/>
      <c r="AB210" s="117"/>
      <c r="AC210" s="121"/>
      <c r="AD210" s="119"/>
      <c r="AE210" s="119"/>
      <c r="AF210" s="117"/>
      <c r="AG210" s="121"/>
      <c r="AH210" s="119"/>
      <c r="AI210" s="119"/>
      <c r="AJ210" s="117"/>
      <c r="AK210" s="118">
        <f>+Benelux!M210+Benelux!Y210</f>
        <v>0.5737651899999997</v>
      </c>
      <c r="AL210" s="119">
        <f>+Benelux!N210+Benelux!Z210</f>
        <v>0.62933269999999975</v>
      </c>
      <c r="AM210" s="119">
        <f>+Benelux!O210+Benelux!AA210</f>
        <v>0.52348213233756902</v>
      </c>
      <c r="AN210" s="117"/>
      <c r="AO210" s="122">
        <f t="shared" si="314"/>
        <v>0.5737651899999997</v>
      </c>
      <c r="AP210" s="165">
        <f t="shared" si="309"/>
        <v>0.62933269999999975</v>
      </c>
      <c r="AQ210" s="123">
        <f t="shared" si="310"/>
        <v>0.52348213233756902</v>
      </c>
      <c r="AR210" s="117"/>
      <c r="AS210" s="166">
        <f t="shared" ref="AS210:AU210" si="334">+U210+AO210</f>
        <v>1.2390931399999985</v>
      </c>
      <c r="AT210" s="167">
        <f t="shared" si="334"/>
        <v>1.2539238299999997</v>
      </c>
      <c r="AU210" s="160">
        <f t="shared" si="334"/>
        <v>0.56462223162269709</v>
      </c>
      <c r="AW210" s="108"/>
      <c r="BA210" s="108"/>
      <c r="BE210" s="108"/>
      <c r="BI210" s="108"/>
      <c r="BM210" s="108"/>
    </row>
    <row r="211" spans="1:65" hidden="1" outlineLevel="1" x14ac:dyDescent="0.35"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</row>
    <row r="212" spans="1:65" ht="16.5" hidden="1" outlineLevel="1" x14ac:dyDescent="0.25">
      <c r="A212" s="212" t="s">
        <v>44</v>
      </c>
      <c r="B212" s="9"/>
      <c r="C212" s="116" t="s">
        <v>19</v>
      </c>
      <c r="D212" s="6"/>
      <c r="E212" s="121"/>
      <c r="F212" s="119"/>
      <c r="G212" s="119"/>
      <c r="H212" s="117"/>
      <c r="I212" s="118">
        <f>+Benelux!E212+Benelux!Q212</f>
        <v>0.10786857999999998</v>
      </c>
      <c r="J212" s="119">
        <f>+Benelux!F212+Benelux!R212</f>
        <v>0.11686347</v>
      </c>
      <c r="K212" s="119">
        <f>+Benelux!G212+Benelux!S212</f>
        <v>1.686E-2</v>
      </c>
      <c r="L212" s="117"/>
      <c r="M212" s="118">
        <f>+Benelux!I212+Benelux!U212</f>
        <v>6.8904999999999999E-3</v>
      </c>
      <c r="N212" s="119">
        <f>+Benelux!J212+Benelux!V212</f>
        <v>7.2917499999999996E-3</v>
      </c>
      <c r="O212" s="119">
        <f>+Benelux!K212+Benelux!W212</f>
        <v>0</v>
      </c>
      <c r="P212" s="117"/>
      <c r="Q212" s="121"/>
      <c r="R212" s="119"/>
      <c r="S212" s="119"/>
      <c r="T212" s="117"/>
      <c r="U212" s="122">
        <f t="shared" ref="U212:U213" si="335">+I212+M212</f>
        <v>0.11475907999999997</v>
      </c>
      <c r="V212" s="123">
        <f t="shared" ref="V212:V213" si="336">+J212+N212</f>
        <v>0.12415522</v>
      </c>
      <c r="W212" s="123">
        <f t="shared" ref="W212:W213" si="337">+K212+O212</f>
        <v>1.686E-2</v>
      </c>
      <c r="X212" s="117"/>
      <c r="Y212" s="121"/>
      <c r="Z212" s="119"/>
      <c r="AA212" s="119"/>
      <c r="AB212" s="117"/>
      <c r="AC212" s="121"/>
      <c r="AD212" s="119"/>
      <c r="AE212" s="119"/>
      <c r="AF212" s="117"/>
      <c r="AG212" s="121"/>
      <c r="AH212" s="119"/>
      <c r="AI212" s="119"/>
      <c r="AJ212" s="117"/>
      <c r="AK212" s="118">
        <f>+Benelux!M212+Benelux!Y212</f>
        <v>21.921365100000003</v>
      </c>
      <c r="AL212" s="119">
        <f>+Benelux!N212+Benelux!Z212</f>
        <v>22.424075719999998</v>
      </c>
      <c r="AM212" s="119">
        <f>+Benelux!O212+Benelux!AA212</f>
        <v>20.131249767002824</v>
      </c>
      <c r="AN212" s="117"/>
      <c r="AO212" s="122">
        <f>+AK212</f>
        <v>21.921365100000003</v>
      </c>
      <c r="AP212" s="123">
        <f t="shared" ref="AP212:AP227" si="338">+AL212</f>
        <v>22.424075719999998</v>
      </c>
      <c r="AQ212" s="123">
        <f t="shared" ref="AQ212:AQ227" si="339">+AM212</f>
        <v>20.131249767002824</v>
      </c>
      <c r="AR212" s="117"/>
      <c r="AS212" s="166">
        <f t="shared" ref="AS212:AS213" si="340">+U212+AO212</f>
        <v>22.036124180000002</v>
      </c>
      <c r="AT212" s="160">
        <f t="shared" ref="AT212:AT213" si="341">+V212+AP212</f>
        <v>22.548230939999996</v>
      </c>
      <c r="AU212" s="160">
        <f t="shared" ref="AU212:AU213" si="342">+W212+AQ212</f>
        <v>20.148109767002826</v>
      </c>
      <c r="AW212" s="108"/>
      <c r="BA212" s="108"/>
      <c r="BE212" s="108"/>
      <c r="BI212" s="108"/>
      <c r="BM212" s="108"/>
    </row>
    <row r="213" spans="1:65" ht="16.5" hidden="1" outlineLevel="1" x14ac:dyDescent="0.25">
      <c r="A213" s="212"/>
      <c r="B213" s="9"/>
      <c r="C213" s="116" t="s">
        <v>55</v>
      </c>
      <c r="D213" s="6"/>
      <c r="E213" s="121"/>
      <c r="F213" s="119"/>
      <c r="G213" s="119"/>
      <c r="H213" s="117"/>
      <c r="I213" s="118">
        <f>+Benelux!E213+Benelux!Q213</f>
        <v>9.9841640000000051E-2</v>
      </c>
      <c r="J213" s="119">
        <f>+Benelux!F213+Benelux!R213</f>
        <v>0.10783339999999997</v>
      </c>
      <c r="K213" s="119">
        <f>+Benelux!G213+Benelux!S213</f>
        <v>1.6100000000000021E-2</v>
      </c>
      <c r="L213" s="117"/>
      <c r="M213" s="118">
        <f>+Benelux!I213+Benelux!U213</f>
        <v>6.4492899999999999E-3</v>
      </c>
      <c r="N213" s="119">
        <f>+Benelux!J213+Benelux!V213</f>
        <v>6.8124100000000022E-3</v>
      </c>
      <c r="O213" s="119">
        <f>+Benelux!K213+Benelux!W213</f>
        <v>0</v>
      </c>
      <c r="P213" s="117"/>
      <c r="Q213" s="121"/>
      <c r="R213" s="119"/>
      <c r="S213" s="119"/>
      <c r="T213" s="117"/>
      <c r="U213" s="122">
        <f t="shared" si="335"/>
        <v>0.10629093000000005</v>
      </c>
      <c r="V213" s="123">
        <f t="shared" si="336"/>
        <v>0.11464580999999997</v>
      </c>
      <c r="W213" s="123">
        <f t="shared" si="337"/>
        <v>1.6100000000000021E-2</v>
      </c>
      <c r="X213" s="117"/>
      <c r="Y213" s="121"/>
      <c r="Z213" s="119"/>
      <c r="AA213" s="119"/>
      <c r="AB213" s="117"/>
      <c r="AC213" s="121"/>
      <c r="AD213" s="119"/>
      <c r="AE213" s="119"/>
      <c r="AF213" s="117"/>
      <c r="AG213" s="121"/>
      <c r="AH213" s="119"/>
      <c r="AI213" s="119"/>
      <c r="AJ213" s="117"/>
      <c r="AK213" s="121">
        <f>+Benelux!M213+Benelux!Y213</f>
        <v>13.685977859999999</v>
      </c>
      <c r="AL213" s="119">
        <f>+Benelux!N213+Benelux!Z213</f>
        <v>13.907735919999999</v>
      </c>
      <c r="AM213" s="119">
        <f>+Benelux!O213+Benelux!AA213</f>
        <v>14.045686262675114</v>
      </c>
      <c r="AN213" s="117"/>
      <c r="AO213" s="124">
        <f t="shared" ref="AO213:AO227" si="343">+AK213</f>
        <v>13.685977859999999</v>
      </c>
      <c r="AP213" s="123">
        <f t="shared" si="338"/>
        <v>13.907735919999999</v>
      </c>
      <c r="AQ213" s="123">
        <f t="shared" si="339"/>
        <v>14.045686262675114</v>
      </c>
      <c r="AR213" s="117"/>
      <c r="AS213" s="159">
        <f t="shared" si="340"/>
        <v>13.79226879</v>
      </c>
      <c r="AT213" s="160">
        <f t="shared" si="341"/>
        <v>14.022381729999999</v>
      </c>
      <c r="AU213" s="160">
        <f t="shared" si="342"/>
        <v>14.061786262675113</v>
      </c>
      <c r="AW213" s="108"/>
      <c r="BA213" s="108"/>
      <c r="BE213" s="108"/>
      <c r="BI213" s="108"/>
      <c r="BM213" s="108"/>
    </row>
    <row r="214" spans="1:65" ht="16.5" hidden="1" outlineLevel="1" x14ac:dyDescent="0.25">
      <c r="A214" s="212"/>
      <c r="B214" s="9"/>
      <c r="C214" s="116" t="s">
        <v>21</v>
      </c>
      <c r="D214" s="6"/>
      <c r="E214" s="131"/>
      <c r="F214" s="127"/>
      <c r="G214" s="127"/>
      <c r="H214" s="117"/>
      <c r="I214" s="128">
        <f>+I215+I220+I221+I222+I223</f>
        <v>2.6678501074301249</v>
      </c>
      <c r="J214" s="127">
        <f t="shared" ref="J214" si="344">+J215+J220+J221+J222+J223</f>
        <v>3.4833272436925857</v>
      </c>
      <c r="K214" s="127">
        <f t="shared" ref="K214" si="345">+K215+K220+K221+K222+K223</f>
        <v>0.51347491672933976</v>
      </c>
      <c r="L214" s="117"/>
      <c r="M214" s="126">
        <f>+M215+M220+M221+M222+M223</f>
        <v>-0.13456830131688904</v>
      </c>
      <c r="N214" s="127">
        <f>+N215+N220+N221+N222+N223</f>
        <v>1.2766862241115842</v>
      </c>
      <c r="O214" s="127">
        <f>+O215+O220+O221+O222+O223</f>
        <v>0</v>
      </c>
      <c r="P214" s="117"/>
      <c r="Q214" s="131"/>
      <c r="R214" s="127"/>
      <c r="S214" s="127"/>
      <c r="T214" s="117"/>
      <c r="U214" s="129">
        <f>+U215+U220+U221+U222+U223</f>
        <v>2.4978110549978245</v>
      </c>
      <c r="V214" s="130">
        <f>+V215+V220+V221+V222+V223</f>
        <v>3.3522056322860818</v>
      </c>
      <c r="W214" s="130">
        <f>+W215+W220+W221+W222+W223</f>
        <v>0.51347491672933976</v>
      </c>
      <c r="X214" s="117"/>
      <c r="Y214" s="131"/>
      <c r="Z214" s="127"/>
      <c r="AA214" s="127"/>
      <c r="AB214" s="117"/>
      <c r="AC214" s="131"/>
      <c r="AD214" s="127"/>
      <c r="AE214" s="127"/>
      <c r="AF214" s="117"/>
      <c r="AG214" s="131"/>
      <c r="AH214" s="127"/>
      <c r="AI214" s="127"/>
      <c r="AJ214" s="117"/>
      <c r="AK214" s="126">
        <f>+AK215+AK220+AK221+AK222+AK223</f>
        <v>0.70236417071041513</v>
      </c>
      <c r="AL214" s="127">
        <f>+AL215+AL220+AL221+AL222+AL223</f>
        <v>0.94079440429869754</v>
      </c>
      <c r="AM214" s="127">
        <f>+AM215+AM220+AM221+AM222+AM223</f>
        <v>0.84525956718923678</v>
      </c>
      <c r="AN214" s="117"/>
      <c r="AO214" s="132">
        <f t="shared" si="343"/>
        <v>0.70236417071041513</v>
      </c>
      <c r="AP214" s="130">
        <f t="shared" si="338"/>
        <v>0.94079440429869754</v>
      </c>
      <c r="AQ214" s="130">
        <f t="shared" si="339"/>
        <v>0.84525956718923678</v>
      </c>
      <c r="AR214" s="117"/>
      <c r="AS214" s="162">
        <f>+AS215+AS220+AS221+AS222+AS223</f>
        <v>0.71620088764235867</v>
      </c>
      <c r="AT214" s="163">
        <f>+AT215+AT220+AT221+AT222+AT223</f>
        <v>0.96050989905550066</v>
      </c>
      <c r="AU214" s="163">
        <f>+AU215+AU220+AU221+AU222+AU223</f>
        <v>0.84487969134895435</v>
      </c>
      <c r="AW214" s="109"/>
      <c r="BA214" s="109"/>
      <c r="BE214" s="109"/>
      <c r="BI214" s="109"/>
      <c r="BM214" s="109"/>
    </row>
    <row r="215" spans="1:65" ht="16.5" hidden="1" outlineLevel="1" x14ac:dyDescent="0.25">
      <c r="A215" s="212"/>
      <c r="B215" s="9"/>
      <c r="C215" s="116" t="s">
        <v>56</v>
      </c>
      <c r="D215" s="6"/>
      <c r="E215" s="131"/>
      <c r="F215" s="127"/>
      <c r="G215" s="127"/>
      <c r="H215" s="117"/>
      <c r="I215" s="126">
        <f>+I216+I217+I218+I219</f>
        <v>3.4879334914771028E-2</v>
      </c>
      <c r="J215" s="127">
        <f t="shared" ref="J215" si="346">+J216+J217+J218+J219</f>
        <v>5.8446640836698122E-2</v>
      </c>
      <c r="K215" s="127">
        <f t="shared" ref="K215" si="347">+K216+K217+K218+K219</f>
        <v>8.0037080775631E-2</v>
      </c>
      <c r="L215" s="117"/>
      <c r="M215" s="126">
        <f>+M216+M217+M218+M219</f>
        <v>-3.984934775766014E-4</v>
      </c>
      <c r="N215" s="127">
        <f>+N216+N217+N218+N219</f>
        <v>0.72753548303757387</v>
      </c>
      <c r="O215" s="127">
        <f>+O216+O217+O218+O219</f>
        <v>0</v>
      </c>
      <c r="P215" s="117"/>
      <c r="Q215" s="131"/>
      <c r="R215" s="127"/>
      <c r="S215" s="127"/>
      <c r="T215" s="117"/>
      <c r="U215" s="132">
        <f>+U216+U217+U218+U219</f>
        <v>3.2738823528969022E-2</v>
      </c>
      <c r="V215" s="130">
        <f>+V216+V217+V218+V219</f>
        <v>9.8204810101651371E-2</v>
      </c>
      <c r="W215" s="130">
        <f>+W216+W217+W218+W219</f>
        <v>8.0037080775631E-2</v>
      </c>
      <c r="X215" s="117"/>
      <c r="Y215" s="131"/>
      <c r="Z215" s="127"/>
      <c r="AA215" s="127"/>
      <c r="AB215" s="117"/>
      <c r="AC215" s="131"/>
      <c r="AD215" s="127"/>
      <c r="AE215" s="127"/>
      <c r="AF215" s="117"/>
      <c r="AG215" s="131"/>
      <c r="AH215" s="127"/>
      <c r="AI215" s="127"/>
      <c r="AJ215" s="117"/>
      <c r="AK215" s="128">
        <f>+AK216+AK217+AK218+AK219</f>
        <v>0.65688593040000731</v>
      </c>
      <c r="AL215" s="127">
        <f>+AL216+AL217+AL218+AL219</f>
        <v>0.70008838577372123</v>
      </c>
      <c r="AM215" s="127">
        <f>+AM216+AM217+AM218+AM219</f>
        <v>0.62536528870063046</v>
      </c>
      <c r="AN215" s="117"/>
      <c r="AO215" s="129">
        <f t="shared" si="343"/>
        <v>0.65688593040000731</v>
      </c>
      <c r="AP215" s="130">
        <f t="shared" si="338"/>
        <v>0.70008838577372123</v>
      </c>
      <c r="AQ215" s="130">
        <f t="shared" si="339"/>
        <v>0.62536528870063046</v>
      </c>
      <c r="AR215" s="117"/>
      <c r="AS215" s="164">
        <f>+AS216+AS217+AS218+AS219</f>
        <v>0.65207590403986027</v>
      </c>
      <c r="AT215" s="163">
        <f>+AT216+AT217+AT218+AT219</f>
        <v>0.69516743643806067</v>
      </c>
      <c r="AU215" s="163">
        <f>+AU216+AU217+AU218+AU219</f>
        <v>0.62474091680479971</v>
      </c>
      <c r="AW215" s="109"/>
      <c r="BA215" s="109"/>
      <c r="BE215" s="109"/>
      <c r="BI215" s="109"/>
      <c r="BM215" s="109"/>
    </row>
    <row r="216" spans="1:65" ht="16.5" hidden="1" outlineLevel="1" x14ac:dyDescent="0.25">
      <c r="A216" s="212"/>
      <c r="B216" s="9"/>
      <c r="C216" s="38" t="s">
        <v>23</v>
      </c>
      <c r="D216" s="6"/>
      <c r="E216" s="97"/>
      <c r="F216" s="42"/>
      <c r="G216" s="42"/>
      <c r="H216" s="117"/>
      <c r="I216" s="73">
        <f>+((Benelux!E216*Benelux!$E$213)+(Benelux!Q216*Benelux!$Q$213))/'H7H9 BENELUX'!$I$213</f>
        <v>2.8773265342997158E-2</v>
      </c>
      <c r="J216" s="42">
        <f>+((Benelux!F216*Benelux!$F$213)+(Benelux!R216*Benelux!$R$213))/'H7H9 BENELUX'!$J$213</f>
        <v>2.9387926189844739E-3</v>
      </c>
      <c r="K216" s="42">
        <f>+((Benelux!G216*Benelux!$G$213)+(Benelux!S216*Benelux!$S$213))/'H7H9 BENELUX'!$K$213</f>
        <v>7.0985267525890778E-4</v>
      </c>
      <c r="L216" s="117"/>
      <c r="M216" s="97">
        <f>+((Benelux!I216*Benelux!$I$213)+(Benelux!U216*Benelux!$U$213))/'H7H9 BENELUX'!$M$213</f>
        <v>4.6516748355245304E-6</v>
      </c>
      <c r="N216" s="42">
        <f>+((Benelux!J216*Benelux!$J$213)+(Benelux!V216*Benelux!$V$213))/'H7H9 BENELUX'!$N$213</f>
        <v>0.72791713945578707</v>
      </c>
      <c r="O216" s="42">
        <f>IFERROR(+((Benelux!K216*Benelux!$K$213)+(Benelux!W216*Benelux!$W$213))/'H7H9 BENELUX'!$O$213,0)</f>
        <v>0</v>
      </c>
      <c r="P216" s="117"/>
      <c r="Q216" s="97"/>
      <c r="R216" s="42"/>
      <c r="S216" s="42"/>
      <c r="T216" s="117"/>
      <c r="U216" s="84">
        <f>+((I216*$I$213)+(M216*$M$213))/$U$213</f>
        <v>2.702770593878517E-2</v>
      </c>
      <c r="V216" s="60">
        <f>+((J216*$J$213)+(N216*$N$213))/$V$213</f>
        <v>4.6017992284236128E-2</v>
      </c>
      <c r="W216" s="60">
        <f>+((K216*$K$213)+(O216*$O$213))/$W$213</f>
        <v>7.0985267525890778E-4</v>
      </c>
      <c r="X216" s="117"/>
      <c r="Y216" s="97"/>
      <c r="Z216" s="42"/>
      <c r="AA216" s="42"/>
      <c r="AB216" s="117"/>
      <c r="AC216" s="97"/>
      <c r="AD216" s="42"/>
      <c r="AE216" s="42"/>
      <c r="AF216" s="117"/>
      <c r="AG216" s="97"/>
      <c r="AH216" s="42"/>
      <c r="AI216" s="42"/>
      <c r="AJ216" s="117"/>
      <c r="AK216" s="73">
        <f>+((Benelux!M216*Benelux!$M$213)+(Benelux!Y216*Benelux!$Y$213))/'H7H9 BENELUX'!$AK$213</f>
        <v>0.53461305175602558</v>
      </c>
      <c r="AL216" s="42">
        <f>+((Benelux!N216*Benelux!$N$213)+(Benelux!Z216*Benelux!$Z$213))/'H7H9 BENELUX'!$AL$213</f>
        <v>0.53554316625246934</v>
      </c>
      <c r="AM216" s="42">
        <f>+((Benelux!O216*Benelux!$O$213)+(Benelux!AA216*Benelux!$AA$213))/'H7H9 BENELUX'!$AM$213</f>
        <v>0.49831070145068218</v>
      </c>
      <c r="AN216" s="117"/>
      <c r="AO216" s="84">
        <f t="shared" si="343"/>
        <v>0.53461305175602558</v>
      </c>
      <c r="AP216" s="60">
        <f t="shared" si="338"/>
        <v>0.53554316625246934</v>
      </c>
      <c r="AQ216" s="60">
        <f t="shared" si="339"/>
        <v>0.49831070145068218</v>
      </c>
      <c r="AR216" s="117"/>
      <c r="AS216" s="92">
        <f>+((U216*$U$213)+(AO216*$AO$213))/$AS$213</f>
        <v>0.53070131545775945</v>
      </c>
      <c r="AT216" s="68">
        <f>+((V216*$V$213)+(AP216*$AP$213))/$AT$213</f>
        <v>0.53154084972981253</v>
      </c>
      <c r="AU216" s="68">
        <f>+((W216*$W$213)+(AQ216*$AQ$213))/$AU$213</f>
        <v>0.49774097485154095</v>
      </c>
      <c r="AW216" s="109"/>
      <c r="BA216" s="109"/>
      <c r="BE216" s="109"/>
      <c r="BI216" s="109"/>
      <c r="BM216" s="109"/>
    </row>
    <row r="217" spans="1:65" ht="16.5" hidden="1" outlineLevel="1" x14ac:dyDescent="0.25">
      <c r="A217" s="212"/>
      <c r="B217" s="9"/>
      <c r="C217" s="38" t="s">
        <v>24</v>
      </c>
      <c r="D217" s="7"/>
      <c r="E217" s="97"/>
      <c r="F217" s="42"/>
      <c r="G217" s="42"/>
      <c r="H217" s="134"/>
      <c r="I217" s="97">
        <f>+((Benelux!E217*Benelux!$E$213)+(Benelux!Q217*Benelux!$Q$213))/'H7H9 BENELUX'!$I$213</f>
        <v>0</v>
      </c>
      <c r="J217" s="42">
        <f>+((Benelux!F217*Benelux!$F$213)+(Benelux!R217*Benelux!$R$213))/'H7H9 BENELUX'!$J$213</f>
        <v>0</v>
      </c>
      <c r="K217" s="42">
        <f>+((Benelux!G217*Benelux!$G$213)+(Benelux!S217*Benelux!$S$213))/'H7H9 BENELUX'!$K$213</f>
        <v>0</v>
      </c>
      <c r="L217" s="134"/>
      <c r="M217" s="97">
        <f>+((Benelux!I217*Benelux!$I$213)+(Benelux!U217*Benelux!$U$213))/'H7H9 BENELUX'!$M$213</f>
        <v>0</v>
      </c>
      <c r="N217" s="42">
        <f>+((Benelux!J217*Benelux!$J$213)+(Benelux!V217*Benelux!$V$213))/'H7H9 BENELUX'!$N$213</f>
        <v>0</v>
      </c>
      <c r="O217" s="42">
        <f>IFERROR(+((Benelux!K217*Benelux!$K$213)+(Benelux!W217*Benelux!$W$213))/'H7H9 BENELUX'!$O$213,0)</f>
        <v>0</v>
      </c>
      <c r="P217" s="134"/>
      <c r="Q217" s="97"/>
      <c r="R217" s="42"/>
      <c r="S217" s="42"/>
      <c r="T217" s="134"/>
      <c r="U217" s="99">
        <f t="shared" ref="U217:U222" si="348">+((I217*$I$213)+(M217*$M$213))/$U$213</f>
        <v>0</v>
      </c>
      <c r="V217" s="60">
        <f t="shared" ref="V217:V222" si="349">+((J217*$J$213)+(N217*$N$213))/$V$213</f>
        <v>0</v>
      </c>
      <c r="W217" s="60">
        <f t="shared" ref="W217:W222" si="350">+((K217*$K$213)+(O217*$O$213))/$W$213</f>
        <v>0</v>
      </c>
      <c r="X217" s="134"/>
      <c r="Y217" s="97"/>
      <c r="Z217" s="42"/>
      <c r="AA217" s="42"/>
      <c r="AB217" s="134"/>
      <c r="AC217" s="97"/>
      <c r="AD217" s="42"/>
      <c r="AE217" s="42"/>
      <c r="AF217" s="134"/>
      <c r="AG217" s="97"/>
      <c r="AH217" s="42"/>
      <c r="AI217" s="42"/>
      <c r="AJ217" s="134"/>
      <c r="AK217" s="97">
        <f>+((Benelux!M217*Benelux!$M$213)+(Benelux!Y217*Benelux!$Y$213))/'H7H9 BENELUX'!$AK$213</f>
        <v>0</v>
      </c>
      <c r="AL217" s="42">
        <f>+((Benelux!N217*Benelux!$N$213)+(Benelux!Z217*Benelux!$Z$213))/'H7H9 BENELUX'!$AL$213</f>
        <v>0</v>
      </c>
      <c r="AM217" s="42">
        <f>+((Benelux!O217*Benelux!$O$213)+(Benelux!AA217*Benelux!$AA$213))/'H7H9 BENELUX'!$AM$213</f>
        <v>0</v>
      </c>
      <c r="AN217" s="134"/>
      <c r="AO217" s="99">
        <f t="shared" si="343"/>
        <v>0</v>
      </c>
      <c r="AP217" s="60">
        <f t="shared" si="338"/>
        <v>0</v>
      </c>
      <c r="AQ217" s="60">
        <f t="shared" si="339"/>
        <v>0</v>
      </c>
      <c r="AR217" s="134"/>
      <c r="AS217" s="106">
        <f t="shared" ref="AS217:AS222" si="351">+((U217*$U$213)+(AO217*$AO$213))/$AS$213</f>
        <v>0</v>
      </c>
      <c r="AT217" s="68">
        <f t="shared" ref="AT217:AT222" si="352">+((V217*$V$213)+(AP217*$AP$213))/$AT$213</f>
        <v>0</v>
      </c>
      <c r="AU217" s="68">
        <f t="shared" ref="AU217:AU222" si="353">+((W217*$W$213)+(AQ217*$AQ$213))/$AU$213</f>
        <v>0</v>
      </c>
      <c r="AW217" s="109"/>
      <c r="BA217" s="109"/>
      <c r="BE217" s="109"/>
      <c r="BI217" s="109"/>
      <c r="BM217" s="109"/>
    </row>
    <row r="218" spans="1:65" ht="16.5" hidden="1" outlineLevel="1" x14ac:dyDescent="0.25">
      <c r="A218" s="212"/>
      <c r="B218" s="9"/>
      <c r="C218" s="38" t="s">
        <v>25</v>
      </c>
      <c r="D218" s="7"/>
      <c r="E218" s="97"/>
      <c r="F218" s="42"/>
      <c r="G218" s="42"/>
      <c r="H218" s="134"/>
      <c r="I218" s="97">
        <f>+((Benelux!E218*Benelux!$E$213)+(Benelux!Q218*Benelux!$Q$213))/'H7H9 BENELUX'!$I$213</f>
        <v>0</v>
      </c>
      <c r="J218" s="42">
        <f>+((Benelux!F218*Benelux!$F$213)+(Benelux!R218*Benelux!$R$213))/'H7H9 BENELUX'!$J$213</f>
        <v>0</v>
      </c>
      <c r="K218" s="42">
        <f>+((Benelux!G218*Benelux!$G$213)+(Benelux!S218*Benelux!$S$213))/'H7H9 BENELUX'!$K$213</f>
        <v>0</v>
      </c>
      <c r="L218" s="134"/>
      <c r="M218" s="97">
        <f>+((Benelux!I218*Benelux!$I$213)+(Benelux!U218*Benelux!$U$213))/'H7H9 BENELUX'!$M$213</f>
        <v>0</v>
      </c>
      <c r="N218" s="42">
        <f>+((Benelux!J218*Benelux!$J$213)+(Benelux!V218*Benelux!$V$213))/'H7H9 BENELUX'!$N$213</f>
        <v>0</v>
      </c>
      <c r="O218" s="42">
        <f>IFERROR(+((Benelux!K218*Benelux!$K$213)+(Benelux!W218*Benelux!$W$213))/'H7H9 BENELUX'!$O$213,0)</f>
        <v>0</v>
      </c>
      <c r="P218" s="134"/>
      <c r="Q218" s="97"/>
      <c r="R218" s="42"/>
      <c r="S218" s="42"/>
      <c r="T218" s="134"/>
      <c r="U218" s="99">
        <f t="shared" si="348"/>
        <v>0</v>
      </c>
      <c r="V218" s="60">
        <f t="shared" si="349"/>
        <v>0</v>
      </c>
      <c r="W218" s="60">
        <f t="shared" si="350"/>
        <v>0</v>
      </c>
      <c r="X218" s="134"/>
      <c r="Y218" s="97"/>
      <c r="Z218" s="42"/>
      <c r="AA218" s="42"/>
      <c r="AB218" s="134"/>
      <c r="AC218" s="97"/>
      <c r="AD218" s="42"/>
      <c r="AE218" s="42"/>
      <c r="AF218" s="134"/>
      <c r="AG218" s="97"/>
      <c r="AH218" s="42"/>
      <c r="AI218" s="42"/>
      <c r="AJ218" s="134"/>
      <c r="AK218" s="74">
        <f>+((Benelux!M218*Benelux!$M$213)+(Benelux!Y218*Benelux!$Y$213))/'H7H9 BENELUX'!$AK$213</f>
        <v>4.7493866105085165E-2</v>
      </c>
      <c r="AL218" s="42">
        <f>+((Benelux!N218*Benelux!$N$213)+(Benelux!Z218*Benelux!$Z$213))/'H7H9 BENELUX'!$AL$213</f>
        <v>6.9961063799088868E-2</v>
      </c>
      <c r="AM218" s="42">
        <f>+((Benelux!O218*Benelux!$O$213)+(Benelux!AA218*Benelux!$AA$213))/'H7H9 BENELUX'!$AM$213</f>
        <v>5.2640923827018411E-2</v>
      </c>
      <c r="AN218" s="134"/>
      <c r="AO218" s="85">
        <f t="shared" si="343"/>
        <v>4.7493866105085165E-2</v>
      </c>
      <c r="AP218" s="60">
        <f t="shared" si="338"/>
        <v>6.9961063799088868E-2</v>
      </c>
      <c r="AQ218" s="60">
        <f t="shared" si="339"/>
        <v>5.2640923827018411E-2</v>
      </c>
      <c r="AR218" s="134"/>
      <c r="AS218" s="93">
        <f t="shared" si="351"/>
        <v>4.7127851834737916E-2</v>
      </c>
      <c r="AT218" s="68">
        <f t="shared" si="352"/>
        <v>6.9389068043863605E-2</v>
      </c>
      <c r="AU218" s="68">
        <f t="shared" si="353"/>
        <v>5.2580652759190799E-2</v>
      </c>
      <c r="AW218" s="109"/>
      <c r="BA218" s="109"/>
      <c r="BE218" s="109"/>
      <c r="BI218" s="109"/>
      <c r="BM218" s="109"/>
    </row>
    <row r="219" spans="1:65" ht="16.5" hidden="1" outlineLevel="1" x14ac:dyDescent="0.25">
      <c r="A219" s="212"/>
      <c r="B219" s="9"/>
      <c r="C219" s="38" t="s">
        <v>53</v>
      </c>
      <c r="D219" s="7"/>
      <c r="E219" s="97"/>
      <c r="F219" s="42"/>
      <c r="G219" s="42"/>
      <c r="H219" s="134"/>
      <c r="I219" s="74">
        <f>+((Benelux!E219*Benelux!$E$213)+(Benelux!Q219*Benelux!$Q$213))/'H7H9 BENELUX'!$I$213</f>
        <v>6.1060695717738683E-3</v>
      </c>
      <c r="J219" s="42">
        <f>+((Benelux!F219*Benelux!$F$213)+(Benelux!R219*Benelux!$R$213))/'H7H9 BENELUX'!$J$213</f>
        <v>5.5507848217713651E-2</v>
      </c>
      <c r="K219" s="42">
        <f>+((Benelux!G219*Benelux!$G$213)+(Benelux!S219*Benelux!$S$213))/'H7H9 BENELUX'!$K$213</f>
        <v>7.9327228100372099E-2</v>
      </c>
      <c r="L219" s="134"/>
      <c r="M219" s="74">
        <f>+((Benelux!I219*Benelux!$I$213)+(Benelux!U219*Benelux!$U$213))/'H7H9 BENELUX'!$M$213</f>
        <v>-4.0314515241212593E-4</v>
      </c>
      <c r="N219" s="42">
        <f>+((Benelux!J219*Benelux!$J$213)+(Benelux!V219*Benelux!$V$213))/'H7H9 BENELUX'!$N$213</f>
        <v>-3.8165641821323126E-4</v>
      </c>
      <c r="O219" s="42">
        <f>IFERROR(+((Benelux!K219*Benelux!$K$213)+(Benelux!W219*Benelux!$W$213))/'H7H9 BENELUX'!$O$213,0)</f>
        <v>0</v>
      </c>
      <c r="P219" s="134"/>
      <c r="Q219" s="97"/>
      <c r="R219" s="42"/>
      <c r="S219" s="42"/>
      <c r="T219" s="134"/>
      <c r="U219" s="85">
        <f t="shared" si="348"/>
        <v>5.7111175901838548E-3</v>
      </c>
      <c r="V219" s="60">
        <f t="shared" si="349"/>
        <v>5.2186817817415243E-2</v>
      </c>
      <c r="W219" s="60">
        <f t="shared" si="350"/>
        <v>7.9327228100372099E-2</v>
      </c>
      <c r="X219" s="134"/>
      <c r="Y219" s="97"/>
      <c r="Z219" s="42"/>
      <c r="AA219" s="42"/>
      <c r="AB219" s="134"/>
      <c r="AC219" s="97"/>
      <c r="AD219" s="42"/>
      <c r="AE219" s="42"/>
      <c r="AF219" s="134"/>
      <c r="AG219" s="97"/>
      <c r="AH219" s="42"/>
      <c r="AI219" s="42"/>
      <c r="AJ219" s="134"/>
      <c r="AK219" s="73">
        <f>+((Benelux!M219*Benelux!$M$213)+(Benelux!Y219*Benelux!$Y$213))/'H7H9 BENELUX'!$AK$213</f>
        <v>7.4779012538896544E-2</v>
      </c>
      <c r="AL219" s="42">
        <f>+((Benelux!N219*Benelux!$N$213)+(Benelux!Z219*Benelux!$Z$213))/'H7H9 BENELUX'!$AL$213</f>
        <v>9.4584155722162999E-2</v>
      </c>
      <c r="AM219" s="42">
        <f>+((Benelux!O219*Benelux!$O$213)+(Benelux!AA219*Benelux!$AA$213))/'H7H9 BENELUX'!$AM$213</f>
        <v>7.4413663422929877E-2</v>
      </c>
      <c r="AN219" s="134"/>
      <c r="AO219" s="84">
        <f t="shared" si="343"/>
        <v>7.4779012538896544E-2</v>
      </c>
      <c r="AP219" s="60">
        <f t="shared" si="338"/>
        <v>9.4584155722162999E-2</v>
      </c>
      <c r="AQ219" s="60">
        <f t="shared" si="339"/>
        <v>7.4413663422929877E-2</v>
      </c>
      <c r="AR219" s="134"/>
      <c r="AS219" s="93">
        <f t="shared" si="351"/>
        <v>7.4246736747362971E-2</v>
      </c>
      <c r="AT219" s="68">
        <f t="shared" si="352"/>
        <v>9.4237518664384554E-2</v>
      </c>
      <c r="AU219" s="68">
        <f t="shared" si="353"/>
        <v>7.4419289194067983E-2</v>
      </c>
      <c r="AW219" s="109"/>
      <c r="BA219" s="109"/>
      <c r="BE219" s="109"/>
      <c r="BI219" s="109"/>
      <c r="BM219" s="109"/>
    </row>
    <row r="220" spans="1:65" ht="16.5" hidden="1" outlineLevel="1" x14ac:dyDescent="0.25">
      <c r="A220" s="212"/>
      <c r="B220" s="9"/>
      <c r="C220" s="116" t="s">
        <v>27</v>
      </c>
      <c r="D220" s="7"/>
      <c r="E220" s="131"/>
      <c r="F220" s="127"/>
      <c r="G220" s="127"/>
      <c r="H220" s="134"/>
      <c r="I220" s="128">
        <f>+((Benelux!E220*Benelux!$E$213)+(Benelux!Q220*Benelux!$Q$213))/'H7H9 BENELUX'!$I$213</f>
        <v>-8.7688864085165249E-4</v>
      </c>
      <c r="J220" s="127">
        <f>+((Benelux!F220*Benelux!$F$213)+(Benelux!R220*Benelux!$R$213))/'H7H9 BENELUX'!$J$213</f>
        <v>-1.1591955739130489E-5</v>
      </c>
      <c r="K220" s="127">
        <f>+((Benelux!G220*Benelux!$G$213)+(Benelux!S220*Benelux!$S$213))/'H7H9 BENELUX'!$K$213</f>
        <v>1.0397048288950021E-4</v>
      </c>
      <c r="L220" s="134"/>
      <c r="M220" s="127">
        <f>+((Benelux!I220*Benelux!$I$213)+(Benelux!U220*Benelux!$U$213))/'H7H9 BENELUX'!$M$213</f>
        <v>0</v>
      </c>
      <c r="N220" s="127">
        <f>+((Benelux!J220*Benelux!$J$213)+(Benelux!V220*Benelux!$V$213))/'H7H9 BENELUX'!$N$213</f>
        <v>0</v>
      </c>
      <c r="O220" s="127">
        <f>IFERROR(+((Benelux!K220*Benelux!$K$213)+(Benelux!W220*Benelux!$W$213))/'H7H9 BENELUX'!$O$213,0)</f>
        <v>0</v>
      </c>
      <c r="P220" s="134"/>
      <c r="Q220" s="131"/>
      <c r="R220" s="127"/>
      <c r="S220" s="127"/>
      <c r="T220" s="134"/>
      <c r="U220" s="129">
        <f t="shared" si="348"/>
        <v>-8.23682698043944E-4</v>
      </c>
      <c r="V220" s="130">
        <f t="shared" si="349"/>
        <v>-1.0903145958844493E-5</v>
      </c>
      <c r="W220" s="130">
        <f t="shared" si="350"/>
        <v>1.0397048288950021E-4</v>
      </c>
      <c r="X220" s="134"/>
      <c r="Y220" s="131"/>
      <c r="Z220" s="127"/>
      <c r="AA220" s="127"/>
      <c r="AB220" s="134"/>
      <c r="AC220" s="131"/>
      <c r="AD220" s="127"/>
      <c r="AE220" s="127"/>
      <c r="AF220" s="134"/>
      <c r="AG220" s="131"/>
      <c r="AH220" s="127"/>
      <c r="AI220" s="127"/>
      <c r="AJ220" s="134"/>
      <c r="AK220" s="128">
        <f>+((Benelux!M220*Benelux!$M$213)+(Benelux!Y220*Benelux!$Y$213))/'H7H9 BENELUX'!$AK$213</f>
        <v>-2.3456385307932977E-2</v>
      </c>
      <c r="AL220" s="127">
        <f>+((Benelux!N220*Benelux!$N$213)+(Benelux!Z220*Benelux!$Z$213))/'H7H9 BENELUX'!$AL$213</f>
        <v>-2.5261174933209403E-2</v>
      </c>
      <c r="AM220" s="127">
        <f>+((Benelux!O220*Benelux!$O$213)+(Benelux!AA220*Benelux!$AA$213))/'H7H9 BENELUX'!$AM$213</f>
        <v>-1.4288652974441674E-2</v>
      </c>
      <c r="AN220" s="134"/>
      <c r="AO220" s="129">
        <f t="shared" si="343"/>
        <v>-2.3456385307932977E-2</v>
      </c>
      <c r="AP220" s="130">
        <f t="shared" si="338"/>
        <v>-2.5261174933209403E-2</v>
      </c>
      <c r="AQ220" s="130">
        <f t="shared" si="339"/>
        <v>-1.4288652974441674E-2</v>
      </c>
      <c r="AR220" s="134"/>
      <c r="AS220" s="164">
        <f t="shared" si="351"/>
        <v>-2.3281965055148842E-2</v>
      </c>
      <c r="AT220" s="163">
        <f t="shared" si="352"/>
        <v>-2.5054730841363282E-2</v>
      </c>
      <c r="AU220" s="163">
        <f t="shared" si="353"/>
        <v>-1.4272174183388074E-2</v>
      </c>
      <c r="AW220" s="109"/>
      <c r="BA220" s="109"/>
      <c r="BE220" s="109"/>
      <c r="BI220" s="109"/>
      <c r="BM220" s="109"/>
    </row>
    <row r="221" spans="1:65" ht="16.5" hidden="1" outlineLevel="1" x14ac:dyDescent="0.25">
      <c r="A221" s="212"/>
      <c r="B221" s="9"/>
      <c r="C221" s="116" t="s">
        <v>57</v>
      </c>
      <c r="D221" s="7"/>
      <c r="E221" s="131"/>
      <c r="F221" s="127"/>
      <c r="G221" s="127"/>
      <c r="H221" s="134"/>
      <c r="I221" s="128">
        <f>+((Benelux!E221*Benelux!$E$213)+(Benelux!Q221*Benelux!$Q$213))/'H7H9 BENELUX'!$I$213</f>
        <v>2.309251931358498</v>
      </c>
      <c r="J221" s="127">
        <f>+((Benelux!F221*Benelux!$F$213)+(Benelux!R221*Benelux!$R$213))/'H7H9 BENELUX'!$J$213</f>
        <v>3.2160356624199928</v>
      </c>
      <c r="K221" s="127">
        <f>+((Benelux!G221*Benelux!$G$213)+(Benelux!S221*Benelux!$S$213))/'H7H9 BENELUX'!$K$213</f>
        <v>5.872539790502868E-5</v>
      </c>
      <c r="L221" s="134"/>
      <c r="M221" s="126">
        <f>+((Benelux!I221*Benelux!$I$213)+(Benelux!U221*Benelux!$U$213))/'H7H9 BENELUX'!$M$213</f>
        <v>-0.25475207348405787</v>
      </c>
      <c r="N221" s="127">
        <f>+((Benelux!J221*Benelux!$J$213)+(Benelux!V221*Benelux!$V$213))/'H7H9 BENELUX'!$N$213</f>
        <v>0.37820683135630401</v>
      </c>
      <c r="O221" s="127">
        <f>IFERROR(+((Benelux!K221*Benelux!$K$213)+(Benelux!W221*Benelux!$W$213))/'H7H9 BENELUX'!$O$213,0)</f>
        <v>0</v>
      </c>
      <c r="P221" s="134"/>
      <c r="Q221" s="131"/>
      <c r="R221" s="127"/>
      <c r="S221" s="127"/>
      <c r="T221" s="134"/>
      <c r="U221" s="129">
        <f t="shared" si="348"/>
        <v>2.1536788698715865</v>
      </c>
      <c r="V221" s="130">
        <f t="shared" si="349"/>
        <v>3.0474080125562377</v>
      </c>
      <c r="W221" s="130">
        <f t="shared" si="350"/>
        <v>5.872539790502868E-5</v>
      </c>
      <c r="X221" s="134"/>
      <c r="Y221" s="131"/>
      <c r="Z221" s="127"/>
      <c r="AA221" s="127"/>
      <c r="AB221" s="134"/>
      <c r="AC221" s="131"/>
      <c r="AD221" s="127"/>
      <c r="AE221" s="127"/>
      <c r="AF221" s="134"/>
      <c r="AG221" s="131"/>
      <c r="AH221" s="127"/>
      <c r="AI221" s="127"/>
      <c r="AJ221" s="134"/>
      <c r="AK221" s="126">
        <f>+((Benelux!M221*Benelux!$M$213)+(Benelux!Y221*Benelux!$Y$213))/'H7H9 BENELUX'!$AK$213</f>
        <v>-0.23758761728699745</v>
      </c>
      <c r="AL221" s="127">
        <f>+((Benelux!N221*Benelux!$N$213)+(Benelux!Z221*Benelux!$Z$213))/'H7H9 BENELUX'!$AL$213</f>
        <v>9.352938591028398E-3</v>
      </c>
      <c r="AM221" s="127">
        <f>+((Benelux!O221*Benelux!$O$213)+(Benelux!AA221*Benelux!$AA$213))/'H7H9 BENELUX'!$AM$213</f>
        <v>-2.6247293473741544E-2</v>
      </c>
      <c r="AN221" s="134"/>
      <c r="AO221" s="132">
        <f t="shared" si="343"/>
        <v>-0.23758761728699745</v>
      </c>
      <c r="AP221" s="130">
        <f t="shared" si="338"/>
        <v>9.352938591028398E-3</v>
      </c>
      <c r="AQ221" s="130">
        <f t="shared" si="339"/>
        <v>-2.6247293473741544E-2</v>
      </c>
      <c r="AR221" s="134"/>
      <c r="AS221" s="162">
        <f t="shared" si="351"/>
        <v>-0.21915918156928557</v>
      </c>
      <c r="AT221" s="163">
        <f t="shared" si="352"/>
        <v>3.4191820564565371E-2</v>
      </c>
      <c r="AU221" s="163">
        <f t="shared" si="353"/>
        <v>-2.6217174476345195E-2</v>
      </c>
      <c r="AW221" s="109"/>
      <c r="BA221" s="109"/>
      <c r="BE221" s="109"/>
      <c r="BI221" s="109"/>
      <c r="BM221" s="109"/>
    </row>
    <row r="222" spans="1:65" ht="16.5" hidden="1" outlineLevel="1" x14ac:dyDescent="0.25">
      <c r="A222" s="212"/>
      <c r="B222" s="9"/>
      <c r="C222" s="116" t="s">
        <v>29</v>
      </c>
      <c r="D222" s="7"/>
      <c r="E222" s="131"/>
      <c r="F222" s="127"/>
      <c r="G222" s="127"/>
      <c r="H222" s="134"/>
      <c r="I222" s="128">
        <f>+((Benelux!E222*Benelux!$E$213)+(Benelux!Q222*Benelux!$Q$213))/'H7H9 BENELUX'!$I$213</f>
        <v>2.3613193853786851E-2</v>
      </c>
      <c r="J222" s="127">
        <f>+((Benelux!F222*Benelux!$F$213)+(Benelux!R222*Benelux!$R$213))/'H7H9 BENELUX'!$J$213</f>
        <v>-0.13355324046167519</v>
      </c>
      <c r="K222" s="127">
        <f>+((Benelux!G222*Benelux!$G$213)+(Benelux!S222*Benelux!$S$213))/'H7H9 BENELUX'!$K$213</f>
        <v>0</v>
      </c>
      <c r="L222" s="134"/>
      <c r="M222" s="126">
        <f>+((Benelux!I222*Benelux!$I$213)+(Benelux!U222*Benelux!$U$213))/'H7H9 BENELUX'!$M$213</f>
        <v>-4.7823868984027705E-2</v>
      </c>
      <c r="N222" s="127">
        <f>+((Benelux!J222*Benelux!$J$213)+(Benelux!V222*Benelux!$V$213))/'H7H9 BENELUX'!$N$213</f>
        <v>1.773234435390706E-3</v>
      </c>
      <c r="O222" s="127">
        <f>IFERROR(+((Benelux!K222*Benelux!$K$213)+(Benelux!W222*Benelux!$W$213))/'H7H9 BENELUX'!$O$213,0)</f>
        <v>0</v>
      </c>
      <c r="P222" s="134"/>
      <c r="Q222" s="131"/>
      <c r="R222" s="127"/>
      <c r="S222" s="127"/>
      <c r="T222" s="134"/>
      <c r="U222" s="129">
        <f t="shared" si="348"/>
        <v>1.9278691041653313E-2</v>
      </c>
      <c r="V222" s="130">
        <f t="shared" si="349"/>
        <v>-0.12551195721849762</v>
      </c>
      <c r="W222" s="130">
        <f t="shared" si="350"/>
        <v>0</v>
      </c>
      <c r="X222" s="134"/>
      <c r="Y222" s="131"/>
      <c r="Z222" s="127"/>
      <c r="AA222" s="127"/>
      <c r="AB222" s="134"/>
      <c r="AC222" s="131"/>
      <c r="AD222" s="127"/>
      <c r="AE222" s="127"/>
      <c r="AF222" s="134"/>
      <c r="AG222" s="131"/>
      <c r="AH222" s="127"/>
      <c r="AI222" s="127"/>
      <c r="AJ222" s="134"/>
      <c r="AK222" s="128">
        <f>+((Benelux!M222*Benelux!$M$213)+(Benelux!Y222*Benelux!$Y$213))/'H7H9 BENELUX'!$AK$213</f>
        <v>4.8068987596623224E-2</v>
      </c>
      <c r="AL222" s="127">
        <f>+((Benelux!N222*Benelux!$N$213)+(Benelux!Z222*Benelux!$Z$213))/'H7H9 BENELUX'!$AL$213</f>
        <v>8.6327552299396825E-3</v>
      </c>
      <c r="AM222" s="127">
        <f>+((Benelux!O222*Benelux!$O$213)+(Benelux!AA222*Benelux!$AA$213))/'H7H9 BENELUX'!$AM$213</f>
        <v>0</v>
      </c>
      <c r="AN222" s="134"/>
      <c r="AO222" s="129">
        <f t="shared" si="343"/>
        <v>4.8068987596623224E-2</v>
      </c>
      <c r="AP222" s="130">
        <f t="shared" si="338"/>
        <v>8.6327552299396825E-3</v>
      </c>
      <c r="AQ222" s="130">
        <f t="shared" si="339"/>
        <v>0</v>
      </c>
      <c r="AR222" s="134"/>
      <c r="AS222" s="164">
        <f t="shared" si="351"/>
        <v>4.784711348422032E-2</v>
      </c>
      <c r="AT222" s="163">
        <f t="shared" si="352"/>
        <v>7.5359993783310009E-3</v>
      </c>
      <c r="AU222" s="163">
        <f t="shared" si="353"/>
        <v>0</v>
      </c>
      <c r="AW222" s="109"/>
      <c r="BA222" s="109"/>
      <c r="BE222" s="109"/>
      <c r="BI222" s="109"/>
      <c r="BM222" s="109"/>
    </row>
    <row r="223" spans="1:65" ht="16.5" hidden="1" outlineLevel="1" x14ac:dyDescent="0.25">
      <c r="A223" s="212"/>
      <c r="B223" s="9"/>
      <c r="C223" s="116" t="s">
        <v>58</v>
      </c>
      <c r="D223" s="7"/>
      <c r="E223" s="131"/>
      <c r="F223" s="127"/>
      <c r="G223" s="127"/>
      <c r="H223" s="134"/>
      <c r="I223" s="126">
        <f>+I224+I225+I226</f>
        <v>0.3009825359439206</v>
      </c>
      <c r="J223" s="127">
        <f t="shared" ref="J223" si="354">+J224+J225+J226</f>
        <v>0.3424097728533087</v>
      </c>
      <c r="K223" s="127">
        <f t="shared" ref="K223" si="355">+K224+K225+K226</f>
        <v>0.43327514007291423</v>
      </c>
      <c r="L223" s="134"/>
      <c r="M223" s="128">
        <f>+M224+M225+M226</f>
        <v>0.1684061346287731</v>
      </c>
      <c r="N223" s="127">
        <f>+N224+N225+N226</f>
        <v>0.16917067528231575</v>
      </c>
      <c r="O223" s="127">
        <f>+O224+O225+O226</f>
        <v>0</v>
      </c>
      <c r="P223" s="134"/>
      <c r="Q223" s="131"/>
      <c r="R223" s="127"/>
      <c r="S223" s="127"/>
      <c r="T223" s="134"/>
      <c r="U223" s="132">
        <f>+U224+U225+U226</f>
        <v>0.29293835325365947</v>
      </c>
      <c r="V223" s="130">
        <f>+V224+V225+V226</f>
        <v>0.33211566999264935</v>
      </c>
      <c r="W223" s="130">
        <f>+W224+W225+W226</f>
        <v>0.43327514007291423</v>
      </c>
      <c r="X223" s="134"/>
      <c r="Y223" s="131"/>
      <c r="Z223" s="127"/>
      <c r="AA223" s="127"/>
      <c r="AB223" s="134"/>
      <c r="AC223" s="131"/>
      <c r="AD223" s="127"/>
      <c r="AE223" s="127"/>
      <c r="AF223" s="134"/>
      <c r="AG223" s="131"/>
      <c r="AH223" s="127"/>
      <c r="AI223" s="127"/>
      <c r="AJ223" s="134"/>
      <c r="AK223" s="126">
        <f>+AK224+AK225+AK226</f>
        <v>0.25845325530871494</v>
      </c>
      <c r="AL223" s="127">
        <f>+AL224+AL225+AL226</f>
        <v>0.24798149963721769</v>
      </c>
      <c r="AM223" s="127">
        <f>+AM224+AM225+AM226</f>
        <v>0.26043022493678958</v>
      </c>
      <c r="AN223" s="134"/>
      <c r="AO223" s="132">
        <f t="shared" si="343"/>
        <v>0.25845325530871494</v>
      </c>
      <c r="AP223" s="130">
        <f t="shared" si="338"/>
        <v>0.24798149963721769</v>
      </c>
      <c r="AQ223" s="130">
        <f t="shared" si="339"/>
        <v>0.26043022493678958</v>
      </c>
      <c r="AR223" s="134"/>
      <c r="AS223" s="162">
        <f>+AS224+AS225+AS226</f>
        <v>0.25871901674271242</v>
      </c>
      <c r="AT223" s="163">
        <f>+AT224+AT225+AT226</f>
        <v>0.2486693735159069</v>
      </c>
      <c r="AU223" s="163">
        <f>+AU224+AU225+AU226</f>
        <v>0.26062812320388795</v>
      </c>
      <c r="AW223" s="109"/>
      <c r="BA223" s="109"/>
      <c r="BE223" s="109"/>
      <c r="BI223" s="109"/>
      <c r="BM223" s="109"/>
    </row>
    <row r="224" spans="1:65" ht="16.5" hidden="1" outlineLevel="1" x14ac:dyDescent="0.25">
      <c r="A224" s="212"/>
      <c r="B224" s="9"/>
      <c r="C224" s="39" t="s">
        <v>59</v>
      </c>
      <c r="D224" s="8"/>
      <c r="E224" s="97"/>
      <c r="F224" s="42"/>
      <c r="G224" s="42"/>
      <c r="H224" s="135"/>
      <c r="I224" s="73">
        <f>+((Benelux!E224*Benelux!$E$213)+(Benelux!Q224*Benelux!$Q$213))/'H7H9 BENELUX'!$I$213</f>
        <v>0.27389403859952605</v>
      </c>
      <c r="J224" s="42">
        <f>+((Benelux!F224*Benelux!$F$213)+(Benelux!R224*Benelux!$R$213))/'H7H9 BENELUX'!$J$213</f>
        <v>0.25421084747397349</v>
      </c>
      <c r="K224" s="42">
        <f>+((Benelux!G224*Benelux!$G$213)+(Benelux!S224*Benelux!$S$213))/'H7H9 BENELUX'!$K$213</f>
        <v>0.25988731019807038</v>
      </c>
      <c r="L224" s="135"/>
      <c r="M224" s="73">
        <f>+((Benelux!I224*Benelux!$I$213)+(Benelux!U224*Benelux!$U$213))/'H7H9 BENELUX'!$M$213</f>
        <v>0.16839838183738057</v>
      </c>
      <c r="N224" s="42">
        <f>+((Benelux!J224*Benelux!$J$213)+(Benelux!V224*Benelux!$V$213))/'H7H9 BENELUX'!$N$213</f>
        <v>0.16917067528231575</v>
      </c>
      <c r="O224" s="42">
        <f>IFERROR(+((Benelux!K224*Benelux!$K$213)+(Benelux!W224*Benelux!$W$213))/'H7H9 BENELUX'!$O$213,0)</f>
        <v>0</v>
      </c>
      <c r="P224" s="135"/>
      <c r="Q224" s="97"/>
      <c r="R224" s="42"/>
      <c r="S224" s="42"/>
      <c r="T224" s="135"/>
      <c r="U224" s="84">
        <f t="shared" ref="U224:U226" si="356">+((I224*$I$213)+(M224*$M$213))/$U$213</f>
        <v>0.2674930024603227</v>
      </c>
      <c r="V224" s="60">
        <f t="shared" ref="V224:V226" si="357">+((J224*$J$213)+(N224*$N$213))/$V$213</f>
        <v>0.24915764474951133</v>
      </c>
      <c r="W224" s="60">
        <f t="shared" ref="W224:W226" si="358">+((K224*$K$213)+(O224*$O$213))/$W$213</f>
        <v>0.25988731019807038</v>
      </c>
      <c r="X224" s="135"/>
      <c r="Y224" s="97"/>
      <c r="Z224" s="42"/>
      <c r="AA224" s="42"/>
      <c r="AB224" s="135"/>
      <c r="AC224" s="97"/>
      <c r="AD224" s="42"/>
      <c r="AE224" s="42"/>
      <c r="AF224" s="135"/>
      <c r="AG224" s="97"/>
      <c r="AH224" s="42"/>
      <c r="AI224" s="42"/>
      <c r="AJ224" s="135"/>
      <c r="AK224" s="97">
        <f>+((Benelux!M224*Benelux!$M$213)+(Benelux!Y224*Benelux!$Y$213))/'H7H9 BENELUX'!$AK$213</f>
        <v>0.14703357776731052</v>
      </c>
      <c r="AL224" s="42">
        <f>+((Benelux!N224*Benelux!$N$213)+(Benelux!Z224*Benelux!$Z$213))/'H7H9 BENELUX'!$AL$213</f>
        <v>0.14459757444114593</v>
      </c>
      <c r="AM224" s="42">
        <f>+((Benelux!O224*Benelux!$O$213)+(Benelux!AA224*Benelux!$AA$213))/'H7H9 BENELUX'!$AM$213</f>
        <v>0.14386154518386499</v>
      </c>
      <c r="AN224" s="135"/>
      <c r="AO224" s="99">
        <f t="shared" si="343"/>
        <v>0.14703357776731052</v>
      </c>
      <c r="AP224" s="60">
        <f t="shared" si="338"/>
        <v>0.14459757444114593</v>
      </c>
      <c r="AQ224" s="60">
        <f t="shared" si="339"/>
        <v>0.14386154518386499</v>
      </c>
      <c r="AR224" s="135"/>
      <c r="AS224" s="106">
        <f t="shared" ref="AS224:AS226" si="359">+((U224*$U$213)+(AO224*$AO$213))/$AS$213</f>
        <v>0.14796190540309212</v>
      </c>
      <c r="AT224" s="68">
        <f t="shared" ref="AT224:AT226" si="360">+((V224*$V$213)+(AP224*$AP$213))/$AT$213</f>
        <v>0.14545244875458108</v>
      </c>
      <c r="AU224" s="68">
        <f t="shared" ref="AU224:AU226" si="361">+((W224*$W$213)+(AQ224*$AQ$213))/$AU$213</f>
        <v>0.14399438853547297</v>
      </c>
      <c r="AW224" s="109"/>
      <c r="BA224" s="109"/>
      <c r="BE224" s="109"/>
      <c r="BI224" s="109"/>
      <c r="BM224" s="109"/>
    </row>
    <row r="225" spans="1:65" ht="16.5" hidden="1" outlineLevel="1" x14ac:dyDescent="0.25">
      <c r="A225" s="212"/>
      <c r="B225" s="9"/>
      <c r="C225" s="39" t="s">
        <v>60</v>
      </c>
      <c r="D225" s="8"/>
      <c r="E225" s="97"/>
      <c r="F225" s="42"/>
      <c r="G225" s="42"/>
      <c r="H225" s="135"/>
      <c r="I225" s="74">
        <f>+((Benelux!E225*Benelux!$E$213)+(Benelux!Q225*Benelux!$Q$213))/'H7H9 BENELUX'!$I$213</f>
        <v>1.7133732979546401E-2</v>
      </c>
      <c r="J225" s="42">
        <f>+((Benelux!F225*Benelux!$F$213)+(Benelux!R225*Benelux!$R$213))/'H7H9 BENELUX'!$J$213</f>
        <v>1.960570658070691E-2</v>
      </c>
      <c r="K225" s="42">
        <f>+((Benelux!G225*Benelux!$G$213)+(Benelux!S225*Benelux!$S$213))/'H7H9 BENELUX'!$K$213</f>
        <v>0.10980817136102185</v>
      </c>
      <c r="L225" s="135"/>
      <c r="M225" s="97">
        <f>+((Benelux!I225*Benelux!$I$213)+(Benelux!U225*Benelux!$U$213))/'H7H9 BENELUX'!$M$213</f>
        <v>6.2022331140327075E-6</v>
      </c>
      <c r="N225" s="42">
        <f>+((Benelux!J225*Benelux!$J$213)+(Benelux!V225*Benelux!$V$213))/'H7H9 BENELUX'!$N$213</f>
        <v>0</v>
      </c>
      <c r="O225" s="42">
        <f>IFERROR(+((Benelux!K225*Benelux!$K$213)+(Benelux!W225*Benelux!$W$213))/'H7H9 BENELUX'!$O$213,0)</f>
        <v>0</v>
      </c>
      <c r="P225" s="135"/>
      <c r="Q225" s="97"/>
      <c r="R225" s="42"/>
      <c r="S225" s="42"/>
      <c r="T225" s="135"/>
      <c r="U225" s="85">
        <f t="shared" si="356"/>
        <v>1.6094505899986001E-2</v>
      </c>
      <c r="V225" s="60">
        <f t="shared" si="357"/>
        <v>1.8440708823113557E-2</v>
      </c>
      <c r="W225" s="60">
        <f t="shared" si="358"/>
        <v>0.10980817136102185</v>
      </c>
      <c r="X225" s="135"/>
      <c r="Y225" s="97"/>
      <c r="Z225" s="42"/>
      <c r="AA225" s="42"/>
      <c r="AB225" s="135"/>
      <c r="AC225" s="97"/>
      <c r="AD225" s="42"/>
      <c r="AE225" s="42"/>
      <c r="AF225" s="135"/>
      <c r="AG225" s="97"/>
      <c r="AH225" s="42"/>
      <c r="AI225" s="42"/>
      <c r="AJ225" s="135"/>
      <c r="AK225" s="73">
        <f>+((Benelux!M225*Benelux!$M$213)+(Benelux!Y225*Benelux!$Y$213))/'H7H9 BENELUX'!$AK$213</f>
        <v>5.5689544276378074E-2</v>
      </c>
      <c r="AL225" s="42">
        <f>+((Benelux!N225*Benelux!$N$213)+(Benelux!Z225*Benelux!$Z$213))/'H7H9 BENELUX'!$AL$213</f>
        <v>4.938678329463133E-2</v>
      </c>
      <c r="AM225" s="42">
        <f>+((Benelux!O225*Benelux!$O$213)+(Benelux!AA225*Benelux!$AA$213))/'H7H9 BENELUX'!$AM$213</f>
        <v>4.9843966996900531E-2</v>
      </c>
      <c r="AN225" s="135"/>
      <c r="AO225" s="84">
        <f t="shared" si="343"/>
        <v>5.5689544276378074E-2</v>
      </c>
      <c r="AP225" s="60">
        <f t="shared" si="338"/>
        <v>4.938678329463133E-2</v>
      </c>
      <c r="AQ225" s="60">
        <f t="shared" si="339"/>
        <v>4.9843966996900531E-2</v>
      </c>
      <c r="AR225" s="135"/>
      <c r="AS225" s="92">
        <f t="shared" si="359"/>
        <v>5.5384402786135087E-2</v>
      </c>
      <c r="AT225" s="68">
        <f t="shared" si="360"/>
        <v>4.9133770800575696E-2</v>
      </c>
      <c r="AU225" s="68">
        <f t="shared" si="361"/>
        <v>4.9912622832811289E-2</v>
      </c>
      <c r="AW225" s="109"/>
      <c r="BA225" s="109"/>
      <c r="BE225" s="109"/>
      <c r="BI225" s="109"/>
      <c r="BM225" s="109"/>
    </row>
    <row r="226" spans="1:65" ht="16.5" hidden="1" outlineLevel="1" x14ac:dyDescent="0.25">
      <c r="A226" s="212"/>
      <c r="B226" s="9"/>
      <c r="C226" s="39" t="s">
        <v>61</v>
      </c>
      <c r="D226" s="8"/>
      <c r="E226" s="97"/>
      <c r="F226" s="42"/>
      <c r="G226" s="42"/>
      <c r="H226" s="135"/>
      <c r="I226" s="74">
        <f>+((Benelux!E226*Benelux!$E$213)+(Benelux!Q226*Benelux!$Q$213))/'H7H9 BENELUX'!$I$213</f>
        <v>9.9547643648481687E-3</v>
      </c>
      <c r="J226" s="42">
        <f>+((Benelux!F226*Benelux!$F$213)+(Benelux!R226*Benelux!$R$213))/'H7H9 BENELUX'!$J$213</f>
        <v>6.8593218798628272E-2</v>
      </c>
      <c r="K226" s="42">
        <f>+((Benelux!G226*Benelux!$G$213)+(Benelux!S226*Benelux!$S$213))/'H7H9 BENELUX'!$K$213</f>
        <v>6.3579658513822024E-2</v>
      </c>
      <c r="L226" s="135"/>
      <c r="M226" s="97">
        <f>+((Benelux!I226*Benelux!$I$213)+(Benelux!U226*Benelux!$U$213))/'H7H9 BENELUX'!$M$213</f>
        <v>1.5505582785081769E-6</v>
      </c>
      <c r="N226" s="42">
        <f>+((Benelux!J226*Benelux!$J$213)+(Benelux!V226*Benelux!$V$213))/'H7H9 BENELUX'!$N$213</f>
        <v>0</v>
      </c>
      <c r="O226" s="42">
        <f>IFERROR(+((Benelux!K226*Benelux!$K$213)+(Benelux!W226*Benelux!$W$213))/'H7H9 BENELUX'!$O$213,0)</f>
        <v>0</v>
      </c>
      <c r="P226" s="135"/>
      <c r="Q226" s="97"/>
      <c r="R226" s="42"/>
      <c r="S226" s="42"/>
      <c r="T226" s="135"/>
      <c r="U226" s="85">
        <f t="shared" si="356"/>
        <v>9.3508448933507272E-3</v>
      </c>
      <c r="V226" s="60">
        <f t="shared" si="357"/>
        <v>6.4517316420024437E-2</v>
      </c>
      <c r="W226" s="60">
        <f t="shared" si="358"/>
        <v>6.3579658513822024E-2</v>
      </c>
      <c r="X226" s="135"/>
      <c r="Y226" s="97"/>
      <c r="Z226" s="42"/>
      <c r="AA226" s="42"/>
      <c r="AB226" s="135"/>
      <c r="AC226" s="97"/>
      <c r="AD226" s="42"/>
      <c r="AE226" s="42"/>
      <c r="AF226" s="135"/>
      <c r="AG226" s="97"/>
      <c r="AH226" s="42"/>
      <c r="AI226" s="42"/>
      <c r="AJ226" s="135"/>
      <c r="AK226" s="74">
        <f>+((Benelux!M226*Benelux!$M$213)+(Benelux!Y226*Benelux!$Y$213))/'H7H9 BENELUX'!$AK$213</f>
        <v>5.5730133265026335E-2</v>
      </c>
      <c r="AL226" s="42">
        <f>+((Benelux!N226*Benelux!$N$213)+(Benelux!Z226*Benelux!$Z$213))/'H7H9 BENELUX'!$AL$213</f>
        <v>5.3997141901440428E-2</v>
      </c>
      <c r="AM226" s="42">
        <f>+((Benelux!O226*Benelux!$O$213)+(Benelux!AA226*Benelux!$AA$213))/'H7H9 BENELUX'!$AM$213</f>
        <v>6.6724712756024054E-2</v>
      </c>
      <c r="AN226" s="135"/>
      <c r="AO226" s="85">
        <f t="shared" si="343"/>
        <v>5.5730133265026335E-2</v>
      </c>
      <c r="AP226" s="60">
        <f t="shared" si="338"/>
        <v>5.3997141901440428E-2</v>
      </c>
      <c r="AQ226" s="60">
        <f t="shared" si="339"/>
        <v>6.6724712756024054E-2</v>
      </c>
      <c r="AR226" s="135"/>
      <c r="AS226" s="93">
        <f t="shared" si="359"/>
        <v>5.5372708553485202E-2</v>
      </c>
      <c r="AT226" s="68">
        <f t="shared" si="360"/>
        <v>5.4083153960750155E-2</v>
      </c>
      <c r="AU226" s="68">
        <f t="shared" si="361"/>
        <v>6.6721111835603725E-2</v>
      </c>
      <c r="AW226" s="109"/>
      <c r="BA226" s="109"/>
      <c r="BE226" s="109"/>
      <c r="BI226" s="109"/>
      <c r="BM226" s="109"/>
    </row>
    <row r="227" spans="1:65" ht="16.5" hidden="1" outlineLevel="1" x14ac:dyDescent="0.25">
      <c r="A227" s="212"/>
      <c r="B227" s="9"/>
      <c r="C227" s="116" t="s">
        <v>34</v>
      </c>
      <c r="D227" s="6"/>
      <c r="E227" s="121"/>
      <c r="F227" s="119"/>
      <c r="G227" s="119"/>
      <c r="H227" s="117"/>
      <c r="I227" s="121">
        <f>+Benelux!E227+Benelux!Q227</f>
        <v>-0.16652088999999995</v>
      </c>
      <c r="J227" s="119">
        <f>+Benelux!F227+Benelux!R227</f>
        <v>-0.26846799999999993</v>
      </c>
      <c r="K227" s="119">
        <f>+Benelux!G227+Benelux!S227</f>
        <v>7.8330538406576403E-3</v>
      </c>
      <c r="L227" s="117"/>
      <c r="M227" s="118">
        <f>+Benelux!I227+Benelux!U227</f>
        <v>7.3171599999999979E-3</v>
      </c>
      <c r="N227" s="119">
        <f>+Benelux!J227+Benelux!V227</f>
        <v>-1.8848999999999988E-3</v>
      </c>
      <c r="O227" s="119">
        <f>+Benelux!K227+Benelux!W227</f>
        <v>0</v>
      </c>
      <c r="P227" s="117"/>
      <c r="Q227" s="121"/>
      <c r="R227" s="119"/>
      <c r="S227" s="119"/>
      <c r="T227" s="117"/>
      <c r="U227" s="124">
        <f t="shared" ref="U227:W227" si="362">+I227+M227</f>
        <v>-0.15920372999999996</v>
      </c>
      <c r="V227" s="165">
        <f t="shared" si="362"/>
        <v>-0.27035289999999995</v>
      </c>
      <c r="W227" s="123">
        <f t="shared" si="362"/>
        <v>7.8330538406576403E-3</v>
      </c>
      <c r="X227" s="117"/>
      <c r="Y227" s="121"/>
      <c r="Z227" s="119"/>
      <c r="AA227" s="119"/>
      <c r="AB227" s="117"/>
      <c r="AC227" s="121"/>
      <c r="AD227" s="119"/>
      <c r="AE227" s="119"/>
      <c r="AF227" s="117"/>
      <c r="AG227" s="121"/>
      <c r="AH227" s="119"/>
      <c r="AI227" s="119"/>
      <c r="AJ227" s="117"/>
      <c r="AK227" s="118">
        <f>+Benelux!M227+Benelux!Y227</f>
        <v>4.0734373699999997</v>
      </c>
      <c r="AL227" s="119">
        <f>+Benelux!N227+Benelux!Z227</f>
        <v>0.82341579000000009</v>
      </c>
      <c r="AM227" s="119">
        <f>+Benelux!O227+Benelux!AA227</f>
        <v>2.1734355714105389</v>
      </c>
      <c r="AN227" s="117"/>
      <c r="AO227" s="122">
        <f t="shared" si="343"/>
        <v>4.0734373699999997</v>
      </c>
      <c r="AP227" s="165">
        <f t="shared" si="338"/>
        <v>0.82341579000000009</v>
      </c>
      <c r="AQ227" s="123">
        <f t="shared" si="339"/>
        <v>2.1734355714105389</v>
      </c>
      <c r="AR227" s="117"/>
      <c r="AS227" s="166">
        <f t="shared" ref="AS227:AU227" si="363">+U227+AO227</f>
        <v>3.91423364</v>
      </c>
      <c r="AT227" s="167">
        <f t="shared" si="363"/>
        <v>0.55306289000000008</v>
      </c>
      <c r="AU227" s="160">
        <f t="shared" si="363"/>
        <v>2.1812686252511964</v>
      </c>
      <c r="AW227" s="108"/>
      <c r="BA227" s="108"/>
      <c r="BE227" s="108"/>
      <c r="BI227" s="108"/>
      <c r="BM227" s="108"/>
    </row>
    <row r="228" spans="1:65" hidden="1" outlineLevel="1" x14ac:dyDescent="0.35"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</row>
    <row r="229" spans="1:65" ht="16.5" hidden="1" outlineLevel="1" x14ac:dyDescent="0.25">
      <c r="A229" s="212" t="s">
        <v>45</v>
      </c>
      <c r="B229" s="9"/>
      <c r="C229" s="116" t="s">
        <v>19</v>
      </c>
      <c r="D229" s="6"/>
      <c r="E229" s="121"/>
      <c r="F229" s="119"/>
      <c r="G229" s="119"/>
      <c r="H229" s="117"/>
      <c r="I229" s="118">
        <f>+Benelux!E229+Benelux!Q229</f>
        <v>1.0995110499999994</v>
      </c>
      <c r="J229" s="119">
        <f>+Benelux!F229+Benelux!R229</f>
        <v>1.0963035600000006</v>
      </c>
      <c r="K229" s="119">
        <f>+Benelux!G229+Benelux!S229</f>
        <v>0.93951843763641796</v>
      </c>
      <c r="L229" s="117"/>
      <c r="M229" s="121">
        <f>+Benelux!I229+Benelux!U229</f>
        <v>1.7687021500000002</v>
      </c>
      <c r="N229" s="119">
        <f>+Benelux!J229+Benelux!V229</f>
        <v>1.7722497899999998</v>
      </c>
      <c r="O229" s="119">
        <f>+Benelux!K229+Benelux!W229</f>
        <v>1.8781350858622317</v>
      </c>
      <c r="P229" s="117"/>
      <c r="Q229" s="121"/>
      <c r="R229" s="119"/>
      <c r="S229" s="119"/>
      <c r="T229" s="117"/>
      <c r="U229" s="122">
        <f t="shared" ref="U229:U230" si="364">+I229+M229</f>
        <v>2.8682131999999996</v>
      </c>
      <c r="V229" s="123">
        <f t="shared" ref="V229:V230" si="365">+J229+N229</f>
        <v>2.8685533500000004</v>
      </c>
      <c r="W229" s="123">
        <f t="shared" ref="W229:W230" si="366">+K229+O229</f>
        <v>2.8176535234986497</v>
      </c>
      <c r="X229" s="117"/>
      <c r="Y229" s="121"/>
      <c r="Z229" s="119"/>
      <c r="AA229" s="119"/>
      <c r="AB229" s="117"/>
      <c r="AC229" s="121"/>
      <c r="AD229" s="119"/>
      <c r="AE229" s="119"/>
      <c r="AF229" s="117"/>
      <c r="AG229" s="121"/>
      <c r="AH229" s="119"/>
      <c r="AI229" s="119"/>
      <c r="AJ229" s="117"/>
      <c r="AK229" s="118">
        <f>+Benelux!M229+Benelux!Y229</f>
        <v>0.26526893000000012</v>
      </c>
      <c r="AL229" s="119">
        <f>+Benelux!N229+Benelux!Z229</f>
        <v>0.28977442000000009</v>
      </c>
      <c r="AM229" s="119">
        <f>+Benelux!O229+Benelux!AA229</f>
        <v>0.26509026194465601</v>
      </c>
      <c r="AN229" s="117"/>
      <c r="AO229" s="122">
        <f>+AK229</f>
        <v>0.26526893000000012</v>
      </c>
      <c r="AP229" s="123">
        <f t="shared" ref="AP229:AP244" si="367">+AL229</f>
        <v>0.28977442000000009</v>
      </c>
      <c r="AQ229" s="123">
        <f t="shared" ref="AQ229:AQ244" si="368">+AM229</f>
        <v>0.26509026194465601</v>
      </c>
      <c r="AR229" s="117"/>
      <c r="AS229" s="166">
        <f t="shared" ref="AS229:AS230" si="369">+U229+AO229</f>
        <v>3.1334821299999995</v>
      </c>
      <c r="AT229" s="160">
        <f t="shared" ref="AT229:AT230" si="370">+V229+AP229</f>
        <v>3.1583277700000005</v>
      </c>
      <c r="AU229" s="160">
        <f t="shared" ref="AU229:AU230" si="371">+W229+AQ229</f>
        <v>3.0827437854433057</v>
      </c>
      <c r="AW229" s="108"/>
      <c r="BA229" s="108"/>
      <c r="BE229" s="108"/>
      <c r="BI229" s="108"/>
      <c r="BM229" s="108"/>
    </row>
    <row r="230" spans="1:65" ht="16.5" hidden="1" outlineLevel="1" x14ac:dyDescent="0.25">
      <c r="A230" s="212"/>
      <c r="B230" s="9"/>
      <c r="C230" s="116" t="s">
        <v>55</v>
      </c>
      <c r="D230" s="6"/>
      <c r="E230" s="121"/>
      <c r="F230" s="119"/>
      <c r="G230" s="119"/>
      <c r="H230" s="117"/>
      <c r="I230" s="118">
        <f>+Benelux!E230+Benelux!Q230</f>
        <v>1.0467230299999994</v>
      </c>
      <c r="J230" s="119">
        <f>+Benelux!F230+Benelux!R230</f>
        <v>1.0289790100000002</v>
      </c>
      <c r="K230" s="119">
        <f>+Benelux!G230+Benelux!S230</f>
        <v>0.85</v>
      </c>
      <c r="L230" s="117"/>
      <c r="M230" s="121">
        <f>+Benelux!I230+Benelux!U230</f>
        <v>1.11178438</v>
      </c>
      <c r="N230" s="119">
        <f>+Benelux!J230+Benelux!V230</f>
        <v>1.10720124</v>
      </c>
      <c r="O230" s="119">
        <f>+Benelux!K230+Benelux!W230</f>
        <v>1.2759487444049928</v>
      </c>
      <c r="P230" s="117"/>
      <c r="Q230" s="121"/>
      <c r="R230" s="119"/>
      <c r="S230" s="119"/>
      <c r="T230" s="117"/>
      <c r="U230" s="122">
        <f t="shared" si="364"/>
        <v>2.1585074099999995</v>
      </c>
      <c r="V230" s="123">
        <f t="shared" si="365"/>
        <v>2.1361802500000002</v>
      </c>
      <c r="W230" s="123">
        <f t="shared" si="366"/>
        <v>2.1259487444049929</v>
      </c>
      <c r="X230" s="117"/>
      <c r="Y230" s="121"/>
      <c r="Z230" s="119"/>
      <c r="AA230" s="119"/>
      <c r="AB230" s="117"/>
      <c r="AC230" s="121"/>
      <c r="AD230" s="119"/>
      <c r="AE230" s="119"/>
      <c r="AF230" s="117"/>
      <c r="AG230" s="121"/>
      <c r="AH230" s="119"/>
      <c r="AI230" s="119"/>
      <c r="AJ230" s="117"/>
      <c r="AK230" s="118">
        <f>+Benelux!M230+Benelux!Y230</f>
        <v>0.2097632900000001</v>
      </c>
      <c r="AL230" s="119">
        <f>+Benelux!N230+Benelux!Z230</f>
        <v>0.21770490000000012</v>
      </c>
      <c r="AM230" s="119">
        <f>+Benelux!O230+Benelux!AA230</f>
        <v>0.20598979860767913</v>
      </c>
      <c r="AN230" s="117"/>
      <c r="AO230" s="122">
        <f t="shared" ref="AO230:AO244" si="372">+AK230</f>
        <v>0.2097632900000001</v>
      </c>
      <c r="AP230" s="123">
        <f t="shared" si="367"/>
        <v>0.21770490000000012</v>
      </c>
      <c r="AQ230" s="123">
        <f t="shared" si="368"/>
        <v>0.20598979860767913</v>
      </c>
      <c r="AR230" s="117"/>
      <c r="AS230" s="166">
        <f t="shared" si="369"/>
        <v>2.3682706999999996</v>
      </c>
      <c r="AT230" s="160">
        <f t="shared" si="370"/>
        <v>2.3538851500000004</v>
      </c>
      <c r="AU230" s="160">
        <f t="shared" si="371"/>
        <v>2.3319385430126722</v>
      </c>
      <c r="AW230" s="108"/>
      <c r="BA230" s="108"/>
      <c r="BE230" s="108"/>
      <c r="BI230" s="108"/>
      <c r="BM230" s="108"/>
    </row>
    <row r="231" spans="1:65" ht="16.5" hidden="1" outlineLevel="1" x14ac:dyDescent="0.25">
      <c r="A231" s="212"/>
      <c r="B231" s="9"/>
      <c r="C231" s="116" t="s">
        <v>21</v>
      </c>
      <c r="D231" s="6"/>
      <c r="E231" s="131"/>
      <c r="F231" s="127"/>
      <c r="G231" s="127"/>
      <c r="H231" s="117"/>
      <c r="I231" s="126">
        <f>+I232+I237+I238+I239+I240</f>
        <v>0.71685006300090703</v>
      </c>
      <c r="J231" s="127">
        <f t="shared" ref="J231" si="373">+J232+J237+J238+J239+J240</f>
        <v>0.59812764305075539</v>
      </c>
      <c r="K231" s="127" t="e">
        <f t="shared" ref="K231" si="374">+K232+K237+K238+K239+K240</f>
        <v>#DIV/0!</v>
      </c>
      <c r="L231" s="117"/>
      <c r="M231" s="128">
        <f>+M232+M237+M238+M239+M240</f>
        <v>1.1902791798532015</v>
      </c>
      <c r="N231" s="127">
        <f>+N232+N237+N238+N239+N240</f>
        <v>1.1203189223306866</v>
      </c>
      <c r="O231" s="127">
        <f>+O232+O237+O238+O239+O240</f>
        <v>0.86747570708822219</v>
      </c>
      <c r="P231" s="117"/>
      <c r="Q231" s="131"/>
      <c r="R231" s="127"/>
      <c r="S231" s="127"/>
      <c r="T231" s="117"/>
      <c r="U231" s="132">
        <f>+U232+U237+U238+U239+U240</f>
        <v>0.96069962993548408</v>
      </c>
      <c r="V231" s="130">
        <f>+V232+V237+V238+V239+V240</f>
        <v>0.86878403168459184</v>
      </c>
      <c r="W231" s="130" t="e">
        <f>+W232+W237+W238+W239+W240</f>
        <v>#DIV/0!</v>
      </c>
      <c r="X231" s="117"/>
      <c r="Y231" s="131"/>
      <c r="Z231" s="127"/>
      <c r="AA231" s="127"/>
      <c r="AB231" s="117"/>
      <c r="AC231" s="131"/>
      <c r="AD231" s="127"/>
      <c r="AE231" s="127"/>
      <c r="AF231" s="117"/>
      <c r="AG231" s="131"/>
      <c r="AH231" s="127"/>
      <c r="AI231" s="127"/>
      <c r="AJ231" s="117"/>
      <c r="AK231" s="126">
        <f>+AK232+AK237+AK238+AK239+AK240</f>
        <v>0.64454090131786124</v>
      </c>
      <c r="AL231" s="127">
        <f>+AL232+AL237+AL238+AL239+AL240</f>
        <v>1.0672320650568721</v>
      </c>
      <c r="AM231" s="127">
        <f>+AM232+AM237+AM238+AM239+AM240</f>
        <v>1.3978084539333457</v>
      </c>
      <c r="AN231" s="117"/>
      <c r="AO231" s="132">
        <f t="shared" si="372"/>
        <v>0.64454090131786124</v>
      </c>
      <c r="AP231" s="130">
        <f t="shared" si="367"/>
        <v>1.0672320650568721</v>
      </c>
      <c r="AQ231" s="130">
        <f t="shared" si="368"/>
        <v>1.3978084539333457</v>
      </c>
      <c r="AR231" s="117"/>
      <c r="AS231" s="162">
        <f>+AS232+AS237+AS238+AS239+AS240</f>
        <v>0.93269670988202491</v>
      </c>
      <c r="AT231" s="163">
        <f>+AT232+AT237+AT238+AT239+AT240</f>
        <v>0.88713798971882696</v>
      </c>
      <c r="AU231" s="163" t="e">
        <f>+AU232+AU237+AU238+AU239+AU240</f>
        <v>#DIV/0!</v>
      </c>
      <c r="AW231" s="109"/>
      <c r="BA231" s="109"/>
      <c r="BE231" s="109"/>
      <c r="BI231" s="109"/>
      <c r="BM231" s="109"/>
    </row>
    <row r="232" spans="1:65" ht="16.5" hidden="1" outlineLevel="1" x14ac:dyDescent="0.25">
      <c r="A232" s="212"/>
      <c r="B232" s="9"/>
      <c r="C232" s="116" t="s">
        <v>56</v>
      </c>
      <c r="D232" s="6"/>
      <c r="E232" s="131"/>
      <c r="F232" s="127"/>
      <c r="G232" s="127"/>
      <c r="H232" s="117"/>
      <c r="I232" s="126">
        <f>+I233+I234+I235+I236</f>
        <v>0.5948955952559869</v>
      </c>
      <c r="J232" s="127">
        <f t="shared" ref="J232" si="375">+J233+J234+J235+J236</f>
        <v>0.6200483817449296</v>
      </c>
      <c r="K232" s="127" t="e">
        <f t="shared" ref="K232" si="376">+K233+K234+K235+K236</f>
        <v>#DIV/0!</v>
      </c>
      <c r="L232" s="117"/>
      <c r="M232" s="128">
        <f>+M233+M234+M235+M236</f>
        <v>0.92735760507806386</v>
      </c>
      <c r="N232" s="127">
        <f>+N233+N234+N235+N236</f>
        <v>0.93423999416763648</v>
      </c>
      <c r="O232" s="127">
        <f>+O233+O234+O235+O236</f>
        <v>0.59375996423722743</v>
      </c>
      <c r="P232" s="117"/>
      <c r="Q232" s="131"/>
      <c r="R232" s="127"/>
      <c r="S232" s="127"/>
      <c r="T232" s="117"/>
      <c r="U232" s="132">
        <f>+U233+U234+U235+U236</f>
        <v>0.76613710582536299</v>
      </c>
      <c r="V232" s="130">
        <f>+V233+V234+V235+V236</f>
        <v>0.78289669141918128</v>
      </c>
      <c r="W232" s="130" t="e">
        <f>+W233+W234+W235+W236</f>
        <v>#DIV/0!</v>
      </c>
      <c r="X232" s="117"/>
      <c r="Y232" s="131"/>
      <c r="Z232" s="127"/>
      <c r="AA232" s="127"/>
      <c r="AB232" s="117"/>
      <c r="AC232" s="131"/>
      <c r="AD232" s="127"/>
      <c r="AE232" s="127"/>
      <c r="AF232" s="117"/>
      <c r="AG232" s="131"/>
      <c r="AH232" s="127"/>
      <c r="AI232" s="127"/>
      <c r="AJ232" s="117"/>
      <c r="AK232" s="126">
        <f>+AK233+AK234+AK235+AK236</f>
        <v>1.1710768838532228</v>
      </c>
      <c r="AL232" s="127">
        <f>+AL233+AL234+AL235+AL236</f>
        <v>1.461604401187111</v>
      </c>
      <c r="AM232" s="127">
        <f>+AM233+AM234+AM235+AM236</f>
        <v>1.212745263107291</v>
      </c>
      <c r="AN232" s="117"/>
      <c r="AO232" s="132">
        <f t="shared" si="372"/>
        <v>1.1710768838532228</v>
      </c>
      <c r="AP232" s="130">
        <f t="shared" si="367"/>
        <v>1.461604401187111</v>
      </c>
      <c r="AQ232" s="130">
        <f t="shared" si="368"/>
        <v>1.212745263107291</v>
      </c>
      <c r="AR232" s="117"/>
      <c r="AS232" s="162">
        <f>+AS233+AS234+AS235+AS236</f>
        <v>0.8020035716356243</v>
      </c>
      <c r="AT232" s="163">
        <f>+AT233+AT234+AT235+AT236</f>
        <v>0.84566865549918591</v>
      </c>
      <c r="AU232" s="163" t="e">
        <f>+AU233+AU234+AU235+AU236</f>
        <v>#DIV/0!</v>
      </c>
      <c r="AW232" s="109"/>
      <c r="BA232" s="109"/>
      <c r="BE232" s="109"/>
      <c r="BI232" s="109"/>
      <c r="BM232" s="109"/>
    </row>
    <row r="233" spans="1:65" ht="16.5" hidden="1" outlineLevel="1" x14ac:dyDescent="0.25">
      <c r="A233" s="212"/>
      <c r="B233" s="9"/>
      <c r="C233" s="38" t="s">
        <v>23</v>
      </c>
      <c r="D233" s="6"/>
      <c r="E233" s="97"/>
      <c r="F233" s="42"/>
      <c r="G233" s="42"/>
      <c r="H233" s="117"/>
      <c r="I233" s="73">
        <f>+((Benelux!E233*Benelux!$E$230)+(Benelux!Q233*Benelux!$Q$230))/'H7H9 BENELUX'!$I$230</f>
        <v>0.49195842189504529</v>
      </c>
      <c r="J233" s="42">
        <f>+((Benelux!F233*Benelux!$F$230)+(Benelux!R233*Benelux!$R$230))/'H7H9 BENELUX'!$J$230</f>
        <v>0.49810739093696366</v>
      </c>
      <c r="K233" s="42" t="e">
        <f>+((Benelux!G233*Benelux!$G$230)+(Benelux!S233*Benelux!$S$230))/'H7H9 BENELUX'!$K$230</f>
        <v>#DIV/0!</v>
      </c>
      <c r="L233" s="117"/>
      <c r="M233" s="73">
        <f>+((Benelux!I233*Benelux!$I$230)+(Benelux!U233*Benelux!$U$230))/'H7H9 BENELUX'!$M$230</f>
        <v>8.4902317120159568E-2</v>
      </c>
      <c r="N233" s="42">
        <f>+((Benelux!J233*Benelux!$J$230)+(Benelux!V233*Benelux!$V$230))/'H7H9 BENELUX'!$N$230</f>
        <v>8.7390789049333076E-2</v>
      </c>
      <c r="O233" s="42">
        <f>+((Benelux!K233*Benelux!$K$230)+(Benelux!W233*Benelux!$W$230))/'H7H9 BENELUX'!$O$230</f>
        <v>1.2092565031642607E-2</v>
      </c>
      <c r="P233" s="117"/>
      <c r="Q233" s="97"/>
      <c r="R233" s="42"/>
      <c r="S233" s="42"/>
      <c r="T233" s="117"/>
      <c r="U233" s="85">
        <f>+((I233*$I$230)+(M233*$M$230))/$U$230</f>
        <v>0.28229566281637181</v>
      </c>
      <c r="V233" s="60">
        <f>+((J233*$J$230)+(N233*$N$230))/$V$230</f>
        <v>0.28522931995087958</v>
      </c>
      <c r="W233" s="60" t="e">
        <f>+((K233*$K$230)+(O233*$O$230))/$W$230</f>
        <v>#DIV/0!</v>
      </c>
      <c r="X233" s="117"/>
      <c r="Y233" s="97"/>
      <c r="Z233" s="42"/>
      <c r="AA233" s="42"/>
      <c r="AB233" s="117"/>
      <c r="AC233" s="97"/>
      <c r="AD233" s="42"/>
      <c r="AE233" s="42"/>
      <c r="AF233" s="117"/>
      <c r="AG233" s="97"/>
      <c r="AH233" s="42"/>
      <c r="AI233" s="42"/>
      <c r="AJ233" s="117"/>
      <c r="AK233" s="74">
        <f>+((Benelux!M233*Benelux!$M$230)+(Benelux!Y233*Benelux!$Y$230))/'H7H9 BENELUX'!$AK$230</f>
        <v>1.1084792768076812</v>
      </c>
      <c r="AL233" s="42">
        <f>+((Benelux!N233*Benelux!$N$230)+(Benelux!Z233*Benelux!$Z$230))/'H7H9 BENELUX'!$AL$230</f>
        <v>1.4035906403576579</v>
      </c>
      <c r="AM233" s="42">
        <f>+((Benelux!O233*Benelux!$O$230)+(Benelux!AA233*Benelux!$AA$230))/'H7H9 BENELUX'!$AM$230</f>
        <v>1.1447711536224161</v>
      </c>
      <c r="AN233" s="117"/>
      <c r="AO233" s="85">
        <f t="shared" si="372"/>
        <v>1.1084792768076812</v>
      </c>
      <c r="AP233" s="60">
        <f t="shared" si="367"/>
        <v>1.4035906403576579</v>
      </c>
      <c r="AQ233" s="60">
        <f t="shared" si="368"/>
        <v>1.1447711536224161</v>
      </c>
      <c r="AR233" s="117"/>
      <c r="AS233" s="92">
        <f>+((U233*$U$230)+(AO233*$AO$230))/$AS$230</f>
        <v>0.35547268308475038</v>
      </c>
      <c r="AT233" s="68">
        <f>+((V233*$V$230)+(AP233*$AP$230))/$AT$230</f>
        <v>0.38866373748098959</v>
      </c>
      <c r="AU233" s="68" t="e">
        <f>+((W233*$W$230)+(AQ233*$AQ$230))/$AU$230</f>
        <v>#DIV/0!</v>
      </c>
      <c r="AW233" s="109"/>
      <c r="BA233" s="109"/>
      <c r="BE233" s="109"/>
      <c r="BI233" s="109"/>
      <c r="BM233" s="109"/>
    </row>
    <row r="234" spans="1:65" ht="16.5" hidden="1" outlineLevel="1" x14ac:dyDescent="0.25">
      <c r="A234" s="212"/>
      <c r="B234" s="9"/>
      <c r="C234" s="38" t="s">
        <v>24</v>
      </c>
      <c r="D234" s="7"/>
      <c r="E234" s="97"/>
      <c r="F234" s="42"/>
      <c r="G234" s="42"/>
      <c r="H234" s="134"/>
      <c r="I234" s="97">
        <f>+((Benelux!E234*Benelux!$E$230)+(Benelux!Q234*Benelux!$Q$230))/'H7H9 BENELUX'!$I$230</f>
        <v>0</v>
      </c>
      <c r="J234" s="42">
        <f>+((Benelux!F234*Benelux!$F$230)+(Benelux!R234*Benelux!$R$230))/'H7H9 BENELUX'!$J$230</f>
        <v>0</v>
      </c>
      <c r="K234" s="42" t="e">
        <f>+((Benelux!G234*Benelux!$G$230)+(Benelux!S234*Benelux!$S$230))/'H7H9 BENELUX'!$K$230</f>
        <v>#DIV/0!</v>
      </c>
      <c r="L234" s="134"/>
      <c r="M234" s="97">
        <f>+((Benelux!I234*Benelux!$I$230)+(Benelux!U234*Benelux!$U$230))/'H7H9 BENELUX'!$M$230</f>
        <v>0</v>
      </c>
      <c r="N234" s="42">
        <f>+((Benelux!J234*Benelux!$J$230)+(Benelux!V234*Benelux!$V$230))/'H7H9 BENELUX'!$N$230</f>
        <v>0</v>
      </c>
      <c r="O234" s="42">
        <f>+((Benelux!K234*Benelux!$K$230)+(Benelux!W234*Benelux!$W$230))/'H7H9 BENELUX'!$O$230</f>
        <v>0</v>
      </c>
      <c r="P234" s="134"/>
      <c r="Q234" s="97"/>
      <c r="R234" s="42"/>
      <c r="S234" s="42"/>
      <c r="T234" s="134"/>
      <c r="U234" s="99">
        <f t="shared" ref="U234:U239" si="377">+((I234*$I$230)+(M234*$M$230))/$U$230</f>
        <v>0</v>
      </c>
      <c r="V234" s="60">
        <f t="shared" ref="V234:V239" si="378">+((J234*$J$230)+(N234*$N$230))/$V$230</f>
        <v>0</v>
      </c>
      <c r="W234" s="60" t="e">
        <f t="shared" ref="W234:W239" si="379">+((K234*$K$230)+(O234*$O$230))/$W$230</f>
        <v>#DIV/0!</v>
      </c>
      <c r="X234" s="134"/>
      <c r="Y234" s="97"/>
      <c r="Z234" s="42"/>
      <c r="AA234" s="42"/>
      <c r="AB234" s="134"/>
      <c r="AC234" s="97"/>
      <c r="AD234" s="42"/>
      <c r="AE234" s="42"/>
      <c r="AF234" s="134"/>
      <c r="AG234" s="97"/>
      <c r="AH234" s="42"/>
      <c r="AI234" s="42"/>
      <c r="AJ234" s="134"/>
      <c r="AK234" s="97">
        <f>+((Benelux!M234*Benelux!$M$230)+(Benelux!Y234*Benelux!$Y$230))/'H7H9 BENELUX'!$AK$230</f>
        <v>0</v>
      </c>
      <c r="AL234" s="42">
        <f>+((Benelux!N234*Benelux!$N$230)+(Benelux!Z234*Benelux!$Z$230))/'H7H9 BENELUX'!$AL$230</f>
        <v>0</v>
      </c>
      <c r="AM234" s="42">
        <f>+((Benelux!O234*Benelux!$O$230)+(Benelux!AA234*Benelux!$AA$230))/'H7H9 BENELUX'!$AM$230</f>
        <v>0</v>
      </c>
      <c r="AN234" s="134"/>
      <c r="AO234" s="99">
        <f t="shared" si="372"/>
        <v>0</v>
      </c>
      <c r="AP234" s="60">
        <f t="shared" si="367"/>
        <v>0</v>
      </c>
      <c r="AQ234" s="60">
        <f t="shared" si="368"/>
        <v>0</v>
      </c>
      <c r="AR234" s="134"/>
      <c r="AS234" s="106">
        <f t="shared" ref="AS234:AS239" si="380">+((U234*$U$230)+(AO234*$AO$230))/$AS$230</f>
        <v>0</v>
      </c>
      <c r="AT234" s="68">
        <f t="shared" ref="AT234:AT239" si="381">+((V234*$V$230)+(AP234*$AP$230))/$AT$230</f>
        <v>0</v>
      </c>
      <c r="AU234" s="68" t="e">
        <f t="shared" ref="AU234:AU239" si="382">+((W234*$W$230)+(AQ234*$AQ$230))/$AU$230</f>
        <v>#DIV/0!</v>
      </c>
      <c r="AW234" s="109"/>
      <c r="BA234" s="109"/>
      <c r="BE234" s="109"/>
      <c r="BI234" s="109"/>
      <c r="BM234" s="109"/>
    </row>
    <row r="235" spans="1:65" ht="16.5" hidden="1" outlineLevel="1" x14ac:dyDescent="0.25">
      <c r="A235" s="212"/>
      <c r="B235" s="9"/>
      <c r="C235" s="38" t="s">
        <v>25</v>
      </c>
      <c r="D235" s="7"/>
      <c r="E235" s="97"/>
      <c r="F235" s="42"/>
      <c r="G235" s="42"/>
      <c r="H235" s="134"/>
      <c r="I235" s="97">
        <f>+((Benelux!E235*Benelux!$E$230)+(Benelux!Q235*Benelux!$Q$230))/'H7H9 BENELUX'!$I$230</f>
        <v>0</v>
      </c>
      <c r="J235" s="42">
        <f>+((Benelux!F235*Benelux!$F$230)+(Benelux!R235*Benelux!$R$230))/'H7H9 BENELUX'!$J$230</f>
        <v>0</v>
      </c>
      <c r="K235" s="42" t="e">
        <f>+((Benelux!G235*Benelux!$G$230)+(Benelux!S235*Benelux!$S$230))/'H7H9 BENELUX'!$K$230</f>
        <v>#DIV/0!</v>
      </c>
      <c r="L235" s="134"/>
      <c r="M235" s="97">
        <f>+((Benelux!I235*Benelux!$I$230)+(Benelux!U235*Benelux!$U$230))/'H7H9 BENELUX'!$M$230</f>
        <v>0</v>
      </c>
      <c r="N235" s="42">
        <f>+((Benelux!J235*Benelux!$J$230)+(Benelux!V235*Benelux!$V$230))/'H7H9 BENELUX'!$N$230</f>
        <v>0</v>
      </c>
      <c r="O235" s="42">
        <f>+((Benelux!K235*Benelux!$K$230)+(Benelux!W235*Benelux!$W$230))/'H7H9 BENELUX'!$O$230</f>
        <v>0</v>
      </c>
      <c r="P235" s="134"/>
      <c r="Q235" s="97"/>
      <c r="R235" s="42"/>
      <c r="S235" s="42"/>
      <c r="T235" s="134"/>
      <c r="U235" s="99">
        <f t="shared" si="377"/>
        <v>0</v>
      </c>
      <c r="V235" s="60">
        <f t="shared" si="378"/>
        <v>0</v>
      </c>
      <c r="W235" s="60" t="e">
        <f t="shared" si="379"/>
        <v>#DIV/0!</v>
      </c>
      <c r="X235" s="134"/>
      <c r="Y235" s="97"/>
      <c r="Z235" s="42"/>
      <c r="AA235" s="42"/>
      <c r="AB235" s="134"/>
      <c r="AC235" s="97"/>
      <c r="AD235" s="42"/>
      <c r="AE235" s="42"/>
      <c r="AF235" s="134"/>
      <c r="AG235" s="97"/>
      <c r="AH235" s="42"/>
      <c r="AI235" s="42"/>
      <c r="AJ235" s="134"/>
      <c r="AK235" s="97">
        <f>+((Benelux!M235*Benelux!$M$230)+(Benelux!Y235*Benelux!$Y$230))/'H7H9 BENELUX'!$AK$230</f>
        <v>0</v>
      </c>
      <c r="AL235" s="42">
        <f>+((Benelux!N235*Benelux!$N$230)+(Benelux!Z235*Benelux!$Z$230))/'H7H9 BENELUX'!$AL$230</f>
        <v>0</v>
      </c>
      <c r="AM235" s="42">
        <f>+((Benelux!O235*Benelux!$O$230)+(Benelux!AA235*Benelux!$AA$230))/'H7H9 BENELUX'!$AM$230</f>
        <v>0</v>
      </c>
      <c r="AN235" s="134"/>
      <c r="AO235" s="99">
        <f t="shared" si="372"/>
        <v>0</v>
      </c>
      <c r="AP235" s="60">
        <f t="shared" si="367"/>
        <v>0</v>
      </c>
      <c r="AQ235" s="60">
        <f t="shared" si="368"/>
        <v>0</v>
      </c>
      <c r="AR235" s="134"/>
      <c r="AS235" s="106">
        <f t="shared" si="380"/>
        <v>0</v>
      </c>
      <c r="AT235" s="68">
        <f t="shared" si="381"/>
        <v>0</v>
      </c>
      <c r="AU235" s="68" t="e">
        <f t="shared" si="382"/>
        <v>#DIV/0!</v>
      </c>
      <c r="AW235" s="109"/>
      <c r="BA235" s="109"/>
      <c r="BE235" s="109"/>
      <c r="BI235" s="109"/>
      <c r="BM235" s="109"/>
    </row>
    <row r="236" spans="1:65" ht="16.5" hidden="1" outlineLevel="1" x14ac:dyDescent="0.25">
      <c r="A236" s="212"/>
      <c r="B236" s="9"/>
      <c r="C236" s="38" t="s">
        <v>53</v>
      </c>
      <c r="D236" s="7"/>
      <c r="E236" s="97"/>
      <c r="F236" s="42"/>
      <c r="G236" s="42"/>
      <c r="H236" s="134"/>
      <c r="I236" s="74">
        <f>+((Benelux!E236*Benelux!$E$230)+(Benelux!Q236*Benelux!$Q$230))/'H7H9 BENELUX'!$I$230</f>
        <v>0.10293717336094158</v>
      </c>
      <c r="J236" s="42">
        <f>+((Benelux!F236*Benelux!$F$230)+(Benelux!R236*Benelux!$R$230))/'H7H9 BENELUX'!$J$230</f>
        <v>0.121940990807966</v>
      </c>
      <c r="K236" s="42" t="e">
        <f>+((Benelux!G236*Benelux!$G$230)+(Benelux!S236*Benelux!$S$230))/'H7H9 BENELUX'!$K$230</f>
        <v>#DIV/0!</v>
      </c>
      <c r="L236" s="134"/>
      <c r="M236" s="73">
        <f>+((Benelux!I236*Benelux!$I$230)+(Benelux!U236*Benelux!$U$230))/'H7H9 BENELUX'!$M$230</f>
        <v>0.84245528795790425</v>
      </c>
      <c r="N236" s="42">
        <f>+((Benelux!J236*Benelux!$J$230)+(Benelux!V236*Benelux!$V$230))/'H7H9 BENELUX'!$N$230</f>
        <v>0.84684920511830342</v>
      </c>
      <c r="O236" s="42">
        <f>+((Benelux!K236*Benelux!$K$230)+(Benelux!W236*Benelux!$W$230))/'H7H9 BENELUX'!$O$230</f>
        <v>0.58166739920558486</v>
      </c>
      <c r="P236" s="134"/>
      <c r="Q236" s="97"/>
      <c r="R236" s="42"/>
      <c r="S236" s="42"/>
      <c r="T236" s="134"/>
      <c r="U236" s="85">
        <f t="shared" si="377"/>
        <v>0.48384144300899123</v>
      </c>
      <c r="V236" s="60">
        <f t="shared" si="378"/>
        <v>0.49766737146830176</v>
      </c>
      <c r="W236" s="60" t="e">
        <f t="shared" si="379"/>
        <v>#DIV/0!</v>
      </c>
      <c r="X236" s="134"/>
      <c r="Y236" s="97"/>
      <c r="Z236" s="42"/>
      <c r="AA236" s="42"/>
      <c r="AB236" s="134"/>
      <c r="AC236" s="97"/>
      <c r="AD236" s="42"/>
      <c r="AE236" s="42"/>
      <c r="AF236" s="134"/>
      <c r="AG236" s="97"/>
      <c r="AH236" s="42"/>
      <c r="AI236" s="42"/>
      <c r="AJ236" s="134"/>
      <c r="AK236" s="74">
        <f>+((Benelux!M236*Benelux!$M$230)+(Benelux!Y236*Benelux!$Y$230))/'H7H9 BENELUX'!$AK$230</f>
        <v>6.2597607045541639E-2</v>
      </c>
      <c r="AL236" s="42">
        <f>+((Benelux!N236*Benelux!$N$230)+(Benelux!Z236*Benelux!$Z$230))/'H7H9 BENELUX'!$AL$230</f>
        <v>5.8013760829453045E-2</v>
      </c>
      <c r="AM236" s="42">
        <f>+((Benelux!O236*Benelux!$O$230)+(Benelux!AA236*Benelux!$AA$230))/'H7H9 BENELUX'!$AM$230</f>
        <v>6.7974109484874951E-2</v>
      </c>
      <c r="AN236" s="134"/>
      <c r="AO236" s="85">
        <f t="shared" si="372"/>
        <v>6.2597607045541639E-2</v>
      </c>
      <c r="AP236" s="60">
        <f t="shared" si="367"/>
        <v>5.8013760829453045E-2</v>
      </c>
      <c r="AQ236" s="60">
        <f t="shared" si="368"/>
        <v>6.7974109484874951E-2</v>
      </c>
      <c r="AR236" s="134"/>
      <c r="AS236" s="93">
        <f t="shared" si="380"/>
        <v>0.44653088855087392</v>
      </c>
      <c r="AT236" s="68">
        <f t="shared" si="381"/>
        <v>0.45700491801819626</v>
      </c>
      <c r="AU236" s="68" t="e">
        <f t="shared" si="382"/>
        <v>#DIV/0!</v>
      </c>
      <c r="AW236" s="109"/>
      <c r="BA236" s="109"/>
      <c r="BE236" s="109"/>
      <c r="BI236" s="109"/>
      <c r="BM236" s="109"/>
    </row>
    <row r="237" spans="1:65" ht="16.5" hidden="1" outlineLevel="1" x14ac:dyDescent="0.25">
      <c r="A237" s="212"/>
      <c r="B237" s="9"/>
      <c r="C237" s="116" t="s">
        <v>27</v>
      </c>
      <c r="D237" s="7"/>
      <c r="E237" s="131"/>
      <c r="F237" s="127"/>
      <c r="G237" s="127"/>
      <c r="H237" s="134"/>
      <c r="I237" s="126">
        <f>+((Benelux!E237*Benelux!$E$230)+(Benelux!Q237*Benelux!$Q$230))/'H7H9 BENELUX'!$I$230</f>
        <v>-2.1535056890837696E-2</v>
      </c>
      <c r="J237" s="127">
        <f>+((Benelux!F237*Benelux!$F$230)+(Benelux!R237*Benelux!$R$230))/'H7H9 BENELUX'!$J$230</f>
        <v>-2.3905997849266138E-2</v>
      </c>
      <c r="K237" s="127" t="e">
        <f>+((Benelux!G237*Benelux!$G$230)+(Benelux!S237*Benelux!$S$230))/'H7H9 BENELUX'!$K$230</f>
        <v>#DIV/0!</v>
      </c>
      <c r="L237" s="134"/>
      <c r="M237" s="128">
        <f>+((Benelux!I237*Benelux!$I$230)+(Benelux!U237*Benelux!$U$230))/'H7H9 BENELUX'!$M$230</f>
        <v>-2.4657209161366342E-3</v>
      </c>
      <c r="N237" s="127">
        <f>+((Benelux!J237*Benelux!$J$230)+(Benelux!V237*Benelux!$V$230))/'H7H9 BENELUX'!$N$230</f>
        <v>-3.2742015353956796E-3</v>
      </c>
      <c r="O237" s="127">
        <f>+((Benelux!K237*Benelux!$K$230)+(Benelux!W237*Benelux!$W$230))/'H7H9 BENELUX'!$O$230</f>
        <v>-2.5155338994098746E-3</v>
      </c>
      <c r="P237" s="134"/>
      <c r="Q237" s="131"/>
      <c r="R237" s="127"/>
      <c r="S237" s="127"/>
      <c r="T237" s="134"/>
      <c r="U237" s="132">
        <f t="shared" si="377"/>
        <v>-1.1712996621123486E-2</v>
      </c>
      <c r="V237" s="130">
        <f t="shared" si="378"/>
        <v>-1.3212354154102868E-2</v>
      </c>
      <c r="W237" s="130" t="e">
        <f t="shared" si="379"/>
        <v>#DIV/0!</v>
      </c>
      <c r="X237" s="134"/>
      <c r="Y237" s="131"/>
      <c r="Z237" s="127"/>
      <c r="AA237" s="127"/>
      <c r="AB237" s="134"/>
      <c r="AC237" s="131"/>
      <c r="AD237" s="127"/>
      <c r="AE237" s="127"/>
      <c r="AF237" s="134"/>
      <c r="AG237" s="131"/>
      <c r="AH237" s="127"/>
      <c r="AI237" s="127"/>
      <c r="AJ237" s="134"/>
      <c r="AK237" s="126">
        <f>+((Benelux!M237*Benelux!$M$230)+(Benelux!Y237*Benelux!$Y$230))/'H7H9 BENELUX'!$AK$230</f>
        <v>-5.2278308563905508E-2</v>
      </c>
      <c r="AL237" s="127">
        <f>+((Benelux!N237*Benelux!$N$230)+(Benelux!Z237*Benelux!$Z$230))/'H7H9 BENELUX'!$AL$230</f>
        <v>-8.4237424146172121E-2</v>
      </c>
      <c r="AM237" s="127">
        <f>+((Benelux!O237*Benelux!$O$230)+(Benelux!AA237*Benelux!$AA$230))/'H7H9 BENELUX'!$AM$230</f>
        <v>-5.078130691383919E-2</v>
      </c>
      <c r="AN237" s="134"/>
      <c r="AO237" s="132">
        <f t="shared" si="372"/>
        <v>-5.2278308563905508E-2</v>
      </c>
      <c r="AP237" s="130">
        <f t="shared" si="367"/>
        <v>-8.4237424146172121E-2</v>
      </c>
      <c r="AQ237" s="130">
        <f t="shared" si="368"/>
        <v>-5.078130691383919E-2</v>
      </c>
      <c r="AR237" s="134"/>
      <c r="AS237" s="162">
        <f t="shared" si="380"/>
        <v>-1.5305961434222873E-2</v>
      </c>
      <c r="AT237" s="163">
        <f t="shared" si="381"/>
        <v>-1.9781283721510372E-2</v>
      </c>
      <c r="AU237" s="163" t="e">
        <f t="shared" si="382"/>
        <v>#DIV/0!</v>
      </c>
      <c r="AW237" s="109"/>
      <c r="BA237" s="109"/>
      <c r="BE237" s="109"/>
      <c r="BI237" s="109"/>
      <c r="BM237" s="109"/>
    </row>
    <row r="238" spans="1:65" ht="16.5" hidden="1" outlineLevel="1" x14ac:dyDescent="0.25">
      <c r="A238" s="212"/>
      <c r="B238" s="9"/>
      <c r="C238" s="116" t="s">
        <v>57</v>
      </c>
      <c r="D238" s="7"/>
      <c r="E238" s="131"/>
      <c r="F238" s="127"/>
      <c r="G238" s="127"/>
      <c r="H238" s="134"/>
      <c r="I238" s="126">
        <f>+((Benelux!E238*Benelux!$E$230)+(Benelux!Q238*Benelux!$Q$230))/'H7H9 BENELUX'!$I$230</f>
        <v>-0.21309927612847129</v>
      </c>
      <c r="J238" s="127">
        <f>+((Benelux!F238*Benelux!$F$230)+(Benelux!R238*Benelux!$R$230))/'H7H9 BENELUX'!$J$230</f>
        <v>-0.30297621911646183</v>
      </c>
      <c r="K238" s="127" t="e">
        <f>+((Benelux!G238*Benelux!$G$230)+(Benelux!S238*Benelux!$S$230))/'H7H9 BENELUX'!$K$230</f>
        <v>#DIV/0!</v>
      </c>
      <c r="L238" s="134"/>
      <c r="M238" s="126">
        <f>+((Benelux!I238*Benelux!$I$230)+(Benelux!U238*Benelux!$U$230))/'H7H9 BENELUX'!$M$230</f>
        <v>-1.9007264700013158E-2</v>
      </c>
      <c r="N238" s="127">
        <f>+((Benelux!J238*Benelux!$J$230)+(Benelux!V238*Benelux!$V$230))/'H7H9 BENELUX'!$N$230</f>
        <v>-6.7012876539047223E-2</v>
      </c>
      <c r="O238" s="127">
        <f>+((Benelux!K238*Benelux!$K$230)+(Benelux!W238*Benelux!$W$230))/'H7H9 BENELUX'!$O$230</f>
        <v>-8.1854935037845326E-4</v>
      </c>
      <c r="P238" s="134"/>
      <c r="Q238" s="131"/>
      <c r="R238" s="127"/>
      <c r="S238" s="127"/>
      <c r="T238" s="134"/>
      <c r="U238" s="132">
        <f t="shared" si="377"/>
        <v>-0.11312812681055383</v>
      </c>
      <c r="V238" s="130">
        <f t="shared" si="378"/>
        <v>-0.18067431809651829</v>
      </c>
      <c r="W238" s="130" t="e">
        <f t="shared" si="379"/>
        <v>#DIV/0!</v>
      </c>
      <c r="X238" s="134"/>
      <c r="Y238" s="131"/>
      <c r="Z238" s="127"/>
      <c r="AA238" s="127"/>
      <c r="AB238" s="134"/>
      <c r="AC238" s="131"/>
      <c r="AD238" s="127"/>
      <c r="AE238" s="127"/>
      <c r="AF238" s="134"/>
      <c r="AG238" s="131"/>
      <c r="AH238" s="127"/>
      <c r="AI238" s="127"/>
      <c r="AJ238" s="134"/>
      <c r="AK238" s="126">
        <f>+((Benelux!M238*Benelux!$M$230)+(Benelux!Y238*Benelux!$Y$230))/'H7H9 BENELUX'!$AK$230</f>
        <v>-0.88137957790421739</v>
      </c>
      <c r="AL238" s="127">
        <f>+((Benelux!N238*Benelux!$N$230)+(Benelux!Z238*Benelux!$Z$230))/'H7H9 BENELUX'!$AL$230</f>
        <v>-0.47236653837373466</v>
      </c>
      <c r="AM238" s="127">
        <f>+((Benelux!O238*Benelux!$O$230)+(Benelux!AA238*Benelux!$AA$230))/'H7H9 BENELUX'!$AM$230</f>
        <v>-1.414261993009115E-2</v>
      </c>
      <c r="AN238" s="134"/>
      <c r="AO238" s="132">
        <f t="shared" si="372"/>
        <v>-0.88137957790421739</v>
      </c>
      <c r="AP238" s="130">
        <f t="shared" si="367"/>
        <v>-0.47236653837373466</v>
      </c>
      <c r="AQ238" s="130">
        <f t="shared" si="368"/>
        <v>-1.414261993009115E-2</v>
      </c>
      <c r="AR238" s="134"/>
      <c r="AS238" s="162">
        <f t="shared" si="380"/>
        <v>-0.18117395954778318</v>
      </c>
      <c r="AT238" s="163">
        <f t="shared" si="381"/>
        <v>-0.20765219577514224</v>
      </c>
      <c r="AU238" s="163" t="e">
        <f t="shared" si="382"/>
        <v>#DIV/0!</v>
      </c>
      <c r="AW238" s="109"/>
      <c r="BA238" s="109"/>
      <c r="BE238" s="109"/>
      <c r="BI238" s="109"/>
      <c r="BM238" s="109"/>
    </row>
    <row r="239" spans="1:65" ht="16.5" hidden="1" outlineLevel="1" x14ac:dyDescent="0.25">
      <c r="A239" s="212"/>
      <c r="B239" s="9"/>
      <c r="C239" s="116" t="s">
        <v>29</v>
      </c>
      <c r="D239" s="7"/>
      <c r="E239" s="131"/>
      <c r="F239" s="127"/>
      <c r="G239" s="127"/>
      <c r="H239" s="134"/>
      <c r="I239" s="126">
        <f>+((Benelux!E239*Benelux!$E$230)+(Benelux!Q239*Benelux!$Q$230))/'H7H9 BENELUX'!$I$230</f>
        <v>6.1101722391643583E-2</v>
      </c>
      <c r="J239" s="127">
        <f>+((Benelux!F239*Benelux!$F$230)+(Benelux!R239*Benelux!$R$230))/'H7H9 BENELUX'!$J$230</f>
        <v>-1.577769793379943E-2</v>
      </c>
      <c r="K239" s="127" t="e">
        <f>+((Benelux!G239*Benelux!$G$230)+(Benelux!S239*Benelux!$S$230))/'H7H9 BENELUX'!$K$230</f>
        <v>#DIV/0!</v>
      </c>
      <c r="L239" s="134"/>
      <c r="M239" s="128">
        <f>+((Benelux!I239*Benelux!$I$230)+(Benelux!U239*Benelux!$U$230))/'H7H9 BENELUX'!$M$230</f>
        <v>1.0801527900580867E-2</v>
      </c>
      <c r="N239" s="127">
        <f>+((Benelux!J239*Benelux!$J$230)+(Benelux!V239*Benelux!$V$230))/'H7H9 BENELUX'!$N$230</f>
        <v>-1.5080727330110282E-3</v>
      </c>
      <c r="O239" s="127">
        <f>+((Benelux!K239*Benelux!$K$230)+(Benelux!W239*Benelux!$W$230))/'H7H9 BENELUX'!$O$230</f>
        <v>0</v>
      </c>
      <c r="P239" s="134"/>
      <c r="Q239" s="131"/>
      <c r="R239" s="127"/>
      <c r="S239" s="127"/>
      <c r="T239" s="134"/>
      <c r="U239" s="132">
        <f t="shared" si="377"/>
        <v>3.5193555346655032E-2</v>
      </c>
      <c r="V239" s="130">
        <f t="shared" si="378"/>
        <v>-8.3816241630358598E-3</v>
      </c>
      <c r="W239" s="130" t="e">
        <f t="shared" si="379"/>
        <v>#DIV/0!</v>
      </c>
      <c r="X239" s="134"/>
      <c r="Y239" s="131"/>
      <c r="Z239" s="127"/>
      <c r="AA239" s="127"/>
      <c r="AB239" s="134"/>
      <c r="AC239" s="131"/>
      <c r="AD239" s="127"/>
      <c r="AE239" s="127"/>
      <c r="AF239" s="134"/>
      <c r="AG239" s="131"/>
      <c r="AH239" s="127"/>
      <c r="AI239" s="127"/>
      <c r="AJ239" s="134"/>
      <c r="AK239" s="128">
        <f>+((Benelux!M239*Benelux!$M$230)+(Benelux!Y239*Benelux!$Y$230))/'H7H9 BENELUX'!$AK$230</f>
        <v>0.18670745486495743</v>
      </c>
      <c r="AL239" s="127">
        <f>+((Benelux!N239*Benelux!$N$230)+(Benelux!Z239*Benelux!$Z$230))/'H7H9 BENELUX'!$AL$230</f>
        <v>-6.3684832082327681E-3</v>
      </c>
      <c r="AM239" s="127">
        <f>+((Benelux!O239*Benelux!$O$230)+(Benelux!AA239*Benelux!$AA$230))/'H7H9 BENELUX'!$AM$230</f>
        <v>0</v>
      </c>
      <c r="AN239" s="134"/>
      <c r="AO239" s="129">
        <f t="shared" si="372"/>
        <v>0.18670745486495743</v>
      </c>
      <c r="AP239" s="130">
        <f t="shared" si="367"/>
        <v>-6.3684832082327681E-3</v>
      </c>
      <c r="AQ239" s="130">
        <f t="shared" si="368"/>
        <v>0</v>
      </c>
      <c r="AR239" s="134"/>
      <c r="AS239" s="162">
        <f t="shared" si="380"/>
        <v>4.8613496759470957E-2</v>
      </c>
      <c r="AT239" s="163">
        <f t="shared" si="381"/>
        <v>-8.1954338341443615E-3</v>
      </c>
      <c r="AU239" s="163" t="e">
        <f t="shared" si="382"/>
        <v>#DIV/0!</v>
      </c>
      <c r="AW239" s="109"/>
      <c r="BA239" s="109"/>
      <c r="BE239" s="109"/>
      <c r="BI239" s="109"/>
      <c r="BM239" s="109"/>
    </row>
    <row r="240" spans="1:65" ht="16.5" hidden="1" outlineLevel="1" x14ac:dyDescent="0.25">
      <c r="A240" s="212"/>
      <c r="B240" s="9"/>
      <c r="C240" s="116" t="s">
        <v>58</v>
      </c>
      <c r="D240" s="7"/>
      <c r="E240" s="131"/>
      <c r="F240" s="127"/>
      <c r="G240" s="127"/>
      <c r="H240" s="134"/>
      <c r="I240" s="126">
        <f>+I241+I242+I243</f>
        <v>0.29548707837258553</v>
      </c>
      <c r="J240" s="127">
        <f t="shared" ref="J240" si="383">+J241+J242+J243</f>
        <v>0.32073917620535319</v>
      </c>
      <c r="K240" s="127" t="e">
        <f t="shared" ref="K240" si="384">+K241+K242+K243</f>
        <v>#DIV/0!</v>
      </c>
      <c r="L240" s="134"/>
      <c r="M240" s="126">
        <f>+M241+M242+M243</f>
        <v>0.27359303249070649</v>
      </c>
      <c r="N240" s="127">
        <f>+N241+N242+N243</f>
        <v>0.25787407897050407</v>
      </c>
      <c r="O240" s="127">
        <f>+O241+O242+O243</f>
        <v>0.27704982610078316</v>
      </c>
      <c r="P240" s="134"/>
      <c r="Q240" s="131"/>
      <c r="R240" s="127"/>
      <c r="S240" s="127"/>
      <c r="T240" s="134"/>
      <c r="U240" s="132">
        <f>+U241+U242+U243</f>
        <v>0.28421009219514337</v>
      </c>
      <c r="V240" s="130">
        <f>+V241+V242+V243</f>
        <v>0.28815563667906768</v>
      </c>
      <c r="W240" s="130" t="e">
        <f>+W241+W242+W243</f>
        <v>#DIV/0!</v>
      </c>
      <c r="X240" s="134"/>
      <c r="Y240" s="131"/>
      <c r="Z240" s="127"/>
      <c r="AA240" s="127"/>
      <c r="AB240" s="134"/>
      <c r="AC240" s="131"/>
      <c r="AD240" s="127"/>
      <c r="AE240" s="127"/>
      <c r="AF240" s="134"/>
      <c r="AG240" s="131"/>
      <c r="AH240" s="127"/>
      <c r="AI240" s="127"/>
      <c r="AJ240" s="134"/>
      <c r="AK240" s="126">
        <f>+AK241+AK242+AK243</f>
        <v>0.22041444906780394</v>
      </c>
      <c r="AL240" s="127">
        <f>+AL241+AL242+AL243</f>
        <v>0.16860010959790073</v>
      </c>
      <c r="AM240" s="127">
        <f>+AM241+AM242+AM243</f>
        <v>0.24998711766998508</v>
      </c>
      <c r="AN240" s="134"/>
      <c r="AO240" s="132">
        <f t="shared" si="372"/>
        <v>0.22041444906780394</v>
      </c>
      <c r="AP240" s="130">
        <f t="shared" si="367"/>
        <v>0.16860010959790073</v>
      </c>
      <c r="AQ240" s="130">
        <f t="shared" si="368"/>
        <v>0.24998711766998508</v>
      </c>
      <c r="AR240" s="134"/>
      <c r="AS240" s="162">
        <f>+AS241+AS242+AS243</f>
        <v>0.27855956246893571</v>
      </c>
      <c r="AT240" s="163">
        <f>+AT241+AT242+AT243</f>
        <v>0.27709824755043805</v>
      </c>
      <c r="AU240" s="163" t="e">
        <f>+AU241+AU242+AU243</f>
        <v>#DIV/0!</v>
      </c>
      <c r="AW240" s="109"/>
      <c r="BA240" s="109"/>
      <c r="BE240" s="109"/>
      <c r="BI240" s="109"/>
      <c r="BM240" s="109"/>
    </row>
    <row r="241" spans="1:65" ht="16.5" hidden="1" outlineLevel="1" x14ac:dyDescent="0.25">
      <c r="A241" s="212"/>
      <c r="B241" s="9"/>
      <c r="C241" s="39" t="s">
        <v>59</v>
      </c>
      <c r="D241" s="8"/>
      <c r="E241" s="97"/>
      <c r="F241" s="42"/>
      <c r="G241" s="42"/>
      <c r="H241" s="135"/>
      <c r="I241" s="74">
        <f>+((Benelux!E241*Benelux!$E$230)+(Benelux!Q241*Benelux!$Q$230))/'H7H9 BENELUX'!$I$230</f>
        <v>0.18634249405977063</v>
      </c>
      <c r="J241" s="42">
        <f>+((Benelux!F241*Benelux!$F$230)+(Benelux!R241*Benelux!$R$230))/'H7H9 BENELUX'!$J$230</f>
        <v>0.18576277858184878</v>
      </c>
      <c r="K241" s="42" t="e">
        <f>+((Benelux!G241*Benelux!$G$230)+(Benelux!S241*Benelux!$S$230))/'H7H9 BENELUX'!$K$230</f>
        <v>#DIV/0!</v>
      </c>
      <c r="L241" s="135"/>
      <c r="M241" s="73">
        <f>+((Benelux!I241*Benelux!$I$230)+(Benelux!U241*Benelux!$U$230))/'H7H9 BENELUX'!$M$230</f>
        <v>0.18441859202950844</v>
      </c>
      <c r="N241" s="42">
        <f>+((Benelux!J241*Benelux!$J$230)+(Benelux!V241*Benelux!$V$230))/'H7H9 BENELUX'!$N$230</f>
        <v>0.18422752127698125</v>
      </c>
      <c r="O241" s="42">
        <f>+((Benelux!K241*Benelux!$K$230)+(Benelux!W241*Benelux!$W$230))/'H7H9 BENELUX'!$O$230</f>
        <v>0.17905837728224991</v>
      </c>
      <c r="P241" s="135"/>
      <c r="Q241" s="97"/>
      <c r="R241" s="42"/>
      <c r="S241" s="42"/>
      <c r="T241" s="135"/>
      <c r="U241" s="99">
        <f t="shared" ref="U241:U243" si="385">+((I241*$I$230)+(M241*$M$230))/$U$230</f>
        <v>0.18535154808664756</v>
      </c>
      <c r="V241" s="60">
        <f t="shared" ref="V241:V243" si="386">+((J241*$J$230)+(N241*$N$230))/$V$230</f>
        <v>0.18496704105376874</v>
      </c>
      <c r="W241" s="60" t="e">
        <f t="shared" ref="W241:W243" si="387">+((K241*$K$230)+(O241*$O$230))/$W$230</f>
        <v>#DIV/0!</v>
      </c>
      <c r="X241" s="135"/>
      <c r="Y241" s="97"/>
      <c r="Z241" s="42"/>
      <c r="AA241" s="42"/>
      <c r="AB241" s="135"/>
      <c r="AC241" s="97"/>
      <c r="AD241" s="42"/>
      <c r="AE241" s="42"/>
      <c r="AF241" s="135"/>
      <c r="AG241" s="97"/>
      <c r="AH241" s="42"/>
      <c r="AI241" s="42"/>
      <c r="AJ241" s="135"/>
      <c r="AK241" s="74">
        <f>+((Benelux!M241*Benelux!$M$230)+(Benelux!Y241*Benelux!$Y$230))/'H7H9 BENELUX'!$AK$230</f>
        <v>0.10447562106791898</v>
      </c>
      <c r="AL241" s="42">
        <f>+((Benelux!N241*Benelux!$N$230)+(Benelux!Z241*Benelux!$Z$230))/'H7H9 BENELUX'!$AL$230</f>
        <v>0.11347907189962203</v>
      </c>
      <c r="AM241" s="42">
        <f>+((Benelux!O241*Benelux!$O$230)+(Benelux!AA241*Benelux!$AA$230))/'H7H9 BENELUX'!$AM$230</f>
        <v>0.12372120192649971</v>
      </c>
      <c r="AN241" s="135"/>
      <c r="AO241" s="85">
        <f t="shared" si="372"/>
        <v>0.10447562106791898</v>
      </c>
      <c r="AP241" s="60">
        <f t="shared" si="367"/>
        <v>0.11347907189962203</v>
      </c>
      <c r="AQ241" s="60">
        <f t="shared" si="368"/>
        <v>0.12372120192649971</v>
      </c>
      <c r="AR241" s="135"/>
      <c r="AS241" s="93">
        <f t="shared" ref="AS241:AS243" si="388">+((U241*$U$230)+(AO241*$AO$230))/$AS$230</f>
        <v>0.17818817755926297</v>
      </c>
      <c r="AT241" s="68">
        <f t="shared" ref="AT241:AT243" si="389">+((V241*$V$230)+(AP241*$AP$230))/$AT$230</f>
        <v>0.178355299110494</v>
      </c>
      <c r="AU241" s="68" t="e">
        <f t="shared" ref="AU241:AU243" si="390">+((W241*$W$230)+(AQ241*$AQ$230))/$AU$230</f>
        <v>#DIV/0!</v>
      </c>
      <c r="AW241" s="109"/>
      <c r="BA241" s="109"/>
      <c r="BE241" s="109"/>
      <c r="BI241" s="109"/>
      <c r="BM241" s="109"/>
    </row>
    <row r="242" spans="1:65" ht="16.5" hidden="1" outlineLevel="1" x14ac:dyDescent="0.25">
      <c r="A242" s="212"/>
      <c r="B242" s="9"/>
      <c r="C242" s="39" t="s">
        <v>60</v>
      </c>
      <c r="D242" s="8"/>
      <c r="E242" s="97"/>
      <c r="F242" s="42"/>
      <c r="G242" s="42"/>
      <c r="H242" s="135"/>
      <c r="I242" s="74">
        <f>+((Benelux!E242*Benelux!$E$230)+(Benelux!Q242*Benelux!$Q$230))/'H7H9 BENELUX'!$I$230</f>
        <v>4.7385085240744189E-2</v>
      </c>
      <c r="J242" s="42">
        <f>+((Benelux!F242*Benelux!$F$230)+(Benelux!R242*Benelux!$R$230))/'H7H9 BENELUX'!$J$230</f>
        <v>4.3633543117657943E-2</v>
      </c>
      <c r="K242" s="42" t="e">
        <f>+((Benelux!G242*Benelux!$G$230)+(Benelux!S242*Benelux!$S$230))/'H7H9 BENELUX'!$K$230</f>
        <v>#DIV/0!</v>
      </c>
      <c r="L242" s="135"/>
      <c r="M242" s="97">
        <f>+((Benelux!I242*Benelux!$I$230)+(Benelux!U242*Benelux!$U$230))/'H7H9 BENELUX'!$M$230</f>
        <v>3.1860494388309353E-2</v>
      </c>
      <c r="N242" s="42">
        <f>+((Benelux!J242*Benelux!$J$230)+(Benelux!V242*Benelux!$V$230))/'H7H9 BENELUX'!$N$230</f>
        <v>2.0349507556548619E-2</v>
      </c>
      <c r="O242" s="42">
        <f>+((Benelux!K242*Benelux!$K$230)+(Benelux!W242*Benelux!$W$230))/'H7H9 BENELUX'!$O$230</f>
        <v>3.0036487867752336E-2</v>
      </c>
      <c r="P242" s="135"/>
      <c r="Q242" s="97"/>
      <c r="R242" s="42"/>
      <c r="S242" s="42"/>
      <c r="T242" s="135"/>
      <c r="U242" s="84">
        <f t="shared" si="385"/>
        <v>3.938882007358966E-2</v>
      </c>
      <c r="V242" s="60">
        <f t="shared" si="386"/>
        <v>3.1565220210232718E-2</v>
      </c>
      <c r="W242" s="60" t="e">
        <f t="shared" si="387"/>
        <v>#DIV/0!</v>
      </c>
      <c r="X242" s="135"/>
      <c r="Y242" s="97"/>
      <c r="Z242" s="42"/>
      <c r="AA242" s="42"/>
      <c r="AB242" s="135"/>
      <c r="AC242" s="97"/>
      <c r="AD242" s="42"/>
      <c r="AE242" s="42"/>
      <c r="AF242" s="135"/>
      <c r="AG242" s="97"/>
      <c r="AH242" s="42"/>
      <c r="AI242" s="42"/>
      <c r="AJ242" s="135"/>
      <c r="AK242" s="97">
        <f>+((Benelux!M242*Benelux!$M$230)+(Benelux!Y242*Benelux!$Y$230))/'H7H9 BENELUX'!$AK$230</f>
        <v>2.7869509483761414E-2</v>
      </c>
      <c r="AL242" s="42">
        <f>+((Benelux!N242*Benelux!$N$230)+(Benelux!Z242*Benelux!$Z$230))/'H7H9 BENELUX'!$AL$230</f>
        <v>1.3171407717511173E-2</v>
      </c>
      <c r="AM242" s="42">
        <f>+((Benelux!O242*Benelux!$O$230)+(Benelux!AA242*Benelux!$AA$230))/'H7H9 BENELUX'!$AM$230</f>
        <v>2.5951494817697929E-2</v>
      </c>
      <c r="AN242" s="135"/>
      <c r="AO242" s="99">
        <f t="shared" si="372"/>
        <v>2.7869509483761414E-2</v>
      </c>
      <c r="AP242" s="60">
        <f t="shared" si="367"/>
        <v>1.3171407717511173E-2</v>
      </c>
      <c r="AQ242" s="60">
        <f t="shared" si="368"/>
        <v>2.5951494817697929E-2</v>
      </c>
      <c r="AR242" s="135"/>
      <c r="AS242" s="92">
        <f t="shared" si="388"/>
        <v>3.8368527719403037E-2</v>
      </c>
      <c r="AT242" s="68">
        <f t="shared" si="389"/>
        <v>2.9864022889986786E-2</v>
      </c>
      <c r="AU242" s="68" t="e">
        <f t="shared" si="390"/>
        <v>#DIV/0!</v>
      </c>
      <c r="AW242" s="109"/>
      <c r="BA242" s="109"/>
      <c r="BE242" s="109"/>
      <c r="BI242" s="109"/>
      <c r="BM242" s="109"/>
    </row>
    <row r="243" spans="1:65" ht="16.5" hidden="1" outlineLevel="1" x14ac:dyDescent="0.25">
      <c r="A243" s="212"/>
      <c r="B243" s="9"/>
      <c r="C243" s="39" t="s">
        <v>61</v>
      </c>
      <c r="D243" s="8"/>
      <c r="E243" s="97"/>
      <c r="F243" s="42"/>
      <c r="G243" s="42"/>
      <c r="H243" s="135"/>
      <c r="I243" s="74">
        <f>+((Benelux!E243*Benelux!$E$230)+(Benelux!Q243*Benelux!$Q$230))/'H7H9 BENELUX'!$I$230</f>
        <v>6.1759499072070706E-2</v>
      </c>
      <c r="J243" s="42">
        <f>+((Benelux!F243*Benelux!$F$230)+(Benelux!R243*Benelux!$R$230))/'H7H9 BENELUX'!$J$230</f>
        <v>9.1342854505846491E-2</v>
      </c>
      <c r="K243" s="42" t="e">
        <f>+((Benelux!G243*Benelux!$G$230)+(Benelux!S243*Benelux!$S$230))/'H7H9 BENELUX'!$K$230</f>
        <v>#DIV/0!</v>
      </c>
      <c r="L243" s="135"/>
      <c r="M243" s="74">
        <f>+((Benelux!I243*Benelux!$I$230)+(Benelux!U243*Benelux!$U$230))/'H7H9 BENELUX'!$M$230</f>
        <v>5.7313946072888693E-2</v>
      </c>
      <c r="N243" s="42">
        <f>+((Benelux!J243*Benelux!$J$230)+(Benelux!V243*Benelux!$V$230))/'H7H9 BENELUX'!$N$230</f>
        <v>5.3297050136974194E-2</v>
      </c>
      <c r="O243" s="42">
        <f>+((Benelux!K243*Benelux!$K$230)+(Benelux!W243*Benelux!$W$230))/'H7H9 BENELUX'!$O$230</f>
        <v>6.7954960950780893E-2</v>
      </c>
      <c r="P243" s="135"/>
      <c r="Q243" s="97"/>
      <c r="R243" s="42"/>
      <c r="S243" s="42"/>
      <c r="T243" s="135"/>
      <c r="U243" s="85">
        <f t="shared" si="385"/>
        <v>5.9469724034906156E-2</v>
      </c>
      <c r="V243" s="60">
        <f t="shared" si="386"/>
        <v>7.1623375415066207E-2</v>
      </c>
      <c r="W243" s="60" t="e">
        <f t="shared" si="387"/>
        <v>#DIV/0!</v>
      </c>
      <c r="X243" s="135"/>
      <c r="Y243" s="97"/>
      <c r="Z243" s="42"/>
      <c r="AA243" s="42"/>
      <c r="AB243" s="135"/>
      <c r="AC243" s="97"/>
      <c r="AD243" s="42"/>
      <c r="AE243" s="42"/>
      <c r="AF243" s="135"/>
      <c r="AG243" s="97"/>
      <c r="AH243" s="42"/>
      <c r="AI243" s="42"/>
      <c r="AJ243" s="135"/>
      <c r="AK243" s="74">
        <f>+((Benelux!M243*Benelux!$M$230)+(Benelux!Y243*Benelux!$Y$230))/'H7H9 BENELUX'!$AK$230</f>
        <v>8.806931851612354E-2</v>
      </c>
      <c r="AL243" s="42">
        <f>+((Benelux!N243*Benelux!$N$230)+(Benelux!Z243*Benelux!$Z$230))/'H7H9 BENELUX'!$AL$230</f>
        <v>4.1949629980767525E-2</v>
      </c>
      <c r="AM243" s="42">
        <f>+((Benelux!O243*Benelux!$O$230)+(Benelux!AA243*Benelux!$AA$230))/'H7H9 BENELUX'!$AM$230</f>
        <v>0.10031442092578743</v>
      </c>
      <c r="AN243" s="135"/>
      <c r="AO243" s="85">
        <f t="shared" si="372"/>
        <v>8.806931851612354E-2</v>
      </c>
      <c r="AP243" s="60">
        <f t="shared" si="367"/>
        <v>4.1949629980767525E-2</v>
      </c>
      <c r="AQ243" s="60">
        <f t="shared" si="368"/>
        <v>0.10031442092578743</v>
      </c>
      <c r="AR243" s="135"/>
      <c r="AS243" s="93">
        <f t="shared" si="388"/>
        <v>6.200285719026969E-2</v>
      </c>
      <c r="AT243" s="68">
        <f t="shared" si="389"/>
        <v>6.8878925549957254E-2</v>
      </c>
      <c r="AU243" s="68" t="e">
        <f t="shared" si="390"/>
        <v>#DIV/0!</v>
      </c>
      <c r="AW243" s="109"/>
      <c r="BA243" s="109"/>
      <c r="BE243" s="109"/>
      <c r="BI243" s="109"/>
      <c r="BM243" s="109"/>
    </row>
    <row r="244" spans="1:65" ht="16.5" hidden="1" outlineLevel="1" x14ac:dyDescent="0.25">
      <c r="A244" s="212"/>
      <c r="B244" s="9"/>
      <c r="C244" s="116" t="s">
        <v>34</v>
      </c>
      <c r="D244" s="6"/>
      <c r="E244" s="121"/>
      <c r="F244" s="119"/>
      <c r="G244" s="119"/>
      <c r="H244" s="117"/>
      <c r="I244" s="118">
        <f>+Benelux!E244+Benelux!Q244</f>
        <v>0.29637955999999938</v>
      </c>
      <c r="J244" s="119">
        <f>+Benelux!F244+Benelux!R244</f>
        <v>0.41351822000000027</v>
      </c>
      <c r="K244" s="119">
        <f>+Benelux!G244+Benelux!S244</f>
        <v>0.1651243780701302</v>
      </c>
      <c r="L244" s="117"/>
      <c r="M244" s="121">
        <f>+Benelux!I244+Benelux!U244</f>
        <v>-0.24569101999999995</v>
      </c>
      <c r="N244" s="119">
        <f>+Benelux!J244+Benelux!V244</f>
        <v>-0.2102239100000001</v>
      </c>
      <c r="O244" s="119">
        <f>+Benelux!K244+Benelux!W244</f>
        <v>0.16909420514394247</v>
      </c>
      <c r="P244" s="117"/>
      <c r="Q244" s="121"/>
      <c r="R244" s="119"/>
      <c r="S244" s="119"/>
      <c r="T244" s="117"/>
      <c r="U244" s="124">
        <f t="shared" ref="U244:W244" si="391">+I244+M244</f>
        <v>5.0688539999999421E-2</v>
      </c>
      <c r="V244" s="165">
        <f t="shared" si="391"/>
        <v>0.20329431000000017</v>
      </c>
      <c r="W244" s="123">
        <f t="shared" si="391"/>
        <v>0.33421858321407266</v>
      </c>
      <c r="X244" s="117"/>
      <c r="Y244" s="121"/>
      <c r="Z244" s="119"/>
      <c r="AA244" s="119"/>
      <c r="AB244" s="117"/>
      <c r="AC244" s="121"/>
      <c r="AD244" s="119"/>
      <c r="AE244" s="119"/>
      <c r="AF244" s="117"/>
      <c r="AG244" s="121"/>
      <c r="AH244" s="119"/>
      <c r="AI244" s="119"/>
      <c r="AJ244" s="117"/>
      <c r="AK244" s="118">
        <f>+Benelux!M244+Benelux!Y244</f>
        <v>7.4562270000000097E-2</v>
      </c>
      <c r="AL244" s="119">
        <f>+Benelux!N244+Benelux!Z244</f>
        <v>-1.463674999999985E-2</v>
      </c>
      <c r="AM244" s="119">
        <f>+Benelux!O244+Benelux!AA244</f>
        <v>-8.1944483310162131E-2</v>
      </c>
      <c r="AN244" s="117"/>
      <c r="AO244" s="122">
        <f t="shared" si="372"/>
        <v>7.4562270000000097E-2</v>
      </c>
      <c r="AP244" s="165">
        <f t="shared" si="367"/>
        <v>-1.463674999999985E-2</v>
      </c>
      <c r="AQ244" s="123">
        <f t="shared" si="368"/>
        <v>-8.1944483310162131E-2</v>
      </c>
      <c r="AR244" s="117"/>
      <c r="AS244" s="161">
        <f t="shared" ref="AS244:AU244" si="392">+U244+AO244</f>
        <v>0.12525080999999952</v>
      </c>
      <c r="AT244" s="167">
        <f t="shared" si="392"/>
        <v>0.18865756000000033</v>
      </c>
      <c r="AU244" s="160">
        <f t="shared" si="392"/>
        <v>0.25227409990391053</v>
      </c>
      <c r="AW244" s="108"/>
      <c r="BA244" s="108"/>
      <c r="BE244" s="108"/>
      <c r="BI244" s="108"/>
      <c r="BM244" s="108"/>
    </row>
    <row r="245" spans="1:65" hidden="1" outlineLevel="1" x14ac:dyDescent="0.35"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</row>
    <row r="246" spans="1:65" ht="16.5" hidden="1" collapsed="1" x14ac:dyDescent="0.25">
      <c r="A246" s="213" t="s">
        <v>46</v>
      </c>
      <c r="B246" s="9"/>
      <c r="C246" s="136" t="s">
        <v>19</v>
      </c>
      <c r="D246" s="6"/>
      <c r="E246" s="137"/>
      <c r="F246" s="138"/>
      <c r="G246" s="138"/>
      <c r="H246" s="117"/>
      <c r="I246" s="137">
        <f>+Benelux!E246+Benelux!Q246</f>
        <v>12</v>
      </c>
      <c r="J246" s="138">
        <f>+Benelux!F246+Benelux!R246</f>
        <v>12</v>
      </c>
      <c r="K246" s="138">
        <f>+Benelux!G246+Benelux!S246</f>
        <v>12</v>
      </c>
      <c r="L246" s="117"/>
      <c r="M246" s="137">
        <f>+Benelux!I246+Benelux!U246</f>
        <v>10</v>
      </c>
      <c r="N246" s="138">
        <f>+Benelux!J246+Benelux!V246</f>
        <v>10</v>
      </c>
      <c r="O246" s="138">
        <f>+Benelux!K246+Benelux!W246</f>
        <v>10</v>
      </c>
      <c r="P246" s="117"/>
      <c r="Q246" s="137"/>
      <c r="R246" s="138"/>
      <c r="S246" s="138"/>
      <c r="T246" s="117"/>
      <c r="U246" s="139">
        <f t="shared" ref="U246:U247" si="393">+I246+M246</f>
        <v>22</v>
      </c>
      <c r="V246" s="140">
        <f t="shared" ref="V246:V247" si="394">+J246+N246</f>
        <v>22</v>
      </c>
      <c r="W246" s="140">
        <f t="shared" ref="W246:W247" si="395">+K246+O246</f>
        <v>22</v>
      </c>
      <c r="X246" s="117"/>
      <c r="Y246" s="137"/>
      <c r="Z246" s="138"/>
      <c r="AA246" s="138"/>
      <c r="AB246" s="117"/>
      <c r="AC246" s="137"/>
      <c r="AD246" s="138"/>
      <c r="AE246" s="138"/>
      <c r="AF246" s="117"/>
      <c r="AG246" s="137"/>
      <c r="AH246" s="138"/>
      <c r="AI246" s="138"/>
      <c r="AJ246" s="117"/>
      <c r="AK246" s="141">
        <f>+Benelux!M246+Benelux!Y246</f>
        <v>345</v>
      </c>
      <c r="AL246" s="138">
        <f>+Benelux!N246+Benelux!Z246</f>
        <v>345</v>
      </c>
      <c r="AM246" s="138">
        <f>+Benelux!O246+Benelux!AA246</f>
        <v>345</v>
      </c>
      <c r="AN246" s="117"/>
      <c r="AO246" s="150">
        <f>+AK246</f>
        <v>345</v>
      </c>
      <c r="AP246" s="140">
        <f t="shared" ref="AP246:AP261" si="396">+AL246</f>
        <v>345</v>
      </c>
      <c r="AQ246" s="140">
        <f t="shared" ref="AQ246:AQ261" si="397">+AM246</f>
        <v>345</v>
      </c>
      <c r="AR246" s="117"/>
      <c r="AS246" s="173">
        <f t="shared" ref="AS246:AS247" si="398">+U246+AO246</f>
        <v>367</v>
      </c>
      <c r="AT246" s="169">
        <f t="shared" ref="AT246:AT247" si="399">+V246+AP246</f>
        <v>367</v>
      </c>
      <c r="AU246" s="169">
        <f t="shared" ref="AU246:AU247" si="400">+W246+AQ246</f>
        <v>367</v>
      </c>
      <c r="AW246" s="108"/>
      <c r="BA246" s="108"/>
      <c r="BE246" s="108"/>
      <c r="BI246" s="108"/>
      <c r="BM246" s="108"/>
    </row>
    <row r="247" spans="1:65" ht="16.5" hidden="1" x14ac:dyDescent="0.25">
      <c r="A247" s="213"/>
      <c r="B247" s="9"/>
      <c r="C247" s="136" t="s">
        <v>55</v>
      </c>
      <c r="D247" s="6"/>
      <c r="E247" s="137"/>
      <c r="F247" s="138"/>
      <c r="G247" s="138"/>
      <c r="H247" s="117"/>
      <c r="I247" s="137">
        <f>+Benelux!E247+Benelux!Q247</f>
        <v>12</v>
      </c>
      <c r="J247" s="138">
        <f>+Benelux!F247+Benelux!R247</f>
        <v>12</v>
      </c>
      <c r="K247" s="138">
        <f>+Benelux!G247+Benelux!S247</f>
        <v>12</v>
      </c>
      <c r="L247" s="117"/>
      <c r="M247" s="137">
        <f>+Benelux!I247+Benelux!U247</f>
        <v>10</v>
      </c>
      <c r="N247" s="138">
        <f>+Benelux!J247+Benelux!V247</f>
        <v>10</v>
      </c>
      <c r="O247" s="138">
        <f>+Benelux!K247+Benelux!W247</f>
        <v>10</v>
      </c>
      <c r="P247" s="117"/>
      <c r="Q247" s="137"/>
      <c r="R247" s="138"/>
      <c r="S247" s="138"/>
      <c r="T247" s="117"/>
      <c r="U247" s="139">
        <f t="shared" si="393"/>
        <v>22</v>
      </c>
      <c r="V247" s="140">
        <f t="shared" si="394"/>
        <v>22</v>
      </c>
      <c r="W247" s="140">
        <f t="shared" si="395"/>
        <v>22</v>
      </c>
      <c r="X247" s="117"/>
      <c r="Y247" s="137"/>
      <c r="Z247" s="138"/>
      <c r="AA247" s="138"/>
      <c r="AB247" s="117"/>
      <c r="AC247" s="137"/>
      <c r="AD247" s="138"/>
      <c r="AE247" s="138"/>
      <c r="AF247" s="117"/>
      <c r="AG247" s="137"/>
      <c r="AH247" s="138"/>
      <c r="AI247" s="138"/>
      <c r="AJ247" s="117"/>
      <c r="AK247" s="137">
        <f>+Benelux!M247+Benelux!Y247</f>
        <v>345</v>
      </c>
      <c r="AL247" s="138">
        <f>+Benelux!N247+Benelux!Z247</f>
        <v>345</v>
      </c>
      <c r="AM247" s="138">
        <f>+Benelux!O247+Benelux!AA247</f>
        <v>345</v>
      </c>
      <c r="AN247" s="117"/>
      <c r="AO247" s="139">
        <f t="shared" ref="AO247:AO261" si="401">+AK247</f>
        <v>345</v>
      </c>
      <c r="AP247" s="140">
        <f t="shared" si="396"/>
        <v>345</v>
      </c>
      <c r="AQ247" s="140">
        <f t="shared" si="397"/>
        <v>345</v>
      </c>
      <c r="AR247" s="117"/>
      <c r="AS247" s="168">
        <f t="shared" si="398"/>
        <v>367</v>
      </c>
      <c r="AT247" s="169">
        <f t="shared" si="399"/>
        <v>367</v>
      </c>
      <c r="AU247" s="169">
        <f t="shared" si="400"/>
        <v>367</v>
      </c>
      <c r="AW247" s="108"/>
      <c r="BA247" s="108"/>
      <c r="BE247" s="108"/>
      <c r="BI247" s="108"/>
      <c r="BM247" s="108"/>
    </row>
    <row r="248" spans="1:65" ht="16.5" hidden="1" x14ac:dyDescent="0.25">
      <c r="A248" s="213"/>
      <c r="B248" s="9"/>
      <c r="C248" s="136" t="s">
        <v>21</v>
      </c>
      <c r="D248" s="6"/>
      <c r="E248" s="142"/>
      <c r="F248" s="143"/>
      <c r="G248" s="143"/>
      <c r="H248" s="117"/>
      <c r="I248" s="148">
        <f>+I249+I254+I255+I256+I257</f>
        <v>120</v>
      </c>
      <c r="J248" s="143">
        <f>+J249+J254+J255+J256+J257</f>
        <v>120</v>
      </c>
      <c r="K248" s="143">
        <f>+K249+K254+K255+K256+K257</f>
        <v>120</v>
      </c>
      <c r="L248" s="117"/>
      <c r="M248" s="146">
        <f>+M249+M254+M255+M256+M257</f>
        <v>100</v>
      </c>
      <c r="N248" s="143">
        <f>+N249+N254+N255+N256+N257</f>
        <v>100</v>
      </c>
      <c r="O248" s="143">
        <f>+O249+O254+O255+O256+O257</f>
        <v>100</v>
      </c>
      <c r="P248" s="117"/>
      <c r="Q248" s="142"/>
      <c r="R248" s="143"/>
      <c r="S248" s="143"/>
      <c r="T248" s="117"/>
      <c r="U248" s="147">
        <f>+U249+U254+U255+U256+U257</f>
        <v>110.90909090909091</v>
      </c>
      <c r="V248" s="145">
        <f>+V249+V254+V255+V256+V257</f>
        <v>110.90909090909091</v>
      </c>
      <c r="W248" s="145">
        <f>+W249+W254+W255+W256+W257</f>
        <v>110.90909090909091</v>
      </c>
      <c r="X248" s="117"/>
      <c r="Y248" s="142"/>
      <c r="Z248" s="143"/>
      <c r="AA248" s="143"/>
      <c r="AB248" s="117"/>
      <c r="AC248" s="142"/>
      <c r="AD248" s="143"/>
      <c r="AE248" s="143"/>
      <c r="AF248" s="117"/>
      <c r="AG248" s="142"/>
      <c r="AH248" s="143"/>
      <c r="AI248" s="143"/>
      <c r="AJ248" s="117"/>
      <c r="AK248" s="146">
        <f>+AK249+AK254+AK255+AK256+AK257</f>
        <v>3450</v>
      </c>
      <c r="AL248" s="143">
        <f>+AL249+AL254+AL255+AL256+AL257</f>
        <v>3450</v>
      </c>
      <c r="AM248" s="143">
        <f>+AM249+AM254+AM255+AM256+AM257</f>
        <v>3450</v>
      </c>
      <c r="AN248" s="117"/>
      <c r="AO248" s="147">
        <f t="shared" si="401"/>
        <v>3450</v>
      </c>
      <c r="AP248" s="145">
        <f t="shared" si="396"/>
        <v>3450</v>
      </c>
      <c r="AQ248" s="145">
        <f t="shared" si="397"/>
        <v>3450</v>
      </c>
      <c r="AR248" s="117"/>
      <c r="AS248" s="170">
        <f>+AS249+AS254+AS255+AS256+AS257</f>
        <v>3249.8365122615805</v>
      </c>
      <c r="AT248" s="171">
        <f>+AT249+AT254+AT255+AT256+AT257</f>
        <v>3249.8365122615805</v>
      </c>
      <c r="AU248" s="171">
        <f>+AU249+AU254+AU255+AU256+AU257</f>
        <v>3249.8365122615805</v>
      </c>
      <c r="AW248" s="109"/>
      <c r="BA248" s="109"/>
      <c r="BE248" s="109"/>
      <c r="BI248" s="109"/>
      <c r="BM248" s="109"/>
    </row>
    <row r="249" spans="1:65" ht="16.5" hidden="1" x14ac:dyDescent="0.25">
      <c r="A249" s="213"/>
      <c r="B249" s="9"/>
      <c r="C249" s="136" t="s">
        <v>56</v>
      </c>
      <c r="D249" s="6"/>
      <c r="E249" s="142"/>
      <c r="F249" s="143"/>
      <c r="G249" s="143"/>
      <c r="H249" s="117"/>
      <c r="I249" s="148">
        <f>+I250+I251+I252+I253</f>
        <v>48</v>
      </c>
      <c r="J249" s="143">
        <f>+J250+J251+J252+J253</f>
        <v>48</v>
      </c>
      <c r="K249" s="143">
        <f>+K250+K251+K252+K253</f>
        <v>48</v>
      </c>
      <c r="L249" s="117"/>
      <c r="M249" s="146">
        <f>+M250+M251+M252+M253</f>
        <v>40</v>
      </c>
      <c r="N249" s="143">
        <f>+N250+N251+N252+N253</f>
        <v>40</v>
      </c>
      <c r="O249" s="143">
        <f>+O250+O251+O252+O253</f>
        <v>40</v>
      </c>
      <c r="P249" s="117"/>
      <c r="Q249" s="142"/>
      <c r="R249" s="143"/>
      <c r="S249" s="143"/>
      <c r="T249" s="117"/>
      <c r="U249" s="147">
        <f>+U250+U251+U252+U253</f>
        <v>44.363636363636367</v>
      </c>
      <c r="V249" s="145">
        <f>+V250+V251+V252+V253</f>
        <v>44.363636363636367</v>
      </c>
      <c r="W249" s="145">
        <f>+W250+W251+W252+W253</f>
        <v>44.363636363636367</v>
      </c>
      <c r="X249" s="117"/>
      <c r="Y249" s="142"/>
      <c r="Z249" s="143"/>
      <c r="AA249" s="143"/>
      <c r="AB249" s="117"/>
      <c r="AC249" s="142"/>
      <c r="AD249" s="143"/>
      <c r="AE249" s="143"/>
      <c r="AF249" s="117"/>
      <c r="AG249" s="142"/>
      <c r="AH249" s="143"/>
      <c r="AI249" s="143"/>
      <c r="AJ249" s="117"/>
      <c r="AK249" s="146">
        <f>+AK250+AK251+AK252+AK253</f>
        <v>1380</v>
      </c>
      <c r="AL249" s="143">
        <f>+AL250+AL251+AL252+AL253</f>
        <v>1380</v>
      </c>
      <c r="AM249" s="143">
        <f>+AM250+AM251+AM252+AM253</f>
        <v>1380</v>
      </c>
      <c r="AN249" s="117"/>
      <c r="AO249" s="147">
        <f t="shared" si="401"/>
        <v>1380</v>
      </c>
      <c r="AP249" s="145">
        <f t="shared" si="396"/>
        <v>1380</v>
      </c>
      <c r="AQ249" s="145">
        <f t="shared" si="397"/>
        <v>1380</v>
      </c>
      <c r="AR249" s="117"/>
      <c r="AS249" s="170">
        <f>+AS250+AS251+AS252+AS253</f>
        <v>1299.9346049046321</v>
      </c>
      <c r="AT249" s="171">
        <f>+AT250+AT251+AT252+AT253</f>
        <v>1299.9346049046321</v>
      </c>
      <c r="AU249" s="171">
        <f>+AU250+AU251+AU252+AU253</f>
        <v>1299.9346049046321</v>
      </c>
      <c r="AW249" s="109"/>
      <c r="BA249" s="109"/>
      <c r="BE249" s="109"/>
      <c r="BI249" s="109"/>
      <c r="BM249" s="109"/>
    </row>
    <row r="250" spans="1:65" ht="16.5" hidden="1" x14ac:dyDescent="0.25">
      <c r="A250" s="213"/>
      <c r="B250" s="9"/>
      <c r="C250" s="48" t="s">
        <v>23</v>
      </c>
      <c r="D250" s="6"/>
      <c r="E250" s="105"/>
      <c r="F250" s="51"/>
      <c r="G250" s="51"/>
      <c r="H250" s="117"/>
      <c r="I250" s="77">
        <f>+((Benelux!E250*Benelux!$E$247)+(Benelux!Q250*Benelux!$Q$247))/'H7H9 BENELUX'!$I$247</f>
        <v>12</v>
      </c>
      <c r="J250" s="51">
        <f>+((Benelux!F250*Benelux!$F$247)+(Benelux!R250*Benelux!$R$247))/'H7H9 BENELUX'!$J$247</f>
        <v>12</v>
      </c>
      <c r="K250" s="51">
        <f>+((Benelux!G250*Benelux!$G$247)+(Benelux!S250*Benelux!$S$247))/'H7H9 BENELUX'!$K$247</f>
        <v>12</v>
      </c>
      <c r="L250" s="117"/>
      <c r="M250" s="78">
        <f>+((Benelux!I250*Benelux!$I$247)+(Benelux!U250*Benelux!$U$247))/'H7H9 BENELUX'!$M$247</f>
        <v>10</v>
      </c>
      <c r="N250" s="51">
        <f>+((Benelux!J250*Benelux!$J$247)+(Benelux!V250*Benelux!$V$247))/'H7H9 BENELUX'!$N$247</f>
        <v>10</v>
      </c>
      <c r="O250" s="51">
        <f>+((Benelux!K250*Benelux!$K$247)+(Benelux!W250*Benelux!$W$247))/'H7H9 BENELUX'!$O$247</f>
        <v>10</v>
      </c>
      <c r="P250" s="117"/>
      <c r="Q250" s="105"/>
      <c r="R250" s="51"/>
      <c r="S250" s="51"/>
      <c r="T250" s="117"/>
      <c r="U250" s="89">
        <f>+((I250*$I$247)+(M250*$M$247))/$U$247</f>
        <v>11.090909090909092</v>
      </c>
      <c r="V250" s="62">
        <f>+((J250*$J$247)+(N250*$N$247))/$V$247</f>
        <v>11.090909090909092</v>
      </c>
      <c r="W250" s="62">
        <f>+((K250*$K$247)+(O250*$O$247))/$W$247</f>
        <v>11.090909090909092</v>
      </c>
      <c r="X250" s="117"/>
      <c r="Y250" s="105"/>
      <c r="Z250" s="51"/>
      <c r="AA250" s="51"/>
      <c r="AB250" s="117"/>
      <c r="AC250" s="105"/>
      <c r="AD250" s="51"/>
      <c r="AE250" s="51"/>
      <c r="AF250" s="117"/>
      <c r="AG250" s="105"/>
      <c r="AH250" s="51"/>
      <c r="AI250" s="51"/>
      <c r="AJ250" s="117"/>
      <c r="AK250" s="78">
        <f>+((Benelux!M250*Benelux!$M$247)+(Benelux!Y250*Benelux!$Y$247))/'H7H9 BENELUX'!$AK$247</f>
        <v>345</v>
      </c>
      <c r="AL250" s="51">
        <f>+((Benelux!N250*Benelux!$N$247)+(Benelux!Z250*Benelux!$Z$247))/'H7H9 BENELUX'!$AL$247</f>
        <v>345</v>
      </c>
      <c r="AM250" s="51">
        <f>+((Benelux!O250*Benelux!$O$247)+(Benelux!AA250*Benelux!$AA$247))/'H7H9 BENELUX'!$AM$247</f>
        <v>345</v>
      </c>
      <c r="AN250" s="117"/>
      <c r="AO250" s="89">
        <f t="shared" si="401"/>
        <v>345</v>
      </c>
      <c r="AP250" s="62">
        <f t="shared" si="396"/>
        <v>345</v>
      </c>
      <c r="AQ250" s="62">
        <f t="shared" si="397"/>
        <v>345</v>
      </c>
      <c r="AR250" s="117"/>
      <c r="AS250" s="94">
        <f>+((U250*$U$247)+(AO250*$AO$247))/$AS$247</f>
        <v>324.98365122615803</v>
      </c>
      <c r="AT250" s="69">
        <f>+((V250*$V$247)+(AP250*$AP$247))/$AT$247</f>
        <v>324.98365122615803</v>
      </c>
      <c r="AU250" s="69">
        <f>+((W250*$W$247)+(AQ250*$AQ$247))/$AU$247</f>
        <v>324.98365122615803</v>
      </c>
      <c r="AW250" s="109"/>
      <c r="BA250" s="109"/>
      <c r="BE250" s="109"/>
      <c r="BI250" s="109"/>
      <c r="BM250" s="109"/>
    </row>
    <row r="251" spans="1:65" ht="16.5" hidden="1" x14ac:dyDescent="0.25">
      <c r="A251" s="213"/>
      <c r="B251" s="9"/>
      <c r="C251" s="48" t="s">
        <v>24</v>
      </c>
      <c r="D251" s="7"/>
      <c r="E251" s="105"/>
      <c r="F251" s="51"/>
      <c r="G251" s="51"/>
      <c r="H251" s="134"/>
      <c r="I251" s="105">
        <f>+((Benelux!E251*Benelux!$E$247)+(Benelux!Q251*Benelux!$Q$247))/'H7H9 BENELUX'!$I$247</f>
        <v>12</v>
      </c>
      <c r="J251" s="51">
        <f>+((Benelux!F251*Benelux!$F$247)+(Benelux!R251*Benelux!$R$247))/'H7H9 BENELUX'!$J$247</f>
        <v>12</v>
      </c>
      <c r="K251" s="51">
        <f>+((Benelux!G251*Benelux!$G$247)+(Benelux!S251*Benelux!$S$247))/'H7H9 BENELUX'!$K$247</f>
        <v>12</v>
      </c>
      <c r="L251" s="134"/>
      <c r="M251" s="105">
        <f>+((Benelux!I251*Benelux!$I$247)+(Benelux!U251*Benelux!$U$247))/'H7H9 BENELUX'!$M$247</f>
        <v>10</v>
      </c>
      <c r="N251" s="51">
        <f>+((Benelux!J251*Benelux!$J$247)+(Benelux!V251*Benelux!$V$247))/'H7H9 BENELUX'!$N$247</f>
        <v>10</v>
      </c>
      <c r="O251" s="51">
        <f>+((Benelux!K251*Benelux!$K$247)+(Benelux!W251*Benelux!$W$247))/'H7H9 BENELUX'!$O$247</f>
        <v>10</v>
      </c>
      <c r="P251" s="134"/>
      <c r="Q251" s="105"/>
      <c r="R251" s="51"/>
      <c r="S251" s="51"/>
      <c r="T251" s="134"/>
      <c r="U251" s="103">
        <f t="shared" ref="U251:U256" si="402">+((I251*$I$247)+(M251*$M$247))/$U$247</f>
        <v>11.090909090909092</v>
      </c>
      <c r="V251" s="62">
        <f t="shared" ref="V251:V256" si="403">+((J251*$J$247)+(N251*$N$247))/$V$247</f>
        <v>11.090909090909092</v>
      </c>
      <c r="W251" s="62">
        <f t="shared" ref="W251:W256" si="404">+((K251*$K$247)+(O251*$O$247))/$W$247</f>
        <v>11.090909090909092</v>
      </c>
      <c r="X251" s="134"/>
      <c r="Y251" s="105"/>
      <c r="Z251" s="51"/>
      <c r="AA251" s="51"/>
      <c r="AB251" s="134"/>
      <c r="AC251" s="105"/>
      <c r="AD251" s="51"/>
      <c r="AE251" s="51"/>
      <c r="AF251" s="134"/>
      <c r="AG251" s="105"/>
      <c r="AH251" s="51"/>
      <c r="AI251" s="51"/>
      <c r="AJ251" s="134"/>
      <c r="AK251" s="105">
        <f>+((Benelux!M251*Benelux!$M$247)+(Benelux!Y251*Benelux!$Y$247))/'H7H9 BENELUX'!$AK$247</f>
        <v>345</v>
      </c>
      <c r="AL251" s="51">
        <f>+((Benelux!N251*Benelux!$N$247)+(Benelux!Z251*Benelux!$Z$247))/'H7H9 BENELUX'!$AL$247</f>
        <v>345</v>
      </c>
      <c r="AM251" s="51">
        <f>+((Benelux!O251*Benelux!$O$247)+(Benelux!AA251*Benelux!$AA$247))/'H7H9 BENELUX'!$AM$247</f>
        <v>345</v>
      </c>
      <c r="AN251" s="134"/>
      <c r="AO251" s="103">
        <f t="shared" si="401"/>
        <v>345</v>
      </c>
      <c r="AP251" s="62">
        <f t="shared" si="396"/>
        <v>345</v>
      </c>
      <c r="AQ251" s="62">
        <f t="shared" si="397"/>
        <v>345</v>
      </c>
      <c r="AR251" s="134"/>
      <c r="AS251" s="107">
        <f t="shared" ref="AS251:AS256" si="405">+((U251*$U$247)+(AO251*$AO$247))/$AS$247</f>
        <v>324.98365122615803</v>
      </c>
      <c r="AT251" s="69">
        <f t="shared" ref="AT251:AT256" si="406">+((V251*$V$247)+(AP251*$AP$247))/$AT$247</f>
        <v>324.98365122615803</v>
      </c>
      <c r="AU251" s="69">
        <f t="shared" ref="AU251:AU256" si="407">+((W251*$W$247)+(AQ251*$AQ$247))/$AU$247</f>
        <v>324.98365122615803</v>
      </c>
      <c r="AW251" s="109"/>
      <c r="BA251" s="109"/>
      <c r="BE251" s="109"/>
      <c r="BI251" s="109"/>
      <c r="BM251" s="109"/>
    </row>
    <row r="252" spans="1:65" ht="16.5" hidden="1" x14ac:dyDescent="0.25">
      <c r="A252" s="213"/>
      <c r="B252" s="9"/>
      <c r="C252" s="48" t="s">
        <v>25</v>
      </c>
      <c r="D252" s="7"/>
      <c r="E252" s="105"/>
      <c r="F252" s="51"/>
      <c r="G252" s="51"/>
      <c r="H252" s="134"/>
      <c r="I252" s="105">
        <f>+((Benelux!E252*Benelux!$E$247)+(Benelux!Q252*Benelux!$Q$247))/'H7H9 BENELUX'!$I$247</f>
        <v>12</v>
      </c>
      <c r="J252" s="51">
        <f>+((Benelux!F252*Benelux!$F$247)+(Benelux!R252*Benelux!$R$247))/'H7H9 BENELUX'!$J$247</f>
        <v>12</v>
      </c>
      <c r="K252" s="51">
        <f>+((Benelux!G252*Benelux!$G$247)+(Benelux!S252*Benelux!$S$247))/'H7H9 BENELUX'!$K$247</f>
        <v>12</v>
      </c>
      <c r="L252" s="134"/>
      <c r="M252" s="77">
        <f>+((Benelux!I252*Benelux!$I$247)+(Benelux!U252*Benelux!$U$247))/'H7H9 BENELUX'!$M$247</f>
        <v>10</v>
      </c>
      <c r="N252" s="51">
        <f>+((Benelux!J252*Benelux!$J$247)+(Benelux!V252*Benelux!$V$247))/'H7H9 BENELUX'!$N$247</f>
        <v>10</v>
      </c>
      <c r="O252" s="51">
        <f>+((Benelux!K252*Benelux!$K$247)+(Benelux!W252*Benelux!$W$247))/'H7H9 BENELUX'!$O$247</f>
        <v>10</v>
      </c>
      <c r="P252" s="134"/>
      <c r="Q252" s="105"/>
      <c r="R252" s="51"/>
      <c r="S252" s="51"/>
      <c r="T252" s="134"/>
      <c r="U252" s="90">
        <f t="shared" si="402"/>
        <v>11.090909090909092</v>
      </c>
      <c r="V252" s="62">
        <f t="shared" si="403"/>
        <v>11.090909090909092</v>
      </c>
      <c r="W252" s="62">
        <f t="shared" si="404"/>
        <v>11.090909090909092</v>
      </c>
      <c r="X252" s="134"/>
      <c r="Y252" s="105"/>
      <c r="Z252" s="51"/>
      <c r="AA252" s="51"/>
      <c r="AB252" s="134"/>
      <c r="AC252" s="105"/>
      <c r="AD252" s="51"/>
      <c r="AE252" s="51"/>
      <c r="AF252" s="134"/>
      <c r="AG252" s="105"/>
      <c r="AH252" s="51"/>
      <c r="AI252" s="51"/>
      <c r="AJ252" s="134"/>
      <c r="AK252" s="78">
        <f>+((Benelux!M252*Benelux!$M$247)+(Benelux!Y252*Benelux!$Y$247))/'H7H9 BENELUX'!$AK$247</f>
        <v>345</v>
      </c>
      <c r="AL252" s="51">
        <f>+((Benelux!N252*Benelux!$N$247)+(Benelux!Z252*Benelux!$Z$247))/'H7H9 BENELUX'!$AL$247</f>
        <v>345</v>
      </c>
      <c r="AM252" s="51">
        <f>+((Benelux!O252*Benelux!$O$247)+(Benelux!AA252*Benelux!$AA$247))/'H7H9 BENELUX'!$AM$247</f>
        <v>345</v>
      </c>
      <c r="AN252" s="134"/>
      <c r="AO252" s="89">
        <f t="shared" si="401"/>
        <v>345</v>
      </c>
      <c r="AP252" s="62">
        <f t="shared" si="396"/>
        <v>345</v>
      </c>
      <c r="AQ252" s="62">
        <f t="shared" si="397"/>
        <v>345</v>
      </c>
      <c r="AR252" s="134"/>
      <c r="AS252" s="94">
        <f t="shared" si="405"/>
        <v>324.98365122615803</v>
      </c>
      <c r="AT252" s="69">
        <f t="shared" si="406"/>
        <v>324.98365122615803</v>
      </c>
      <c r="AU252" s="69">
        <f t="shared" si="407"/>
        <v>324.98365122615803</v>
      </c>
      <c r="AW252" s="109"/>
      <c r="BA252" s="109"/>
      <c r="BE252" s="109"/>
      <c r="BI252" s="109"/>
      <c r="BM252" s="109"/>
    </row>
    <row r="253" spans="1:65" ht="16.5" hidden="1" x14ac:dyDescent="0.25">
      <c r="A253" s="213"/>
      <c r="B253" s="9"/>
      <c r="C253" s="48" t="s">
        <v>53</v>
      </c>
      <c r="D253" s="7"/>
      <c r="E253" s="105"/>
      <c r="F253" s="51"/>
      <c r="G253" s="51"/>
      <c r="H253" s="134"/>
      <c r="I253" s="78">
        <f>+((Benelux!E253*Benelux!$E$247)+(Benelux!Q253*Benelux!$Q$247))/'H7H9 BENELUX'!$I$247</f>
        <v>12</v>
      </c>
      <c r="J253" s="51">
        <f>+((Benelux!F253*Benelux!$F$247)+(Benelux!R253*Benelux!$R$247))/'H7H9 BENELUX'!$J$247</f>
        <v>12</v>
      </c>
      <c r="K253" s="51">
        <f>+((Benelux!G253*Benelux!$G$247)+(Benelux!S253*Benelux!$S$247))/'H7H9 BENELUX'!$K$247</f>
        <v>12</v>
      </c>
      <c r="L253" s="134"/>
      <c r="M253" s="77">
        <f>+((Benelux!I253*Benelux!$I$247)+(Benelux!U253*Benelux!$U$247))/'H7H9 BENELUX'!$M$247</f>
        <v>10</v>
      </c>
      <c r="N253" s="51">
        <f>+((Benelux!J253*Benelux!$J$247)+(Benelux!V253*Benelux!$V$247))/'H7H9 BENELUX'!$N$247</f>
        <v>10</v>
      </c>
      <c r="O253" s="51">
        <f>+((Benelux!K253*Benelux!$K$247)+(Benelux!W253*Benelux!$W$247))/'H7H9 BENELUX'!$O$247</f>
        <v>10</v>
      </c>
      <c r="P253" s="134"/>
      <c r="Q253" s="105"/>
      <c r="R253" s="51"/>
      <c r="S253" s="51"/>
      <c r="T253" s="134"/>
      <c r="U253" s="90">
        <f t="shared" si="402"/>
        <v>11.090909090909092</v>
      </c>
      <c r="V253" s="62">
        <f t="shared" si="403"/>
        <v>11.090909090909092</v>
      </c>
      <c r="W253" s="62">
        <f t="shared" si="404"/>
        <v>11.090909090909092</v>
      </c>
      <c r="X253" s="134"/>
      <c r="Y253" s="105"/>
      <c r="Z253" s="51"/>
      <c r="AA253" s="51"/>
      <c r="AB253" s="134"/>
      <c r="AC253" s="105"/>
      <c r="AD253" s="51"/>
      <c r="AE253" s="51"/>
      <c r="AF253" s="134"/>
      <c r="AG253" s="105"/>
      <c r="AH253" s="51"/>
      <c r="AI253" s="51"/>
      <c r="AJ253" s="134"/>
      <c r="AK253" s="78">
        <f>+((Benelux!M253*Benelux!$M$247)+(Benelux!Y253*Benelux!$Y$247))/'H7H9 BENELUX'!$AK$247</f>
        <v>345</v>
      </c>
      <c r="AL253" s="51">
        <f>+((Benelux!N253*Benelux!$N$247)+(Benelux!Z253*Benelux!$Z$247))/'H7H9 BENELUX'!$AL$247</f>
        <v>345</v>
      </c>
      <c r="AM253" s="51">
        <f>+((Benelux!O253*Benelux!$O$247)+(Benelux!AA253*Benelux!$AA$247))/'H7H9 BENELUX'!$AM$247</f>
        <v>345</v>
      </c>
      <c r="AN253" s="134"/>
      <c r="AO253" s="89">
        <f t="shared" si="401"/>
        <v>345</v>
      </c>
      <c r="AP253" s="62">
        <f t="shared" si="396"/>
        <v>345</v>
      </c>
      <c r="AQ253" s="62">
        <f t="shared" si="397"/>
        <v>345</v>
      </c>
      <c r="AR253" s="134"/>
      <c r="AS253" s="95">
        <f t="shared" si="405"/>
        <v>324.98365122615803</v>
      </c>
      <c r="AT253" s="69">
        <f t="shared" si="406"/>
        <v>324.98365122615803</v>
      </c>
      <c r="AU253" s="69">
        <f t="shared" si="407"/>
        <v>324.98365122615803</v>
      </c>
      <c r="AW253" s="109"/>
      <c r="BA253" s="109"/>
      <c r="BE253" s="109"/>
      <c r="BI253" s="109"/>
      <c r="BM253" s="109"/>
    </row>
    <row r="254" spans="1:65" ht="16.5" hidden="1" x14ac:dyDescent="0.25">
      <c r="A254" s="213"/>
      <c r="B254" s="9"/>
      <c r="C254" s="136" t="s">
        <v>27</v>
      </c>
      <c r="D254" s="7"/>
      <c r="E254" s="142"/>
      <c r="F254" s="143"/>
      <c r="G254" s="143"/>
      <c r="H254" s="134"/>
      <c r="I254" s="148">
        <f>+((Benelux!E254*Benelux!$E$247)+(Benelux!Q254*Benelux!$Q$247))/'H7H9 BENELUX'!$I$247</f>
        <v>12</v>
      </c>
      <c r="J254" s="143">
        <f>+((Benelux!F254*Benelux!$F$247)+(Benelux!R254*Benelux!$R$247))/'H7H9 BENELUX'!$J$247</f>
        <v>12</v>
      </c>
      <c r="K254" s="143">
        <f>+((Benelux!G254*Benelux!$G$247)+(Benelux!S254*Benelux!$S$247))/'H7H9 BENELUX'!$K$247</f>
        <v>12</v>
      </c>
      <c r="L254" s="134"/>
      <c r="M254" s="148">
        <f>+((Benelux!I254*Benelux!$I$247)+(Benelux!U254*Benelux!$U$247))/'H7H9 BENELUX'!$M$247</f>
        <v>10</v>
      </c>
      <c r="N254" s="143">
        <f>+((Benelux!J254*Benelux!$J$247)+(Benelux!V254*Benelux!$V$247))/'H7H9 BENELUX'!$N$247</f>
        <v>10</v>
      </c>
      <c r="O254" s="143">
        <f>+((Benelux!K254*Benelux!$K$247)+(Benelux!W254*Benelux!$W$247))/'H7H9 BENELUX'!$O$247</f>
        <v>10</v>
      </c>
      <c r="P254" s="134"/>
      <c r="Q254" s="142"/>
      <c r="R254" s="143"/>
      <c r="S254" s="143"/>
      <c r="T254" s="134"/>
      <c r="U254" s="149">
        <f t="shared" si="402"/>
        <v>11.090909090909092</v>
      </c>
      <c r="V254" s="145">
        <f t="shared" si="403"/>
        <v>11.090909090909092</v>
      </c>
      <c r="W254" s="145">
        <f t="shared" si="404"/>
        <v>11.090909090909092</v>
      </c>
      <c r="X254" s="134"/>
      <c r="Y254" s="142"/>
      <c r="Z254" s="143"/>
      <c r="AA254" s="143"/>
      <c r="AB254" s="134"/>
      <c r="AC254" s="142"/>
      <c r="AD254" s="143"/>
      <c r="AE254" s="143"/>
      <c r="AF254" s="134"/>
      <c r="AG254" s="142"/>
      <c r="AH254" s="143"/>
      <c r="AI254" s="143"/>
      <c r="AJ254" s="134"/>
      <c r="AK254" s="148">
        <f>+((Benelux!M254*Benelux!$M$247)+(Benelux!Y254*Benelux!$Y$247))/'H7H9 BENELUX'!$AK$247</f>
        <v>345</v>
      </c>
      <c r="AL254" s="143">
        <f>+((Benelux!N254*Benelux!$N$247)+(Benelux!Z254*Benelux!$Z$247))/'H7H9 BENELUX'!$AL$247</f>
        <v>345</v>
      </c>
      <c r="AM254" s="143">
        <f>+((Benelux!O254*Benelux!$O$247)+(Benelux!AA254*Benelux!$AA$247))/'H7H9 BENELUX'!$AM$247</f>
        <v>345</v>
      </c>
      <c r="AN254" s="134"/>
      <c r="AO254" s="149">
        <f t="shared" si="401"/>
        <v>345</v>
      </c>
      <c r="AP254" s="145">
        <f t="shared" si="396"/>
        <v>345</v>
      </c>
      <c r="AQ254" s="145">
        <f t="shared" si="397"/>
        <v>345</v>
      </c>
      <c r="AR254" s="134"/>
      <c r="AS254" s="172">
        <f t="shared" si="405"/>
        <v>324.98365122615803</v>
      </c>
      <c r="AT254" s="171">
        <f t="shared" si="406"/>
        <v>324.98365122615803</v>
      </c>
      <c r="AU254" s="171">
        <f t="shared" si="407"/>
        <v>324.98365122615803</v>
      </c>
      <c r="AW254" s="109"/>
      <c r="BA254" s="109"/>
      <c r="BE254" s="109"/>
      <c r="BI254" s="109"/>
      <c r="BM254" s="109"/>
    </row>
    <row r="255" spans="1:65" ht="16.5" hidden="1" x14ac:dyDescent="0.25">
      <c r="A255" s="213"/>
      <c r="B255" s="9"/>
      <c r="C255" s="136" t="s">
        <v>57</v>
      </c>
      <c r="D255" s="7"/>
      <c r="E255" s="142"/>
      <c r="F255" s="143"/>
      <c r="G255" s="143"/>
      <c r="H255" s="134"/>
      <c r="I255" s="146">
        <f>+((Benelux!E255*Benelux!$E$247)+(Benelux!Q255*Benelux!$Q$247))/'H7H9 BENELUX'!$I$247</f>
        <v>12</v>
      </c>
      <c r="J255" s="143">
        <f>+((Benelux!F255*Benelux!$F$247)+(Benelux!R255*Benelux!$R$247))/'H7H9 BENELUX'!$J$247</f>
        <v>12</v>
      </c>
      <c r="K255" s="143">
        <f>+((Benelux!G255*Benelux!$G$247)+(Benelux!S255*Benelux!$S$247))/'H7H9 BENELUX'!$K$247</f>
        <v>12</v>
      </c>
      <c r="L255" s="134"/>
      <c r="M255" s="148">
        <f>+((Benelux!I255*Benelux!$I$247)+(Benelux!U255*Benelux!$U$247))/'H7H9 BENELUX'!$M$247</f>
        <v>10</v>
      </c>
      <c r="N255" s="143">
        <f>+((Benelux!J255*Benelux!$J$247)+(Benelux!V255*Benelux!$V$247))/'H7H9 BENELUX'!$N$247</f>
        <v>10</v>
      </c>
      <c r="O255" s="143">
        <f>+((Benelux!K255*Benelux!$K$247)+(Benelux!W255*Benelux!$W$247))/'H7H9 BENELUX'!$O$247</f>
        <v>10</v>
      </c>
      <c r="P255" s="134"/>
      <c r="Q255" s="142"/>
      <c r="R255" s="143"/>
      <c r="S255" s="143"/>
      <c r="T255" s="134"/>
      <c r="U255" s="149">
        <f t="shared" si="402"/>
        <v>11.090909090909092</v>
      </c>
      <c r="V255" s="145">
        <f t="shared" si="403"/>
        <v>11.090909090909092</v>
      </c>
      <c r="W255" s="145">
        <f t="shared" si="404"/>
        <v>11.090909090909092</v>
      </c>
      <c r="X255" s="134"/>
      <c r="Y255" s="142"/>
      <c r="Z255" s="143"/>
      <c r="AA255" s="143"/>
      <c r="AB255" s="134"/>
      <c r="AC255" s="142"/>
      <c r="AD255" s="143"/>
      <c r="AE255" s="143"/>
      <c r="AF255" s="134"/>
      <c r="AG255" s="142"/>
      <c r="AH255" s="143"/>
      <c r="AI255" s="143"/>
      <c r="AJ255" s="134"/>
      <c r="AK255" s="146">
        <f>+((Benelux!M255*Benelux!$M$247)+(Benelux!Y255*Benelux!$Y$247))/'H7H9 BENELUX'!$AK$247</f>
        <v>345</v>
      </c>
      <c r="AL255" s="143">
        <f>+((Benelux!N255*Benelux!$N$247)+(Benelux!Z255*Benelux!$Z$247))/'H7H9 BENELUX'!$AL$247</f>
        <v>345</v>
      </c>
      <c r="AM255" s="143">
        <f>+((Benelux!O255*Benelux!$O$247)+(Benelux!AA255*Benelux!$AA$247))/'H7H9 BENELUX'!$AM$247</f>
        <v>345</v>
      </c>
      <c r="AN255" s="134"/>
      <c r="AO255" s="147">
        <f t="shared" si="401"/>
        <v>345</v>
      </c>
      <c r="AP255" s="145">
        <f t="shared" si="396"/>
        <v>345</v>
      </c>
      <c r="AQ255" s="145">
        <f t="shared" si="397"/>
        <v>345</v>
      </c>
      <c r="AR255" s="134"/>
      <c r="AS255" s="172">
        <f t="shared" si="405"/>
        <v>324.98365122615803</v>
      </c>
      <c r="AT255" s="171">
        <f t="shared" si="406"/>
        <v>324.98365122615803</v>
      </c>
      <c r="AU255" s="171">
        <f t="shared" si="407"/>
        <v>324.98365122615803</v>
      </c>
      <c r="AW255" s="109"/>
      <c r="BA255" s="109"/>
      <c r="BE255" s="109"/>
      <c r="BI255" s="109"/>
      <c r="BM255" s="109"/>
    </row>
    <row r="256" spans="1:65" ht="16.5" hidden="1" x14ac:dyDescent="0.25">
      <c r="A256" s="213"/>
      <c r="B256" s="9"/>
      <c r="C256" s="136" t="s">
        <v>29</v>
      </c>
      <c r="D256" s="7"/>
      <c r="E256" s="142"/>
      <c r="F256" s="143"/>
      <c r="G256" s="143"/>
      <c r="H256" s="134"/>
      <c r="I256" s="148">
        <f>+((Benelux!E256*Benelux!$E$247)+(Benelux!Q256*Benelux!$Q$247))/'H7H9 BENELUX'!$I$247</f>
        <v>12</v>
      </c>
      <c r="J256" s="143">
        <f>+((Benelux!F256*Benelux!$F$247)+(Benelux!R256*Benelux!$R$247))/'H7H9 BENELUX'!$J$247</f>
        <v>12</v>
      </c>
      <c r="K256" s="143">
        <f>+((Benelux!G256*Benelux!$G$247)+(Benelux!S256*Benelux!$S$247))/'H7H9 BENELUX'!$K$247</f>
        <v>12</v>
      </c>
      <c r="L256" s="134"/>
      <c r="M256" s="146">
        <f>+((Benelux!I256*Benelux!$I$247)+(Benelux!U256*Benelux!$U$247))/'H7H9 BENELUX'!$M$247</f>
        <v>10</v>
      </c>
      <c r="N256" s="143">
        <f>+((Benelux!J256*Benelux!$J$247)+(Benelux!V256*Benelux!$V$247))/'H7H9 BENELUX'!$N$247</f>
        <v>10</v>
      </c>
      <c r="O256" s="143">
        <f>+((Benelux!K256*Benelux!$K$247)+(Benelux!W256*Benelux!$W$247))/'H7H9 BENELUX'!$O$247</f>
        <v>10</v>
      </c>
      <c r="P256" s="134"/>
      <c r="Q256" s="142"/>
      <c r="R256" s="143"/>
      <c r="S256" s="143"/>
      <c r="T256" s="134"/>
      <c r="U256" s="147">
        <f t="shared" si="402"/>
        <v>11.090909090909092</v>
      </c>
      <c r="V256" s="145">
        <f t="shared" si="403"/>
        <v>11.090909090909092</v>
      </c>
      <c r="W256" s="145">
        <f t="shared" si="404"/>
        <v>11.090909090909092</v>
      </c>
      <c r="X256" s="134"/>
      <c r="Y256" s="142"/>
      <c r="Z256" s="143"/>
      <c r="AA256" s="143"/>
      <c r="AB256" s="134"/>
      <c r="AC256" s="142"/>
      <c r="AD256" s="143"/>
      <c r="AE256" s="143"/>
      <c r="AF256" s="134"/>
      <c r="AG256" s="142"/>
      <c r="AH256" s="143"/>
      <c r="AI256" s="143"/>
      <c r="AJ256" s="134"/>
      <c r="AK256" s="148">
        <f>+((Benelux!M256*Benelux!$M$247)+(Benelux!Y256*Benelux!$Y$247))/'H7H9 BENELUX'!$AK$247</f>
        <v>345</v>
      </c>
      <c r="AL256" s="143">
        <f>+((Benelux!N256*Benelux!$N$247)+(Benelux!Z256*Benelux!$Z$247))/'H7H9 BENELUX'!$AL$247</f>
        <v>345</v>
      </c>
      <c r="AM256" s="143">
        <f>+((Benelux!O256*Benelux!$O$247)+(Benelux!AA256*Benelux!$AA$247))/'H7H9 BENELUX'!$AM$247</f>
        <v>345</v>
      </c>
      <c r="AN256" s="134"/>
      <c r="AO256" s="149">
        <f t="shared" si="401"/>
        <v>345</v>
      </c>
      <c r="AP256" s="145">
        <f t="shared" si="396"/>
        <v>345</v>
      </c>
      <c r="AQ256" s="145">
        <f t="shared" si="397"/>
        <v>345</v>
      </c>
      <c r="AR256" s="134"/>
      <c r="AS256" s="170">
        <f t="shared" si="405"/>
        <v>324.98365122615803</v>
      </c>
      <c r="AT256" s="171">
        <f t="shared" si="406"/>
        <v>324.98365122615803</v>
      </c>
      <c r="AU256" s="171">
        <f t="shared" si="407"/>
        <v>324.98365122615803</v>
      </c>
      <c r="AW256" s="109"/>
      <c r="BA256" s="109"/>
      <c r="BE256" s="109"/>
      <c r="BI256" s="109"/>
      <c r="BM256" s="109"/>
    </row>
    <row r="257" spans="1:65" ht="16.5" hidden="1" x14ac:dyDescent="0.25">
      <c r="A257" s="213"/>
      <c r="B257" s="9"/>
      <c r="C257" s="136" t="s">
        <v>58</v>
      </c>
      <c r="D257" s="7"/>
      <c r="E257" s="142"/>
      <c r="F257" s="143"/>
      <c r="G257" s="143"/>
      <c r="H257" s="134"/>
      <c r="I257" s="148">
        <f>+I258+I259+I260</f>
        <v>36</v>
      </c>
      <c r="J257" s="143">
        <f>+J258+J259+J260</f>
        <v>36</v>
      </c>
      <c r="K257" s="143">
        <f>+K258+K259+K260</f>
        <v>36</v>
      </c>
      <c r="L257" s="134"/>
      <c r="M257" s="148">
        <f>+M258+M259+M260</f>
        <v>30</v>
      </c>
      <c r="N257" s="143">
        <f>+N258+N259+N260</f>
        <v>30</v>
      </c>
      <c r="O257" s="143">
        <f>+O258+O259+O260</f>
        <v>30</v>
      </c>
      <c r="P257" s="134"/>
      <c r="Q257" s="142"/>
      <c r="R257" s="143"/>
      <c r="S257" s="143"/>
      <c r="T257" s="134"/>
      <c r="U257" s="149">
        <f>+U258+U259+U260</f>
        <v>33.272727272727273</v>
      </c>
      <c r="V257" s="145">
        <f>+V258+V259+V260</f>
        <v>33.272727272727273</v>
      </c>
      <c r="W257" s="145">
        <f>+W258+W259+W260</f>
        <v>33.272727272727273</v>
      </c>
      <c r="X257" s="134"/>
      <c r="Y257" s="142"/>
      <c r="Z257" s="143"/>
      <c r="AA257" s="143"/>
      <c r="AB257" s="134"/>
      <c r="AC257" s="142"/>
      <c r="AD257" s="143"/>
      <c r="AE257" s="143"/>
      <c r="AF257" s="134"/>
      <c r="AG257" s="142"/>
      <c r="AH257" s="143"/>
      <c r="AI257" s="143"/>
      <c r="AJ257" s="134"/>
      <c r="AK257" s="142">
        <f>+AK258+AK259+AK260</f>
        <v>1035</v>
      </c>
      <c r="AL257" s="143">
        <f>+AL258+AL259+AL260</f>
        <v>1035</v>
      </c>
      <c r="AM257" s="143">
        <f>+AM258+AM259+AM260</f>
        <v>1035</v>
      </c>
      <c r="AN257" s="134"/>
      <c r="AO257" s="144">
        <f t="shared" si="401"/>
        <v>1035</v>
      </c>
      <c r="AP257" s="145">
        <f t="shared" si="396"/>
        <v>1035</v>
      </c>
      <c r="AQ257" s="145">
        <f t="shared" si="397"/>
        <v>1035</v>
      </c>
      <c r="AR257" s="134"/>
      <c r="AS257" s="172">
        <f>+AS258+AS259+AS260</f>
        <v>974.95095367847409</v>
      </c>
      <c r="AT257" s="171">
        <f>+AT258+AT259+AT260</f>
        <v>974.95095367847409</v>
      </c>
      <c r="AU257" s="171">
        <f>+AU258+AU259+AU260</f>
        <v>974.95095367847409</v>
      </c>
      <c r="AW257" s="109"/>
      <c r="BA257" s="109"/>
      <c r="BE257" s="109"/>
      <c r="BI257" s="109"/>
      <c r="BM257" s="109"/>
    </row>
    <row r="258" spans="1:65" ht="16.5" hidden="1" x14ac:dyDescent="0.25">
      <c r="A258" s="213"/>
      <c r="B258" s="9"/>
      <c r="C258" s="50" t="s">
        <v>59</v>
      </c>
      <c r="D258" s="8"/>
      <c r="E258" s="105"/>
      <c r="F258" s="51"/>
      <c r="G258" s="51"/>
      <c r="H258" s="135"/>
      <c r="I258" s="78">
        <f>+((Benelux!E258*Benelux!$E$247)+(Benelux!Q258*Benelux!$Q$247))/'H7H9 BENELUX'!$I$247</f>
        <v>12</v>
      </c>
      <c r="J258" s="51">
        <f>+((Benelux!F258*Benelux!$F$247)+(Benelux!R258*Benelux!$R$247))/'H7H9 BENELUX'!$J$247</f>
        <v>12</v>
      </c>
      <c r="K258" s="51">
        <f>+((Benelux!G258*Benelux!$G$247)+(Benelux!S258*Benelux!$S$247))/'H7H9 BENELUX'!$K$247</f>
        <v>12</v>
      </c>
      <c r="L258" s="135"/>
      <c r="M258" s="78">
        <f>+((Benelux!I258*Benelux!$I$247)+(Benelux!U258*Benelux!$U$247))/'H7H9 BENELUX'!$M$247</f>
        <v>10</v>
      </c>
      <c r="N258" s="51">
        <f>+((Benelux!J258*Benelux!$J$247)+(Benelux!V258*Benelux!$V$247))/'H7H9 BENELUX'!$N$247</f>
        <v>10</v>
      </c>
      <c r="O258" s="51">
        <f>+((Benelux!K258*Benelux!$K$247)+(Benelux!W258*Benelux!$W$247))/'H7H9 BENELUX'!$O$247</f>
        <v>10</v>
      </c>
      <c r="P258" s="135"/>
      <c r="Q258" s="105"/>
      <c r="R258" s="51"/>
      <c r="S258" s="51"/>
      <c r="T258" s="135"/>
      <c r="U258" s="89">
        <f t="shared" ref="U258:U260" si="408">+((I258*$I$247)+(M258*$M$247))/$U$247</f>
        <v>11.090909090909092</v>
      </c>
      <c r="V258" s="62">
        <f t="shared" ref="V258:V260" si="409">+((J258*$J$247)+(N258*$N$247))/$V$247</f>
        <v>11.090909090909092</v>
      </c>
      <c r="W258" s="62">
        <f t="shared" ref="W258:W260" si="410">+((K258*$K$247)+(O258*$O$247))/$W$247</f>
        <v>11.090909090909092</v>
      </c>
      <c r="X258" s="135"/>
      <c r="Y258" s="105"/>
      <c r="Z258" s="51"/>
      <c r="AA258" s="51"/>
      <c r="AB258" s="135"/>
      <c r="AC258" s="105"/>
      <c r="AD258" s="51"/>
      <c r="AE258" s="51"/>
      <c r="AF258" s="135"/>
      <c r="AG258" s="105"/>
      <c r="AH258" s="51"/>
      <c r="AI258" s="51"/>
      <c r="AJ258" s="135"/>
      <c r="AK258" s="77">
        <f>+((Benelux!M258*Benelux!$M$247)+(Benelux!Y258*Benelux!$Y$247))/'H7H9 BENELUX'!$AK$247</f>
        <v>345</v>
      </c>
      <c r="AL258" s="51">
        <f>+((Benelux!N258*Benelux!$N$247)+(Benelux!Z258*Benelux!$Z$247))/'H7H9 BENELUX'!$AL$247</f>
        <v>345</v>
      </c>
      <c r="AM258" s="51">
        <f>+((Benelux!O258*Benelux!$O$247)+(Benelux!AA258*Benelux!$AA$247))/'H7H9 BENELUX'!$AM$247</f>
        <v>345</v>
      </c>
      <c r="AN258" s="135"/>
      <c r="AO258" s="90">
        <f t="shared" si="401"/>
        <v>345</v>
      </c>
      <c r="AP258" s="62">
        <f t="shared" si="396"/>
        <v>345</v>
      </c>
      <c r="AQ258" s="62">
        <f t="shared" si="397"/>
        <v>345</v>
      </c>
      <c r="AR258" s="135"/>
      <c r="AS258" s="107">
        <f t="shared" ref="AS258:AS260" si="411">+((U258*$U$247)+(AO258*$AO$247))/$AS$247</f>
        <v>324.98365122615803</v>
      </c>
      <c r="AT258" s="69">
        <f t="shared" ref="AT258:AT260" si="412">+((V258*$V$247)+(AP258*$AP$247))/$AT$247</f>
        <v>324.98365122615803</v>
      </c>
      <c r="AU258" s="69">
        <f t="shared" ref="AU258:AU260" si="413">+((W258*$W$247)+(AQ258*$AQ$247))/$AU$247</f>
        <v>324.98365122615803</v>
      </c>
      <c r="AW258" s="109"/>
      <c r="BA258" s="109"/>
      <c r="BE258" s="109"/>
      <c r="BI258" s="109"/>
      <c r="BM258" s="109"/>
    </row>
    <row r="259" spans="1:65" ht="16.5" hidden="1" x14ac:dyDescent="0.25">
      <c r="A259" s="213"/>
      <c r="B259" s="9"/>
      <c r="C259" s="50" t="s">
        <v>60</v>
      </c>
      <c r="D259" s="8"/>
      <c r="E259" s="105"/>
      <c r="F259" s="51"/>
      <c r="G259" s="51"/>
      <c r="H259" s="135"/>
      <c r="I259" s="77">
        <f>+((Benelux!E259*Benelux!$E$247)+(Benelux!Q259*Benelux!$Q$247))/'H7H9 BENELUX'!$I$247</f>
        <v>12</v>
      </c>
      <c r="J259" s="51">
        <f>+((Benelux!F259*Benelux!$F$247)+(Benelux!R259*Benelux!$R$247))/'H7H9 BENELUX'!$J$247</f>
        <v>12</v>
      </c>
      <c r="K259" s="51">
        <f>+((Benelux!G259*Benelux!$G$247)+(Benelux!S259*Benelux!$S$247))/'H7H9 BENELUX'!$K$247</f>
        <v>12</v>
      </c>
      <c r="L259" s="135"/>
      <c r="M259" s="77">
        <f>+((Benelux!I259*Benelux!$I$247)+(Benelux!U259*Benelux!$U$247))/'H7H9 BENELUX'!$M$247</f>
        <v>10</v>
      </c>
      <c r="N259" s="51">
        <f>+((Benelux!J259*Benelux!$J$247)+(Benelux!V259*Benelux!$V$247))/'H7H9 BENELUX'!$N$247</f>
        <v>10</v>
      </c>
      <c r="O259" s="51">
        <f>+((Benelux!K259*Benelux!$K$247)+(Benelux!W259*Benelux!$W$247))/'H7H9 BENELUX'!$O$247</f>
        <v>10</v>
      </c>
      <c r="P259" s="135"/>
      <c r="Q259" s="105"/>
      <c r="R259" s="51"/>
      <c r="S259" s="51"/>
      <c r="T259" s="135"/>
      <c r="U259" s="90">
        <f t="shared" si="408"/>
        <v>11.090909090909092</v>
      </c>
      <c r="V259" s="62">
        <f t="shared" si="409"/>
        <v>11.090909090909092</v>
      </c>
      <c r="W259" s="62">
        <f t="shared" si="410"/>
        <v>11.090909090909092</v>
      </c>
      <c r="X259" s="135"/>
      <c r="Y259" s="105"/>
      <c r="Z259" s="51"/>
      <c r="AA259" s="51"/>
      <c r="AB259" s="135"/>
      <c r="AC259" s="105"/>
      <c r="AD259" s="51"/>
      <c r="AE259" s="51"/>
      <c r="AF259" s="135"/>
      <c r="AG259" s="105"/>
      <c r="AH259" s="51"/>
      <c r="AI259" s="51"/>
      <c r="AJ259" s="135"/>
      <c r="AK259" s="105">
        <f>+((Benelux!M259*Benelux!$M$247)+(Benelux!Y259*Benelux!$Y$247))/'H7H9 BENELUX'!$AK$247</f>
        <v>345</v>
      </c>
      <c r="AL259" s="51">
        <f>+((Benelux!N259*Benelux!$N$247)+(Benelux!Z259*Benelux!$Z$247))/'H7H9 BENELUX'!$AL$247</f>
        <v>345</v>
      </c>
      <c r="AM259" s="51">
        <f>+((Benelux!O259*Benelux!$O$247)+(Benelux!AA259*Benelux!$AA$247))/'H7H9 BENELUX'!$AM$247</f>
        <v>345</v>
      </c>
      <c r="AN259" s="135"/>
      <c r="AO259" s="103">
        <f t="shared" si="401"/>
        <v>345</v>
      </c>
      <c r="AP259" s="62">
        <f t="shared" si="396"/>
        <v>345</v>
      </c>
      <c r="AQ259" s="62">
        <f t="shared" si="397"/>
        <v>345</v>
      </c>
      <c r="AR259" s="135"/>
      <c r="AS259" s="95">
        <f t="shared" si="411"/>
        <v>324.98365122615803</v>
      </c>
      <c r="AT259" s="69">
        <f t="shared" si="412"/>
        <v>324.98365122615803</v>
      </c>
      <c r="AU259" s="69">
        <f t="shared" si="413"/>
        <v>324.98365122615803</v>
      </c>
      <c r="AW259" s="109"/>
      <c r="BA259" s="109"/>
      <c r="BE259" s="109"/>
      <c r="BI259" s="109"/>
      <c r="BM259" s="109"/>
    </row>
    <row r="260" spans="1:65" ht="16.5" hidden="1" x14ac:dyDescent="0.25">
      <c r="A260" s="213"/>
      <c r="B260" s="9"/>
      <c r="C260" s="50" t="s">
        <v>61</v>
      </c>
      <c r="D260" s="8"/>
      <c r="E260" s="105"/>
      <c r="F260" s="51"/>
      <c r="G260" s="51"/>
      <c r="H260" s="135"/>
      <c r="I260" s="77">
        <f>+((Benelux!E260*Benelux!$E$247)+(Benelux!Q260*Benelux!$Q$247))/'H7H9 BENELUX'!$I$247</f>
        <v>12</v>
      </c>
      <c r="J260" s="51">
        <f>+((Benelux!F260*Benelux!$F$247)+(Benelux!R260*Benelux!$R$247))/'H7H9 BENELUX'!$J$247</f>
        <v>12</v>
      </c>
      <c r="K260" s="51">
        <f>+((Benelux!G260*Benelux!$G$247)+(Benelux!S260*Benelux!$S$247))/'H7H9 BENELUX'!$K$247</f>
        <v>12</v>
      </c>
      <c r="L260" s="135"/>
      <c r="M260" s="77">
        <f>+((Benelux!I260*Benelux!$I$247)+(Benelux!U260*Benelux!$U$247))/'H7H9 BENELUX'!$M$247</f>
        <v>10</v>
      </c>
      <c r="N260" s="51">
        <f>+((Benelux!J260*Benelux!$J$247)+(Benelux!V260*Benelux!$V$247))/'H7H9 BENELUX'!$N$247</f>
        <v>10</v>
      </c>
      <c r="O260" s="51">
        <f>+((Benelux!K260*Benelux!$K$247)+(Benelux!W260*Benelux!$W$247))/'H7H9 BENELUX'!$O$247</f>
        <v>10</v>
      </c>
      <c r="P260" s="135"/>
      <c r="Q260" s="105"/>
      <c r="R260" s="51"/>
      <c r="S260" s="51"/>
      <c r="T260" s="135"/>
      <c r="U260" s="90">
        <f t="shared" si="408"/>
        <v>11.090909090909092</v>
      </c>
      <c r="V260" s="62">
        <f t="shared" si="409"/>
        <v>11.090909090909092</v>
      </c>
      <c r="W260" s="62">
        <f t="shared" si="410"/>
        <v>11.090909090909092</v>
      </c>
      <c r="X260" s="135"/>
      <c r="Y260" s="105"/>
      <c r="Z260" s="51"/>
      <c r="AA260" s="51"/>
      <c r="AB260" s="135"/>
      <c r="AC260" s="105"/>
      <c r="AD260" s="51"/>
      <c r="AE260" s="51"/>
      <c r="AF260" s="135"/>
      <c r="AG260" s="105"/>
      <c r="AH260" s="51"/>
      <c r="AI260" s="51"/>
      <c r="AJ260" s="135"/>
      <c r="AK260" s="78">
        <f>+((Benelux!M260*Benelux!$M$247)+(Benelux!Y260*Benelux!$Y$247))/'H7H9 BENELUX'!$AK$247</f>
        <v>345</v>
      </c>
      <c r="AL260" s="51">
        <f>+((Benelux!N260*Benelux!$N$247)+(Benelux!Z260*Benelux!$Z$247))/'H7H9 BENELUX'!$AL$247</f>
        <v>345</v>
      </c>
      <c r="AM260" s="51">
        <f>+((Benelux!O260*Benelux!$O$247)+(Benelux!AA260*Benelux!$AA$247))/'H7H9 BENELUX'!$AM$247</f>
        <v>345</v>
      </c>
      <c r="AN260" s="135"/>
      <c r="AO260" s="89">
        <f t="shared" si="401"/>
        <v>345</v>
      </c>
      <c r="AP260" s="62">
        <f t="shared" si="396"/>
        <v>345</v>
      </c>
      <c r="AQ260" s="62">
        <f t="shared" si="397"/>
        <v>345</v>
      </c>
      <c r="AR260" s="135"/>
      <c r="AS260" s="95">
        <f t="shared" si="411"/>
        <v>324.98365122615803</v>
      </c>
      <c r="AT260" s="69">
        <f t="shared" si="412"/>
        <v>324.98365122615803</v>
      </c>
      <c r="AU260" s="69">
        <f t="shared" si="413"/>
        <v>324.98365122615803</v>
      </c>
      <c r="AW260" s="109"/>
      <c r="BA260" s="109"/>
      <c r="BE260" s="109"/>
      <c r="BI260" s="109"/>
      <c r="BM260" s="109"/>
    </row>
    <row r="261" spans="1:65" ht="16.5" hidden="1" x14ac:dyDescent="0.25">
      <c r="A261" s="213"/>
      <c r="B261" s="9"/>
      <c r="C261" s="136" t="s">
        <v>34</v>
      </c>
      <c r="D261" s="6"/>
      <c r="E261" s="137"/>
      <c r="F261" s="138"/>
      <c r="G261" s="138"/>
      <c r="H261" s="117"/>
      <c r="I261" s="137">
        <f>+Benelux!E261+Benelux!Q261</f>
        <v>12</v>
      </c>
      <c r="J261" s="138">
        <f>+Benelux!F261+Benelux!R261</f>
        <v>12</v>
      </c>
      <c r="K261" s="138">
        <f>+Benelux!G261+Benelux!S261</f>
        <v>12</v>
      </c>
      <c r="L261" s="117"/>
      <c r="M261" s="137">
        <f>+Benelux!I261+Benelux!U261</f>
        <v>10</v>
      </c>
      <c r="N261" s="138">
        <f>+Benelux!J261+Benelux!V261</f>
        <v>10</v>
      </c>
      <c r="O261" s="138">
        <f>+Benelux!K261+Benelux!W261</f>
        <v>10</v>
      </c>
      <c r="P261" s="117"/>
      <c r="Q261" s="137"/>
      <c r="R261" s="138"/>
      <c r="S261" s="138"/>
      <c r="T261" s="117"/>
      <c r="U261" s="139">
        <f t="shared" ref="U261:W261" si="414">+I261+M261</f>
        <v>22</v>
      </c>
      <c r="V261" s="140">
        <f t="shared" si="414"/>
        <v>22</v>
      </c>
      <c r="W261" s="140">
        <f t="shared" si="414"/>
        <v>22</v>
      </c>
      <c r="X261" s="117"/>
      <c r="Y261" s="137"/>
      <c r="Z261" s="138"/>
      <c r="AA261" s="138"/>
      <c r="AB261" s="117"/>
      <c r="AC261" s="137"/>
      <c r="AD261" s="138"/>
      <c r="AE261" s="138"/>
      <c r="AF261" s="117"/>
      <c r="AG261" s="137"/>
      <c r="AH261" s="138"/>
      <c r="AI261" s="138"/>
      <c r="AJ261" s="117"/>
      <c r="AK261" s="141">
        <f>+Benelux!M261+Benelux!Y261</f>
        <v>345</v>
      </c>
      <c r="AL261" s="138">
        <f>+Benelux!N261+Benelux!Z261</f>
        <v>345</v>
      </c>
      <c r="AM261" s="138">
        <f>+Benelux!O261+Benelux!AA261</f>
        <v>345</v>
      </c>
      <c r="AN261" s="117"/>
      <c r="AO261" s="150">
        <f t="shared" si="401"/>
        <v>345</v>
      </c>
      <c r="AP261" s="140">
        <f t="shared" si="396"/>
        <v>345</v>
      </c>
      <c r="AQ261" s="140">
        <f t="shared" si="397"/>
        <v>345</v>
      </c>
      <c r="AR261" s="117"/>
      <c r="AS261" s="173">
        <f t="shared" ref="AS261:AU261" si="415">+U261+AO261</f>
        <v>367</v>
      </c>
      <c r="AT261" s="169">
        <f t="shared" si="415"/>
        <v>367</v>
      </c>
      <c r="AU261" s="169">
        <f t="shared" si="415"/>
        <v>367</v>
      </c>
      <c r="AW261" s="108"/>
      <c r="BA261" s="108"/>
      <c r="BE261" s="108"/>
      <c r="BI261" s="108"/>
      <c r="BM261" s="108"/>
    </row>
    <row r="262" spans="1:65" hidden="1" x14ac:dyDescent="0.35"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</row>
    <row r="263" spans="1:65" ht="16.5" hidden="1" x14ac:dyDescent="0.25">
      <c r="A263" s="215" t="s">
        <v>47</v>
      </c>
      <c r="B263" s="9"/>
      <c r="C263" s="151" t="s">
        <v>19</v>
      </c>
      <c r="D263" s="6"/>
      <c r="E263" s="174">
        <f>+E8</f>
        <v>335.94232871000003</v>
      </c>
      <c r="F263" s="175">
        <f t="shared" ref="F263:G263" si="416">+F8</f>
        <v>335.94232871000003</v>
      </c>
      <c r="G263" s="175">
        <f t="shared" si="416"/>
        <v>335.94232871000003</v>
      </c>
      <c r="H263" s="117"/>
      <c r="I263" s="176" t="e">
        <f>+I59+I110+I161+I246</f>
        <v>#VALUE!</v>
      </c>
      <c r="J263" s="175" t="e">
        <f t="shared" ref="J263:K263" si="417">+J59+J110+J161+J246</f>
        <v>#VALUE!</v>
      </c>
      <c r="K263" s="175" t="e">
        <f t="shared" si="417"/>
        <v>#VALUE!</v>
      </c>
      <c r="L263" s="117"/>
      <c r="M263" s="174" t="e">
        <f>+M59+M110+M161+M246</f>
        <v>#VALUE!</v>
      </c>
      <c r="N263" s="175" t="e">
        <f t="shared" ref="N263:O263" si="418">+N59+N110+N161+N246</f>
        <v>#VALUE!</v>
      </c>
      <c r="O263" s="175" t="e">
        <f t="shared" si="418"/>
        <v>#VALUE!</v>
      </c>
      <c r="P263" s="117"/>
      <c r="Q263" s="174" t="e">
        <f>+Q8</f>
        <v>#VALUE!</v>
      </c>
      <c r="R263" s="175" t="e">
        <f t="shared" ref="R263:S263" si="419">+R8</f>
        <v>#VALUE!</v>
      </c>
      <c r="S263" s="175" t="e">
        <f t="shared" si="419"/>
        <v>#VALUE!</v>
      </c>
      <c r="T263" s="117"/>
      <c r="U263" s="122" t="e">
        <f>+E263+I263+M263+Q263</f>
        <v>#VALUE!</v>
      </c>
      <c r="V263" s="123" t="e">
        <f t="shared" ref="V263:V264" si="420">+F263+J263+N263+R263</f>
        <v>#VALUE!</v>
      </c>
      <c r="W263" s="123" t="e">
        <f t="shared" ref="W263:W264" si="421">+G263+K263+O263+S263</f>
        <v>#VALUE!</v>
      </c>
      <c r="X263" s="117"/>
      <c r="Y263" s="176">
        <f>+Y59</f>
        <v>108.70809534</v>
      </c>
      <c r="Z263" s="175">
        <f t="shared" ref="Z263:AA263" si="422">+Z59</f>
        <v>110.62512524000002</v>
      </c>
      <c r="AA263" s="175">
        <f t="shared" si="422"/>
        <v>112.54845367250161</v>
      </c>
      <c r="AB263" s="117"/>
      <c r="AC263" s="176">
        <f t="shared" ref="AC263:AE263" si="423">+AC59</f>
        <v>21.496336050000004</v>
      </c>
      <c r="AD263" s="175">
        <f t="shared" si="423"/>
        <v>21.369239630000006</v>
      </c>
      <c r="AE263" s="175">
        <f t="shared" si="423"/>
        <v>23.80596328432329</v>
      </c>
      <c r="AF263" s="117"/>
      <c r="AG263" s="176">
        <f>+AG110</f>
        <v>1345</v>
      </c>
      <c r="AH263" s="175">
        <f t="shared" ref="AH263:AI263" si="424">+AH110</f>
        <v>1345</v>
      </c>
      <c r="AI263" s="175">
        <f t="shared" si="424"/>
        <v>1345</v>
      </c>
      <c r="AJ263" s="117"/>
      <c r="AK263" s="174" t="e">
        <f>+AK161+AK246</f>
        <v>#VALUE!</v>
      </c>
      <c r="AL263" s="175" t="e">
        <f t="shared" ref="AL263:AM263" si="425">+AL161+AL246</f>
        <v>#VALUE!</v>
      </c>
      <c r="AM263" s="175" t="e">
        <f t="shared" si="425"/>
        <v>#VALUE!</v>
      </c>
      <c r="AN263" s="117"/>
      <c r="AO263" s="122" t="e">
        <f>+Y263+AC263+AG263+AK263</f>
        <v>#VALUE!</v>
      </c>
      <c r="AP263" s="123" t="e">
        <f t="shared" ref="AP263:AP264" si="426">+Z263+AD263+AH263+AL263</f>
        <v>#VALUE!</v>
      </c>
      <c r="AQ263" s="123" t="e">
        <f t="shared" ref="AQ263:AQ264" si="427">+AA263+AE263+AI263+AM263</f>
        <v>#VALUE!</v>
      </c>
      <c r="AR263" s="117"/>
      <c r="AS263" s="166" t="e">
        <f>+U263+AO263</f>
        <v>#VALUE!</v>
      </c>
      <c r="AT263" s="160" t="e">
        <f t="shared" ref="AT263:AT264" si="428">+V263+AP263</f>
        <v>#VALUE!</v>
      </c>
      <c r="AU263" s="160" t="e">
        <f t="shared" ref="AU263:AU264" si="429">+W263+AQ263</f>
        <v>#VALUE!</v>
      </c>
      <c r="AW263" s="108"/>
      <c r="BA263" s="108"/>
      <c r="BE263" s="108"/>
      <c r="BI263" s="108"/>
      <c r="BM263" s="108"/>
    </row>
    <row r="264" spans="1:65" ht="16.5" hidden="1" x14ac:dyDescent="0.25">
      <c r="A264" s="215"/>
      <c r="B264" s="9"/>
      <c r="C264" s="151" t="s">
        <v>55</v>
      </c>
      <c r="D264" s="6"/>
      <c r="E264" s="176">
        <f t="shared" ref="E264:G264" si="430">+E9</f>
        <v>335.46797350000003</v>
      </c>
      <c r="F264" s="175">
        <f t="shared" si="430"/>
        <v>335.79202771000001</v>
      </c>
      <c r="G264" s="175">
        <f t="shared" si="430"/>
        <v>334.88639682652433</v>
      </c>
      <c r="H264" s="117"/>
      <c r="I264" s="176" t="e">
        <f t="shared" ref="I264" si="431">+I60+I111+I162+I247</f>
        <v>#VALUE!</v>
      </c>
      <c r="J264" s="175" t="e">
        <f t="shared" ref="J264:K264" si="432">+J60+J111+J162+J247</f>
        <v>#VALUE!</v>
      </c>
      <c r="K264" s="175" t="e">
        <f t="shared" si="432"/>
        <v>#VALUE!</v>
      </c>
      <c r="L264" s="117"/>
      <c r="M264" s="176" t="e">
        <f t="shared" ref="M264:O264" si="433">+M60+M111+M162+M247</f>
        <v>#VALUE!</v>
      </c>
      <c r="N264" s="175" t="e">
        <f t="shared" si="433"/>
        <v>#VALUE!</v>
      </c>
      <c r="O264" s="175" t="e">
        <f t="shared" si="433"/>
        <v>#VALUE!</v>
      </c>
      <c r="P264" s="117"/>
      <c r="Q264" s="174" t="e">
        <f t="shared" ref="Q264:S264" si="434">+Q9</f>
        <v>#VALUE!</v>
      </c>
      <c r="R264" s="175" t="e">
        <f t="shared" si="434"/>
        <v>#VALUE!</v>
      </c>
      <c r="S264" s="175" t="e">
        <f t="shared" si="434"/>
        <v>#VALUE!</v>
      </c>
      <c r="T264" s="117"/>
      <c r="U264" s="125" t="e">
        <f t="shared" ref="U264" si="435">+E264+I264+M264+Q264</f>
        <v>#VALUE!</v>
      </c>
      <c r="V264" s="123" t="e">
        <f t="shared" si="420"/>
        <v>#VALUE!</v>
      </c>
      <c r="W264" s="123" t="e">
        <f t="shared" si="421"/>
        <v>#VALUE!</v>
      </c>
      <c r="X264" s="117"/>
      <c r="Y264" s="176">
        <f t="shared" ref="Y264:AA264" si="436">+Y60</f>
        <v>45.550488299999998</v>
      </c>
      <c r="Z264" s="175">
        <f t="shared" si="436"/>
        <v>44.933638809999984</v>
      </c>
      <c r="AA264" s="175">
        <f t="shared" si="436"/>
        <v>58.982087473381583</v>
      </c>
      <c r="AB264" s="117"/>
      <c r="AC264" s="176">
        <f t="shared" ref="AC264:AE264" si="437">+AC60</f>
        <v>11.707862959999998</v>
      </c>
      <c r="AD264" s="175">
        <f t="shared" si="437"/>
        <v>11.088059270000004</v>
      </c>
      <c r="AE264" s="175">
        <f t="shared" si="437"/>
        <v>14.421655364791338</v>
      </c>
      <c r="AF264" s="117"/>
      <c r="AG264" s="176">
        <f t="shared" ref="AG264:AI264" si="438">+AG111</f>
        <v>1345</v>
      </c>
      <c r="AH264" s="175">
        <f t="shared" si="438"/>
        <v>1345</v>
      </c>
      <c r="AI264" s="175">
        <f t="shared" si="438"/>
        <v>1345</v>
      </c>
      <c r="AJ264" s="117"/>
      <c r="AK264" s="177" t="e">
        <f t="shared" ref="AK264:AM264" si="439">+AK162+AK247</f>
        <v>#VALUE!</v>
      </c>
      <c r="AL264" s="175" t="e">
        <f t="shared" si="439"/>
        <v>#VALUE!</v>
      </c>
      <c r="AM264" s="175" t="e">
        <f t="shared" si="439"/>
        <v>#VALUE!</v>
      </c>
      <c r="AN264" s="117"/>
      <c r="AO264" s="124" t="e">
        <f t="shared" ref="AO264" si="440">+Y264+AC264+AG264+AK264</f>
        <v>#VALUE!</v>
      </c>
      <c r="AP264" s="123" t="e">
        <f t="shared" si="426"/>
        <v>#VALUE!</v>
      </c>
      <c r="AQ264" s="123" t="e">
        <f t="shared" si="427"/>
        <v>#VALUE!</v>
      </c>
      <c r="AR264" s="117"/>
      <c r="AS264" s="161" t="e">
        <f t="shared" ref="AS264" si="441">+U264+AO264</f>
        <v>#VALUE!</v>
      </c>
      <c r="AT264" s="160" t="e">
        <f t="shared" si="428"/>
        <v>#VALUE!</v>
      </c>
      <c r="AU264" s="160" t="e">
        <f t="shared" si="429"/>
        <v>#VALUE!</v>
      </c>
      <c r="AW264" s="108"/>
      <c r="BA264" s="108"/>
      <c r="BE264" s="108"/>
      <c r="BI264" s="108"/>
      <c r="BM264" s="108"/>
    </row>
    <row r="265" spans="1:65" ht="16.5" hidden="1" x14ac:dyDescent="0.25">
      <c r="A265" s="215"/>
      <c r="B265" s="9"/>
      <c r="C265" s="151" t="s">
        <v>21</v>
      </c>
      <c r="D265" s="6"/>
      <c r="E265" s="178">
        <f t="shared" ref="E265:G265" si="442">+E10</f>
        <v>3071.6241457911478</v>
      </c>
      <c r="F265" s="179">
        <f t="shared" si="442"/>
        <v>3068.6420146475157</v>
      </c>
      <c r="G265" s="179">
        <f t="shared" si="442"/>
        <v>3076.9580966075337</v>
      </c>
      <c r="H265" s="117"/>
      <c r="I265" s="178" t="e">
        <f>+I266+I271+I272+I273+I274</f>
        <v>#VALUE!</v>
      </c>
      <c r="J265" s="179" t="e">
        <f>+J266+J271+J272+J273+J274</f>
        <v>#VALUE!</v>
      </c>
      <c r="K265" s="179" t="e">
        <f>+K266+K271+K272+K273+K274</f>
        <v>#VALUE!</v>
      </c>
      <c r="L265" s="117"/>
      <c r="M265" s="180" t="e">
        <f>+M266+M271+M272+M273+M274</f>
        <v>#VALUE!</v>
      </c>
      <c r="N265" s="179" t="e">
        <f>+N266+N271+N272+N273+N274</f>
        <v>#VALUE!</v>
      </c>
      <c r="O265" s="179" t="e">
        <f>+O266+O271+O272+O273+O274</f>
        <v>#VALUE!</v>
      </c>
      <c r="P265" s="117"/>
      <c r="Q265" s="181" t="e">
        <f t="shared" ref="Q265:S265" si="443">+Q10</f>
        <v>#VALUE!</v>
      </c>
      <c r="R265" s="179" t="e">
        <f t="shared" si="443"/>
        <v>#VALUE!</v>
      </c>
      <c r="S265" s="179" t="e">
        <f t="shared" si="443"/>
        <v>#VALUE!</v>
      </c>
      <c r="T265" s="117"/>
      <c r="U265" s="132" t="e">
        <f>+U266+U271+U272+U273+U274</f>
        <v>#VALUE!</v>
      </c>
      <c r="V265" s="130" t="e">
        <f>+V266+V271+V272+V273+V274</f>
        <v>#VALUE!</v>
      </c>
      <c r="W265" s="130" t="e">
        <f>+W266+W271+W272+W273+W274</f>
        <v>#VALUE!</v>
      </c>
      <c r="X265" s="117"/>
      <c r="Y265" s="178">
        <f t="shared" ref="Y265:AA265" si="444">+Y61</f>
        <v>0.86793436548077563</v>
      </c>
      <c r="Z265" s="179">
        <f t="shared" si="444"/>
        <v>0.91480698311154662</v>
      </c>
      <c r="AA265" s="179">
        <f t="shared" si="444"/>
        <v>0.9265010568190386</v>
      </c>
      <c r="AB265" s="117"/>
      <c r="AC265" s="180">
        <f t="shared" ref="AC265:AE265" si="445">+AC61</f>
        <v>0.91984585293717058</v>
      </c>
      <c r="AD265" s="179">
        <f t="shared" si="445"/>
        <v>1.0570446211188047</v>
      </c>
      <c r="AE265" s="179">
        <f t="shared" si="445"/>
        <v>0.90577877899967796</v>
      </c>
      <c r="AF265" s="117"/>
      <c r="AG265" s="178">
        <f t="shared" ref="AG265:AI265" si="446">+AG112</f>
        <v>13450</v>
      </c>
      <c r="AH265" s="179">
        <f t="shared" si="446"/>
        <v>13450</v>
      </c>
      <c r="AI265" s="179">
        <f t="shared" si="446"/>
        <v>13450</v>
      </c>
      <c r="AJ265" s="117"/>
      <c r="AK265" s="178" t="e">
        <f>+AK266+AK271+AK272+AK273+AK274</f>
        <v>#VALUE!</v>
      </c>
      <c r="AL265" s="179" t="e">
        <f>+AL266+AL271+AL272+AL273+AL274</f>
        <v>#VALUE!</v>
      </c>
      <c r="AM265" s="179" t="e">
        <f>+AM266+AM271+AM272+AM273+AM274</f>
        <v>#VALUE!</v>
      </c>
      <c r="AN265" s="117"/>
      <c r="AO265" s="132" t="e">
        <f>+AO266+AO271+AO272+AO273+AO274</f>
        <v>#VALUE!</v>
      </c>
      <c r="AP265" s="130" t="e">
        <f>+AP266+AP271+AP272+AP273+AP274</f>
        <v>#VALUE!</v>
      </c>
      <c r="AQ265" s="130" t="e">
        <f>+AQ266+AQ271+AQ272+AQ273+AQ274</f>
        <v>#VALUE!</v>
      </c>
      <c r="AR265" s="117"/>
      <c r="AS265" s="162" t="e">
        <f>+AS266+AS271+AS272+AS273+AS274</f>
        <v>#VALUE!</v>
      </c>
      <c r="AT265" s="163" t="e">
        <f>+AT266+AT271+AT272+AT273+AT274</f>
        <v>#VALUE!</v>
      </c>
      <c r="AU265" s="163" t="e">
        <f>+AU266+AU271+AU272+AU273+AU274</f>
        <v>#VALUE!</v>
      </c>
      <c r="AW265" s="109"/>
      <c r="BA265" s="109"/>
      <c r="BE265" s="109"/>
      <c r="BI265" s="109"/>
      <c r="BM265" s="109"/>
    </row>
    <row r="266" spans="1:65" ht="16.5" hidden="1" x14ac:dyDescent="0.25">
      <c r="A266" s="215"/>
      <c r="B266" s="9"/>
      <c r="C266" s="151" t="s">
        <v>56</v>
      </c>
      <c r="D266" s="6"/>
      <c r="E266" s="180">
        <f t="shared" ref="E266:G266" si="447">+E11</f>
        <v>1228.6446909581966</v>
      </c>
      <c r="F266" s="179">
        <f t="shared" si="447"/>
        <v>1227.4594575225115</v>
      </c>
      <c r="G266" s="179">
        <f t="shared" si="447"/>
        <v>1230.7775692781772</v>
      </c>
      <c r="H266" s="117"/>
      <c r="I266" s="180" t="e">
        <f>+I267+I268+I269+I270</f>
        <v>#VALUE!</v>
      </c>
      <c r="J266" s="179" t="e">
        <f>+J267+J268+J269+J270</f>
        <v>#VALUE!</v>
      </c>
      <c r="K266" s="179" t="e">
        <f>+K267+K268+K269+K270</f>
        <v>#VALUE!</v>
      </c>
      <c r="L266" s="117"/>
      <c r="M266" s="178" t="e">
        <f>+M267+M268+M269+M270</f>
        <v>#VALUE!</v>
      </c>
      <c r="N266" s="179" t="e">
        <f>+N267+N268+N269+N270</f>
        <v>#VALUE!</v>
      </c>
      <c r="O266" s="179" t="e">
        <f>+O267+O268+O269+O270</f>
        <v>#VALUE!</v>
      </c>
      <c r="P266" s="117"/>
      <c r="Q266" s="180" t="e">
        <f t="shared" ref="Q266:S266" si="448">+Q11</f>
        <v>#VALUE!</v>
      </c>
      <c r="R266" s="179" t="e">
        <f t="shared" si="448"/>
        <v>#VALUE!</v>
      </c>
      <c r="S266" s="179" t="e">
        <f t="shared" si="448"/>
        <v>#VALUE!</v>
      </c>
      <c r="T266" s="117"/>
      <c r="U266" s="129" t="e">
        <f>+U267+U268+U269+U270</f>
        <v>#VALUE!</v>
      </c>
      <c r="V266" s="130" t="e">
        <f>+V267+V268+V269+V270</f>
        <v>#VALUE!</v>
      </c>
      <c r="W266" s="130" t="e">
        <f>+W267+W268+W269+W270</f>
        <v>#VALUE!</v>
      </c>
      <c r="X266" s="117"/>
      <c r="Y266" s="178">
        <f t="shared" ref="Y266:AA266" si="449">+Y62</f>
        <v>0.61250914691072589</v>
      </c>
      <c r="Z266" s="179">
        <f t="shared" si="449"/>
        <v>0.62769617299997171</v>
      </c>
      <c r="AA266" s="179">
        <f t="shared" si="449"/>
        <v>0.68771540438828938</v>
      </c>
      <c r="AB266" s="117"/>
      <c r="AC266" s="181">
        <f t="shared" ref="AC266:AE266" si="450">+AC62</f>
        <v>0.6046164545871876</v>
      </c>
      <c r="AD266" s="179">
        <f t="shared" si="450"/>
        <v>0.66148461975167638</v>
      </c>
      <c r="AE266" s="179">
        <f t="shared" si="450"/>
        <v>0.59651557371256203</v>
      </c>
      <c r="AF266" s="117"/>
      <c r="AG266" s="180">
        <f t="shared" ref="AG266:AI266" si="451">+AG113</f>
        <v>5380</v>
      </c>
      <c r="AH266" s="179">
        <f t="shared" si="451"/>
        <v>5380</v>
      </c>
      <c r="AI266" s="179">
        <f t="shared" si="451"/>
        <v>5380</v>
      </c>
      <c r="AJ266" s="117"/>
      <c r="AK266" s="178" t="e">
        <f>+AK267+AK268+AK269+AK270</f>
        <v>#VALUE!</v>
      </c>
      <c r="AL266" s="179" t="e">
        <f>+AL267+AL268+AL269+AL270</f>
        <v>#VALUE!</v>
      </c>
      <c r="AM266" s="179" t="e">
        <f>+AM267+AM268+AM269+AM270</f>
        <v>#VALUE!</v>
      </c>
      <c r="AN266" s="117"/>
      <c r="AO266" s="132" t="e">
        <f>+AO267+AO268+AO269+AO270</f>
        <v>#VALUE!</v>
      </c>
      <c r="AP266" s="130" t="e">
        <f>+AP267+AP268+AP269+AP270</f>
        <v>#VALUE!</v>
      </c>
      <c r="AQ266" s="130" t="e">
        <f>+AQ267+AQ268+AQ269+AQ270</f>
        <v>#VALUE!</v>
      </c>
      <c r="AR266" s="117"/>
      <c r="AS266" s="162" t="e">
        <f>+AS267+AS268+AS269+AS270</f>
        <v>#VALUE!</v>
      </c>
      <c r="AT266" s="163" t="e">
        <f>+AT267+AT268+AT269+AT270</f>
        <v>#VALUE!</v>
      </c>
      <c r="AU266" s="163" t="e">
        <f>+AU267+AU268+AU269+AU270</f>
        <v>#VALUE!</v>
      </c>
      <c r="AW266" s="109"/>
      <c r="BA266" s="109"/>
      <c r="BE266" s="109"/>
      <c r="BI266" s="109"/>
      <c r="BM266" s="109"/>
    </row>
    <row r="267" spans="1:65" ht="16.5" hidden="1" x14ac:dyDescent="0.25">
      <c r="A267" s="215"/>
      <c r="B267" s="9"/>
      <c r="C267" s="64" t="s">
        <v>23</v>
      </c>
      <c r="D267" s="6"/>
      <c r="E267" s="80">
        <f t="shared" ref="E267:G267" si="452">+E12</f>
        <v>307.16117273954916</v>
      </c>
      <c r="F267" s="66">
        <f t="shared" si="452"/>
        <v>306.86486438062786</v>
      </c>
      <c r="G267" s="66">
        <f t="shared" si="452"/>
        <v>307.69439231954431</v>
      </c>
      <c r="H267" s="117"/>
      <c r="I267" s="80" t="e">
        <f>+((Benelux!E267*Benelux!$E$264)+(Benelux!Q267*Benelux!$Q$264)-('H7H9 BENELUX'!E267*'H7H9 BENELUX'!$E$264))/'H7H9 BENELUX'!$I$264</f>
        <v>#VALUE!</v>
      </c>
      <c r="J267" s="66" t="e">
        <f>+((Benelux!F267*Benelux!$F$264)+(Benelux!R267*Benelux!$R$264)-('H7H9 BENELUX'!F267*'H7H9 BENELUX'!$F$264))/'H7H9 BENELUX'!$J$264</f>
        <v>#VALUE!</v>
      </c>
      <c r="K267" s="66" t="e">
        <f>+((Benelux!G267*Benelux!$G$264)+(Benelux!S267*Benelux!$S$264)-('H7H9 BENELUX'!G267*'H7H9 BENELUX'!$G$264))/'H7H9 BENELUX'!$K$264</f>
        <v>#VALUE!</v>
      </c>
      <c r="L267" s="117"/>
      <c r="M267" s="80" t="e">
        <f>+((Benelux!I267*Benelux!$I$264)+(Benelux!U267*Benelux!$U$264)-(Benelux!I12*Benelux!$I$9)-(Benelux!U12*Benelux!$U$9))/'H7H9 BENELUX'!$M$264</f>
        <v>#VALUE!</v>
      </c>
      <c r="N267" s="66" t="e">
        <f>+((Benelux!J267*Benelux!$J$264)+(Benelux!V267*Benelux!$V$264)-(Benelux!J12*Benelux!$J$9)-(Benelux!V12*Benelux!$V$9))/'H7H9 BENELUX'!$N$264</f>
        <v>#VALUE!</v>
      </c>
      <c r="O267" s="66" t="e">
        <f>+((Benelux!K267*Benelux!$K$264)+(Benelux!W267*Benelux!$W$264)-(Benelux!K12*Benelux!$K$9)-(Benelux!W12*Benelux!$W$9))/'H7H9 BENELUX'!$O$264</f>
        <v>#VALUE!</v>
      </c>
      <c r="P267" s="117"/>
      <c r="Q267" s="80" t="e">
        <f t="shared" ref="Q267:S267" si="453">+Q12</f>
        <v>#VALUE!</v>
      </c>
      <c r="R267" s="66" t="e">
        <f t="shared" si="453"/>
        <v>#VALUE!</v>
      </c>
      <c r="S267" s="66" t="e">
        <f t="shared" si="453"/>
        <v>#VALUE!</v>
      </c>
      <c r="T267" s="117"/>
      <c r="U267" s="84" t="e">
        <f>+((E267*$E$264)+(I267*$I$264)+(M267*$M$264)+(Q267*$Q$264))/$U$264</f>
        <v>#VALUE!</v>
      </c>
      <c r="V267" s="60" t="e">
        <f>+((F267*$F$264)+(J267*$J$264)+(N267*$N$264)+(R267*$R$264))/$V$264</f>
        <v>#VALUE!</v>
      </c>
      <c r="W267" s="60" t="e">
        <f>+((G267*$G$264)+(K267*$K$264)+(O267*$O$264)+(S267*$S$264))/$W$264</f>
        <v>#VALUE!</v>
      </c>
      <c r="X267" s="117"/>
      <c r="Y267" s="81">
        <f t="shared" ref="Y267:AA267" si="454">+Y63</f>
        <v>0.24847384788868593</v>
      </c>
      <c r="Z267" s="66">
        <f t="shared" si="454"/>
        <v>0.27811449244796171</v>
      </c>
      <c r="AA267" s="66">
        <f t="shared" si="454"/>
        <v>0.28849709917938948</v>
      </c>
      <c r="AB267" s="117"/>
      <c r="AC267" s="81">
        <f t="shared" ref="AC267:AE267" si="455">+AC63</f>
        <v>0.36999843479548222</v>
      </c>
      <c r="AD267" s="66">
        <f t="shared" si="455"/>
        <v>0.53603301941945669</v>
      </c>
      <c r="AE267" s="66">
        <f t="shared" si="455"/>
        <v>0.38680105116560648</v>
      </c>
      <c r="AF267" s="117"/>
      <c r="AG267" s="80">
        <f t="shared" ref="AG267:AI267" si="456">+AG114</f>
        <v>1345</v>
      </c>
      <c r="AH267" s="66">
        <f t="shared" si="456"/>
        <v>1345</v>
      </c>
      <c r="AI267" s="66">
        <f t="shared" si="456"/>
        <v>1345</v>
      </c>
      <c r="AJ267" s="117"/>
      <c r="AK267" s="81" t="e">
        <f>+((AK250*$AK$247)+(AK165*$AK$162))/$AK$264</f>
        <v>#VALUE!</v>
      </c>
      <c r="AL267" s="66" t="e">
        <f>+((AL250*$AL$247)+(AL165*$AL$162))/$AL$264</f>
        <v>#VALUE!</v>
      </c>
      <c r="AM267" s="66" t="e">
        <f>+((AM250*$AM$247)+(AM165*$AM$162))/$AM$264</f>
        <v>#VALUE!</v>
      </c>
      <c r="AN267" s="117"/>
      <c r="AO267" s="85" t="e">
        <f>+((Y267*$Y$264)+(AC267*$AC$264)+(AG267*$AG$264)+(AK267*$AK$264))/$AO$264</f>
        <v>#VALUE!</v>
      </c>
      <c r="AP267" s="60" t="e">
        <f>+((Z267*$Z$264)+(AD267*$AD$264)+(AH267*$AH$264)+(AL267*$AL$264))/$AP$264</f>
        <v>#VALUE!</v>
      </c>
      <c r="AQ267" s="60" t="e">
        <f>+((AA267*$AA$264)+(AE267*$AE$264)+(AI267*$AI$264)+(AM267*$AM$264))/$AQ$264</f>
        <v>#VALUE!</v>
      </c>
      <c r="AR267" s="117"/>
      <c r="AS267" s="92" t="e">
        <f>+((U267*$U$264)+(AO267*$AO$264))/$AS$264</f>
        <v>#VALUE!</v>
      </c>
      <c r="AT267" s="68" t="e">
        <f>+((V267*$V$264)+(AP267*$AP$264))/$AT$264</f>
        <v>#VALUE!</v>
      </c>
      <c r="AU267" s="68" t="e">
        <f>+((W267*$W$264)+(AQ267*$AQ$264))/$AU$264</f>
        <v>#VALUE!</v>
      </c>
      <c r="AW267" s="109"/>
      <c r="BA267" s="109"/>
      <c r="BE267" s="109"/>
      <c r="BI267" s="109"/>
      <c r="BM267" s="109"/>
    </row>
    <row r="268" spans="1:65" ht="16.5" hidden="1" x14ac:dyDescent="0.25">
      <c r="A268" s="215"/>
      <c r="B268" s="9"/>
      <c r="C268" s="64" t="s">
        <v>24</v>
      </c>
      <c r="D268" s="7"/>
      <c r="E268" s="81">
        <f t="shared" ref="E268:G268" si="457">+E13</f>
        <v>307.16117273954916</v>
      </c>
      <c r="F268" s="66">
        <f t="shared" si="457"/>
        <v>306.86486438062786</v>
      </c>
      <c r="G268" s="66">
        <f t="shared" si="457"/>
        <v>307.69439231954431</v>
      </c>
      <c r="H268" s="134"/>
      <c r="I268" s="81" t="e">
        <f>+((Benelux!E268*Benelux!$E$264)+(Benelux!Q268*Benelux!$Q$264)-('H7H9 BENELUX'!E268*'H7H9 BENELUX'!$E$264))/'H7H9 BENELUX'!$I$264</f>
        <v>#VALUE!</v>
      </c>
      <c r="J268" s="66" t="e">
        <f>+((Benelux!F268*Benelux!$F$264)+(Benelux!R268*Benelux!$R$264)-('H7H9 BENELUX'!F268*'H7H9 BENELUX'!$F$264))/'H7H9 BENELUX'!$J$264</f>
        <v>#VALUE!</v>
      </c>
      <c r="K268" s="66" t="e">
        <f>+((Benelux!G268*Benelux!$G$264)+(Benelux!S268*Benelux!$S$264)-('H7H9 BENELUX'!G268*'H7H9 BENELUX'!$G$264))/'H7H9 BENELUX'!$K$264</f>
        <v>#VALUE!</v>
      </c>
      <c r="L268" s="134"/>
      <c r="M268" s="81" t="e">
        <f>+((Benelux!I268*Benelux!$I$264)+(Benelux!U268*Benelux!$U$264)-(Benelux!I13*Benelux!$I$9)-(Benelux!U13*Benelux!$U$9))/'H7H9 BENELUX'!$M$264</f>
        <v>#VALUE!</v>
      </c>
      <c r="N268" s="66" t="e">
        <f>+((Benelux!J268*Benelux!$J$264)+(Benelux!V268*Benelux!$V$264)-(Benelux!J13*Benelux!$J$9)-(Benelux!V13*Benelux!$V$9))/'H7H9 BENELUX'!$N$264</f>
        <v>#VALUE!</v>
      </c>
      <c r="O268" s="66" t="e">
        <f>+((Benelux!K268*Benelux!$K$264)+(Benelux!W268*Benelux!$W$264)-(Benelux!K13*Benelux!$K$9)-(Benelux!W13*Benelux!$W$9))/'H7H9 BENELUX'!$O$264</f>
        <v>#VALUE!</v>
      </c>
      <c r="P268" s="134"/>
      <c r="Q268" s="81" t="e">
        <f t="shared" ref="Q268:S268" si="458">+Q13</f>
        <v>#VALUE!</v>
      </c>
      <c r="R268" s="66" t="e">
        <f t="shared" si="458"/>
        <v>#VALUE!</v>
      </c>
      <c r="S268" s="66" t="e">
        <f t="shared" si="458"/>
        <v>#VALUE!</v>
      </c>
      <c r="T268" s="134"/>
      <c r="U268" s="85" t="e">
        <f t="shared" ref="U268:U273" si="459">+((E268*$E$264)+(I268*$I$264)+(M268*$M$264)+(Q268*$Q$264))/$U$264</f>
        <v>#VALUE!</v>
      </c>
      <c r="V268" s="60" t="e">
        <f t="shared" ref="V268:V273" si="460">+((F268*$F$264)+(J268*$J$264)+(N268*$N$264)+(R268*$R$264))/$V$264</f>
        <v>#VALUE!</v>
      </c>
      <c r="W268" s="60" t="e">
        <f t="shared" ref="W268:W273" si="461">+((G268*$G$264)+(K268*$K$264)+(O268*$O$264)+(S268*$S$264))/$W$264</f>
        <v>#VALUE!</v>
      </c>
      <c r="X268" s="134"/>
      <c r="Y268" s="81">
        <f t="shared" ref="Y268:AA268" si="462">+Y64</f>
        <v>1.435728450796871E-2</v>
      </c>
      <c r="Z268" s="66">
        <f t="shared" si="462"/>
        <v>0</v>
      </c>
      <c r="AA268" s="66">
        <f t="shared" si="462"/>
        <v>6.8438159155095921E-2</v>
      </c>
      <c r="AB268" s="134"/>
      <c r="AC268" s="81">
        <f t="shared" ref="AC268:AE268" si="463">+AC64</f>
        <v>8.5412684058269858E-4</v>
      </c>
      <c r="AD268" s="66">
        <f t="shared" si="463"/>
        <v>0</v>
      </c>
      <c r="AE268" s="66">
        <f t="shared" si="463"/>
        <v>1.3781358309617023E-2</v>
      </c>
      <c r="AF268" s="134"/>
      <c r="AG268" s="104">
        <f t="shared" ref="AG268:AI268" si="464">+AG115</f>
        <v>1345</v>
      </c>
      <c r="AH268" s="66">
        <f t="shared" si="464"/>
        <v>1345</v>
      </c>
      <c r="AI268" s="66">
        <f t="shared" si="464"/>
        <v>1345</v>
      </c>
      <c r="AJ268" s="134"/>
      <c r="AK268" s="104" t="e">
        <f t="shared" ref="AK268:AK273" si="465">+((AK251*$AK$247)+(AK166*$AK$162))/$AK$264</f>
        <v>#VALUE!</v>
      </c>
      <c r="AL268" s="66" t="e">
        <f t="shared" ref="AL268:AL273" si="466">+((AL251*$AL$247)+(AL166*$AL$162))/$AL$264</f>
        <v>#VALUE!</v>
      </c>
      <c r="AM268" s="66" t="e">
        <f t="shared" ref="AM268:AM273" si="467">+((AM251*$AM$247)+(AM166*$AM$162))/$AM$264</f>
        <v>#VALUE!</v>
      </c>
      <c r="AN268" s="134"/>
      <c r="AO268" s="85" t="e">
        <f t="shared" ref="AO268:AO273" si="468">+((Y268*$Y$264)+(AC268*$AC$264)+(AG268*$AG$264)+(AK268*$AK$264))/$AO$264</f>
        <v>#VALUE!</v>
      </c>
      <c r="AP268" s="60" t="e">
        <f t="shared" ref="AP268:AP273" si="469">+((Z268*$Z$264)+(AD268*$AD$264)+(AH268*$AH$264)+(AL268*$AL$264))/$AP$264</f>
        <v>#VALUE!</v>
      </c>
      <c r="AQ268" s="60" t="e">
        <f t="shared" ref="AQ268:AQ273" si="470">+((AA268*$AA$264)+(AE268*$AE$264)+(AI268*$AI$264)+(AM268*$AM$264))/$AQ$264</f>
        <v>#VALUE!</v>
      </c>
      <c r="AR268" s="134"/>
      <c r="AS268" s="93" t="e">
        <f t="shared" ref="AS268:AS273" si="471">+((U268*$U$264)+(AO268*$AO$264))/$AS$264</f>
        <v>#VALUE!</v>
      </c>
      <c r="AT268" s="68" t="e">
        <f t="shared" ref="AT268:AT273" si="472">+((V268*$V$264)+(AP268*$AP$264))/$AT$264</f>
        <v>#VALUE!</v>
      </c>
      <c r="AU268" s="68" t="e">
        <f t="shared" ref="AU268:AU273" si="473">+((W268*$W$264)+(AQ268*$AQ$264))/$AU$264</f>
        <v>#VALUE!</v>
      </c>
      <c r="AW268" s="109"/>
      <c r="BA268" s="109"/>
      <c r="BE268" s="109"/>
      <c r="BI268" s="109"/>
      <c r="BM268" s="109"/>
    </row>
    <row r="269" spans="1:65" ht="16.5" hidden="1" x14ac:dyDescent="0.25">
      <c r="A269" s="215"/>
      <c r="B269" s="9"/>
      <c r="C269" s="64" t="s">
        <v>25</v>
      </c>
      <c r="D269" s="7"/>
      <c r="E269" s="81">
        <f t="shared" ref="E269:G269" si="474">+E14</f>
        <v>307.16117273954916</v>
      </c>
      <c r="F269" s="66">
        <f t="shared" si="474"/>
        <v>306.86486438062786</v>
      </c>
      <c r="G269" s="66">
        <f t="shared" si="474"/>
        <v>307.69439231954431</v>
      </c>
      <c r="H269" s="134"/>
      <c r="I269" s="81" t="e">
        <f>+((Benelux!E269*Benelux!$E$264)+(Benelux!Q269*Benelux!$Q$264)-('H7H9 BENELUX'!E269*'H7H9 BENELUX'!$E$264))/'H7H9 BENELUX'!$I$264</f>
        <v>#VALUE!</v>
      </c>
      <c r="J269" s="66" t="e">
        <f>+((Benelux!F269*Benelux!$F$264)+(Benelux!R269*Benelux!$R$264)-('H7H9 BENELUX'!F269*'H7H9 BENELUX'!$F$264))/'H7H9 BENELUX'!$J$264</f>
        <v>#VALUE!</v>
      </c>
      <c r="K269" s="66" t="e">
        <f>+((Benelux!G269*Benelux!$G$264)+(Benelux!S269*Benelux!$S$264)-('H7H9 BENELUX'!G269*'H7H9 BENELUX'!$G$264))/'H7H9 BENELUX'!$K$264</f>
        <v>#VALUE!</v>
      </c>
      <c r="L269" s="134"/>
      <c r="M269" s="81" t="e">
        <f>+((Benelux!I269*Benelux!$I$264)+(Benelux!U269*Benelux!$U$264)-(Benelux!I14*Benelux!$I$9)-(Benelux!U14*Benelux!$U$9))/'H7H9 BENELUX'!$M$264</f>
        <v>#VALUE!</v>
      </c>
      <c r="N269" s="66" t="e">
        <f>+((Benelux!J269*Benelux!$J$264)+(Benelux!V269*Benelux!$V$264)-(Benelux!J14*Benelux!$J$9)-(Benelux!V14*Benelux!$V$9))/'H7H9 BENELUX'!$N$264</f>
        <v>#VALUE!</v>
      </c>
      <c r="O269" s="66" t="e">
        <f>+((Benelux!K269*Benelux!$K$264)+(Benelux!W269*Benelux!$W$264)-(Benelux!K14*Benelux!$K$9)-(Benelux!W14*Benelux!$W$9))/'H7H9 BENELUX'!$O$264</f>
        <v>#VALUE!</v>
      </c>
      <c r="P269" s="134"/>
      <c r="Q269" s="80" t="e">
        <f t="shared" ref="Q269:S269" si="475">+Q14</f>
        <v>#VALUE!</v>
      </c>
      <c r="R269" s="66" t="e">
        <f t="shared" si="475"/>
        <v>#VALUE!</v>
      </c>
      <c r="S269" s="66" t="e">
        <f t="shared" si="475"/>
        <v>#VALUE!</v>
      </c>
      <c r="T269" s="134"/>
      <c r="U269" s="99" t="e">
        <f t="shared" si="459"/>
        <v>#VALUE!</v>
      </c>
      <c r="V269" s="60" t="e">
        <f t="shared" si="460"/>
        <v>#VALUE!</v>
      </c>
      <c r="W269" s="60" t="e">
        <f t="shared" si="461"/>
        <v>#VALUE!</v>
      </c>
      <c r="X269" s="134"/>
      <c r="Y269" s="80">
        <f t="shared" ref="Y269:AA269" si="476">+Y65</f>
        <v>0.25170463384232122</v>
      </c>
      <c r="Z269" s="66">
        <f t="shared" si="476"/>
        <v>0.24929332177797903</v>
      </c>
      <c r="AA269" s="66">
        <f t="shared" si="476"/>
        <v>0.23391716212820834</v>
      </c>
      <c r="AB269" s="134"/>
      <c r="AC269" s="80">
        <f t="shared" ref="AC269:AE269" si="477">+AC65</f>
        <v>0.11082048501928829</v>
      </c>
      <c r="AD269" s="66">
        <f t="shared" si="477"/>
        <v>0</v>
      </c>
      <c r="AE269" s="66">
        <f t="shared" si="477"/>
        <v>0.10528437932882899</v>
      </c>
      <c r="AF269" s="134"/>
      <c r="AG269" s="104">
        <f t="shared" ref="AG269:AI269" si="478">+AG116</f>
        <v>1345</v>
      </c>
      <c r="AH269" s="66">
        <f t="shared" si="478"/>
        <v>1345</v>
      </c>
      <c r="AI269" s="66">
        <f t="shared" si="478"/>
        <v>1345</v>
      </c>
      <c r="AJ269" s="134"/>
      <c r="AK269" s="81" t="e">
        <f t="shared" si="465"/>
        <v>#VALUE!</v>
      </c>
      <c r="AL269" s="66" t="e">
        <f t="shared" si="466"/>
        <v>#VALUE!</v>
      </c>
      <c r="AM269" s="66" t="e">
        <f t="shared" si="467"/>
        <v>#VALUE!</v>
      </c>
      <c r="AN269" s="134"/>
      <c r="AO269" s="85" t="e">
        <f t="shared" si="468"/>
        <v>#VALUE!</v>
      </c>
      <c r="AP269" s="60" t="e">
        <f t="shared" si="469"/>
        <v>#VALUE!</v>
      </c>
      <c r="AQ269" s="60" t="e">
        <f t="shared" si="470"/>
        <v>#VALUE!</v>
      </c>
      <c r="AR269" s="134"/>
      <c r="AS269" s="93" t="e">
        <f t="shared" si="471"/>
        <v>#VALUE!</v>
      </c>
      <c r="AT269" s="68" t="e">
        <f t="shared" si="472"/>
        <v>#VALUE!</v>
      </c>
      <c r="AU269" s="68" t="e">
        <f t="shared" si="473"/>
        <v>#VALUE!</v>
      </c>
      <c r="AW269" s="109"/>
      <c r="BA269" s="109"/>
      <c r="BE269" s="109"/>
      <c r="BI269" s="109"/>
      <c r="BM269" s="109"/>
    </row>
    <row r="270" spans="1:65" ht="16.5" hidden="1" x14ac:dyDescent="0.25">
      <c r="A270" s="215"/>
      <c r="B270" s="9"/>
      <c r="C270" s="64" t="s">
        <v>53</v>
      </c>
      <c r="D270" s="7"/>
      <c r="E270" s="81">
        <f t="shared" ref="E270:G270" si="479">+E15</f>
        <v>307.16117273954916</v>
      </c>
      <c r="F270" s="66">
        <f t="shared" si="479"/>
        <v>306.86486438062786</v>
      </c>
      <c r="G270" s="66">
        <f t="shared" si="479"/>
        <v>307.69439231954431</v>
      </c>
      <c r="H270" s="134"/>
      <c r="I270" s="81" t="e">
        <f>+((Benelux!E270*Benelux!$E$264)+(Benelux!Q270*Benelux!$Q$264)-('H7H9 BENELUX'!E270*'H7H9 BENELUX'!$E$264))/'H7H9 BENELUX'!$I$264</f>
        <v>#VALUE!</v>
      </c>
      <c r="J270" s="66" t="e">
        <f>+((Benelux!F270*Benelux!$F$264)+(Benelux!R270*Benelux!$R$264)-('H7H9 BENELUX'!F270*'H7H9 BENELUX'!$F$264))/'H7H9 BENELUX'!$J$264</f>
        <v>#VALUE!</v>
      </c>
      <c r="K270" s="66" t="e">
        <f>+((Benelux!G270*Benelux!$G$264)+(Benelux!S270*Benelux!$S$264)-('H7H9 BENELUX'!G270*'H7H9 BENELUX'!$G$264))/'H7H9 BENELUX'!$K$264</f>
        <v>#VALUE!</v>
      </c>
      <c r="L270" s="134"/>
      <c r="M270" s="80" t="e">
        <f>+((Benelux!I270*Benelux!$I$264)+(Benelux!U270*Benelux!$U$264)-(Benelux!I15*Benelux!$I$9)-(Benelux!U15*Benelux!$U$9))/'H7H9 BENELUX'!$M$264</f>
        <v>#VALUE!</v>
      </c>
      <c r="N270" s="66" t="e">
        <f>+((Benelux!J270*Benelux!$J$264)+(Benelux!V270*Benelux!$V$264)-(Benelux!J15*Benelux!$J$9)-(Benelux!V15*Benelux!$V$9))/'H7H9 BENELUX'!$N$264</f>
        <v>#VALUE!</v>
      </c>
      <c r="O270" s="66" t="e">
        <f>+((Benelux!K270*Benelux!$K$264)+(Benelux!W270*Benelux!$W$264)-(Benelux!K15*Benelux!$K$9)-(Benelux!W15*Benelux!$W$9))/'H7H9 BENELUX'!$O$264</f>
        <v>#VALUE!</v>
      </c>
      <c r="P270" s="134"/>
      <c r="Q270" s="81" t="e">
        <f t="shared" ref="Q270:S270" si="480">+Q15</f>
        <v>#VALUE!</v>
      </c>
      <c r="R270" s="66" t="e">
        <f t="shared" si="480"/>
        <v>#VALUE!</v>
      </c>
      <c r="S270" s="66" t="e">
        <f t="shared" si="480"/>
        <v>#VALUE!</v>
      </c>
      <c r="T270" s="134"/>
      <c r="U270" s="85" t="e">
        <f t="shared" si="459"/>
        <v>#VALUE!</v>
      </c>
      <c r="V270" s="60" t="e">
        <f t="shared" si="460"/>
        <v>#VALUE!</v>
      </c>
      <c r="W270" s="60" t="e">
        <f t="shared" si="461"/>
        <v>#VALUE!</v>
      </c>
      <c r="X270" s="134"/>
      <c r="Y270" s="80">
        <f t="shared" ref="Y270:AA270" si="481">+Y66</f>
        <v>9.7973380671750127E-2</v>
      </c>
      <c r="Z270" s="66">
        <f t="shared" si="481"/>
        <v>0.10028835877403097</v>
      </c>
      <c r="AA270" s="66">
        <f t="shared" si="481"/>
        <v>9.6862983925595614E-2</v>
      </c>
      <c r="AB270" s="134"/>
      <c r="AC270" s="80">
        <f t="shared" ref="AC270:AE270" si="482">+AC66</f>
        <v>0.12294340793183435</v>
      </c>
      <c r="AD270" s="66">
        <f t="shared" si="482"/>
        <v>0.12545160033221969</v>
      </c>
      <c r="AE270" s="66">
        <f t="shared" si="482"/>
        <v>9.0648784908509583E-2</v>
      </c>
      <c r="AF270" s="134"/>
      <c r="AG270" s="81">
        <f t="shared" ref="AG270:AI270" si="483">+AG117</f>
        <v>1345</v>
      </c>
      <c r="AH270" s="66">
        <f t="shared" si="483"/>
        <v>1345</v>
      </c>
      <c r="AI270" s="66">
        <f t="shared" si="483"/>
        <v>1345</v>
      </c>
      <c r="AJ270" s="134"/>
      <c r="AK270" s="81" t="e">
        <f t="shared" si="465"/>
        <v>#VALUE!</v>
      </c>
      <c r="AL270" s="66" t="e">
        <f t="shared" si="466"/>
        <v>#VALUE!</v>
      </c>
      <c r="AM270" s="66" t="e">
        <f t="shared" si="467"/>
        <v>#VALUE!</v>
      </c>
      <c r="AN270" s="134"/>
      <c r="AO270" s="85" t="e">
        <f t="shared" si="468"/>
        <v>#VALUE!</v>
      </c>
      <c r="AP270" s="60" t="e">
        <f t="shared" si="469"/>
        <v>#VALUE!</v>
      </c>
      <c r="AQ270" s="60" t="e">
        <f t="shared" si="470"/>
        <v>#VALUE!</v>
      </c>
      <c r="AR270" s="134"/>
      <c r="AS270" s="93" t="e">
        <f t="shared" si="471"/>
        <v>#VALUE!</v>
      </c>
      <c r="AT270" s="68" t="e">
        <f t="shared" si="472"/>
        <v>#VALUE!</v>
      </c>
      <c r="AU270" s="68" t="e">
        <f t="shared" si="473"/>
        <v>#VALUE!</v>
      </c>
      <c r="AW270" s="109"/>
      <c r="BA270" s="109"/>
      <c r="BE270" s="109"/>
      <c r="BI270" s="109"/>
      <c r="BM270" s="109"/>
    </row>
    <row r="271" spans="1:65" ht="16.5" hidden="1" x14ac:dyDescent="0.25">
      <c r="A271" s="215"/>
      <c r="B271" s="9"/>
      <c r="C271" s="151" t="s">
        <v>27</v>
      </c>
      <c r="D271" s="7"/>
      <c r="E271" s="178">
        <f t="shared" ref="E271:G271" si="484">+E16</f>
        <v>307.15426549640512</v>
      </c>
      <c r="F271" s="179">
        <f t="shared" si="484"/>
        <v>306.85789441903842</v>
      </c>
      <c r="G271" s="179">
        <f t="shared" si="484"/>
        <v>307.68868862878821</v>
      </c>
      <c r="H271" s="134"/>
      <c r="I271" s="178" t="e">
        <f>+((Benelux!E271*Benelux!$E$264)+(Benelux!Q271*Benelux!$Q$264)-('H7H9 BENELUX'!E271*'H7H9 BENELUX'!$E$264))/'H7H9 BENELUX'!$I$264</f>
        <v>#VALUE!</v>
      </c>
      <c r="J271" s="179" t="e">
        <f>+((Benelux!F271*Benelux!$F$264)+(Benelux!R271*Benelux!$R$264)-('H7H9 BENELUX'!F271*'H7H9 BENELUX'!$F$264))/'H7H9 BENELUX'!$J$264</f>
        <v>#VALUE!</v>
      </c>
      <c r="K271" s="179" t="e">
        <f>+((Benelux!G271*Benelux!$G$264)+(Benelux!S271*Benelux!$S$264)-('H7H9 BENELUX'!G271*'H7H9 BENELUX'!$G$264))/'H7H9 BENELUX'!$K$264</f>
        <v>#VALUE!</v>
      </c>
      <c r="L271" s="134"/>
      <c r="M271" s="180" t="e">
        <f>+((Benelux!I271*Benelux!$I$264)+(Benelux!U271*Benelux!$U$264)-(Benelux!I16*Benelux!$I$9)-(Benelux!U16*Benelux!$U$9))/'H7H9 BENELUX'!$M$264</f>
        <v>#VALUE!</v>
      </c>
      <c r="N271" s="179" t="e">
        <f>+((Benelux!J271*Benelux!$J$264)+(Benelux!V271*Benelux!$V$264)-(Benelux!J16*Benelux!$J$9)-(Benelux!V16*Benelux!$V$9))/'H7H9 BENELUX'!$N$264</f>
        <v>#VALUE!</v>
      </c>
      <c r="O271" s="179" t="e">
        <f>+((Benelux!K271*Benelux!$K$264)+(Benelux!W271*Benelux!$W$264)-(Benelux!K16*Benelux!$K$9)-(Benelux!W16*Benelux!$W$9))/'H7H9 BENELUX'!$O$264</f>
        <v>#VALUE!</v>
      </c>
      <c r="P271" s="134"/>
      <c r="Q271" s="178" t="e">
        <f t="shared" ref="Q271:S271" si="485">+Q16</f>
        <v>#VALUE!</v>
      </c>
      <c r="R271" s="179" t="e">
        <f t="shared" si="485"/>
        <v>#VALUE!</v>
      </c>
      <c r="S271" s="179" t="e">
        <f t="shared" si="485"/>
        <v>#VALUE!</v>
      </c>
      <c r="T271" s="134"/>
      <c r="U271" s="132" t="e">
        <f t="shared" si="459"/>
        <v>#VALUE!</v>
      </c>
      <c r="V271" s="130" t="e">
        <f t="shared" si="460"/>
        <v>#VALUE!</v>
      </c>
      <c r="W271" s="130" t="e">
        <f t="shared" si="461"/>
        <v>#VALUE!</v>
      </c>
      <c r="X271" s="134"/>
      <c r="Y271" s="180">
        <f t="shared" ref="Y271:AA271" si="486">+Y67</f>
        <v>-1.105504416733113E-2</v>
      </c>
      <c r="Z271" s="179">
        <f t="shared" si="486"/>
        <v>-1.2293895055680671E-2</v>
      </c>
      <c r="AA271" s="179">
        <f t="shared" si="486"/>
        <v>-5.6227110479159879E-3</v>
      </c>
      <c r="AB271" s="134"/>
      <c r="AC271" s="180">
        <f t="shared" ref="AC271:AE271" si="487">+AC67</f>
        <v>-2.0393754250092457E-2</v>
      </c>
      <c r="AD271" s="179">
        <f t="shared" si="487"/>
        <v>-2.1720833568379717E-2</v>
      </c>
      <c r="AE271" s="179">
        <f t="shared" si="487"/>
        <v>-1.2521088167949276E-2</v>
      </c>
      <c r="AF271" s="134"/>
      <c r="AG271" s="178">
        <f t="shared" ref="AG271:AI271" si="488">+AG118</f>
        <v>1345</v>
      </c>
      <c r="AH271" s="179">
        <f t="shared" si="488"/>
        <v>1345</v>
      </c>
      <c r="AI271" s="179">
        <f t="shared" si="488"/>
        <v>1345</v>
      </c>
      <c r="AJ271" s="134"/>
      <c r="AK271" s="180" t="e">
        <f t="shared" si="465"/>
        <v>#VALUE!</v>
      </c>
      <c r="AL271" s="179" t="e">
        <f t="shared" si="466"/>
        <v>#VALUE!</v>
      </c>
      <c r="AM271" s="179" t="e">
        <f t="shared" si="467"/>
        <v>#VALUE!</v>
      </c>
      <c r="AN271" s="134"/>
      <c r="AO271" s="132" t="e">
        <f t="shared" si="468"/>
        <v>#VALUE!</v>
      </c>
      <c r="AP271" s="130" t="e">
        <f t="shared" si="469"/>
        <v>#VALUE!</v>
      </c>
      <c r="AQ271" s="130" t="e">
        <f t="shared" si="470"/>
        <v>#VALUE!</v>
      </c>
      <c r="AR271" s="134"/>
      <c r="AS271" s="162" t="e">
        <f t="shared" si="471"/>
        <v>#VALUE!</v>
      </c>
      <c r="AT271" s="163" t="e">
        <f t="shared" si="472"/>
        <v>#VALUE!</v>
      </c>
      <c r="AU271" s="163" t="e">
        <f t="shared" si="473"/>
        <v>#VALUE!</v>
      </c>
      <c r="AW271" s="109"/>
      <c r="BA271" s="109"/>
      <c r="BE271" s="109"/>
      <c r="BI271" s="109"/>
      <c r="BM271" s="109"/>
    </row>
    <row r="272" spans="1:65" ht="16.5" hidden="1" x14ac:dyDescent="0.25">
      <c r="A272" s="215"/>
      <c r="B272" s="9"/>
      <c r="C272" s="151" t="s">
        <v>57</v>
      </c>
      <c r="D272" s="7"/>
      <c r="E272" s="180">
        <f t="shared" ref="E272:G272" si="489">+E17</f>
        <v>307.17526015907447</v>
      </c>
      <c r="F272" s="179">
        <f t="shared" si="489"/>
        <v>306.83845867193475</v>
      </c>
      <c r="G272" s="179">
        <f t="shared" si="489"/>
        <v>307.68814584710208</v>
      </c>
      <c r="H272" s="134"/>
      <c r="I272" s="178" t="e">
        <f>+((Benelux!E272*Benelux!$E$264)+(Benelux!Q272*Benelux!$Q$264)-('H7H9 BENELUX'!E272*'H7H9 BENELUX'!$E$264))/'H7H9 BENELUX'!$I$264</f>
        <v>#VALUE!</v>
      </c>
      <c r="J272" s="179" t="e">
        <f>+((Benelux!F272*Benelux!$F$264)+(Benelux!R272*Benelux!$R$264)-('H7H9 BENELUX'!F272*'H7H9 BENELUX'!$F$264))/'H7H9 BENELUX'!$J$264</f>
        <v>#VALUE!</v>
      </c>
      <c r="K272" s="179" t="e">
        <f>+((Benelux!G272*Benelux!$G$264)+(Benelux!S272*Benelux!$S$264)-('H7H9 BENELUX'!G272*'H7H9 BENELUX'!$G$264))/'H7H9 BENELUX'!$K$264</f>
        <v>#VALUE!</v>
      </c>
      <c r="L272" s="134"/>
      <c r="M272" s="180" t="e">
        <f>+((Benelux!I272*Benelux!$I$264)+(Benelux!U272*Benelux!$U$264)-(Benelux!I17*Benelux!$I$9)-(Benelux!U17*Benelux!$U$9))/'H7H9 BENELUX'!$M$264</f>
        <v>#VALUE!</v>
      </c>
      <c r="N272" s="179" t="e">
        <f>+((Benelux!J272*Benelux!$J$264)+(Benelux!V272*Benelux!$V$264)-(Benelux!J17*Benelux!$J$9)-(Benelux!V17*Benelux!$V$9))/'H7H9 BENELUX'!$N$264</f>
        <v>#VALUE!</v>
      </c>
      <c r="O272" s="179" t="e">
        <f>+((Benelux!K272*Benelux!$K$264)+(Benelux!W272*Benelux!$W$264)-(Benelux!K17*Benelux!$K$9)-(Benelux!W17*Benelux!$W$9))/'H7H9 BENELUX'!$O$264</f>
        <v>#VALUE!</v>
      </c>
      <c r="P272" s="134"/>
      <c r="Q272" s="180" t="e">
        <f t="shared" ref="Q272:S272" si="490">+Q17</f>
        <v>#VALUE!</v>
      </c>
      <c r="R272" s="179" t="e">
        <f t="shared" si="490"/>
        <v>#VALUE!</v>
      </c>
      <c r="S272" s="179" t="e">
        <f t="shared" si="490"/>
        <v>#VALUE!</v>
      </c>
      <c r="T272" s="134"/>
      <c r="U272" s="129" t="e">
        <f t="shared" si="459"/>
        <v>#VALUE!</v>
      </c>
      <c r="V272" s="130" t="e">
        <f t="shared" si="460"/>
        <v>#VALUE!</v>
      </c>
      <c r="W272" s="130" t="e">
        <f t="shared" si="461"/>
        <v>#VALUE!</v>
      </c>
      <c r="X272" s="134"/>
      <c r="Y272" s="180">
        <f t="shared" ref="Y272:AA272" si="491">+Y68</f>
        <v>-4.159615562233163E-3</v>
      </c>
      <c r="Z272" s="179">
        <f t="shared" si="491"/>
        <v>4.4355066555536893E-2</v>
      </c>
      <c r="AA272" s="179">
        <f t="shared" si="491"/>
        <v>-1.7704067892916169E-2</v>
      </c>
      <c r="AB272" s="134"/>
      <c r="AC272" s="180">
        <f t="shared" ref="AC272:AE272" si="492">+AC68</f>
        <v>7.0919618723153284E-3</v>
      </c>
      <c r="AD272" s="179">
        <f t="shared" si="492"/>
        <v>0.10311319971867348</v>
      </c>
      <c r="AE272" s="179">
        <f t="shared" si="492"/>
        <v>-7.4775121226765742E-3</v>
      </c>
      <c r="AF272" s="134"/>
      <c r="AG272" s="178">
        <f t="shared" ref="AG272:AI272" si="493">+AG119</f>
        <v>1345</v>
      </c>
      <c r="AH272" s="179">
        <f t="shared" si="493"/>
        <v>1345</v>
      </c>
      <c r="AI272" s="179">
        <f t="shared" si="493"/>
        <v>1345</v>
      </c>
      <c r="AJ272" s="134"/>
      <c r="AK272" s="178" t="e">
        <f t="shared" si="465"/>
        <v>#VALUE!</v>
      </c>
      <c r="AL272" s="179" t="e">
        <f t="shared" si="466"/>
        <v>#VALUE!</v>
      </c>
      <c r="AM272" s="179" t="e">
        <f t="shared" si="467"/>
        <v>#VALUE!</v>
      </c>
      <c r="AN272" s="134"/>
      <c r="AO272" s="132" t="e">
        <f t="shared" si="468"/>
        <v>#VALUE!</v>
      </c>
      <c r="AP272" s="130" t="e">
        <f t="shared" si="469"/>
        <v>#VALUE!</v>
      </c>
      <c r="AQ272" s="130" t="e">
        <f t="shared" si="470"/>
        <v>#VALUE!</v>
      </c>
      <c r="AR272" s="134"/>
      <c r="AS272" s="164" t="e">
        <f t="shared" si="471"/>
        <v>#VALUE!</v>
      </c>
      <c r="AT272" s="163" t="e">
        <f t="shared" si="472"/>
        <v>#VALUE!</v>
      </c>
      <c r="AU272" s="163" t="e">
        <f t="shared" si="473"/>
        <v>#VALUE!</v>
      </c>
      <c r="AW272" s="109"/>
      <c r="BA272" s="109"/>
      <c r="BE272" s="109"/>
      <c r="BI272" s="109"/>
      <c r="BM272" s="109"/>
    </row>
    <row r="273" spans="1:65" ht="16.5" hidden="1" x14ac:dyDescent="0.25">
      <c r="A273" s="215"/>
      <c r="B273" s="9"/>
      <c r="C273" s="151" t="s">
        <v>29</v>
      </c>
      <c r="D273" s="7"/>
      <c r="E273" s="178">
        <f t="shared" ref="E273:G273" si="494">+E18</f>
        <v>307.13406515838386</v>
      </c>
      <c r="F273" s="179">
        <f t="shared" si="494"/>
        <v>306.85857252355311</v>
      </c>
      <c r="G273" s="179">
        <f t="shared" si="494"/>
        <v>307.6894164004417</v>
      </c>
      <c r="H273" s="134"/>
      <c r="I273" s="180" t="e">
        <f>+((Benelux!E273*Benelux!$E$264)+(Benelux!Q273*Benelux!$Q$264)-('H7H9 BENELUX'!E273*'H7H9 BENELUX'!$E$264))/'H7H9 BENELUX'!$I$264</f>
        <v>#VALUE!</v>
      </c>
      <c r="J273" s="179" t="e">
        <f>+((Benelux!F273*Benelux!$F$264)+(Benelux!R273*Benelux!$R$264)-('H7H9 BENELUX'!F273*'H7H9 BENELUX'!$F$264))/'H7H9 BENELUX'!$J$264</f>
        <v>#VALUE!</v>
      </c>
      <c r="K273" s="179" t="e">
        <f>+((Benelux!G273*Benelux!$G$264)+(Benelux!S273*Benelux!$S$264)-('H7H9 BENELUX'!G273*'H7H9 BENELUX'!$G$264))/'H7H9 BENELUX'!$K$264</f>
        <v>#VALUE!</v>
      </c>
      <c r="L273" s="134"/>
      <c r="M273" s="178" t="e">
        <f>+((Benelux!I273*Benelux!$I$264)+(Benelux!U273*Benelux!$U$264)-(Benelux!I18*Benelux!$I$9)-(Benelux!U18*Benelux!$U$9))/'H7H9 BENELUX'!$M$264</f>
        <v>#VALUE!</v>
      </c>
      <c r="N273" s="179" t="e">
        <f>+((Benelux!J273*Benelux!$J$264)+(Benelux!V273*Benelux!$V$264)-(Benelux!J18*Benelux!$J$9)-(Benelux!V18*Benelux!$V$9))/'H7H9 BENELUX'!$N$264</f>
        <v>#VALUE!</v>
      </c>
      <c r="O273" s="179" t="e">
        <f>+((Benelux!K273*Benelux!$K$264)+(Benelux!W273*Benelux!$W$264)-(Benelux!K18*Benelux!$K$9)-(Benelux!W18*Benelux!$W$9))/'H7H9 BENELUX'!$O$264</f>
        <v>#VALUE!</v>
      </c>
      <c r="P273" s="134"/>
      <c r="Q273" s="178" t="e">
        <f t="shared" ref="Q273:S273" si="495">+Q18</f>
        <v>#VALUE!</v>
      </c>
      <c r="R273" s="179" t="e">
        <f t="shared" si="495"/>
        <v>#VALUE!</v>
      </c>
      <c r="S273" s="179" t="e">
        <f t="shared" si="495"/>
        <v>#VALUE!</v>
      </c>
      <c r="T273" s="134"/>
      <c r="U273" s="132" t="e">
        <f t="shared" si="459"/>
        <v>#VALUE!</v>
      </c>
      <c r="V273" s="130" t="e">
        <f t="shared" si="460"/>
        <v>#VALUE!</v>
      </c>
      <c r="W273" s="130" t="e">
        <f t="shared" si="461"/>
        <v>#VALUE!</v>
      </c>
      <c r="X273" s="134"/>
      <c r="Y273" s="178">
        <f t="shared" ref="Y273:AA273" si="496">+Y69</f>
        <v>-5.1173899270800993E-3</v>
      </c>
      <c r="Z273" s="179">
        <f t="shared" si="496"/>
        <v>-7.7917637937233459E-3</v>
      </c>
      <c r="AA273" s="179">
        <f t="shared" si="496"/>
        <v>0</v>
      </c>
      <c r="AB273" s="134"/>
      <c r="AC273" s="178">
        <f t="shared" ref="AC273:AE273" si="497">+AC69</f>
        <v>-2.1335991181926528E-2</v>
      </c>
      <c r="AD273" s="179">
        <f t="shared" si="497"/>
        <v>-1.6316999719645248E-2</v>
      </c>
      <c r="AE273" s="179">
        <f t="shared" si="497"/>
        <v>0</v>
      </c>
      <c r="AF273" s="134"/>
      <c r="AG273" s="180">
        <f t="shared" ref="AG273:AI273" si="498">+AG120</f>
        <v>1345</v>
      </c>
      <c r="AH273" s="179">
        <f t="shared" si="498"/>
        <v>1345</v>
      </c>
      <c r="AI273" s="179">
        <f t="shared" si="498"/>
        <v>1345</v>
      </c>
      <c r="AJ273" s="134"/>
      <c r="AK273" s="180" t="e">
        <f t="shared" si="465"/>
        <v>#VALUE!</v>
      </c>
      <c r="AL273" s="179" t="e">
        <f t="shared" si="466"/>
        <v>#VALUE!</v>
      </c>
      <c r="AM273" s="179" t="e">
        <f t="shared" si="467"/>
        <v>#VALUE!</v>
      </c>
      <c r="AN273" s="134"/>
      <c r="AO273" s="129" t="e">
        <f t="shared" si="468"/>
        <v>#VALUE!</v>
      </c>
      <c r="AP273" s="130" t="e">
        <f t="shared" si="469"/>
        <v>#VALUE!</v>
      </c>
      <c r="AQ273" s="130" t="e">
        <f t="shared" si="470"/>
        <v>#VALUE!</v>
      </c>
      <c r="AR273" s="134"/>
      <c r="AS273" s="162" t="e">
        <f t="shared" si="471"/>
        <v>#VALUE!</v>
      </c>
      <c r="AT273" s="163" t="e">
        <f t="shared" si="472"/>
        <v>#VALUE!</v>
      </c>
      <c r="AU273" s="163" t="e">
        <f t="shared" si="473"/>
        <v>#VALUE!</v>
      </c>
      <c r="AW273" s="109"/>
      <c r="BA273" s="109"/>
      <c r="BE273" s="109"/>
      <c r="BI273" s="109"/>
      <c r="BM273" s="109"/>
    </row>
    <row r="274" spans="1:65" ht="16.5" hidden="1" x14ac:dyDescent="0.25">
      <c r="A274" s="215"/>
      <c r="B274" s="9"/>
      <c r="C274" s="151" t="s">
        <v>58</v>
      </c>
      <c r="D274" s="7"/>
      <c r="E274" s="181">
        <f t="shared" ref="E274:G274" si="499">+E19</f>
        <v>921.51586401908787</v>
      </c>
      <c r="F274" s="179">
        <f t="shared" si="499"/>
        <v>920.62763151047784</v>
      </c>
      <c r="G274" s="179">
        <f t="shared" si="499"/>
        <v>923.11427645302444</v>
      </c>
      <c r="H274" s="134"/>
      <c r="I274" s="178" t="e">
        <f>+I275+I276+I277</f>
        <v>#VALUE!</v>
      </c>
      <c r="J274" s="179" t="e">
        <f>+J275+J276+J277</f>
        <v>#VALUE!</v>
      </c>
      <c r="K274" s="179" t="e">
        <f>+K275+K276+K277</f>
        <v>#VALUE!</v>
      </c>
      <c r="L274" s="134"/>
      <c r="M274" s="178" t="e">
        <f>+M275+M276+M277</f>
        <v>#VALUE!</v>
      </c>
      <c r="N274" s="179" t="e">
        <f>+N275+N276+N277</f>
        <v>#VALUE!</v>
      </c>
      <c r="O274" s="179" t="e">
        <f>+O275+O276+O277</f>
        <v>#VALUE!</v>
      </c>
      <c r="P274" s="134"/>
      <c r="Q274" s="178" t="e">
        <f t="shared" ref="Q274:S274" si="500">+Q19</f>
        <v>#VALUE!</v>
      </c>
      <c r="R274" s="179" t="e">
        <f t="shared" si="500"/>
        <v>#VALUE!</v>
      </c>
      <c r="S274" s="179" t="e">
        <f t="shared" si="500"/>
        <v>#VALUE!</v>
      </c>
      <c r="T274" s="134"/>
      <c r="U274" s="132" t="e">
        <f>+U275+U276+U277</f>
        <v>#VALUE!</v>
      </c>
      <c r="V274" s="130" t="e">
        <f>+V275+V276+V277</f>
        <v>#VALUE!</v>
      </c>
      <c r="W274" s="130" t="e">
        <f>+W275+W276+W277</f>
        <v>#VALUE!</v>
      </c>
      <c r="X274" s="134"/>
      <c r="Y274" s="180">
        <f t="shared" ref="Y274:AA274" si="501">+Y70</f>
        <v>0.27575726822669427</v>
      </c>
      <c r="Z274" s="179">
        <f t="shared" si="501"/>
        <v>0.26284140240544207</v>
      </c>
      <c r="AA274" s="179">
        <f t="shared" si="501"/>
        <v>0.26211243137158136</v>
      </c>
      <c r="AB274" s="134"/>
      <c r="AC274" s="180">
        <f t="shared" ref="AC274:AE274" si="502">+AC70</f>
        <v>0.34986718190968669</v>
      </c>
      <c r="AD274" s="179">
        <f t="shared" si="502"/>
        <v>0.33048463493647973</v>
      </c>
      <c r="AE274" s="179">
        <f t="shared" si="502"/>
        <v>0.32926180557774176</v>
      </c>
      <c r="AF274" s="134"/>
      <c r="AG274" s="181">
        <f t="shared" ref="AG274:AI274" si="503">+AG121</f>
        <v>4035</v>
      </c>
      <c r="AH274" s="179">
        <f t="shared" si="503"/>
        <v>4035</v>
      </c>
      <c r="AI274" s="179">
        <f t="shared" si="503"/>
        <v>4035</v>
      </c>
      <c r="AJ274" s="134"/>
      <c r="AK274" s="178" t="e">
        <f>+AK275+AK276+AK277</f>
        <v>#VALUE!</v>
      </c>
      <c r="AL274" s="179" t="e">
        <f>+AL275+AL276+AL277</f>
        <v>#VALUE!</v>
      </c>
      <c r="AM274" s="179" t="e">
        <f>+AM275+AM276+AM277</f>
        <v>#VALUE!</v>
      </c>
      <c r="AN274" s="134"/>
      <c r="AO274" s="133" t="e">
        <f>+AO275+AO276+AO277</f>
        <v>#VALUE!</v>
      </c>
      <c r="AP274" s="130" t="e">
        <f>+AP275+AP276+AP277</f>
        <v>#VALUE!</v>
      </c>
      <c r="AQ274" s="130" t="e">
        <f>+AQ275+AQ276+AQ277</f>
        <v>#VALUE!</v>
      </c>
      <c r="AR274" s="134"/>
      <c r="AS274" s="162" t="e">
        <f>+AS275+AS276+AS277</f>
        <v>#VALUE!</v>
      </c>
      <c r="AT274" s="163" t="e">
        <f>+AT275+AT276+AT277</f>
        <v>#VALUE!</v>
      </c>
      <c r="AU274" s="163" t="e">
        <f>+AU275+AU276+AU277</f>
        <v>#VALUE!</v>
      </c>
      <c r="AW274" s="109"/>
      <c r="BA274" s="109"/>
      <c r="BE274" s="109"/>
      <c r="BI274" s="109"/>
      <c r="BM274" s="109"/>
    </row>
    <row r="275" spans="1:65" ht="16.5" hidden="1" x14ac:dyDescent="0.25">
      <c r="A275" s="215"/>
      <c r="B275" s="9"/>
      <c r="C275" s="65" t="s">
        <v>59</v>
      </c>
      <c r="D275" s="8"/>
      <c r="E275" s="80">
        <f t="shared" ref="E275:G275" si="504">+E20</f>
        <v>307.17195467302929</v>
      </c>
      <c r="F275" s="66">
        <f t="shared" si="504"/>
        <v>306.8758771701593</v>
      </c>
      <c r="G275" s="66">
        <f t="shared" si="504"/>
        <v>307.70475881767481</v>
      </c>
      <c r="H275" s="135"/>
      <c r="I275" s="81" t="e">
        <f>+((Benelux!E275*Benelux!$E$264)+(Benelux!Q275*Benelux!$Q$264)-('H7H9 BENELUX'!E275*'H7H9 BENELUX'!$E$264))/'H7H9 BENELUX'!$I$264</f>
        <v>#VALUE!</v>
      </c>
      <c r="J275" s="66" t="e">
        <f>+((Benelux!F275*Benelux!$F$264)+(Benelux!R275*Benelux!$R$264)-('H7H9 BENELUX'!F275*'H7H9 BENELUX'!$F$264))/'H7H9 BENELUX'!$J$264</f>
        <v>#VALUE!</v>
      </c>
      <c r="K275" s="66" t="e">
        <f>+((Benelux!G275*Benelux!$G$264)+(Benelux!S275*Benelux!$S$264)-('H7H9 BENELUX'!G275*'H7H9 BENELUX'!$G$264))/'H7H9 BENELUX'!$K$264</f>
        <v>#VALUE!</v>
      </c>
      <c r="L275" s="135"/>
      <c r="M275" s="104" t="e">
        <f>+((Benelux!I275*Benelux!$I$264)+(Benelux!U275*Benelux!$U$264)-(Benelux!I20*Benelux!$I$9)-(Benelux!U20*Benelux!$U$9))/'H7H9 BENELUX'!$M$264</f>
        <v>#VALUE!</v>
      </c>
      <c r="N275" s="66" t="e">
        <f>+((Benelux!J275*Benelux!$J$264)+(Benelux!V275*Benelux!$V$264)-(Benelux!J20*Benelux!$J$9)-(Benelux!V20*Benelux!$V$9))/'H7H9 BENELUX'!$N$264</f>
        <v>#VALUE!</v>
      </c>
      <c r="O275" s="66" t="e">
        <f>+((Benelux!K275*Benelux!$K$264)+(Benelux!W275*Benelux!$W$264)-(Benelux!K20*Benelux!$K$9)-(Benelux!W20*Benelux!$W$9))/'H7H9 BENELUX'!$O$264</f>
        <v>#VALUE!</v>
      </c>
      <c r="P275" s="135"/>
      <c r="Q275" s="81" t="e">
        <f t="shared" ref="Q275:S275" si="505">+Q20</f>
        <v>#VALUE!</v>
      </c>
      <c r="R275" s="66" t="e">
        <f t="shared" si="505"/>
        <v>#VALUE!</v>
      </c>
      <c r="S275" s="66" t="e">
        <f t="shared" si="505"/>
        <v>#VALUE!</v>
      </c>
      <c r="T275" s="135"/>
      <c r="U275" s="85" t="e">
        <f t="shared" ref="U275:U277" si="506">+((E275*$E$264)+(I275*$I$264)+(M275*$M$264)+(Q275*$Q$264))/$U$264</f>
        <v>#VALUE!</v>
      </c>
      <c r="V275" s="60" t="e">
        <f t="shared" ref="V275:V277" si="507">+((F275*$F$264)+(J275*$J$264)+(N275*$N$264)+(R275*$R$264))/$V$264</f>
        <v>#VALUE!</v>
      </c>
      <c r="W275" s="60" t="e">
        <f t="shared" ref="W275:W277" si="508">+((G275*$G$264)+(K275*$K$264)+(O275*$O$264)+(S275*$S$264))/$W$264</f>
        <v>#VALUE!</v>
      </c>
      <c r="X275" s="135"/>
      <c r="Y275" s="104">
        <f t="shared" ref="Y275:AA275" si="509">+Y71</f>
        <v>0.16217136864370341</v>
      </c>
      <c r="Z275" s="66">
        <f t="shared" si="509"/>
        <v>0.16064728967362255</v>
      </c>
      <c r="AA275" s="66">
        <f t="shared" si="509"/>
        <v>0.15761934977168973</v>
      </c>
      <c r="AB275" s="135"/>
      <c r="AC275" s="81">
        <f t="shared" ref="AC275:AE275" si="510">+AC71</f>
        <v>0.15334642249690306</v>
      </c>
      <c r="AD275" s="66">
        <f t="shared" si="510"/>
        <v>0.15219682262755441</v>
      </c>
      <c r="AE275" s="66">
        <f t="shared" si="510"/>
        <v>0.15999291642353386</v>
      </c>
      <c r="AF275" s="135"/>
      <c r="AG275" s="80">
        <f t="shared" ref="AG275:AI275" si="511">+AG122</f>
        <v>1345</v>
      </c>
      <c r="AH275" s="66">
        <f t="shared" si="511"/>
        <v>1345</v>
      </c>
      <c r="AI275" s="66">
        <f t="shared" si="511"/>
        <v>1345</v>
      </c>
      <c r="AJ275" s="135"/>
      <c r="AK275" s="80" t="e">
        <f t="shared" ref="AK275:AK277" si="512">+((AK258*$AK$247)+(AK173*$AK$162))/$AK$264</f>
        <v>#VALUE!</v>
      </c>
      <c r="AL275" s="66" t="e">
        <f t="shared" ref="AL275:AL277" si="513">+((AL258*$AL$247)+(AL173*$AL$162))/$AL$264</f>
        <v>#VALUE!</v>
      </c>
      <c r="AM275" s="66" t="e">
        <f t="shared" ref="AM275:AM277" si="514">+((AM258*$AM$247)+(AM173*$AM$162))/$AM$264</f>
        <v>#VALUE!</v>
      </c>
      <c r="AN275" s="135"/>
      <c r="AO275" s="99" t="e">
        <f t="shared" ref="AO275:AO277" si="515">+((Y275*$Y$264)+(AC275*$AC$264)+(AG275*$AG$264)+(AK275*$AK$264))/$AO$264</f>
        <v>#VALUE!</v>
      </c>
      <c r="AP275" s="60" t="e">
        <f t="shared" ref="AP275:AP277" si="516">+((Z275*$Z$264)+(AD275*$AD$264)+(AH275*$AH$264)+(AL275*$AL$264))/$AP$264</f>
        <v>#VALUE!</v>
      </c>
      <c r="AQ275" s="60" t="e">
        <f t="shared" ref="AQ275:AQ277" si="517">+((AA275*$AA$264)+(AE275*$AE$264)+(AI275*$AI$264)+(AM275*$AM$264))/$AQ$264</f>
        <v>#VALUE!</v>
      </c>
      <c r="AR275" s="135"/>
      <c r="AS275" s="93" t="e">
        <f t="shared" ref="AS275:AS277" si="518">+((U275*$U$264)+(AO275*$AO$264))/$AS$264</f>
        <v>#VALUE!</v>
      </c>
      <c r="AT275" s="68" t="e">
        <f t="shared" ref="AT275:AT277" si="519">+((V275*$V$264)+(AP275*$AP$264))/$AT$264</f>
        <v>#VALUE!</v>
      </c>
      <c r="AU275" s="68" t="e">
        <f t="shared" ref="AU275:AU277" si="520">+((W275*$W$264)+(AQ275*$AQ$264))/$AU$264</f>
        <v>#VALUE!</v>
      </c>
      <c r="AW275" s="109"/>
      <c r="BA275" s="109"/>
      <c r="BE275" s="109"/>
      <c r="BI275" s="109"/>
      <c r="BM275" s="109"/>
    </row>
    <row r="276" spans="1:65" ht="16.5" hidden="1" x14ac:dyDescent="0.25">
      <c r="A276" s="215"/>
      <c r="B276" s="9"/>
      <c r="C276" s="65" t="s">
        <v>60</v>
      </c>
      <c r="D276" s="8"/>
      <c r="E276" s="81">
        <f t="shared" ref="E276:G276" si="521">+E21</f>
        <v>307.17195467302929</v>
      </c>
      <c r="F276" s="66">
        <f t="shared" si="521"/>
        <v>306.8758771701593</v>
      </c>
      <c r="G276" s="66">
        <f t="shared" si="521"/>
        <v>307.70475881767481</v>
      </c>
      <c r="H276" s="135"/>
      <c r="I276" s="104" t="e">
        <f>+((Benelux!E276*Benelux!$E$264)+(Benelux!Q276*Benelux!$Q$264)-('H7H9 BENELUX'!E276*'H7H9 BENELUX'!$E$264))/'H7H9 BENELUX'!$I$264</f>
        <v>#VALUE!</v>
      </c>
      <c r="J276" s="66" t="e">
        <f>+((Benelux!F276*Benelux!$F$264)+(Benelux!R276*Benelux!$R$264)-('H7H9 BENELUX'!F276*'H7H9 BENELUX'!$F$264))/'H7H9 BENELUX'!$J$264</f>
        <v>#VALUE!</v>
      </c>
      <c r="K276" s="66" t="e">
        <f>+((Benelux!G276*Benelux!$G$264)+(Benelux!S276*Benelux!$S$264)-('H7H9 BENELUX'!G276*'H7H9 BENELUX'!$G$264))/'H7H9 BENELUX'!$K$264</f>
        <v>#VALUE!</v>
      </c>
      <c r="L276" s="135"/>
      <c r="M276" s="81" t="e">
        <f>+((Benelux!I276*Benelux!$I$264)+(Benelux!U276*Benelux!$U$264)-(Benelux!I21*Benelux!$I$9)-(Benelux!U21*Benelux!$U$9))/'H7H9 BENELUX'!$M$264</f>
        <v>#VALUE!</v>
      </c>
      <c r="N276" s="66" t="e">
        <f>+((Benelux!J276*Benelux!$J$264)+(Benelux!V276*Benelux!$V$264)-(Benelux!J21*Benelux!$J$9)-(Benelux!V21*Benelux!$V$9))/'H7H9 BENELUX'!$N$264</f>
        <v>#VALUE!</v>
      </c>
      <c r="O276" s="66" t="e">
        <f>+((Benelux!K276*Benelux!$K$264)+(Benelux!W276*Benelux!$W$264)-(Benelux!K21*Benelux!$K$9)-(Benelux!W21*Benelux!$W$9))/'H7H9 BENELUX'!$O$264</f>
        <v>#VALUE!</v>
      </c>
      <c r="P276" s="135"/>
      <c r="Q276" s="81" t="e">
        <f t="shared" ref="Q276:S276" si="522">+Q21</f>
        <v>#VALUE!</v>
      </c>
      <c r="R276" s="66" t="e">
        <f t="shared" si="522"/>
        <v>#VALUE!</v>
      </c>
      <c r="S276" s="66" t="e">
        <f t="shared" si="522"/>
        <v>#VALUE!</v>
      </c>
      <c r="T276" s="135"/>
      <c r="U276" s="85" t="e">
        <f t="shared" si="506"/>
        <v>#VALUE!</v>
      </c>
      <c r="V276" s="60" t="e">
        <f t="shared" si="507"/>
        <v>#VALUE!</v>
      </c>
      <c r="W276" s="60" t="e">
        <f t="shared" si="508"/>
        <v>#VALUE!</v>
      </c>
      <c r="X276" s="135"/>
      <c r="Y276" s="80">
        <f t="shared" ref="Y276:AA276" si="523">+Y72</f>
        <v>4.9470155734861791E-2</v>
      </c>
      <c r="Z276" s="66">
        <f t="shared" si="523"/>
        <v>3.9777709024585467E-2</v>
      </c>
      <c r="AA276" s="66">
        <f t="shared" si="523"/>
        <v>4.1377997388644248E-2</v>
      </c>
      <c r="AB276" s="135"/>
      <c r="AC276" s="80">
        <f t="shared" ref="AC276:AE276" si="524">+AC72</f>
        <v>8.3894018349528074E-2</v>
      </c>
      <c r="AD276" s="66">
        <f t="shared" si="524"/>
        <v>7.3839609805765372E-2</v>
      </c>
      <c r="AE276" s="66">
        <f t="shared" si="524"/>
        <v>6.4389550498410816E-2</v>
      </c>
      <c r="AF276" s="135"/>
      <c r="AG276" s="104">
        <f t="shared" ref="AG276:AI276" si="525">+AG123</f>
        <v>1345</v>
      </c>
      <c r="AH276" s="66">
        <f t="shared" si="525"/>
        <v>1345</v>
      </c>
      <c r="AI276" s="66">
        <f t="shared" si="525"/>
        <v>1345</v>
      </c>
      <c r="AJ276" s="135"/>
      <c r="AK276" s="104" t="e">
        <f t="shared" si="512"/>
        <v>#VALUE!</v>
      </c>
      <c r="AL276" s="66" t="e">
        <f t="shared" si="513"/>
        <v>#VALUE!</v>
      </c>
      <c r="AM276" s="66" t="e">
        <f t="shared" si="514"/>
        <v>#VALUE!</v>
      </c>
      <c r="AN276" s="135"/>
      <c r="AO276" s="84" t="e">
        <f t="shared" si="515"/>
        <v>#VALUE!</v>
      </c>
      <c r="AP276" s="60" t="e">
        <f t="shared" si="516"/>
        <v>#VALUE!</v>
      </c>
      <c r="AQ276" s="60" t="e">
        <f t="shared" si="517"/>
        <v>#VALUE!</v>
      </c>
      <c r="AR276" s="135"/>
      <c r="AS276" s="106" t="e">
        <f t="shared" si="518"/>
        <v>#VALUE!</v>
      </c>
      <c r="AT276" s="68" t="e">
        <f t="shared" si="519"/>
        <v>#VALUE!</v>
      </c>
      <c r="AU276" s="68" t="e">
        <f t="shared" si="520"/>
        <v>#VALUE!</v>
      </c>
      <c r="AW276" s="109"/>
      <c r="BA276" s="109"/>
      <c r="BE276" s="109"/>
      <c r="BI276" s="109"/>
      <c r="BM276" s="109"/>
    </row>
    <row r="277" spans="1:65" ht="16.5" hidden="1" x14ac:dyDescent="0.25">
      <c r="A277" s="215"/>
      <c r="B277" s="9"/>
      <c r="C277" s="65" t="s">
        <v>61</v>
      </c>
      <c r="D277" s="8"/>
      <c r="E277" s="81">
        <f t="shared" ref="E277:G277" si="526">+E22</f>
        <v>307.17195467302929</v>
      </c>
      <c r="F277" s="66">
        <f t="shared" si="526"/>
        <v>306.8758771701593</v>
      </c>
      <c r="G277" s="66">
        <f t="shared" si="526"/>
        <v>307.70475881767481</v>
      </c>
      <c r="H277" s="135"/>
      <c r="I277" s="81" t="e">
        <f>+((Benelux!E277*Benelux!$E$264)+(Benelux!Q277*Benelux!$Q$264)-('H7H9 BENELUX'!E277*'H7H9 BENELUX'!$E$264))/'H7H9 BENELUX'!$I$264</f>
        <v>#VALUE!</v>
      </c>
      <c r="J277" s="66" t="e">
        <f>+((Benelux!F277*Benelux!$F$264)+(Benelux!R277*Benelux!$R$264)-('H7H9 BENELUX'!F277*'H7H9 BENELUX'!$F$264))/'H7H9 BENELUX'!$J$264</f>
        <v>#VALUE!</v>
      </c>
      <c r="K277" s="66" t="e">
        <f>+((Benelux!G277*Benelux!$G$264)+(Benelux!S277*Benelux!$S$264)-('H7H9 BENELUX'!G277*'H7H9 BENELUX'!$G$264))/'H7H9 BENELUX'!$K$264</f>
        <v>#VALUE!</v>
      </c>
      <c r="L277" s="135"/>
      <c r="M277" s="81" t="e">
        <f>+((Benelux!I277*Benelux!$I$264)+(Benelux!U277*Benelux!$U$264)-(Benelux!I22*Benelux!$I$9)-(Benelux!U22*Benelux!$U$9))/'H7H9 BENELUX'!$M$264</f>
        <v>#VALUE!</v>
      </c>
      <c r="N277" s="66" t="e">
        <f>+((Benelux!J277*Benelux!$J$264)+(Benelux!V277*Benelux!$V$264)-(Benelux!J22*Benelux!$J$9)-(Benelux!V22*Benelux!$V$9))/'H7H9 BENELUX'!$N$264</f>
        <v>#VALUE!</v>
      </c>
      <c r="O277" s="66" t="e">
        <f>+((Benelux!K277*Benelux!$K$264)+(Benelux!W277*Benelux!$W$264)-(Benelux!K22*Benelux!$K$9)-(Benelux!W22*Benelux!$W$9))/'H7H9 BENELUX'!$O$264</f>
        <v>#VALUE!</v>
      </c>
      <c r="P277" s="135"/>
      <c r="Q277" s="81" t="e">
        <f t="shared" ref="Q277:S277" si="527">+Q22</f>
        <v>#VALUE!</v>
      </c>
      <c r="R277" s="66" t="e">
        <f t="shared" si="527"/>
        <v>#VALUE!</v>
      </c>
      <c r="S277" s="66" t="e">
        <f t="shared" si="527"/>
        <v>#VALUE!</v>
      </c>
      <c r="T277" s="135"/>
      <c r="U277" s="85" t="e">
        <f t="shared" si="506"/>
        <v>#VALUE!</v>
      </c>
      <c r="V277" s="60" t="e">
        <f t="shared" si="507"/>
        <v>#VALUE!</v>
      </c>
      <c r="W277" s="60" t="e">
        <f t="shared" si="508"/>
        <v>#VALUE!</v>
      </c>
      <c r="X277" s="135"/>
      <c r="Y277" s="104">
        <f t="shared" ref="Y277:AA277" si="528">+Y73</f>
        <v>6.411574384812907E-2</v>
      </c>
      <c r="Z277" s="66">
        <f t="shared" si="528"/>
        <v>6.2416403707234072E-2</v>
      </c>
      <c r="AA277" s="66">
        <f t="shared" si="528"/>
        <v>6.3115084211247369E-2</v>
      </c>
      <c r="AB277" s="135"/>
      <c r="AC277" s="80">
        <f t="shared" ref="AC277:AE277" si="529">+AC73</f>
        <v>0.11262674106325553</v>
      </c>
      <c r="AD277" s="66">
        <f t="shared" si="529"/>
        <v>0.10444820250315992</v>
      </c>
      <c r="AE277" s="66">
        <f t="shared" si="529"/>
        <v>0.10487933865579706</v>
      </c>
      <c r="AF277" s="135"/>
      <c r="AG277" s="81">
        <f t="shared" ref="AG277:AI277" si="530">+AG124</f>
        <v>1345</v>
      </c>
      <c r="AH277" s="66">
        <f t="shared" si="530"/>
        <v>1345</v>
      </c>
      <c r="AI277" s="66">
        <f t="shared" si="530"/>
        <v>1345</v>
      </c>
      <c r="AJ277" s="135"/>
      <c r="AK277" s="81" t="e">
        <f t="shared" si="512"/>
        <v>#VALUE!</v>
      </c>
      <c r="AL277" s="66" t="e">
        <f t="shared" si="513"/>
        <v>#VALUE!</v>
      </c>
      <c r="AM277" s="66" t="e">
        <f t="shared" si="514"/>
        <v>#VALUE!</v>
      </c>
      <c r="AN277" s="135"/>
      <c r="AO277" s="85" t="e">
        <f t="shared" si="515"/>
        <v>#VALUE!</v>
      </c>
      <c r="AP277" s="60" t="e">
        <f t="shared" si="516"/>
        <v>#VALUE!</v>
      </c>
      <c r="AQ277" s="60" t="e">
        <f t="shared" si="517"/>
        <v>#VALUE!</v>
      </c>
      <c r="AR277" s="135"/>
      <c r="AS277" s="93" t="e">
        <f t="shared" si="518"/>
        <v>#VALUE!</v>
      </c>
      <c r="AT277" s="68" t="e">
        <f t="shared" si="519"/>
        <v>#VALUE!</v>
      </c>
      <c r="AU277" s="68" t="e">
        <f t="shared" si="520"/>
        <v>#VALUE!</v>
      </c>
      <c r="AW277" s="109"/>
      <c r="BA277" s="109"/>
      <c r="BE277" s="109"/>
      <c r="BI277" s="109"/>
      <c r="BM277" s="109"/>
    </row>
    <row r="278" spans="1:65" ht="16.5" hidden="1" x14ac:dyDescent="0.25">
      <c r="A278" s="215"/>
      <c r="B278" s="9"/>
      <c r="C278" s="151" t="s">
        <v>34</v>
      </c>
      <c r="D278" s="6"/>
      <c r="E278" s="174">
        <f t="shared" ref="E278:G278" si="531">+E23</f>
        <v>321.37</v>
      </c>
      <c r="F278" s="175">
        <f t="shared" si="531"/>
        <v>321.37</v>
      </c>
      <c r="G278" s="175">
        <f t="shared" si="531"/>
        <v>321.37</v>
      </c>
      <c r="H278" s="117"/>
      <c r="I278" s="174" t="e">
        <f t="shared" ref="I278" si="532">+I74+I125+I176+I261</f>
        <v>#VALUE!</v>
      </c>
      <c r="J278" s="175" t="e">
        <f t="shared" ref="J278:K278" si="533">+J74+J125+J176+J261</f>
        <v>#VALUE!</v>
      </c>
      <c r="K278" s="175" t="e">
        <f t="shared" si="533"/>
        <v>#VALUE!</v>
      </c>
      <c r="L278" s="117"/>
      <c r="M278" s="176" t="e">
        <f t="shared" ref="M278:O278" si="534">+M74+M125+M176+M261</f>
        <v>#VALUE!</v>
      </c>
      <c r="N278" s="175" t="e">
        <f t="shared" si="534"/>
        <v>#VALUE!</v>
      </c>
      <c r="O278" s="175" t="e">
        <f t="shared" si="534"/>
        <v>#VALUE!</v>
      </c>
      <c r="P278" s="117"/>
      <c r="Q278" s="176" t="e">
        <f t="shared" ref="Q278:S278" si="535">+Q23</f>
        <v>#VALUE!</v>
      </c>
      <c r="R278" s="175" t="e">
        <f t="shared" si="535"/>
        <v>#VALUE!</v>
      </c>
      <c r="S278" s="175" t="e">
        <f t="shared" si="535"/>
        <v>#VALUE!</v>
      </c>
      <c r="T278" s="117"/>
      <c r="U278" s="122" t="e">
        <f t="shared" ref="U278:W278" si="536">+E278+I278+M278+Q278</f>
        <v>#VALUE!</v>
      </c>
      <c r="V278" s="165" t="e">
        <f t="shared" si="536"/>
        <v>#VALUE!</v>
      </c>
      <c r="W278" s="123" t="e">
        <f t="shared" si="536"/>
        <v>#VALUE!</v>
      </c>
      <c r="X278" s="117"/>
      <c r="Y278" s="174">
        <f t="shared" ref="Y278:AA278" si="537">+Y74</f>
        <v>6.0156541399999934</v>
      </c>
      <c r="Z278" s="175">
        <f t="shared" si="537"/>
        <v>3.8280322499999908</v>
      </c>
      <c r="AA278" s="175">
        <f t="shared" si="537"/>
        <v>4.3351210959005773</v>
      </c>
      <c r="AB278" s="117"/>
      <c r="AC278" s="176">
        <f t="shared" ref="AC278:AE278" si="538">+AC74</f>
        <v>1.0829935699999935</v>
      </c>
      <c r="AD278" s="175">
        <f t="shared" si="538"/>
        <v>-0.63251414000000228</v>
      </c>
      <c r="AE278" s="175">
        <f t="shared" si="538"/>
        <v>1.3588259773164886</v>
      </c>
      <c r="AF278" s="117"/>
      <c r="AG278" s="174">
        <f t="shared" ref="AG278:AI278" si="539">+AG125</f>
        <v>1345</v>
      </c>
      <c r="AH278" s="175">
        <f t="shared" si="539"/>
        <v>1345</v>
      </c>
      <c r="AI278" s="175">
        <f t="shared" si="539"/>
        <v>1345</v>
      </c>
      <c r="AJ278" s="117"/>
      <c r="AK278" s="174" t="e">
        <f t="shared" ref="AK278:AM278" si="540">+AK176+AK261</f>
        <v>#VALUE!</v>
      </c>
      <c r="AL278" s="175" t="e">
        <f t="shared" si="540"/>
        <v>#VALUE!</v>
      </c>
      <c r="AM278" s="175" t="e">
        <f t="shared" si="540"/>
        <v>#VALUE!</v>
      </c>
      <c r="AN278" s="117"/>
      <c r="AO278" s="122" t="e">
        <f t="shared" ref="AO278:AQ278" si="541">+Y278+AC278+AG278+AK278</f>
        <v>#VALUE!</v>
      </c>
      <c r="AP278" s="123" t="e">
        <f t="shared" si="541"/>
        <v>#VALUE!</v>
      </c>
      <c r="AQ278" s="123" t="e">
        <f t="shared" si="541"/>
        <v>#VALUE!</v>
      </c>
      <c r="AR278" s="117"/>
      <c r="AS278" s="166" t="e">
        <f t="shared" ref="AS278:AU278" si="542">+U278+AO278</f>
        <v>#VALUE!</v>
      </c>
      <c r="AT278" s="167" t="e">
        <f t="shared" si="542"/>
        <v>#VALUE!</v>
      </c>
      <c r="AU278" s="160" t="e">
        <f t="shared" si="542"/>
        <v>#VALUE!</v>
      </c>
      <c r="AW278" s="108"/>
      <c r="BA278" s="108"/>
      <c r="BE278" s="108"/>
      <c r="BI278" s="108"/>
      <c r="BM278" s="108"/>
    </row>
    <row r="279" spans="1:65" hidden="1" x14ac:dyDescent="0.35"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</row>
    <row r="280" spans="1:65" ht="16.5" hidden="1" customHeight="1" x14ac:dyDescent="0.25">
      <c r="A280" s="213" t="s">
        <v>48</v>
      </c>
      <c r="B280" s="9"/>
      <c r="C280" s="136" t="s">
        <v>19</v>
      </c>
      <c r="D280" s="6"/>
      <c r="E280" s="137"/>
      <c r="F280" s="138"/>
      <c r="G280" s="138"/>
      <c r="H280" s="117"/>
      <c r="I280" s="141">
        <f>+Benelux!E280+Benelux!Q280</f>
        <v>0.78497925999999996</v>
      </c>
      <c r="J280" s="138">
        <f>+Benelux!F280+Benelux!R280</f>
        <v>0</v>
      </c>
      <c r="K280" s="138">
        <f>+Benelux!G280+Benelux!S280</f>
        <v>0.43636000000000003</v>
      </c>
      <c r="L280" s="117"/>
      <c r="M280" s="141">
        <f>+Benelux!I280+Benelux!U280</f>
        <v>123</v>
      </c>
      <c r="N280" s="138">
        <f>+Benelux!J280+Benelux!V280</f>
        <v>126</v>
      </c>
      <c r="O280" s="138">
        <f>+Benelux!K280+Benelux!W280</f>
        <v>1222.13463</v>
      </c>
      <c r="P280" s="117"/>
      <c r="Q280" s="137"/>
      <c r="R280" s="138"/>
      <c r="S280" s="138"/>
      <c r="T280" s="117"/>
      <c r="U280" s="150">
        <f>+I280+M280</f>
        <v>123.78497926</v>
      </c>
      <c r="V280" s="140">
        <f t="shared" ref="V280:V281" si="543">+J280+N280</f>
        <v>126</v>
      </c>
      <c r="W280" s="140">
        <f t="shared" ref="W280:W281" si="544">+K280+O280</f>
        <v>1222.5709899999999</v>
      </c>
      <c r="X280" s="117"/>
      <c r="Y280" s="137"/>
      <c r="Z280" s="138"/>
      <c r="AA280" s="138"/>
      <c r="AB280" s="117"/>
      <c r="AC280" s="137"/>
      <c r="AD280" s="138"/>
      <c r="AE280" s="138"/>
      <c r="AF280" s="117"/>
      <c r="AG280" s="137"/>
      <c r="AH280" s="138"/>
      <c r="AI280" s="138"/>
      <c r="AJ280" s="117"/>
      <c r="AK280" s="137">
        <f>+Benelux!M280+Benelux!Y280</f>
        <v>0</v>
      </c>
      <c r="AL280" s="138">
        <f>+Benelux!N280+Benelux!Z280</f>
        <v>0</v>
      </c>
      <c r="AM280" s="138">
        <f>+Benelux!O280+Benelux!AA280</f>
        <v>0</v>
      </c>
      <c r="AN280" s="117"/>
      <c r="AO280" s="139">
        <f>+AK280</f>
        <v>0</v>
      </c>
      <c r="AP280" s="140">
        <f t="shared" ref="AP280:AP295" si="545">+AL280</f>
        <v>0</v>
      </c>
      <c r="AQ280" s="140">
        <f t="shared" ref="AQ280:AQ295" si="546">+AM280</f>
        <v>0</v>
      </c>
      <c r="AR280" s="117"/>
      <c r="AS280" s="173">
        <f>+U280+AO280</f>
        <v>123.78497926</v>
      </c>
      <c r="AT280" s="169">
        <f t="shared" ref="AT280:AT281" si="547">+V280+AP280</f>
        <v>126</v>
      </c>
      <c r="AU280" s="169">
        <f t="shared" ref="AU280:AU281" si="548">+W280+AQ280</f>
        <v>1222.5709899999999</v>
      </c>
      <c r="AW280" s="108"/>
      <c r="BA280" s="108"/>
      <c r="BE280" s="108"/>
      <c r="BI280" s="108"/>
      <c r="BM280" s="108"/>
    </row>
    <row r="281" spans="1:65" ht="16.5" hidden="1" customHeight="1" x14ac:dyDescent="0.25">
      <c r="A281" s="213"/>
      <c r="B281" s="9"/>
      <c r="C281" s="136" t="s">
        <v>55</v>
      </c>
      <c r="D281" s="6"/>
      <c r="E281" s="137"/>
      <c r="F281" s="138"/>
      <c r="G281" s="138"/>
      <c r="H281" s="117"/>
      <c r="I281" s="137">
        <f>+Benelux!E281+Benelux!Q281</f>
        <v>0.78497925999999996</v>
      </c>
      <c r="J281" s="138">
        <f>+Benelux!F281+Benelux!R281</f>
        <v>0</v>
      </c>
      <c r="K281" s="138">
        <f>+Benelux!G281+Benelux!S281</f>
        <v>0.43636000000000003</v>
      </c>
      <c r="L281" s="117"/>
      <c r="M281" s="141">
        <f>+Benelux!I281+Benelux!U281</f>
        <v>123</v>
      </c>
      <c r="N281" s="138">
        <f>+Benelux!J281+Benelux!V281</f>
        <v>126</v>
      </c>
      <c r="O281" s="138">
        <f>+Benelux!K281+Benelux!W281</f>
        <v>1222.13463</v>
      </c>
      <c r="P281" s="117"/>
      <c r="Q281" s="137"/>
      <c r="R281" s="138"/>
      <c r="S281" s="138"/>
      <c r="T281" s="117"/>
      <c r="U281" s="150">
        <f t="shared" ref="U281" si="549">+I281+M281</f>
        <v>123.78497926</v>
      </c>
      <c r="V281" s="140">
        <f t="shared" si="543"/>
        <v>126</v>
      </c>
      <c r="W281" s="140">
        <f t="shared" si="544"/>
        <v>1222.5709899999999</v>
      </c>
      <c r="X281" s="117"/>
      <c r="Y281" s="137"/>
      <c r="Z281" s="138"/>
      <c r="AA281" s="138"/>
      <c r="AB281" s="117"/>
      <c r="AC281" s="137"/>
      <c r="AD281" s="138"/>
      <c r="AE281" s="138"/>
      <c r="AF281" s="117"/>
      <c r="AG281" s="137"/>
      <c r="AH281" s="138"/>
      <c r="AI281" s="138"/>
      <c r="AJ281" s="117"/>
      <c r="AK281" s="137">
        <f>+Benelux!M281+Benelux!Y281</f>
        <v>0</v>
      </c>
      <c r="AL281" s="138">
        <f>+Benelux!N281+Benelux!Z281</f>
        <v>0</v>
      </c>
      <c r="AM281" s="138">
        <f>+Benelux!O281+Benelux!AA281</f>
        <v>0</v>
      </c>
      <c r="AN281" s="117"/>
      <c r="AO281" s="139">
        <f t="shared" ref="AO281:AO295" si="550">+AK281</f>
        <v>0</v>
      </c>
      <c r="AP281" s="140">
        <f t="shared" si="545"/>
        <v>0</v>
      </c>
      <c r="AQ281" s="140">
        <f t="shared" si="546"/>
        <v>0</v>
      </c>
      <c r="AR281" s="117"/>
      <c r="AS281" s="173">
        <f t="shared" ref="AS281" si="551">+U281+AO281</f>
        <v>123.78497926</v>
      </c>
      <c r="AT281" s="169">
        <f t="shared" si="547"/>
        <v>126</v>
      </c>
      <c r="AU281" s="169">
        <f t="shared" si="548"/>
        <v>1222.5709899999999</v>
      </c>
      <c r="AW281" s="108"/>
      <c r="BA281" s="108"/>
      <c r="BE281" s="108"/>
      <c r="BI281" s="108"/>
      <c r="BM281" s="108"/>
    </row>
    <row r="282" spans="1:65" ht="16.5" hidden="1" customHeight="1" x14ac:dyDescent="0.25">
      <c r="A282" s="213"/>
      <c r="B282" s="9"/>
      <c r="C282" s="136" t="s">
        <v>21</v>
      </c>
      <c r="D282" s="6"/>
      <c r="E282" s="142"/>
      <c r="F282" s="143"/>
      <c r="G282" s="143"/>
      <c r="H282" s="117"/>
      <c r="I282" s="148">
        <f>+I283+I288+I289+I290+I291</f>
        <v>7.8497925999999989</v>
      </c>
      <c r="J282" s="143">
        <f>+J283+J288+J289+J290+J291</f>
        <v>0</v>
      </c>
      <c r="K282" s="143">
        <f>+K283+K288+K289+K290+K291</f>
        <v>4.3635999999999999</v>
      </c>
      <c r="L282" s="117"/>
      <c r="M282" s="146">
        <f>+M283+M288+M289+M290+M291</f>
        <v>1230</v>
      </c>
      <c r="N282" s="143">
        <f>+N283+N288+N289+N290+N291</f>
        <v>1201.4285714285713</v>
      </c>
      <c r="O282" s="143">
        <f>+O283+O288+O289+O290+O291</f>
        <v>12218.653996616045</v>
      </c>
      <c r="P282" s="117"/>
      <c r="Q282" s="142"/>
      <c r="R282" s="143"/>
      <c r="S282" s="143"/>
      <c r="T282" s="117"/>
      <c r="U282" s="147">
        <f>+U283+U288+U289+U290+U291</f>
        <v>1222.2497659154701</v>
      </c>
      <c r="V282" s="145">
        <f>+V283+V288+V289+V290+V291</f>
        <v>1201.4285714285713</v>
      </c>
      <c r="W282" s="145">
        <f>+W283+W288+W289+W290+W291</f>
        <v>12214.294472464841</v>
      </c>
      <c r="X282" s="117"/>
      <c r="Y282" s="142"/>
      <c r="Z282" s="143"/>
      <c r="AA282" s="143"/>
      <c r="AB282" s="117"/>
      <c r="AC282" s="142"/>
      <c r="AD282" s="143"/>
      <c r="AE282" s="143"/>
      <c r="AF282" s="117"/>
      <c r="AG282" s="142"/>
      <c r="AH282" s="143"/>
      <c r="AI282" s="143"/>
      <c r="AJ282" s="117"/>
      <c r="AK282" s="142">
        <f>+AK283+AK288+AK289+AK290+AK291</f>
        <v>0</v>
      </c>
      <c r="AL282" s="143">
        <f>+AL283+AL288+AL289+AL290+AL291</f>
        <v>0</v>
      </c>
      <c r="AM282" s="143">
        <f>+AM283+AM288+AM289+AM290+AM291</f>
        <v>0</v>
      </c>
      <c r="AN282" s="117"/>
      <c r="AO282" s="144">
        <f t="shared" si="550"/>
        <v>0</v>
      </c>
      <c r="AP282" s="145">
        <f t="shared" si="545"/>
        <v>0</v>
      </c>
      <c r="AQ282" s="145">
        <f t="shared" si="546"/>
        <v>0</v>
      </c>
      <c r="AR282" s="117"/>
      <c r="AS282" s="170">
        <f>+AS283+AS288+AS289+AS290+AS291</f>
        <v>1222.2497659154701</v>
      </c>
      <c r="AT282" s="171">
        <f>+AT283+AT288+AT289+AT290+AT291</f>
        <v>1201.4285714285713</v>
      </c>
      <c r="AU282" s="171">
        <f>+AU283+AU288+AU289+AU290+AU291</f>
        <v>12214.294472464841</v>
      </c>
      <c r="AW282" s="109"/>
      <c r="BA282" s="109"/>
      <c r="BE282" s="109"/>
      <c r="BI282" s="109"/>
      <c r="BM282" s="109"/>
    </row>
    <row r="283" spans="1:65" ht="16.5" hidden="1" customHeight="1" x14ac:dyDescent="0.25">
      <c r="A283" s="213"/>
      <c r="B283" s="9"/>
      <c r="C283" s="136" t="s">
        <v>56</v>
      </c>
      <c r="D283" s="6"/>
      <c r="E283" s="142"/>
      <c r="F283" s="143"/>
      <c r="G283" s="143"/>
      <c r="H283" s="117"/>
      <c r="I283" s="146">
        <f>+I284+I285+I286+I287</f>
        <v>3.1399170399999998</v>
      </c>
      <c r="J283" s="143">
        <f>+J284+J285+J286+J287</f>
        <v>0</v>
      </c>
      <c r="K283" s="143">
        <f>+K284+K285+K286+K287</f>
        <v>1.7454400000000001</v>
      </c>
      <c r="L283" s="117"/>
      <c r="M283" s="148">
        <f>+M284+M285+M286+M287</f>
        <v>492</v>
      </c>
      <c r="N283" s="143">
        <f>+N284+N285+N286+N287</f>
        <v>480.57142857142856</v>
      </c>
      <c r="O283" s="143">
        <f>+O284+O285+O286+O287</f>
        <v>4887.4615986464178</v>
      </c>
      <c r="P283" s="117"/>
      <c r="Q283" s="142"/>
      <c r="R283" s="143"/>
      <c r="S283" s="143"/>
      <c r="T283" s="117"/>
      <c r="U283" s="149">
        <f>+U284+U285+U286+U287</f>
        <v>488.89990636618796</v>
      </c>
      <c r="V283" s="145">
        <f>+V284+V285+V286+V287</f>
        <v>480.57142857142856</v>
      </c>
      <c r="W283" s="145">
        <f>+W284+W285+W286+W287</f>
        <v>4885.7177889859367</v>
      </c>
      <c r="X283" s="117"/>
      <c r="Y283" s="142"/>
      <c r="Z283" s="143"/>
      <c r="AA283" s="143"/>
      <c r="AB283" s="117"/>
      <c r="AC283" s="142"/>
      <c r="AD283" s="143"/>
      <c r="AE283" s="143"/>
      <c r="AF283" s="117"/>
      <c r="AG283" s="142"/>
      <c r="AH283" s="143"/>
      <c r="AI283" s="143"/>
      <c r="AJ283" s="117"/>
      <c r="AK283" s="142">
        <f>+AK284+AK285+AK286+AK287</f>
        <v>0</v>
      </c>
      <c r="AL283" s="143">
        <f>+AL284+AL285+AL286+AL287</f>
        <v>0</v>
      </c>
      <c r="AM283" s="143">
        <f>+AM284+AM285+AM286+AM287</f>
        <v>0</v>
      </c>
      <c r="AN283" s="117"/>
      <c r="AO283" s="144">
        <f t="shared" si="550"/>
        <v>0</v>
      </c>
      <c r="AP283" s="145">
        <f t="shared" si="545"/>
        <v>0</v>
      </c>
      <c r="AQ283" s="145">
        <f t="shared" si="546"/>
        <v>0</v>
      </c>
      <c r="AR283" s="117"/>
      <c r="AS283" s="172">
        <f>+AS284+AS285+AS286+AS287</f>
        <v>488.89990636618796</v>
      </c>
      <c r="AT283" s="171">
        <f>+AT284+AT285+AT286+AT287</f>
        <v>480.57142857142856</v>
      </c>
      <c r="AU283" s="171">
        <f>+AU284+AU285+AU286+AU287</f>
        <v>4885.7177889859367</v>
      </c>
      <c r="AW283" s="109"/>
      <c r="BA283" s="109"/>
      <c r="BE283" s="109"/>
      <c r="BI283" s="109"/>
      <c r="BM283" s="109"/>
    </row>
    <row r="284" spans="1:65" ht="16.5" hidden="1" customHeight="1" x14ac:dyDescent="0.25">
      <c r="A284" s="213"/>
      <c r="B284" s="9"/>
      <c r="C284" s="48" t="s">
        <v>23</v>
      </c>
      <c r="D284" s="6"/>
      <c r="E284" s="105"/>
      <c r="F284" s="51"/>
      <c r="G284" s="51"/>
      <c r="H284" s="117"/>
      <c r="I284" s="105">
        <f>+IFERROR(((Benelux!E284*Benelux!$E$281)+(Benelux!Q284*Benelux!$Q$281))/'H7H9 BENELUX'!$I$281,0)</f>
        <v>0.78497925999999996</v>
      </c>
      <c r="J284" s="51">
        <f>+IFERROR(((Benelux!F284*Benelux!$F$281)+(Benelux!R284*Benelux!$R$281))/'H7H9 BENELUX'!$J$281,0)</f>
        <v>0</v>
      </c>
      <c r="K284" s="51">
        <f>+((Benelux!G284*Benelux!$G$281)+(Benelux!S284*Benelux!$S$281))/'H7H9 BENELUX'!$K$281</f>
        <v>0.43636000000000003</v>
      </c>
      <c r="L284" s="117"/>
      <c r="M284" s="77">
        <f>+((Benelux!I284*Benelux!$I$281)+(Benelux!U284*Benelux!$U$281))/'H7H9 BENELUX'!$M$281</f>
        <v>123</v>
      </c>
      <c r="N284" s="51">
        <f>+((Benelux!J284*Benelux!$J$281)+(Benelux!V284*Benelux!$V$281))/'H7H9 BENELUX'!$N$281</f>
        <v>120.14285714285714</v>
      </c>
      <c r="O284" s="51">
        <f>+((Benelux!K284*Benelux!$K$281)+(Benelux!W284*Benelux!$W$281))/'H7H9 BENELUX'!$O$281</f>
        <v>1221.8653996616044</v>
      </c>
      <c r="P284" s="117"/>
      <c r="Q284" s="105"/>
      <c r="R284" s="51"/>
      <c r="S284" s="51"/>
      <c r="T284" s="117"/>
      <c r="U284" s="90">
        <f t="shared" ref="U284:U290" si="552">+((I284*$I$281)+(M284*$M$281))/$U$281</f>
        <v>122.22497659154699</v>
      </c>
      <c r="V284" s="62">
        <f t="shared" ref="V284:V290" si="553">+((J284*$J$281)+(N284*$N$281))/$V$281</f>
        <v>120.14285714285714</v>
      </c>
      <c r="W284" s="62">
        <f t="shared" ref="W284:W290" si="554">+((K284*$K$281)+(O284*$O$281))/$W$281</f>
        <v>1221.4294472464842</v>
      </c>
      <c r="X284" s="117"/>
      <c r="Y284" s="105"/>
      <c r="Z284" s="51"/>
      <c r="AA284" s="51"/>
      <c r="AB284" s="117"/>
      <c r="AC284" s="105"/>
      <c r="AD284" s="51"/>
      <c r="AE284" s="51"/>
      <c r="AF284" s="117"/>
      <c r="AG284" s="105"/>
      <c r="AH284" s="51"/>
      <c r="AI284" s="51"/>
      <c r="AJ284" s="117"/>
      <c r="AK284" s="105">
        <f>IFERROR(+((Benelux!M284*Benelux!$M$281)+(Benelux!Y284*Benelux!$Y$281))/'H7H9 BENELUX'!$AK$281,0)</f>
        <v>0</v>
      </c>
      <c r="AL284" s="51">
        <f>IFERROR(+((Benelux!N284*Benelux!$N$281)+(Benelux!Z284*Benelux!$Z$281))/'H7H9 BENELUX'!$AL$281,0)</f>
        <v>0</v>
      </c>
      <c r="AM284" s="51">
        <f>IFERROR(+((Benelux!O284*Benelux!$O$281)+(Benelux!AA284*Benelux!$AA$281))/'H7H9 BENELUX'!$AM$281,0)</f>
        <v>0</v>
      </c>
      <c r="AN284" s="117"/>
      <c r="AO284" s="103">
        <f t="shared" si="550"/>
        <v>0</v>
      </c>
      <c r="AP284" s="62">
        <f t="shared" si="545"/>
        <v>0</v>
      </c>
      <c r="AQ284" s="62">
        <f t="shared" si="546"/>
        <v>0</v>
      </c>
      <c r="AR284" s="117"/>
      <c r="AS284" s="95">
        <f>+((U284*$U$281)+(AO284*$AO$281))/$AS$281</f>
        <v>122.22497659154699</v>
      </c>
      <c r="AT284" s="69">
        <f>+((V284*$V$281)+(AP284*$AP$281))/$AT$281</f>
        <v>120.14285714285714</v>
      </c>
      <c r="AU284" s="69">
        <f>+((W284*$W$281)+(AQ284*$AQ$281))/$AU$281</f>
        <v>1221.4294472464842</v>
      </c>
      <c r="AW284" s="109"/>
      <c r="BA284" s="109"/>
      <c r="BE284" s="109"/>
      <c r="BI284" s="109"/>
      <c r="BM284" s="109"/>
    </row>
    <row r="285" spans="1:65" ht="16.5" hidden="1" customHeight="1" x14ac:dyDescent="0.25">
      <c r="A285" s="213"/>
      <c r="B285" s="9"/>
      <c r="C285" s="48" t="s">
        <v>24</v>
      </c>
      <c r="D285" s="7"/>
      <c r="E285" s="105"/>
      <c r="F285" s="51"/>
      <c r="G285" s="51"/>
      <c r="H285" s="134"/>
      <c r="I285" s="105">
        <f>+IFERROR(((Benelux!E285*Benelux!$E$281)+(Benelux!Q285*Benelux!$Q$281))/'H7H9 BENELUX'!$I$281,0)</f>
        <v>0.78497925999999996</v>
      </c>
      <c r="J285" s="51">
        <f>+IFERROR(((Benelux!F285*Benelux!$F$281)+(Benelux!R285*Benelux!$R$281))/'H7H9 BENELUX'!$J$281,0)</f>
        <v>0</v>
      </c>
      <c r="K285" s="51">
        <f>+((Benelux!G285*Benelux!$G$281)+(Benelux!S285*Benelux!$S$281))/'H7H9 BENELUX'!$K$281</f>
        <v>0.43636000000000003</v>
      </c>
      <c r="L285" s="134"/>
      <c r="M285" s="105">
        <f>+((Benelux!I285*Benelux!$I$281)+(Benelux!U285*Benelux!$U$281))/'H7H9 BENELUX'!$M$281</f>
        <v>123</v>
      </c>
      <c r="N285" s="51">
        <f>+((Benelux!J285*Benelux!$J$281)+(Benelux!V285*Benelux!$V$281))/'H7H9 BENELUX'!$N$281</f>
        <v>120.14285714285714</v>
      </c>
      <c r="O285" s="51">
        <f>+((Benelux!K285*Benelux!$K$281)+(Benelux!W285*Benelux!$W$281))/'H7H9 BENELUX'!$O$281</f>
        <v>1221.8653996616044</v>
      </c>
      <c r="P285" s="134"/>
      <c r="Q285" s="105"/>
      <c r="R285" s="51"/>
      <c r="S285" s="51"/>
      <c r="T285" s="134"/>
      <c r="U285" s="103">
        <f t="shared" si="552"/>
        <v>122.22497659154699</v>
      </c>
      <c r="V285" s="62">
        <f t="shared" si="553"/>
        <v>120.14285714285714</v>
      </c>
      <c r="W285" s="62">
        <f t="shared" si="554"/>
        <v>1221.4294472464842</v>
      </c>
      <c r="X285" s="134"/>
      <c r="Y285" s="105"/>
      <c r="Z285" s="51"/>
      <c r="AA285" s="51"/>
      <c r="AB285" s="134"/>
      <c r="AC285" s="105"/>
      <c r="AD285" s="51"/>
      <c r="AE285" s="51"/>
      <c r="AF285" s="134"/>
      <c r="AG285" s="105"/>
      <c r="AH285" s="51"/>
      <c r="AI285" s="51"/>
      <c r="AJ285" s="134"/>
      <c r="AK285" s="105">
        <f>IFERROR(+((Benelux!M285*Benelux!$M$281)+(Benelux!Y285*Benelux!$Y$281))/'H7H9 BENELUX'!$AK$281,0)</f>
        <v>0</v>
      </c>
      <c r="AL285" s="51">
        <f>IFERROR(+((Benelux!N285*Benelux!$N$281)+(Benelux!Z285*Benelux!$Z$281))/'H7H9 BENELUX'!$AL$281,0)</f>
        <v>0</v>
      </c>
      <c r="AM285" s="51">
        <f>IFERROR(+((Benelux!O285*Benelux!$O$281)+(Benelux!AA285*Benelux!$AA$281))/'H7H9 BENELUX'!$AM$281,0)</f>
        <v>0</v>
      </c>
      <c r="AN285" s="134"/>
      <c r="AO285" s="103">
        <f t="shared" si="550"/>
        <v>0</v>
      </c>
      <c r="AP285" s="62">
        <f t="shared" si="545"/>
        <v>0</v>
      </c>
      <c r="AQ285" s="62">
        <f t="shared" si="546"/>
        <v>0</v>
      </c>
      <c r="AR285" s="134"/>
      <c r="AS285" s="107">
        <f t="shared" ref="AS285:AS290" si="555">+((U285*$U$281)+(AO285*$AO$281))/$AS$281</f>
        <v>122.22497659154699</v>
      </c>
      <c r="AT285" s="69">
        <f t="shared" ref="AT285:AT290" si="556">+((V285*$V$281)+(AP285*$AP$281))/$AT$281</f>
        <v>120.14285714285714</v>
      </c>
      <c r="AU285" s="69">
        <f t="shared" ref="AU285:AU290" si="557">+((W285*$W$281)+(AQ285*$AQ$281))/$AU$281</f>
        <v>1221.4294472464842</v>
      </c>
      <c r="AW285" s="109"/>
      <c r="BA285" s="109"/>
      <c r="BE285" s="109"/>
      <c r="BI285" s="109"/>
      <c r="BM285" s="109"/>
    </row>
    <row r="286" spans="1:65" ht="16.5" hidden="1" customHeight="1" x14ac:dyDescent="0.25">
      <c r="A286" s="213"/>
      <c r="B286" s="9"/>
      <c r="C286" s="48" t="s">
        <v>25</v>
      </c>
      <c r="D286" s="7"/>
      <c r="E286" s="105"/>
      <c r="F286" s="51"/>
      <c r="G286" s="51"/>
      <c r="H286" s="134"/>
      <c r="I286" s="78">
        <f>+IFERROR(((Benelux!E286*Benelux!$E$281)+(Benelux!Q286*Benelux!$Q$281))/'H7H9 BENELUX'!$I$281,0)</f>
        <v>0.78497925999999996</v>
      </c>
      <c r="J286" s="51">
        <f>+IFERROR(((Benelux!F286*Benelux!$F$281)+(Benelux!R286*Benelux!$R$281))/'H7H9 BENELUX'!$J$281,0)</f>
        <v>0</v>
      </c>
      <c r="K286" s="51">
        <f>+((Benelux!G286*Benelux!$G$281)+(Benelux!S286*Benelux!$S$281))/'H7H9 BENELUX'!$K$281</f>
        <v>0.43636000000000003</v>
      </c>
      <c r="L286" s="134"/>
      <c r="M286" s="78">
        <f>+((Benelux!I286*Benelux!$I$281)+(Benelux!U286*Benelux!$U$281))/'H7H9 BENELUX'!$M$281</f>
        <v>123</v>
      </c>
      <c r="N286" s="51">
        <f>+((Benelux!J286*Benelux!$J$281)+(Benelux!V286*Benelux!$V$281))/'H7H9 BENELUX'!$N$281</f>
        <v>120.14285714285714</v>
      </c>
      <c r="O286" s="51">
        <f>+((Benelux!K286*Benelux!$K$281)+(Benelux!W286*Benelux!$W$281))/'H7H9 BENELUX'!$O$281</f>
        <v>1221.8653996616044</v>
      </c>
      <c r="P286" s="134"/>
      <c r="Q286" s="105"/>
      <c r="R286" s="51"/>
      <c r="S286" s="51"/>
      <c r="T286" s="134"/>
      <c r="U286" s="89">
        <f t="shared" si="552"/>
        <v>122.22497659154699</v>
      </c>
      <c r="V286" s="62">
        <f t="shared" si="553"/>
        <v>120.14285714285714</v>
      </c>
      <c r="W286" s="62">
        <f t="shared" si="554"/>
        <v>1221.4294472464842</v>
      </c>
      <c r="X286" s="134"/>
      <c r="Y286" s="105"/>
      <c r="Z286" s="51"/>
      <c r="AA286" s="51"/>
      <c r="AB286" s="134"/>
      <c r="AC286" s="105"/>
      <c r="AD286" s="51"/>
      <c r="AE286" s="51"/>
      <c r="AF286" s="134"/>
      <c r="AG286" s="105"/>
      <c r="AH286" s="51"/>
      <c r="AI286" s="51"/>
      <c r="AJ286" s="134"/>
      <c r="AK286" s="105">
        <f>IFERROR(+((Benelux!M286*Benelux!$M$281)+(Benelux!Y286*Benelux!$Y$281))/'H7H9 BENELUX'!$AK$281,0)</f>
        <v>0</v>
      </c>
      <c r="AL286" s="51">
        <f>IFERROR(+((Benelux!N286*Benelux!$N$281)+(Benelux!Z286*Benelux!$Z$281))/'H7H9 BENELUX'!$AL$281,0)</f>
        <v>0</v>
      </c>
      <c r="AM286" s="51">
        <f>IFERROR(+((Benelux!O286*Benelux!$O$281)+(Benelux!AA286*Benelux!$AA$281))/'H7H9 BENELUX'!$AM$281,0)</f>
        <v>0</v>
      </c>
      <c r="AN286" s="134"/>
      <c r="AO286" s="103">
        <f t="shared" si="550"/>
        <v>0</v>
      </c>
      <c r="AP286" s="62">
        <f t="shared" si="545"/>
        <v>0</v>
      </c>
      <c r="AQ286" s="62">
        <f t="shared" si="546"/>
        <v>0</v>
      </c>
      <c r="AR286" s="134"/>
      <c r="AS286" s="94">
        <f t="shared" si="555"/>
        <v>122.22497659154699</v>
      </c>
      <c r="AT286" s="69">
        <f t="shared" si="556"/>
        <v>120.14285714285714</v>
      </c>
      <c r="AU286" s="69">
        <f t="shared" si="557"/>
        <v>1221.4294472464842</v>
      </c>
      <c r="AW286" s="109"/>
      <c r="BA286" s="109"/>
      <c r="BE286" s="109"/>
      <c r="BI286" s="109"/>
      <c r="BM286" s="109"/>
    </row>
    <row r="287" spans="1:65" ht="16.5" hidden="1" customHeight="1" x14ac:dyDescent="0.25">
      <c r="A287" s="213"/>
      <c r="B287" s="9"/>
      <c r="C287" s="48" t="s">
        <v>53</v>
      </c>
      <c r="D287" s="7"/>
      <c r="E287" s="105"/>
      <c r="F287" s="51"/>
      <c r="G287" s="51"/>
      <c r="H287" s="134"/>
      <c r="I287" s="105">
        <f>+IFERROR(((Benelux!E287*Benelux!$E$281)+(Benelux!Q287*Benelux!$Q$281))/'H7H9 BENELUX'!$I$281,0)</f>
        <v>0.78497925999999996</v>
      </c>
      <c r="J287" s="51">
        <f>+IFERROR(((Benelux!F287*Benelux!$F$281)+(Benelux!R287*Benelux!$R$281))/'H7H9 BENELUX'!$J$281,0)</f>
        <v>0</v>
      </c>
      <c r="K287" s="51">
        <f>+((Benelux!G287*Benelux!$G$281)+(Benelux!S287*Benelux!$S$281))/'H7H9 BENELUX'!$K$281</f>
        <v>0.43636000000000003</v>
      </c>
      <c r="L287" s="134"/>
      <c r="M287" s="78">
        <f>+((Benelux!I287*Benelux!$I$281)+(Benelux!U287*Benelux!$U$281))/'H7H9 BENELUX'!$M$281</f>
        <v>123</v>
      </c>
      <c r="N287" s="51">
        <f>+((Benelux!J287*Benelux!$J$281)+(Benelux!V287*Benelux!$V$281))/'H7H9 BENELUX'!$N$281</f>
        <v>120.14285714285714</v>
      </c>
      <c r="O287" s="51">
        <f>+((Benelux!K287*Benelux!$K$281)+(Benelux!W287*Benelux!$W$281))/'H7H9 BENELUX'!$O$281</f>
        <v>1221.8653996616044</v>
      </c>
      <c r="P287" s="134"/>
      <c r="Q287" s="105"/>
      <c r="R287" s="51"/>
      <c r="S287" s="51"/>
      <c r="T287" s="134"/>
      <c r="U287" s="89">
        <f t="shared" si="552"/>
        <v>122.22497659154699</v>
      </c>
      <c r="V287" s="62">
        <f t="shared" si="553"/>
        <v>120.14285714285714</v>
      </c>
      <c r="W287" s="62">
        <f t="shared" si="554"/>
        <v>1221.4294472464842</v>
      </c>
      <c r="X287" s="134"/>
      <c r="Y287" s="105"/>
      <c r="Z287" s="51"/>
      <c r="AA287" s="51"/>
      <c r="AB287" s="134"/>
      <c r="AC287" s="105"/>
      <c r="AD287" s="51"/>
      <c r="AE287" s="51"/>
      <c r="AF287" s="134"/>
      <c r="AG287" s="105"/>
      <c r="AH287" s="51"/>
      <c r="AI287" s="51"/>
      <c r="AJ287" s="134"/>
      <c r="AK287" s="105">
        <f>IFERROR(+((Benelux!M287*Benelux!$M$281)+(Benelux!Y287*Benelux!$Y$281))/'H7H9 BENELUX'!$AK$281,0)</f>
        <v>0</v>
      </c>
      <c r="AL287" s="51">
        <f>IFERROR(+((Benelux!N287*Benelux!$N$281)+(Benelux!Z287*Benelux!$Z$281))/'H7H9 BENELUX'!$AL$281,0)</f>
        <v>0</v>
      </c>
      <c r="AM287" s="51">
        <f>IFERROR(+((Benelux!O287*Benelux!$O$281)+(Benelux!AA287*Benelux!$AA$281))/'H7H9 BENELUX'!$AM$281,0)</f>
        <v>0</v>
      </c>
      <c r="AN287" s="134"/>
      <c r="AO287" s="103">
        <f t="shared" si="550"/>
        <v>0</v>
      </c>
      <c r="AP287" s="62">
        <f t="shared" si="545"/>
        <v>0</v>
      </c>
      <c r="AQ287" s="62">
        <f t="shared" si="546"/>
        <v>0</v>
      </c>
      <c r="AR287" s="134"/>
      <c r="AS287" s="94">
        <f t="shared" si="555"/>
        <v>122.22497659154699</v>
      </c>
      <c r="AT287" s="69">
        <f t="shared" si="556"/>
        <v>120.14285714285714</v>
      </c>
      <c r="AU287" s="69">
        <f t="shared" si="557"/>
        <v>1221.4294472464842</v>
      </c>
      <c r="AW287" s="109"/>
      <c r="BA287" s="109"/>
      <c r="BE287" s="109"/>
      <c r="BI287" s="109"/>
      <c r="BM287" s="109"/>
    </row>
    <row r="288" spans="1:65" ht="16.5" hidden="1" customHeight="1" x14ac:dyDescent="0.25">
      <c r="A288" s="213"/>
      <c r="B288" s="9"/>
      <c r="C288" s="136" t="s">
        <v>27</v>
      </c>
      <c r="D288" s="7"/>
      <c r="E288" s="142"/>
      <c r="F288" s="143"/>
      <c r="G288" s="143"/>
      <c r="H288" s="134"/>
      <c r="I288" s="148">
        <f>+IFERROR(((Benelux!E288*Benelux!$E$281)+(Benelux!Q288*Benelux!$Q$281))/'H7H9 BENELUX'!$I$281,0)</f>
        <v>0.78497925999999996</v>
      </c>
      <c r="J288" s="143">
        <f>+IFERROR(((Benelux!F288*Benelux!$F$281)+(Benelux!R288*Benelux!$R$281))/'H7H9 BENELUX'!$J$281,0)</f>
        <v>0</v>
      </c>
      <c r="K288" s="143">
        <f>+((Benelux!G288*Benelux!$G$281)+(Benelux!S288*Benelux!$S$281))/'H7H9 BENELUX'!$K$281</f>
        <v>0.43636000000000003</v>
      </c>
      <c r="L288" s="134"/>
      <c r="M288" s="148">
        <f>+((Benelux!I288*Benelux!$I$281)+(Benelux!U288*Benelux!$U$281))/'H7H9 BENELUX'!$M$281</f>
        <v>123</v>
      </c>
      <c r="N288" s="143">
        <f>+((Benelux!J288*Benelux!$J$281)+(Benelux!V288*Benelux!$V$281))/'H7H9 BENELUX'!$N$281</f>
        <v>120.14285714285714</v>
      </c>
      <c r="O288" s="143">
        <f>+((Benelux!K288*Benelux!$K$281)+(Benelux!W288*Benelux!$W$281))/'H7H9 BENELUX'!$O$281</f>
        <v>1221.8653996616044</v>
      </c>
      <c r="P288" s="134"/>
      <c r="Q288" s="142"/>
      <c r="R288" s="143"/>
      <c r="S288" s="143"/>
      <c r="T288" s="134"/>
      <c r="U288" s="147">
        <f t="shared" si="552"/>
        <v>122.22497659154699</v>
      </c>
      <c r="V288" s="145">
        <f t="shared" si="553"/>
        <v>120.14285714285714</v>
      </c>
      <c r="W288" s="145">
        <f t="shared" si="554"/>
        <v>1221.4294472464842</v>
      </c>
      <c r="X288" s="134"/>
      <c r="Y288" s="142"/>
      <c r="Z288" s="143"/>
      <c r="AA288" s="143"/>
      <c r="AB288" s="134"/>
      <c r="AC288" s="142"/>
      <c r="AD288" s="143"/>
      <c r="AE288" s="143"/>
      <c r="AF288" s="134"/>
      <c r="AG288" s="142"/>
      <c r="AH288" s="143"/>
      <c r="AI288" s="143"/>
      <c r="AJ288" s="134"/>
      <c r="AK288" s="142">
        <f>IFERROR(+((Benelux!M288*Benelux!$M$281)+(Benelux!Y288*Benelux!$Y$281))/'H7H9 BENELUX'!$AK$281,0)</f>
        <v>0</v>
      </c>
      <c r="AL288" s="143">
        <f>IFERROR(+((Benelux!N288*Benelux!$N$281)+(Benelux!Z288*Benelux!$Z$281))/'H7H9 BENELUX'!$AL$281,0)</f>
        <v>0</v>
      </c>
      <c r="AM288" s="143">
        <f>IFERROR(+((Benelux!O288*Benelux!$O$281)+(Benelux!AA288*Benelux!$AA$281))/'H7H9 BENELUX'!$AM$281,0)</f>
        <v>0</v>
      </c>
      <c r="AN288" s="134"/>
      <c r="AO288" s="144">
        <f t="shared" si="550"/>
        <v>0</v>
      </c>
      <c r="AP288" s="145">
        <f t="shared" si="545"/>
        <v>0</v>
      </c>
      <c r="AQ288" s="145">
        <f t="shared" si="546"/>
        <v>0</v>
      </c>
      <c r="AR288" s="134"/>
      <c r="AS288" s="172">
        <f t="shared" si="555"/>
        <v>122.22497659154699</v>
      </c>
      <c r="AT288" s="171">
        <f t="shared" si="556"/>
        <v>120.14285714285714</v>
      </c>
      <c r="AU288" s="171">
        <f t="shared" si="557"/>
        <v>1221.4294472464842</v>
      </c>
      <c r="AW288" s="109"/>
      <c r="BA288" s="109"/>
      <c r="BE288" s="109"/>
      <c r="BI288" s="109"/>
      <c r="BM288" s="109"/>
    </row>
    <row r="289" spans="1:65" ht="16.5" hidden="1" customHeight="1" x14ac:dyDescent="0.25">
      <c r="A289" s="213"/>
      <c r="B289" s="9"/>
      <c r="C289" s="136" t="s">
        <v>57</v>
      </c>
      <c r="D289" s="7"/>
      <c r="E289" s="142"/>
      <c r="F289" s="143"/>
      <c r="G289" s="143"/>
      <c r="H289" s="134"/>
      <c r="I289" s="148">
        <f>+IFERROR(((Benelux!E289*Benelux!$E$281)+(Benelux!Q289*Benelux!$Q$281))/'H7H9 BENELUX'!$I$281,0)</f>
        <v>0.78497925999999996</v>
      </c>
      <c r="J289" s="143">
        <f>+IFERROR(((Benelux!F289*Benelux!$F$281)+(Benelux!R289*Benelux!$R$281))/'H7H9 BENELUX'!$J$281,0)</f>
        <v>0</v>
      </c>
      <c r="K289" s="143">
        <f>+((Benelux!G289*Benelux!$G$281)+(Benelux!S289*Benelux!$S$281))/'H7H9 BENELUX'!$K$281</f>
        <v>0.43636000000000003</v>
      </c>
      <c r="L289" s="134"/>
      <c r="M289" s="148">
        <f>+((Benelux!I289*Benelux!$I$281)+(Benelux!U289*Benelux!$U$281))/'H7H9 BENELUX'!$M$281</f>
        <v>123</v>
      </c>
      <c r="N289" s="143">
        <f>+((Benelux!J289*Benelux!$J$281)+(Benelux!V289*Benelux!$V$281))/'H7H9 BENELUX'!$N$281</f>
        <v>120.14285714285714</v>
      </c>
      <c r="O289" s="143">
        <f>+((Benelux!K289*Benelux!$K$281)+(Benelux!W289*Benelux!$W$281))/'H7H9 BENELUX'!$O$281</f>
        <v>1221.8653996616044</v>
      </c>
      <c r="P289" s="134"/>
      <c r="Q289" s="142"/>
      <c r="R289" s="143"/>
      <c r="S289" s="143"/>
      <c r="T289" s="134"/>
      <c r="U289" s="149">
        <f t="shared" si="552"/>
        <v>122.22497659154699</v>
      </c>
      <c r="V289" s="145">
        <f t="shared" si="553"/>
        <v>120.14285714285714</v>
      </c>
      <c r="W289" s="145">
        <f t="shared" si="554"/>
        <v>1221.4294472464842</v>
      </c>
      <c r="X289" s="134"/>
      <c r="Y289" s="142"/>
      <c r="Z289" s="143"/>
      <c r="AA289" s="143"/>
      <c r="AB289" s="134"/>
      <c r="AC289" s="142"/>
      <c r="AD289" s="143"/>
      <c r="AE289" s="143"/>
      <c r="AF289" s="134"/>
      <c r="AG289" s="142"/>
      <c r="AH289" s="143"/>
      <c r="AI289" s="143"/>
      <c r="AJ289" s="134"/>
      <c r="AK289" s="142">
        <f>IFERROR(+((Benelux!M289*Benelux!$M$281)+(Benelux!Y289*Benelux!$Y$281))/'H7H9 BENELUX'!$AK$281,0)</f>
        <v>0</v>
      </c>
      <c r="AL289" s="143">
        <f>IFERROR(+((Benelux!N289*Benelux!$N$281)+(Benelux!Z289*Benelux!$Z$281))/'H7H9 BENELUX'!$AL$281,0)</f>
        <v>0</v>
      </c>
      <c r="AM289" s="143">
        <f>IFERROR(+((Benelux!O289*Benelux!$O$281)+(Benelux!AA289*Benelux!$AA$281))/'H7H9 BENELUX'!$AM$281,0)</f>
        <v>0</v>
      </c>
      <c r="AN289" s="134"/>
      <c r="AO289" s="144">
        <f t="shared" si="550"/>
        <v>0</v>
      </c>
      <c r="AP289" s="145">
        <f t="shared" si="545"/>
        <v>0</v>
      </c>
      <c r="AQ289" s="145">
        <f t="shared" si="546"/>
        <v>0</v>
      </c>
      <c r="AR289" s="134"/>
      <c r="AS289" s="172">
        <f t="shared" si="555"/>
        <v>122.22497659154699</v>
      </c>
      <c r="AT289" s="171">
        <f t="shared" si="556"/>
        <v>120.14285714285714</v>
      </c>
      <c r="AU289" s="171">
        <f t="shared" si="557"/>
        <v>1221.4294472464842</v>
      </c>
      <c r="AW289" s="109"/>
      <c r="BA289" s="109"/>
      <c r="BE289" s="109"/>
      <c r="BI289" s="109"/>
      <c r="BM289" s="109"/>
    </row>
    <row r="290" spans="1:65" ht="16.5" hidden="1" customHeight="1" x14ac:dyDescent="0.25">
      <c r="A290" s="213"/>
      <c r="B290" s="9"/>
      <c r="C290" s="136" t="s">
        <v>29</v>
      </c>
      <c r="D290" s="7"/>
      <c r="E290" s="142"/>
      <c r="F290" s="143"/>
      <c r="G290" s="143"/>
      <c r="H290" s="134"/>
      <c r="I290" s="142">
        <f>+IFERROR(((Benelux!E290*Benelux!$E$281)+(Benelux!Q290*Benelux!$Q$281))/'H7H9 BENELUX'!$I$281,0)</f>
        <v>0.78497925999999996</v>
      </c>
      <c r="J290" s="143">
        <f>+IFERROR(((Benelux!F290*Benelux!$F$281)+(Benelux!R290*Benelux!$R$281))/'H7H9 BENELUX'!$J$281,0)</f>
        <v>0</v>
      </c>
      <c r="K290" s="143">
        <f>+((Benelux!G290*Benelux!$G$281)+(Benelux!S290*Benelux!$S$281))/'H7H9 BENELUX'!$K$281</f>
        <v>0.43636000000000003</v>
      </c>
      <c r="L290" s="134"/>
      <c r="M290" s="146">
        <f>+((Benelux!I290*Benelux!$I$281)+(Benelux!U290*Benelux!$U$281))/'H7H9 BENELUX'!$M$281</f>
        <v>123</v>
      </c>
      <c r="N290" s="143">
        <f>+((Benelux!J290*Benelux!$J$281)+(Benelux!V290*Benelux!$V$281))/'H7H9 BENELUX'!$N$281</f>
        <v>120.14285714285714</v>
      </c>
      <c r="O290" s="143">
        <f>+((Benelux!K290*Benelux!$K$281)+(Benelux!W290*Benelux!$W$281))/'H7H9 BENELUX'!$O$281</f>
        <v>1221.8653996616044</v>
      </c>
      <c r="P290" s="134"/>
      <c r="Q290" s="142"/>
      <c r="R290" s="143"/>
      <c r="S290" s="143"/>
      <c r="T290" s="134"/>
      <c r="U290" s="147">
        <f t="shared" si="552"/>
        <v>122.22497659154699</v>
      </c>
      <c r="V290" s="145">
        <f t="shared" si="553"/>
        <v>120.14285714285714</v>
      </c>
      <c r="W290" s="145">
        <f t="shared" si="554"/>
        <v>1221.4294472464842</v>
      </c>
      <c r="X290" s="134"/>
      <c r="Y290" s="142"/>
      <c r="Z290" s="143"/>
      <c r="AA290" s="143"/>
      <c r="AB290" s="134"/>
      <c r="AC290" s="142"/>
      <c r="AD290" s="143"/>
      <c r="AE290" s="143"/>
      <c r="AF290" s="134"/>
      <c r="AG290" s="142"/>
      <c r="AH290" s="143"/>
      <c r="AI290" s="143"/>
      <c r="AJ290" s="134"/>
      <c r="AK290" s="142">
        <f>IFERROR(+((Benelux!M290*Benelux!$M$281)+(Benelux!Y290*Benelux!$Y$281))/'H7H9 BENELUX'!$AK$281,0)</f>
        <v>0</v>
      </c>
      <c r="AL290" s="143">
        <f>IFERROR(+((Benelux!N290*Benelux!$N$281)+(Benelux!Z290*Benelux!$Z$281))/'H7H9 BENELUX'!$AL$281,0)</f>
        <v>0</v>
      </c>
      <c r="AM290" s="143">
        <f>IFERROR(+((Benelux!O290*Benelux!$O$281)+(Benelux!AA290*Benelux!$AA$281))/'H7H9 BENELUX'!$AM$281,0)</f>
        <v>0</v>
      </c>
      <c r="AN290" s="134"/>
      <c r="AO290" s="144">
        <f t="shared" si="550"/>
        <v>0</v>
      </c>
      <c r="AP290" s="145">
        <f t="shared" si="545"/>
        <v>0</v>
      </c>
      <c r="AQ290" s="145">
        <f t="shared" si="546"/>
        <v>0</v>
      </c>
      <c r="AR290" s="134"/>
      <c r="AS290" s="170">
        <f t="shared" si="555"/>
        <v>122.22497659154699</v>
      </c>
      <c r="AT290" s="171">
        <f t="shared" si="556"/>
        <v>120.14285714285714</v>
      </c>
      <c r="AU290" s="171">
        <f t="shared" si="557"/>
        <v>1221.4294472464842</v>
      </c>
      <c r="AW290" s="109"/>
      <c r="BA290" s="109"/>
      <c r="BE290" s="109"/>
      <c r="BI290" s="109"/>
      <c r="BM290" s="109"/>
    </row>
    <row r="291" spans="1:65" ht="16.5" hidden="1" customHeight="1" x14ac:dyDescent="0.25">
      <c r="A291" s="213"/>
      <c r="B291" s="9"/>
      <c r="C291" s="136" t="s">
        <v>58</v>
      </c>
      <c r="D291" s="7"/>
      <c r="E291" s="142"/>
      <c r="F291" s="143"/>
      <c r="G291" s="143"/>
      <c r="H291" s="134"/>
      <c r="I291" s="148">
        <f>+I292+I293+I294</f>
        <v>2.3549377799999998</v>
      </c>
      <c r="J291" s="143">
        <f>+J292+J293+J294</f>
        <v>0</v>
      </c>
      <c r="K291" s="143">
        <f>+K292+K293+K294</f>
        <v>1.30908</v>
      </c>
      <c r="L291" s="134"/>
      <c r="M291" s="146">
        <f>+M292+M293+M294</f>
        <v>369</v>
      </c>
      <c r="N291" s="143">
        <f>+N292+N293+N294</f>
        <v>360.42857142857144</v>
      </c>
      <c r="O291" s="143">
        <f>+O292+O293+O294</f>
        <v>3665.5961989848133</v>
      </c>
      <c r="P291" s="134"/>
      <c r="Q291" s="142"/>
      <c r="R291" s="143"/>
      <c r="S291" s="143"/>
      <c r="T291" s="134"/>
      <c r="U291" s="147">
        <f>+U292+U293+U294</f>
        <v>366.67492977464099</v>
      </c>
      <c r="V291" s="145">
        <f>+V292+V293+V294</f>
        <v>360.42857142857144</v>
      </c>
      <c r="W291" s="145">
        <f>+W292+W293+W294</f>
        <v>3664.2883417394523</v>
      </c>
      <c r="X291" s="134"/>
      <c r="Y291" s="142"/>
      <c r="Z291" s="143"/>
      <c r="AA291" s="143"/>
      <c r="AB291" s="134"/>
      <c r="AC291" s="142"/>
      <c r="AD291" s="143"/>
      <c r="AE291" s="143"/>
      <c r="AF291" s="134"/>
      <c r="AG291" s="142"/>
      <c r="AH291" s="143"/>
      <c r="AI291" s="143"/>
      <c r="AJ291" s="134"/>
      <c r="AK291" s="142">
        <f>+AK292+AK293+AK294</f>
        <v>0</v>
      </c>
      <c r="AL291" s="143">
        <f>+AL292+AL293+AL294</f>
        <v>0</v>
      </c>
      <c r="AM291" s="143">
        <f>+AM292+AM293+AM294</f>
        <v>0</v>
      </c>
      <c r="AN291" s="134"/>
      <c r="AO291" s="144">
        <f t="shared" si="550"/>
        <v>0</v>
      </c>
      <c r="AP291" s="145">
        <f t="shared" si="545"/>
        <v>0</v>
      </c>
      <c r="AQ291" s="145">
        <f t="shared" si="546"/>
        <v>0</v>
      </c>
      <c r="AR291" s="134"/>
      <c r="AS291" s="170">
        <f>+AS292+AS293+AS294</f>
        <v>366.67492977464099</v>
      </c>
      <c r="AT291" s="171">
        <f>+AT292+AT293+AT294</f>
        <v>360.42857142857144</v>
      </c>
      <c r="AU291" s="171">
        <f>+AU292+AU293+AU294</f>
        <v>3664.2883417394523</v>
      </c>
      <c r="AW291" s="109"/>
      <c r="BA291" s="109"/>
      <c r="BE291" s="109"/>
      <c r="BI291" s="109"/>
      <c r="BM291" s="109"/>
    </row>
    <row r="292" spans="1:65" ht="16.5" hidden="1" customHeight="1" x14ac:dyDescent="0.25">
      <c r="A292" s="213"/>
      <c r="B292" s="9"/>
      <c r="C292" s="50" t="s">
        <v>59</v>
      </c>
      <c r="D292" s="8"/>
      <c r="E292" s="105"/>
      <c r="F292" s="51"/>
      <c r="G292" s="51"/>
      <c r="H292" s="135"/>
      <c r="I292" s="78">
        <f>+IFERROR(((Benelux!E292*Benelux!$E$281)+(Benelux!Q292*Benelux!$Q$281))/'H7H9 BENELUX'!$I$281,0)</f>
        <v>0.78497925999999996</v>
      </c>
      <c r="J292" s="51">
        <f>+IFERROR(((Benelux!F292*Benelux!$F$281)+(Benelux!R292*Benelux!$R$281))/'H7H9 BENELUX'!$J$281,0)</f>
        <v>0</v>
      </c>
      <c r="K292" s="51">
        <f>+((Benelux!G292*Benelux!$G$281)+(Benelux!S292*Benelux!$S$281))/'H7H9 BENELUX'!$K$281</f>
        <v>0.43636000000000003</v>
      </c>
      <c r="L292" s="135"/>
      <c r="M292" s="105">
        <f>+((Benelux!I292*Benelux!$I$281)+(Benelux!U292*Benelux!$U$281))/'H7H9 BENELUX'!$M$281</f>
        <v>123</v>
      </c>
      <c r="N292" s="51">
        <f>+((Benelux!J292*Benelux!$J$281)+(Benelux!V292*Benelux!$V$281))/'H7H9 BENELUX'!$N$281</f>
        <v>120.14285714285714</v>
      </c>
      <c r="O292" s="51">
        <f>+((Benelux!K292*Benelux!$K$281)+(Benelux!W292*Benelux!$W$281))/'H7H9 BENELUX'!$O$281</f>
        <v>1221.8653996616044</v>
      </c>
      <c r="P292" s="135"/>
      <c r="Q292" s="105"/>
      <c r="R292" s="51"/>
      <c r="S292" s="51"/>
      <c r="T292" s="135"/>
      <c r="U292" s="89">
        <f>+((I292*$I$281)+(M292*$M$281))/$U$281</f>
        <v>122.22497659154699</v>
      </c>
      <c r="V292" s="62">
        <f>+((J292*$J$281)+(N292*$N$281))/$V$281</f>
        <v>120.14285714285714</v>
      </c>
      <c r="W292" s="62">
        <f>+((K292*$K$281)+(O292*$O$281))/$W$281</f>
        <v>1221.4294472464842</v>
      </c>
      <c r="X292" s="135"/>
      <c r="Y292" s="105"/>
      <c r="Z292" s="51"/>
      <c r="AA292" s="51"/>
      <c r="AB292" s="135"/>
      <c r="AC292" s="105"/>
      <c r="AD292" s="51"/>
      <c r="AE292" s="51"/>
      <c r="AF292" s="135"/>
      <c r="AG292" s="105"/>
      <c r="AH292" s="51"/>
      <c r="AI292" s="51"/>
      <c r="AJ292" s="135"/>
      <c r="AK292" s="105">
        <f>IFERROR(+((Benelux!M292*Benelux!$M$281)+(Benelux!Y292*Benelux!$Y$281))/'H7H9 BENELUX'!$AK$281,0)</f>
        <v>0</v>
      </c>
      <c r="AL292" s="51">
        <f>IFERROR(+((Benelux!N292*Benelux!$N$281)+(Benelux!Z292*Benelux!$Z$281))/'H7H9 BENELUX'!$AL$281,0)</f>
        <v>0</v>
      </c>
      <c r="AM292" s="51">
        <f>IFERROR(+((Benelux!O292*Benelux!$O$281)+(Benelux!AA292*Benelux!$AA$281))/'H7H9 BENELUX'!$AM$281,0)</f>
        <v>0</v>
      </c>
      <c r="AN292" s="135"/>
      <c r="AO292" s="103">
        <f t="shared" si="550"/>
        <v>0</v>
      </c>
      <c r="AP292" s="62">
        <f t="shared" si="545"/>
        <v>0</v>
      </c>
      <c r="AQ292" s="62">
        <f t="shared" si="546"/>
        <v>0</v>
      </c>
      <c r="AR292" s="135"/>
      <c r="AS292" s="94">
        <f t="shared" ref="AS292:AS294" si="558">+((U292*$U$281)+(AO292*$AO$281))/$AS$281</f>
        <v>122.22497659154699</v>
      </c>
      <c r="AT292" s="69">
        <f t="shared" ref="AT292:AT294" si="559">+((V292*$V$281)+(AP292*$AP$281))/$AT$281</f>
        <v>120.14285714285714</v>
      </c>
      <c r="AU292" s="69">
        <f t="shared" ref="AU292:AU294" si="560">+((W292*$W$281)+(AQ292*$AQ$281))/$AU$281</f>
        <v>1221.4294472464842</v>
      </c>
      <c r="AW292" s="109"/>
      <c r="BA292" s="109"/>
      <c r="BE292" s="109"/>
      <c r="BI292" s="109"/>
      <c r="BM292" s="109"/>
    </row>
    <row r="293" spans="1:65" ht="16.5" hidden="1" customHeight="1" x14ac:dyDescent="0.25">
      <c r="A293" s="213"/>
      <c r="B293" s="9"/>
      <c r="C293" s="50" t="s">
        <v>60</v>
      </c>
      <c r="D293" s="8"/>
      <c r="E293" s="105"/>
      <c r="F293" s="51"/>
      <c r="G293" s="51"/>
      <c r="H293" s="135"/>
      <c r="I293" s="77">
        <f>+IFERROR(((Benelux!E293*Benelux!$E$281)+(Benelux!Q293*Benelux!$Q$281))/'H7H9 BENELUX'!$I$281,0)</f>
        <v>0.78497925999999996</v>
      </c>
      <c r="J293" s="51">
        <f>+IFERROR(((Benelux!F293*Benelux!$F$281)+(Benelux!R293*Benelux!$R$281))/'H7H9 BENELUX'!$J$281,0)</f>
        <v>0</v>
      </c>
      <c r="K293" s="51">
        <f>+((Benelux!G293*Benelux!$G$281)+(Benelux!S293*Benelux!$S$281))/'H7H9 BENELUX'!$K$281</f>
        <v>0.43636000000000003</v>
      </c>
      <c r="L293" s="135"/>
      <c r="M293" s="78">
        <f>+((Benelux!I293*Benelux!$I$281)+(Benelux!U293*Benelux!$U$281))/'H7H9 BENELUX'!$M$281</f>
        <v>123</v>
      </c>
      <c r="N293" s="51">
        <f>+((Benelux!J293*Benelux!$J$281)+(Benelux!V293*Benelux!$V$281))/'H7H9 BENELUX'!$N$281</f>
        <v>120.14285714285714</v>
      </c>
      <c r="O293" s="51">
        <f>+((Benelux!K293*Benelux!$K$281)+(Benelux!W293*Benelux!$W$281))/'H7H9 BENELUX'!$O$281</f>
        <v>1221.8653996616044</v>
      </c>
      <c r="P293" s="135"/>
      <c r="Q293" s="105"/>
      <c r="R293" s="51"/>
      <c r="S293" s="51"/>
      <c r="T293" s="135"/>
      <c r="U293" s="89">
        <f>+((I293*$I$281)+(M293*$M$281))/$U$281</f>
        <v>122.22497659154699</v>
      </c>
      <c r="V293" s="62">
        <f>+((J293*$J$281)+(N293*$N$281))/$V$281</f>
        <v>120.14285714285714</v>
      </c>
      <c r="W293" s="62">
        <f>+((K293*$K$281)+(O293*$O$281))/$W$281</f>
        <v>1221.4294472464842</v>
      </c>
      <c r="X293" s="135"/>
      <c r="Y293" s="105"/>
      <c r="Z293" s="51"/>
      <c r="AA293" s="51"/>
      <c r="AB293" s="135"/>
      <c r="AC293" s="105"/>
      <c r="AD293" s="51"/>
      <c r="AE293" s="51"/>
      <c r="AF293" s="135"/>
      <c r="AG293" s="105"/>
      <c r="AH293" s="51"/>
      <c r="AI293" s="51"/>
      <c r="AJ293" s="135"/>
      <c r="AK293" s="105">
        <f>IFERROR(+((Benelux!M293*Benelux!$M$281)+(Benelux!Y293*Benelux!$Y$281))/'H7H9 BENELUX'!$AK$281,0)</f>
        <v>0</v>
      </c>
      <c r="AL293" s="51">
        <f>IFERROR(+((Benelux!N293*Benelux!$N$281)+(Benelux!Z293*Benelux!$Z$281))/'H7H9 BENELUX'!$AL$281,0)</f>
        <v>0</v>
      </c>
      <c r="AM293" s="51">
        <f>IFERROR(+((Benelux!O293*Benelux!$O$281)+(Benelux!AA293*Benelux!$AA$281))/'H7H9 BENELUX'!$AM$281,0)</f>
        <v>0</v>
      </c>
      <c r="AN293" s="135"/>
      <c r="AO293" s="103">
        <f t="shared" si="550"/>
        <v>0</v>
      </c>
      <c r="AP293" s="62">
        <f t="shared" si="545"/>
        <v>0</v>
      </c>
      <c r="AQ293" s="62">
        <f t="shared" si="546"/>
        <v>0</v>
      </c>
      <c r="AR293" s="135"/>
      <c r="AS293" s="94">
        <f t="shared" si="558"/>
        <v>122.22497659154699</v>
      </c>
      <c r="AT293" s="69">
        <f t="shared" si="559"/>
        <v>120.14285714285714</v>
      </c>
      <c r="AU293" s="69">
        <f t="shared" si="560"/>
        <v>1221.4294472464842</v>
      </c>
      <c r="AW293" s="109"/>
      <c r="BA293" s="109"/>
      <c r="BE293" s="109"/>
      <c r="BI293" s="109"/>
      <c r="BM293" s="109"/>
    </row>
    <row r="294" spans="1:65" ht="16.5" hidden="1" customHeight="1" x14ac:dyDescent="0.25">
      <c r="A294" s="213"/>
      <c r="B294" s="9"/>
      <c r="C294" s="50" t="s">
        <v>61</v>
      </c>
      <c r="D294" s="8"/>
      <c r="E294" s="105"/>
      <c r="F294" s="51"/>
      <c r="G294" s="51"/>
      <c r="H294" s="135"/>
      <c r="I294" s="77">
        <f>+IFERROR(((Benelux!E294*Benelux!$E$281)+(Benelux!Q294*Benelux!$Q$281))/'H7H9 BENELUX'!$I$281,0)</f>
        <v>0.78497925999999996</v>
      </c>
      <c r="J294" s="51">
        <f>+IFERROR(((Benelux!F294*Benelux!$F$281)+(Benelux!R294*Benelux!$R$281))/'H7H9 BENELUX'!$J$281,0)</f>
        <v>0</v>
      </c>
      <c r="K294" s="51">
        <f>+((Benelux!G294*Benelux!$G$281)+(Benelux!S294*Benelux!$S$281))/'H7H9 BENELUX'!$K$281</f>
        <v>0.43636000000000003</v>
      </c>
      <c r="L294" s="135"/>
      <c r="M294" s="78">
        <f>+((Benelux!I294*Benelux!$I$281)+(Benelux!U294*Benelux!$U$281))/'H7H9 BENELUX'!$M$281</f>
        <v>123</v>
      </c>
      <c r="N294" s="51">
        <f>+((Benelux!J294*Benelux!$J$281)+(Benelux!V294*Benelux!$V$281))/'H7H9 BENELUX'!$N$281</f>
        <v>120.14285714285714</v>
      </c>
      <c r="O294" s="51">
        <f>+((Benelux!K294*Benelux!$K$281)+(Benelux!W294*Benelux!$W$281))/'H7H9 BENELUX'!$O$281</f>
        <v>1221.8653996616044</v>
      </c>
      <c r="P294" s="135"/>
      <c r="Q294" s="105"/>
      <c r="R294" s="51"/>
      <c r="S294" s="51"/>
      <c r="T294" s="135"/>
      <c r="U294" s="89">
        <f>+((I294*$I$281)+(M294*$M$281))/$U$281</f>
        <v>122.22497659154699</v>
      </c>
      <c r="V294" s="62">
        <f>+((J294*$J$281)+(N294*$N$281))/$V$281</f>
        <v>120.14285714285714</v>
      </c>
      <c r="W294" s="62">
        <f>+((K294*$K$281)+(O294*$O$281))/$W$281</f>
        <v>1221.4294472464842</v>
      </c>
      <c r="X294" s="135"/>
      <c r="Y294" s="105"/>
      <c r="Z294" s="51"/>
      <c r="AA294" s="51"/>
      <c r="AB294" s="135"/>
      <c r="AC294" s="105"/>
      <c r="AD294" s="51"/>
      <c r="AE294" s="51"/>
      <c r="AF294" s="135"/>
      <c r="AG294" s="105"/>
      <c r="AH294" s="51"/>
      <c r="AI294" s="51"/>
      <c r="AJ294" s="135"/>
      <c r="AK294" s="105">
        <f>IFERROR(+((Benelux!M294*Benelux!$M$281)+(Benelux!Y294*Benelux!$Y$281))/'H7H9 BENELUX'!$AK$281,0)</f>
        <v>0</v>
      </c>
      <c r="AL294" s="51">
        <f>IFERROR(+((Benelux!N294*Benelux!$N$281)+(Benelux!Z294*Benelux!$Z$281))/'H7H9 BENELUX'!$AL$281,0)</f>
        <v>0</v>
      </c>
      <c r="AM294" s="51">
        <f>IFERROR(+((Benelux!O294*Benelux!$O$281)+(Benelux!AA294*Benelux!$AA$281))/'H7H9 BENELUX'!$AM$281,0)</f>
        <v>0</v>
      </c>
      <c r="AN294" s="135"/>
      <c r="AO294" s="103">
        <f t="shared" si="550"/>
        <v>0</v>
      </c>
      <c r="AP294" s="62">
        <f t="shared" si="545"/>
        <v>0</v>
      </c>
      <c r="AQ294" s="62">
        <f t="shared" si="546"/>
        <v>0</v>
      </c>
      <c r="AR294" s="135"/>
      <c r="AS294" s="94">
        <f t="shared" si="558"/>
        <v>122.22497659154699</v>
      </c>
      <c r="AT294" s="69">
        <f t="shared" si="559"/>
        <v>120.14285714285714</v>
      </c>
      <c r="AU294" s="69">
        <f t="shared" si="560"/>
        <v>1221.4294472464842</v>
      </c>
      <c r="AW294" s="109"/>
      <c r="BA294" s="109"/>
      <c r="BE294" s="109"/>
      <c r="BI294" s="109"/>
      <c r="BM294" s="109"/>
    </row>
    <row r="295" spans="1:65" ht="16.5" hidden="1" customHeight="1" x14ac:dyDescent="0.25">
      <c r="A295" s="213"/>
      <c r="B295" s="9"/>
      <c r="C295" s="136" t="s">
        <v>34</v>
      </c>
      <c r="D295" s="6"/>
      <c r="E295" s="137"/>
      <c r="F295" s="138"/>
      <c r="G295" s="138"/>
      <c r="H295" s="117"/>
      <c r="I295" s="141">
        <f>+Benelux!E295+Benelux!Q295</f>
        <v>0.78497925999999996</v>
      </c>
      <c r="J295" s="138">
        <f>+Benelux!F295+Benelux!R295</f>
        <v>0</v>
      </c>
      <c r="K295" s="138">
        <f>+Benelux!G295+Benelux!S295</f>
        <v>0.43636000000000003</v>
      </c>
      <c r="L295" s="117"/>
      <c r="M295" s="141">
        <f>+Benelux!I295+Benelux!U295</f>
        <v>123</v>
      </c>
      <c r="N295" s="138">
        <f>+Benelux!J295+Benelux!V295</f>
        <v>126</v>
      </c>
      <c r="O295" s="138">
        <f>+Benelux!K295+Benelux!W295</f>
        <v>1222.13463</v>
      </c>
      <c r="P295" s="117"/>
      <c r="Q295" s="137"/>
      <c r="R295" s="138"/>
      <c r="S295" s="138"/>
      <c r="T295" s="117"/>
      <c r="U295" s="150">
        <f t="shared" ref="U295" si="561">+I295+M295</f>
        <v>123.78497926</v>
      </c>
      <c r="V295" s="140">
        <f t="shared" ref="V295" si="562">+J295+N295</f>
        <v>126</v>
      </c>
      <c r="W295" s="140">
        <f t="shared" ref="W295" si="563">+K295+O295</f>
        <v>1222.5709899999999</v>
      </c>
      <c r="X295" s="117"/>
      <c r="Y295" s="137"/>
      <c r="Z295" s="138"/>
      <c r="AA295" s="138"/>
      <c r="AB295" s="117"/>
      <c r="AC295" s="137"/>
      <c r="AD295" s="138"/>
      <c r="AE295" s="138"/>
      <c r="AF295" s="117"/>
      <c r="AG295" s="137"/>
      <c r="AH295" s="138"/>
      <c r="AI295" s="138"/>
      <c r="AJ295" s="117"/>
      <c r="AK295" s="137">
        <f>+Benelux!M295+Benelux!Y295</f>
        <v>0</v>
      </c>
      <c r="AL295" s="138">
        <f>+Benelux!N295+Benelux!Z295</f>
        <v>0</v>
      </c>
      <c r="AM295" s="138">
        <f>+Benelux!O295+Benelux!AA295</f>
        <v>0</v>
      </c>
      <c r="AN295" s="117"/>
      <c r="AO295" s="139">
        <f t="shared" si="550"/>
        <v>0</v>
      </c>
      <c r="AP295" s="140">
        <f t="shared" si="545"/>
        <v>0</v>
      </c>
      <c r="AQ295" s="140">
        <f t="shared" si="546"/>
        <v>0</v>
      </c>
      <c r="AR295" s="117"/>
      <c r="AS295" s="192">
        <f t="shared" ref="AS295:AU295" si="564">+U295+AO295</f>
        <v>123.78497926</v>
      </c>
      <c r="AT295" s="169">
        <f t="shared" si="564"/>
        <v>126</v>
      </c>
      <c r="AU295" s="169">
        <f t="shared" si="564"/>
        <v>1222.5709899999999</v>
      </c>
      <c r="AW295" s="108"/>
      <c r="BA295" s="108"/>
      <c r="BE295" s="108"/>
      <c r="BI295" s="108"/>
      <c r="BM295" s="108"/>
    </row>
    <row r="296" spans="1:65" hidden="1" x14ac:dyDescent="0.35"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</row>
    <row r="297" spans="1:65" ht="16.5" hidden="1" customHeight="1" x14ac:dyDescent="0.25">
      <c r="A297" s="213" t="s">
        <v>49</v>
      </c>
      <c r="B297" s="9"/>
      <c r="C297" s="136" t="s">
        <v>19</v>
      </c>
      <c r="D297" s="6"/>
      <c r="E297" s="137"/>
      <c r="F297" s="138"/>
      <c r="G297" s="138"/>
      <c r="H297" s="117"/>
      <c r="I297" s="186">
        <f>+Benelux!E297</f>
        <v>1</v>
      </c>
      <c r="J297" s="138">
        <f>+Benelux!F297</f>
        <v>1</v>
      </c>
      <c r="K297" s="138">
        <f>+Benelux!G297</f>
        <v>1</v>
      </c>
      <c r="L297" s="117"/>
      <c r="M297" s="141">
        <f>+Benelux!I297</f>
        <v>2</v>
      </c>
      <c r="N297" s="138">
        <f>+Benelux!J297</f>
        <v>2</v>
      </c>
      <c r="O297" s="138">
        <f>+Benelux!K297</f>
        <v>2</v>
      </c>
      <c r="P297" s="117"/>
      <c r="Q297" s="137"/>
      <c r="R297" s="138"/>
      <c r="S297" s="138"/>
      <c r="T297" s="117"/>
      <c r="U297" s="150">
        <f>+I297+M297</f>
        <v>3</v>
      </c>
      <c r="V297" s="140">
        <f t="shared" ref="V297:V298" si="565">+J297+N297</f>
        <v>3</v>
      </c>
      <c r="W297" s="140">
        <f t="shared" ref="W297:W298" si="566">+K297+O297</f>
        <v>3</v>
      </c>
      <c r="X297" s="117"/>
      <c r="Y297" s="137"/>
      <c r="Z297" s="138"/>
      <c r="AA297" s="138"/>
      <c r="AB297" s="117"/>
      <c r="AC297" s="137"/>
      <c r="AD297" s="138"/>
      <c r="AE297" s="138"/>
      <c r="AF297" s="117"/>
      <c r="AG297" s="137"/>
      <c r="AH297" s="138"/>
      <c r="AI297" s="138"/>
      <c r="AJ297" s="117"/>
      <c r="AK297" s="137"/>
      <c r="AL297" s="138"/>
      <c r="AM297" s="138"/>
      <c r="AN297" s="117"/>
      <c r="AO297" s="139"/>
      <c r="AP297" s="140"/>
      <c r="AQ297" s="140"/>
      <c r="AR297" s="117"/>
      <c r="AS297" s="173">
        <f>+U297</f>
        <v>3</v>
      </c>
      <c r="AT297" s="169">
        <f t="shared" ref="AT297:AT312" si="567">+V297</f>
        <v>3</v>
      </c>
      <c r="AU297" s="169">
        <f t="shared" ref="AU297:AU312" si="568">+W297</f>
        <v>3</v>
      </c>
      <c r="AW297" s="108"/>
      <c r="BA297" s="108"/>
      <c r="BE297" s="108"/>
      <c r="BI297" s="108"/>
      <c r="BM297" s="108"/>
    </row>
    <row r="298" spans="1:65" ht="16.5" hidden="1" customHeight="1" x14ac:dyDescent="0.25">
      <c r="A298" s="213"/>
      <c r="B298" s="9"/>
      <c r="C298" s="136" t="s">
        <v>55</v>
      </c>
      <c r="D298" s="6"/>
      <c r="E298" s="137"/>
      <c r="F298" s="138"/>
      <c r="G298" s="138"/>
      <c r="H298" s="117"/>
      <c r="I298" s="141">
        <f>+Benelux!E298</f>
        <v>1</v>
      </c>
      <c r="J298" s="138">
        <f>+Benelux!F298</f>
        <v>1</v>
      </c>
      <c r="K298" s="138">
        <f>+Benelux!G298</f>
        <v>1</v>
      </c>
      <c r="L298" s="117"/>
      <c r="M298" s="141">
        <f>+Benelux!I298</f>
        <v>2</v>
      </c>
      <c r="N298" s="138">
        <f>+Benelux!J298</f>
        <v>2</v>
      </c>
      <c r="O298" s="138">
        <f>+Benelux!K298</f>
        <v>2</v>
      </c>
      <c r="P298" s="117"/>
      <c r="Q298" s="137"/>
      <c r="R298" s="138"/>
      <c r="S298" s="138"/>
      <c r="T298" s="117"/>
      <c r="U298" s="150">
        <f t="shared" ref="U298" si="569">+I298+M298</f>
        <v>3</v>
      </c>
      <c r="V298" s="140">
        <f t="shared" si="565"/>
        <v>3</v>
      </c>
      <c r="W298" s="140">
        <f t="shared" si="566"/>
        <v>3</v>
      </c>
      <c r="X298" s="117"/>
      <c r="Y298" s="137"/>
      <c r="Z298" s="138"/>
      <c r="AA298" s="138"/>
      <c r="AB298" s="117"/>
      <c r="AC298" s="137"/>
      <c r="AD298" s="138"/>
      <c r="AE298" s="138"/>
      <c r="AF298" s="117"/>
      <c r="AG298" s="137"/>
      <c r="AH298" s="138"/>
      <c r="AI298" s="138"/>
      <c r="AJ298" s="117"/>
      <c r="AK298" s="137"/>
      <c r="AL298" s="138"/>
      <c r="AM298" s="138"/>
      <c r="AN298" s="117"/>
      <c r="AO298" s="139"/>
      <c r="AP298" s="140"/>
      <c r="AQ298" s="140"/>
      <c r="AR298" s="117"/>
      <c r="AS298" s="173">
        <f t="shared" ref="AS298:AS312" si="570">+U298</f>
        <v>3</v>
      </c>
      <c r="AT298" s="169">
        <f t="shared" si="567"/>
        <v>3</v>
      </c>
      <c r="AU298" s="169">
        <f t="shared" si="568"/>
        <v>3</v>
      </c>
      <c r="AW298" s="108"/>
      <c r="BA298" s="108"/>
      <c r="BE298" s="108"/>
      <c r="BI298" s="108"/>
      <c r="BM298" s="108"/>
    </row>
    <row r="299" spans="1:65" ht="16.5" hidden="1" customHeight="1" x14ac:dyDescent="0.25">
      <c r="A299" s="213"/>
      <c r="B299" s="9"/>
      <c r="C299" s="136" t="s">
        <v>21</v>
      </c>
      <c r="D299" s="6"/>
      <c r="E299" s="142"/>
      <c r="F299" s="143"/>
      <c r="G299" s="143"/>
      <c r="H299" s="117"/>
      <c r="I299" s="148">
        <f>+Benelux!E299</f>
        <v>1</v>
      </c>
      <c r="J299" s="143">
        <f>+Benelux!F299</f>
        <v>1</v>
      </c>
      <c r="K299" s="143">
        <f>+Benelux!G299</f>
        <v>1</v>
      </c>
      <c r="L299" s="117"/>
      <c r="M299" s="146">
        <f>+Benelux!I299</f>
        <v>2</v>
      </c>
      <c r="N299" s="143">
        <f>+Benelux!J299</f>
        <v>2</v>
      </c>
      <c r="O299" s="143">
        <f>+Benelux!K299</f>
        <v>2</v>
      </c>
      <c r="P299" s="117"/>
      <c r="Q299" s="142"/>
      <c r="R299" s="143"/>
      <c r="S299" s="143"/>
      <c r="T299" s="117"/>
      <c r="U299" s="147">
        <f>+U300+U305+U306+U307+U308</f>
        <v>16.666666666666664</v>
      </c>
      <c r="V299" s="145">
        <f>+V300+V305+V306+V307+V308</f>
        <v>16.666666666666664</v>
      </c>
      <c r="W299" s="145">
        <f>+W300+W305+W306+W307+W308</f>
        <v>16.666666666666664</v>
      </c>
      <c r="X299" s="117"/>
      <c r="Y299" s="142"/>
      <c r="Z299" s="143"/>
      <c r="AA299" s="143"/>
      <c r="AB299" s="117"/>
      <c r="AC299" s="142"/>
      <c r="AD299" s="143"/>
      <c r="AE299" s="143"/>
      <c r="AF299" s="117"/>
      <c r="AG299" s="142"/>
      <c r="AH299" s="143"/>
      <c r="AI299" s="143"/>
      <c r="AJ299" s="117"/>
      <c r="AK299" s="142"/>
      <c r="AL299" s="143"/>
      <c r="AM299" s="143"/>
      <c r="AN299" s="117"/>
      <c r="AO299" s="144"/>
      <c r="AP299" s="145"/>
      <c r="AQ299" s="145"/>
      <c r="AR299" s="117"/>
      <c r="AS299" s="170">
        <f t="shared" si="570"/>
        <v>16.666666666666664</v>
      </c>
      <c r="AT299" s="171">
        <f t="shared" si="567"/>
        <v>16.666666666666664</v>
      </c>
      <c r="AU299" s="171">
        <f t="shared" si="568"/>
        <v>16.666666666666664</v>
      </c>
      <c r="AW299" s="109"/>
      <c r="BA299" s="109"/>
      <c r="BE299" s="109"/>
      <c r="BI299" s="109"/>
      <c r="BM299" s="109"/>
    </row>
    <row r="300" spans="1:65" ht="16.5" hidden="1" customHeight="1" x14ac:dyDescent="0.25">
      <c r="A300" s="213"/>
      <c r="B300" s="9"/>
      <c r="C300" s="136" t="s">
        <v>56</v>
      </c>
      <c r="D300" s="6"/>
      <c r="E300" s="142"/>
      <c r="F300" s="143"/>
      <c r="G300" s="143"/>
      <c r="H300" s="117"/>
      <c r="I300" s="148">
        <f>+Benelux!E300</f>
        <v>1</v>
      </c>
      <c r="J300" s="143">
        <f>+Benelux!F300</f>
        <v>1</v>
      </c>
      <c r="K300" s="143">
        <f>+Benelux!G300</f>
        <v>1</v>
      </c>
      <c r="L300" s="117"/>
      <c r="M300" s="146">
        <f>+Benelux!I300</f>
        <v>2</v>
      </c>
      <c r="N300" s="143">
        <f>+Benelux!J300</f>
        <v>2</v>
      </c>
      <c r="O300" s="143">
        <f>+Benelux!K300</f>
        <v>2</v>
      </c>
      <c r="P300" s="117"/>
      <c r="Q300" s="142"/>
      <c r="R300" s="143"/>
      <c r="S300" s="143"/>
      <c r="T300" s="117"/>
      <c r="U300" s="147">
        <f>+U301+U302+U303+U304</f>
        <v>6.666666666666667</v>
      </c>
      <c r="V300" s="145">
        <f>+V301+V302+V303+V304</f>
        <v>6.666666666666667</v>
      </c>
      <c r="W300" s="145">
        <f>+W301+W302+W303+W304</f>
        <v>6.666666666666667</v>
      </c>
      <c r="X300" s="117"/>
      <c r="Y300" s="142"/>
      <c r="Z300" s="143"/>
      <c r="AA300" s="143"/>
      <c r="AB300" s="117"/>
      <c r="AC300" s="142"/>
      <c r="AD300" s="143"/>
      <c r="AE300" s="143"/>
      <c r="AF300" s="117"/>
      <c r="AG300" s="142"/>
      <c r="AH300" s="143"/>
      <c r="AI300" s="143"/>
      <c r="AJ300" s="117"/>
      <c r="AK300" s="142"/>
      <c r="AL300" s="143"/>
      <c r="AM300" s="143"/>
      <c r="AN300" s="117"/>
      <c r="AO300" s="144"/>
      <c r="AP300" s="145"/>
      <c r="AQ300" s="145"/>
      <c r="AR300" s="117"/>
      <c r="AS300" s="170">
        <f t="shared" si="570"/>
        <v>6.666666666666667</v>
      </c>
      <c r="AT300" s="171">
        <f t="shared" si="567"/>
        <v>6.666666666666667</v>
      </c>
      <c r="AU300" s="171">
        <f t="shared" si="568"/>
        <v>6.666666666666667</v>
      </c>
      <c r="AW300" s="109"/>
      <c r="BA300" s="109"/>
      <c r="BE300" s="109"/>
      <c r="BI300" s="109"/>
      <c r="BM300" s="109"/>
    </row>
    <row r="301" spans="1:65" ht="16.5" hidden="1" customHeight="1" x14ac:dyDescent="0.25">
      <c r="A301" s="213"/>
      <c r="B301" s="9"/>
      <c r="C301" s="48" t="s">
        <v>23</v>
      </c>
      <c r="D301" s="6"/>
      <c r="E301" s="105"/>
      <c r="F301" s="51"/>
      <c r="G301" s="51"/>
      <c r="H301" s="117"/>
      <c r="I301" s="77">
        <f>+Benelux!E301</f>
        <v>1</v>
      </c>
      <c r="J301" s="51">
        <f>+Benelux!F301</f>
        <v>1</v>
      </c>
      <c r="K301" s="51">
        <f>+Benelux!G301</f>
        <v>1</v>
      </c>
      <c r="L301" s="117"/>
      <c r="M301" s="78">
        <f>+Benelux!I301</f>
        <v>2</v>
      </c>
      <c r="N301" s="51">
        <f>+Benelux!J301</f>
        <v>2</v>
      </c>
      <c r="O301" s="51">
        <f>+Benelux!K301</f>
        <v>2</v>
      </c>
      <c r="P301" s="117"/>
      <c r="Q301" s="105"/>
      <c r="R301" s="51"/>
      <c r="S301" s="51"/>
      <c r="T301" s="117"/>
      <c r="U301" s="89">
        <f>+((I301*$I$298)+(M301*$M$298))/$U$298</f>
        <v>1.6666666666666667</v>
      </c>
      <c r="V301" s="62">
        <f>+((J301*$J$298)+(N301*$N$298))/$V$298</f>
        <v>1.6666666666666667</v>
      </c>
      <c r="W301" s="62">
        <f>+((K301*$K$298)+(O301*$O$298))/$W$298</f>
        <v>1.6666666666666667</v>
      </c>
      <c r="X301" s="117"/>
      <c r="Y301" s="105"/>
      <c r="Z301" s="51"/>
      <c r="AA301" s="51"/>
      <c r="AB301" s="117"/>
      <c r="AC301" s="105"/>
      <c r="AD301" s="51"/>
      <c r="AE301" s="51"/>
      <c r="AF301" s="117"/>
      <c r="AG301" s="105"/>
      <c r="AH301" s="51"/>
      <c r="AI301" s="51"/>
      <c r="AJ301" s="117"/>
      <c r="AK301" s="105"/>
      <c r="AL301" s="51"/>
      <c r="AM301" s="51"/>
      <c r="AN301" s="117"/>
      <c r="AO301" s="103"/>
      <c r="AP301" s="62"/>
      <c r="AQ301" s="62"/>
      <c r="AR301" s="117"/>
      <c r="AS301" s="94">
        <f t="shared" si="570"/>
        <v>1.6666666666666667</v>
      </c>
      <c r="AT301" s="69">
        <f t="shared" si="567"/>
        <v>1.6666666666666667</v>
      </c>
      <c r="AU301" s="69">
        <f t="shared" si="568"/>
        <v>1.6666666666666667</v>
      </c>
      <c r="AW301" s="109"/>
      <c r="BA301" s="109"/>
      <c r="BE301" s="109"/>
      <c r="BI301" s="109"/>
      <c r="BM301" s="109"/>
    </row>
    <row r="302" spans="1:65" ht="16.5" hidden="1" customHeight="1" x14ac:dyDescent="0.25">
      <c r="A302" s="213"/>
      <c r="B302" s="9"/>
      <c r="C302" s="48" t="s">
        <v>24</v>
      </c>
      <c r="D302" s="7"/>
      <c r="E302" s="105"/>
      <c r="F302" s="51"/>
      <c r="G302" s="51"/>
      <c r="H302" s="134"/>
      <c r="I302" s="105">
        <f>+Benelux!E302</f>
        <v>1</v>
      </c>
      <c r="J302" s="51">
        <f>+Benelux!F302</f>
        <v>1</v>
      </c>
      <c r="K302" s="51">
        <f>+Benelux!G302</f>
        <v>1</v>
      </c>
      <c r="L302" s="134"/>
      <c r="M302" s="105">
        <f>+Benelux!I302</f>
        <v>2</v>
      </c>
      <c r="N302" s="51">
        <f>+Benelux!J302</f>
        <v>2</v>
      </c>
      <c r="O302" s="51">
        <f>+Benelux!K302</f>
        <v>2</v>
      </c>
      <c r="P302" s="134"/>
      <c r="Q302" s="105"/>
      <c r="R302" s="51"/>
      <c r="S302" s="51"/>
      <c r="T302" s="134"/>
      <c r="U302" s="103">
        <f t="shared" ref="U302:U307" si="571">+((I302*$I$298)+(M302*$M$298))/$U$298</f>
        <v>1.6666666666666667</v>
      </c>
      <c r="V302" s="62">
        <f t="shared" ref="V302:V307" si="572">+((J302*$J$298)+(N302*$N$298))/$V$298</f>
        <v>1.6666666666666667</v>
      </c>
      <c r="W302" s="62">
        <f t="shared" ref="W302:W307" si="573">+((K302*$K$298)+(O302*$O$298))/$W$298</f>
        <v>1.6666666666666667</v>
      </c>
      <c r="X302" s="134"/>
      <c r="Y302" s="105"/>
      <c r="Z302" s="51"/>
      <c r="AA302" s="51"/>
      <c r="AB302" s="134"/>
      <c r="AC302" s="105"/>
      <c r="AD302" s="51"/>
      <c r="AE302" s="51"/>
      <c r="AF302" s="134"/>
      <c r="AG302" s="105"/>
      <c r="AH302" s="51"/>
      <c r="AI302" s="51"/>
      <c r="AJ302" s="134"/>
      <c r="AK302" s="105"/>
      <c r="AL302" s="51"/>
      <c r="AM302" s="51"/>
      <c r="AN302" s="134"/>
      <c r="AO302" s="103"/>
      <c r="AP302" s="62"/>
      <c r="AQ302" s="62"/>
      <c r="AR302" s="134"/>
      <c r="AS302" s="107">
        <f t="shared" si="570"/>
        <v>1.6666666666666667</v>
      </c>
      <c r="AT302" s="69">
        <f t="shared" si="567"/>
        <v>1.6666666666666667</v>
      </c>
      <c r="AU302" s="69">
        <f t="shared" si="568"/>
        <v>1.6666666666666667</v>
      </c>
      <c r="AW302" s="109"/>
      <c r="BA302" s="109"/>
      <c r="BE302" s="109"/>
      <c r="BI302" s="109"/>
      <c r="BM302" s="109"/>
    </row>
    <row r="303" spans="1:65" ht="16.5" hidden="1" customHeight="1" x14ac:dyDescent="0.25">
      <c r="A303" s="213"/>
      <c r="B303" s="9"/>
      <c r="C303" s="48" t="s">
        <v>25</v>
      </c>
      <c r="D303" s="7"/>
      <c r="E303" s="105"/>
      <c r="F303" s="51"/>
      <c r="G303" s="51"/>
      <c r="H303" s="134"/>
      <c r="I303" s="105">
        <f>+Benelux!E303</f>
        <v>1</v>
      </c>
      <c r="J303" s="51">
        <f>+Benelux!F303</f>
        <v>1</v>
      </c>
      <c r="K303" s="51">
        <f>+Benelux!G303</f>
        <v>1</v>
      </c>
      <c r="L303" s="134"/>
      <c r="M303" s="105">
        <f>+Benelux!I303</f>
        <v>2</v>
      </c>
      <c r="N303" s="51">
        <f>+Benelux!J303</f>
        <v>2</v>
      </c>
      <c r="O303" s="51">
        <f>+Benelux!K303</f>
        <v>2</v>
      </c>
      <c r="P303" s="134"/>
      <c r="Q303" s="105"/>
      <c r="R303" s="51"/>
      <c r="S303" s="51"/>
      <c r="T303" s="134"/>
      <c r="U303" s="103">
        <f t="shared" si="571"/>
        <v>1.6666666666666667</v>
      </c>
      <c r="V303" s="62">
        <f t="shared" si="572"/>
        <v>1.6666666666666667</v>
      </c>
      <c r="W303" s="62">
        <f t="shared" si="573"/>
        <v>1.6666666666666667</v>
      </c>
      <c r="X303" s="134"/>
      <c r="Y303" s="105"/>
      <c r="Z303" s="51"/>
      <c r="AA303" s="51"/>
      <c r="AB303" s="134"/>
      <c r="AC303" s="105"/>
      <c r="AD303" s="51"/>
      <c r="AE303" s="51"/>
      <c r="AF303" s="134"/>
      <c r="AG303" s="105"/>
      <c r="AH303" s="51"/>
      <c r="AI303" s="51"/>
      <c r="AJ303" s="134"/>
      <c r="AK303" s="105"/>
      <c r="AL303" s="51"/>
      <c r="AM303" s="51"/>
      <c r="AN303" s="134"/>
      <c r="AO303" s="103"/>
      <c r="AP303" s="62"/>
      <c r="AQ303" s="62"/>
      <c r="AR303" s="134"/>
      <c r="AS303" s="107">
        <f t="shared" si="570"/>
        <v>1.6666666666666667</v>
      </c>
      <c r="AT303" s="69">
        <f t="shared" si="567"/>
        <v>1.6666666666666667</v>
      </c>
      <c r="AU303" s="69">
        <f t="shared" si="568"/>
        <v>1.6666666666666667</v>
      </c>
      <c r="AW303" s="109"/>
      <c r="BA303" s="109"/>
      <c r="BE303" s="109"/>
      <c r="BI303" s="109"/>
      <c r="BM303" s="109"/>
    </row>
    <row r="304" spans="1:65" ht="16.5" hidden="1" customHeight="1" x14ac:dyDescent="0.25">
      <c r="A304" s="213"/>
      <c r="B304" s="9"/>
      <c r="C304" s="48" t="s">
        <v>53</v>
      </c>
      <c r="D304" s="7"/>
      <c r="E304" s="105"/>
      <c r="F304" s="51"/>
      <c r="G304" s="51"/>
      <c r="H304" s="134"/>
      <c r="I304" s="77">
        <f>+Benelux!E304</f>
        <v>1</v>
      </c>
      <c r="J304" s="51">
        <f>+Benelux!F304</f>
        <v>1</v>
      </c>
      <c r="K304" s="51">
        <f>+Benelux!G304</f>
        <v>1</v>
      </c>
      <c r="L304" s="134"/>
      <c r="M304" s="78">
        <f>+Benelux!I304</f>
        <v>2</v>
      </c>
      <c r="N304" s="51">
        <f>+Benelux!J304</f>
        <v>2</v>
      </c>
      <c r="O304" s="51">
        <f>+Benelux!K304</f>
        <v>2</v>
      </c>
      <c r="P304" s="134"/>
      <c r="Q304" s="105"/>
      <c r="R304" s="51"/>
      <c r="S304" s="51"/>
      <c r="T304" s="134"/>
      <c r="U304" s="89">
        <f t="shared" si="571"/>
        <v>1.6666666666666667</v>
      </c>
      <c r="V304" s="62">
        <f t="shared" si="572"/>
        <v>1.6666666666666667</v>
      </c>
      <c r="W304" s="62">
        <f t="shared" si="573"/>
        <v>1.6666666666666667</v>
      </c>
      <c r="X304" s="134"/>
      <c r="Y304" s="105"/>
      <c r="Z304" s="51"/>
      <c r="AA304" s="51"/>
      <c r="AB304" s="134"/>
      <c r="AC304" s="105"/>
      <c r="AD304" s="51"/>
      <c r="AE304" s="51"/>
      <c r="AF304" s="134"/>
      <c r="AG304" s="105"/>
      <c r="AH304" s="51"/>
      <c r="AI304" s="51"/>
      <c r="AJ304" s="134"/>
      <c r="AK304" s="105"/>
      <c r="AL304" s="51"/>
      <c r="AM304" s="51"/>
      <c r="AN304" s="134"/>
      <c r="AO304" s="103"/>
      <c r="AP304" s="62"/>
      <c r="AQ304" s="62"/>
      <c r="AR304" s="134"/>
      <c r="AS304" s="94">
        <f t="shared" si="570"/>
        <v>1.6666666666666667</v>
      </c>
      <c r="AT304" s="69">
        <f t="shared" si="567"/>
        <v>1.6666666666666667</v>
      </c>
      <c r="AU304" s="69">
        <f t="shared" si="568"/>
        <v>1.6666666666666667</v>
      </c>
      <c r="AW304" s="109"/>
      <c r="BA304" s="109"/>
      <c r="BE304" s="109"/>
      <c r="BI304" s="109"/>
      <c r="BM304" s="109"/>
    </row>
    <row r="305" spans="1:65" ht="16.5" hidden="1" customHeight="1" x14ac:dyDescent="0.25">
      <c r="A305" s="213"/>
      <c r="B305" s="9"/>
      <c r="C305" s="136" t="s">
        <v>27</v>
      </c>
      <c r="D305" s="7"/>
      <c r="E305" s="142"/>
      <c r="F305" s="143"/>
      <c r="G305" s="143"/>
      <c r="H305" s="134"/>
      <c r="I305" s="146">
        <f>+Benelux!E305</f>
        <v>1</v>
      </c>
      <c r="J305" s="143">
        <f>+Benelux!F305</f>
        <v>1</v>
      </c>
      <c r="K305" s="143">
        <f>+Benelux!G305</f>
        <v>1</v>
      </c>
      <c r="L305" s="134"/>
      <c r="M305" s="146">
        <f>+Benelux!I305</f>
        <v>2</v>
      </c>
      <c r="N305" s="143">
        <f>+Benelux!J305</f>
        <v>2</v>
      </c>
      <c r="O305" s="143">
        <f>+Benelux!K305</f>
        <v>2</v>
      </c>
      <c r="P305" s="134"/>
      <c r="Q305" s="142"/>
      <c r="R305" s="143"/>
      <c r="S305" s="143"/>
      <c r="T305" s="134"/>
      <c r="U305" s="147">
        <f t="shared" si="571"/>
        <v>1.6666666666666667</v>
      </c>
      <c r="V305" s="145">
        <f t="shared" si="572"/>
        <v>1.6666666666666667</v>
      </c>
      <c r="W305" s="145">
        <f t="shared" si="573"/>
        <v>1.6666666666666667</v>
      </c>
      <c r="X305" s="134"/>
      <c r="Y305" s="142"/>
      <c r="Z305" s="143"/>
      <c r="AA305" s="143"/>
      <c r="AB305" s="134"/>
      <c r="AC305" s="142"/>
      <c r="AD305" s="143"/>
      <c r="AE305" s="143"/>
      <c r="AF305" s="134"/>
      <c r="AG305" s="142"/>
      <c r="AH305" s="143"/>
      <c r="AI305" s="143"/>
      <c r="AJ305" s="134"/>
      <c r="AK305" s="142"/>
      <c r="AL305" s="143"/>
      <c r="AM305" s="143"/>
      <c r="AN305" s="134"/>
      <c r="AO305" s="144"/>
      <c r="AP305" s="145"/>
      <c r="AQ305" s="145"/>
      <c r="AR305" s="134"/>
      <c r="AS305" s="170">
        <f t="shared" si="570"/>
        <v>1.6666666666666667</v>
      </c>
      <c r="AT305" s="171">
        <f t="shared" si="567"/>
        <v>1.6666666666666667</v>
      </c>
      <c r="AU305" s="171">
        <f t="shared" si="568"/>
        <v>1.6666666666666667</v>
      </c>
      <c r="AW305" s="109"/>
      <c r="BA305" s="109"/>
      <c r="BE305" s="109"/>
      <c r="BI305" s="109"/>
      <c r="BM305" s="109"/>
    </row>
    <row r="306" spans="1:65" ht="16.5" hidden="1" customHeight="1" x14ac:dyDescent="0.25">
      <c r="A306" s="213"/>
      <c r="B306" s="9"/>
      <c r="C306" s="136" t="s">
        <v>57</v>
      </c>
      <c r="D306" s="7"/>
      <c r="E306" s="142"/>
      <c r="F306" s="143"/>
      <c r="G306" s="143"/>
      <c r="H306" s="134"/>
      <c r="I306" s="148">
        <f>+Benelux!E306</f>
        <v>1</v>
      </c>
      <c r="J306" s="143">
        <f>+Benelux!F306</f>
        <v>1</v>
      </c>
      <c r="K306" s="143">
        <f>+Benelux!G306</f>
        <v>1</v>
      </c>
      <c r="L306" s="134"/>
      <c r="M306" s="146">
        <f>+Benelux!I306</f>
        <v>2</v>
      </c>
      <c r="N306" s="143">
        <f>+Benelux!J306</f>
        <v>2</v>
      </c>
      <c r="O306" s="143">
        <f>+Benelux!K306</f>
        <v>2</v>
      </c>
      <c r="P306" s="134"/>
      <c r="Q306" s="142"/>
      <c r="R306" s="143"/>
      <c r="S306" s="143"/>
      <c r="T306" s="134"/>
      <c r="U306" s="147">
        <f t="shared" si="571"/>
        <v>1.6666666666666667</v>
      </c>
      <c r="V306" s="145">
        <f t="shared" si="572"/>
        <v>1.6666666666666667</v>
      </c>
      <c r="W306" s="145">
        <f t="shared" si="573"/>
        <v>1.6666666666666667</v>
      </c>
      <c r="X306" s="134"/>
      <c r="Y306" s="142"/>
      <c r="Z306" s="143"/>
      <c r="AA306" s="143"/>
      <c r="AB306" s="134"/>
      <c r="AC306" s="142"/>
      <c r="AD306" s="143"/>
      <c r="AE306" s="143"/>
      <c r="AF306" s="134"/>
      <c r="AG306" s="142"/>
      <c r="AH306" s="143"/>
      <c r="AI306" s="143"/>
      <c r="AJ306" s="134"/>
      <c r="AK306" s="142"/>
      <c r="AL306" s="143"/>
      <c r="AM306" s="143"/>
      <c r="AN306" s="134"/>
      <c r="AO306" s="144"/>
      <c r="AP306" s="145"/>
      <c r="AQ306" s="145"/>
      <c r="AR306" s="134"/>
      <c r="AS306" s="170">
        <f t="shared" si="570"/>
        <v>1.6666666666666667</v>
      </c>
      <c r="AT306" s="171">
        <f t="shared" si="567"/>
        <v>1.6666666666666667</v>
      </c>
      <c r="AU306" s="171">
        <f t="shared" si="568"/>
        <v>1.6666666666666667</v>
      </c>
      <c r="AW306" s="109"/>
      <c r="BA306" s="109"/>
      <c r="BE306" s="109"/>
      <c r="BI306" s="109"/>
      <c r="BM306" s="109"/>
    </row>
    <row r="307" spans="1:65" ht="16.5" hidden="1" customHeight="1" x14ac:dyDescent="0.25">
      <c r="A307" s="213"/>
      <c r="B307" s="9"/>
      <c r="C307" s="136" t="s">
        <v>29</v>
      </c>
      <c r="D307" s="7"/>
      <c r="E307" s="142"/>
      <c r="F307" s="143"/>
      <c r="G307" s="143"/>
      <c r="H307" s="134"/>
      <c r="I307" s="148">
        <f>+Benelux!E307</f>
        <v>1</v>
      </c>
      <c r="J307" s="143">
        <f>+Benelux!F307</f>
        <v>1</v>
      </c>
      <c r="K307" s="143">
        <f>+Benelux!G307</f>
        <v>1</v>
      </c>
      <c r="L307" s="134"/>
      <c r="M307" s="146">
        <f>+Benelux!I307</f>
        <v>2</v>
      </c>
      <c r="N307" s="143">
        <f>+Benelux!J307</f>
        <v>2</v>
      </c>
      <c r="O307" s="143">
        <f>+Benelux!K307</f>
        <v>2</v>
      </c>
      <c r="P307" s="134"/>
      <c r="Q307" s="142"/>
      <c r="R307" s="143"/>
      <c r="S307" s="143"/>
      <c r="T307" s="134"/>
      <c r="U307" s="147">
        <f t="shared" si="571"/>
        <v>1.6666666666666667</v>
      </c>
      <c r="V307" s="145">
        <f t="shared" si="572"/>
        <v>1.6666666666666667</v>
      </c>
      <c r="W307" s="145">
        <f t="shared" si="573"/>
        <v>1.6666666666666667</v>
      </c>
      <c r="X307" s="134"/>
      <c r="Y307" s="142"/>
      <c r="Z307" s="143"/>
      <c r="AA307" s="143"/>
      <c r="AB307" s="134"/>
      <c r="AC307" s="142"/>
      <c r="AD307" s="143"/>
      <c r="AE307" s="143"/>
      <c r="AF307" s="134"/>
      <c r="AG307" s="142"/>
      <c r="AH307" s="143"/>
      <c r="AI307" s="143"/>
      <c r="AJ307" s="134"/>
      <c r="AK307" s="142"/>
      <c r="AL307" s="143"/>
      <c r="AM307" s="143"/>
      <c r="AN307" s="134"/>
      <c r="AO307" s="144"/>
      <c r="AP307" s="145"/>
      <c r="AQ307" s="145"/>
      <c r="AR307" s="134"/>
      <c r="AS307" s="170">
        <f t="shared" si="570"/>
        <v>1.6666666666666667</v>
      </c>
      <c r="AT307" s="171">
        <f t="shared" si="567"/>
        <v>1.6666666666666667</v>
      </c>
      <c r="AU307" s="171">
        <f t="shared" si="568"/>
        <v>1.6666666666666667</v>
      </c>
      <c r="AW307" s="109"/>
      <c r="BA307" s="109"/>
      <c r="BE307" s="109"/>
      <c r="BI307" s="109"/>
      <c r="BM307" s="109"/>
    </row>
    <row r="308" spans="1:65" ht="16.5" hidden="1" customHeight="1" x14ac:dyDescent="0.25">
      <c r="A308" s="213"/>
      <c r="B308" s="9"/>
      <c r="C308" s="136" t="s">
        <v>58</v>
      </c>
      <c r="D308" s="7"/>
      <c r="E308" s="142"/>
      <c r="F308" s="143"/>
      <c r="G308" s="143"/>
      <c r="H308" s="134"/>
      <c r="I308" s="146">
        <f>+Benelux!E308</f>
        <v>1</v>
      </c>
      <c r="J308" s="143">
        <f>+Benelux!F308</f>
        <v>1</v>
      </c>
      <c r="K308" s="143">
        <f>+Benelux!G308</f>
        <v>1</v>
      </c>
      <c r="L308" s="134"/>
      <c r="M308" s="142">
        <f>+Benelux!I308</f>
        <v>2</v>
      </c>
      <c r="N308" s="143">
        <f>+Benelux!J308</f>
        <v>2</v>
      </c>
      <c r="O308" s="143">
        <f>+Benelux!K308</f>
        <v>2</v>
      </c>
      <c r="P308" s="134"/>
      <c r="Q308" s="142"/>
      <c r="R308" s="143"/>
      <c r="S308" s="143"/>
      <c r="T308" s="134"/>
      <c r="U308" s="147">
        <f>+U309+U310+U311</f>
        <v>5</v>
      </c>
      <c r="V308" s="145">
        <f>+V309+V310+V311</f>
        <v>5</v>
      </c>
      <c r="W308" s="145">
        <f>+W309+W310+W311</f>
        <v>5</v>
      </c>
      <c r="X308" s="134"/>
      <c r="Y308" s="142"/>
      <c r="Z308" s="143"/>
      <c r="AA308" s="143"/>
      <c r="AB308" s="134"/>
      <c r="AC308" s="142"/>
      <c r="AD308" s="143"/>
      <c r="AE308" s="143"/>
      <c r="AF308" s="134"/>
      <c r="AG308" s="142"/>
      <c r="AH308" s="143"/>
      <c r="AI308" s="143"/>
      <c r="AJ308" s="134"/>
      <c r="AK308" s="142"/>
      <c r="AL308" s="143"/>
      <c r="AM308" s="143"/>
      <c r="AN308" s="134"/>
      <c r="AO308" s="144"/>
      <c r="AP308" s="145"/>
      <c r="AQ308" s="145"/>
      <c r="AR308" s="134"/>
      <c r="AS308" s="170">
        <f t="shared" si="570"/>
        <v>5</v>
      </c>
      <c r="AT308" s="171">
        <f t="shared" si="567"/>
        <v>5</v>
      </c>
      <c r="AU308" s="171">
        <f t="shared" si="568"/>
        <v>5</v>
      </c>
      <c r="AW308" s="109"/>
      <c r="BA308" s="109"/>
      <c r="BE308" s="109"/>
      <c r="BI308" s="109"/>
      <c r="BM308" s="109"/>
    </row>
    <row r="309" spans="1:65" ht="16.5" hidden="1" customHeight="1" x14ac:dyDescent="0.25">
      <c r="A309" s="213"/>
      <c r="B309" s="9"/>
      <c r="C309" s="50" t="s">
        <v>59</v>
      </c>
      <c r="D309" s="8"/>
      <c r="E309" s="105"/>
      <c r="F309" s="51"/>
      <c r="G309" s="51"/>
      <c r="H309" s="135"/>
      <c r="I309" s="78">
        <f>+Benelux!E309</f>
        <v>1</v>
      </c>
      <c r="J309" s="51">
        <f>+Benelux!F309</f>
        <v>1</v>
      </c>
      <c r="K309" s="51">
        <f>+Benelux!G309</f>
        <v>1</v>
      </c>
      <c r="L309" s="135"/>
      <c r="M309" s="77">
        <f>+Benelux!I309</f>
        <v>2</v>
      </c>
      <c r="N309" s="51">
        <f>+Benelux!J309</f>
        <v>2</v>
      </c>
      <c r="O309" s="51">
        <f>+Benelux!K309</f>
        <v>2</v>
      </c>
      <c r="P309" s="135"/>
      <c r="Q309" s="105"/>
      <c r="R309" s="51"/>
      <c r="S309" s="51"/>
      <c r="T309" s="135"/>
      <c r="U309" s="90">
        <f t="shared" ref="U309:U311" si="574">+((I309*$I$298)+(M309*$M$298))/$U$298</f>
        <v>1.6666666666666667</v>
      </c>
      <c r="V309" s="62">
        <f t="shared" ref="V309:V311" si="575">+((J309*$J$298)+(N309*$N$298))/$V$298</f>
        <v>1.6666666666666667</v>
      </c>
      <c r="W309" s="62">
        <f t="shared" ref="W309:W311" si="576">+((K309*$K$298)+(O309*$O$298))/$W$298</f>
        <v>1.6666666666666667</v>
      </c>
      <c r="X309" s="135"/>
      <c r="Y309" s="105"/>
      <c r="Z309" s="51"/>
      <c r="AA309" s="51"/>
      <c r="AB309" s="135"/>
      <c r="AC309" s="105"/>
      <c r="AD309" s="51"/>
      <c r="AE309" s="51"/>
      <c r="AF309" s="135"/>
      <c r="AG309" s="105"/>
      <c r="AH309" s="51"/>
      <c r="AI309" s="51"/>
      <c r="AJ309" s="135"/>
      <c r="AK309" s="105"/>
      <c r="AL309" s="51"/>
      <c r="AM309" s="51"/>
      <c r="AN309" s="135"/>
      <c r="AO309" s="103"/>
      <c r="AP309" s="62"/>
      <c r="AQ309" s="62"/>
      <c r="AR309" s="135"/>
      <c r="AS309" s="95">
        <f t="shared" si="570"/>
        <v>1.6666666666666667</v>
      </c>
      <c r="AT309" s="69">
        <f t="shared" si="567"/>
        <v>1.6666666666666667</v>
      </c>
      <c r="AU309" s="69">
        <f t="shared" si="568"/>
        <v>1.6666666666666667</v>
      </c>
      <c r="AW309" s="109"/>
      <c r="BA309" s="109"/>
      <c r="BE309" s="109"/>
      <c r="BI309" s="109"/>
      <c r="BM309" s="109"/>
    </row>
    <row r="310" spans="1:65" ht="16.5" hidden="1" customHeight="1" x14ac:dyDescent="0.25">
      <c r="A310" s="213"/>
      <c r="B310" s="9"/>
      <c r="C310" s="50" t="s">
        <v>60</v>
      </c>
      <c r="D310" s="8"/>
      <c r="E310" s="105"/>
      <c r="F310" s="51"/>
      <c r="G310" s="51"/>
      <c r="H310" s="135"/>
      <c r="I310" s="78">
        <f>+Benelux!E310</f>
        <v>1</v>
      </c>
      <c r="J310" s="51">
        <f>+Benelux!F310</f>
        <v>1</v>
      </c>
      <c r="K310" s="51">
        <f>+Benelux!G310</f>
        <v>1</v>
      </c>
      <c r="L310" s="135"/>
      <c r="M310" s="78">
        <f>+Benelux!I310</f>
        <v>2</v>
      </c>
      <c r="N310" s="51">
        <f>+Benelux!J310</f>
        <v>2</v>
      </c>
      <c r="O310" s="51">
        <f>+Benelux!K310</f>
        <v>2</v>
      </c>
      <c r="P310" s="135"/>
      <c r="Q310" s="105"/>
      <c r="R310" s="51"/>
      <c r="S310" s="51"/>
      <c r="T310" s="135"/>
      <c r="U310" s="89">
        <f t="shared" si="574"/>
        <v>1.6666666666666667</v>
      </c>
      <c r="V310" s="62">
        <f t="shared" si="575"/>
        <v>1.6666666666666667</v>
      </c>
      <c r="W310" s="62">
        <f t="shared" si="576"/>
        <v>1.6666666666666667</v>
      </c>
      <c r="X310" s="135"/>
      <c r="Y310" s="105"/>
      <c r="Z310" s="51"/>
      <c r="AA310" s="51"/>
      <c r="AB310" s="135"/>
      <c r="AC310" s="105"/>
      <c r="AD310" s="51"/>
      <c r="AE310" s="51"/>
      <c r="AF310" s="135"/>
      <c r="AG310" s="105"/>
      <c r="AH310" s="51"/>
      <c r="AI310" s="51"/>
      <c r="AJ310" s="135"/>
      <c r="AK310" s="105"/>
      <c r="AL310" s="51"/>
      <c r="AM310" s="51"/>
      <c r="AN310" s="135"/>
      <c r="AO310" s="103"/>
      <c r="AP310" s="62"/>
      <c r="AQ310" s="62"/>
      <c r="AR310" s="135"/>
      <c r="AS310" s="94">
        <f t="shared" si="570"/>
        <v>1.6666666666666667</v>
      </c>
      <c r="AT310" s="69">
        <f t="shared" si="567"/>
        <v>1.6666666666666667</v>
      </c>
      <c r="AU310" s="69">
        <f t="shared" si="568"/>
        <v>1.6666666666666667</v>
      </c>
      <c r="AW310" s="109"/>
      <c r="BA310" s="109"/>
      <c r="BE310" s="109"/>
      <c r="BI310" s="109"/>
      <c r="BM310" s="109"/>
    </row>
    <row r="311" spans="1:65" ht="16.5" hidden="1" customHeight="1" x14ac:dyDescent="0.25">
      <c r="A311" s="213"/>
      <c r="B311" s="9"/>
      <c r="C311" s="50" t="s">
        <v>61</v>
      </c>
      <c r="D311" s="8"/>
      <c r="E311" s="105"/>
      <c r="F311" s="51"/>
      <c r="G311" s="51"/>
      <c r="H311" s="135"/>
      <c r="I311" s="78">
        <f>+Benelux!E311</f>
        <v>1</v>
      </c>
      <c r="J311" s="51">
        <f>+Benelux!F311</f>
        <v>1</v>
      </c>
      <c r="K311" s="51">
        <f>+Benelux!G311</f>
        <v>1</v>
      </c>
      <c r="L311" s="135"/>
      <c r="M311" s="78">
        <f>+Benelux!I311</f>
        <v>2</v>
      </c>
      <c r="N311" s="51">
        <f>+Benelux!J311</f>
        <v>2</v>
      </c>
      <c r="O311" s="51">
        <f>+Benelux!K311</f>
        <v>2</v>
      </c>
      <c r="P311" s="135"/>
      <c r="Q311" s="105"/>
      <c r="R311" s="51"/>
      <c r="S311" s="51"/>
      <c r="T311" s="135"/>
      <c r="U311" s="89">
        <f t="shared" si="574"/>
        <v>1.6666666666666667</v>
      </c>
      <c r="V311" s="62">
        <f t="shared" si="575"/>
        <v>1.6666666666666667</v>
      </c>
      <c r="W311" s="62">
        <f t="shared" si="576"/>
        <v>1.6666666666666667</v>
      </c>
      <c r="X311" s="135"/>
      <c r="Y311" s="105"/>
      <c r="Z311" s="51"/>
      <c r="AA311" s="51"/>
      <c r="AB311" s="135"/>
      <c r="AC311" s="105"/>
      <c r="AD311" s="51"/>
      <c r="AE311" s="51"/>
      <c r="AF311" s="135"/>
      <c r="AG311" s="105"/>
      <c r="AH311" s="51"/>
      <c r="AI311" s="51"/>
      <c r="AJ311" s="135"/>
      <c r="AK311" s="105"/>
      <c r="AL311" s="51"/>
      <c r="AM311" s="51"/>
      <c r="AN311" s="135"/>
      <c r="AO311" s="103"/>
      <c r="AP311" s="62"/>
      <c r="AQ311" s="62"/>
      <c r="AR311" s="135"/>
      <c r="AS311" s="94">
        <f t="shared" si="570"/>
        <v>1.6666666666666667</v>
      </c>
      <c r="AT311" s="69">
        <f t="shared" si="567"/>
        <v>1.6666666666666667</v>
      </c>
      <c r="AU311" s="69">
        <f t="shared" si="568"/>
        <v>1.6666666666666667</v>
      </c>
      <c r="AW311" s="109"/>
      <c r="BA311" s="109"/>
      <c r="BE311" s="109"/>
      <c r="BI311" s="109"/>
      <c r="BM311" s="109"/>
    </row>
    <row r="312" spans="1:65" ht="16.5" hidden="1" customHeight="1" x14ac:dyDescent="0.25">
      <c r="A312" s="213"/>
      <c r="B312" s="9"/>
      <c r="C312" s="136" t="s">
        <v>34</v>
      </c>
      <c r="D312" s="6"/>
      <c r="E312" s="137"/>
      <c r="F312" s="138"/>
      <c r="G312" s="138"/>
      <c r="H312" s="117"/>
      <c r="I312" s="137">
        <f>+Benelux!E312</f>
        <v>1</v>
      </c>
      <c r="J312" s="138">
        <f>+Benelux!F312</f>
        <v>1</v>
      </c>
      <c r="K312" s="138">
        <f>+Benelux!G312</f>
        <v>1</v>
      </c>
      <c r="L312" s="117"/>
      <c r="M312" s="141">
        <f>+Benelux!I312</f>
        <v>2</v>
      </c>
      <c r="N312" s="138">
        <f>+Benelux!J312</f>
        <v>2</v>
      </c>
      <c r="O312" s="138">
        <f>+Benelux!K312</f>
        <v>2</v>
      </c>
      <c r="P312" s="117"/>
      <c r="Q312" s="137"/>
      <c r="R312" s="138"/>
      <c r="S312" s="138"/>
      <c r="T312" s="117"/>
      <c r="U312" s="150">
        <f t="shared" ref="U312:W312" si="577">+I312+M312</f>
        <v>3</v>
      </c>
      <c r="V312" s="140">
        <f t="shared" si="577"/>
        <v>3</v>
      </c>
      <c r="W312" s="140">
        <f t="shared" si="577"/>
        <v>3</v>
      </c>
      <c r="X312" s="117"/>
      <c r="Y312" s="137"/>
      <c r="Z312" s="138"/>
      <c r="AA312" s="138"/>
      <c r="AB312" s="117"/>
      <c r="AC312" s="137"/>
      <c r="AD312" s="138"/>
      <c r="AE312" s="138"/>
      <c r="AF312" s="117"/>
      <c r="AG312" s="137"/>
      <c r="AH312" s="138"/>
      <c r="AI312" s="138"/>
      <c r="AJ312" s="117"/>
      <c r="AK312" s="137"/>
      <c r="AL312" s="138"/>
      <c r="AM312" s="138"/>
      <c r="AN312" s="117"/>
      <c r="AO312" s="139"/>
      <c r="AP312" s="140"/>
      <c r="AQ312" s="140"/>
      <c r="AR312" s="117"/>
      <c r="AS312" s="173">
        <f t="shared" si="570"/>
        <v>3</v>
      </c>
      <c r="AT312" s="169">
        <f t="shared" si="567"/>
        <v>3</v>
      </c>
      <c r="AU312" s="169">
        <f t="shared" si="568"/>
        <v>3</v>
      </c>
      <c r="AW312" s="108"/>
      <c r="BA312" s="108"/>
      <c r="BE312" s="108"/>
      <c r="BI312" s="108"/>
      <c r="BM312" s="108"/>
    </row>
    <row r="313" spans="1:65" hidden="1" x14ac:dyDescent="0.35"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</row>
    <row r="314" spans="1:65" ht="16.5" hidden="1" customHeight="1" outlineLevel="1" x14ac:dyDescent="0.25">
      <c r="A314" s="211" t="s">
        <v>50</v>
      </c>
      <c r="B314" s="9"/>
      <c r="C314" s="136" t="s">
        <v>19</v>
      </c>
      <c r="D314" s="6"/>
      <c r="E314" s="137"/>
      <c r="F314" s="138"/>
      <c r="G314" s="138"/>
      <c r="H314" s="117"/>
      <c r="I314" s="141">
        <f>+Benelux!E314</f>
        <v>12</v>
      </c>
      <c r="J314" s="138">
        <f>+Benelux!F314</f>
        <v>12</v>
      </c>
      <c r="K314" s="138">
        <f>+Benelux!G314</f>
        <v>12</v>
      </c>
      <c r="L314" s="117"/>
      <c r="M314" s="137">
        <f>+Benelux!I314</f>
        <v>1234</v>
      </c>
      <c r="N314" s="138">
        <f>+Benelux!J314</f>
        <v>1234</v>
      </c>
      <c r="O314" s="138">
        <f>+Benelux!K314</f>
        <v>1234</v>
      </c>
      <c r="P314" s="117"/>
      <c r="Q314" s="137"/>
      <c r="R314" s="138"/>
      <c r="S314" s="138"/>
      <c r="T314" s="117"/>
      <c r="U314" s="139">
        <f t="shared" ref="U314:U315" si="578">+I314+M314</f>
        <v>1246</v>
      </c>
      <c r="V314" s="140">
        <f t="shared" ref="V314:V315" si="579">+J314+N314</f>
        <v>1246</v>
      </c>
      <c r="W314" s="140">
        <f t="shared" ref="W314:W315" si="580">+K314+O314</f>
        <v>1246</v>
      </c>
      <c r="X314" s="117"/>
      <c r="Y314" s="137"/>
      <c r="Z314" s="138"/>
      <c r="AA314" s="138"/>
      <c r="AB314" s="117"/>
      <c r="AC314" s="137"/>
      <c r="AD314" s="138"/>
      <c r="AE314" s="138"/>
      <c r="AF314" s="117"/>
      <c r="AG314" s="137"/>
      <c r="AH314" s="138"/>
      <c r="AI314" s="138"/>
      <c r="AJ314" s="117"/>
      <c r="AK314" s="137"/>
      <c r="AL314" s="138"/>
      <c r="AM314" s="138"/>
      <c r="AN314" s="117"/>
      <c r="AO314" s="139"/>
      <c r="AP314" s="140"/>
      <c r="AQ314" s="140"/>
      <c r="AR314" s="117"/>
      <c r="AS314" s="168">
        <f t="shared" ref="AS314:AS329" si="581">+U314</f>
        <v>1246</v>
      </c>
      <c r="AT314" s="169">
        <f t="shared" ref="AT314:AT329" si="582">+V314</f>
        <v>1246</v>
      </c>
      <c r="AU314" s="169">
        <f t="shared" ref="AU314:AU329" si="583">+W314</f>
        <v>1246</v>
      </c>
      <c r="AW314" s="108"/>
      <c r="BA314" s="108"/>
      <c r="BE314" s="108"/>
      <c r="BI314" s="108"/>
      <c r="BM314" s="108"/>
    </row>
    <row r="315" spans="1:65" ht="16.5" hidden="1" customHeight="1" outlineLevel="1" x14ac:dyDescent="0.25">
      <c r="A315" s="211"/>
      <c r="B315" s="9"/>
      <c r="C315" s="136" t="s">
        <v>55</v>
      </c>
      <c r="D315" s="6"/>
      <c r="E315" s="137"/>
      <c r="F315" s="138"/>
      <c r="G315" s="138"/>
      <c r="H315" s="117"/>
      <c r="I315" s="137">
        <f>+Benelux!E315</f>
        <v>12</v>
      </c>
      <c r="J315" s="138">
        <f>+Benelux!F315</f>
        <v>12</v>
      </c>
      <c r="K315" s="138">
        <f>+Benelux!G315</f>
        <v>12</v>
      </c>
      <c r="L315" s="117"/>
      <c r="M315" s="137">
        <f>+Benelux!I315</f>
        <v>1234</v>
      </c>
      <c r="N315" s="138">
        <f>+Benelux!J315</f>
        <v>1234</v>
      </c>
      <c r="O315" s="138">
        <f>+Benelux!K315</f>
        <v>1234</v>
      </c>
      <c r="P315" s="117"/>
      <c r="Q315" s="137"/>
      <c r="R315" s="138"/>
      <c r="S315" s="138"/>
      <c r="T315" s="117"/>
      <c r="U315" s="139">
        <f t="shared" si="578"/>
        <v>1246</v>
      </c>
      <c r="V315" s="140">
        <f t="shared" si="579"/>
        <v>1246</v>
      </c>
      <c r="W315" s="140">
        <f t="shared" si="580"/>
        <v>1246</v>
      </c>
      <c r="X315" s="117"/>
      <c r="Y315" s="137"/>
      <c r="Z315" s="138"/>
      <c r="AA315" s="138"/>
      <c r="AB315" s="117"/>
      <c r="AC315" s="137"/>
      <c r="AD315" s="138"/>
      <c r="AE315" s="138"/>
      <c r="AF315" s="117"/>
      <c r="AG315" s="137"/>
      <c r="AH315" s="138"/>
      <c r="AI315" s="138"/>
      <c r="AJ315" s="117"/>
      <c r="AK315" s="137"/>
      <c r="AL315" s="138"/>
      <c r="AM315" s="138"/>
      <c r="AN315" s="117"/>
      <c r="AO315" s="139"/>
      <c r="AP315" s="140"/>
      <c r="AQ315" s="140"/>
      <c r="AR315" s="117"/>
      <c r="AS315" s="168">
        <f t="shared" si="581"/>
        <v>1246</v>
      </c>
      <c r="AT315" s="169">
        <f t="shared" si="582"/>
        <v>1246</v>
      </c>
      <c r="AU315" s="169">
        <f t="shared" si="583"/>
        <v>1246</v>
      </c>
      <c r="AW315" s="108"/>
      <c r="BA315" s="108"/>
      <c r="BE315" s="108"/>
      <c r="BI315" s="108"/>
      <c r="BM315" s="108"/>
    </row>
    <row r="316" spans="1:65" ht="16.5" hidden="1" customHeight="1" outlineLevel="1" x14ac:dyDescent="0.25">
      <c r="A316" s="211"/>
      <c r="B316" s="9"/>
      <c r="C316" s="136" t="s">
        <v>21</v>
      </c>
      <c r="D316" s="6"/>
      <c r="E316" s="142"/>
      <c r="F316" s="143"/>
      <c r="G316" s="143"/>
      <c r="H316" s="117"/>
      <c r="I316" s="148">
        <f>+Benelux!E316</f>
        <v>12</v>
      </c>
      <c r="J316" s="143">
        <f>+Benelux!F316</f>
        <v>12</v>
      </c>
      <c r="K316" s="143">
        <f>+Benelux!G316</f>
        <v>12</v>
      </c>
      <c r="L316" s="117"/>
      <c r="M316" s="146">
        <f>+Benelux!I316</f>
        <v>1234</v>
      </c>
      <c r="N316" s="143">
        <f>+Benelux!J316</f>
        <v>1234</v>
      </c>
      <c r="O316" s="143">
        <f>+Benelux!K316</f>
        <v>1234</v>
      </c>
      <c r="P316" s="117"/>
      <c r="Q316" s="142"/>
      <c r="R316" s="143"/>
      <c r="S316" s="143"/>
      <c r="T316" s="117"/>
      <c r="U316" s="147">
        <f>+U317+U322+U323+U324+U325</f>
        <v>12222.3113964687</v>
      </c>
      <c r="V316" s="145">
        <f>+V317+V322+V323+V324+V325</f>
        <v>12222.3113964687</v>
      </c>
      <c r="W316" s="145">
        <f>+W317+W322+W323+W324+W325</f>
        <v>12222.3113964687</v>
      </c>
      <c r="X316" s="117"/>
      <c r="Y316" s="142"/>
      <c r="Z316" s="143"/>
      <c r="AA316" s="143"/>
      <c r="AB316" s="117"/>
      <c r="AC316" s="142"/>
      <c r="AD316" s="143"/>
      <c r="AE316" s="143"/>
      <c r="AF316" s="117"/>
      <c r="AG316" s="142"/>
      <c r="AH316" s="143"/>
      <c r="AI316" s="143"/>
      <c r="AJ316" s="117"/>
      <c r="AK316" s="142"/>
      <c r="AL316" s="143"/>
      <c r="AM316" s="143"/>
      <c r="AN316" s="117"/>
      <c r="AO316" s="144"/>
      <c r="AP316" s="145"/>
      <c r="AQ316" s="145"/>
      <c r="AR316" s="117"/>
      <c r="AS316" s="170">
        <f t="shared" si="581"/>
        <v>12222.3113964687</v>
      </c>
      <c r="AT316" s="171">
        <f t="shared" si="582"/>
        <v>12222.3113964687</v>
      </c>
      <c r="AU316" s="171">
        <f t="shared" si="583"/>
        <v>12222.3113964687</v>
      </c>
      <c r="AW316" s="109"/>
      <c r="BA316" s="109"/>
      <c r="BE316" s="109"/>
      <c r="BI316" s="109"/>
      <c r="BM316" s="109"/>
    </row>
    <row r="317" spans="1:65" ht="16.5" hidden="1" customHeight="1" outlineLevel="1" x14ac:dyDescent="0.25">
      <c r="A317" s="211"/>
      <c r="B317" s="9"/>
      <c r="C317" s="136" t="s">
        <v>56</v>
      </c>
      <c r="D317" s="6"/>
      <c r="E317" s="142"/>
      <c r="F317" s="143"/>
      <c r="G317" s="143"/>
      <c r="H317" s="117"/>
      <c r="I317" s="148">
        <f>+Benelux!E317</f>
        <v>12</v>
      </c>
      <c r="J317" s="143">
        <f>+Benelux!F317</f>
        <v>12</v>
      </c>
      <c r="K317" s="143">
        <f>+Benelux!G317</f>
        <v>12</v>
      </c>
      <c r="L317" s="117"/>
      <c r="M317" s="146">
        <f>+Benelux!I317</f>
        <v>1234</v>
      </c>
      <c r="N317" s="143">
        <f>+Benelux!J317</f>
        <v>1234</v>
      </c>
      <c r="O317" s="143">
        <f>+Benelux!K317</f>
        <v>1234</v>
      </c>
      <c r="P317" s="117"/>
      <c r="Q317" s="142"/>
      <c r="R317" s="143"/>
      <c r="S317" s="143"/>
      <c r="T317" s="117"/>
      <c r="U317" s="147">
        <f>+U318+U319+U320+U321</f>
        <v>4888.9245585874796</v>
      </c>
      <c r="V317" s="145">
        <f>+V318+V319+V320+V321</f>
        <v>4888.9245585874796</v>
      </c>
      <c r="W317" s="145">
        <f>+W318+W319+W320+W321</f>
        <v>4888.9245585874796</v>
      </c>
      <c r="X317" s="117"/>
      <c r="Y317" s="142"/>
      <c r="Z317" s="143"/>
      <c r="AA317" s="143"/>
      <c r="AB317" s="117"/>
      <c r="AC317" s="142"/>
      <c r="AD317" s="143"/>
      <c r="AE317" s="143"/>
      <c r="AF317" s="117"/>
      <c r="AG317" s="142"/>
      <c r="AH317" s="143"/>
      <c r="AI317" s="143"/>
      <c r="AJ317" s="117"/>
      <c r="AK317" s="142"/>
      <c r="AL317" s="143"/>
      <c r="AM317" s="143"/>
      <c r="AN317" s="117"/>
      <c r="AO317" s="144"/>
      <c r="AP317" s="145"/>
      <c r="AQ317" s="145"/>
      <c r="AR317" s="117"/>
      <c r="AS317" s="170">
        <f t="shared" si="581"/>
        <v>4888.9245585874796</v>
      </c>
      <c r="AT317" s="171">
        <f t="shared" si="582"/>
        <v>4888.9245585874796</v>
      </c>
      <c r="AU317" s="171">
        <f t="shared" si="583"/>
        <v>4888.9245585874796</v>
      </c>
      <c r="AW317" s="109"/>
      <c r="BA317" s="109"/>
      <c r="BE317" s="109"/>
      <c r="BI317" s="109"/>
      <c r="BM317" s="109"/>
    </row>
    <row r="318" spans="1:65" ht="16.5" hidden="1" customHeight="1" outlineLevel="1" x14ac:dyDescent="0.25">
      <c r="A318" s="211"/>
      <c r="B318" s="9"/>
      <c r="C318" s="48" t="s">
        <v>23</v>
      </c>
      <c r="D318" s="6"/>
      <c r="E318" s="105"/>
      <c r="F318" s="51"/>
      <c r="G318" s="51"/>
      <c r="H318" s="117"/>
      <c r="I318" s="77">
        <f>+Benelux!E318</f>
        <v>12</v>
      </c>
      <c r="J318" s="51">
        <f>+Benelux!F318</f>
        <v>12</v>
      </c>
      <c r="K318" s="51">
        <f>+Benelux!G318</f>
        <v>12</v>
      </c>
      <c r="L318" s="117"/>
      <c r="M318" s="78">
        <f>+Benelux!I318</f>
        <v>1234</v>
      </c>
      <c r="N318" s="51">
        <f>+Benelux!J318</f>
        <v>1234</v>
      </c>
      <c r="O318" s="51">
        <f>+Benelux!K318</f>
        <v>1234</v>
      </c>
      <c r="P318" s="117"/>
      <c r="Q318" s="105"/>
      <c r="R318" s="51"/>
      <c r="S318" s="51"/>
      <c r="T318" s="117"/>
      <c r="U318" s="89">
        <f>+((I318*$I$315)+(M318*$M$315))/$U$315</f>
        <v>1222.2311396468699</v>
      </c>
      <c r="V318" s="62">
        <f>+((J318*$J$315)+(N318*$N$315))/$V$315</f>
        <v>1222.2311396468699</v>
      </c>
      <c r="W318" s="62">
        <f>+((K318*$K$315)+(O318*$O$315))/$W$315</f>
        <v>1222.2311396468699</v>
      </c>
      <c r="X318" s="117"/>
      <c r="Y318" s="105"/>
      <c r="Z318" s="51"/>
      <c r="AA318" s="51"/>
      <c r="AB318" s="117"/>
      <c r="AC318" s="105"/>
      <c r="AD318" s="51"/>
      <c r="AE318" s="51"/>
      <c r="AF318" s="117"/>
      <c r="AG318" s="105"/>
      <c r="AH318" s="51"/>
      <c r="AI318" s="51"/>
      <c r="AJ318" s="117"/>
      <c r="AK318" s="105"/>
      <c r="AL318" s="51"/>
      <c r="AM318" s="51"/>
      <c r="AN318" s="117"/>
      <c r="AO318" s="103"/>
      <c r="AP318" s="62"/>
      <c r="AQ318" s="62"/>
      <c r="AR318" s="117"/>
      <c r="AS318" s="94">
        <f t="shared" si="581"/>
        <v>1222.2311396468699</v>
      </c>
      <c r="AT318" s="69">
        <f t="shared" si="582"/>
        <v>1222.2311396468699</v>
      </c>
      <c r="AU318" s="69">
        <f t="shared" si="583"/>
        <v>1222.2311396468699</v>
      </c>
      <c r="AW318" s="109"/>
      <c r="BA318" s="109"/>
      <c r="BE318" s="109"/>
      <c r="BI318" s="109"/>
      <c r="BM318" s="109"/>
    </row>
    <row r="319" spans="1:65" ht="16.5" hidden="1" customHeight="1" outlineLevel="1" x14ac:dyDescent="0.25">
      <c r="A319" s="211"/>
      <c r="B319" s="9"/>
      <c r="C319" s="48" t="s">
        <v>24</v>
      </c>
      <c r="D319" s="7"/>
      <c r="E319" s="105"/>
      <c r="F319" s="51"/>
      <c r="G319" s="51"/>
      <c r="H319" s="134"/>
      <c r="I319" s="105">
        <f>+Benelux!E319</f>
        <v>12</v>
      </c>
      <c r="J319" s="51">
        <f>+Benelux!F319</f>
        <v>12</v>
      </c>
      <c r="K319" s="51">
        <f>+Benelux!G319</f>
        <v>12</v>
      </c>
      <c r="L319" s="134"/>
      <c r="M319" s="105">
        <f>+Benelux!I319</f>
        <v>1234</v>
      </c>
      <c r="N319" s="51">
        <f>+Benelux!J319</f>
        <v>1234</v>
      </c>
      <c r="O319" s="51">
        <f>+Benelux!K319</f>
        <v>1234</v>
      </c>
      <c r="P319" s="134"/>
      <c r="Q319" s="105"/>
      <c r="R319" s="51"/>
      <c r="S319" s="51"/>
      <c r="T319" s="134"/>
      <c r="U319" s="103">
        <f t="shared" ref="U319:U324" si="584">+((I319*$I$315)+(M319*$M$315))/$U$315</f>
        <v>1222.2311396468699</v>
      </c>
      <c r="V319" s="62">
        <f t="shared" ref="V319:V324" si="585">+((J319*$J$315)+(N319*$N$315))/$V$315</f>
        <v>1222.2311396468699</v>
      </c>
      <c r="W319" s="62">
        <f t="shared" ref="W319:W324" si="586">+((K319*$K$315)+(O319*$O$315))/$W$315</f>
        <v>1222.2311396468699</v>
      </c>
      <c r="X319" s="134"/>
      <c r="Y319" s="105"/>
      <c r="Z319" s="51"/>
      <c r="AA319" s="51"/>
      <c r="AB319" s="134"/>
      <c r="AC319" s="105"/>
      <c r="AD319" s="51"/>
      <c r="AE319" s="51"/>
      <c r="AF319" s="134"/>
      <c r="AG319" s="105"/>
      <c r="AH319" s="51"/>
      <c r="AI319" s="51"/>
      <c r="AJ319" s="134"/>
      <c r="AK319" s="105"/>
      <c r="AL319" s="51"/>
      <c r="AM319" s="51"/>
      <c r="AN319" s="134"/>
      <c r="AO319" s="103"/>
      <c r="AP319" s="62"/>
      <c r="AQ319" s="62"/>
      <c r="AR319" s="134"/>
      <c r="AS319" s="107">
        <f t="shared" si="581"/>
        <v>1222.2311396468699</v>
      </c>
      <c r="AT319" s="69">
        <f t="shared" si="582"/>
        <v>1222.2311396468699</v>
      </c>
      <c r="AU319" s="69">
        <f t="shared" si="583"/>
        <v>1222.2311396468699</v>
      </c>
      <c r="AW319" s="109"/>
      <c r="BA319" s="109"/>
      <c r="BE319" s="109"/>
      <c r="BI319" s="109"/>
      <c r="BM319" s="109"/>
    </row>
    <row r="320" spans="1:65" ht="16.5" hidden="1" customHeight="1" outlineLevel="1" x14ac:dyDescent="0.25">
      <c r="A320" s="211"/>
      <c r="B320" s="9"/>
      <c r="C320" s="48" t="s">
        <v>25</v>
      </c>
      <c r="D320" s="7"/>
      <c r="E320" s="105"/>
      <c r="F320" s="51"/>
      <c r="G320" s="51"/>
      <c r="H320" s="134"/>
      <c r="I320" s="105">
        <f>+Benelux!E320</f>
        <v>12</v>
      </c>
      <c r="J320" s="51">
        <f>+Benelux!F320</f>
        <v>12</v>
      </c>
      <c r="K320" s="51">
        <f>+Benelux!G320</f>
        <v>12</v>
      </c>
      <c r="L320" s="134"/>
      <c r="M320" s="105">
        <f>+Benelux!I320</f>
        <v>1234</v>
      </c>
      <c r="N320" s="51">
        <f>+Benelux!J320</f>
        <v>1234</v>
      </c>
      <c r="O320" s="51">
        <f>+Benelux!K320</f>
        <v>1234</v>
      </c>
      <c r="P320" s="134"/>
      <c r="Q320" s="105"/>
      <c r="R320" s="51"/>
      <c r="S320" s="51"/>
      <c r="T320" s="134"/>
      <c r="U320" s="103">
        <f t="shared" si="584"/>
        <v>1222.2311396468699</v>
      </c>
      <c r="V320" s="62">
        <f t="shared" si="585"/>
        <v>1222.2311396468699</v>
      </c>
      <c r="W320" s="62">
        <f t="shared" si="586"/>
        <v>1222.2311396468699</v>
      </c>
      <c r="X320" s="134"/>
      <c r="Y320" s="105"/>
      <c r="Z320" s="51"/>
      <c r="AA320" s="51"/>
      <c r="AB320" s="134"/>
      <c r="AC320" s="105"/>
      <c r="AD320" s="51"/>
      <c r="AE320" s="51"/>
      <c r="AF320" s="134"/>
      <c r="AG320" s="105"/>
      <c r="AH320" s="51"/>
      <c r="AI320" s="51"/>
      <c r="AJ320" s="134"/>
      <c r="AK320" s="105"/>
      <c r="AL320" s="51"/>
      <c r="AM320" s="51"/>
      <c r="AN320" s="134"/>
      <c r="AO320" s="103"/>
      <c r="AP320" s="62"/>
      <c r="AQ320" s="62"/>
      <c r="AR320" s="134"/>
      <c r="AS320" s="107">
        <f t="shared" si="581"/>
        <v>1222.2311396468699</v>
      </c>
      <c r="AT320" s="69">
        <f t="shared" si="582"/>
        <v>1222.2311396468699</v>
      </c>
      <c r="AU320" s="69">
        <f t="shared" si="583"/>
        <v>1222.2311396468699</v>
      </c>
      <c r="AW320" s="109"/>
      <c r="BA320" s="109"/>
      <c r="BE320" s="109"/>
      <c r="BI320" s="109"/>
      <c r="BM320" s="109"/>
    </row>
    <row r="321" spans="1:65" ht="16.5" hidden="1" customHeight="1" outlineLevel="1" x14ac:dyDescent="0.25">
      <c r="A321" s="211"/>
      <c r="B321" s="9"/>
      <c r="C321" s="48" t="s">
        <v>53</v>
      </c>
      <c r="D321" s="7"/>
      <c r="E321" s="105"/>
      <c r="F321" s="51"/>
      <c r="G321" s="51"/>
      <c r="H321" s="134"/>
      <c r="I321" s="77">
        <f>+Benelux!E321</f>
        <v>12</v>
      </c>
      <c r="J321" s="51">
        <f>+Benelux!F321</f>
        <v>12</v>
      </c>
      <c r="K321" s="51">
        <f>+Benelux!G321</f>
        <v>12</v>
      </c>
      <c r="L321" s="134"/>
      <c r="M321" s="78">
        <f>+Benelux!I321</f>
        <v>1234</v>
      </c>
      <c r="N321" s="51">
        <f>+Benelux!J321</f>
        <v>1234</v>
      </c>
      <c r="O321" s="51">
        <f>+Benelux!K321</f>
        <v>1234</v>
      </c>
      <c r="P321" s="134"/>
      <c r="Q321" s="105"/>
      <c r="R321" s="51"/>
      <c r="S321" s="51"/>
      <c r="T321" s="134"/>
      <c r="U321" s="89">
        <f t="shared" si="584"/>
        <v>1222.2311396468699</v>
      </c>
      <c r="V321" s="62">
        <f t="shared" si="585"/>
        <v>1222.2311396468699</v>
      </c>
      <c r="W321" s="62">
        <f t="shared" si="586"/>
        <v>1222.2311396468699</v>
      </c>
      <c r="X321" s="134"/>
      <c r="Y321" s="105"/>
      <c r="Z321" s="51"/>
      <c r="AA321" s="51"/>
      <c r="AB321" s="134"/>
      <c r="AC321" s="105"/>
      <c r="AD321" s="51"/>
      <c r="AE321" s="51"/>
      <c r="AF321" s="134"/>
      <c r="AG321" s="105"/>
      <c r="AH321" s="51"/>
      <c r="AI321" s="51"/>
      <c r="AJ321" s="134"/>
      <c r="AK321" s="105"/>
      <c r="AL321" s="51"/>
      <c r="AM321" s="51"/>
      <c r="AN321" s="134"/>
      <c r="AO321" s="103"/>
      <c r="AP321" s="62"/>
      <c r="AQ321" s="62"/>
      <c r="AR321" s="134"/>
      <c r="AS321" s="94">
        <f t="shared" si="581"/>
        <v>1222.2311396468699</v>
      </c>
      <c r="AT321" s="69">
        <f t="shared" si="582"/>
        <v>1222.2311396468699</v>
      </c>
      <c r="AU321" s="69">
        <f t="shared" si="583"/>
        <v>1222.2311396468699</v>
      </c>
      <c r="AW321" s="109"/>
      <c r="BA321" s="109"/>
      <c r="BE321" s="109"/>
      <c r="BI321" s="109"/>
      <c r="BM321" s="109"/>
    </row>
    <row r="322" spans="1:65" ht="16.5" hidden="1" customHeight="1" outlineLevel="1" x14ac:dyDescent="0.25">
      <c r="A322" s="211"/>
      <c r="B322" s="9"/>
      <c r="C322" s="136" t="s">
        <v>27</v>
      </c>
      <c r="D322" s="7"/>
      <c r="E322" s="142"/>
      <c r="F322" s="143"/>
      <c r="G322" s="143"/>
      <c r="H322" s="134"/>
      <c r="I322" s="146">
        <f>+Benelux!E322</f>
        <v>12</v>
      </c>
      <c r="J322" s="143">
        <f>+Benelux!F322</f>
        <v>12</v>
      </c>
      <c r="K322" s="143">
        <f>+Benelux!G322</f>
        <v>12</v>
      </c>
      <c r="L322" s="134"/>
      <c r="M322" s="146">
        <f>+Benelux!I322</f>
        <v>1234</v>
      </c>
      <c r="N322" s="143">
        <f>+Benelux!J322</f>
        <v>1234</v>
      </c>
      <c r="O322" s="143">
        <f>+Benelux!K322</f>
        <v>1234</v>
      </c>
      <c r="P322" s="134"/>
      <c r="Q322" s="142"/>
      <c r="R322" s="143"/>
      <c r="S322" s="143"/>
      <c r="T322" s="134"/>
      <c r="U322" s="147">
        <f t="shared" si="584"/>
        <v>1222.2311396468699</v>
      </c>
      <c r="V322" s="145">
        <f t="shared" si="585"/>
        <v>1222.2311396468699</v>
      </c>
      <c r="W322" s="145">
        <f t="shared" si="586"/>
        <v>1222.2311396468699</v>
      </c>
      <c r="X322" s="134"/>
      <c r="Y322" s="142"/>
      <c r="Z322" s="143"/>
      <c r="AA322" s="143"/>
      <c r="AB322" s="134"/>
      <c r="AC322" s="142"/>
      <c r="AD322" s="143"/>
      <c r="AE322" s="143"/>
      <c r="AF322" s="134"/>
      <c r="AG322" s="142"/>
      <c r="AH322" s="143"/>
      <c r="AI322" s="143"/>
      <c r="AJ322" s="134"/>
      <c r="AK322" s="142"/>
      <c r="AL322" s="143"/>
      <c r="AM322" s="143"/>
      <c r="AN322" s="134"/>
      <c r="AO322" s="144"/>
      <c r="AP322" s="145"/>
      <c r="AQ322" s="145"/>
      <c r="AR322" s="134"/>
      <c r="AS322" s="170">
        <f t="shared" si="581"/>
        <v>1222.2311396468699</v>
      </c>
      <c r="AT322" s="171">
        <f t="shared" si="582"/>
        <v>1222.2311396468699</v>
      </c>
      <c r="AU322" s="171">
        <f t="shared" si="583"/>
        <v>1222.2311396468699</v>
      </c>
      <c r="AW322" s="109"/>
      <c r="BA322" s="109"/>
      <c r="BE322" s="109"/>
      <c r="BI322" s="109"/>
      <c r="BM322" s="109"/>
    </row>
    <row r="323" spans="1:65" ht="16.5" hidden="1" customHeight="1" outlineLevel="1" x14ac:dyDescent="0.25">
      <c r="A323" s="211"/>
      <c r="B323" s="9"/>
      <c r="C323" s="136" t="s">
        <v>57</v>
      </c>
      <c r="D323" s="7"/>
      <c r="E323" s="142"/>
      <c r="F323" s="143"/>
      <c r="G323" s="143"/>
      <c r="H323" s="134"/>
      <c r="I323" s="148">
        <f>+Benelux!E323</f>
        <v>12</v>
      </c>
      <c r="J323" s="143">
        <f>+Benelux!F323</f>
        <v>12</v>
      </c>
      <c r="K323" s="143">
        <f>+Benelux!G323</f>
        <v>12</v>
      </c>
      <c r="L323" s="134"/>
      <c r="M323" s="146">
        <f>+Benelux!I323</f>
        <v>1234</v>
      </c>
      <c r="N323" s="143">
        <f>+Benelux!J323</f>
        <v>1234</v>
      </c>
      <c r="O323" s="143">
        <f>+Benelux!K323</f>
        <v>1234</v>
      </c>
      <c r="P323" s="134"/>
      <c r="Q323" s="142"/>
      <c r="R323" s="143"/>
      <c r="S323" s="143"/>
      <c r="T323" s="134"/>
      <c r="U323" s="149">
        <f t="shared" si="584"/>
        <v>1222.2311396468699</v>
      </c>
      <c r="V323" s="145">
        <f t="shared" si="585"/>
        <v>1222.2311396468699</v>
      </c>
      <c r="W323" s="145">
        <f t="shared" si="586"/>
        <v>1222.2311396468699</v>
      </c>
      <c r="X323" s="134"/>
      <c r="Y323" s="142"/>
      <c r="Z323" s="143"/>
      <c r="AA323" s="143"/>
      <c r="AB323" s="134"/>
      <c r="AC323" s="142"/>
      <c r="AD323" s="143"/>
      <c r="AE323" s="143"/>
      <c r="AF323" s="134"/>
      <c r="AG323" s="142"/>
      <c r="AH323" s="143"/>
      <c r="AI323" s="143"/>
      <c r="AJ323" s="134"/>
      <c r="AK323" s="142"/>
      <c r="AL323" s="143"/>
      <c r="AM323" s="143"/>
      <c r="AN323" s="134"/>
      <c r="AO323" s="144"/>
      <c r="AP323" s="145"/>
      <c r="AQ323" s="145"/>
      <c r="AR323" s="134"/>
      <c r="AS323" s="172">
        <f t="shared" si="581"/>
        <v>1222.2311396468699</v>
      </c>
      <c r="AT323" s="171">
        <f t="shared" si="582"/>
        <v>1222.2311396468699</v>
      </c>
      <c r="AU323" s="171">
        <f t="shared" si="583"/>
        <v>1222.2311396468699</v>
      </c>
      <c r="AW323" s="109"/>
      <c r="BA323" s="109"/>
      <c r="BE323" s="109"/>
      <c r="BI323" s="109"/>
      <c r="BM323" s="109"/>
    </row>
    <row r="324" spans="1:65" ht="16.5" hidden="1" customHeight="1" outlineLevel="1" x14ac:dyDescent="0.25">
      <c r="A324" s="211"/>
      <c r="B324" s="9"/>
      <c r="C324" s="136" t="s">
        <v>29</v>
      </c>
      <c r="D324" s="7"/>
      <c r="E324" s="142"/>
      <c r="F324" s="143"/>
      <c r="G324" s="143"/>
      <c r="H324" s="134"/>
      <c r="I324" s="146">
        <f>+Benelux!E324</f>
        <v>12</v>
      </c>
      <c r="J324" s="143">
        <f>+Benelux!F324</f>
        <v>12</v>
      </c>
      <c r="K324" s="143">
        <f>+Benelux!G324</f>
        <v>12</v>
      </c>
      <c r="L324" s="134"/>
      <c r="M324" s="146">
        <f>+Benelux!I324</f>
        <v>1234</v>
      </c>
      <c r="N324" s="143">
        <f>+Benelux!J324</f>
        <v>1234</v>
      </c>
      <c r="O324" s="143">
        <f>+Benelux!K324</f>
        <v>1234</v>
      </c>
      <c r="P324" s="134"/>
      <c r="Q324" s="142"/>
      <c r="R324" s="143"/>
      <c r="S324" s="143"/>
      <c r="T324" s="134"/>
      <c r="U324" s="147">
        <f t="shared" si="584"/>
        <v>1222.2311396468699</v>
      </c>
      <c r="V324" s="145">
        <f t="shared" si="585"/>
        <v>1222.2311396468699</v>
      </c>
      <c r="W324" s="145">
        <f t="shared" si="586"/>
        <v>1222.2311396468699</v>
      </c>
      <c r="X324" s="134"/>
      <c r="Y324" s="142"/>
      <c r="Z324" s="143"/>
      <c r="AA324" s="143"/>
      <c r="AB324" s="134"/>
      <c r="AC324" s="142"/>
      <c r="AD324" s="143"/>
      <c r="AE324" s="143"/>
      <c r="AF324" s="134"/>
      <c r="AG324" s="142"/>
      <c r="AH324" s="143"/>
      <c r="AI324" s="143"/>
      <c r="AJ324" s="134"/>
      <c r="AK324" s="142"/>
      <c r="AL324" s="143"/>
      <c r="AM324" s="143"/>
      <c r="AN324" s="134"/>
      <c r="AO324" s="144"/>
      <c r="AP324" s="145"/>
      <c r="AQ324" s="145"/>
      <c r="AR324" s="134"/>
      <c r="AS324" s="170">
        <f t="shared" si="581"/>
        <v>1222.2311396468699</v>
      </c>
      <c r="AT324" s="171">
        <f t="shared" si="582"/>
        <v>1222.2311396468699</v>
      </c>
      <c r="AU324" s="171">
        <f t="shared" si="583"/>
        <v>1222.2311396468699</v>
      </c>
      <c r="AW324" s="109"/>
      <c r="BA324" s="109"/>
      <c r="BE324" s="109"/>
      <c r="BI324" s="109"/>
      <c r="BM324" s="109"/>
    </row>
    <row r="325" spans="1:65" ht="16.5" hidden="1" customHeight="1" outlineLevel="1" x14ac:dyDescent="0.25">
      <c r="A325" s="211"/>
      <c r="B325" s="9"/>
      <c r="C325" s="136" t="s">
        <v>58</v>
      </c>
      <c r="D325" s="7"/>
      <c r="E325" s="142"/>
      <c r="F325" s="143"/>
      <c r="G325" s="143"/>
      <c r="H325" s="134"/>
      <c r="I325" s="146">
        <f>+Benelux!E325</f>
        <v>12</v>
      </c>
      <c r="J325" s="143">
        <f>+Benelux!F325</f>
        <v>12</v>
      </c>
      <c r="K325" s="143">
        <f>+Benelux!G325</f>
        <v>12</v>
      </c>
      <c r="L325" s="134"/>
      <c r="M325" s="146">
        <f>+Benelux!I325</f>
        <v>1234</v>
      </c>
      <c r="N325" s="143">
        <f>+Benelux!J325</f>
        <v>1234</v>
      </c>
      <c r="O325" s="143">
        <f>+Benelux!K325</f>
        <v>1234</v>
      </c>
      <c r="P325" s="134"/>
      <c r="Q325" s="142"/>
      <c r="R325" s="143"/>
      <c r="S325" s="143"/>
      <c r="T325" s="134"/>
      <c r="U325" s="147">
        <f>+U326+U327+U328</f>
        <v>3666.6934189406097</v>
      </c>
      <c r="V325" s="145">
        <f>+V326+V327+V328</f>
        <v>3666.6934189406097</v>
      </c>
      <c r="W325" s="145">
        <f>+W326+W327+W328</f>
        <v>3666.6934189406097</v>
      </c>
      <c r="X325" s="134"/>
      <c r="Y325" s="142"/>
      <c r="Z325" s="143"/>
      <c r="AA325" s="143"/>
      <c r="AB325" s="134"/>
      <c r="AC325" s="142"/>
      <c r="AD325" s="143"/>
      <c r="AE325" s="143"/>
      <c r="AF325" s="134"/>
      <c r="AG325" s="142"/>
      <c r="AH325" s="143"/>
      <c r="AI325" s="143"/>
      <c r="AJ325" s="134"/>
      <c r="AK325" s="142"/>
      <c r="AL325" s="143"/>
      <c r="AM325" s="143"/>
      <c r="AN325" s="134"/>
      <c r="AO325" s="144"/>
      <c r="AP325" s="145"/>
      <c r="AQ325" s="145"/>
      <c r="AR325" s="134"/>
      <c r="AS325" s="170">
        <f t="shared" si="581"/>
        <v>3666.6934189406097</v>
      </c>
      <c r="AT325" s="171">
        <f t="shared" si="582"/>
        <v>3666.6934189406097</v>
      </c>
      <c r="AU325" s="171">
        <f t="shared" si="583"/>
        <v>3666.6934189406097</v>
      </c>
      <c r="AW325" s="109"/>
      <c r="BA325" s="109"/>
      <c r="BE325" s="109"/>
      <c r="BI325" s="109"/>
      <c r="BM325" s="109"/>
    </row>
    <row r="326" spans="1:65" ht="16.5" hidden="1" customHeight="1" outlineLevel="1" x14ac:dyDescent="0.25">
      <c r="A326" s="211"/>
      <c r="B326" s="9"/>
      <c r="C326" s="50" t="s">
        <v>59</v>
      </c>
      <c r="D326" s="8"/>
      <c r="E326" s="105"/>
      <c r="F326" s="51"/>
      <c r="G326" s="51"/>
      <c r="H326" s="135"/>
      <c r="I326" s="78">
        <f>+Benelux!E326</f>
        <v>12</v>
      </c>
      <c r="J326" s="51">
        <f>+Benelux!F326</f>
        <v>12</v>
      </c>
      <c r="K326" s="51">
        <f>+Benelux!G326</f>
        <v>12</v>
      </c>
      <c r="L326" s="135"/>
      <c r="M326" s="78">
        <f>+Benelux!I326</f>
        <v>1234</v>
      </c>
      <c r="N326" s="51">
        <f>+Benelux!J326</f>
        <v>1234</v>
      </c>
      <c r="O326" s="51">
        <f>+Benelux!K326</f>
        <v>1234</v>
      </c>
      <c r="P326" s="135"/>
      <c r="Q326" s="105"/>
      <c r="R326" s="51"/>
      <c r="S326" s="51"/>
      <c r="T326" s="135"/>
      <c r="U326" s="89">
        <f t="shared" ref="U326:U328" si="587">+((I326*$I$315)+(M326*$M$315))/$U$315</f>
        <v>1222.2311396468699</v>
      </c>
      <c r="V326" s="62">
        <f t="shared" ref="V326:V328" si="588">+((J326*$J$315)+(N326*$N$315))/$V$315</f>
        <v>1222.2311396468699</v>
      </c>
      <c r="W326" s="62">
        <f t="shared" ref="W326:W328" si="589">+((K326*$K$315)+(O326*$O$315))/$W$315</f>
        <v>1222.2311396468699</v>
      </c>
      <c r="X326" s="135"/>
      <c r="Y326" s="105"/>
      <c r="Z326" s="51"/>
      <c r="AA326" s="51"/>
      <c r="AB326" s="135"/>
      <c r="AC326" s="105"/>
      <c r="AD326" s="51"/>
      <c r="AE326" s="51"/>
      <c r="AF326" s="135"/>
      <c r="AG326" s="105"/>
      <c r="AH326" s="51"/>
      <c r="AI326" s="51"/>
      <c r="AJ326" s="135"/>
      <c r="AK326" s="105"/>
      <c r="AL326" s="51"/>
      <c r="AM326" s="51"/>
      <c r="AN326" s="135"/>
      <c r="AO326" s="103"/>
      <c r="AP326" s="62"/>
      <c r="AQ326" s="62"/>
      <c r="AR326" s="135"/>
      <c r="AS326" s="94">
        <f t="shared" si="581"/>
        <v>1222.2311396468699</v>
      </c>
      <c r="AT326" s="69">
        <f t="shared" si="582"/>
        <v>1222.2311396468699</v>
      </c>
      <c r="AU326" s="69">
        <f t="shared" si="583"/>
        <v>1222.2311396468699</v>
      </c>
      <c r="AW326" s="109"/>
      <c r="BA326" s="109"/>
      <c r="BE326" s="109"/>
      <c r="BI326" s="109"/>
      <c r="BM326" s="109"/>
    </row>
    <row r="327" spans="1:65" ht="16.5" hidden="1" customHeight="1" outlineLevel="1" x14ac:dyDescent="0.25">
      <c r="A327" s="211"/>
      <c r="B327" s="9"/>
      <c r="C327" s="50" t="s">
        <v>60</v>
      </c>
      <c r="D327" s="8"/>
      <c r="E327" s="105"/>
      <c r="F327" s="51"/>
      <c r="G327" s="51"/>
      <c r="H327" s="135"/>
      <c r="I327" s="105">
        <f>+Benelux!E327</f>
        <v>12</v>
      </c>
      <c r="J327" s="51">
        <f>+Benelux!F327</f>
        <v>12</v>
      </c>
      <c r="K327" s="51">
        <f>+Benelux!G327</f>
        <v>12</v>
      </c>
      <c r="L327" s="135"/>
      <c r="M327" s="105">
        <f>+Benelux!I327</f>
        <v>1234</v>
      </c>
      <c r="N327" s="51">
        <f>+Benelux!J327</f>
        <v>1234</v>
      </c>
      <c r="O327" s="51">
        <f>+Benelux!K327</f>
        <v>1234</v>
      </c>
      <c r="P327" s="135"/>
      <c r="Q327" s="105"/>
      <c r="R327" s="51"/>
      <c r="S327" s="51"/>
      <c r="T327" s="135"/>
      <c r="U327" s="103">
        <f t="shared" si="587"/>
        <v>1222.2311396468699</v>
      </c>
      <c r="V327" s="62">
        <f t="shared" si="588"/>
        <v>1222.2311396468699</v>
      </c>
      <c r="W327" s="62">
        <f t="shared" si="589"/>
        <v>1222.2311396468699</v>
      </c>
      <c r="X327" s="135"/>
      <c r="Y327" s="105"/>
      <c r="Z327" s="51"/>
      <c r="AA327" s="51"/>
      <c r="AB327" s="135"/>
      <c r="AC327" s="105"/>
      <c r="AD327" s="51"/>
      <c r="AE327" s="51"/>
      <c r="AF327" s="135"/>
      <c r="AG327" s="105"/>
      <c r="AH327" s="51"/>
      <c r="AI327" s="51"/>
      <c r="AJ327" s="135"/>
      <c r="AK327" s="105"/>
      <c r="AL327" s="51"/>
      <c r="AM327" s="51"/>
      <c r="AN327" s="135"/>
      <c r="AO327" s="103"/>
      <c r="AP327" s="62"/>
      <c r="AQ327" s="62"/>
      <c r="AR327" s="135"/>
      <c r="AS327" s="107">
        <f t="shared" si="581"/>
        <v>1222.2311396468699</v>
      </c>
      <c r="AT327" s="69">
        <f t="shared" si="582"/>
        <v>1222.2311396468699</v>
      </c>
      <c r="AU327" s="69">
        <f t="shared" si="583"/>
        <v>1222.2311396468699</v>
      </c>
      <c r="AW327" s="109"/>
      <c r="BA327" s="109"/>
      <c r="BE327" s="109"/>
      <c r="BI327" s="109"/>
      <c r="BM327" s="109"/>
    </row>
    <row r="328" spans="1:65" ht="16.5" hidden="1" customHeight="1" outlineLevel="1" x14ac:dyDescent="0.25">
      <c r="A328" s="211"/>
      <c r="B328" s="9"/>
      <c r="C328" s="50" t="s">
        <v>61</v>
      </c>
      <c r="D328" s="8"/>
      <c r="E328" s="105"/>
      <c r="F328" s="51"/>
      <c r="G328" s="51"/>
      <c r="H328" s="135"/>
      <c r="I328" s="105">
        <f>+Benelux!E328</f>
        <v>12</v>
      </c>
      <c r="J328" s="51">
        <f>+Benelux!F328</f>
        <v>12</v>
      </c>
      <c r="K328" s="51">
        <f>+Benelux!G328</f>
        <v>12</v>
      </c>
      <c r="L328" s="135"/>
      <c r="M328" s="78">
        <f>+Benelux!I328</f>
        <v>1234</v>
      </c>
      <c r="N328" s="51">
        <f>+Benelux!J328</f>
        <v>1234</v>
      </c>
      <c r="O328" s="51">
        <f>+Benelux!K328</f>
        <v>1234</v>
      </c>
      <c r="P328" s="135"/>
      <c r="Q328" s="105"/>
      <c r="R328" s="51"/>
      <c r="S328" s="51"/>
      <c r="T328" s="135"/>
      <c r="U328" s="89">
        <f t="shared" si="587"/>
        <v>1222.2311396468699</v>
      </c>
      <c r="V328" s="62">
        <f t="shared" si="588"/>
        <v>1222.2311396468699</v>
      </c>
      <c r="W328" s="62">
        <f t="shared" si="589"/>
        <v>1222.2311396468699</v>
      </c>
      <c r="X328" s="135"/>
      <c r="Y328" s="105"/>
      <c r="Z328" s="51"/>
      <c r="AA328" s="51"/>
      <c r="AB328" s="135"/>
      <c r="AC328" s="105"/>
      <c r="AD328" s="51"/>
      <c r="AE328" s="51"/>
      <c r="AF328" s="135"/>
      <c r="AG328" s="105"/>
      <c r="AH328" s="51"/>
      <c r="AI328" s="51"/>
      <c r="AJ328" s="135"/>
      <c r="AK328" s="105"/>
      <c r="AL328" s="51"/>
      <c r="AM328" s="51"/>
      <c r="AN328" s="135"/>
      <c r="AO328" s="103"/>
      <c r="AP328" s="62"/>
      <c r="AQ328" s="62"/>
      <c r="AR328" s="135"/>
      <c r="AS328" s="94">
        <f t="shared" si="581"/>
        <v>1222.2311396468699</v>
      </c>
      <c r="AT328" s="69">
        <f t="shared" si="582"/>
        <v>1222.2311396468699</v>
      </c>
      <c r="AU328" s="69">
        <f t="shared" si="583"/>
        <v>1222.2311396468699</v>
      </c>
      <c r="AW328" s="109"/>
      <c r="BA328" s="109"/>
      <c r="BE328" s="109"/>
      <c r="BI328" s="109"/>
      <c r="BM328" s="109"/>
    </row>
    <row r="329" spans="1:65" ht="16.5" hidden="1" customHeight="1" outlineLevel="1" x14ac:dyDescent="0.25">
      <c r="A329" s="211"/>
      <c r="B329" s="9"/>
      <c r="C329" s="136" t="s">
        <v>34</v>
      </c>
      <c r="D329" s="6"/>
      <c r="E329" s="137"/>
      <c r="F329" s="138"/>
      <c r="G329" s="138"/>
      <c r="H329" s="117"/>
      <c r="I329" s="137">
        <f>+Benelux!E329</f>
        <v>12</v>
      </c>
      <c r="J329" s="138">
        <f>+Benelux!F329</f>
        <v>12</v>
      </c>
      <c r="K329" s="138">
        <f>+Benelux!G329</f>
        <v>12</v>
      </c>
      <c r="L329" s="117"/>
      <c r="M329" s="141">
        <f>+Benelux!I329</f>
        <v>1234</v>
      </c>
      <c r="N329" s="138">
        <f>+Benelux!J329</f>
        <v>1234</v>
      </c>
      <c r="O329" s="138">
        <f>+Benelux!K329</f>
        <v>1234</v>
      </c>
      <c r="P329" s="117"/>
      <c r="Q329" s="137"/>
      <c r="R329" s="138"/>
      <c r="S329" s="138"/>
      <c r="T329" s="117"/>
      <c r="U329" s="150">
        <f t="shared" ref="U329:W329" si="590">+I329+M329</f>
        <v>1246</v>
      </c>
      <c r="V329" s="140">
        <f t="shared" si="590"/>
        <v>1246</v>
      </c>
      <c r="W329" s="140">
        <f t="shared" si="590"/>
        <v>1246</v>
      </c>
      <c r="X329" s="117"/>
      <c r="Y329" s="137"/>
      <c r="Z329" s="138"/>
      <c r="AA329" s="138"/>
      <c r="AB329" s="117"/>
      <c r="AC329" s="137"/>
      <c r="AD329" s="138"/>
      <c r="AE329" s="138"/>
      <c r="AF329" s="117"/>
      <c r="AG329" s="137"/>
      <c r="AH329" s="138"/>
      <c r="AI329" s="138"/>
      <c r="AJ329" s="117"/>
      <c r="AK329" s="137"/>
      <c r="AL329" s="138"/>
      <c r="AM329" s="138"/>
      <c r="AN329" s="117"/>
      <c r="AO329" s="139"/>
      <c r="AP329" s="140"/>
      <c r="AQ329" s="140"/>
      <c r="AR329" s="117"/>
      <c r="AS329" s="173">
        <f t="shared" si="581"/>
        <v>1246</v>
      </c>
      <c r="AT329" s="169">
        <f t="shared" si="582"/>
        <v>1246</v>
      </c>
      <c r="AU329" s="169">
        <f t="shared" si="583"/>
        <v>1246</v>
      </c>
      <c r="AW329" s="108"/>
      <c r="BA329" s="108"/>
      <c r="BE329" s="108"/>
      <c r="BI329" s="108"/>
      <c r="BM329" s="108"/>
    </row>
    <row r="330" spans="1:65" hidden="1" outlineLevel="1" x14ac:dyDescent="0.35"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</row>
    <row r="331" spans="1:65" ht="16.5" hidden="1" customHeight="1" outlineLevel="1" x14ac:dyDescent="0.25">
      <c r="A331" s="211" t="s">
        <v>51</v>
      </c>
      <c r="B331" s="9"/>
      <c r="C331" s="136" t="s">
        <v>19</v>
      </c>
      <c r="D331" s="6"/>
      <c r="E331" s="137"/>
      <c r="F331" s="138"/>
      <c r="G331" s="138"/>
      <c r="H331" s="117"/>
      <c r="I331" s="137">
        <f>+Benelux!E331</f>
        <v>111</v>
      </c>
      <c r="J331" s="138">
        <f>+Benelux!F331</f>
        <v>111</v>
      </c>
      <c r="K331" s="138">
        <f>+Benelux!G331</f>
        <v>111</v>
      </c>
      <c r="L331" s="117"/>
      <c r="M331" s="141">
        <f>+Benelux!I331</f>
        <v>31</v>
      </c>
      <c r="N331" s="138">
        <f>+Benelux!J331</f>
        <v>31</v>
      </c>
      <c r="O331" s="138">
        <f>+Benelux!K331</f>
        <v>31</v>
      </c>
      <c r="P331" s="117"/>
      <c r="Q331" s="137"/>
      <c r="R331" s="138"/>
      <c r="S331" s="138"/>
      <c r="T331" s="117"/>
      <c r="U331" s="150">
        <f t="shared" ref="U331:U332" si="591">+I331+M331</f>
        <v>142</v>
      </c>
      <c r="V331" s="140">
        <f t="shared" ref="V331:V332" si="592">+J331+N331</f>
        <v>142</v>
      </c>
      <c r="W331" s="140">
        <f t="shared" ref="W331:W332" si="593">+K331+O331</f>
        <v>142</v>
      </c>
      <c r="X331" s="117"/>
      <c r="Y331" s="137"/>
      <c r="Z331" s="138"/>
      <c r="AA331" s="138"/>
      <c r="AB331" s="117"/>
      <c r="AC331" s="137"/>
      <c r="AD331" s="138"/>
      <c r="AE331" s="138"/>
      <c r="AF331" s="117"/>
      <c r="AG331" s="137"/>
      <c r="AH331" s="138"/>
      <c r="AI331" s="138"/>
      <c r="AJ331" s="117"/>
      <c r="AK331" s="137"/>
      <c r="AL331" s="138"/>
      <c r="AM331" s="138"/>
      <c r="AN331" s="117"/>
      <c r="AO331" s="139"/>
      <c r="AP331" s="140"/>
      <c r="AQ331" s="140"/>
      <c r="AR331" s="117"/>
      <c r="AS331" s="150">
        <f t="shared" ref="AS331:AS346" si="594">+U331</f>
        <v>142</v>
      </c>
      <c r="AT331" s="140">
        <f t="shared" ref="AT331:AT346" si="595">+V331</f>
        <v>142</v>
      </c>
      <c r="AU331" s="140">
        <f t="shared" ref="AU331:AU346" si="596">+W331</f>
        <v>142</v>
      </c>
      <c r="AW331" s="108"/>
      <c r="BA331" s="108"/>
      <c r="BE331" s="108"/>
      <c r="BI331" s="108"/>
      <c r="BM331" s="108"/>
    </row>
    <row r="332" spans="1:65" ht="16.5" hidden="1" customHeight="1" outlineLevel="1" x14ac:dyDescent="0.25">
      <c r="A332" s="211"/>
      <c r="B332" s="9"/>
      <c r="C332" s="136" t="s">
        <v>55</v>
      </c>
      <c r="D332" s="6"/>
      <c r="E332" s="137"/>
      <c r="F332" s="138"/>
      <c r="G332" s="138"/>
      <c r="H332" s="117"/>
      <c r="I332" s="141">
        <f>+Benelux!E332</f>
        <v>12</v>
      </c>
      <c r="J332" s="138">
        <f>+Benelux!F332</f>
        <v>12</v>
      </c>
      <c r="K332" s="138">
        <f>+Benelux!G332</f>
        <v>12</v>
      </c>
      <c r="L332" s="117"/>
      <c r="M332" s="141">
        <f>+Benelux!I332</f>
        <v>31</v>
      </c>
      <c r="N332" s="138">
        <f>+Benelux!J332</f>
        <v>31</v>
      </c>
      <c r="O332" s="138">
        <f>+Benelux!K332</f>
        <v>31</v>
      </c>
      <c r="P332" s="117"/>
      <c r="Q332" s="137"/>
      <c r="R332" s="138"/>
      <c r="S332" s="138"/>
      <c r="T332" s="117"/>
      <c r="U332" s="150">
        <f t="shared" si="591"/>
        <v>43</v>
      </c>
      <c r="V332" s="140">
        <f t="shared" si="592"/>
        <v>43</v>
      </c>
      <c r="W332" s="140">
        <f t="shared" si="593"/>
        <v>43</v>
      </c>
      <c r="X332" s="117"/>
      <c r="Y332" s="137"/>
      <c r="Z332" s="138"/>
      <c r="AA332" s="138"/>
      <c r="AB332" s="117"/>
      <c r="AC332" s="137"/>
      <c r="AD332" s="138"/>
      <c r="AE332" s="138"/>
      <c r="AF332" s="117"/>
      <c r="AG332" s="137"/>
      <c r="AH332" s="138"/>
      <c r="AI332" s="138"/>
      <c r="AJ332" s="117"/>
      <c r="AK332" s="137"/>
      <c r="AL332" s="138"/>
      <c r="AM332" s="138"/>
      <c r="AN332" s="117"/>
      <c r="AO332" s="139"/>
      <c r="AP332" s="140"/>
      <c r="AQ332" s="140"/>
      <c r="AR332" s="117"/>
      <c r="AS332" s="150">
        <f t="shared" si="594"/>
        <v>43</v>
      </c>
      <c r="AT332" s="140">
        <f t="shared" si="595"/>
        <v>43</v>
      </c>
      <c r="AU332" s="140">
        <f t="shared" si="596"/>
        <v>43</v>
      </c>
      <c r="AW332" s="108"/>
      <c r="BA332" s="108"/>
      <c r="BE332" s="108"/>
      <c r="BI332" s="108"/>
      <c r="BM332" s="108"/>
    </row>
    <row r="333" spans="1:65" ht="16.5" hidden="1" customHeight="1" outlineLevel="1" x14ac:dyDescent="0.25">
      <c r="A333" s="211"/>
      <c r="B333" s="9"/>
      <c r="C333" s="136" t="s">
        <v>21</v>
      </c>
      <c r="D333" s="6"/>
      <c r="E333" s="142"/>
      <c r="F333" s="143"/>
      <c r="G333" s="143"/>
      <c r="H333" s="117"/>
      <c r="I333" s="146">
        <f>+Benelux!E333</f>
        <v>12</v>
      </c>
      <c r="J333" s="143">
        <f>+Benelux!F333</f>
        <v>12</v>
      </c>
      <c r="K333" s="143">
        <f>+Benelux!G333</f>
        <v>12</v>
      </c>
      <c r="L333" s="117"/>
      <c r="M333" s="146">
        <f>+Benelux!I333</f>
        <v>31</v>
      </c>
      <c r="N333" s="143">
        <f>+Benelux!J333</f>
        <v>31</v>
      </c>
      <c r="O333" s="143">
        <f>+Benelux!K333</f>
        <v>31</v>
      </c>
      <c r="P333" s="117"/>
      <c r="Q333" s="142"/>
      <c r="R333" s="143"/>
      <c r="S333" s="143"/>
      <c r="T333" s="117"/>
      <c r="U333" s="147">
        <f>+U334+U339+U340+U341+U342</f>
        <v>256.97674418604652</v>
      </c>
      <c r="V333" s="145">
        <f>+V334+V339+V340+V341+V342</f>
        <v>256.97674418604652</v>
      </c>
      <c r="W333" s="145">
        <f>+W334+W339+W340+W341+W342</f>
        <v>256.97674418604652</v>
      </c>
      <c r="X333" s="117"/>
      <c r="Y333" s="142"/>
      <c r="Z333" s="143"/>
      <c r="AA333" s="143"/>
      <c r="AB333" s="117"/>
      <c r="AC333" s="142"/>
      <c r="AD333" s="143"/>
      <c r="AE333" s="143"/>
      <c r="AF333" s="117"/>
      <c r="AG333" s="142"/>
      <c r="AH333" s="143"/>
      <c r="AI333" s="143"/>
      <c r="AJ333" s="117"/>
      <c r="AK333" s="142"/>
      <c r="AL333" s="143"/>
      <c r="AM333" s="143"/>
      <c r="AN333" s="117"/>
      <c r="AO333" s="144"/>
      <c r="AP333" s="145"/>
      <c r="AQ333" s="145"/>
      <c r="AR333" s="117"/>
      <c r="AS333" s="147">
        <f t="shared" si="594"/>
        <v>256.97674418604652</v>
      </c>
      <c r="AT333" s="145">
        <f t="shared" si="595"/>
        <v>256.97674418604652</v>
      </c>
      <c r="AU333" s="145">
        <f t="shared" si="596"/>
        <v>256.97674418604652</v>
      </c>
      <c r="AW333" s="109"/>
      <c r="BA333" s="109"/>
      <c r="BE333" s="109"/>
      <c r="BI333" s="109"/>
      <c r="BM333" s="109"/>
    </row>
    <row r="334" spans="1:65" ht="16.5" hidden="1" customHeight="1" outlineLevel="1" x14ac:dyDescent="0.25">
      <c r="A334" s="211"/>
      <c r="B334" s="9"/>
      <c r="C334" s="136" t="s">
        <v>56</v>
      </c>
      <c r="D334" s="6"/>
      <c r="E334" s="142"/>
      <c r="F334" s="143"/>
      <c r="G334" s="143"/>
      <c r="H334" s="117"/>
      <c r="I334" s="146">
        <f>+Benelux!E334</f>
        <v>12</v>
      </c>
      <c r="J334" s="143">
        <f>+Benelux!F334</f>
        <v>12</v>
      </c>
      <c r="K334" s="143">
        <f>+Benelux!G334</f>
        <v>12</v>
      </c>
      <c r="L334" s="117"/>
      <c r="M334" s="148">
        <f>+Benelux!I334</f>
        <v>31</v>
      </c>
      <c r="N334" s="143">
        <f>+Benelux!J334</f>
        <v>31</v>
      </c>
      <c r="O334" s="143">
        <f>+Benelux!K334</f>
        <v>31</v>
      </c>
      <c r="P334" s="117"/>
      <c r="Q334" s="142"/>
      <c r="R334" s="143"/>
      <c r="S334" s="143"/>
      <c r="T334" s="117"/>
      <c r="U334" s="149">
        <f>+U335+U336+U337+U338</f>
        <v>102.79069767441861</v>
      </c>
      <c r="V334" s="145">
        <f>+V335+V336+V337+V338</f>
        <v>102.79069767441861</v>
      </c>
      <c r="W334" s="145">
        <f>+W335+W336+W337+W338</f>
        <v>102.79069767441861</v>
      </c>
      <c r="X334" s="117"/>
      <c r="Y334" s="142"/>
      <c r="Z334" s="143"/>
      <c r="AA334" s="143"/>
      <c r="AB334" s="117"/>
      <c r="AC334" s="142"/>
      <c r="AD334" s="143"/>
      <c r="AE334" s="143"/>
      <c r="AF334" s="117"/>
      <c r="AG334" s="142"/>
      <c r="AH334" s="143"/>
      <c r="AI334" s="143"/>
      <c r="AJ334" s="117"/>
      <c r="AK334" s="142"/>
      <c r="AL334" s="143"/>
      <c r="AM334" s="143"/>
      <c r="AN334" s="117"/>
      <c r="AO334" s="144"/>
      <c r="AP334" s="145"/>
      <c r="AQ334" s="145"/>
      <c r="AR334" s="117"/>
      <c r="AS334" s="149">
        <f t="shared" si="594"/>
        <v>102.79069767441861</v>
      </c>
      <c r="AT334" s="145">
        <f t="shared" si="595"/>
        <v>102.79069767441861</v>
      </c>
      <c r="AU334" s="145">
        <f t="shared" si="596"/>
        <v>102.79069767441861</v>
      </c>
      <c r="AW334" s="109"/>
      <c r="BA334" s="109"/>
      <c r="BE334" s="109"/>
      <c r="BI334" s="109"/>
      <c r="BM334" s="109"/>
    </row>
    <row r="335" spans="1:65" ht="16.5" hidden="1" customHeight="1" outlineLevel="1" x14ac:dyDescent="0.25">
      <c r="A335" s="211"/>
      <c r="B335" s="9"/>
      <c r="C335" s="48" t="s">
        <v>23</v>
      </c>
      <c r="D335" s="6"/>
      <c r="E335" s="105"/>
      <c r="F335" s="51"/>
      <c r="G335" s="51"/>
      <c r="H335" s="117"/>
      <c r="I335" s="78">
        <f>+Benelux!E335</f>
        <v>12</v>
      </c>
      <c r="J335" s="51">
        <f>+Benelux!F335</f>
        <v>12</v>
      </c>
      <c r="K335" s="51">
        <f>+Benelux!G335</f>
        <v>12</v>
      </c>
      <c r="L335" s="117"/>
      <c r="M335" s="77">
        <f>+Benelux!I335</f>
        <v>31</v>
      </c>
      <c r="N335" s="51">
        <f>+Benelux!J335</f>
        <v>31</v>
      </c>
      <c r="O335" s="51">
        <f>+Benelux!K335</f>
        <v>31</v>
      </c>
      <c r="P335" s="117"/>
      <c r="Q335" s="105"/>
      <c r="R335" s="51"/>
      <c r="S335" s="51"/>
      <c r="T335" s="117"/>
      <c r="U335" s="90">
        <f>+((I335*$I$332)+(M335*$M$332))/$U$332</f>
        <v>25.697674418604652</v>
      </c>
      <c r="V335" s="62">
        <f>+((J335*$J$332)+(N335*$N$332))/$V$332</f>
        <v>25.697674418604652</v>
      </c>
      <c r="W335" s="62">
        <f>+((K335*$K$332)+(O335*$O$332))/$W$332</f>
        <v>25.697674418604652</v>
      </c>
      <c r="X335" s="117"/>
      <c r="Y335" s="105"/>
      <c r="Z335" s="51"/>
      <c r="AA335" s="51"/>
      <c r="AB335" s="117"/>
      <c r="AC335" s="105"/>
      <c r="AD335" s="51"/>
      <c r="AE335" s="51"/>
      <c r="AF335" s="117"/>
      <c r="AG335" s="105"/>
      <c r="AH335" s="51"/>
      <c r="AI335" s="51"/>
      <c r="AJ335" s="117"/>
      <c r="AK335" s="105"/>
      <c r="AL335" s="51"/>
      <c r="AM335" s="51"/>
      <c r="AN335" s="117"/>
      <c r="AO335" s="103"/>
      <c r="AP335" s="62"/>
      <c r="AQ335" s="62"/>
      <c r="AR335" s="117"/>
      <c r="AS335" s="90">
        <f t="shared" si="594"/>
        <v>25.697674418604652</v>
      </c>
      <c r="AT335" s="62">
        <f t="shared" si="595"/>
        <v>25.697674418604652</v>
      </c>
      <c r="AU335" s="62">
        <f t="shared" si="596"/>
        <v>25.697674418604652</v>
      </c>
      <c r="AW335" s="109"/>
      <c r="BA335" s="109"/>
      <c r="BE335" s="109"/>
      <c r="BI335" s="109"/>
      <c r="BM335" s="109"/>
    </row>
    <row r="336" spans="1:65" ht="16.5" hidden="1" customHeight="1" outlineLevel="1" x14ac:dyDescent="0.25">
      <c r="A336" s="211"/>
      <c r="B336" s="9"/>
      <c r="C336" s="48" t="s">
        <v>24</v>
      </c>
      <c r="D336" s="7"/>
      <c r="E336" s="105"/>
      <c r="F336" s="51"/>
      <c r="G336" s="51"/>
      <c r="H336" s="134"/>
      <c r="I336" s="105">
        <f>+Benelux!E336</f>
        <v>12</v>
      </c>
      <c r="J336" s="51">
        <f>+Benelux!F336</f>
        <v>12</v>
      </c>
      <c r="K336" s="51">
        <f>+Benelux!G336</f>
        <v>12</v>
      </c>
      <c r="L336" s="134"/>
      <c r="M336" s="105">
        <f>+Benelux!I336</f>
        <v>31</v>
      </c>
      <c r="N336" s="51">
        <f>+Benelux!J336</f>
        <v>31</v>
      </c>
      <c r="O336" s="51">
        <f>+Benelux!K336</f>
        <v>31</v>
      </c>
      <c r="P336" s="134"/>
      <c r="Q336" s="105"/>
      <c r="R336" s="51"/>
      <c r="S336" s="51"/>
      <c r="T336" s="134"/>
      <c r="U336" s="103">
        <f t="shared" ref="U336:U341" si="597">+((I336*$I$332)+(M336*$M$332))/$U$332</f>
        <v>25.697674418604652</v>
      </c>
      <c r="V336" s="62">
        <f t="shared" ref="V336:V341" si="598">+((J336*$J$332)+(N336*$N$332))/$V$332</f>
        <v>25.697674418604652</v>
      </c>
      <c r="W336" s="62">
        <f t="shared" ref="W336:W341" si="599">+((K336*$K$332)+(O336*$O$332))/$W$332</f>
        <v>25.697674418604652</v>
      </c>
      <c r="X336" s="134"/>
      <c r="Y336" s="105"/>
      <c r="Z336" s="51"/>
      <c r="AA336" s="51"/>
      <c r="AB336" s="134"/>
      <c r="AC336" s="105"/>
      <c r="AD336" s="51"/>
      <c r="AE336" s="51"/>
      <c r="AF336" s="134"/>
      <c r="AG336" s="105"/>
      <c r="AH336" s="51"/>
      <c r="AI336" s="51"/>
      <c r="AJ336" s="134"/>
      <c r="AK336" s="105"/>
      <c r="AL336" s="51"/>
      <c r="AM336" s="51"/>
      <c r="AN336" s="134"/>
      <c r="AO336" s="103"/>
      <c r="AP336" s="62"/>
      <c r="AQ336" s="62"/>
      <c r="AR336" s="134"/>
      <c r="AS336" s="103">
        <f t="shared" si="594"/>
        <v>25.697674418604652</v>
      </c>
      <c r="AT336" s="62">
        <f t="shared" si="595"/>
        <v>25.697674418604652</v>
      </c>
      <c r="AU336" s="62">
        <f t="shared" si="596"/>
        <v>25.697674418604652</v>
      </c>
      <c r="AW336" s="109"/>
      <c r="BA336" s="109"/>
      <c r="BE336" s="109"/>
      <c r="BI336" s="109"/>
      <c r="BM336" s="109"/>
    </row>
    <row r="337" spans="1:65" ht="16.5" hidden="1" customHeight="1" outlineLevel="1" x14ac:dyDescent="0.25">
      <c r="A337" s="211"/>
      <c r="B337" s="9"/>
      <c r="C337" s="48" t="s">
        <v>25</v>
      </c>
      <c r="D337" s="7"/>
      <c r="E337" s="105"/>
      <c r="F337" s="51"/>
      <c r="G337" s="51"/>
      <c r="H337" s="134"/>
      <c r="I337" s="105">
        <f>+Benelux!E337</f>
        <v>12</v>
      </c>
      <c r="J337" s="51">
        <f>+Benelux!F337</f>
        <v>12</v>
      </c>
      <c r="K337" s="51">
        <f>+Benelux!G337</f>
        <v>12</v>
      </c>
      <c r="L337" s="134"/>
      <c r="M337" s="105">
        <f>+Benelux!I337</f>
        <v>31</v>
      </c>
      <c r="N337" s="51">
        <f>+Benelux!J337</f>
        <v>31</v>
      </c>
      <c r="O337" s="51">
        <f>+Benelux!K337</f>
        <v>31</v>
      </c>
      <c r="P337" s="134"/>
      <c r="Q337" s="105"/>
      <c r="R337" s="51"/>
      <c r="S337" s="51"/>
      <c r="T337" s="134"/>
      <c r="U337" s="103">
        <f t="shared" si="597"/>
        <v>25.697674418604652</v>
      </c>
      <c r="V337" s="62">
        <f t="shared" si="598"/>
        <v>25.697674418604652</v>
      </c>
      <c r="W337" s="62">
        <f t="shared" si="599"/>
        <v>25.697674418604652</v>
      </c>
      <c r="X337" s="134"/>
      <c r="Y337" s="105"/>
      <c r="Z337" s="51"/>
      <c r="AA337" s="51"/>
      <c r="AB337" s="134"/>
      <c r="AC337" s="105"/>
      <c r="AD337" s="51"/>
      <c r="AE337" s="51"/>
      <c r="AF337" s="134"/>
      <c r="AG337" s="105"/>
      <c r="AH337" s="51"/>
      <c r="AI337" s="51"/>
      <c r="AJ337" s="134"/>
      <c r="AK337" s="105"/>
      <c r="AL337" s="51"/>
      <c r="AM337" s="51"/>
      <c r="AN337" s="134"/>
      <c r="AO337" s="103"/>
      <c r="AP337" s="62"/>
      <c r="AQ337" s="62"/>
      <c r="AR337" s="134"/>
      <c r="AS337" s="103">
        <f t="shared" si="594"/>
        <v>25.697674418604652</v>
      </c>
      <c r="AT337" s="62">
        <f t="shared" si="595"/>
        <v>25.697674418604652</v>
      </c>
      <c r="AU337" s="62">
        <f t="shared" si="596"/>
        <v>25.697674418604652</v>
      </c>
      <c r="AW337" s="109"/>
      <c r="BA337" s="109"/>
      <c r="BE337" s="109"/>
      <c r="BI337" s="109"/>
      <c r="BM337" s="109"/>
    </row>
    <row r="338" spans="1:65" ht="16.5" hidden="1" customHeight="1" outlineLevel="1" x14ac:dyDescent="0.25">
      <c r="A338" s="211"/>
      <c r="B338" s="9"/>
      <c r="C338" s="48" t="s">
        <v>53</v>
      </c>
      <c r="D338" s="7"/>
      <c r="E338" s="105"/>
      <c r="F338" s="51"/>
      <c r="G338" s="51"/>
      <c r="H338" s="134"/>
      <c r="I338" s="105">
        <f>+Benelux!E338</f>
        <v>12</v>
      </c>
      <c r="J338" s="51">
        <f>+Benelux!F338</f>
        <v>12</v>
      </c>
      <c r="K338" s="51">
        <f>+Benelux!G338</f>
        <v>12</v>
      </c>
      <c r="L338" s="134"/>
      <c r="M338" s="78">
        <f>+Benelux!I338</f>
        <v>31</v>
      </c>
      <c r="N338" s="51">
        <f>+Benelux!J338</f>
        <v>31</v>
      </c>
      <c r="O338" s="51">
        <f>+Benelux!K338</f>
        <v>31</v>
      </c>
      <c r="P338" s="134"/>
      <c r="Q338" s="105"/>
      <c r="R338" s="51"/>
      <c r="S338" s="51"/>
      <c r="T338" s="134"/>
      <c r="U338" s="89">
        <f t="shared" si="597"/>
        <v>25.697674418604652</v>
      </c>
      <c r="V338" s="62">
        <f t="shared" si="598"/>
        <v>25.697674418604652</v>
      </c>
      <c r="W338" s="62">
        <f t="shared" si="599"/>
        <v>25.697674418604652</v>
      </c>
      <c r="X338" s="134"/>
      <c r="Y338" s="105"/>
      <c r="Z338" s="51"/>
      <c r="AA338" s="51"/>
      <c r="AB338" s="134"/>
      <c r="AC338" s="105"/>
      <c r="AD338" s="51"/>
      <c r="AE338" s="51"/>
      <c r="AF338" s="134"/>
      <c r="AG338" s="105"/>
      <c r="AH338" s="51"/>
      <c r="AI338" s="51"/>
      <c r="AJ338" s="134"/>
      <c r="AK338" s="105"/>
      <c r="AL338" s="51"/>
      <c r="AM338" s="51"/>
      <c r="AN338" s="134"/>
      <c r="AO338" s="103"/>
      <c r="AP338" s="62"/>
      <c r="AQ338" s="62"/>
      <c r="AR338" s="134"/>
      <c r="AS338" s="89">
        <f t="shared" si="594"/>
        <v>25.697674418604652</v>
      </c>
      <c r="AT338" s="62">
        <f t="shared" si="595"/>
        <v>25.697674418604652</v>
      </c>
      <c r="AU338" s="62">
        <f t="shared" si="596"/>
        <v>25.697674418604652</v>
      </c>
      <c r="AW338" s="109"/>
      <c r="BA338" s="109"/>
      <c r="BE338" s="109"/>
      <c r="BI338" s="109"/>
      <c r="BM338" s="109"/>
    </row>
    <row r="339" spans="1:65" ht="16.5" hidden="1" customHeight="1" outlineLevel="1" x14ac:dyDescent="0.25">
      <c r="A339" s="211"/>
      <c r="B339" s="9"/>
      <c r="C339" s="136" t="s">
        <v>27</v>
      </c>
      <c r="D339" s="7"/>
      <c r="E339" s="142"/>
      <c r="F339" s="143"/>
      <c r="G339" s="143"/>
      <c r="H339" s="134"/>
      <c r="I339" s="148">
        <f>+Benelux!E339</f>
        <v>12</v>
      </c>
      <c r="J339" s="143">
        <f>+Benelux!F339</f>
        <v>12</v>
      </c>
      <c r="K339" s="143">
        <f>+Benelux!G339</f>
        <v>12</v>
      </c>
      <c r="L339" s="134"/>
      <c r="M339" s="146">
        <f>+Benelux!I339</f>
        <v>31</v>
      </c>
      <c r="N339" s="143">
        <f>+Benelux!J339</f>
        <v>31</v>
      </c>
      <c r="O339" s="143">
        <f>+Benelux!K339</f>
        <v>31</v>
      </c>
      <c r="P339" s="134"/>
      <c r="Q339" s="142"/>
      <c r="R339" s="143"/>
      <c r="S339" s="143"/>
      <c r="T339" s="134"/>
      <c r="U339" s="147">
        <f t="shared" si="597"/>
        <v>25.697674418604652</v>
      </c>
      <c r="V339" s="145">
        <f t="shared" si="598"/>
        <v>25.697674418604652</v>
      </c>
      <c r="W339" s="145">
        <f t="shared" si="599"/>
        <v>25.697674418604652</v>
      </c>
      <c r="X339" s="134"/>
      <c r="Y339" s="142"/>
      <c r="Z339" s="143"/>
      <c r="AA339" s="143"/>
      <c r="AB339" s="134"/>
      <c r="AC339" s="142"/>
      <c r="AD339" s="143"/>
      <c r="AE339" s="143"/>
      <c r="AF339" s="134"/>
      <c r="AG339" s="142"/>
      <c r="AH339" s="143"/>
      <c r="AI339" s="143"/>
      <c r="AJ339" s="134"/>
      <c r="AK339" s="142"/>
      <c r="AL339" s="143"/>
      <c r="AM339" s="143"/>
      <c r="AN339" s="134"/>
      <c r="AO339" s="144"/>
      <c r="AP339" s="145"/>
      <c r="AQ339" s="145"/>
      <c r="AR339" s="134"/>
      <c r="AS339" s="147">
        <f t="shared" si="594"/>
        <v>25.697674418604652</v>
      </c>
      <c r="AT339" s="145">
        <f t="shared" si="595"/>
        <v>25.697674418604652</v>
      </c>
      <c r="AU339" s="145">
        <f t="shared" si="596"/>
        <v>25.697674418604652</v>
      </c>
      <c r="AW339" s="109"/>
      <c r="BA339" s="109"/>
      <c r="BE339" s="109"/>
      <c r="BI339" s="109"/>
      <c r="BM339" s="109"/>
    </row>
    <row r="340" spans="1:65" ht="16.5" hidden="1" customHeight="1" outlineLevel="1" x14ac:dyDescent="0.25">
      <c r="A340" s="211"/>
      <c r="B340" s="9"/>
      <c r="C340" s="136" t="s">
        <v>57</v>
      </c>
      <c r="D340" s="7"/>
      <c r="E340" s="142"/>
      <c r="F340" s="143"/>
      <c r="G340" s="143"/>
      <c r="H340" s="134"/>
      <c r="I340" s="146">
        <f>+Benelux!E340</f>
        <v>12</v>
      </c>
      <c r="J340" s="143">
        <f>+Benelux!F340</f>
        <v>12</v>
      </c>
      <c r="K340" s="143">
        <f>+Benelux!G340</f>
        <v>12</v>
      </c>
      <c r="L340" s="134"/>
      <c r="M340" s="146">
        <f>+Benelux!I340</f>
        <v>31</v>
      </c>
      <c r="N340" s="143">
        <f>+Benelux!J340</f>
        <v>31</v>
      </c>
      <c r="O340" s="143">
        <f>+Benelux!K340</f>
        <v>31</v>
      </c>
      <c r="P340" s="134"/>
      <c r="Q340" s="142"/>
      <c r="R340" s="143"/>
      <c r="S340" s="143"/>
      <c r="T340" s="134"/>
      <c r="U340" s="147">
        <f t="shared" si="597"/>
        <v>25.697674418604652</v>
      </c>
      <c r="V340" s="145">
        <f t="shared" si="598"/>
        <v>25.697674418604652</v>
      </c>
      <c r="W340" s="145">
        <f t="shared" si="599"/>
        <v>25.697674418604652</v>
      </c>
      <c r="X340" s="134"/>
      <c r="Y340" s="142"/>
      <c r="Z340" s="143"/>
      <c r="AA340" s="143"/>
      <c r="AB340" s="134"/>
      <c r="AC340" s="142"/>
      <c r="AD340" s="143"/>
      <c r="AE340" s="143"/>
      <c r="AF340" s="134"/>
      <c r="AG340" s="142"/>
      <c r="AH340" s="143"/>
      <c r="AI340" s="143"/>
      <c r="AJ340" s="134"/>
      <c r="AK340" s="142"/>
      <c r="AL340" s="143"/>
      <c r="AM340" s="143"/>
      <c r="AN340" s="134"/>
      <c r="AO340" s="144"/>
      <c r="AP340" s="145"/>
      <c r="AQ340" s="145"/>
      <c r="AR340" s="134"/>
      <c r="AS340" s="147">
        <f t="shared" si="594"/>
        <v>25.697674418604652</v>
      </c>
      <c r="AT340" s="145">
        <f t="shared" si="595"/>
        <v>25.697674418604652</v>
      </c>
      <c r="AU340" s="145">
        <f t="shared" si="596"/>
        <v>25.697674418604652</v>
      </c>
      <c r="AW340" s="109"/>
      <c r="BA340" s="109"/>
      <c r="BE340" s="109"/>
      <c r="BI340" s="109"/>
      <c r="BM340" s="109"/>
    </row>
    <row r="341" spans="1:65" ht="16.5" hidden="1" customHeight="1" outlineLevel="1" x14ac:dyDescent="0.25">
      <c r="A341" s="211"/>
      <c r="B341" s="9"/>
      <c r="C341" s="136" t="s">
        <v>29</v>
      </c>
      <c r="D341" s="7"/>
      <c r="E341" s="142"/>
      <c r="F341" s="143"/>
      <c r="G341" s="143"/>
      <c r="H341" s="134"/>
      <c r="I341" s="148">
        <f>+Benelux!E341</f>
        <v>12</v>
      </c>
      <c r="J341" s="143">
        <f>+Benelux!F341</f>
        <v>12</v>
      </c>
      <c r="K341" s="143">
        <f>+Benelux!G341</f>
        <v>12</v>
      </c>
      <c r="L341" s="134"/>
      <c r="M341" s="148">
        <f>+Benelux!I341</f>
        <v>31</v>
      </c>
      <c r="N341" s="143">
        <f>+Benelux!J341</f>
        <v>31</v>
      </c>
      <c r="O341" s="143">
        <f>+Benelux!K341</f>
        <v>31</v>
      </c>
      <c r="P341" s="134"/>
      <c r="Q341" s="142"/>
      <c r="R341" s="143"/>
      <c r="S341" s="143"/>
      <c r="T341" s="134"/>
      <c r="U341" s="149">
        <f t="shared" si="597"/>
        <v>25.697674418604652</v>
      </c>
      <c r="V341" s="145">
        <f t="shared" si="598"/>
        <v>25.697674418604652</v>
      </c>
      <c r="W341" s="145">
        <f t="shared" si="599"/>
        <v>25.697674418604652</v>
      </c>
      <c r="X341" s="134"/>
      <c r="Y341" s="142"/>
      <c r="Z341" s="143"/>
      <c r="AA341" s="143"/>
      <c r="AB341" s="134"/>
      <c r="AC341" s="142"/>
      <c r="AD341" s="143"/>
      <c r="AE341" s="143"/>
      <c r="AF341" s="134"/>
      <c r="AG341" s="142"/>
      <c r="AH341" s="143"/>
      <c r="AI341" s="143"/>
      <c r="AJ341" s="134"/>
      <c r="AK341" s="142"/>
      <c r="AL341" s="143"/>
      <c r="AM341" s="143"/>
      <c r="AN341" s="134"/>
      <c r="AO341" s="144"/>
      <c r="AP341" s="145"/>
      <c r="AQ341" s="145"/>
      <c r="AR341" s="134"/>
      <c r="AS341" s="149">
        <f t="shared" si="594"/>
        <v>25.697674418604652</v>
      </c>
      <c r="AT341" s="145">
        <f t="shared" si="595"/>
        <v>25.697674418604652</v>
      </c>
      <c r="AU341" s="145">
        <f t="shared" si="596"/>
        <v>25.697674418604652</v>
      </c>
      <c r="AW341" s="109"/>
      <c r="BA341" s="109"/>
      <c r="BE341" s="109"/>
      <c r="BI341" s="109"/>
      <c r="BM341" s="109"/>
    </row>
    <row r="342" spans="1:65" ht="16.5" hidden="1" customHeight="1" outlineLevel="1" x14ac:dyDescent="0.25">
      <c r="A342" s="211"/>
      <c r="B342" s="9"/>
      <c r="C342" s="136" t="s">
        <v>58</v>
      </c>
      <c r="D342" s="7"/>
      <c r="E342" s="142"/>
      <c r="F342" s="143"/>
      <c r="G342" s="143"/>
      <c r="H342" s="134"/>
      <c r="I342" s="146">
        <f>+Benelux!E342</f>
        <v>12</v>
      </c>
      <c r="J342" s="143">
        <f>+Benelux!F342</f>
        <v>12</v>
      </c>
      <c r="K342" s="143">
        <f>+Benelux!G342</f>
        <v>12</v>
      </c>
      <c r="L342" s="134"/>
      <c r="M342" s="148">
        <f>+Benelux!I342</f>
        <v>31</v>
      </c>
      <c r="N342" s="143">
        <f>+Benelux!J342</f>
        <v>31</v>
      </c>
      <c r="O342" s="143">
        <f>+Benelux!K342</f>
        <v>31</v>
      </c>
      <c r="P342" s="134"/>
      <c r="Q342" s="142"/>
      <c r="R342" s="143"/>
      <c r="S342" s="143"/>
      <c r="T342" s="134"/>
      <c r="U342" s="149">
        <f>+U343+U344+U345</f>
        <v>77.093023255813961</v>
      </c>
      <c r="V342" s="145">
        <f>+V343+V344+V345</f>
        <v>77.093023255813961</v>
      </c>
      <c r="W342" s="145">
        <f>+W343+W344+W345</f>
        <v>77.093023255813961</v>
      </c>
      <c r="X342" s="134"/>
      <c r="Y342" s="142"/>
      <c r="Z342" s="143"/>
      <c r="AA342" s="143"/>
      <c r="AB342" s="134"/>
      <c r="AC342" s="142"/>
      <c r="AD342" s="143"/>
      <c r="AE342" s="143"/>
      <c r="AF342" s="134"/>
      <c r="AG342" s="142"/>
      <c r="AH342" s="143"/>
      <c r="AI342" s="143"/>
      <c r="AJ342" s="134"/>
      <c r="AK342" s="142"/>
      <c r="AL342" s="143"/>
      <c r="AM342" s="143"/>
      <c r="AN342" s="134"/>
      <c r="AO342" s="144"/>
      <c r="AP342" s="145"/>
      <c r="AQ342" s="145"/>
      <c r="AR342" s="134"/>
      <c r="AS342" s="149">
        <f t="shared" si="594"/>
        <v>77.093023255813961</v>
      </c>
      <c r="AT342" s="145">
        <f t="shared" si="595"/>
        <v>77.093023255813961</v>
      </c>
      <c r="AU342" s="145">
        <f t="shared" si="596"/>
        <v>77.093023255813961</v>
      </c>
      <c r="AW342" s="109"/>
      <c r="BA342" s="109"/>
      <c r="BE342" s="109"/>
      <c r="BI342" s="109"/>
      <c r="BM342" s="109"/>
    </row>
    <row r="343" spans="1:65" ht="16.5" hidden="1" customHeight="1" outlineLevel="1" x14ac:dyDescent="0.25">
      <c r="A343" s="211"/>
      <c r="B343" s="9"/>
      <c r="C343" s="50" t="s">
        <v>59</v>
      </c>
      <c r="D343" s="8"/>
      <c r="E343" s="105"/>
      <c r="F343" s="51"/>
      <c r="G343" s="51"/>
      <c r="H343" s="135"/>
      <c r="I343" s="78">
        <f>+Benelux!E343</f>
        <v>12</v>
      </c>
      <c r="J343" s="51">
        <f>+Benelux!F343</f>
        <v>12</v>
      </c>
      <c r="K343" s="51">
        <f>+Benelux!G343</f>
        <v>12</v>
      </c>
      <c r="L343" s="135"/>
      <c r="M343" s="77">
        <f>+Benelux!I343</f>
        <v>31</v>
      </c>
      <c r="N343" s="51">
        <f>+Benelux!J343</f>
        <v>31</v>
      </c>
      <c r="O343" s="51">
        <f>+Benelux!K343</f>
        <v>31</v>
      </c>
      <c r="P343" s="135"/>
      <c r="Q343" s="105"/>
      <c r="R343" s="51"/>
      <c r="S343" s="51"/>
      <c r="T343" s="135"/>
      <c r="U343" s="90">
        <f t="shared" ref="U343:U345" si="600">+((I343*$I$332)+(M343*$M$332))/$U$332</f>
        <v>25.697674418604652</v>
      </c>
      <c r="V343" s="62">
        <f t="shared" ref="V343:V345" si="601">+((J343*$J$332)+(N343*$N$332))/$V$332</f>
        <v>25.697674418604652</v>
      </c>
      <c r="W343" s="62">
        <f t="shared" ref="W343:W345" si="602">+((K343*$K$332)+(O343*$O$332))/$W$332</f>
        <v>25.697674418604652</v>
      </c>
      <c r="X343" s="135"/>
      <c r="Y343" s="105"/>
      <c r="Z343" s="51"/>
      <c r="AA343" s="51"/>
      <c r="AB343" s="135"/>
      <c r="AC343" s="105"/>
      <c r="AD343" s="51"/>
      <c r="AE343" s="51"/>
      <c r="AF343" s="135"/>
      <c r="AG343" s="105"/>
      <c r="AH343" s="51"/>
      <c r="AI343" s="51"/>
      <c r="AJ343" s="135"/>
      <c r="AK343" s="105"/>
      <c r="AL343" s="51"/>
      <c r="AM343" s="51"/>
      <c r="AN343" s="135"/>
      <c r="AO343" s="103"/>
      <c r="AP343" s="62"/>
      <c r="AQ343" s="62"/>
      <c r="AR343" s="135"/>
      <c r="AS343" s="90">
        <f t="shared" si="594"/>
        <v>25.697674418604652</v>
      </c>
      <c r="AT343" s="62">
        <f t="shared" si="595"/>
        <v>25.697674418604652</v>
      </c>
      <c r="AU343" s="62">
        <f t="shared" si="596"/>
        <v>25.697674418604652</v>
      </c>
      <c r="AW343" s="109"/>
      <c r="BA343" s="109"/>
      <c r="BE343" s="109"/>
      <c r="BI343" s="109"/>
      <c r="BM343" s="109"/>
    </row>
    <row r="344" spans="1:65" ht="16.5" hidden="1" customHeight="1" outlineLevel="1" x14ac:dyDescent="0.25">
      <c r="A344" s="211"/>
      <c r="B344" s="9"/>
      <c r="C344" s="50" t="s">
        <v>60</v>
      </c>
      <c r="D344" s="8"/>
      <c r="E344" s="105"/>
      <c r="F344" s="51"/>
      <c r="G344" s="51"/>
      <c r="H344" s="135"/>
      <c r="I344" s="78">
        <f>+Benelux!E344</f>
        <v>12</v>
      </c>
      <c r="J344" s="51">
        <f>+Benelux!F344</f>
        <v>12</v>
      </c>
      <c r="K344" s="51">
        <f>+Benelux!G344</f>
        <v>12</v>
      </c>
      <c r="L344" s="135"/>
      <c r="M344" s="78">
        <f>+Benelux!I344</f>
        <v>31</v>
      </c>
      <c r="N344" s="51">
        <f>+Benelux!J344</f>
        <v>31</v>
      </c>
      <c r="O344" s="51">
        <f>+Benelux!K344</f>
        <v>31</v>
      </c>
      <c r="P344" s="135"/>
      <c r="Q344" s="105"/>
      <c r="R344" s="51"/>
      <c r="S344" s="51"/>
      <c r="T344" s="135"/>
      <c r="U344" s="89">
        <f t="shared" si="600"/>
        <v>25.697674418604652</v>
      </c>
      <c r="V344" s="62">
        <f t="shared" si="601"/>
        <v>25.697674418604652</v>
      </c>
      <c r="W344" s="62">
        <f t="shared" si="602"/>
        <v>25.697674418604652</v>
      </c>
      <c r="X344" s="135"/>
      <c r="Y344" s="105"/>
      <c r="Z344" s="51"/>
      <c r="AA344" s="51"/>
      <c r="AB344" s="135"/>
      <c r="AC344" s="105"/>
      <c r="AD344" s="51"/>
      <c r="AE344" s="51"/>
      <c r="AF344" s="135"/>
      <c r="AG344" s="105"/>
      <c r="AH344" s="51"/>
      <c r="AI344" s="51"/>
      <c r="AJ344" s="135"/>
      <c r="AK344" s="105"/>
      <c r="AL344" s="51"/>
      <c r="AM344" s="51"/>
      <c r="AN344" s="135"/>
      <c r="AO344" s="103"/>
      <c r="AP344" s="62"/>
      <c r="AQ344" s="62"/>
      <c r="AR344" s="135"/>
      <c r="AS344" s="89">
        <f t="shared" si="594"/>
        <v>25.697674418604652</v>
      </c>
      <c r="AT344" s="62">
        <f t="shared" si="595"/>
        <v>25.697674418604652</v>
      </c>
      <c r="AU344" s="62">
        <f t="shared" si="596"/>
        <v>25.697674418604652</v>
      </c>
      <c r="AW344" s="109"/>
      <c r="BA344" s="109"/>
      <c r="BE344" s="109"/>
      <c r="BI344" s="109"/>
      <c r="BM344" s="109"/>
    </row>
    <row r="345" spans="1:65" ht="16.5" hidden="1" customHeight="1" outlineLevel="1" x14ac:dyDescent="0.25">
      <c r="A345" s="211"/>
      <c r="B345" s="9"/>
      <c r="C345" s="50" t="s">
        <v>61</v>
      </c>
      <c r="D345" s="8"/>
      <c r="E345" s="105"/>
      <c r="F345" s="51"/>
      <c r="G345" s="51"/>
      <c r="H345" s="135"/>
      <c r="I345" s="78">
        <f>+Benelux!E345</f>
        <v>12</v>
      </c>
      <c r="J345" s="51">
        <f>+Benelux!F345</f>
        <v>12</v>
      </c>
      <c r="K345" s="51">
        <f>+Benelux!G345</f>
        <v>12</v>
      </c>
      <c r="L345" s="135"/>
      <c r="M345" s="78">
        <f>+Benelux!I345</f>
        <v>31</v>
      </c>
      <c r="N345" s="51">
        <f>+Benelux!J345</f>
        <v>31</v>
      </c>
      <c r="O345" s="51">
        <f>+Benelux!K345</f>
        <v>31</v>
      </c>
      <c r="P345" s="135"/>
      <c r="Q345" s="105"/>
      <c r="R345" s="51"/>
      <c r="S345" s="51"/>
      <c r="T345" s="135"/>
      <c r="U345" s="89">
        <f t="shared" si="600"/>
        <v>25.697674418604652</v>
      </c>
      <c r="V345" s="62">
        <f t="shared" si="601"/>
        <v>25.697674418604652</v>
      </c>
      <c r="W345" s="62">
        <f t="shared" si="602"/>
        <v>25.697674418604652</v>
      </c>
      <c r="X345" s="135"/>
      <c r="Y345" s="105"/>
      <c r="Z345" s="51"/>
      <c r="AA345" s="51"/>
      <c r="AB345" s="135"/>
      <c r="AC345" s="105"/>
      <c r="AD345" s="51"/>
      <c r="AE345" s="51"/>
      <c r="AF345" s="135"/>
      <c r="AG345" s="105"/>
      <c r="AH345" s="51"/>
      <c r="AI345" s="51"/>
      <c r="AJ345" s="135"/>
      <c r="AK345" s="105"/>
      <c r="AL345" s="51"/>
      <c r="AM345" s="51"/>
      <c r="AN345" s="135"/>
      <c r="AO345" s="103"/>
      <c r="AP345" s="62"/>
      <c r="AQ345" s="62"/>
      <c r="AR345" s="135"/>
      <c r="AS345" s="89">
        <f t="shared" si="594"/>
        <v>25.697674418604652</v>
      </c>
      <c r="AT345" s="62">
        <f t="shared" si="595"/>
        <v>25.697674418604652</v>
      </c>
      <c r="AU345" s="62">
        <f t="shared" si="596"/>
        <v>25.697674418604652</v>
      </c>
      <c r="AW345" s="109"/>
      <c r="BA345" s="109"/>
      <c r="BE345" s="109"/>
      <c r="BI345" s="109"/>
      <c r="BM345" s="109"/>
    </row>
    <row r="346" spans="1:65" ht="16.5" hidden="1" customHeight="1" outlineLevel="1" x14ac:dyDescent="0.25">
      <c r="A346" s="211"/>
      <c r="B346" s="9"/>
      <c r="C346" s="136" t="s">
        <v>34</v>
      </c>
      <c r="D346" s="6"/>
      <c r="E346" s="137"/>
      <c r="F346" s="138"/>
      <c r="G346" s="138"/>
      <c r="H346" s="117"/>
      <c r="I346" s="141">
        <f>+Benelux!E346</f>
        <v>12</v>
      </c>
      <c r="J346" s="138">
        <f>+Benelux!F346</f>
        <v>12</v>
      </c>
      <c r="K346" s="138">
        <f>+Benelux!G346</f>
        <v>12</v>
      </c>
      <c r="L346" s="117"/>
      <c r="M346" s="141">
        <f>+Benelux!I346</f>
        <v>31</v>
      </c>
      <c r="N346" s="138">
        <f>+Benelux!J346</f>
        <v>31</v>
      </c>
      <c r="O346" s="138">
        <f>+Benelux!K346</f>
        <v>31</v>
      </c>
      <c r="P346" s="117"/>
      <c r="Q346" s="137"/>
      <c r="R346" s="138"/>
      <c r="S346" s="138"/>
      <c r="T346" s="117"/>
      <c r="U346" s="150">
        <f t="shared" ref="U346:W346" si="603">+I346+M346</f>
        <v>43</v>
      </c>
      <c r="V346" s="140">
        <f t="shared" si="603"/>
        <v>43</v>
      </c>
      <c r="W346" s="140">
        <f t="shared" si="603"/>
        <v>43</v>
      </c>
      <c r="X346" s="117"/>
      <c r="Y346" s="137"/>
      <c r="Z346" s="138"/>
      <c r="AA346" s="138"/>
      <c r="AB346" s="117"/>
      <c r="AC346" s="137"/>
      <c r="AD346" s="138"/>
      <c r="AE346" s="138"/>
      <c r="AF346" s="117"/>
      <c r="AG346" s="137"/>
      <c r="AH346" s="138"/>
      <c r="AI346" s="138"/>
      <c r="AJ346" s="117"/>
      <c r="AK346" s="137"/>
      <c r="AL346" s="138"/>
      <c r="AM346" s="138"/>
      <c r="AN346" s="117"/>
      <c r="AO346" s="139"/>
      <c r="AP346" s="140"/>
      <c r="AQ346" s="140"/>
      <c r="AR346" s="117"/>
      <c r="AS346" s="150">
        <f t="shared" si="594"/>
        <v>43</v>
      </c>
      <c r="AT346" s="140">
        <f t="shared" si="595"/>
        <v>43</v>
      </c>
      <c r="AU346" s="140">
        <f t="shared" si="596"/>
        <v>43</v>
      </c>
      <c r="AW346" s="108"/>
      <c r="BA346" s="108"/>
      <c r="BE346" s="108"/>
      <c r="BI346" s="108"/>
      <c r="BM346" s="108"/>
    </row>
    <row r="347" spans="1:65" outlineLevel="1" x14ac:dyDescent="0.35"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</row>
    <row r="348" spans="1:65" ht="16.5" x14ac:dyDescent="0.25">
      <c r="A348" s="212" t="s">
        <v>52</v>
      </c>
      <c r="B348" s="9"/>
      <c r="C348" s="151" t="s">
        <v>19</v>
      </c>
      <c r="D348" s="6"/>
      <c r="E348" s="174">
        <f>+E263</f>
        <v>335.94232871000003</v>
      </c>
      <c r="F348" s="175">
        <f t="shared" ref="F348:G348" si="604">+F263</f>
        <v>335.94232871000003</v>
      </c>
      <c r="G348" s="175">
        <f t="shared" si="604"/>
        <v>335.94232871000003</v>
      </c>
      <c r="H348" s="117"/>
      <c r="I348" s="177" t="e">
        <f>+I263+I297+I280</f>
        <v>#VALUE!</v>
      </c>
      <c r="J348" s="175" t="e">
        <f t="shared" ref="J348:K348" si="605">+J263+J297+J280</f>
        <v>#VALUE!</v>
      </c>
      <c r="K348" s="175" t="e">
        <f t="shared" si="605"/>
        <v>#VALUE!</v>
      </c>
      <c r="L348" s="117"/>
      <c r="M348" s="174" t="e">
        <f>+M263+M280+M297</f>
        <v>#VALUE!</v>
      </c>
      <c r="N348" s="175" t="e">
        <f t="shared" ref="N348:O348" si="606">+N263+N280+N297</f>
        <v>#VALUE!</v>
      </c>
      <c r="O348" s="175" t="e">
        <f t="shared" si="606"/>
        <v>#VALUE!</v>
      </c>
      <c r="P348" s="117"/>
      <c r="Q348" s="174" t="e">
        <f>+Q263</f>
        <v>#VALUE!</v>
      </c>
      <c r="R348" s="175" t="e">
        <f t="shared" ref="R348:S348" si="607">+R263</f>
        <v>#VALUE!</v>
      </c>
      <c r="S348" s="175" t="e">
        <f t="shared" si="607"/>
        <v>#VALUE!</v>
      </c>
      <c r="T348" s="117"/>
      <c r="U348" s="122" t="e">
        <f>+E348+I348+M348+Q348</f>
        <v>#VALUE!</v>
      </c>
      <c r="V348" s="123" t="e">
        <f t="shared" ref="V348:V349" si="608">+F348+J348+N348+R348</f>
        <v>#VALUE!</v>
      </c>
      <c r="W348" s="123" t="e">
        <f t="shared" ref="W348:W349" si="609">+G348+K348+O348+S348</f>
        <v>#VALUE!</v>
      </c>
      <c r="X348" s="117"/>
      <c r="Y348" s="176">
        <f>+Y263</f>
        <v>108.70809534</v>
      </c>
      <c r="Z348" s="175">
        <f t="shared" ref="Z348:AA348" si="610">+Z263</f>
        <v>110.62512524000002</v>
      </c>
      <c r="AA348" s="175">
        <f t="shared" si="610"/>
        <v>112.54845367250161</v>
      </c>
      <c r="AB348" s="117"/>
      <c r="AC348" s="176">
        <f>+AC263</f>
        <v>21.496336050000004</v>
      </c>
      <c r="AD348" s="175">
        <f t="shared" ref="AD348:AE348" si="611">+AD263</f>
        <v>21.369239630000006</v>
      </c>
      <c r="AE348" s="175">
        <f t="shared" si="611"/>
        <v>23.80596328432329</v>
      </c>
      <c r="AF348" s="117"/>
      <c r="AG348" s="176">
        <f>+AG263</f>
        <v>1345</v>
      </c>
      <c r="AH348" s="175">
        <f t="shared" ref="AH348:AI348" si="612">+AH263</f>
        <v>1345</v>
      </c>
      <c r="AI348" s="175">
        <f t="shared" si="612"/>
        <v>1345</v>
      </c>
      <c r="AJ348" s="117"/>
      <c r="AK348" s="174" t="e">
        <f>+AK263+AK280</f>
        <v>#VALUE!</v>
      </c>
      <c r="AL348" s="175" t="e">
        <f t="shared" ref="AL348:AM348" si="613">+AL263+AL280</f>
        <v>#VALUE!</v>
      </c>
      <c r="AM348" s="175" t="e">
        <f t="shared" si="613"/>
        <v>#VALUE!</v>
      </c>
      <c r="AN348" s="117"/>
      <c r="AO348" s="122">
        <v>123</v>
      </c>
      <c r="AP348" s="123" t="e">
        <f t="shared" ref="AP348:AP349" si="614">+Z348+AD348+AH348+AL348</f>
        <v>#VALUE!</v>
      </c>
      <c r="AQ348" s="123">
        <v>357</v>
      </c>
      <c r="AR348" s="117"/>
      <c r="AS348" s="166" t="e">
        <f t="shared" ref="AS348:AS349" si="615">+U348+AO348</f>
        <v>#VALUE!</v>
      </c>
      <c r="AT348" s="160" t="e">
        <f t="shared" ref="AT348:AT349" si="616">+V348+AP348</f>
        <v>#VALUE!</v>
      </c>
      <c r="AU348" s="160" t="e">
        <f t="shared" ref="AU348:AU349" si="617">+W348+AQ348</f>
        <v>#VALUE!</v>
      </c>
      <c r="AW348" s="108"/>
      <c r="BA348" s="108"/>
      <c r="BE348" s="108"/>
      <c r="BI348" s="108"/>
      <c r="BM348" s="108"/>
    </row>
    <row r="349" spans="1:65" ht="16.5" x14ac:dyDescent="0.25">
      <c r="A349" s="212"/>
      <c r="B349" s="9"/>
      <c r="C349" s="151" t="s">
        <v>55</v>
      </c>
      <c r="D349" s="6"/>
      <c r="E349" s="176">
        <f t="shared" ref="E349:G349" si="618">+E264</f>
        <v>335.46797350000003</v>
      </c>
      <c r="F349" s="175">
        <f t="shared" si="618"/>
        <v>335.79202771000001</v>
      </c>
      <c r="G349" s="175">
        <f t="shared" si="618"/>
        <v>334.88639682652433</v>
      </c>
      <c r="H349" s="117"/>
      <c r="I349" s="176" t="e">
        <f>+I264+I298+I281</f>
        <v>#VALUE!</v>
      </c>
      <c r="J349" s="175" t="e">
        <f t="shared" ref="J349:K349" si="619">+J264+J298+J281</f>
        <v>#VALUE!</v>
      </c>
      <c r="K349" s="175" t="e">
        <f t="shared" si="619"/>
        <v>#VALUE!</v>
      </c>
      <c r="L349" s="117"/>
      <c r="M349" s="174" t="e">
        <f t="shared" ref="M349:O349" si="620">+M264+M281+M298</f>
        <v>#VALUE!</v>
      </c>
      <c r="N349" s="175" t="e">
        <f t="shared" si="620"/>
        <v>#VALUE!</v>
      </c>
      <c r="O349" s="175" t="e">
        <f t="shared" si="620"/>
        <v>#VALUE!</v>
      </c>
      <c r="P349" s="117"/>
      <c r="Q349" s="174" t="e">
        <f t="shared" ref="Q349:S349" si="621">+Q264</f>
        <v>#VALUE!</v>
      </c>
      <c r="R349" s="175" t="e">
        <f t="shared" si="621"/>
        <v>#VALUE!</v>
      </c>
      <c r="S349" s="175" t="e">
        <f t="shared" si="621"/>
        <v>#VALUE!</v>
      </c>
      <c r="T349" s="117"/>
      <c r="U349" s="122" t="e">
        <f t="shared" ref="U349" si="622">+E349+I349+M349+Q349</f>
        <v>#VALUE!</v>
      </c>
      <c r="V349" s="123" t="e">
        <f t="shared" si="608"/>
        <v>#VALUE!</v>
      </c>
      <c r="W349" s="123" t="e">
        <f t="shared" si="609"/>
        <v>#VALUE!</v>
      </c>
      <c r="X349" s="117"/>
      <c r="Y349" s="176">
        <f t="shared" ref="Y349:AA349" si="623">+Y264</f>
        <v>45.550488299999998</v>
      </c>
      <c r="Z349" s="175">
        <f t="shared" si="623"/>
        <v>44.933638809999984</v>
      </c>
      <c r="AA349" s="175">
        <f t="shared" si="623"/>
        <v>58.982087473381583</v>
      </c>
      <c r="AB349" s="117"/>
      <c r="AC349" s="176">
        <f t="shared" ref="AC349:AE349" si="624">+AC264</f>
        <v>11.707862959999998</v>
      </c>
      <c r="AD349" s="175">
        <f t="shared" si="624"/>
        <v>11.088059270000004</v>
      </c>
      <c r="AE349" s="175">
        <f t="shared" si="624"/>
        <v>14.421655364791338</v>
      </c>
      <c r="AF349" s="117"/>
      <c r="AG349" s="176">
        <f t="shared" ref="AG349:AI349" si="625">+AG264</f>
        <v>1345</v>
      </c>
      <c r="AH349" s="175">
        <f t="shared" si="625"/>
        <v>1345</v>
      </c>
      <c r="AI349" s="175">
        <f t="shared" si="625"/>
        <v>1345</v>
      </c>
      <c r="AJ349" s="117"/>
      <c r="AK349" s="177" t="e">
        <f t="shared" ref="AK349:AM349" si="626">+AK264+AK281</f>
        <v>#VALUE!</v>
      </c>
      <c r="AL349" s="175" t="e">
        <f t="shared" si="626"/>
        <v>#VALUE!</v>
      </c>
      <c r="AM349" s="175" t="e">
        <f t="shared" si="626"/>
        <v>#VALUE!</v>
      </c>
      <c r="AN349" s="117"/>
      <c r="AO349" s="122">
        <v>123</v>
      </c>
      <c r="AP349" s="123" t="e">
        <f t="shared" si="614"/>
        <v>#VALUE!</v>
      </c>
      <c r="AQ349" s="123">
        <v>357</v>
      </c>
      <c r="AR349" s="117"/>
      <c r="AS349" s="161" t="e">
        <f t="shared" si="615"/>
        <v>#VALUE!</v>
      </c>
      <c r="AT349" s="160" t="e">
        <f t="shared" si="616"/>
        <v>#VALUE!</v>
      </c>
      <c r="AU349" s="160" t="e">
        <f t="shared" si="617"/>
        <v>#VALUE!</v>
      </c>
      <c r="AW349" s="108"/>
      <c r="BA349" s="108"/>
      <c r="BE349" s="108"/>
      <c r="BI349" s="108"/>
      <c r="BM349" s="108"/>
    </row>
    <row r="350" spans="1:65" ht="16.5" x14ac:dyDescent="0.25">
      <c r="A350" s="212"/>
      <c r="B350" s="9"/>
      <c r="C350" s="151" t="s">
        <v>21</v>
      </c>
      <c r="D350" s="6"/>
      <c r="E350" s="178">
        <f t="shared" ref="E350:G350" si="627">+E265</f>
        <v>3071.6241457911478</v>
      </c>
      <c r="F350" s="179">
        <f t="shared" si="627"/>
        <v>3068.6420146475157</v>
      </c>
      <c r="G350" s="179">
        <f t="shared" si="627"/>
        <v>3076.9580966075337</v>
      </c>
      <c r="H350" s="117"/>
      <c r="I350" s="178" t="e">
        <f>+I351+I356+I357+I358+I359</f>
        <v>#VALUE!</v>
      </c>
      <c r="J350" s="179" t="e">
        <f>+J351+J356+J357+J358+J359</f>
        <v>#VALUE!</v>
      </c>
      <c r="K350" s="179" t="e">
        <f>+K351+K356+K357+K358+K359</f>
        <v>#VALUE!</v>
      </c>
      <c r="L350" s="117"/>
      <c r="M350" s="178" t="e">
        <f>+M351+M356+M357+M358+M359</f>
        <v>#VALUE!</v>
      </c>
      <c r="N350" s="179" t="e">
        <f>+N351+N356+N357+N358+N359</f>
        <v>#VALUE!</v>
      </c>
      <c r="O350" s="179" t="e">
        <f>+O351+O356+O357+O358+O359</f>
        <v>#VALUE!</v>
      </c>
      <c r="P350" s="117"/>
      <c r="Q350" s="181" t="e">
        <f t="shared" ref="Q350:S350" si="628">+Q265</f>
        <v>#VALUE!</v>
      </c>
      <c r="R350" s="179" t="e">
        <f t="shared" si="628"/>
        <v>#VALUE!</v>
      </c>
      <c r="S350" s="179" t="e">
        <f t="shared" si="628"/>
        <v>#VALUE!</v>
      </c>
      <c r="T350" s="117"/>
      <c r="U350" s="132" t="e">
        <f>+U351+U356+U357+U358+U359</f>
        <v>#VALUE!</v>
      </c>
      <c r="V350" s="130" t="e">
        <f>+V351+V356+V357+V358+V359</f>
        <v>#VALUE!</v>
      </c>
      <c r="W350" s="130" t="e">
        <f>+W351+W356+W357+W358+W359</f>
        <v>#VALUE!</v>
      </c>
      <c r="X350" s="117"/>
      <c r="Y350" s="178">
        <f t="shared" ref="Y350:AA350" si="629">+Y265</f>
        <v>0.86793436548077563</v>
      </c>
      <c r="Z350" s="179">
        <f t="shared" si="629"/>
        <v>0.91480698311154662</v>
      </c>
      <c r="AA350" s="179">
        <f t="shared" si="629"/>
        <v>0.9265010568190386</v>
      </c>
      <c r="AB350" s="117"/>
      <c r="AC350" s="180">
        <f t="shared" ref="AC350:AE350" si="630">+AC265</f>
        <v>0.91984585293717058</v>
      </c>
      <c r="AD350" s="179">
        <f t="shared" si="630"/>
        <v>1.0570446211188047</v>
      </c>
      <c r="AE350" s="179">
        <f t="shared" si="630"/>
        <v>0.90577877899967796</v>
      </c>
      <c r="AF350" s="117"/>
      <c r="AG350" s="178">
        <f t="shared" ref="AG350:AI350" si="631">+AG265</f>
        <v>13450</v>
      </c>
      <c r="AH350" s="179">
        <f t="shared" si="631"/>
        <v>13450</v>
      </c>
      <c r="AI350" s="179">
        <f t="shared" si="631"/>
        <v>13450</v>
      </c>
      <c r="AJ350" s="117"/>
      <c r="AK350" s="178" t="e">
        <f>+AK351+AK356+AK357+AK358+AK359</f>
        <v>#VALUE!</v>
      </c>
      <c r="AL350" s="179" t="e">
        <f>+AL351+AL356+AL357+AL358+AL359</f>
        <v>#VALUE!</v>
      </c>
      <c r="AM350" s="179" t="e">
        <f>+AM351+AM356+AM357+AM358+AM359</f>
        <v>#VALUE!</v>
      </c>
      <c r="AN350" s="117"/>
      <c r="AO350" s="122">
        <v>123</v>
      </c>
      <c r="AP350" s="130" t="e">
        <f>+AP351+AP356+AP357+AP358+AP359</f>
        <v>#VALUE!</v>
      </c>
      <c r="AQ350" s="123">
        <v>357</v>
      </c>
      <c r="AR350" s="117"/>
      <c r="AS350" s="162" t="e">
        <f>+AS351+AS356+AS357+AS358+AS359</f>
        <v>#VALUE!</v>
      </c>
      <c r="AT350" s="163" t="e">
        <f>+AT351+AT356+AT357+AT358+AT359</f>
        <v>#VALUE!</v>
      </c>
      <c r="AU350" s="163" t="e">
        <f>+AU351+AU356+AU357+AU358+AU359</f>
        <v>#VALUE!</v>
      </c>
      <c r="AW350" s="109"/>
      <c r="BA350" s="109"/>
      <c r="BE350" s="109"/>
      <c r="BI350" s="109"/>
      <c r="BM350" s="109"/>
    </row>
    <row r="351" spans="1:65" ht="16.5" x14ac:dyDescent="0.25">
      <c r="A351" s="212"/>
      <c r="B351" s="9"/>
      <c r="C351" s="151" t="s">
        <v>56</v>
      </c>
      <c r="D351" s="6"/>
      <c r="E351" s="180">
        <f t="shared" ref="E351:G351" si="632">+E266</f>
        <v>1228.6446909581966</v>
      </c>
      <c r="F351" s="179">
        <f t="shared" si="632"/>
        <v>1227.4594575225115</v>
      </c>
      <c r="G351" s="179">
        <f t="shared" si="632"/>
        <v>1230.7775692781772</v>
      </c>
      <c r="H351" s="117"/>
      <c r="I351" s="180" t="e">
        <f>+I352+I353+I354+I355</f>
        <v>#VALUE!</v>
      </c>
      <c r="J351" s="179" t="e">
        <f>+J352+J353+J354+J355</f>
        <v>#VALUE!</v>
      </c>
      <c r="K351" s="179" t="e">
        <f>+K352+K353+K354+K355</f>
        <v>#VALUE!</v>
      </c>
      <c r="L351" s="117"/>
      <c r="M351" s="180" t="e">
        <f>+M352+M353+M354+M355</f>
        <v>#VALUE!</v>
      </c>
      <c r="N351" s="179" t="e">
        <f>+N352+N353+N354+N355</f>
        <v>#VALUE!</v>
      </c>
      <c r="O351" s="179" t="e">
        <f>+O352+O353+O354+O355</f>
        <v>#VALUE!</v>
      </c>
      <c r="P351" s="117"/>
      <c r="Q351" s="180" t="e">
        <f t="shared" ref="Q351:S351" si="633">+Q266</f>
        <v>#VALUE!</v>
      </c>
      <c r="R351" s="179" t="e">
        <f t="shared" si="633"/>
        <v>#VALUE!</v>
      </c>
      <c r="S351" s="179" t="e">
        <f t="shared" si="633"/>
        <v>#VALUE!</v>
      </c>
      <c r="T351" s="117"/>
      <c r="U351" s="129" t="e">
        <f>+U352+U353+U354+U355</f>
        <v>#VALUE!</v>
      </c>
      <c r="V351" s="130" t="e">
        <f>+V352+V353+V354+V355</f>
        <v>#VALUE!</v>
      </c>
      <c r="W351" s="130" t="e">
        <f>+W352+W353+W354+W355</f>
        <v>#VALUE!</v>
      </c>
      <c r="X351" s="117"/>
      <c r="Y351" s="178">
        <f t="shared" ref="Y351:AA351" si="634">+Y266</f>
        <v>0.61250914691072589</v>
      </c>
      <c r="Z351" s="179">
        <f t="shared" si="634"/>
        <v>0.62769617299997171</v>
      </c>
      <c r="AA351" s="179">
        <f t="shared" si="634"/>
        <v>0.68771540438828938</v>
      </c>
      <c r="AB351" s="117"/>
      <c r="AC351" s="181">
        <f t="shared" ref="AC351:AE351" si="635">+AC266</f>
        <v>0.6046164545871876</v>
      </c>
      <c r="AD351" s="179">
        <f t="shared" si="635"/>
        <v>0.66148461975167638</v>
      </c>
      <c r="AE351" s="179">
        <f t="shared" si="635"/>
        <v>0.59651557371256203</v>
      </c>
      <c r="AF351" s="117"/>
      <c r="AG351" s="180">
        <f t="shared" ref="AG351:AI351" si="636">+AG266</f>
        <v>5380</v>
      </c>
      <c r="AH351" s="179">
        <f t="shared" si="636"/>
        <v>5380</v>
      </c>
      <c r="AI351" s="179">
        <f t="shared" si="636"/>
        <v>5380</v>
      </c>
      <c r="AJ351" s="117"/>
      <c r="AK351" s="178" t="e">
        <f>+AK352+AK353+AK354+AK355</f>
        <v>#VALUE!</v>
      </c>
      <c r="AL351" s="179" t="e">
        <f>+AL352+AL353+AL354+AL355</f>
        <v>#VALUE!</v>
      </c>
      <c r="AM351" s="179" t="e">
        <f>+AM352+AM353+AM354+AM355</f>
        <v>#VALUE!</v>
      </c>
      <c r="AN351" s="117"/>
      <c r="AO351" s="122">
        <v>123</v>
      </c>
      <c r="AP351" s="130" t="e">
        <f>+AP352+AP353+AP354+AP355</f>
        <v>#VALUE!</v>
      </c>
      <c r="AQ351" s="123">
        <v>357</v>
      </c>
      <c r="AR351" s="117"/>
      <c r="AS351" s="182" t="e">
        <f>+AS352+AS353+AS354+AS355</f>
        <v>#VALUE!</v>
      </c>
      <c r="AT351" s="163" t="e">
        <f>+AT352+AT353+AT354+AT355</f>
        <v>#VALUE!</v>
      </c>
      <c r="AU351" s="163" t="e">
        <f>+AU352+AU353+AU354+AU355</f>
        <v>#VALUE!</v>
      </c>
      <c r="AW351" s="109"/>
      <c r="BA351" s="109"/>
      <c r="BE351" s="109"/>
      <c r="BI351" s="109"/>
      <c r="BM351" s="109"/>
    </row>
    <row r="352" spans="1:65" ht="16.5" x14ac:dyDescent="0.25">
      <c r="A352" s="212"/>
      <c r="B352" s="9"/>
      <c r="C352" s="64" t="s">
        <v>23</v>
      </c>
      <c r="D352" s="6"/>
      <c r="E352" s="80">
        <f t="shared" ref="E352:G352" si="637">+E267</f>
        <v>307.16117273954916</v>
      </c>
      <c r="F352" s="66">
        <f t="shared" si="637"/>
        <v>306.86486438062786</v>
      </c>
      <c r="G352" s="66">
        <f t="shared" si="637"/>
        <v>307.69439231954431</v>
      </c>
      <c r="H352" s="117"/>
      <c r="I352" s="80" t="e">
        <f>+((I267*$I$264)+(I301*$I$298)+(I284*$I$281))/$I$349</f>
        <v>#VALUE!</v>
      </c>
      <c r="J352" s="66" t="e">
        <f>+((J267*$J$264)+(J301*$J$298)+(J284*$J$281))/$J$349</f>
        <v>#VALUE!</v>
      </c>
      <c r="K352" s="66" t="e">
        <f>+((K267*$K$264)+(K301*$K$298)+(K284*$K$281))/$K$349</f>
        <v>#VALUE!</v>
      </c>
      <c r="L352" s="117"/>
      <c r="M352" s="80" t="e">
        <f>+((M267*$M$264)+(M284*$M$281)+(M301*$M$298))/$M$349</f>
        <v>#VALUE!</v>
      </c>
      <c r="N352" s="66" t="e">
        <f>+((N267*$N$264)+(N284*$N$281)+(N301*$N$298))/$N$349</f>
        <v>#VALUE!</v>
      </c>
      <c r="O352" s="66" t="e">
        <f>+((O267*$O$264)+(O284*$O$281)+(O301*$O$298))/$O$349</f>
        <v>#VALUE!</v>
      </c>
      <c r="P352" s="117"/>
      <c r="Q352" s="80" t="e">
        <f t="shared" ref="Q352:S352" si="638">+Q267</f>
        <v>#VALUE!</v>
      </c>
      <c r="R352" s="66" t="e">
        <f t="shared" si="638"/>
        <v>#VALUE!</v>
      </c>
      <c r="S352" s="66" t="e">
        <f t="shared" si="638"/>
        <v>#VALUE!</v>
      </c>
      <c r="T352" s="117"/>
      <c r="U352" s="84" t="e">
        <f>+((E352*$E$349)+(I352*$I$349)+(M352*$M$349)+(Q352*$Q$349))/$U$349</f>
        <v>#VALUE!</v>
      </c>
      <c r="V352" s="60" t="e">
        <f>+((F352*$F$349)+(J352*$J$349)+(N352*$N$349)+(R352*$R$349))/$V$349</f>
        <v>#VALUE!</v>
      </c>
      <c r="W352" s="60" t="e">
        <f>+((G352*$G$349)+(K352*$K$349)+(O352*$O$349)+(S352*$S$349))/$W$349</f>
        <v>#VALUE!</v>
      </c>
      <c r="X352" s="117"/>
      <c r="Y352" s="81">
        <f t="shared" ref="Y352:AA352" si="639">+Y267</f>
        <v>0.24847384788868593</v>
      </c>
      <c r="Z352" s="66">
        <f t="shared" si="639"/>
        <v>0.27811449244796171</v>
      </c>
      <c r="AA352" s="66">
        <f t="shared" si="639"/>
        <v>0.28849709917938948</v>
      </c>
      <c r="AB352" s="117"/>
      <c r="AC352" s="81">
        <f t="shared" ref="AC352:AE352" si="640">+AC267</f>
        <v>0.36999843479548222</v>
      </c>
      <c r="AD352" s="66">
        <f t="shared" si="640"/>
        <v>0.53603301941945669</v>
      </c>
      <c r="AE352" s="66">
        <f t="shared" si="640"/>
        <v>0.38680105116560648</v>
      </c>
      <c r="AF352" s="117"/>
      <c r="AG352" s="80">
        <f t="shared" ref="AG352:AI352" si="641">+AG267</f>
        <v>1345</v>
      </c>
      <c r="AH352" s="66">
        <f t="shared" si="641"/>
        <v>1345</v>
      </c>
      <c r="AI352" s="66">
        <f t="shared" si="641"/>
        <v>1345</v>
      </c>
      <c r="AJ352" s="117"/>
      <c r="AK352" s="81" t="e">
        <f>+((AK284*$AK$281)+(AK267*$AK$264))/$AK$349</f>
        <v>#VALUE!</v>
      </c>
      <c r="AL352" s="66" t="e">
        <f>+((AL284*$AL$281)+(AL267*$AL$264))/$AL$349</f>
        <v>#VALUE!</v>
      </c>
      <c r="AM352" s="66" t="e">
        <f>+((AM284*$AM$281)+(AM267*$AM$264))/$AM$349</f>
        <v>#VALUE!</v>
      </c>
      <c r="AN352" s="117"/>
      <c r="AO352" s="122">
        <v>123</v>
      </c>
      <c r="AP352" s="60" t="e">
        <f>+((Z352*$Z$349)+(AD352*$AD$349)+(AH352*$AH$349)+(AL352*$AL$349))/$AP$349</f>
        <v>#VALUE!</v>
      </c>
      <c r="AQ352" s="123">
        <v>357</v>
      </c>
      <c r="AR352" s="117"/>
      <c r="AS352" s="92" t="e">
        <f>((U352*$U$349)+(AO352*$AO$349))/$AS$349</f>
        <v>#VALUE!</v>
      </c>
      <c r="AT352" s="68" t="e">
        <f>((V352*$V$349)+(AP352*$AP$349))/$AT$349</f>
        <v>#VALUE!</v>
      </c>
      <c r="AU352" s="68" t="e">
        <f>((W352*$W$349)+(AQ352*$AQ$349))/$AU$349</f>
        <v>#VALUE!</v>
      </c>
      <c r="AW352" s="109"/>
      <c r="BA352" s="109"/>
      <c r="BE352" s="109"/>
      <c r="BI352" s="109"/>
      <c r="BM352" s="109"/>
    </row>
    <row r="353" spans="1:65" ht="16.5" x14ac:dyDescent="0.25">
      <c r="A353" s="212"/>
      <c r="B353" s="9"/>
      <c r="C353" s="64" t="s">
        <v>24</v>
      </c>
      <c r="D353" s="7"/>
      <c r="E353" s="81">
        <f t="shared" ref="E353:G353" si="642">+E268</f>
        <v>307.16117273954916</v>
      </c>
      <c r="F353" s="66">
        <f t="shared" si="642"/>
        <v>306.86486438062786</v>
      </c>
      <c r="G353" s="66">
        <f t="shared" si="642"/>
        <v>307.69439231954431</v>
      </c>
      <c r="H353" s="134"/>
      <c r="I353" s="81" t="e">
        <f t="shared" ref="I353:I362" si="643">+((I268*$I$264)+(I302*$I$298)+(I285*$I$281))/$I$349</f>
        <v>#VALUE!</v>
      </c>
      <c r="J353" s="66" t="e">
        <f t="shared" ref="J353:J362" si="644">+((J268*$J$264)+(J302*$J$298)+(J285*$J$281))/$J$349</f>
        <v>#VALUE!</v>
      </c>
      <c r="K353" s="66" t="e">
        <f t="shared" ref="K353:K362" si="645">+((K268*$K$264)+(K302*$K$298)+(K285*$K$281))/$K$349</f>
        <v>#VALUE!</v>
      </c>
      <c r="L353" s="134"/>
      <c r="M353" s="81" t="e">
        <f t="shared" ref="M353:M358" si="646">+((M268*$M$264)+(M285*$M$281)+(M302*$M$298))/$M$349</f>
        <v>#VALUE!</v>
      </c>
      <c r="N353" s="66" t="e">
        <f t="shared" ref="N353:N358" si="647">+((N268*$N$264)+(N285*$N$281)+(N302*$N$298))/$N$349</f>
        <v>#VALUE!</v>
      </c>
      <c r="O353" s="66" t="e">
        <f t="shared" ref="O353:O358" si="648">+((O268*$O$264)+(O285*$O$281)+(O302*$O$298))/$O$349</f>
        <v>#VALUE!</v>
      </c>
      <c r="P353" s="134"/>
      <c r="Q353" s="81" t="e">
        <f t="shared" ref="Q353:S353" si="649">+Q268</f>
        <v>#VALUE!</v>
      </c>
      <c r="R353" s="66" t="e">
        <f t="shared" si="649"/>
        <v>#VALUE!</v>
      </c>
      <c r="S353" s="66" t="e">
        <f t="shared" si="649"/>
        <v>#VALUE!</v>
      </c>
      <c r="T353" s="134"/>
      <c r="U353" s="85" t="e">
        <f t="shared" ref="U353:U358" si="650">+((E353*$E$349)+(I353*$I$349)+(M353*$M$349)+(Q353*$Q$349))/$U$349</f>
        <v>#VALUE!</v>
      </c>
      <c r="V353" s="60" t="e">
        <f t="shared" ref="V353:V358" si="651">+((F353*$F$349)+(J353*$J$349)+(N353*$N$349)+(R353*$R$349))/$V$349</f>
        <v>#VALUE!</v>
      </c>
      <c r="W353" s="60" t="e">
        <f t="shared" ref="W353:W358" si="652">+((G353*$G$349)+(K353*$K$349)+(O353*$O$349)+(S353*$S$349))/$W$349</f>
        <v>#VALUE!</v>
      </c>
      <c r="X353" s="134"/>
      <c r="Y353" s="81">
        <f t="shared" ref="Y353:AA353" si="653">+Y268</f>
        <v>1.435728450796871E-2</v>
      </c>
      <c r="Z353" s="66">
        <f t="shared" si="653"/>
        <v>0</v>
      </c>
      <c r="AA353" s="66">
        <f t="shared" si="653"/>
        <v>6.8438159155095921E-2</v>
      </c>
      <c r="AB353" s="134"/>
      <c r="AC353" s="81">
        <f t="shared" ref="AC353:AE353" si="654">+AC268</f>
        <v>8.5412684058269858E-4</v>
      </c>
      <c r="AD353" s="66">
        <f t="shared" si="654"/>
        <v>0</v>
      </c>
      <c r="AE353" s="66">
        <f t="shared" si="654"/>
        <v>1.3781358309617023E-2</v>
      </c>
      <c r="AF353" s="134"/>
      <c r="AG353" s="104">
        <f t="shared" ref="AG353:AI353" si="655">+AG268</f>
        <v>1345</v>
      </c>
      <c r="AH353" s="66">
        <f t="shared" si="655"/>
        <v>1345</v>
      </c>
      <c r="AI353" s="66">
        <f t="shared" si="655"/>
        <v>1345</v>
      </c>
      <c r="AJ353" s="134"/>
      <c r="AK353" s="104" t="e">
        <f t="shared" ref="AK353:AK358" si="656">+((AK285*$AK$281)+(AK268*$AK$264))/$AK$349</f>
        <v>#VALUE!</v>
      </c>
      <c r="AL353" s="66" t="e">
        <f t="shared" ref="AL353:AL358" si="657">+((AL285*$AL$281)+(AL268*$AL$264))/$AL$349</f>
        <v>#VALUE!</v>
      </c>
      <c r="AM353" s="66" t="e">
        <f t="shared" ref="AM353:AM358" si="658">+((AM285*$AM$281)+(AM268*$AM$264))/$AM$349</f>
        <v>#VALUE!</v>
      </c>
      <c r="AN353" s="134"/>
      <c r="AO353" s="122">
        <v>123</v>
      </c>
      <c r="AP353" s="60" t="e">
        <f t="shared" ref="AP353:AP358" si="659">+((Z353*$Z$349)+(AD353*$AD$349)+(AH353*$AH$349)+(AL353*$AL$349))/$AP$349</f>
        <v>#VALUE!</v>
      </c>
      <c r="AQ353" s="123">
        <v>357</v>
      </c>
      <c r="AR353" s="134"/>
      <c r="AS353" s="93" t="e">
        <f t="shared" ref="AS353:AS358" si="660">((U353*$U$349)+(AO353*$AO$349))/$AS$349</f>
        <v>#VALUE!</v>
      </c>
      <c r="AT353" s="68" t="e">
        <f t="shared" ref="AT353:AT358" si="661">((V353*$V$349)+(AP353*$AP$349))/$AT$349</f>
        <v>#VALUE!</v>
      </c>
      <c r="AU353" s="68" t="e">
        <f t="shared" ref="AU353:AU358" si="662">((W353*$W$349)+(AQ353*$AQ$349))/$AU$349</f>
        <v>#VALUE!</v>
      </c>
      <c r="AW353" s="109"/>
      <c r="BA353" s="109"/>
      <c r="BE353" s="109"/>
      <c r="BI353" s="109"/>
      <c r="BM353" s="109"/>
    </row>
    <row r="354" spans="1:65" ht="16.5" x14ac:dyDescent="0.25">
      <c r="A354" s="212"/>
      <c r="B354" s="9"/>
      <c r="C354" s="64" t="s">
        <v>25</v>
      </c>
      <c r="D354" s="7"/>
      <c r="E354" s="81">
        <f t="shared" ref="E354:G354" si="663">+E269</f>
        <v>307.16117273954916</v>
      </c>
      <c r="F354" s="66">
        <f t="shared" si="663"/>
        <v>306.86486438062786</v>
      </c>
      <c r="G354" s="66">
        <f t="shared" si="663"/>
        <v>307.69439231954431</v>
      </c>
      <c r="H354" s="134"/>
      <c r="I354" s="81" t="e">
        <f t="shared" si="643"/>
        <v>#VALUE!</v>
      </c>
      <c r="J354" s="66" t="e">
        <f t="shared" si="644"/>
        <v>#VALUE!</v>
      </c>
      <c r="K354" s="66" t="e">
        <f t="shared" si="645"/>
        <v>#VALUE!</v>
      </c>
      <c r="L354" s="134"/>
      <c r="M354" s="81" t="e">
        <f t="shared" si="646"/>
        <v>#VALUE!</v>
      </c>
      <c r="N354" s="66" t="e">
        <f t="shared" si="647"/>
        <v>#VALUE!</v>
      </c>
      <c r="O354" s="66" t="e">
        <f t="shared" si="648"/>
        <v>#VALUE!</v>
      </c>
      <c r="P354" s="134"/>
      <c r="Q354" s="80" t="e">
        <f t="shared" ref="Q354:S354" si="664">+Q269</f>
        <v>#VALUE!</v>
      </c>
      <c r="R354" s="66" t="e">
        <f t="shared" si="664"/>
        <v>#VALUE!</v>
      </c>
      <c r="S354" s="66" t="e">
        <f t="shared" si="664"/>
        <v>#VALUE!</v>
      </c>
      <c r="T354" s="134"/>
      <c r="U354" s="85" t="e">
        <f t="shared" si="650"/>
        <v>#VALUE!</v>
      </c>
      <c r="V354" s="60" t="e">
        <f t="shared" si="651"/>
        <v>#VALUE!</v>
      </c>
      <c r="W354" s="60" t="e">
        <f t="shared" si="652"/>
        <v>#VALUE!</v>
      </c>
      <c r="X354" s="134"/>
      <c r="Y354" s="80">
        <f t="shared" ref="Y354:AA354" si="665">+Y269</f>
        <v>0.25170463384232122</v>
      </c>
      <c r="Z354" s="66">
        <f t="shared" si="665"/>
        <v>0.24929332177797903</v>
      </c>
      <c r="AA354" s="66">
        <f t="shared" si="665"/>
        <v>0.23391716212820834</v>
      </c>
      <c r="AB354" s="134"/>
      <c r="AC354" s="80">
        <f t="shared" ref="AC354:AE354" si="666">+AC269</f>
        <v>0.11082048501928829</v>
      </c>
      <c r="AD354" s="66">
        <f t="shared" si="666"/>
        <v>0</v>
      </c>
      <c r="AE354" s="66">
        <f t="shared" si="666"/>
        <v>0.10528437932882899</v>
      </c>
      <c r="AF354" s="134"/>
      <c r="AG354" s="104">
        <f t="shared" ref="AG354:AI354" si="667">+AG269</f>
        <v>1345</v>
      </c>
      <c r="AH354" s="66">
        <f t="shared" si="667"/>
        <v>1345</v>
      </c>
      <c r="AI354" s="66">
        <f t="shared" si="667"/>
        <v>1345</v>
      </c>
      <c r="AJ354" s="134"/>
      <c r="AK354" s="81" t="e">
        <f t="shared" si="656"/>
        <v>#VALUE!</v>
      </c>
      <c r="AL354" s="66" t="e">
        <f t="shared" si="657"/>
        <v>#VALUE!</v>
      </c>
      <c r="AM354" s="66" t="e">
        <f t="shared" si="658"/>
        <v>#VALUE!</v>
      </c>
      <c r="AN354" s="134"/>
      <c r="AO354" s="122">
        <v>123</v>
      </c>
      <c r="AP354" s="60" t="e">
        <f t="shared" si="659"/>
        <v>#VALUE!</v>
      </c>
      <c r="AQ354" s="123">
        <v>357</v>
      </c>
      <c r="AR354" s="134"/>
      <c r="AS354" s="93" t="e">
        <f t="shared" si="660"/>
        <v>#VALUE!</v>
      </c>
      <c r="AT354" s="68" t="e">
        <f t="shared" si="661"/>
        <v>#VALUE!</v>
      </c>
      <c r="AU354" s="68" t="e">
        <f t="shared" si="662"/>
        <v>#VALUE!</v>
      </c>
      <c r="AW354" s="109"/>
      <c r="BA354" s="109"/>
      <c r="BE354" s="109"/>
      <c r="BI354" s="109"/>
      <c r="BM354" s="109"/>
    </row>
    <row r="355" spans="1:65" ht="16.5" x14ac:dyDescent="0.25">
      <c r="A355" s="212"/>
      <c r="B355" s="9"/>
      <c r="C355" s="64" t="s">
        <v>53</v>
      </c>
      <c r="D355" s="7"/>
      <c r="E355" s="81">
        <f t="shared" ref="E355:G355" si="668">+E270</f>
        <v>307.16117273954916</v>
      </c>
      <c r="F355" s="66">
        <f t="shared" si="668"/>
        <v>306.86486438062786</v>
      </c>
      <c r="G355" s="66">
        <f t="shared" si="668"/>
        <v>307.69439231954431</v>
      </c>
      <c r="H355" s="134"/>
      <c r="I355" s="81" t="e">
        <f t="shared" si="643"/>
        <v>#VALUE!</v>
      </c>
      <c r="J355" s="66" t="e">
        <f t="shared" si="644"/>
        <v>#VALUE!</v>
      </c>
      <c r="K355" s="66" t="e">
        <f t="shared" si="645"/>
        <v>#VALUE!</v>
      </c>
      <c r="L355" s="134"/>
      <c r="M355" s="81" t="e">
        <f t="shared" si="646"/>
        <v>#VALUE!</v>
      </c>
      <c r="N355" s="66" t="e">
        <f t="shared" si="647"/>
        <v>#VALUE!</v>
      </c>
      <c r="O355" s="66" t="e">
        <f t="shared" si="648"/>
        <v>#VALUE!</v>
      </c>
      <c r="P355" s="134"/>
      <c r="Q355" s="81" t="e">
        <f t="shared" ref="Q355:S355" si="669">+Q270</f>
        <v>#VALUE!</v>
      </c>
      <c r="R355" s="66" t="e">
        <f t="shared" si="669"/>
        <v>#VALUE!</v>
      </c>
      <c r="S355" s="66" t="e">
        <f t="shared" si="669"/>
        <v>#VALUE!</v>
      </c>
      <c r="T355" s="134"/>
      <c r="U355" s="85" t="e">
        <f t="shared" si="650"/>
        <v>#VALUE!</v>
      </c>
      <c r="V355" s="60" t="e">
        <f t="shared" si="651"/>
        <v>#VALUE!</v>
      </c>
      <c r="W355" s="60" t="e">
        <f t="shared" si="652"/>
        <v>#VALUE!</v>
      </c>
      <c r="X355" s="134"/>
      <c r="Y355" s="80">
        <f t="shared" ref="Y355:AA355" si="670">+Y270</f>
        <v>9.7973380671750127E-2</v>
      </c>
      <c r="Z355" s="66">
        <f t="shared" si="670"/>
        <v>0.10028835877403097</v>
      </c>
      <c r="AA355" s="66">
        <f t="shared" si="670"/>
        <v>9.6862983925595614E-2</v>
      </c>
      <c r="AB355" s="134"/>
      <c r="AC355" s="80">
        <f t="shared" ref="AC355:AE355" si="671">+AC270</f>
        <v>0.12294340793183435</v>
      </c>
      <c r="AD355" s="66">
        <f t="shared" si="671"/>
        <v>0.12545160033221969</v>
      </c>
      <c r="AE355" s="66">
        <f t="shared" si="671"/>
        <v>9.0648784908509583E-2</v>
      </c>
      <c r="AF355" s="134"/>
      <c r="AG355" s="81">
        <f t="shared" ref="AG355:AI355" si="672">+AG270</f>
        <v>1345</v>
      </c>
      <c r="AH355" s="66">
        <f t="shared" si="672"/>
        <v>1345</v>
      </c>
      <c r="AI355" s="66">
        <f t="shared" si="672"/>
        <v>1345</v>
      </c>
      <c r="AJ355" s="134"/>
      <c r="AK355" s="81" t="e">
        <f t="shared" si="656"/>
        <v>#VALUE!</v>
      </c>
      <c r="AL355" s="66" t="e">
        <f t="shared" si="657"/>
        <v>#VALUE!</v>
      </c>
      <c r="AM355" s="66" t="e">
        <f t="shared" si="658"/>
        <v>#VALUE!</v>
      </c>
      <c r="AN355" s="134"/>
      <c r="AO355" s="122">
        <v>123</v>
      </c>
      <c r="AP355" s="60" t="e">
        <f t="shared" si="659"/>
        <v>#VALUE!</v>
      </c>
      <c r="AQ355" s="123">
        <v>357</v>
      </c>
      <c r="AR355" s="134"/>
      <c r="AS355" s="93" t="e">
        <f t="shared" si="660"/>
        <v>#VALUE!</v>
      </c>
      <c r="AT355" s="68" t="e">
        <f t="shared" si="661"/>
        <v>#VALUE!</v>
      </c>
      <c r="AU355" s="68" t="e">
        <f t="shared" si="662"/>
        <v>#VALUE!</v>
      </c>
      <c r="AW355" s="109"/>
      <c r="BA355" s="109"/>
      <c r="BE355" s="109"/>
      <c r="BI355" s="109"/>
      <c r="BM355" s="109"/>
    </row>
    <row r="356" spans="1:65" ht="16.5" x14ac:dyDescent="0.25">
      <c r="A356" s="212"/>
      <c r="B356" s="9"/>
      <c r="C356" s="151" t="s">
        <v>27</v>
      </c>
      <c r="D356" s="7"/>
      <c r="E356" s="178">
        <f t="shared" ref="E356:G356" si="673">+E271</f>
        <v>307.15426549640512</v>
      </c>
      <c r="F356" s="179">
        <f t="shared" si="673"/>
        <v>306.85789441903842</v>
      </c>
      <c r="G356" s="179">
        <f t="shared" si="673"/>
        <v>307.68868862878821</v>
      </c>
      <c r="H356" s="134"/>
      <c r="I356" s="178" t="e">
        <f t="shared" si="643"/>
        <v>#VALUE!</v>
      </c>
      <c r="J356" s="179" t="e">
        <f t="shared" si="644"/>
        <v>#VALUE!</v>
      </c>
      <c r="K356" s="179" t="e">
        <f t="shared" si="645"/>
        <v>#VALUE!</v>
      </c>
      <c r="L356" s="134"/>
      <c r="M356" s="180" t="e">
        <f t="shared" si="646"/>
        <v>#VALUE!</v>
      </c>
      <c r="N356" s="179" t="e">
        <f t="shared" si="647"/>
        <v>#VALUE!</v>
      </c>
      <c r="O356" s="179" t="e">
        <f t="shared" si="648"/>
        <v>#VALUE!</v>
      </c>
      <c r="P356" s="134"/>
      <c r="Q356" s="178" t="e">
        <f t="shared" ref="Q356:S356" si="674">+Q271</f>
        <v>#VALUE!</v>
      </c>
      <c r="R356" s="179" t="e">
        <f t="shared" si="674"/>
        <v>#VALUE!</v>
      </c>
      <c r="S356" s="179" t="e">
        <f t="shared" si="674"/>
        <v>#VALUE!</v>
      </c>
      <c r="T356" s="134"/>
      <c r="U356" s="129" t="e">
        <f t="shared" si="650"/>
        <v>#VALUE!</v>
      </c>
      <c r="V356" s="130" t="e">
        <f t="shared" si="651"/>
        <v>#VALUE!</v>
      </c>
      <c r="W356" s="130" t="e">
        <f t="shared" si="652"/>
        <v>#VALUE!</v>
      </c>
      <c r="X356" s="134"/>
      <c r="Y356" s="180">
        <f t="shared" ref="Y356:AA356" si="675">+Y271</f>
        <v>-1.105504416733113E-2</v>
      </c>
      <c r="Z356" s="179">
        <f t="shared" si="675"/>
        <v>-1.2293895055680671E-2</v>
      </c>
      <c r="AA356" s="179">
        <f t="shared" si="675"/>
        <v>-5.6227110479159879E-3</v>
      </c>
      <c r="AB356" s="134"/>
      <c r="AC356" s="180">
        <f t="shared" ref="AC356:AE356" si="676">+AC271</f>
        <v>-2.0393754250092457E-2</v>
      </c>
      <c r="AD356" s="179">
        <f t="shared" si="676"/>
        <v>-2.1720833568379717E-2</v>
      </c>
      <c r="AE356" s="179">
        <f t="shared" si="676"/>
        <v>-1.2521088167949276E-2</v>
      </c>
      <c r="AF356" s="134"/>
      <c r="AG356" s="178">
        <f t="shared" ref="AG356:AI356" si="677">+AG271</f>
        <v>1345</v>
      </c>
      <c r="AH356" s="179">
        <f t="shared" si="677"/>
        <v>1345</v>
      </c>
      <c r="AI356" s="179">
        <f t="shared" si="677"/>
        <v>1345</v>
      </c>
      <c r="AJ356" s="134"/>
      <c r="AK356" s="180" t="e">
        <f t="shared" si="656"/>
        <v>#VALUE!</v>
      </c>
      <c r="AL356" s="179" t="e">
        <f t="shared" si="657"/>
        <v>#VALUE!</v>
      </c>
      <c r="AM356" s="179" t="e">
        <f t="shared" si="658"/>
        <v>#VALUE!</v>
      </c>
      <c r="AN356" s="134"/>
      <c r="AO356" s="122">
        <v>123</v>
      </c>
      <c r="AP356" s="130" t="e">
        <f t="shared" si="659"/>
        <v>#VALUE!</v>
      </c>
      <c r="AQ356" s="123">
        <v>357</v>
      </c>
      <c r="AR356" s="134"/>
      <c r="AS356" s="162" t="e">
        <f t="shared" si="660"/>
        <v>#VALUE!</v>
      </c>
      <c r="AT356" s="163" t="e">
        <f t="shared" si="661"/>
        <v>#VALUE!</v>
      </c>
      <c r="AU356" s="163" t="e">
        <f t="shared" si="662"/>
        <v>#VALUE!</v>
      </c>
      <c r="AW356" s="109"/>
      <c r="BA356" s="109"/>
      <c r="BE356" s="109"/>
      <c r="BI356" s="109"/>
      <c r="BM356" s="109"/>
    </row>
    <row r="357" spans="1:65" ht="16.5" x14ac:dyDescent="0.25">
      <c r="A357" s="212"/>
      <c r="B357" s="9"/>
      <c r="C357" s="151" t="s">
        <v>57</v>
      </c>
      <c r="D357" s="7"/>
      <c r="E357" s="180">
        <f t="shared" ref="E357:G357" si="678">+E272</f>
        <v>307.17526015907447</v>
      </c>
      <c r="F357" s="179">
        <f t="shared" si="678"/>
        <v>306.83845867193475</v>
      </c>
      <c r="G357" s="179">
        <f t="shared" si="678"/>
        <v>307.68814584710208</v>
      </c>
      <c r="H357" s="134"/>
      <c r="I357" s="178" t="e">
        <f t="shared" si="643"/>
        <v>#VALUE!</v>
      </c>
      <c r="J357" s="179" t="e">
        <f t="shared" si="644"/>
        <v>#VALUE!</v>
      </c>
      <c r="K357" s="179" t="e">
        <f t="shared" si="645"/>
        <v>#VALUE!</v>
      </c>
      <c r="L357" s="134"/>
      <c r="M357" s="180" t="e">
        <f t="shared" si="646"/>
        <v>#VALUE!</v>
      </c>
      <c r="N357" s="179" t="e">
        <f t="shared" si="647"/>
        <v>#VALUE!</v>
      </c>
      <c r="O357" s="179" t="e">
        <f t="shared" si="648"/>
        <v>#VALUE!</v>
      </c>
      <c r="P357" s="134"/>
      <c r="Q357" s="180" t="e">
        <f t="shared" ref="Q357:S357" si="679">+Q272</f>
        <v>#VALUE!</v>
      </c>
      <c r="R357" s="179" t="e">
        <f t="shared" si="679"/>
        <v>#VALUE!</v>
      </c>
      <c r="S357" s="179" t="e">
        <f t="shared" si="679"/>
        <v>#VALUE!</v>
      </c>
      <c r="T357" s="134"/>
      <c r="U357" s="129" t="e">
        <f t="shared" si="650"/>
        <v>#VALUE!</v>
      </c>
      <c r="V357" s="130" t="e">
        <f t="shared" si="651"/>
        <v>#VALUE!</v>
      </c>
      <c r="W357" s="130" t="e">
        <f t="shared" si="652"/>
        <v>#VALUE!</v>
      </c>
      <c r="X357" s="134"/>
      <c r="Y357" s="180">
        <f t="shared" ref="Y357:AA357" si="680">+Y272</f>
        <v>-4.159615562233163E-3</v>
      </c>
      <c r="Z357" s="179">
        <f t="shared" si="680"/>
        <v>4.4355066555536893E-2</v>
      </c>
      <c r="AA357" s="179">
        <f t="shared" si="680"/>
        <v>-1.7704067892916169E-2</v>
      </c>
      <c r="AB357" s="134"/>
      <c r="AC357" s="180">
        <f t="shared" ref="AC357:AE357" si="681">+AC272</f>
        <v>7.0919618723153284E-3</v>
      </c>
      <c r="AD357" s="179">
        <f t="shared" si="681"/>
        <v>0.10311319971867348</v>
      </c>
      <c r="AE357" s="179">
        <f t="shared" si="681"/>
        <v>-7.4775121226765742E-3</v>
      </c>
      <c r="AF357" s="134"/>
      <c r="AG357" s="178">
        <f t="shared" ref="AG357:AI357" si="682">+AG272</f>
        <v>1345</v>
      </c>
      <c r="AH357" s="179">
        <f t="shared" si="682"/>
        <v>1345</v>
      </c>
      <c r="AI357" s="179">
        <f t="shared" si="682"/>
        <v>1345</v>
      </c>
      <c r="AJ357" s="134"/>
      <c r="AK357" s="178" t="e">
        <f t="shared" si="656"/>
        <v>#VALUE!</v>
      </c>
      <c r="AL357" s="179" t="e">
        <f t="shared" si="657"/>
        <v>#VALUE!</v>
      </c>
      <c r="AM357" s="179" t="e">
        <f t="shared" si="658"/>
        <v>#VALUE!</v>
      </c>
      <c r="AN357" s="134"/>
      <c r="AO357" s="122">
        <v>123</v>
      </c>
      <c r="AP357" s="130" t="e">
        <f t="shared" si="659"/>
        <v>#VALUE!</v>
      </c>
      <c r="AQ357" s="123">
        <v>357</v>
      </c>
      <c r="AR357" s="134"/>
      <c r="AS357" s="164" t="e">
        <f t="shared" si="660"/>
        <v>#VALUE!</v>
      </c>
      <c r="AT357" s="163" t="e">
        <f t="shared" si="661"/>
        <v>#VALUE!</v>
      </c>
      <c r="AU357" s="163" t="e">
        <f t="shared" si="662"/>
        <v>#VALUE!</v>
      </c>
      <c r="AW357" s="109"/>
      <c r="BA357" s="109"/>
      <c r="BE357" s="109"/>
      <c r="BI357" s="109"/>
      <c r="BM357" s="109"/>
    </row>
    <row r="358" spans="1:65" ht="16.5" x14ac:dyDescent="0.25">
      <c r="A358" s="212"/>
      <c r="B358" s="9"/>
      <c r="C358" s="151" t="s">
        <v>29</v>
      </c>
      <c r="D358" s="7"/>
      <c r="E358" s="178">
        <f t="shared" ref="E358:G358" si="683">+E273</f>
        <v>307.13406515838386</v>
      </c>
      <c r="F358" s="179">
        <f t="shared" si="683"/>
        <v>306.85857252355311</v>
      </c>
      <c r="G358" s="179">
        <f t="shared" si="683"/>
        <v>307.6894164004417</v>
      </c>
      <c r="H358" s="134"/>
      <c r="I358" s="180" t="e">
        <f t="shared" si="643"/>
        <v>#VALUE!</v>
      </c>
      <c r="J358" s="179" t="e">
        <f t="shared" si="644"/>
        <v>#VALUE!</v>
      </c>
      <c r="K358" s="179" t="e">
        <f t="shared" si="645"/>
        <v>#VALUE!</v>
      </c>
      <c r="L358" s="134"/>
      <c r="M358" s="178" t="e">
        <f t="shared" si="646"/>
        <v>#VALUE!</v>
      </c>
      <c r="N358" s="179" t="e">
        <f t="shared" si="647"/>
        <v>#VALUE!</v>
      </c>
      <c r="O358" s="179" t="e">
        <f t="shared" si="648"/>
        <v>#VALUE!</v>
      </c>
      <c r="P358" s="134"/>
      <c r="Q358" s="178" t="e">
        <f t="shared" ref="Q358:S358" si="684">+Q273</f>
        <v>#VALUE!</v>
      </c>
      <c r="R358" s="179" t="e">
        <f t="shared" si="684"/>
        <v>#VALUE!</v>
      </c>
      <c r="S358" s="179" t="e">
        <f t="shared" si="684"/>
        <v>#VALUE!</v>
      </c>
      <c r="T358" s="134"/>
      <c r="U358" s="132" t="e">
        <f t="shared" si="650"/>
        <v>#VALUE!</v>
      </c>
      <c r="V358" s="130" t="e">
        <f t="shared" si="651"/>
        <v>#VALUE!</v>
      </c>
      <c r="W358" s="130" t="e">
        <f t="shared" si="652"/>
        <v>#VALUE!</v>
      </c>
      <c r="X358" s="134"/>
      <c r="Y358" s="178">
        <f t="shared" ref="Y358:AA358" si="685">+Y273</f>
        <v>-5.1173899270800993E-3</v>
      </c>
      <c r="Z358" s="179">
        <f t="shared" si="685"/>
        <v>-7.7917637937233459E-3</v>
      </c>
      <c r="AA358" s="179">
        <f t="shared" si="685"/>
        <v>0</v>
      </c>
      <c r="AB358" s="134"/>
      <c r="AC358" s="178">
        <f t="shared" ref="AC358:AE358" si="686">+AC273</f>
        <v>-2.1335991181926528E-2</v>
      </c>
      <c r="AD358" s="179">
        <f t="shared" si="686"/>
        <v>-1.6316999719645248E-2</v>
      </c>
      <c r="AE358" s="179">
        <f t="shared" si="686"/>
        <v>0</v>
      </c>
      <c r="AF358" s="134"/>
      <c r="AG358" s="180">
        <f t="shared" ref="AG358:AI358" si="687">+AG273</f>
        <v>1345</v>
      </c>
      <c r="AH358" s="179">
        <f t="shared" si="687"/>
        <v>1345</v>
      </c>
      <c r="AI358" s="179">
        <f t="shared" si="687"/>
        <v>1345</v>
      </c>
      <c r="AJ358" s="134"/>
      <c r="AK358" s="180" t="e">
        <f t="shared" si="656"/>
        <v>#VALUE!</v>
      </c>
      <c r="AL358" s="179" t="e">
        <f t="shared" si="657"/>
        <v>#VALUE!</v>
      </c>
      <c r="AM358" s="179" t="e">
        <f t="shared" si="658"/>
        <v>#VALUE!</v>
      </c>
      <c r="AN358" s="134"/>
      <c r="AO358" s="122">
        <v>123</v>
      </c>
      <c r="AP358" s="130" t="e">
        <f t="shared" si="659"/>
        <v>#VALUE!</v>
      </c>
      <c r="AQ358" s="123">
        <v>357</v>
      </c>
      <c r="AR358" s="134"/>
      <c r="AS358" s="162" t="e">
        <f t="shared" si="660"/>
        <v>#VALUE!</v>
      </c>
      <c r="AT358" s="163" t="e">
        <f t="shared" si="661"/>
        <v>#VALUE!</v>
      </c>
      <c r="AU358" s="163" t="e">
        <f t="shared" si="662"/>
        <v>#VALUE!</v>
      </c>
      <c r="AW358" s="109"/>
      <c r="BA358" s="109"/>
      <c r="BE358" s="109"/>
      <c r="BI358" s="109"/>
      <c r="BM358" s="109"/>
    </row>
    <row r="359" spans="1:65" ht="16.5" x14ac:dyDescent="0.25">
      <c r="A359" s="212"/>
      <c r="B359" s="9"/>
      <c r="C359" s="151" t="s">
        <v>58</v>
      </c>
      <c r="D359" s="7"/>
      <c r="E359" s="181">
        <f t="shared" ref="E359:G359" si="688">+E274</f>
        <v>921.51586401908787</v>
      </c>
      <c r="F359" s="179">
        <f t="shared" si="688"/>
        <v>920.62763151047784</v>
      </c>
      <c r="G359" s="179">
        <f t="shared" si="688"/>
        <v>923.11427645302444</v>
      </c>
      <c r="H359" s="134"/>
      <c r="I359" s="178" t="e">
        <f>+I360+I361+I362</f>
        <v>#VALUE!</v>
      </c>
      <c r="J359" s="179" t="e">
        <f>+J360+J361+J362</f>
        <v>#VALUE!</v>
      </c>
      <c r="K359" s="179" t="e">
        <f>+K360+K361+K362</f>
        <v>#VALUE!</v>
      </c>
      <c r="L359" s="134"/>
      <c r="M359" s="178" t="e">
        <f>+M360+M361+M362</f>
        <v>#VALUE!</v>
      </c>
      <c r="N359" s="179" t="e">
        <f>+N360+N361+N362</f>
        <v>#VALUE!</v>
      </c>
      <c r="O359" s="179" t="e">
        <f>+O360+O361+O362</f>
        <v>#VALUE!</v>
      </c>
      <c r="P359" s="134"/>
      <c r="Q359" s="178" t="e">
        <f t="shared" ref="Q359:S359" si="689">+Q274</f>
        <v>#VALUE!</v>
      </c>
      <c r="R359" s="179" t="e">
        <f t="shared" si="689"/>
        <v>#VALUE!</v>
      </c>
      <c r="S359" s="179" t="e">
        <f t="shared" si="689"/>
        <v>#VALUE!</v>
      </c>
      <c r="T359" s="134"/>
      <c r="U359" s="132" t="e">
        <f>+U360+U361+U362</f>
        <v>#VALUE!</v>
      </c>
      <c r="V359" s="130" t="e">
        <f>+V360+V361+V362</f>
        <v>#VALUE!</v>
      </c>
      <c r="W359" s="130" t="e">
        <f>+W360+W361+W362</f>
        <v>#VALUE!</v>
      </c>
      <c r="X359" s="134"/>
      <c r="Y359" s="180">
        <f t="shared" ref="Y359:AA359" si="690">+Y274</f>
        <v>0.27575726822669427</v>
      </c>
      <c r="Z359" s="179">
        <f t="shared" si="690"/>
        <v>0.26284140240544207</v>
      </c>
      <c r="AA359" s="179">
        <f t="shared" si="690"/>
        <v>0.26211243137158136</v>
      </c>
      <c r="AB359" s="134"/>
      <c r="AC359" s="180">
        <f t="shared" ref="AC359:AE359" si="691">+AC274</f>
        <v>0.34986718190968669</v>
      </c>
      <c r="AD359" s="179">
        <f t="shared" si="691"/>
        <v>0.33048463493647973</v>
      </c>
      <c r="AE359" s="179">
        <f t="shared" si="691"/>
        <v>0.32926180557774176</v>
      </c>
      <c r="AF359" s="134"/>
      <c r="AG359" s="181">
        <f t="shared" ref="AG359:AI359" si="692">+AG274</f>
        <v>4035</v>
      </c>
      <c r="AH359" s="179">
        <f t="shared" si="692"/>
        <v>4035</v>
      </c>
      <c r="AI359" s="179">
        <f t="shared" si="692"/>
        <v>4035</v>
      </c>
      <c r="AJ359" s="134"/>
      <c r="AK359" s="178" t="e">
        <f>+AK360+AK361+AK362</f>
        <v>#VALUE!</v>
      </c>
      <c r="AL359" s="179" t="e">
        <f>+AL360+AL361+AL362</f>
        <v>#VALUE!</v>
      </c>
      <c r="AM359" s="179" t="e">
        <f>+AM360+AM361+AM362</f>
        <v>#VALUE!</v>
      </c>
      <c r="AN359" s="134"/>
      <c r="AO359" s="122">
        <v>123</v>
      </c>
      <c r="AP359" s="130" t="e">
        <f>+AP360+AP361+AP362</f>
        <v>#VALUE!</v>
      </c>
      <c r="AQ359" s="123">
        <v>357</v>
      </c>
      <c r="AR359" s="134"/>
      <c r="AS359" s="162" t="e">
        <f>+AS360+AS361+AS362</f>
        <v>#VALUE!</v>
      </c>
      <c r="AT359" s="163" t="e">
        <f>+AT360+AT361+AT362</f>
        <v>#VALUE!</v>
      </c>
      <c r="AU359" s="163" t="e">
        <f>+AU360+AU361+AU362</f>
        <v>#VALUE!</v>
      </c>
      <c r="AW359" s="109"/>
      <c r="BA359" s="109"/>
      <c r="BE359" s="109"/>
      <c r="BI359" s="109"/>
      <c r="BM359" s="109"/>
    </row>
    <row r="360" spans="1:65" ht="16.5" x14ac:dyDescent="0.25">
      <c r="A360" s="212"/>
      <c r="B360" s="9"/>
      <c r="C360" s="65" t="s">
        <v>59</v>
      </c>
      <c r="D360" s="8"/>
      <c r="E360" s="80">
        <f t="shared" ref="E360:G360" si="693">+E275</f>
        <v>307.17195467302929</v>
      </c>
      <c r="F360" s="66">
        <f t="shared" si="693"/>
        <v>306.8758771701593</v>
      </c>
      <c r="G360" s="66">
        <f t="shared" si="693"/>
        <v>307.70475881767481</v>
      </c>
      <c r="H360" s="135"/>
      <c r="I360" s="81" t="e">
        <f t="shared" si="643"/>
        <v>#VALUE!</v>
      </c>
      <c r="J360" s="66" t="e">
        <f t="shared" si="644"/>
        <v>#VALUE!</v>
      </c>
      <c r="K360" s="66" t="e">
        <f t="shared" si="645"/>
        <v>#VALUE!</v>
      </c>
      <c r="L360" s="135"/>
      <c r="M360" s="104" t="e">
        <f t="shared" ref="M360:M362" si="694">+((M275*$M$264)+(M292*$M$281)+(M309*$M$298))/$M$349</f>
        <v>#VALUE!</v>
      </c>
      <c r="N360" s="66" t="e">
        <f t="shared" ref="N360:N362" si="695">+((N275*$N$264)+(N292*$N$281)+(N309*$N$298))/$N$349</f>
        <v>#VALUE!</v>
      </c>
      <c r="O360" s="66" t="e">
        <f t="shared" ref="O360:O362" si="696">+((O275*$O$264)+(O292*$O$281)+(O309*$O$298))/$O$349</f>
        <v>#VALUE!</v>
      </c>
      <c r="P360" s="135"/>
      <c r="Q360" s="81" t="e">
        <f t="shared" ref="Q360:S360" si="697">+Q275</f>
        <v>#VALUE!</v>
      </c>
      <c r="R360" s="66" t="e">
        <f t="shared" si="697"/>
        <v>#VALUE!</v>
      </c>
      <c r="S360" s="66" t="e">
        <f t="shared" si="697"/>
        <v>#VALUE!</v>
      </c>
      <c r="T360" s="135"/>
      <c r="U360" s="85" t="e">
        <f t="shared" ref="U360:U362" si="698">+((E360*$E$349)+(I360*$I$349)+(M360*$M$349)+(Q360*$Q$349))/$U$349</f>
        <v>#VALUE!</v>
      </c>
      <c r="V360" s="60" t="e">
        <f t="shared" ref="V360:V362" si="699">+((F360*$F$349)+(J360*$J$349)+(N360*$N$349)+(R360*$R$349))/$V$349</f>
        <v>#VALUE!</v>
      </c>
      <c r="W360" s="60" t="e">
        <f t="shared" ref="W360:W362" si="700">+((G360*$G$349)+(K360*$K$349)+(O360*$O$349)+(S360*$S$349))/$W$349</f>
        <v>#VALUE!</v>
      </c>
      <c r="X360" s="135"/>
      <c r="Y360" s="104">
        <f t="shared" ref="Y360:AA360" si="701">+Y275</f>
        <v>0.16217136864370341</v>
      </c>
      <c r="Z360" s="66">
        <f t="shared" si="701"/>
        <v>0.16064728967362255</v>
      </c>
      <c r="AA360" s="66">
        <f t="shared" si="701"/>
        <v>0.15761934977168973</v>
      </c>
      <c r="AB360" s="135"/>
      <c r="AC360" s="81">
        <f t="shared" ref="AC360:AE360" si="702">+AC275</f>
        <v>0.15334642249690306</v>
      </c>
      <c r="AD360" s="66">
        <f t="shared" si="702"/>
        <v>0.15219682262755441</v>
      </c>
      <c r="AE360" s="66">
        <f t="shared" si="702"/>
        <v>0.15999291642353386</v>
      </c>
      <c r="AF360" s="135"/>
      <c r="AG360" s="80">
        <f t="shared" ref="AG360:AI360" si="703">+AG275</f>
        <v>1345</v>
      </c>
      <c r="AH360" s="66">
        <f t="shared" si="703"/>
        <v>1345</v>
      </c>
      <c r="AI360" s="66">
        <f t="shared" si="703"/>
        <v>1345</v>
      </c>
      <c r="AJ360" s="135"/>
      <c r="AK360" s="80" t="e">
        <f t="shared" ref="AK360:AK362" si="704">+((AK292*$AK$281)+(AK275*$AK$264))/$AK$349</f>
        <v>#VALUE!</v>
      </c>
      <c r="AL360" s="66" t="e">
        <f t="shared" ref="AL360:AL362" si="705">+((AL292*$AL$281)+(AL275*$AL$264))/$AL$349</f>
        <v>#VALUE!</v>
      </c>
      <c r="AM360" s="66" t="e">
        <f t="shared" ref="AM360:AM362" si="706">+((AM292*$AM$281)+(AM275*$AM$264))/$AM$349</f>
        <v>#VALUE!</v>
      </c>
      <c r="AN360" s="135"/>
      <c r="AO360" s="122">
        <v>123</v>
      </c>
      <c r="AP360" s="60" t="e">
        <f t="shared" ref="AP360:AP362" si="707">+((Z360*$Z$349)+(AD360*$AD$349)+(AH360*$AH$349)+(AL360*$AL$349))/$AP$349</f>
        <v>#VALUE!</v>
      </c>
      <c r="AQ360" s="123">
        <v>357</v>
      </c>
      <c r="AR360" s="135"/>
      <c r="AS360" s="93" t="e">
        <f t="shared" ref="AS360:AS362" si="708">((U360*$U$349)+(AO360*$AO$349))/$AS$349</f>
        <v>#VALUE!</v>
      </c>
      <c r="AT360" s="68" t="e">
        <f t="shared" ref="AT360:AT362" si="709">((V360*$V$349)+(AP360*$AP$349))/$AT$349</f>
        <v>#VALUE!</v>
      </c>
      <c r="AU360" s="68" t="e">
        <f t="shared" ref="AU360:AU362" si="710">((W360*$W$349)+(AQ360*$AQ$349))/$AU$349</f>
        <v>#VALUE!</v>
      </c>
      <c r="AW360" s="109"/>
      <c r="BA360" s="109"/>
      <c r="BE360" s="109"/>
      <c r="BI360" s="109"/>
      <c r="BM360" s="109"/>
    </row>
    <row r="361" spans="1:65" ht="16.5" x14ac:dyDescent="0.25">
      <c r="A361" s="212"/>
      <c r="B361" s="9"/>
      <c r="C361" s="65" t="s">
        <v>60</v>
      </c>
      <c r="D361" s="8"/>
      <c r="E361" s="81">
        <f t="shared" ref="E361:G361" si="711">+E276</f>
        <v>307.17195467302929</v>
      </c>
      <c r="F361" s="66">
        <f t="shared" si="711"/>
        <v>306.8758771701593</v>
      </c>
      <c r="G361" s="66">
        <f t="shared" si="711"/>
        <v>307.70475881767481</v>
      </c>
      <c r="H361" s="135"/>
      <c r="I361" s="104" t="e">
        <f t="shared" si="643"/>
        <v>#VALUE!</v>
      </c>
      <c r="J361" s="66" t="e">
        <f t="shared" si="644"/>
        <v>#VALUE!</v>
      </c>
      <c r="K361" s="66" t="e">
        <f t="shared" si="645"/>
        <v>#VALUE!</v>
      </c>
      <c r="L361" s="135"/>
      <c r="M361" s="81" t="e">
        <f t="shared" si="694"/>
        <v>#VALUE!</v>
      </c>
      <c r="N361" s="66" t="e">
        <f t="shared" si="695"/>
        <v>#VALUE!</v>
      </c>
      <c r="O361" s="66" t="e">
        <f t="shared" si="696"/>
        <v>#VALUE!</v>
      </c>
      <c r="P361" s="135"/>
      <c r="Q361" s="81" t="e">
        <f t="shared" ref="Q361:S361" si="712">+Q276</f>
        <v>#VALUE!</v>
      </c>
      <c r="R361" s="66" t="e">
        <f t="shared" si="712"/>
        <v>#VALUE!</v>
      </c>
      <c r="S361" s="66" t="e">
        <f t="shared" si="712"/>
        <v>#VALUE!</v>
      </c>
      <c r="T361" s="135"/>
      <c r="U361" s="85" t="e">
        <f t="shared" si="698"/>
        <v>#VALUE!</v>
      </c>
      <c r="V361" s="60" t="e">
        <f t="shared" si="699"/>
        <v>#VALUE!</v>
      </c>
      <c r="W361" s="60" t="e">
        <f t="shared" si="700"/>
        <v>#VALUE!</v>
      </c>
      <c r="X361" s="135"/>
      <c r="Y361" s="80">
        <f t="shared" ref="Y361:AA361" si="713">+Y276</f>
        <v>4.9470155734861791E-2</v>
      </c>
      <c r="Z361" s="66">
        <f t="shared" si="713"/>
        <v>3.9777709024585467E-2</v>
      </c>
      <c r="AA361" s="66">
        <f t="shared" si="713"/>
        <v>4.1377997388644248E-2</v>
      </c>
      <c r="AB361" s="135"/>
      <c r="AC361" s="80">
        <f t="shared" ref="AC361:AE361" si="714">+AC276</f>
        <v>8.3894018349528074E-2</v>
      </c>
      <c r="AD361" s="66">
        <f t="shared" si="714"/>
        <v>7.3839609805765372E-2</v>
      </c>
      <c r="AE361" s="66">
        <f t="shared" si="714"/>
        <v>6.4389550498410816E-2</v>
      </c>
      <c r="AF361" s="135"/>
      <c r="AG361" s="104">
        <f t="shared" ref="AG361:AI361" si="715">+AG276</f>
        <v>1345</v>
      </c>
      <c r="AH361" s="66">
        <f t="shared" si="715"/>
        <v>1345</v>
      </c>
      <c r="AI361" s="66">
        <f t="shared" si="715"/>
        <v>1345</v>
      </c>
      <c r="AJ361" s="135"/>
      <c r="AK361" s="104" t="e">
        <f t="shared" si="704"/>
        <v>#VALUE!</v>
      </c>
      <c r="AL361" s="66" t="e">
        <f t="shared" si="705"/>
        <v>#VALUE!</v>
      </c>
      <c r="AM361" s="66" t="e">
        <f t="shared" si="706"/>
        <v>#VALUE!</v>
      </c>
      <c r="AN361" s="135"/>
      <c r="AO361" s="122">
        <v>123</v>
      </c>
      <c r="AP361" s="60" t="e">
        <f t="shared" si="707"/>
        <v>#VALUE!</v>
      </c>
      <c r="AQ361" s="123">
        <v>357</v>
      </c>
      <c r="AR361" s="135"/>
      <c r="AS361" s="106" t="e">
        <f t="shared" si="708"/>
        <v>#VALUE!</v>
      </c>
      <c r="AT361" s="68" t="e">
        <f t="shared" si="709"/>
        <v>#VALUE!</v>
      </c>
      <c r="AU361" s="68" t="e">
        <f t="shared" si="710"/>
        <v>#VALUE!</v>
      </c>
      <c r="AW361" s="109"/>
      <c r="BA361" s="109"/>
      <c r="BE361" s="109"/>
      <c r="BI361" s="109"/>
      <c r="BM361" s="109"/>
    </row>
    <row r="362" spans="1:65" ht="16.5" x14ac:dyDescent="0.25">
      <c r="A362" s="212"/>
      <c r="B362" s="9"/>
      <c r="C362" s="65" t="s">
        <v>61</v>
      </c>
      <c r="D362" s="8"/>
      <c r="E362" s="81">
        <f t="shared" ref="E362:G362" si="716">+E277</f>
        <v>307.17195467302929</v>
      </c>
      <c r="F362" s="66">
        <f t="shared" si="716"/>
        <v>306.8758771701593</v>
      </c>
      <c r="G362" s="66">
        <f t="shared" si="716"/>
        <v>307.70475881767481</v>
      </c>
      <c r="H362" s="135"/>
      <c r="I362" s="81" t="e">
        <f t="shared" si="643"/>
        <v>#VALUE!</v>
      </c>
      <c r="J362" s="66" t="e">
        <f t="shared" si="644"/>
        <v>#VALUE!</v>
      </c>
      <c r="K362" s="66" t="e">
        <f t="shared" si="645"/>
        <v>#VALUE!</v>
      </c>
      <c r="L362" s="135"/>
      <c r="M362" s="81" t="e">
        <f t="shared" si="694"/>
        <v>#VALUE!</v>
      </c>
      <c r="N362" s="66" t="e">
        <f t="shared" si="695"/>
        <v>#VALUE!</v>
      </c>
      <c r="O362" s="66" t="e">
        <f t="shared" si="696"/>
        <v>#VALUE!</v>
      </c>
      <c r="P362" s="135"/>
      <c r="Q362" s="81" t="e">
        <f t="shared" ref="Q362:S362" si="717">+Q277</f>
        <v>#VALUE!</v>
      </c>
      <c r="R362" s="66" t="e">
        <f t="shared" si="717"/>
        <v>#VALUE!</v>
      </c>
      <c r="S362" s="66" t="e">
        <f t="shared" si="717"/>
        <v>#VALUE!</v>
      </c>
      <c r="T362" s="135"/>
      <c r="U362" s="85" t="e">
        <f t="shared" si="698"/>
        <v>#VALUE!</v>
      </c>
      <c r="V362" s="60" t="e">
        <f t="shared" si="699"/>
        <v>#VALUE!</v>
      </c>
      <c r="W362" s="60" t="e">
        <f t="shared" si="700"/>
        <v>#VALUE!</v>
      </c>
      <c r="X362" s="135"/>
      <c r="Y362" s="104">
        <f t="shared" ref="Y362:AA362" si="718">+Y277</f>
        <v>6.411574384812907E-2</v>
      </c>
      <c r="Z362" s="66">
        <f t="shared" si="718"/>
        <v>6.2416403707234072E-2</v>
      </c>
      <c r="AA362" s="66">
        <f t="shared" si="718"/>
        <v>6.3115084211247369E-2</v>
      </c>
      <c r="AB362" s="135"/>
      <c r="AC362" s="80">
        <f t="shared" ref="AC362:AE362" si="719">+AC277</f>
        <v>0.11262674106325553</v>
      </c>
      <c r="AD362" s="66">
        <f t="shared" si="719"/>
        <v>0.10444820250315992</v>
      </c>
      <c r="AE362" s="66">
        <f t="shared" si="719"/>
        <v>0.10487933865579706</v>
      </c>
      <c r="AF362" s="135"/>
      <c r="AG362" s="81">
        <f t="shared" ref="AG362:AI362" si="720">+AG277</f>
        <v>1345</v>
      </c>
      <c r="AH362" s="66">
        <f t="shared" si="720"/>
        <v>1345</v>
      </c>
      <c r="AI362" s="66">
        <f t="shared" si="720"/>
        <v>1345</v>
      </c>
      <c r="AJ362" s="135"/>
      <c r="AK362" s="81" t="e">
        <f t="shared" si="704"/>
        <v>#VALUE!</v>
      </c>
      <c r="AL362" s="66" t="e">
        <f t="shared" si="705"/>
        <v>#VALUE!</v>
      </c>
      <c r="AM362" s="66" t="e">
        <f t="shared" si="706"/>
        <v>#VALUE!</v>
      </c>
      <c r="AN362" s="135"/>
      <c r="AO362" s="122">
        <v>123</v>
      </c>
      <c r="AP362" s="60" t="e">
        <f t="shared" si="707"/>
        <v>#VALUE!</v>
      </c>
      <c r="AQ362" s="123">
        <v>357</v>
      </c>
      <c r="AR362" s="135"/>
      <c r="AS362" s="93" t="e">
        <f t="shared" si="708"/>
        <v>#VALUE!</v>
      </c>
      <c r="AT362" s="68" t="e">
        <f t="shared" si="709"/>
        <v>#VALUE!</v>
      </c>
      <c r="AU362" s="68" t="e">
        <f t="shared" si="710"/>
        <v>#VALUE!</v>
      </c>
      <c r="AW362" s="109"/>
      <c r="BA362" s="109"/>
      <c r="BE362" s="109"/>
      <c r="BI362" s="109"/>
      <c r="BM362" s="109"/>
    </row>
    <row r="363" spans="1:65" ht="16.5" x14ac:dyDescent="0.25">
      <c r="A363" s="212"/>
      <c r="B363" s="9"/>
      <c r="C363" s="151" t="s">
        <v>34</v>
      </c>
      <c r="D363" s="6"/>
      <c r="E363" s="174">
        <f t="shared" ref="E363:G363" si="721">+E278</f>
        <v>321.37</v>
      </c>
      <c r="F363" s="175">
        <f t="shared" si="721"/>
        <v>321.37</v>
      </c>
      <c r="G363" s="175">
        <f t="shared" si="721"/>
        <v>321.37</v>
      </c>
      <c r="H363" s="117"/>
      <c r="I363" s="174" t="e">
        <f>+I278+I312+I295</f>
        <v>#VALUE!</v>
      </c>
      <c r="J363" s="175" t="e">
        <f t="shared" ref="J363:K363" si="722">+J278+J312+J295</f>
        <v>#VALUE!</v>
      </c>
      <c r="K363" s="175" t="e">
        <f t="shared" si="722"/>
        <v>#VALUE!</v>
      </c>
      <c r="L363" s="117"/>
      <c r="M363" s="174" t="e">
        <f t="shared" ref="M363:O363" si="723">+M278+M295+M312</f>
        <v>#VALUE!</v>
      </c>
      <c r="N363" s="175" t="e">
        <f t="shared" si="723"/>
        <v>#VALUE!</v>
      </c>
      <c r="O363" s="175" t="e">
        <f t="shared" si="723"/>
        <v>#VALUE!</v>
      </c>
      <c r="P363" s="117"/>
      <c r="Q363" s="176" t="e">
        <f t="shared" ref="Q363:S363" si="724">+Q278</f>
        <v>#VALUE!</v>
      </c>
      <c r="R363" s="175" t="e">
        <f t="shared" si="724"/>
        <v>#VALUE!</v>
      </c>
      <c r="S363" s="175" t="e">
        <f t="shared" si="724"/>
        <v>#VALUE!</v>
      </c>
      <c r="T363" s="117"/>
      <c r="U363" s="122" t="e">
        <f t="shared" ref="U363:W363" si="725">+E363+I363+M363+Q363</f>
        <v>#VALUE!</v>
      </c>
      <c r="V363" s="165" t="e">
        <f t="shared" si="725"/>
        <v>#VALUE!</v>
      </c>
      <c r="W363" s="123" t="e">
        <f t="shared" si="725"/>
        <v>#VALUE!</v>
      </c>
      <c r="X363" s="117"/>
      <c r="Y363" s="174">
        <f t="shared" ref="Y363:AA363" si="726">+Y278</f>
        <v>6.0156541399999934</v>
      </c>
      <c r="Z363" s="175">
        <f t="shared" si="726"/>
        <v>3.8280322499999908</v>
      </c>
      <c r="AA363" s="175">
        <f t="shared" si="726"/>
        <v>4.3351210959005773</v>
      </c>
      <c r="AB363" s="117"/>
      <c r="AC363" s="176">
        <f t="shared" ref="AC363:AE363" si="727">+AC278</f>
        <v>1.0829935699999935</v>
      </c>
      <c r="AD363" s="175">
        <f t="shared" si="727"/>
        <v>-0.63251414000000228</v>
      </c>
      <c r="AE363" s="175">
        <f t="shared" si="727"/>
        <v>1.3588259773164886</v>
      </c>
      <c r="AF363" s="117"/>
      <c r="AG363" s="174">
        <f t="shared" ref="AG363:AI363" si="728">+AG278</f>
        <v>1345</v>
      </c>
      <c r="AH363" s="175">
        <f t="shared" si="728"/>
        <v>1345</v>
      </c>
      <c r="AI363" s="175">
        <f t="shared" si="728"/>
        <v>1345</v>
      </c>
      <c r="AJ363" s="117"/>
      <c r="AK363" s="174" t="e">
        <f t="shared" ref="AK363:AM363" si="729">+AK278+AK295</f>
        <v>#VALUE!</v>
      </c>
      <c r="AL363" s="175" t="e">
        <f t="shared" si="729"/>
        <v>#VALUE!</v>
      </c>
      <c r="AM363" s="175" t="e">
        <f t="shared" si="729"/>
        <v>#VALUE!</v>
      </c>
      <c r="AN363" s="117"/>
      <c r="AO363" s="122">
        <v>123</v>
      </c>
      <c r="AP363" s="123" t="e">
        <f t="shared" ref="AP363" si="730">+Z363+AD363+AH363+AL363</f>
        <v>#VALUE!</v>
      </c>
      <c r="AQ363" s="123">
        <v>357</v>
      </c>
      <c r="AR363" s="117"/>
      <c r="AS363" s="166" t="e">
        <f>+U363+AO363</f>
        <v>#VALUE!</v>
      </c>
      <c r="AT363" s="167" t="e">
        <f t="shared" ref="AT363:AU363" si="731">+V363+AP363</f>
        <v>#VALUE!</v>
      </c>
      <c r="AU363" s="160" t="e">
        <f t="shared" si="731"/>
        <v>#VALUE!</v>
      </c>
      <c r="AV363" s="55"/>
      <c r="AW363" s="108"/>
      <c r="BA363" s="108"/>
      <c r="BE363" s="108"/>
      <c r="BI363" s="108"/>
      <c r="BM363" s="108"/>
    </row>
    <row r="365" spans="1:65" x14ac:dyDescent="0.35">
      <c r="I365" s="67" t="e">
        <f>I352+I354+I355</f>
        <v>#VALUE!</v>
      </c>
      <c r="J365" s="67" t="e">
        <f>J352+J354+J355</f>
        <v>#VALUE!</v>
      </c>
      <c r="K365" s="67" t="e">
        <f>K352+K354+K355</f>
        <v>#VALUE!</v>
      </c>
      <c r="M365" s="67" t="e">
        <f>M352+M354+M355</f>
        <v>#VALUE!</v>
      </c>
      <c r="N365" s="67" t="e">
        <f>N352+N354+N355</f>
        <v>#VALUE!</v>
      </c>
      <c r="O365" s="67" t="e">
        <f>O352+O354+O355</f>
        <v>#VALUE!</v>
      </c>
      <c r="Q365" s="67" t="e">
        <f>Q352+Q354+Q355</f>
        <v>#VALUE!</v>
      </c>
      <c r="R365" s="67" t="e">
        <f>R352+R354+R355</f>
        <v>#VALUE!</v>
      </c>
      <c r="S365" s="67" t="e">
        <f>S352+S354+S355</f>
        <v>#VALUE!</v>
      </c>
      <c r="U365" s="67" t="e">
        <f>U352+U354+U355</f>
        <v>#VALUE!</v>
      </c>
      <c r="V365" s="67" t="e">
        <f>V352+V354+V355</f>
        <v>#VALUE!</v>
      </c>
      <c r="W365" s="67" t="e">
        <f>W352+W354+W355</f>
        <v>#VALUE!</v>
      </c>
      <c r="AO365" s="67"/>
      <c r="AP365" s="67" t="e">
        <f>AP352+AP354+AP355</f>
        <v>#VALUE!</v>
      </c>
      <c r="AQ365" s="67"/>
    </row>
    <row r="366" spans="1:65" x14ac:dyDescent="0.35">
      <c r="I366" s="55" t="e">
        <f>+I363+E363</f>
        <v>#VALUE!</v>
      </c>
      <c r="J366" s="55" t="e">
        <f>+J363+F363</f>
        <v>#VALUE!</v>
      </c>
      <c r="K366" s="55" t="e">
        <f>+K363+G363</f>
        <v>#VALUE!</v>
      </c>
    </row>
    <row r="367" spans="1:65" x14ac:dyDescent="0.35">
      <c r="Q367" s="198"/>
    </row>
    <row r="368" spans="1:65" x14ac:dyDescent="0.35">
      <c r="E368" s="185"/>
      <c r="I368" s="185"/>
    </row>
    <row r="371" spans="5:5" x14ac:dyDescent="0.35">
      <c r="E371" s="183"/>
    </row>
    <row r="372" spans="5:5" x14ac:dyDescent="0.35">
      <c r="E372" s="183"/>
    </row>
    <row r="373" spans="5:5" x14ac:dyDescent="0.35">
      <c r="E373" s="183"/>
    </row>
    <row r="374" spans="5:5" x14ac:dyDescent="0.35">
      <c r="E374" s="183"/>
    </row>
    <row r="375" spans="5:5" x14ac:dyDescent="0.35">
      <c r="E375" s="183"/>
    </row>
    <row r="376" spans="5:5" x14ac:dyDescent="0.35">
      <c r="E376" s="183"/>
    </row>
    <row r="377" spans="5:5" x14ac:dyDescent="0.35">
      <c r="E377" s="183"/>
    </row>
    <row r="378" spans="5:5" x14ac:dyDescent="0.35">
      <c r="E378" s="183"/>
    </row>
    <row r="379" spans="5:5" x14ac:dyDescent="0.35">
      <c r="E379" s="183"/>
    </row>
    <row r="380" spans="5:5" x14ac:dyDescent="0.35">
      <c r="E380" s="183"/>
    </row>
    <row r="381" spans="5:5" x14ac:dyDescent="0.35">
      <c r="E381" s="183"/>
    </row>
    <row r="382" spans="5:5" x14ac:dyDescent="0.35">
      <c r="E382" s="183"/>
    </row>
    <row r="383" spans="5:5" x14ac:dyDescent="0.35">
      <c r="E383" s="183"/>
    </row>
    <row r="384" spans="5:5" x14ac:dyDescent="0.35">
      <c r="E384" s="183"/>
    </row>
    <row r="385" spans="5:7" x14ac:dyDescent="0.35">
      <c r="E385" s="183"/>
    </row>
    <row r="386" spans="5:7" x14ac:dyDescent="0.35">
      <c r="E386" s="183"/>
    </row>
    <row r="387" spans="5:7" x14ac:dyDescent="0.35">
      <c r="E387" s="183"/>
    </row>
    <row r="388" spans="5:7" x14ac:dyDescent="0.35">
      <c r="E388" s="183"/>
    </row>
    <row r="389" spans="5:7" x14ac:dyDescent="0.35">
      <c r="E389" s="183"/>
    </row>
    <row r="390" spans="5:7" x14ac:dyDescent="0.35">
      <c r="E390" s="183"/>
      <c r="G390" s="184"/>
    </row>
    <row r="391" spans="5:7" x14ac:dyDescent="0.35">
      <c r="E391" s="183"/>
    </row>
    <row r="392" spans="5:7" x14ac:dyDescent="0.35">
      <c r="E392" s="183"/>
    </row>
    <row r="393" spans="5:7" x14ac:dyDescent="0.35">
      <c r="E393" s="183"/>
    </row>
    <row r="394" spans="5:7" x14ac:dyDescent="0.35">
      <c r="E394" s="183"/>
      <c r="G394" s="184"/>
    </row>
    <row r="395" spans="5:7" x14ac:dyDescent="0.35">
      <c r="E395" s="183"/>
    </row>
    <row r="396" spans="5:7" x14ac:dyDescent="0.35">
      <c r="E396" s="183"/>
    </row>
    <row r="397" spans="5:7" x14ac:dyDescent="0.35">
      <c r="E397" s="183"/>
    </row>
    <row r="398" spans="5:7" x14ac:dyDescent="0.35">
      <c r="E398" s="183"/>
      <c r="G398" s="184"/>
    </row>
    <row r="399" spans="5:7" x14ac:dyDescent="0.35">
      <c r="E399" s="183"/>
    </row>
    <row r="400" spans="5:7" x14ac:dyDescent="0.35">
      <c r="E400" s="183"/>
    </row>
    <row r="401" spans="5:7" x14ac:dyDescent="0.35">
      <c r="E401" s="183"/>
    </row>
    <row r="402" spans="5:7" x14ac:dyDescent="0.35">
      <c r="E402" s="183"/>
      <c r="G402" s="184"/>
    </row>
    <row r="403" spans="5:7" x14ac:dyDescent="0.35">
      <c r="E403" s="183"/>
    </row>
    <row r="404" spans="5:7" x14ac:dyDescent="0.35">
      <c r="E404" s="183"/>
    </row>
    <row r="405" spans="5:7" x14ac:dyDescent="0.35">
      <c r="E405" s="183"/>
    </row>
    <row r="406" spans="5:7" x14ac:dyDescent="0.35">
      <c r="E406" s="183"/>
      <c r="G406" s="184"/>
    </row>
    <row r="407" spans="5:7" x14ac:dyDescent="0.35">
      <c r="E407" s="183"/>
    </row>
    <row r="408" spans="5:7" x14ac:dyDescent="0.35">
      <c r="E408" s="183"/>
    </row>
    <row r="409" spans="5:7" x14ac:dyDescent="0.35">
      <c r="E409" s="183"/>
    </row>
    <row r="410" spans="5:7" x14ac:dyDescent="0.35">
      <c r="E410" s="183"/>
      <c r="G410" s="184"/>
    </row>
    <row r="411" spans="5:7" x14ac:dyDescent="0.35">
      <c r="E411" s="183"/>
    </row>
    <row r="412" spans="5:7" x14ac:dyDescent="0.35">
      <c r="E412" s="183"/>
    </row>
    <row r="413" spans="5:7" x14ac:dyDescent="0.35">
      <c r="E413" s="183"/>
    </row>
    <row r="414" spans="5:7" x14ac:dyDescent="0.35">
      <c r="E414" s="183"/>
      <c r="G414" s="184"/>
    </row>
    <row r="415" spans="5:7" x14ac:dyDescent="0.35">
      <c r="E415" s="183"/>
    </row>
    <row r="416" spans="5:7" x14ac:dyDescent="0.35">
      <c r="E416" s="183"/>
    </row>
    <row r="417" spans="5:7" x14ac:dyDescent="0.35">
      <c r="E417" s="183"/>
    </row>
    <row r="418" spans="5:7" x14ac:dyDescent="0.35">
      <c r="E418" s="183"/>
      <c r="G418" s="184"/>
    </row>
    <row r="419" spans="5:7" x14ac:dyDescent="0.35">
      <c r="E419" s="183"/>
    </row>
    <row r="420" spans="5:7" x14ac:dyDescent="0.35">
      <c r="E420" s="183"/>
    </row>
    <row r="421" spans="5:7" x14ac:dyDescent="0.35">
      <c r="E421" s="183"/>
    </row>
    <row r="422" spans="5:7" x14ac:dyDescent="0.35">
      <c r="E422" s="183"/>
      <c r="G422" s="184"/>
    </row>
    <row r="423" spans="5:7" x14ac:dyDescent="0.35">
      <c r="E423" s="183"/>
    </row>
    <row r="424" spans="5:7" x14ac:dyDescent="0.35">
      <c r="E424" s="183"/>
    </row>
    <row r="425" spans="5:7" x14ac:dyDescent="0.35">
      <c r="E425" s="183"/>
    </row>
    <row r="426" spans="5:7" x14ac:dyDescent="0.35">
      <c r="E426" s="183"/>
      <c r="G426" s="184"/>
    </row>
    <row r="427" spans="5:7" x14ac:dyDescent="0.35">
      <c r="E427" s="183"/>
    </row>
    <row r="428" spans="5:7" x14ac:dyDescent="0.35">
      <c r="E428" s="183"/>
    </row>
    <row r="429" spans="5:7" x14ac:dyDescent="0.35">
      <c r="E429" s="183"/>
    </row>
    <row r="430" spans="5:7" x14ac:dyDescent="0.35">
      <c r="E430" s="183"/>
      <c r="G430" s="184"/>
    </row>
    <row r="431" spans="5:7" x14ac:dyDescent="0.35">
      <c r="E431" s="183"/>
    </row>
    <row r="432" spans="5:7" x14ac:dyDescent="0.35">
      <c r="E432" s="183"/>
    </row>
    <row r="433" spans="5:5" x14ac:dyDescent="0.35">
      <c r="E433" s="183"/>
    </row>
    <row r="434" spans="5:5" x14ac:dyDescent="0.35">
      <c r="E434" s="183"/>
    </row>
    <row r="435" spans="5:5" x14ac:dyDescent="0.35">
      <c r="E435" s="183"/>
    </row>
    <row r="436" spans="5:5" x14ac:dyDescent="0.35">
      <c r="E436" s="183"/>
    </row>
    <row r="437" spans="5:5" x14ac:dyDescent="0.35">
      <c r="E437" s="183"/>
    </row>
    <row r="438" spans="5:5" x14ac:dyDescent="0.35">
      <c r="E438" s="183"/>
    </row>
    <row r="439" spans="5:5" x14ac:dyDescent="0.35">
      <c r="E439" s="183"/>
    </row>
    <row r="440" spans="5:5" x14ac:dyDescent="0.35">
      <c r="E440" s="183"/>
    </row>
    <row r="441" spans="5:5" x14ac:dyDescent="0.35">
      <c r="E441" s="183"/>
    </row>
    <row r="442" spans="5:5" x14ac:dyDescent="0.35">
      <c r="E442" s="183"/>
    </row>
    <row r="443" spans="5:5" x14ac:dyDescent="0.35">
      <c r="E443" s="183"/>
    </row>
    <row r="444" spans="5:5" x14ac:dyDescent="0.35">
      <c r="E444" s="183"/>
    </row>
    <row r="445" spans="5:5" x14ac:dyDescent="0.35">
      <c r="E445" s="183"/>
    </row>
    <row r="446" spans="5:5" x14ac:dyDescent="0.35">
      <c r="E446" s="183"/>
    </row>
    <row r="447" spans="5:5" x14ac:dyDescent="0.35">
      <c r="E447" s="183"/>
    </row>
    <row r="448" spans="5:5" x14ac:dyDescent="0.35">
      <c r="E448" s="183"/>
    </row>
    <row r="449" spans="5:5" x14ac:dyDescent="0.35">
      <c r="E449" s="183"/>
    </row>
    <row r="450" spans="5:5" x14ac:dyDescent="0.35">
      <c r="E450" s="183"/>
    </row>
    <row r="451" spans="5:5" x14ac:dyDescent="0.35">
      <c r="E451" s="183"/>
    </row>
    <row r="452" spans="5:5" x14ac:dyDescent="0.35">
      <c r="E452" s="183"/>
    </row>
    <row r="453" spans="5:5" x14ac:dyDescent="0.35">
      <c r="E453" s="183"/>
    </row>
    <row r="454" spans="5:5" x14ac:dyDescent="0.35">
      <c r="E454" s="183"/>
    </row>
    <row r="455" spans="5:5" x14ac:dyDescent="0.35">
      <c r="E455" s="183"/>
    </row>
    <row r="456" spans="5:5" x14ac:dyDescent="0.35">
      <c r="E456" s="183"/>
    </row>
    <row r="457" spans="5:5" x14ac:dyDescent="0.35">
      <c r="E457" s="183"/>
    </row>
    <row r="458" spans="5:5" x14ac:dyDescent="0.35">
      <c r="E458" s="183"/>
    </row>
    <row r="459" spans="5:5" x14ac:dyDescent="0.35">
      <c r="E459" s="183"/>
    </row>
    <row r="460" spans="5:5" x14ac:dyDescent="0.35">
      <c r="E460" s="183"/>
    </row>
    <row r="461" spans="5:5" x14ac:dyDescent="0.35">
      <c r="E461" s="183"/>
    </row>
    <row r="462" spans="5:5" x14ac:dyDescent="0.35">
      <c r="E462" s="183"/>
    </row>
    <row r="463" spans="5:5" x14ac:dyDescent="0.35">
      <c r="E463" s="183"/>
    </row>
    <row r="464" spans="5:5" x14ac:dyDescent="0.35">
      <c r="E464" s="183"/>
    </row>
    <row r="465" spans="5:5" x14ac:dyDescent="0.35">
      <c r="E465" s="183"/>
    </row>
    <row r="466" spans="5:5" x14ac:dyDescent="0.35">
      <c r="E466" s="183"/>
    </row>
    <row r="467" spans="5:5" x14ac:dyDescent="0.35">
      <c r="E467" s="183"/>
    </row>
    <row r="468" spans="5:5" x14ac:dyDescent="0.35">
      <c r="E468" s="183"/>
    </row>
    <row r="469" spans="5:5" x14ac:dyDescent="0.35">
      <c r="E469" s="183"/>
    </row>
    <row r="470" spans="5:5" x14ac:dyDescent="0.35">
      <c r="E470" s="183"/>
    </row>
    <row r="471" spans="5:5" x14ac:dyDescent="0.35">
      <c r="E471" s="183"/>
    </row>
    <row r="472" spans="5:5" x14ac:dyDescent="0.35">
      <c r="E472" s="183"/>
    </row>
    <row r="473" spans="5:5" x14ac:dyDescent="0.35">
      <c r="E473" s="183"/>
    </row>
    <row r="474" spans="5:5" x14ac:dyDescent="0.35">
      <c r="E474" s="183"/>
    </row>
    <row r="475" spans="5:5" x14ac:dyDescent="0.35">
      <c r="E475" s="183"/>
    </row>
    <row r="476" spans="5:5" x14ac:dyDescent="0.35">
      <c r="E476" s="183"/>
    </row>
    <row r="477" spans="5:5" x14ac:dyDescent="0.35">
      <c r="E477" s="183"/>
    </row>
    <row r="478" spans="5:5" x14ac:dyDescent="0.35">
      <c r="E478" s="183"/>
    </row>
    <row r="479" spans="5:5" x14ac:dyDescent="0.35">
      <c r="E479" s="183"/>
    </row>
    <row r="480" spans="5:5" x14ac:dyDescent="0.35">
      <c r="E480" s="183"/>
    </row>
    <row r="481" spans="5:5" x14ac:dyDescent="0.35">
      <c r="E481" s="183"/>
    </row>
    <row r="482" spans="5:5" x14ac:dyDescent="0.35">
      <c r="E482" s="183"/>
    </row>
    <row r="483" spans="5:5" x14ac:dyDescent="0.35">
      <c r="E483" s="183"/>
    </row>
    <row r="484" spans="5:5" x14ac:dyDescent="0.35">
      <c r="E484" s="183"/>
    </row>
    <row r="485" spans="5:5" x14ac:dyDescent="0.35">
      <c r="E485" s="183"/>
    </row>
    <row r="486" spans="5:5" x14ac:dyDescent="0.35">
      <c r="E486" s="183"/>
    </row>
    <row r="487" spans="5:5" x14ac:dyDescent="0.35">
      <c r="E487" s="183"/>
    </row>
    <row r="488" spans="5:5" x14ac:dyDescent="0.35">
      <c r="E488" s="183"/>
    </row>
    <row r="489" spans="5:5" x14ac:dyDescent="0.35">
      <c r="E489" s="183"/>
    </row>
    <row r="490" spans="5:5" x14ac:dyDescent="0.35">
      <c r="E490" s="183"/>
    </row>
    <row r="491" spans="5:5" x14ac:dyDescent="0.35">
      <c r="E491" s="183"/>
    </row>
    <row r="492" spans="5:5" x14ac:dyDescent="0.35">
      <c r="E492" s="183"/>
    </row>
    <row r="493" spans="5:5" x14ac:dyDescent="0.35">
      <c r="E493" s="183"/>
    </row>
    <row r="494" spans="5:5" x14ac:dyDescent="0.35">
      <c r="E494" s="183"/>
    </row>
    <row r="495" spans="5:5" x14ac:dyDescent="0.35">
      <c r="E495" s="183"/>
    </row>
    <row r="496" spans="5:5" x14ac:dyDescent="0.35">
      <c r="E496" s="183"/>
    </row>
    <row r="497" spans="5:5" x14ac:dyDescent="0.35">
      <c r="E497" s="183"/>
    </row>
    <row r="498" spans="5:5" x14ac:dyDescent="0.35">
      <c r="E498" s="183"/>
    </row>
  </sheetData>
  <mergeCells count="33">
    <mergeCell ref="A1:W1"/>
    <mergeCell ref="A280:A295"/>
    <mergeCell ref="A297:A312"/>
    <mergeCell ref="A314:A329"/>
    <mergeCell ref="A331:A346"/>
    <mergeCell ref="A127:A142"/>
    <mergeCell ref="A144:A159"/>
    <mergeCell ref="A348:A363"/>
    <mergeCell ref="A246:A261"/>
    <mergeCell ref="A263:A278"/>
    <mergeCell ref="A42:A57"/>
    <mergeCell ref="A59:A74"/>
    <mergeCell ref="A76:A91"/>
    <mergeCell ref="A93:A108"/>
    <mergeCell ref="A110:A125"/>
    <mergeCell ref="A161:A176"/>
    <mergeCell ref="A178:A193"/>
    <mergeCell ref="A195:A210"/>
    <mergeCell ref="A212:A227"/>
    <mergeCell ref="A229:A244"/>
    <mergeCell ref="AS4:AU4"/>
    <mergeCell ref="A8:A23"/>
    <mergeCell ref="A25:A40"/>
    <mergeCell ref="AK4:AM4"/>
    <mergeCell ref="AO4:AQ4"/>
    <mergeCell ref="AG4:AI4"/>
    <mergeCell ref="Q4:S4"/>
    <mergeCell ref="U4:W4"/>
    <mergeCell ref="Y4:AA4"/>
    <mergeCell ref="E4:G4"/>
    <mergeCell ref="I4:K4"/>
    <mergeCell ref="M4:O4"/>
    <mergeCell ref="A4:C7"/>
  </mergeCells>
  <conditionalFormatting sqref="E14:E15">
    <cfRule type="expression" dxfId="15783" priority="9851">
      <formula>E14&gt;G14+#REF!</formula>
    </cfRule>
  </conditionalFormatting>
  <conditionalFormatting sqref="E18:E19">
    <cfRule type="expression" dxfId="15782" priority="9848">
      <formula>E18&gt;G18+#REF!</formula>
    </cfRule>
  </conditionalFormatting>
  <conditionalFormatting sqref="E20:E22">
    <cfRule type="expression" dxfId="15781" priority="9847">
      <formula>E20&gt;G20+#REF!</formula>
    </cfRule>
  </conditionalFormatting>
  <conditionalFormatting sqref="E31:E32">
    <cfRule type="expression" dxfId="15780" priority="6878">
      <formula>E31&gt;G31+#REF!</formula>
    </cfRule>
  </conditionalFormatting>
  <conditionalFormatting sqref="E35:E36">
    <cfRule type="expression" dxfId="15779" priority="6875">
      <formula>E35&gt;G35+#REF!</formula>
    </cfRule>
  </conditionalFormatting>
  <conditionalFormatting sqref="E37:E39">
    <cfRule type="expression" dxfId="15778" priority="6874">
      <formula>E37&gt;G37+#REF!</formula>
    </cfRule>
  </conditionalFormatting>
  <conditionalFormatting sqref="E48:E49">
    <cfRule type="expression" dxfId="15777" priority="6703">
      <formula>E48&gt;G48+#REF!</formula>
    </cfRule>
  </conditionalFormatting>
  <conditionalFormatting sqref="E52:E53">
    <cfRule type="expression" dxfId="15776" priority="6700">
      <formula>E52&gt;G52+#REF!</formula>
    </cfRule>
  </conditionalFormatting>
  <conditionalFormatting sqref="E54:E56">
    <cfRule type="expression" dxfId="15775" priority="6699">
      <formula>E54&gt;G54+#REF!</formula>
    </cfRule>
  </conditionalFormatting>
  <conditionalFormatting sqref="E65:E66">
    <cfRule type="expression" dxfId="15774" priority="6528">
      <formula>E65&gt;G65+#REF!</formula>
    </cfRule>
  </conditionalFormatting>
  <conditionalFormatting sqref="E69:E70">
    <cfRule type="expression" dxfId="15773" priority="6525">
      <formula>E69&gt;G69+#REF!</formula>
    </cfRule>
  </conditionalFormatting>
  <conditionalFormatting sqref="E71:E73">
    <cfRule type="expression" dxfId="15772" priority="6524">
      <formula>E71&gt;G71+#REF!</formula>
    </cfRule>
  </conditionalFormatting>
  <conditionalFormatting sqref="E82:E83">
    <cfRule type="expression" dxfId="15771" priority="6353">
      <formula>E82&gt;G82+#REF!</formula>
    </cfRule>
  </conditionalFormatting>
  <conditionalFormatting sqref="E86:E87">
    <cfRule type="expression" dxfId="15770" priority="6350">
      <formula>E86&gt;G86+#REF!</formula>
    </cfRule>
  </conditionalFormatting>
  <conditionalFormatting sqref="E88:E90">
    <cfRule type="expression" dxfId="15769" priority="6349">
      <formula>E88&gt;G88+#REF!</formula>
    </cfRule>
  </conditionalFormatting>
  <conditionalFormatting sqref="E99:E100">
    <cfRule type="expression" dxfId="15768" priority="6178">
      <formula>E99&gt;G99+#REF!</formula>
    </cfRule>
  </conditionalFormatting>
  <conditionalFormatting sqref="E103:E104">
    <cfRule type="expression" dxfId="15767" priority="6175">
      <formula>E103&gt;G103+#REF!</formula>
    </cfRule>
  </conditionalFormatting>
  <conditionalFormatting sqref="E105:E107">
    <cfRule type="expression" dxfId="15766" priority="6174">
      <formula>E105&gt;G105+#REF!</formula>
    </cfRule>
  </conditionalFormatting>
  <conditionalFormatting sqref="E116:E117">
    <cfRule type="expression" dxfId="15765" priority="6003">
      <formula>E116&gt;G116+#REF!</formula>
    </cfRule>
  </conditionalFormatting>
  <conditionalFormatting sqref="E120:E121">
    <cfRule type="expression" dxfId="15764" priority="6000">
      <formula>E120&gt;G120+#REF!</formula>
    </cfRule>
  </conditionalFormatting>
  <conditionalFormatting sqref="E122:E124">
    <cfRule type="expression" dxfId="15763" priority="5999">
      <formula>E122&gt;G122+#REF!</formula>
    </cfRule>
  </conditionalFormatting>
  <conditionalFormatting sqref="E167:E168">
    <cfRule type="expression" dxfId="15762" priority="5828">
      <formula>E167&gt;G167+#REF!</formula>
    </cfRule>
  </conditionalFormatting>
  <conditionalFormatting sqref="E171:E172">
    <cfRule type="expression" dxfId="15761" priority="5825">
      <formula>E171&gt;G171+#REF!</formula>
    </cfRule>
  </conditionalFormatting>
  <conditionalFormatting sqref="E173:E175">
    <cfRule type="expression" dxfId="15760" priority="5824">
      <formula>E173&gt;G173+#REF!</formula>
    </cfRule>
  </conditionalFormatting>
  <conditionalFormatting sqref="E184:E185">
    <cfRule type="expression" dxfId="15759" priority="5653">
      <formula>E184&gt;G184+#REF!</formula>
    </cfRule>
  </conditionalFormatting>
  <conditionalFormatting sqref="E188:E189">
    <cfRule type="expression" dxfId="15758" priority="5650">
      <formula>E188&gt;G188+#REF!</formula>
    </cfRule>
  </conditionalFormatting>
  <conditionalFormatting sqref="E190:E192">
    <cfRule type="expression" dxfId="15757" priority="5649">
      <formula>E190&gt;G190+#REF!</formula>
    </cfRule>
  </conditionalFormatting>
  <conditionalFormatting sqref="E201:E202">
    <cfRule type="expression" dxfId="15756" priority="5478">
      <formula>E201&gt;G201+#REF!</formula>
    </cfRule>
  </conditionalFormatting>
  <conditionalFormatting sqref="E205:E206">
    <cfRule type="expression" dxfId="15755" priority="5475">
      <formula>E205&gt;G205+#REF!</formula>
    </cfRule>
  </conditionalFormatting>
  <conditionalFormatting sqref="E207:E209">
    <cfRule type="expression" dxfId="15754" priority="5474">
      <formula>E207&gt;G207+#REF!</formula>
    </cfRule>
  </conditionalFormatting>
  <conditionalFormatting sqref="E218:E219">
    <cfRule type="expression" dxfId="15753" priority="5303">
      <formula>E218&gt;G218+#REF!</formula>
    </cfRule>
  </conditionalFormatting>
  <conditionalFormatting sqref="E222:E223">
    <cfRule type="expression" dxfId="15752" priority="5300">
      <formula>E222&gt;G222+#REF!</formula>
    </cfRule>
  </conditionalFormatting>
  <conditionalFormatting sqref="E224:E226">
    <cfRule type="expression" dxfId="15751" priority="5299">
      <formula>E224&gt;G224+#REF!</formula>
    </cfRule>
  </conditionalFormatting>
  <conditionalFormatting sqref="E235:E236">
    <cfRule type="expression" dxfId="15750" priority="5128">
      <formula>E235&gt;G235+#REF!</formula>
    </cfRule>
  </conditionalFormatting>
  <conditionalFormatting sqref="E239:E240">
    <cfRule type="expression" dxfId="15749" priority="5125">
      <formula>E239&gt;G239+#REF!</formula>
    </cfRule>
  </conditionalFormatting>
  <conditionalFormatting sqref="E241:E243">
    <cfRule type="expression" dxfId="15748" priority="5124">
      <formula>E241&gt;G241+#REF!</formula>
    </cfRule>
  </conditionalFormatting>
  <conditionalFormatting sqref="E252:E253">
    <cfRule type="expression" dxfId="15747" priority="10145">
      <formula>E252&gt;G252+#REF!</formula>
    </cfRule>
  </conditionalFormatting>
  <conditionalFormatting sqref="E256:E257">
    <cfRule type="expression" dxfId="15746" priority="10142">
      <formula>E256&gt;G256+#REF!</formula>
    </cfRule>
  </conditionalFormatting>
  <conditionalFormatting sqref="E258:E260">
    <cfRule type="expression" dxfId="15745" priority="10141">
      <formula>E258&gt;G258+#REF!</formula>
    </cfRule>
  </conditionalFormatting>
  <conditionalFormatting sqref="E269:E270">
    <cfRule type="expression" dxfId="15744" priority="3716">
      <formula>E269&gt;G269+#REF!</formula>
    </cfRule>
  </conditionalFormatting>
  <conditionalFormatting sqref="E273:E274">
    <cfRule type="expression" dxfId="15743" priority="3713">
      <formula>E273&gt;G273+#REF!</formula>
    </cfRule>
  </conditionalFormatting>
  <conditionalFormatting sqref="E275:E277">
    <cfRule type="expression" dxfId="15742" priority="3712">
      <formula>E275&gt;G275+#REF!</formula>
    </cfRule>
  </conditionalFormatting>
  <conditionalFormatting sqref="E286:E287">
    <cfRule type="expression" dxfId="15741" priority="4445">
      <formula>E286&gt;G286+#REF!</formula>
    </cfRule>
  </conditionalFormatting>
  <conditionalFormatting sqref="E290:E291">
    <cfRule type="expression" dxfId="15740" priority="4442">
      <formula>E290&gt;G290+#REF!</formula>
    </cfRule>
  </conditionalFormatting>
  <conditionalFormatting sqref="E292:E294">
    <cfRule type="expression" dxfId="15739" priority="4441">
      <formula>E292&gt;G292+#REF!</formula>
    </cfRule>
  </conditionalFormatting>
  <conditionalFormatting sqref="E303:E304">
    <cfRule type="expression" dxfId="15738" priority="4263">
      <formula>E303&gt;G303+#REF!</formula>
    </cfRule>
  </conditionalFormatting>
  <conditionalFormatting sqref="E307:E308">
    <cfRule type="expression" dxfId="15737" priority="4260">
      <formula>E307&gt;G307+#REF!</formula>
    </cfRule>
  </conditionalFormatting>
  <conditionalFormatting sqref="E309:E311">
    <cfRule type="expression" dxfId="15736" priority="4259">
      <formula>E309&gt;G309+#REF!</formula>
    </cfRule>
  </conditionalFormatting>
  <conditionalFormatting sqref="E320:E321">
    <cfRule type="expression" dxfId="15735" priority="4081">
      <formula>E320&gt;G320+#REF!</formula>
    </cfRule>
  </conditionalFormatting>
  <conditionalFormatting sqref="E324:E325">
    <cfRule type="expression" dxfId="15734" priority="4078">
      <formula>E324&gt;G324+#REF!</formula>
    </cfRule>
  </conditionalFormatting>
  <conditionalFormatting sqref="E326:E328">
    <cfRule type="expression" dxfId="15733" priority="4077">
      <formula>E326&gt;G326+#REF!</formula>
    </cfRule>
  </conditionalFormatting>
  <conditionalFormatting sqref="E337:E338">
    <cfRule type="expression" dxfId="15732" priority="3899">
      <formula>E337&gt;G337+#REF!</formula>
    </cfRule>
  </conditionalFormatting>
  <conditionalFormatting sqref="E341:E342">
    <cfRule type="expression" dxfId="15731" priority="3896">
      <formula>E341&gt;G341+#REF!</formula>
    </cfRule>
  </conditionalFormatting>
  <conditionalFormatting sqref="E343:E345">
    <cfRule type="expression" dxfId="15730" priority="3895">
      <formula>E343&gt;G343+#REF!</formula>
    </cfRule>
  </conditionalFormatting>
  <conditionalFormatting sqref="E354:E355">
    <cfRule type="expression" dxfId="15729" priority="4778">
      <formula>E354&gt;G354+#REF!</formula>
    </cfRule>
  </conditionalFormatting>
  <conditionalFormatting sqref="E358:E359">
    <cfRule type="expression" dxfId="15728" priority="4775">
      <formula>E358&gt;G358+#REF!</formula>
    </cfRule>
  </conditionalFormatting>
  <conditionalFormatting sqref="E360:E362">
    <cfRule type="expression" dxfId="15727" priority="4774">
      <formula>E360&gt;G360+#REF!</formula>
    </cfRule>
  </conditionalFormatting>
  <conditionalFormatting sqref="E8:G9">
    <cfRule type="expression" dxfId="15726" priority="9857">
      <formula>E8&lt;G8*#REF!</formula>
    </cfRule>
    <cfRule type="expression" dxfId="15725" priority="9858">
      <formula>E8&gt;G8*#REF!</formula>
    </cfRule>
  </conditionalFormatting>
  <conditionalFormatting sqref="E10:G10">
    <cfRule type="expression" dxfId="15724" priority="9855">
      <formula>E10&gt;G10+#REF!</formula>
    </cfRule>
  </conditionalFormatting>
  <conditionalFormatting sqref="E10:G12">
    <cfRule type="expression" dxfId="15723" priority="9861">
      <formula>E10&lt;G10-#REF!</formula>
    </cfRule>
  </conditionalFormatting>
  <conditionalFormatting sqref="E11:G11">
    <cfRule type="expression" dxfId="15722" priority="9854">
      <formula>E11&gt;G11+#REF!</formula>
    </cfRule>
  </conditionalFormatting>
  <conditionalFormatting sqref="E12:G12">
    <cfRule type="expression" dxfId="15721" priority="9853">
      <formula>E12&gt;G12+#REF!</formula>
    </cfRule>
  </conditionalFormatting>
  <conditionalFormatting sqref="E13:G13">
    <cfRule type="expression" dxfId="15720" priority="9852">
      <formula>E13&gt;G13+#REF!</formula>
    </cfRule>
  </conditionalFormatting>
  <conditionalFormatting sqref="E16:G16">
    <cfRule type="expression" dxfId="15719" priority="9850">
      <formula>E16&gt;G16+#REF!</formula>
    </cfRule>
  </conditionalFormatting>
  <conditionalFormatting sqref="E17:G17">
    <cfRule type="expression" dxfId="15718" priority="9849">
      <formula>E17&gt;G17+#REF!</formula>
    </cfRule>
  </conditionalFormatting>
  <conditionalFormatting sqref="E23:G23">
    <cfRule type="expression" dxfId="15717" priority="9856">
      <formula>E23&gt;G23*#REF!</formula>
    </cfRule>
  </conditionalFormatting>
  <conditionalFormatting sqref="E25:G26">
    <cfRule type="expression" dxfId="15716" priority="6884">
      <formula>E25&lt;G25*#REF!</formula>
    </cfRule>
    <cfRule type="expression" dxfId="15715" priority="6885">
      <formula>E25&gt;G25*#REF!</formula>
    </cfRule>
  </conditionalFormatting>
  <conditionalFormatting sqref="E27:G27">
    <cfRule type="expression" dxfId="15714" priority="6882">
      <formula>E27&gt;G27+#REF!</formula>
    </cfRule>
  </conditionalFormatting>
  <conditionalFormatting sqref="E27:G29">
    <cfRule type="expression" dxfId="15713" priority="6888">
      <formula>E27&lt;G27-#REF!</formula>
    </cfRule>
  </conditionalFormatting>
  <conditionalFormatting sqref="E28:G28">
    <cfRule type="expression" dxfId="15712" priority="6881">
      <formula>E28&gt;G28+#REF!</formula>
    </cfRule>
  </conditionalFormatting>
  <conditionalFormatting sqref="E29:G29">
    <cfRule type="expression" dxfId="15711" priority="6880">
      <formula>E29&gt;G29+#REF!</formula>
    </cfRule>
  </conditionalFormatting>
  <conditionalFormatting sqref="E30:G30">
    <cfRule type="expression" dxfId="15710" priority="6879">
      <formula>E30&gt;G30+#REF!</formula>
    </cfRule>
  </conditionalFormatting>
  <conditionalFormatting sqref="E33:G33">
    <cfRule type="expression" dxfId="15709" priority="6877">
      <formula>E33&gt;G33+#REF!</formula>
    </cfRule>
  </conditionalFormatting>
  <conditionalFormatting sqref="E34:G34">
    <cfRule type="expression" dxfId="15708" priority="6876">
      <formula>E34&gt;G34+#REF!</formula>
    </cfRule>
  </conditionalFormatting>
  <conditionalFormatting sqref="E40:G40">
    <cfRule type="expression" dxfId="15707" priority="6883">
      <formula>E40&gt;G40*#REF!</formula>
    </cfRule>
  </conditionalFormatting>
  <conditionalFormatting sqref="E42:G43">
    <cfRule type="expression" dxfId="15706" priority="6709">
      <formula>E42&lt;G42*#REF!</formula>
    </cfRule>
    <cfRule type="expression" dxfId="15705" priority="6710">
      <formula>E42&gt;G42*#REF!</formula>
    </cfRule>
  </conditionalFormatting>
  <conditionalFormatting sqref="E44:G44">
    <cfRule type="expression" dxfId="15704" priority="6707">
      <formula>E44&gt;G44+#REF!</formula>
    </cfRule>
  </conditionalFormatting>
  <conditionalFormatting sqref="E44:G46">
    <cfRule type="expression" dxfId="15703" priority="6713">
      <formula>E44&lt;G44-#REF!</formula>
    </cfRule>
  </conditionalFormatting>
  <conditionalFormatting sqref="E45:G45">
    <cfRule type="expression" dxfId="15702" priority="6706">
      <formula>E45&gt;G45+#REF!</formula>
    </cfRule>
  </conditionalFormatting>
  <conditionalFormatting sqref="E46:G46">
    <cfRule type="expression" dxfId="15701" priority="6705">
      <formula>E46&gt;G46+#REF!</formula>
    </cfRule>
  </conditionalFormatting>
  <conditionalFormatting sqref="E47:G47">
    <cfRule type="expression" dxfId="15700" priority="6704">
      <formula>E47&gt;G47+#REF!</formula>
    </cfRule>
  </conditionalFormatting>
  <conditionalFormatting sqref="E50:G50">
    <cfRule type="expression" dxfId="15699" priority="6702">
      <formula>E50&gt;G50+#REF!</formula>
    </cfRule>
  </conditionalFormatting>
  <conditionalFormatting sqref="E51:G51">
    <cfRule type="expression" dxfId="15698" priority="6701">
      <formula>E51&gt;G51+#REF!</formula>
    </cfRule>
  </conditionalFormatting>
  <conditionalFormatting sqref="E57:G57">
    <cfRule type="expression" dxfId="15697" priority="6708">
      <formula>E57&gt;G57*#REF!</formula>
    </cfRule>
  </conditionalFormatting>
  <conditionalFormatting sqref="E59:G60">
    <cfRule type="expression" dxfId="15696" priority="6534">
      <formula>E59&lt;G59*#REF!</formula>
    </cfRule>
    <cfRule type="expression" dxfId="15695" priority="6535">
      <formula>E59&gt;G59*#REF!</formula>
    </cfRule>
  </conditionalFormatting>
  <conditionalFormatting sqref="E61:G61">
    <cfRule type="expression" dxfId="15694" priority="6532">
      <formula>E61&gt;G61+#REF!</formula>
    </cfRule>
  </conditionalFormatting>
  <conditionalFormatting sqref="E61:G63">
    <cfRule type="expression" dxfId="15693" priority="6538">
      <formula>E61&lt;G61-#REF!</formula>
    </cfRule>
  </conditionalFormatting>
  <conditionalFormatting sqref="E62:G62">
    <cfRule type="expression" dxfId="15692" priority="6531">
      <formula>E62&gt;G62+#REF!</formula>
    </cfRule>
  </conditionalFormatting>
  <conditionalFormatting sqref="E63:G63">
    <cfRule type="expression" dxfId="15691" priority="6530">
      <formula>E63&gt;G63+#REF!</formula>
    </cfRule>
  </conditionalFormatting>
  <conditionalFormatting sqref="E64:G64">
    <cfRule type="expression" dxfId="15690" priority="6529">
      <formula>E64&gt;G64+#REF!</formula>
    </cfRule>
  </conditionalFormatting>
  <conditionalFormatting sqref="E67:G67">
    <cfRule type="expression" dxfId="15689" priority="6527">
      <formula>E67&gt;G67+#REF!</formula>
    </cfRule>
  </conditionalFormatting>
  <conditionalFormatting sqref="E68:G68">
    <cfRule type="expression" dxfId="15688" priority="6526">
      <formula>E68&gt;G68+#REF!</formula>
    </cfRule>
  </conditionalFormatting>
  <conditionalFormatting sqref="E74:G74">
    <cfRule type="expression" dxfId="15687" priority="6533">
      <formula>E74&gt;G74*#REF!</formula>
    </cfRule>
  </conditionalFormatting>
  <conditionalFormatting sqref="E76:G77">
    <cfRule type="expression" dxfId="15686" priority="6359">
      <formula>E76&lt;G76*#REF!</formula>
    </cfRule>
    <cfRule type="expression" dxfId="15685" priority="6360">
      <formula>E76&gt;G76*#REF!</formula>
    </cfRule>
  </conditionalFormatting>
  <conditionalFormatting sqref="E78:G78">
    <cfRule type="expression" dxfId="15684" priority="6357">
      <formula>E78&gt;G78+#REF!</formula>
    </cfRule>
  </conditionalFormatting>
  <conditionalFormatting sqref="E78:G80">
    <cfRule type="expression" dxfId="15683" priority="6363">
      <formula>E78&lt;G78-#REF!</formula>
    </cfRule>
  </conditionalFormatting>
  <conditionalFormatting sqref="E79:G79">
    <cfRule type="expression" dxfId="15682" priority="6356">
      <formula>E79&gt;G79+#REF!</formula>
    </cfRule>
  </conditionalFormatting>
  <conditionalFormatting sqref="E80:G80">
    <cfRule type="expression" dxfId="15681" priority="6355">
      <formula>E80&gt;G80+#REF!</formula>
    </cfRule>
  </conditionalFormatting>
  <conditionalFormatting sqref="E81:G81">
    <cfRule type="expression" dxfId="15680" priority="6354">
      <formula>E81&gt;G81+#REF!</formula>
    </cfRule>
  </conditionalFormatting>
  <conditionalFormatting sqref="E84:G84">
    <cfRule type="expression" dxfId="15679" priority="6352">
      <formula>E84&gt;G84+#REF!</formula>
    </cfRule>
  </conditionalFormatting>
  <conditionalFormatting sqref="E85:G85">
    <cfRule type="expression" dxfId="15678" priority="6351">
      <formula>E85&gt;G85+#REF!</formula>
    </cfRule>
  </conditionalFormatting>
  <conditionalFormatting sqref="E91:G91">
    <cfRule type="expression" dxfId="15677" priority="6358">
      <formula>E91&gt;G91*#REF!</formula>
    </cfRule>
  </conditionalFormatting>
  <conditionalFormatting sqref="E93:G94">
    <cfRule type="expression" dxfId="15676" priority="6184">
      <formula>E93&lt;G93*#REF!</formula>
    </cfRule>
    <cfRule type="expression" dxfId="15675" priority="6185">
      <formula>E93&gt;G93*#REF!</formula>
    </cfRule>
  </conditionalFormatting>
  <conditionalFormatting sqref="E95:G95">
    <cfRule type="expression" dxfId="15674" priority="6182">
      <formula>E95&gt;G95+#REF!</formula>
    </cfRule>
  </conditionalFormatting>
  <conditionalFormatting sqref="E95:G97">
    <cfRule type="expression" dxfId="15673" priority="6188">
      <formula>E95&lt;G95-#REF!</formula>
    </cfRule>
  </conditionalFormatting>
  <conditionalFormatting sqref="E96:G96">
    <cfRule type="expression" dxfId="15672" priority="6181">
      <formula>E96&gt;G96+#REF!</formula>
    </cfRule>
  </conditionalFormatting>
  <conditionalFormatting sqref="E97:G97">
    <cfRule type="expression" dxfId="15671" priority="6180">
      <formula>E97&gt;G97+#REF!</formula>
    </cfRule>
  </conditionalFormatting>
  <conditionalFormatting sqref="E98:G98">
    <cfRule type="expression" dxfId="15670" priority="6179">
      <formula>E98&gt;G98+#REF!</formula>
    </cfRule>
  </conditionalFormatting>
  <conditionalFormatting sqref="E101:G101">
    <cfRule type="expression" dxfId="15669" priority="6177">
      <formula>E101&gt;G101+#REF!</formula>
    </cfRule>
  </conditionalFormatting>
  <conditionalFormatting sqref="E102:G102">
    <cfRule type="expression" dxfId="15668" priority="6176">
      <formula>E102&gt;G102+#REF!</formula>
    </cfRule>
  </conditionalFormatting>
  <conditionalFormatting sqref="E108:G108">
    <cfRule type="expression" dxfId="15667" priority="6183">
      <formula>E108&gt;G108*#REF!</formula>
    </cfRule>
  </conditionalFormatting>
  <conditionalFormatting sqref="E110:G111">
    <cfRule type="expression" dxfId="15666" priority="6009">
      <formula>E110&lt;G110*#REF!</formula>
    </cfRule>
    <cfRule type="expression" dxfId="15665" priority="6010">
      <formula>E110&gt;G110*#REF!</formula>
    </cfRule>
  </conditionalFormatting>
  <conditionalFormatting sqref="E112:G112">
    <cfRule type="expression" dxfId="15664" priority="6007">
      <formula>E112&gt;G112+#REF!</formula>
    </cfRule>
  </conditionalFormatting>
  <conditionalFormatting sqref="E112:G114">
    <cfRule type="expression" dxfId="15663" priority="6013">
      <formula>E112&lt;G112-#REF!</formula>
    </cfRule>
  </conditionalFormatting>
  <conditionalFormatting sqref="E113:G113">
    <cfRule type="expression" dxfId="15662" priority="6006">
      <formula>E113&gt;G113+#REF!</formula>
    </cfRule>
  </conditionalFormatting>
  <conditionalFormatting sqref="E114:G114">
    <cfRule type="expression" dxfId="15661" priority="6005">
      <formula>E114&gt;G114+#REF!</formula>
    </cfRule>
  </conditionalFormatting>
  <conditionalFormatting sqref="E115:G115">
    <cfRule type="expression" dxfId="15660" priority="6004">
      <formula>E115&gt;G115+#REF!</formula>
    </cfRule>
  </conditionalFormatting>
  <conditionalFormatting sqref="E118:G118">
    <cfRule type="expression" dxfId="15659" priority="6002">
      <formula>E118&gt;G118+#REF!</formula>
    </cfRule>
  </conditionalFormatting>
  <conditionalFormatting sqref="E119:G119">
    <cfRule type="expression" dxfId="15658" priority="6001">
      <formula>E119&gt;G119+#REF!</formula>
    </cfRule>
  </conditionalFormatting>
  <conditionalFormatting sqref="E125:G125">
    <cfRule type="expression" dxfId="15657" priority="6008">
      <formula>E125&gt;G125*#REF!</formula>
    </cfRule>
  </conditionalFormatting>
  <conditionalFormatting sqref="E161:G162">
    <cfRule type="expression" dxfId="15656" priority="5834">
      <formula>E161&lt;G161*#REF!</formula>
    </cfRule>
    <cfRule type="expression" dxfId="15655" priority="5835">
      <formula>E161&gt;G161*#REF!</formula>
    </cfRule>
  </conditionalFormatting>
  <conditionalFormatting sqref="E163:G163">
    <cfRule type="expression" dxfId="15654" priority="5832">
      <formula>E163&gt;G163+#REF!</formula>
    </cfRule>
  </conditionalFormatting>
  <conditionalFormatting sqref="E163:G165">
    <cfRule type="expression" dxfId="15653" priority="5838">
      <formula>E163&lt;G163-#REF!</formula>
    </cfRule>
  </conditionalFormatting>
  <conditionalFormatting sqref="E164:G164">
    <cfRule type="expression" dxfId="15652" priority="5831">
      <formula>E164&gt;G164+#REF!</formula>
    </cfRule>
  </conditionalFormatting>
  <conditionalFormatting sqref="E165:G165">
    <cfRule type="expression" dxfId="15651" priority="5830">
      <formula>E165&gt;G165+#REF!</formula>
    </cfRule>
  </conditionalFormatting>
  <conditionalFormatting sqref="E166:G166">
    <cfRule type="expression" dxfId="15650" priority="5829">
      <formula>E166&gt;G166+#REF!</formula>
    </cfRule>
  </conditionalFormatting>
  <conditionalFormatting sqref="E169:G169">
    <cfRule type="expression" dxfId="15649" priority="5827">
      <formula>E169&gt;G169+#REF!</formula>
    </cfRule>
  </conditionalFormatting>
  <conditionalFormatting sqref="E170:G170">
    <cfRule type="expression" dxfId="15648" priority="5826">
      <formula>E170&gt;G170+#REF!</formula>
    </cfRule>
  </conditionalFormatting>
  <conditionalFormatting sqref="E176:G176">
    <cfRule type="expression" dxfId="15647" priority="5833">
      <formula>E176&gt;G176*#REF!</formula>
    </cfRule>
  </conditionalFormatting>
  <conditionalFormatting sqref="E178:G179">
    <cfRule type="expression" dxfId="15646" priority="5659">
      <formula>E178&lt;G178*#REF!</formula>
    </cfRule>
    <cfRule type="expression" dxfId="15645" priority="5660">
      <formula>E178&gt;G178*#REF!</formula>
    </cfRule>
  </conditionalFormatting>
  <conditionalFormatting sqref="E180:G180">
    <cfRule type="expression" dxfId="15644" priority="5657">
      <formula>E180&gt;G180+#REF!</formula>
    </cfRule>
  </conditionalFormatting>
  <conditionalFormatting sqref="E180:G182">
    <cfRule type="expression" dxfId="15643" priority="5663">
      <formula>E180&lt;G180-#REF!</formula>
    </cfRule>
  </conditionalFormatting>
  <conditionalFormatting sqref="E181:G181">
    <cfRule type="expression" dxfId="15642" priority="5656">
      <formula>E181&gt;G181+#REF!</formula>
    </cfRule>
  </conditionalFormatting>
  <conditionalFormatting sqref="E182:G182">
    <cfRule type="expression" dxfId="15641" priority="5655">
      <formula>E182&gt;G182+#REF!</formula>
    </cfRule>
  </conditionalFormatting>
  <conditionalFormatting sqref="E183:G183">
    <cfRule type="expression" dxfId="15640" priority="5654">
      <formula>E183&gt;G183+#REF!</formula>
    </cfRule>
  </conditionalFormatting>
  <conditionalFormatting sqref="E186:G186">
    <cfRule type="expression" dxfId="15639" priority="5652">
      <formula>E186&gt;G186+#REF!</formula>
    </cfRule>
  </conditionalFormatting>
  <conditionalFormatting sqref="E187:G187">
    <cfRule type="expression" dxfId="15638" priority="5651">
      <formula>E187&gt;G187+#REF!</formula>
    </cfRule>
  </conditionalFormatting>
  <conditionalFormatting sqref="E193:G193">
    <cfRule type="expression" dxfId="15637" priority="5658">
      <formula>E193&gt;G193*#REF!</formula>
    </cfRule>
  </conditionalFormatting>
  <conditionalFormatting sqref="E195:G196">
    <cfRule type="expression" dxfId="15636" priority="5484">
      <formula>E195&lt;G195*#REF!</formula>
    </cfRule>
    <cfRule type="expression" dxfId="15635" priority="5485">
      <formula>E195&gt;G195*#REF!</formula>
    </cfRule>
  </conditionalFormatting>
  <conditionalFormatting sqref="E197:G197">
    <cfRule type="expression" dxfId="15634" priority="5482">
      <formula>E197&gt;G197+#REF!</formula>
    </cfRule>
  </conditionalFormatting>
  <conditionalFormatting sqref="E197:G199">
    <cfRule type="expression" dxfId="15633" priority="5488">
      <formula>E197&lt;G197-#REF!</formula>
    </cfRule>
  </conditionalFormatting>
  <conditionalFormatting sqref="E198:G198">
    <cfRule type="expression" dxfId="15632" priority="5481">
      <formula>E198&gt;G198+#REF!</formula>
    </cfRule>
  </conditionalFormatting>
  <conditionalFormatting sqref="E199:G199">
    <cfRule type="expression" dxfId="15631" priority="5480">
      <formula>E199&gt;G199+#REF!</formula>
    </cfRule>
  </conditionalFormatting>
  <conditionalFormatting sqref="E200:G200">
    <cfRule type="expression" dxfId="15630" priority="5479">
      <formula>E200&gt;G200+#REF!</formula>
    </cfRule>
  </conditionalFormatting>
  <conditionalFormatting sqref="E203:G203">
    <cfRule type="expression" dxfId="15629" priority="5477">
      <formula>E203&gt;G203+#REF!</formula>
    </cfRule>
  </conditionalFormatting>
  <conditionalFormatting sqref="E204:G204">
    <cfRule type="expression" dxfId="15628" priority="5476">
      <formula>E204&gt;G204+#REF!</formula>
    </cfRule>
  </conditionalFormatting>
  <conditionalFormatting sqref="E210:G210">
    <cfRule type="expression" dxfId="15627" priority="5483">
      <formula>E210&gt;G210*#REF!</formula>
    </cfRule>
  </conditionalFormatting>
  <conditionalFormatting sqref="E212:G213">
    <cfRule type="expression" dxfId="15626" priority="5309">
      <formula>E212&lt;G212*#REF!</formula>
    </cfRule>
    <cfRule type="expression" dxfId="15625" priority="5310">
      <formula>E212&gt;G212*#REF!</formula>
    </cfRule>
  </conditionalFormatting>
  <conditionalFormatting sqref="E214:G214">
    <cfRule type="expression" dxfId="15624" priority="5307">
      <formula>E214&gt;G214+#REF!</formula>
    </cfRule>
  </conditionalFormatting>
  <conditionalFormatting sqref="E214:G216">
    <cfRule type="expression" dxfId="15623" priority="5313">
      <formula>E214&lt;G214-#REF!</formula>
    </cfRule>
  </conditionalFormatting>
  <conditionalFormatting sqref="E215:G215">
    <cfRule type="expression" dxfId="15622" priority="5306">
      <formula>E215&gt;G215+#REF!</formula>
    </cfRule>
  </conditionalFormatting>
  <conditionalFormatting sqref="E216:G216">
    <cfRule type="expression" dxfId="15621" priority="5305">
      <formula>E216&gt;G216+#REF!</formula>
    </cfRule>
  </conditionalFormatting>
  <conditionalFormatting sqref="E217:G217">
    <cfRule type="expression" dxfId="15620" priority="5304">
      <formula>E217&gt;G217+#REF!</formula>
    </cfRule>
  </conditionalFormatting>
  <conditionalFormatting sqref="E220:G220">
    <cfRule type="expression" dxfId="15619" priority="5302">
      <formula>E220&gt;G220+#REF!</formula>
    </cfRule>
  </conditionalFormatting>
  <conditionalFormatting sqref="E221:G221">
    <cfRule type="expression" dxfId="15618" priority="5301">
      <formula>E221&gt;G221+#REF!</formula>
    </cfRule>
  </conditionalFormatting>
  <conditionalFormatting sqref="E227:G227">
    <cfRule type="expression" dxfId="15617" priority="5308">
      <formula>E227&gt;G227*#REF!</formula>
    </cfRule>
  </conditionalFormatting>
  <conditionalFormatting sqref="E229:G230">
    <cfRule type="expression" dxfId="15616" priority="5134">
      <formula>E229&lt;G229*#REF!</formula>
    </cfRule>
    <cfRule type="expression" dxfId="15615" priority="5135">
      <formula>E229&gt;G229*#REF!</formula>
    </cfRule>
  </conditionalFormatting>
  <conditionalFormatting sqref="E231:G231">
    <cfRule type="expression" dxfId="15614" priority="5132">
      <formula>E231&gt;G231+#REF!</formula>
    </cfRule>
  </conditionalFormatting>
  <conditionalFormatting sqref="E231:G233">
    <cfRule type="expression" dxfId="15613" priority="5138">
      <formula>E231&lt;G231-#REF!</formula>
    </cfRule>
  </conditionalFormatting>
  <conditionalFormatting sqref="E232:G232">
    <cfRule type="expression" dxfId="15612" priority="5131">
      <formula>E232&gt;G232+#REF!</formula>
    </cfRule>
  </conditionalFormatting>
  <conditionalFormatting sqref="E233:G233">
    <cfRule type="expression" dxfId="15611" priority="5130">
      <formula>E233&gt;G233+#REF!</formula>
    </cfRule>
  </conditionalFormatting>
  <conditionalFormatting sqref="E234:G234">
    <cfRule type="expression" dxfId="15610" priority="5129">
      <formula>E234&gt;G234+#REF!</formula>
    </cfRule>
  </conditionalFormatting>
  <conditionalFormatting sqref="E237:G237">
    <cfRule type="expression" dxfId="15609" priority="5127">
      <formula>E237&gt;G237+#REF!</formula>
    </cfRule>
  </conditionalFormatting>
  <conditionalFormatting sqref="E238:G238">
    <cfRule type="expression" dxfId="15608" priority="5126">
      <formula>E238&gt;G238+#REF!</formula>
    </cfRule>
  </conditionalFormatting>
  <conditionalFormatting sqref="E244:G244">
    <cfRule type="expression" dxfId="15607" priority="5133">
      <formula>E244&gt;G244*#REF!</formula>
    </cfRule>
  </conditionalFormatting>
  <conditionalFormatting sqref="E246:G247">
    <cfRule type="expression" dxfId="15606" priority="10151">
      <formula>E246&lt;G246*#REF!</formula>
    </cfRule>
    <cfRule type="expression" dxfId="15605" priority="10152">
      <formula>E246&gt;G246*#REF!</formula>
    </cfRule>
  </conditionalFormatting>
  <conditionalFormatting sqref="E248:G248">
    <cfRule type="expression" dxfId="15604" priority="10149">
      <formula>E248&gt;G248+#REF!</formula>
    </cfRule>
  </conditionalFormatting>
  <conditionalFormatting sqref="E248:G250">
    <cfRule type="expression" dxfId="15603" priority="10154">
      <formula>E248&lt;G248-#REF!</formula>
    </cfRule>
  </conditionalFormatting>
  <conditionalFormatting sqref="E249:G249">
    <cfRule type="expression" dxfId="15602" priority="10148">
      <formula>E249&gt;G249+#REF!</formula>
    </cfRule>
  </conditionalFormatting>
  <conditionalFormatting sqref="E250:G250">
    <cfRule type="expression" dxfId="15601" priority="10147">
      <formula>E250&gt;G250+#REF!</formula>
    </cfRule>
  </conditionalFormatting>
  <conditionalFormatting sqref="E251:G251">
    <cfRule type="expression" dxfId="15600" priority="10146">
      <formula>E251&gt;G251+#REF!</formula>
    </cfRule>
  </conditionalFormatting>
  <conditionalFormatting sqref="E254:G254">
    <cfRule type="expression" dxfId="15599" priority="10144">
      <formula>E254&gt;G254+#REF!</formula>
    </cfRule>
  </conditionalFormatting>
  <conditionalFormatting sqref="E255:G255">
    <cfRule type="expression" dxfId="15598" priority="10143">
      <formula>E255&gt;G255+#REF!</formula>
    </cfRule>
  </conditionalFormatting>
  <conditionalFormatting sqref="E261:G261">
    <cfRule type="expression" dxfId="15597" priority="10150">
      <formula>E261&gt;G261*#REF!</formula>
    </cfRule>
  </conditionalFormatting>
  <conditionalFormatting sqref="E263:G264">
    <cfRule type="expression" dxfId="15596" priority="3722">
      <formula>E263&lt;G263*#REF!</formula>
    </cfRule>
    <cfRule type="expression" dxfId="15595" priority="3723">
      <formula>E263&gt;G263*#REF!</formula>
    </cfRule>
  </conditionalFormatting>
  <conditionalFormatting sqref="E265:G265">
    <cfRule type="expression" dxfId="15594" priority="3720">
      <formula>E265&gt;G265+#REF!</formula>
    </cfRule>
  </conditionalFormatting>
  <conditionalFormatting sqref="E265:G267">
    <cfRule type="expression" dxfId="15593" priority="3726">
      <formula>E265&lt;G265-#REF!</formula>
    </cfRule>
  </conditionalFormatting>
  <conditionalFormatting sqref="E266:G266">
    <cfRule type="expression" dxfId="15592" priority="3719">
      <formula>E266&gt;G266+#REF!</formula>
    </cfRule>
  </conditionalFormatting>
  <conditionalFormatting sqref="E267:G267">
    <cfRule type="expression" dxfId="15591" priority="3718">
      <formula>E267&gt;G267+#REF!</formula>
    </cfRule>
  </conditionalFormatting>
  <conditionalFormatting sqref="E268:G268">
    <cfRule type="expression" dxfId="15590" priority="3717">
      <formula>E268&gt;G268+#REF!</formula>
    </cfRule>
  </conditionalFormatting>
  <conditionalFormatting sqref="E271:G271">
    <cfRule type="expression" dxfId="15589" priority="3715">
      <formula>E271&gt;G271+#REF!</formula>
    </cfRule>
  </conditionalFormatting>
  <conditionalFormatting sqref="E272:G272">
    <cfRule type="expression" dxfId="15588" priority="3714">
      <formula>E272&gt;G272+#REF!</formula>
    </cfRule>
  </conditionalFormatting>
  <conditionalFormatting sqref="E278:G278">
    <cfRule type="expression" dxfId="15587" priority="3721">
      <formula>E278&gt;G278*#REF!</formula>
    </cfRule>
  </conditionalFormatting>
  <conditionalFormatting sqref="E280:G281">
    <cfRule type="expression" dxfId="15586" priority="4451">
      <formula>E280&lt;G280*#REF!</formula>
    </cfRule>
    <cfRule type="expression" dxfId="15585" priority="4452">
      <formula>E280&gt;G280*#REF!</formula>
    </cfRule>
  </conditionalFormatting>
  <conditionalFormatting sqref="E282:G282">
    <cfRule type="expression" dxfId="15584" priority="4449">
      <formula>E282&gt;G282+#REF!</formula>
    </cfRule>
  </conditionalFormatting>
  <conditionalFormatting sqref="E282:G284">
    <cfRule type="expression" dxfId="15583" priority="4454">
      <formula>E282&lt;G282-#REF!</formula>
    </cfRule>
  </conditionalFormatting>
  <conditionalFormatting sqref="E283:G283">
    <cfRule type="expression" dxfId="15582" priority="4448">
      <formula>E283&gt;G283+#REF!</formula>
    </cfRule>
  </conditionalFormatting>
  <conditionalFormatting sqref="E284:G284">
    <cfRule type="expression" dxfId="15581" priority="4447">
      <formula>E284&gt;G284+#REF!</formula>
    </cfRule>
  </conditionalFormatting>
  <conditionalFormatting sqref="E285:G285">
    <cfRule type="expression" dxfId="15580" priority="4446">
      <formula>E285&gt;G285+#REF!</formula>
    </cfRule>
  </conditionalFormatting>
  <conditionalFormatting sqref="E288:G288">
    <cfRule type="expression" dxfId="15579" priority="4444">
      <formula>E288&gt;G288+#REF!</formula>
    </cfRule>
  </conditionalFormatting>
  <conditionalFormatting sqref="E289:G289">
    <cfRule type="expression" dxfId="15578" priority="4443">
      <formula>E289&gt;G289+#REF!</formula>
    </cfRule>
  </conditionalFormatting>
  <conditionalFormatting sqref="E295:G295">
    <cfRule type="expression" dxfId="15577" priority="4450">
      <formula>E295&gt;G295*#REF!</formula>
    </cfRule>
  </conditionalFormatting>
  <conditionalFormatting sqref="E297:G298">
    <cfRule type="expression" dxfId="15576" priority="4269">
      <formula>E297&lt;G297*#REF!</formula>
    </cfRule>
    <cfRule type="expression" dxfId="15575" priority="4270">
      <formula>E297&gt;G297*#REF!</formula>
    </cfRule>
  </conditionalFormatting>
  <conditionalFormatting sqref="E299:G299">
    <cfRule type="expression" dxfId="15574" priority="4267">
      <formula>E299&gt;G299+#REF!</formula>
    </cfRule>
  </conditionalFormatting>
  <conditionalFormatting sqref="E299:G301">
    <cfRule type="expression" dxfId="15573" priority="4272">
      <formula>E299&lt;G299-#REF!</formula>
    </cfRule>
  </conditionalFormatting>
  <conditionalFormatting sqref="E300:G300">
    <cfRule type="expression" dxfId="15572" priority="4266">
      <formula>E300&gt;G300+#REF!</formula>
    </cfRule>
  </conditionalFormatting>
  <conditionalFormatting sqref="E301:G301">
    <cfRule type="expression" dxfId="15571" priority="4265">
      <formula>E301&gt;G301+#REF!</formula>
    </cfRule>
  </conditionalFormatting>
  <conditionalFormatting sqref="E302:G302">
    <cfRule type="expression" dxfId="15570" priority="4264">
      <formula>E302&gt;G302+#REF!</formula>
    </cfRule>
  </conditionalFormatting>
  <conditionalFormatting sqref="E305:G305">
    <cfRule type="expression" dxfId="15569" priority="4262">
      <formula>E305&gt;G305+#REF!</formula>
    </cfRule>
  </conditionalFormatting>
  <conditionalFormatting sqref="E306:G306">
    <cfRule type="expression" dxfId="15568" priority="4261">
      <formula>E306&gt;G306+#REF!</formula>
    </cfRule>
  </conditionalFormatting>
  <conditionalFormatting sqref="E312:G312">
    <cfRule type="expression" dxfId="15567" priority="4268">
      <formula>E312&gt;G312*#REF!</formula>
    </cfRule>
  </conditionalFormatting>
  <conditionalFormatting sqref="E314:G315">
    <cfRule type="expression" dxfId="15566" priority="4087">
      <formula>E314&lt;G314*#REF!</formula>
    </cfRule>
    <cfRule type="expression" dxfId="15565" priority="4088">
      <formula>E314&gt;G314*#REF!</formula>
    </cfRule>
  </conditionalFormatting>
  <conditionalFormatting sqref="E316:G316">
    <cfRule type="expression" dxfId="15564" priority="4085">
      <formula>E316&gt;G316+#REF!</formula>
    </cfRule>
  </conditionalFormatting>
  <conditionalFormatting sqref="E316:G318">
    <cfRule type="expression" dxfId="15563" priority="4090">
      <formula>E316&lt;G316-#REF!</formula>
    </cfRule>
  </conditionalFormatting>
  <conditionalFormatting sqref="E317:G317">
    <cfRule type="expression" dxfId="15562" priority="4084">
      <formula>E317&gt;G317+#REF!</formula>
    </cfRule>
  </conditionalFormatting>
  <conditionalFormatting sqref="E318:G318">
    <cfRule type="expression" dxfId="15561" priority="4083">
      <formula>E318&gt;G318+#REF!</formula>
    </cfRule>
  </conditionalFormatting>
  <conditionalFormatting sqref="E319:G319">
    <cfRule type="expression" dxfId="15560" priority="4082">
      <formula>E319&gt;G319+#REF!</formula>
    </cfRule>
  </conditionalFormatting>
  <conditionalFormatting sqref="E322:G322">
    <cfRule type="expression" dxfId="15559" priority="4080">
      <formula>E322&gt;G322+#REF!</formula>
    </cfRule>
  </conditionalFormatting>
  <conditionalFormatting sqref="E323:G323">
    <cfRule type="expression" dxfId="15558" priority="4079">
      <formula>E323&gt;G323+#REF!</formula>
    </cfRule>
  </conditionalFormatting>
  <conditionalFormatting sqref="E329:G329">
    <cfRule type="expression" dxfId="15557" priority="4086">
      <formula>E329&gt;G329*#REF!</formula>
    </cfRule>
  </conditionalFormatting>
  <conditionalFormatting sqref="E331:G332">
    <cfRule type="expression" dxfId="15556" priority="3905">
      <formula>E331&lt;G331*#REF!</formula>
    </cfRule>
    <cfRule type="expression" dxfId="15555" priority="3906">
      <formula>E331&gt;G331*#REF!</formula>
    </cfRule>
  </conditionalFormatting>
  <conditionalFormatting sqref="E333:G333">
    <cfRule type="expression" dxfId="15554" priority="3903">
      <formula>E333&gt;G333+#REF!</formula>
    </cfRule>
  </conditionalFormatting>
  <conditionalFormatting sqref="E333:G335">
    <cfRule type="expression" dxfId="15553" priority="3908">
      <formula>E333&lt;G333-#REF!</formula>
    </cfRule>
  </conditionalFormatting>
  <conditionalFormatting sqref="E334:G334">
    <cfRule type="expression" dxfId="15552" priority="3902">
      <formula>E334&gt;G334+#REF!</formula>
    </cfRule>
  </conditionalFormatting>
  <conditionalFormatting sqref="E335:G335">
    <cfRule type="expression" dxfId="15551" priority="3901">
      <formula>E335&gt;G335+#REF!</formula>
    </cfRule>
  </conditionalFormatting>
  <conditionalFormatting sqref="E336:G336">
    <cfRule type="expression" dxfId="15550" priority="3900">
      <formula>E336&gt;G336+#REF!</formula>
    </cfRule>
  </conditionalFormatting>
  <conditionalFormatting sqref="E339:G339">
    <cfRule type="expression" dxfId="15549" priority="3898">
      <formula>E339&gt;G339+#REF!</formula>
    </cfRule>
  </conditionalFormatting>
  <conditionalFormatting sqref="E340:G340">
    <cfRule type="expression" dxfId="15548" priority="3897">
      <formula>E340&gt;G340+#REF!</formula>
    </cfRule>
  </conditionalFormatting>
  <conditionalFormatting sqref="E346:G346">
    <cfRule type="expression" dxfId="15547" priority="3904">
      <formula>E346&gt;G346*#REF!</formula>
    </cfRule>
  </conditionalFormatting>
  <conditionalFormatting sqref="E348:G349">
    <cfRule type="expression" dxfId="15546" priority="4784">
      <formula>E348&lt;G348*#REF!</formula>
    </cfRule>
    <cfRule type="expression" dxfId="15545" priority="4785">
      <formula>E348&gt;G348*#REF!</formula>
    </cfRule>
  </conditionalFormatting>
  <conditionalFormatting sqref="E350:G350">
    <cfRule type="expression" dxfId="15544" priority="4782">
      <formula>E350&gt;G350+#REF!</formula>
    </cfRule>
  </conditionalFormatting>
  <conditionalFormatting sqref="E350:G352">
    <cfRule type="expression" dxfId="15543" priority="4788">
      <formula>E350&lt;G350-#REF!</formula>
    </cfRule>
  </conditionalFormatting>
  <conditionalFormatting sqref="E351:G351">
    <cfRule type="expression" dxfId="15542" priority="4781">
      <formula>E351&gt;G351+#REF!</formula>
    </cfRule>
  </conditionalFormatting>
  <conditionalFormatting sqref="E352:G352">
    <cfRule type="expression" dxfId="15541" priority="4780">
      <formula>E352&gt;G352+#REF!</formula>
    </cfRule>
  </conditionalFormatting>
  <conditionalFormatting sqref="E353:G353">
    <cfRule type="expression" dxfId="15540" priority="4779">
      <formula>E353&gt;G353+#REF!</formula>
    </cfRule>
  </conditionalFormatting>
  <conditionalFormatting sqref="E356:G356">
    <cfRule type="expression" dxfId="15539" priority="4777">
      <formula>E356&gt;G356+#REF!</formula>
    </cfRule>
  </conditionalFormatting>
  <conditionalFormatting sqref="E357:G357">
    <cfRule type="expression" dxfId="15538" priority="4776">
      <formula>E357&gt;G357+#REF!</formula>
    </cfRule>
  </conditionalFormatting>
  <conditionalFormatting sqref="E363:G363">
    <cfRule type="expression" dxfId="15537" priority="4783">
      <formula>E363&gt;G363*#REF!</formula>
    </cfRule>
  </conditionalFormatting>
  <conditionalFormatting sqref="F14:F15">
    <cfRule type="expression" dxfId="15536" priority="9845">
      <formula>F14&gt;H14+#REF!</formula>
    </cfRule>
    <cfRule type="expression" dxfId="15535" priority="9846">
      <formula>F14&lt;H14-#REF!</formula>
    </cfRule>
  </conditionalFormatting>
  <conditionalFormatting sqref="F18:F19">
    <cfRule type="expression" dxfId="15534" priority="9843">
      <formula>F18&gt;H18+#REF!</formula>
    </cfRule>
  </conditionalFormatting>
  <conditionalFormatting sqref="F18:F22">
    <cfRule type="expression" dxfId="15533" priority="9844">
      <formula>F18&lt;H18-#REF!</formula>
    </cfRule>
  </conditionalFormatting>
  <conditionalFormatting sqref="F20:F22">
    <cfRule type="expression" dxfId="15532" priority="9842">
      <formula>F20&gt;H20+#REF!</formula>
    </cfRule>
  </conditionalFormatting>
  <conditionalFormatting sqref="F31:F32">
    <cfRule type="expression" dxfId="15531" priority="6872">
      <formula>F31&gt;H31+#REF!</formula>
    </cfRule>
    <cfRule type="expression" dxfId="15530" priority="6873">
      <formula>F31&lt;H31-#REF!</formula>
    </cfRule>
  </conditionalFormatting>
  <conditionalFormatting sqref="F35:F36">
    <cfRule type="expression" dxfId="15529" priority="6870">
      <formula>F35&gt;H35+#REF!</formula>
    </cfRule>
  </conditionalFormatting>
  <conditionalFormatting sqref="F35:F39">
    <cfRule type="expression" dxfId="15528" priority="6871">
      <formula>F35&lt;H35-#REF!</formula>
    </cfRule>
  </conditionalFormatting>
  <conditionalFormatting sqref="F37:F39">
    <cfRule type="expression" dxfId="15527" priority="6869">
      <formula>F37&gt;H37+#REF!</formula>
    </cfRule>
  </conditionalFormatting>
  <conditionalFormatting sqref="F48:F49">
    <cfRule type="expression" dxfId="15526" priority="6697">
      <formula>F48&gt;H48+#REF!</formula>
    </cfRule>
    <cfRule type="expression" dxfId="15525" priority="6698">
      <formula>F48&lt;H48-#REF!</formula>
    </cfRule>
  </conditionalFormatting>
  <conditionalFormatting sqref="F52:F53">
    <cfRule type="expression" dxfId="15524" priority="6695">
      <formula>F52&gt;H52+#REF!</formula>
    </cfRule>
  </conditionalFormatting>
  <conditionalFormatting sqref="F52:F56">
    <cfRule type="expression" dxfId="15523" priority="6696">
      <formula>F52&lt;H52-#REF!</formula>
    </cfRule>
  </conditionalFormatting>
  <conditionalFormatting sqref="F54:F56">
    <cfRule type="expression" dxfId="15522" priority="6694">
      <formula>F54&gt;H54+#REF!</formula>
    </cfRule>
  </conditionalFormatting>
  <conditionalFormatting sqref="F65:F66">
    <cfRule type="expression" dxfId="15521" priority="6522">
      <formula>F65&gt;H65+#REF!</formula>
    </cfRule>
    <cfRule type="expression" dxfId="15520" priority="6523">
      <formula>F65&lt;H65-#REF!</formula>
    </cfRule>
  </conditionalFormatting>
  <conditionalFormatting sqref="F69:F70">
    <cfRule type="expression" dxfId="15519" priority="6520">
      <formula>F69&gt;H69+#REF!</formula>
    </cfRule>
  </conditionalFormatting>
  <conditionalFormatting sqref="F69:F73">
    <cfRule type="expression" dxfId="15518" priority="6521">
      <formula>F69&lt;H69-#REF!</formula>
    </cfRule>
  </conditionalFormatting>
  <conditionalFormatting sqref="F71:F73">
    <cfRule type="expression" dxfId="15517" priority="6519">
      <formula>F71&gt;H71+#REF!</formula>
    </cfRule>
  </conditionalFormatting>
  <conditionalFormatting sqref="F82:F83">
    <cfRule type="expression" dxfId="15516" priority="6347">
      <formula>F82&gt;H82+#REF!</formula>
    </cfRule>
    <cfRule type="expression" dxfId="15515" priority="6348">
      <formula>F82&lt;H82-#REF!</formula>
    </cfRule>
  </conditionalFormatting>
  <conditionalFormatting sqref="F86:F87">
    <cfRule type="expression" dxfId="15514" priority="6345">
      <formula>F86&gt;H86+#REF!</formula>
    </cfRule>
  </conditionalFormatting>
  <conditionalFormatting sqref="F86:F90">
    <cfRule type="expression" dxfId="15513" priority="6346">
      <formula>F86&lt;H86-#REF!</formula>
    </cfRule>
  </conditionalFormatting>
  <conditionalFormatting sqref="F88:F90">
    <cfRule type="expression" dxfId="15512" priority="6344">
      <formula>F88&gt;H88+#REF!</formula>
    </cfRule>
  </conditionalFormatting>
  <conditionalFormatting sqref="F99:F100">
    <cfRule type="expression" dxfId="15511" priority="6172">
      <formula>F99&gt;H99+#REF!</formula>
    </cfRule>
    <cfRule type="expression" dxfId="15510" priority="6173">
      <formula>F99&lt;H99-#REF!</formula>
    </cfRule>
  </conditionalFormatting>
  <conditionalFormatting sqref="F103:F104">
    <cfRule type="expression" dxfId="15509" priority="6170">
      <formula>F103&gt;H103+#REF!</formula>
    </cfRule>
  </conditionalFormatting>
  <conditionalFormatting sqref="F103:F107">
    <cfRule type="expression" dxfId="15508" priority="6171">
      <formula>F103&lt;H103-#REF!</formula>
    </cfRule>
  </conditionalFormatting>
  <conditionalFormatting sqref="F105:F107">
    <cfRule type="expression" dxfId="15507" priority="6169">
      <formula>F105&gt;H105+#REF!</formula>
    </cfRule>
  </conditionalFormatting>
  <conditionalFormatting sqref="F116:F117">
    <cfRule type="expression" dxfId="15506" priority="5997">
      <formula>F116&gt;H116+#REF!</formula>
    </cfRule>
    <cfRule type="expression" dxfId="15505" priority="5998">
      <formula>F116&lt;H116-#REF!</formula>
    </cfRule>
  </conditionalFormatting>
  <conditionalFormatting sqref="F120:F121">
    <cfRule type="expression" dxfId="15504" priority="5995">
      <formula>F120&gt;H120+#REF!</formula>
    </cfRule>
  </conditionalFormatting>
  <conditionalFormatting sqref="F120:F124">
    <cfRule type="expression" dxfId="15503" priority="5996">
      <formula>F120&lt;H120-#REF!</formula>
    </cfRule>
  </conditionalFormatting>
  <conditionalFormatting sqref="F122:F124">
    <cfRule type="expression" dxfId="15502" priority="5994">
      <formula>F122&gt;H122+#REF!</formula>
    </cfRule>
  </conditionalFormatting>
  <conditionalFormatting sqref="F167:F168">
    <cfRule type="expression" dxfId="15501" priority="5822">
      <formula>F167&gt;H167+#REF!</formula>
    </cfRule>
    <cfRule type="expression" dxfId="15500" priority="5823">
      <formula>F167&lt;H167-#REF!</formula>
    </cfRule>
  </conditionalFormatting>
  <conditionalFormatting sqref="F171:F172">
    <cfRule type="expression" dxfId="15499" priority="5820">
      <formula>F171&gt;H171+#REF!</formula>
    </cfRule>
  </conditionalFormatting>
  <conditionalFormatting sqref="F171:F175">
    <cfRule type="expression" dxfId="15498" priority="5821">
      <formula>F171&lt;H171-#REF!</formula>
    </cfRule>
  </conditionalFormatting>
  <conditionalFormatting sqref="F173:F175">
    <cfRule type="expression" dxfId="15497" priority="5819">
      <formula>F173&gt;H173+#REF!</formula>
    </cfRule>
  </conditionalFormatting>
  <conditionalFormatting sqref="F184:F185">
    <cfRule type="expression" dxfId="15496" priority="5647">
      <formula>F184&gt;H184+#REF!</formula>
    </cfRule>
    <cfRule type="expression" dxfId="15495" priority="5648">
      <formula>F184&lt;H184-#REF!</formula>
    </cfRule>
  </conditionalFormatting>
  <conditionalFormatting sqref="F188:F189">
    <cfRule type="expression" dxfId="15494" priority="5645">
      <formula>F188&gt;H188+#REF!</formula>
    </cfRule>
  </conditionalFormatting>
  <conditionalFormatting sqref="F188:F192">
    <cfRule type="expression" dxfId="15493" priority="5646">
      <formula>F188&lt;H188-#REF!</formula>
    </cfRule>
  </conditionalFormatting>
  <conditionalFormatting sqref="F190:F192">
    <cfRule type="expression" dxfId="15492" priority="5644">
      <formula>F190&gt;H190+#REF!</formula>
    </cfRule>
  </conditionalFormatting>
  <conditionalFormatting sqref="F201:F202">
    <cfRule type="expression" dxfId="15491" priority="5472">
      <formula>F201&gt;H201+#REF!</formula>
    </cfRule>
    <cfRule type="expression" dxfId="15490" priority="5473">
      <formula>F201&lt;H201-#REF!</formula>
    </cfRule>
  </conditionalFormatting>
  <conditionalFormatting sqref="F205:F206">
    <cfRule type="expression" dxfId="15489" priority="5470">
      <formula>F205&gt;H205+#REF!</formula>
    </cfRule>
  </conditionalFormatting>
  <conditionalFormatting sqref="F205:F209">
    <cfRule type="expression" dxfId="15488" priority="5471">
      <formula>F205&lt;H205-#REF!</formula>
    </cfRule>
  </conditionalFormatting>
  <conditionalFormatting sqref="F207:F209">
    <cfRule type="expression" dxfId="15487" priority="5469">
      <formula>F207&gt;H207+#REF!</formula>
    </cfRule>
  </conditionalFormatting>
  <conditionalFormatting sqref="F218:F219">
    <cfRule type="expression" dxfId="15486" priority="5297">
      <formula>F218&gt;H218+#REF!</formula>
    </cfRule>
    <cfRule type="expression" dxfId="15485" priority="5298">
      <formula>F218&lt;H218-#REF!</formula>
    </cfRule>
  </conditionalFormatting>
  <conditionalFormatting sqref="F222:F223">
    <cfRule type="expression" dxfId="15484" priority="5295">
      <formula>F222&gt;H222+#REF!</formula>
    </cfRule>
  </conditionalFormatting>
  <conditionalFormatting sqref="F222:F226">
    <cfRule type="expression" dxfId="15483" priority="5296">
      <formula>F222&lt;H222-#REF!</formula>
    </cfRule>
  </conditionalFormatting>
  <conditionalFormatting sqref="F224:F226">
    <cfRule type="expression" dxfId="15482" priority="5294">
      <formula>F224&gt;H224+#REF!</formula>
    </cfRule>
  </conditionalFormatting>
  <conditionalFormatting sqref="F235:F236">
    <cfRule type="expression" dxfId="15481" priority="5122">
      <formula>F235&gt;H235+#REF!</formula>
    </cfRule>
    <cfRule type="expression" dxfId="15480" priority="5123">
      <formula>F235&lt;H235-#REF!</formula>
    </cfRule>
  </conditionalFormatting>
  <conditionalFormatting sqref="F239:F240">
    <cfRule type="expression" dxfId="15479" priority="5120">
      <formula>F239&gt;H239+#REF!</formula>
    </cfRule>
  </conditionalFormatting>
  <conditionalFormatting sqref="F239:F243">
    <cfRule type="expression" dxfId="15478" priority="5121">
      <formula>F239&lt;H239-#REF!</formula>
    </cfRule>
  </conditionalFormatting>
  <conditionalFormatting sqref="F241:F243">
    <cfRule type="expression" dxfId="15477" priority="5119">
      <formula>F241&gt;H241+#REF!</formula>
    </cfRule>
  </conditionalFormatting>
  <conditionalFormatting sqref="F252:F253">
    <cfRule type="expression" dxfId="15476" priority="10139">
      <formula>F252&gt;H252+#REF!</formula>
    </cfRule>
    <cfRule type="expression" dxfId="15475" priority="10140">
      <formula>F252&lt;H252-#REF!</formula>
    </cfRule>
  </conditionalFormatting>
  <conditionalFormatting sqref="F256:F257">
    <cfRule type="expression" dxfId="15474" priority="10137">
      <formula>F256&gt;H256+#REF!</formula>
    </cfRule>
  </conditionalFormatting>
  <conditionalFormatting sqref="F256:F259">
    <cfRule type="expression" dxfId="15473" priority="10138">
      <formula>F256&lt;H256-#REF!</formula>
    </cfRule>
  </conditionalFormatting>
  <conditionalFormatting sqref="F258:F259">
    <cfRule type="expression" dxfId="15472" priority="10136">
      <formula>F258&gt;H258+#REF!</formula>
    </cfRule>
  </conditionalFormatting>
  <conditionalFormatting sqref="F260">
    <cfRule type="expression" dxfId="15471" priority="7923">
      <formula>F260&gt;H260+#REF!</formula>
    </cfRule>
  </conditionalFormatting>
  <conditionalFormatting sqref="F269:F270">
    <cfRule type="expression" dxfId="15470" priority="3710">
      <formula>F269&gt;H269+#REF!</formula>
    </cfRule>
    <cfRule type="expression" dxfId="15469" priority="3711">
      <formula>F269&lt;H269-#REF!</formula>
    </cfRule>
  </conditionalFormatting>
  <conditionalFormatting sqref="F273:F274">
    <cfRule type="expression" dxfId="15468" priority="3708">
      <formula>F273&gt;H273+#REF!</formula>
    </cfRule>
  </conditionalFormatting>
  <conditionalFormatting sqref="F273:F277">
    <cfRule type="expression" dxfId="15467" priority="3709">
      <formula>F273&lt;H273-#REF!</formula>
    </cfRule>
  </conditionalFormatting>
  <conditionalFormatting sqref="F275:F277">
    <cfRule type="expression" dxfId="15466" priority="3707">
      <formula>F275&gt;H275+#REF!</formula>
    </cfRule>
  </conditionalFormatting>
  <conditionalFormatting sqref="F286:F287">
    <cfRule type="expression" dxfId="15465" priority="4439">
      <formula>F286&gt;H286+#REF!</formula>
    </cfRule>
    <cfRule type="expression" dxfId="15464" priority="4440">
      <formula>F286&lt;H286-#REF!</formula>
    </cfRule>
  </conditionalFormatting>
  <conditionalFormatting sqref="F290:F291">
    <cfRule type="expression" dxfId="15463" priority="4437">
      <formula>F290&gt;H290+#REF!</formula>
    </cfRule>
  </conditionalFormatting>
  <conditionalFormatting sqref="F290:F293">
    <cfRule type="expression" dxfId="15462" priority="4438">
      <formula>F290&lt;H290-#REF!</formula>
    </cfRule>
  </conditionalFormatting>
  <conditionalFormatting sqref="F292:F293">
    <cfRule type="expression" dxfId="15461" priority="4436">
      <formula>F292&gt;H292+#REF!</formula>
    </cfRule>
  </conditionalFormatting>
  <conditionalFormatting sqref="F294">
    <cfRule type="expression" dxfId="15460" priority="4430">
      <formula>F294&gt;H294+#REF!</formula>
    </cfRule>
  </conditionalFormatting>
  <conditionalFormatting sqref="F303:F304">
    <cfRule type="expression" dxfId="15459" priority="4257">
      <formula>F303&gt;H303+#REF!</formula>
    </cfRule>
    <cfRule type="expression" dxfId="15458" priority="4258">
      <formula>F303&lt;H303-#REF!</formula>
    </cfRule>
  </conditionalFormatting>
  <conditionalFormatting sqref="F307:F308">
    <cfRule type="expression" dxfId="15457" priority="4255">
      <formula>F307&gt;H307+#REF!</formula>
    </cfRule>
  </conditionalFormatting>
  <conditionalFormatting sqref="F307:F310">
    <cfRule type="expression" dxfId="15456" priority="4256">
      <formula>F307&lt;H307-#REF!</formula>
    </cfRule>
  </conditionalFormatting>
  <conditionalFormatting sqref="F309:F310">
    <cfRule type="expression" dxfId="15455" priority="4254">
      <formula>F309&gt;H309+#REF!</formula>
    </cfRule>
  </conditionalFormatting>
  <conditionalFormatting sqref="F311">
    <cfRule type="expression" dxfId="15454" priority="4248">
      <formula>F311&gt;H311+#REF!</formula>
    </cfRule>
  </conditionalFormatting>
  <conditionalFormatting sqref="F320:F321">
    <cfRule type="expression" dxfId="15453" priority="4075">
      <formula>F320&gt;H320+#REF!</formula>
    </cfRule>
    <cfRule type="expression" dxfId="15452" priority="4076">
      <formula>F320&lt;H320-#REF!</formula>
    </cfRule>
  </conditionalFormatting>
  <conditionalFormatting sqref="F324:F325">
    <cfRule type="expression" dxfId="15451" priority="4073">
      <formula>F324&gt;H324+#REF!</formula>
    </cfRule>
  </conditionalFormatting>
  <conditionalFormatting sqref="F324:F327">
    <cfRule type="expression" dxfId="15450" priority="4074">
      <formula>F324&lt;H324-#REF!</formula>
    </cfRule>
  </conditionalFormatting>
  <conditionalFormatting sqref="F326:F327">
    <cfRule type="expression" dxfId="15449" priority="4072">
      <formula>F326&gt;H326+#REF!</formula>
    </cfRule>
  </conditionalFormatting>
  <conditionalFormatting sqref="F328">
    <cfRule type="expression" dxfId="15448" priority="4066">
      <formula>F328&gt;H328+#REF!</formula>
    </cfRule>
  </conditionalFormatting>
  <conditionalFormatting sqref="F337:F338">
    <cfRule type="expression" dxfId="15447" priority="3893">
      <formula>F337&gt;H337+#REF!</formula>
    </cfRule>
    <cfRule type="expression" dxfId="15446" priority="3894">
      <formula>F337&lt;H337-#REF!</formula>
    </cfRule>
  </conditionalFormatting>
  <conditionalFormatting sqref="F341:F342">
    <cfRule type="expression" dxfId="15445" priority="3891">
      <formula>F341&gt;H341+#REF!</formula>
    </cfRule>
  </conditionalFormatting>
  <conditionalFormatting sqref="F341:F344">
    <cfRule type="expression" dxfId="15444" priority="3892">
      <formula>F341&lt;H341-#REF!</formula>
    </cfRule>
  </conditionalFormatting>
  <conditionalFormatting sqref="F343:F344">
    <cfRule type="expression" dxfId="15443" priority="3890">
      <formula>F343&gt;H343+#REF!</formula>
    </cfRule>
  </conditionalFormatting>
  <conditionalFormatting sqref="F345">
    <cfRule type="expression" dxfId="15442" priority="3884">
      <formula>F345&gt;H345+#REF!</formula>
    </cfRule>
  </conditionalFormatting>
  <conditionalFormatting sqref="F354:F355">
    <cfRule type="expression" dxfId="15441" priority="4772">
      <formula>F354&gt;H354+#REF!</formula>
    </cfRule>
    <cfRule type="expression" dxfId="15440" priority="4773">
      <formula>F354&lt;H354-#REF!</formula>
    </cfRule>
  </conditionalFormatting>
  <conditionalFormatting sqref="F358:F359">
    <cfRule type="expression" dxfId="15439" priority="4770">
      <formula>F358&gt;H358+#REF!</formula>
    </cfRule>
  </conditionalFormatting>
  <conditionalFormatting sqref="F358:F362">
    <cfRule type="expression" dxfId="15438" priority="4771">
      <formula>F358&lt;H358-#REF!</formula>
    </cfRule>
  </conditionalFormatting>
  <conditionalFormatting sqref="F360:F362">
    <cfRule type="expression" dxfId="15437" priority="4769">
      <formula>F360&gt;H360+#REF!</formula>
    </cfRule>
  </conditionalFormatting>
  <conditionalFormatting sqref="G14:G15">
    <cfRule type="expression" dxfId="15436" priority="9840">
      <formula>G14&gt;I14+#REF!</formula>
    </cfRule>
    <cfRule type="expression" dxfId="15435" priority="9841">
      <formula>G14&lt;I14-#REF!</formula>
    </cfRule>
  </conditionalFormatting>
  <conditionalFormatting sqref="G18:G19">
    <cfRule type="expression" dxfId="15434" priority="9838">
      <formula>G18&gt;I18+#REF!</formula>
    </cfRule>
    <cfRule type="expression" dxfId="15433" priority="9839">
      <formula>G18&lt;I18-#REF!</formula>
    </cfRule>
  </conditionalFormatting>
  <conditionalFormatting sqref="G20:G22">
    <cfRule type="expression" dxfId="15432" priority="9837">
      <formula>G20&gt;I20+#REF!</formula>
    </cfRule>
  </conditionalFormatting>
  <conditionalFormatting sqref="G31:G32">
    <cfRule type="expression" dxfId="15431" priority="6867">
      <formula>G31&gt;I31+#REF!</formula>
    </cfRule>
    <cfRule type="expression" dxfId="15430" priority="6868">
      <formula>G31&lt;I31-#REF!</formula>
    </cfRule>
  </conditionalFormatting>
  <conditionalFormatting sqref="G35:G36">
    <cfRule type="expression" dxfId="15429" priority="6865">
      <formula>G35&gt;I35+#REF!</formula>
    </cfRule>
    <cfRule type="expression" dxfId="15428" priority="6866">
      <formula>G35&lt;I35-#REF!</formula>
    </cfRule>
  </conditionalFormatting>
  <conditionalFormatting sqref="G37:G39">
    <cfRule type="expression" dxfId="15427" priority="6864">
      <formula>G37&gt;I37+#REF!</formula>
    </cfRule>
  </conditionalFormatting>
  <conditionalFormatting sqref="G48:G49">
    <cfRule type="expression" dxfId="15426" priority="6692">
      <formula>G48&gt;I48+#REF!</formula>
    </cfRule>
    <cfRule type="expression" dxfId="15425" priority="6693">
      <formula>G48&lt;I48-#REF!</formula>
    </cfRule>
  </conditionalFormatting>
  <conditionalFormatting sqref="G52:G53">
    <cfRule type="expression" dxfId="15424" priority="6690">
      <formula>G52&gt;I52+#REF!</formula>
    </cfRule>
    <cfRule type="expression" dxfId="15423" priority="6691">
      <formula>G52&lt;I52-#REF!</formula>
    </cfRule>
  </conditionalFormatting>
  <conditionalFormatting sqref="G54:G56">
    <cfRule type="expression" dxfId="15422" priority="6689">
      <formula>G54&gt;I54+#REF!</formula>
    </cfRule>
  </conditionalFormatting>
  <conditionalFormatting sqref="G65:G66">
    <cfRule type="expression" dxfId="15421" priority="6517">
      <formula>G65&gt;I65+#REF!</formula>
    </cfRule>
    <cfRule type="expression" dxfId="15420" priority="6518">
      <formula>G65&lt;I65-#REF!</formula>
    </cfRule>
  </conditionalFormatting>
  <conditionalFormatting sqref="G69:G70">
    <cfRule type="expression" dxfId="15419" priority="6515">
      <formula>G69&gt;I69+#REF!</formula>
    </cfRule>
    <cfRule type="expression" dxfId="15418" priority="6516">
      <formula>G69&lt;I69-#REF!</formula>
    </cfRule>
  </conditionalFormatting>
  <conditionalFormatting sqref="G71:G73">
    <cfRule type="expression" dxfId="15417" priority="6514">
      <formula>G71&gt;I71+#REF!</formula>
    </cfRule>
  </conditionalFormatting>
  <conditionalFormatting sqref="G82:G83">
    <cfRule type="expression" dxfId="15416" priority="6342">
      <formula>G82&gt;I82+#REF!</formula>
    </cfRule>
    <cfRule type="expression" dxfId="15415" priority="6343">
      <formula>G82&lt;I82-#REF!</formula>
    </cfRule>
  </conditionalFormatting>
  <conditionalFormatting sqref="G86:G87">
    <cfRule type="expression" dxfId="15414" priority="6340">
      <formula>G86&gt;I86+#REF!</formula>
    </cfRule>
    <cfRule type="expression" dxfId="15413" priority="6341">
      <formula>G86&lt;I86-#REF!</formula>
    </cfRule>
  </conditionalFormatting>
  <conditionalFormatting sqref="G88:G90">
    <cfRule type="expression" dxfId="15412" priority="6339">
      <formula>G88&gt;I88+#REF!</formula>
    </cfRule>
  </conditionalFormatting>
  <conditionalFormatting sqref="G99:G100">
    <cfRule type="expression" dxfId="15411" priority="6167">
      <formula>G99&gt;I99+#REF!</formula>
    </cfRule>
    <cfRule type="expression" dxfId="15410" priority="6168">
      <formula>G99&lt;I99-#REF!</formula>
    </cfRule>
  </conditionalFormatting>
  <conditionalFormatting sqref="G103:G104">
    <cfRule type="expression" dxfId="15409" priority="6165">
      <formula>G103&gt;I103+#REF!</formula>
    </cfRule>
    <cfRule type="expression" dxfId="15408" priority="6166">
      <formula>G103&lt;I103-#REF!</formula>
    </cfRule>
  </conditionalFormatting>
  <conditionalFormatting sqref="G105:G107">
    <cfRule type="expression" dxfId="15407" priority="6164">
      <formula>G105&gt;I105+#REF!</formula>
    </cfRule>
  </conditionalFormatting>
  <conditionalFormatting sqref="G116:G117">
    <cfRule type="expression" dxfId="15406" priority="5992">
      <formula>G116&gt;I116+#REF!</formula>
    </cfRule>
    <cfRule type="expression" dxfId="15405" priority="5993">
      <formula>G116&lt;I116-#REF!</formula>
    </cfRule>
  </conditionalFormatting>
  <conditionalFormatting sqref="G120:G121">
    <cfRule type="expression" dxfId="15404" priority="5990">
      <formula>G120&gt;I120+#REF!</formula>
    </cfRule>
    <cfRule type="expression" dxfId="15403" priority="5991">
      <formula>G120&lt;I120-#REF!</formula>
    </cfRule>
  </conditionalFormatting>
  <conditionalFormatting sqref="G122:G124">
    <cfRule type="expression" dxfId="15402" priority="5989">
      <formula>G122&gt;I122+#REF!</formula>
    </cfRule>
  </conditionalFormatting>
  <conditionalFormatting sqref="G167:G168">
    <cfRule type="expression" dxfId="15401" priority="5817">
      <formula>G167&gt;I167+#REF!</formula>
    </cfRule>
    <cfRule type="expression" dxfId="15400" priority="5818">
      <formula>G167&lt;I167-#REF!</formula>
    </cfRule>
  </conditionalFormatting>
  <conditionalFormatting sqref="G171:G172">
    <cfRule type="expression" dxfId="15399" priority="5815">
      <formula>G171&gt;I171+#REF!</formula>
    </cfRule>
    <cfRule type="expression" dxfId="15398" priority="5816">
      <formula>G171&lt;I171-#REF!</formula>
    </cfRule>
  </conditionalFormatting>
  <conditionalFormatting sqref="G173:G175">
    <cfRule type="expression" dxfId="15397" priority="5814">
      <formula>G173&gt;I173+#REF!</formula>
    </cfRule>
  </conditionalFormatting>
  <conditionalFormatting sqref="G184:G185">
    <cfRule type="expression" dxfId="15396" priority="5642">
      <formula>G184&gt;I184+#REF!</formula>
    </cfRule>
    <cfRule type="expression" dxfId="15395" priority="5643">
      <formula>G184&lt;I184-#REF!</formula>
    </cfRule>
  </conditionalFormatting>
  <conditionalFormatting sqref="G188:G189">
    <cfRule type="expression" dxfId="15394" priority="5640">
      <formula>G188&gt;I188+#REF!</formula>
    </cfRule>
    <cfRule type="expression" dxfId="15393" priority="5641">
      <formula>G188&lt;I188-#REF!</formula>
    </cfRule>
  </conditionalFormatting>
  <conditionalFormatting sqref="G190:G192">
    <cfRule type="expression" dxfId="15392" priority="5639">
      <formula>G190&gt;I190+#REF!</formula>
    </cfRule>
  </conditionalFormatting>
  <conditionalFormatting sqref="G201:G202">
    <cfRule type="expression" dxfId="15391" priority="5467">
      <formula>G201&gt;I201+#REF!</formula>
    </cfRule>
    <cfRule type="expression" dxfId="15390" priority="5468">
      <formula>G201&lt;I201-#REF!</formula>
    </cfRule>
  </conditionalFormatting>
  <conditionalFormatting sqref="G205:G206">
    <cfRule type="expression" dxfId="15389" priority="5465">
      <formula>G205&gt;I205+#REF!</formula>
    </cfRule>
    <cfRule type="expression" dxfId="15388" priority="5466">
      <formula>G205&lt;I205-#REF!</formula>
    </cfRule>
  </conditionalFormatting>
  <conditionalFormatting sqref="G207:G209">
    <cfRule type="expression" dxfId="15387" priority="5464">
      <formula>G207&gt;I207+#REF!</formula>
    </cfRule>
  </conditionalFormatting>
  <conditionalFormatting sqref="G218:G219">
    <cfRule type="expression" dxfId="15386" priority="5292">
      <formula>G218&gt;I218+#REF!</formula>
    </cfRule>
    <cfRule type="expression" dxfId="15385" priority="5293">
      <formula>G218&lt;I218-#REF!</formula>
    </cfRule>
  </conditionalFormatting>
  <conditionalFormatting sqref="G222:G223">
    <cfRule type="expression" dxfId="15384" priority="5290">
      <formula>G222&gt;I222+#REF!</formula>
    </cfRule>
    <cfRule type="expression" dxfId="15383" priority="5291">
      <formula>G222&lt;I222-#REF!</formula>
    </cfRule>
  </conditionalFormatting>
  <conditionalFormatting sqref="G224:G226">
    <cfRule type="expression" dxfId="15382" priority="5289">
      <formula>G224&gt;I224+#REF!</formula>
    </cfRule>
  </conditionalFormatting>
  <conditionalFormatting sqref="G235:G236">
    <cfRule type="expression" dxfId="15381" priority="5117">
      <formula>G235&gt;I235+#REF!</formula>
    </cfRule>
    <cfRule type="expression" dxfId="15380" priority="5118">
      <formula>G235&lt;I235-#REF!</formula>
    </cfRule>
  </conditionalFormatting>
  <conditionalFormatting sqref="G239:G240">
    <cfRule type="expression" dxfId="15379" priority="5115">
      <formula>G239&gt;I239+#REF!</formula>
    </cfRule>
    <cfRule type="expression" dxfId="15378" priority="5116">
      <formula>G239&lt;I239-#REF!</formula>
    </cfRule>
  </conditionalFormatting>
  <conditionalFormatting sqref="G241:G243">
    <cfRule type="expression" dxfId="15377" priority="5114">
      <formula>G241&gt;I241+#REF!</formula>
    </cfRule>
  </conditionalFormatting>
  <conditionalFormatting sqref="G252:G253">
    <cfRule type="expression" dxfId="15376" priority="10134">
      <formula>G252&gt;I252+#REF!</formula>
    </cfRule>
    <cfRule type="expression" dxfId="15375" priority="10135">
      <formula>G252&lt;I252-#REF!</formula>
    </cfRule>
  </conditionalFormatting>
  <conditionalFormatting sqref="G256:G257">
    <cfRule type="expression" dxfId="15374" priority="10132">
      <formula>G256&gt;I256+#REF!</formula>
    </cfRule>
    <cfRule type="expression" dxfId="15373" priority="10133">
      <formula>G256&lt;I256-#REF!</formula>
    </cfRule>
  </conditionalFormatting>
  <conditionalFormatting sqref="G258:G259">
    <cfRule type="expression" dxfId="15372" priority="10131">
      <formula>G258&gt;I258+#REF!</formula>
    </cfRule>
  </conditionalFormatting>
  <conditionalFormatting sqref="G260">
    <cfRule type="expression" dxfId="15371" priority="7922">
      <formula>G260&gt;I260+#REF!</formula>
    </cfRule>
  </conditionalFormatting>
  <conditionalFormatting sqref="G269:G270">
    <cfRule type="expression" dxfId="15370" priority="3705">
      <formula>G269&gt;I269+#REF!</formula>
    </cfRule>
    <cfRule type="expression" dxfId="15369" priority="3706">
      <formula>G269&lt;I269-#REF!</formula>
    </cfRule>
  </conditionalFormatting>
  <conditionalFormatting sqref="G273:G274">
    <cfRule type="expression" dxfId="15368" priority="3703">
      <formula>G273&gt;I273+#REF!</formula>
    </cfRule>
    <cfRule type="expression" dxfId="15367" priority="3704">
      <formula>G273&lt;I273-#REF!</formula>
    </cfRule>
  </conditionalFormatting>
  <conditionalFormatting sqref="G275:G277">
    <cfRule type="expression" dxfId="15366" priority="3702">
      <formula>G275&gt;I275+#REF!</formula>
    </cfRule>
  </conditionalFormatting>
  <conditionalFormatting sqref="G286:G287">
    <cfRule type="expression" dxfId="15365" priority="4434">
      <formula>G286&gt;I286+#REF!</formula>
    </cfRule>
    <cfRule type="expression" dxfId="15364" priority="4435">
      <formula>G286&lt;I286-#REF!</formula>
    </cfRule>
  </conditionalFormatting>
  <conditionalFormatting sqref="G290:G291">
    <cfRule type="expression" dxfId="15363" priority="4432">
      <formula>G290&gt;I290+#REF!</formula>
    </cfRule>
    <cfRule type="expression" dxfId="15362" priority="4433">
      <formula>G290&lt;I290-#REF!</formula>
    </cfRule>
  </conditionalFormatting>
  <conditionalFormatting sqref="G292:G293">
    <cfRule type="expression" dxfId="15361" priority="4431">
      <formula>G292&gt;I292+#REF!</formula>
    </cfRule>
  </conditionalFormatting>
  <conditionalFormatting sqref="G294">
    <cfRule type="expression" dxfId="15360" priority="4429">
      <formula>G294&gt;I294+#REF!</formula>
    </cfRule>
  </conditionalFormatting>
  <conditionalFormatting sqref="G303:G304">
    <cfRule type="expression" dxfId="15359" priority="4252">
      <formula>G303&gt;I303+#REF!</formula>
    </cfRule>
    <cfRule type="expression" dxfId="15358" priority="4253">
      <formula>G303&lt;I303-#REF!</formula>
    </cfRule>
  </conditionalFormatting>
  <conditionalFormatting sqref="G307:G308">
    <cfRule type="expression" dxfId="15357" priority="4250">
      <formula>G307&gt;I307+#REF!</formula>
    </cfRule>
    <cfRule type="expression" dxfId="15356" priority="4251">
      <formula>G307&lt;I307-#REF!</formula>
    </cfRule>
  </conditionalFormatting>
  <conditionalFormatting sqref="G309:G310">
    <cfRule type="expression" dxfId="15355" priority="4249">
      <formula>G309&gt;I309+#REF!</formula>
    </cfRule>
  </conditionalFormatting>
  <conditionalFormatting sqref="G311">
    <cfRule type="expression" dxfId="15354" priority="4247">
      <formula>G311&gt;I311+#REF!</formula>
    </cfRule>
  </conditionalFormatting>
  <conditionalFormatting sqref="G320:G321">
    <cfRule type="expression" dxfId="15353" priority="4070">
      <formula>G320&gt;I320+#REF!</formula>
    </cfRule>
    <cfRule type="expression" dxfId="15352" priority="4071">
      <formula>G320&lt;I320-#REF!</formula>
    </cfRule>
  </conditionalFormatting>
  <conditionalFormatting sqref="G324:G325">
    <cfRule type="expression" dxfId="15351" priority="4068">
      <formula>G324&gt;I324+#REF!</formula>
    </cfRule>
    <cfRule type="expression" dxfId="15350" priority="4069">
      <formula>G324&lt;I324-#REF!</formula>
    </cfRule>
  </conditionalFormatting>
  <conditionalFormatting sqref="G326:G327">
    <cfRule type="expression" dxfId="15349" priority="4067">
      <formula>G326&gt;I326+#REF!</formula>
    </cfRule>
  </conditionalFormatting>
  <conditionalFormatting sqref="G328">
    <cfRule type="expression" dxfId="15348" priority="4065">
      <formula>G328&gt;I328+#REF!</formula>
    </cfRule>
  </conditionalFormatting>
  <conditionalFormatting sqref="G337:G338">
    <cfRule type="expression" dxfId="15347" priority="3888">
      <formula>G337&gt;I337+#REF!</formula>
    </cfRule>
    <cfRule type="expression" dxfId="15346" priority="3889">
      <formula>G337&lt;I337-#REF!</formula>
    </cfRule>
  </conditionalFormatting>
  <conditionalFormatting sqref="G341:G342">
    <cfRule type="expression" dxfId="15345" priority="3886">
      <formula>G341&gt;I341+#REF!</formula>
    </cfRule>
    <cfRule type="expression" dxfId="15344" priority="3887">
      <formula>G341&lt;I341-#REF!</formula>
    </cfRule>
  </conditionalFormatting>
  <conditionalFormatting sqref="G343:G344">
    <cfRule type="expression" dxfId="15343" priority="3885">
      <formula>G343&gt;I343+#REF!</formula>
    </cfRule>
  </conditionalFormatting>
  <conditionalFormatting sqref="G345">
    <cfRule type="expression" dxfId="15342" priority="3883">
      <formula>G345&gt;I345+#REF!</formula>
    </cfRule>
  </conditionalFormatting>
  <conditionalFormatting sqref="G354:G355">
    <cfRule type="expression" dxfId="15341" priority="4767">
      <formula>G354&gt;I354+#REF!</formula>
    </cfRule>
    <cfRule type="expression" dxfId="15340" priority="4768">
      <formula>G354&lt;I354-#REF!</formula>
    </cfRule>
  </conditionalFormatting>
  <conditionalFormatting sqref="G358:G359">
    <cfRule type="expression" dxfId="15339" priority="4765">
      <formula>G358&gt;I358+#REF!</formula>
    </cfRule>
    <cfRule type="expression" dxfId="15338" priority="4766">
      <formula>G358&lt;I358-#REF!</formula>
    </cfRule>
  </conditionalFormatting>
  <conditionalFormatting sqref="G360:G362">
    <cfRule type="expression" dxfId="15337" priority="4764">
      <formula>G360&gt;I360+#REF!</formula>
    </cfRule>
  </conditionalFormatting>
  <conditionalFormatting sqref="I14:I15">
    <cfRule type="expression" dxfId="15336" priority="7028">
      <formula>I14&gt;K14+#REF!</formula>
    </cfRule>
  </conditionalFormatting>
  <conditionalFormatting sqref="I18:I19">
    <cfRule type="expression" dxfId="15335" priority="7025">
      <formula>I18&gt;K18+#REF!</formula>
    </cfRule>
  </conditionalFormatting>
  <conditionalFormatting sqref="I20:I22">
    <cfRule type="expression" dxfId="15334" priority="7024">
      <formula>I20&gt;K20+#REF!</formula>
    </cfRule>
  </conditionalFormatting>
  <conditionalFormatting sqref="I31:I32">
    <cfRule type="expression" dxfId="15333" priority="6853">
      <formula>I31&gt;K31+#REF!</formula>
    </cfRule>
  </conditionalFormatting>
  <conditionalFormatting sqref="I35:I36">
    <cfRule type="expression" dxfId="15332" priority="6850">
      <formula>I35&gt;K35+#REF!</formula>
    </cfRule>
  </conditionalFormatting>
  <conditionalFormatting sqref="I37:I39">
    <cfRule type="expression" dxfId="15331" priority="6849">
      <formula>I37&gt;K37+#REF!</formula>
    </cfRule>
  </conditionalFormatting>
  <conditionalFormatting sqref="I48:I49">
    <cfRule type="expression" dxfId="15330" priority="6678">
      <formula>I48&gt;K48+#REF!</formula>
    </cfRule>
  </conditionalFormatting>
  <conditionalFormatting sqref="I52:I53">
    <cfRule type="expression" dxfId="15329" priority="6675">
      <formula>I52&gt;K52+#REF!</formula>
    </cfRule>
  </conditionalFormatting>
  <conditionalFormatting sqref="I54:I56">
    <cfRule type="expression" dxfId="15328" priority="6674">
      <formula>I54&gt;K54+#REF!</formula>
    </cfRule>
  </conditionalFormatting>
  <conditionalFormatting sqref="I65:I66">
    <cfRule type="expression" dxfId="15327" priority="6503">
      <formula>I65&gt;K65+#REF!</formula>
    </cfRule>
  </conditionalFormatting>
  <conditionalFormatting sqref="I69:I70">
    <cfRule type="expression" dxfId="15326" priority="6500">
      <formula>I69&gt;K69+#REF!</formula>
    </cfRule>
  </conditionalFormatting>
  <conditionalFormatting sqref="I71:I73">
    <cfRule type="expression" dxfId="15325" priority="6499">
      <formula>I71&gt;K71+#REF!</formula>
    </cfRule>
  </conditionalFormatting>
  <conditionalFormatting sqref="I82:I83">
    <cfRule type="expression" dxfId="15324" priority="6328">
      <formula>I82&gt;K82+#REF!</formula>
    </cfRule>
  </conditionalFormatting>
  <conditionalFormatting sqref="I86:I87">
    <cfRule type="expression" dxfId="15323" priority="6325">
      <formula>I86&gt;K86+#REF!</formula>
    </cfRule>
  </conditionalFormatting>
  <conditionalFormatting sqref="I88:I90">
    <cfRule type="expression" dxfId="15322" priority="6324">
      <formula>I88&gt;K88+#REF!</formula>
    </cfRule>
  </conditionalFormatting>
  <conditionalFormatting sqref="I99:I100">
    <cfRule type="expression" dxfId="15321" priority="6153">
      <formula>I99&gt;K99+#REF!</formula>
    </cfRule>
  </conditionalFormatting>
  <conditionalFormatting sqref="I103:I104">
    <cfRule type="expression" dxfId="15320" priority="6150">
      <formula>I103&gt;K103+#REF!</formula>
    </cfRule>
  </conditionalFormatting>
  <conditionalFormatting sqref="I105:I107">
    <cfRule type="expression" dxfId="15319" priority="6149">
      <formula>I105&gt;K105+#REF!</formula>
    </cfRule>
  </conditionalFormatting>
  <conditionalFormatting sqref="I116:I117">
    <cfRule type="expression" dxfId="15318" priority="5978">
      <formula>I116&gt;K116+#REF!</formula>
    </cfRule>
  </conditionalFormatting>
  <conditionalFormatting sqref="I120:I121">
    <cfRule type="expression" dxfId="15317" priority="5975">
      <formula>I120&gt;K120+#REF!</formula>
    </cfRule>
  </conditionalFormatting>
  <conditionalFormatting sqref="I122:I124">
    <cfRule type="expression" dxfId="15316" priority="5974">
      <formula>I122&gt;K122+#REF!</formula>
    </cfRule>
  </conditionalFormatting>
  <conditionalFormatting sqref="I167:I168">
    <cfRule type="expression" dxfId="15315" priority="5803">
      <formula>I167&gt;K167+#REF!</formula>
    </cfRule>
  </conditionalFormatting>
  <conditionalFormatting sqref="I171:I172">
    <cfRule type="expression" dxfId="15314" priority="5800">
      <formula>I171&gt;K171+#REF!</formula>
    </cfRule>
  </conditionalFormatting>
  <conditionalFormatting sqref="I173:I175">
    <cfRule type="expression" dxfId="15313" priority="5799">
      <formula>I173&gt;K173+#REF!</formula>
    </cfRule>
  </conditionalFormatting>
  <conditionalFormatting sqref="I184:I185">
    <cfRule type="expression" dxfId="15312" priority="5628">
      <formula>I184&gt;K184+#REF!</formula>
    </cfRule>
  </conditionalFormatting>
  <conditionalFormatting sqref="I188:I189">
    <cfRule type="expression" dxfId="15311" priority="5625">
      <formula>I188&gt;K188+#REF!</formula>
    </cfRule>
  </conditionalFormatting>
  <conditionalFormatting sqref="I190:I192">
    <cfRule type="expression" dxfId="15310" priority="5624">
      <formula>I190&gt;K190+#REF!</formula>
    </cfRule>
  </conditionalFormatting>
  <conditionalFormatting sqref="I201:I202">
    <cfRule type="expression" dxfId="15309" priority="5453">
      <formula>I201&gt;K201+#REF!</formula>
    </cfRule>
  </conditionalFormatting>
  <conditionalFormatting sqref="I205:I206">
    <cfRule type="expression" dxfId="15308" priority="5450">
      <formula>I205&gt;K205+#REF!</formula>
    </cfRule>
  </conditionalFormatting>
  <conditionalFormatting sqref="I207:I209">
    <cfRule type="expression" dxfId="15307" priority="5449">
      <formula>I207&gt;K207+#REF!</formula>
    </cfRule>
  </conditionalFormatting>
  <conditionalFormatting sqref="I218:I219">
    <cfRule type="expression" dxfId="15306" priority="5278">
      <formula>I218&gt;K218+#REF!</formula>
    </cfRule>
  </conditionalFormatting>
  <conditionalFormatting sqref="I222:I223">
    <cfRule type="expression" dxfId="15305" priority="5275">
      <formula>I222&gt;K222+#REF!</formula>
    </cfRule>
  </conditionalFormatting>
  <conditionalFormatting sqref="I224:I226">
    <cfRule type="expression" dxfId="15304" priority="5274">
      <formula>I224&gt;K224+#REF!</formula>
    </cfRule>
  </conditionalFormatting>
  <conditionalFormatting sqref="I235:I236">
    <cfRule type="expression" dxfId="15303" priority="5103">
      <formula>I235&gt;K235+#REF!</formula>
    </cfRule>
  </conditionalFormatting>
  <conditionalFormatting sqref="I239:I240">
    <cfRule type="expression" dxfId="15302" priority="5100">
      <formula>I239&gt;K239+#REF!</formula>
    </cfRule>
  </conditionalFormatting>
  <conditionalFormatting sqref="I241:I243">
    <cfRule type="expression" dxfId="15301" priority="5099">
      <formula>I241&gt;K241+#REF!</formula>
    </cfRule>
  </conditionalFormatting>
  <conditionalFormatting sqref="I252:I253">
    <cfRule type="expression" dxfId="15300" priority="4604">
      <formula>I252&gt;K252+#REF!</formula>
    </cfRule>
  </conditionalFormatting>
  <conditionalFormatting sqref="I256:I257">
    <cfRule type="expression" dxfId="15299" priority="4601">
      <formula>I256&gt;K256+#REF!</formula>
    </cfRule>
  </conditionalFormatting>
  <conditionalFormatting sqref="I258:I260">
    <cfRule type="expression" dxfId="15298" priority="4600">
      <formula>I258&gt;K258+#REF!</formula>
    </cfRule>
  </conditionalFormatting>
  <conditionalFormatting sqref="I269:I270">
    <cfRule type="expression" dxfId="15297" priority="3691">
      <formula>I269&gt;K269+#REF!</formula>
    </cfRule>
  </conditionalFormatting>
  <conditionalFormatting sqref="I273:I274">
    <cfRule type="expression" dxfId="15296" priority="3688">
      <formula>I273&gt;K273+#REF!</formula>
    </cfRule>
  </conditionalFormatting>
  <conditionalFormatting sqref="I275:I277">
    <cfRule type="expression" dxfId="15295" priority="3687">
      <formula>I275&gt;K275+#REF!</formula>
    </cfRule>
  </conditionalFormatting>
  <conditionalFormatting sqref="I303:I304">
    <cfRule type="expression" dxfId="15294" priority="4237">
      <formula>I303&gt;K303+#REF!</formula>
    </cfRule>
  </conditionalFormatting>
  <conditionalFormatting sqref="I307:I308">
    <cfRule type="expression" dxfId="15293" priority="4234">
      <formula>I307&gt;K307+#REF!</formula>
    </cfRule>
  </conditionalFormatting>
  <conditionalFormatting sqref="I309:I311">
    <cfRule type="expression" dxfId="15292" priority="4233">
      <formula>I309&gt;K309+#REF!</formula>
    </cfRule>
  </conditionalFormatting>
  <conditionalFormatting sqref="I320:I321">
    <cfRule type="expression" dxfId="15291" priority="4055">
      <formula>I320&gt;K320+#REF!</formula>
    </cfRule>
  </conditionalFormatting>
  <conditionalFormatting sqref="I324:I325">
    <cfRule type="expression" dxfId="15290" priority="4052">
      <formula>I324&gt;K324+#REF!</formula>
    </cfRule>
  </conditionalFormatting>
  <conditionalFormatting sqref="I326:I328">
    <cfRule type="expression" dxfId="15289" priority="4051">
      <formula>I326&gt;K326+#REF!</formula>
    </cfRule>
  </conditionalFormatting>
  <conditionalFormatting sqref="I337:I338">
    <cfRule type="expression" dxfId="15288" priority="3873">
      <formula>I337&gt;K337+#REF!</formula>
    </cfRule>
  </conditionalFormatting>
  <conditionalFormatting sqref="I341:I342">
    <cfRule type="expression" dxfId="15287" priority="3870">
      <formula>I341&gt;K341+#REF!</formula>
    </cfRule>
  </conditionalFormatting>
  <conditionalFormatting sqref="I343:I345">
    <cfRule type="expression" dxfId="15286" priority="3869">
      <formula>I343&gt;K343+#REF!</formula>
    </cfRule>
  </conditionalFormatting>
  <conditionalFormatting sqref="I354:I355">
    <cfRule type="expression" dxfId="15285" priority="4753">
      <formula>I354&gt;K354+#REF!</formula>
    </cfRule>
  </conditionalFormatting>
  <conditionalFormatting sqref="I358:I359">
    <cfRule type="expression" dxfId="15284" priority="4750">
      <formula>I358&gt;K358+#REF!</formula>
    </cfRule>
  </conditionalFormatting>
  <conditionalFormatting sqref="I360:I362">
    <cfRule type="expression" dxfId="15283" priority="4749">
      <formula>I360&gt;K360+#REF!</formula>
    </cfRule>
  </conditionalFormatting>
  <conditionalFormatting sqref="I8:K9">
    <cfRule type="expression" dxfId="15282" priority="7034">
      <formula>I8&lt;K8*#REF!</formula>
    </cfRule>
    <cfRule type="expression" dxfId="15281" priority="7035">
      <formula>I8&gt;K8*#REF!</formula>
    </cfRule>
  </conditionalFormatting>
  <conditionalFormatting sqref="I10:K10">
    <cfRule type="expression" dxfId="15280" priority="7032">
      <formula>I10&gt;K10+#REF!</formula>
    </cfRule>
  </conditionalFormatting>
  <conditionalFormatting sqref="I10:K12">
    <cfRule type="expression" dxfId="15279" priority="7038">
      <formula>I10&lt;K10-#REF!</formula>
    </cfRule>
  </conditionalFormatting>
  <conditionalFormatting sqref="I11:K11">
    <cfRule type="expression" dxfId="15278" priority="7031">
      <formula>I11&gt;K11+#REF!</formula>
    </cfRule>
  </conditionalFormatting>
  <conditionalFormatting sqref="I12:K12">
    <cfRule type="expression" dxfId="15277" priority="7030">
      <formula>I12&gt;K12+#REF!</formula>
    </cfRule>
  </conditionalFormatting>
  <conditionalFormatting sqref="I13:K13">
    <cfRule type="expression" dxfId="15276" priority="7029">
      <formula>I13&gt;K13+#REF!</formula>
    </cfRule>
  </conditionalFormatting>
  <conditionalFormatting sqref="I16:K16">
    <cfRule type="expression" dxfId="15275" priority="7027">
      <formula>I16&gt;K16+#REF!</formula>
    </cfRule>
  </conditionalFormatting>
  <conditionalFormatting sqref="I17:K17">
    <cfRule type="expression" dxfId="15274" priority="7026">
      <formula>I17&gt;K17+#REF!</formula>
    </cfRule>
  </conditionalFormatting>
  <conditionalFormatting sqref="I23:K23">
    <cfRule type="expression" dxfId="15273" priority="7033">
      <formula>I23&gt;K23*#REF!</formula>
    </cfRule>
  </conditionalFormatting>
  <conditionalFormatting sqref="I25:K26">
    <cfRule type="expression" dxfId="15272" priority="6859">
      <formula>I25&lt;K25*#REF!</formula>
    </cfRule>
    <cfRule type="expression" dxfId="15271" priority="6860">
      <formula>I25&gt;K25*#REF!</formula>
    </cfRule>
  </conditionalFormatting>
  <conditionalFormatting sqref="I27:K27">
    <cfRule type="expression" dxfId="15270" priority="6857">
      <formula>I27&gt;K27+#REF!</formula>
    </cfRule>
  </conditionalFormatting>
  <conditionalFormatting sqref="I27:K29">
    <cfRule type="expression" dxfId="15269" priority="6863">
      <formula>I27&lt;K27-#REF!</formula>
    </cfRule>
  </conditionalFormatting>
  <conditionalFormatting sqref="I28:K28">
    <cfRule type="expression" dxfId="15268" priority="6856">
      <formula>I28&gt;K28+#REF!</formula>
    </cfRule>
  </conditionalFormatting>
  <conditionalFormatting sqref="I29:K29">
    <cfRule type="expression" dxfId="15267" priority="6855">
      <formula>I29&gt;K29+#REF!</formula>
    </cfRule>
  </conditionalFormatting>
  <conditionalFormatting sqref="I30:K30">
    <cfRule type="expression" dxfId="15266" priority="6854">
      <formula>I30&gt;K30+#REF!</formula>
    </cfRule>
  </conditionalFormatting>
  <conditionalFormatting sqref="I33:K33">
    <cfRule type="expression" dxfId="15265" priority="6852">
      <formula>I33&gt;K33+#REF!</formula>
    </cfRule>
  </conditionalFormatting>
  <conditionalFormatting sqref="I34:K34">
    <cfRule type="expression" dxfId="15264" priority="6851">
      <formula>I34&gt;K34+#REF!</formula>
    </cfRule>
  </conditionalFormatting>
  <conditionalFormatting sqref="I40:K40">
    <cfRule type="expression" dxfId="15263" priority="6858">
      <formula>I40&gt;K40*#REF!</formula>
    </cfRule>
  </conditionalFormatting>
  <conditionalFormatting sqref="I42:K43">
    <cfRule type="expression" dxfId="15262" priority="6684">
      <formula>I42&lt;K42*#REF!</formula>
    </cfRule>
    <cfRule type="expression" dxfId="15261" priority="6685">
      <formula>I42&gt;K42*#REF!</formula>
    </cfRule>
  </conditionalFormatting>
  <conditionalFormatting sqref="I44:K44">
    <cfRule type="expression" dxfId="15260" priority="6682">
      <formula>I44&gt;K44+#REF!</formula>
    </cfRule>
  </conditionalFormatting>
  <conditionalFormatting sqref="I44:K46">
    <cfRule type="expression" dxfId="15259" priority="6688">
      <formula>I44&lt;K44-#REF!</formula>
    </cfRule>
  </conditionalFormatting>
  <conditionalFormatting sqref="I45:K45">
    <cfRule type="expression" dxfId="15258" priority="6681">
      <formula>I45&gt;K45+#REF!</formula>
    </cfRule>
  </conditionalFormatting>
  <conditionalFormatting sqref="I46:K46">
    <cfRule type="expression" dxfId="15257" priority="6680">
      <formula>I46&gt;K46+#REF!</formula>
    </cfRule>
  </conditionalFormatting>
  <conditionalFormatting sqref="I47:K47">
    <cfRule type="expression" dxfId="15256" priority="6679">
      <formula>I47&gt;K47+#REF!</formula>
    </cfRule>
  </conditionalFormatting>
  <conditionalFormatting sqref="I50:K50">
    <cfRule type="expression" dxfId="15255" priority="6677">
      <formula>I50&gt;K50+#REF!</formula>
    </cfRule>
  </conditionalFormatting>
  <conditionalFormatting sqref="I51:K51">
    <cfRule type="expression" dxfId="15254" priority="6676">
      <formula>I51&gt;K51+#REF!</formula>
    </cfRule>
  </conditionalFormatting>
  <conditionalFormatting sqref="I57:K57">
    <cfRule type="expression" dxfId="15253" priority="6683">
      <formula>I57&gt;K57*#REF!</formula>
    </cfRule>
  </conditionalFormatting>
  <conditionalFormatting sqref="I59:K60">
    <cfRule type="expression" dxfId="15252" priority="6509">
      <formula>I59&lt;K59*#REF!</formula>
    </cfRule>
    <cfRule type="expression" dxfId="15251" priority="6510">
      <formula>I59&gt;K59*#REF!</formula>
    </cfRule>
  </conditionalFormatting>
  <conditionalFormatting sqref="I61:K61">
    <cfRule type="expression" dxfId="15250" priority="6507">
      <formula>I61&gt;K61+#REF!</formula>
    </cfRule>
  </conditionalFormatting>
  <conditionalFormatting sqref="I61:K63">
    <cfRule type="expression" dxfId="15249" priority="6513">
      <formula>I61&lt;K61-#REF!</formula>
    </cfRule>
  </conditionalFormatting>
  <conditionalFormatting sqref="I62:K62">
    <cfRule type="expression" dxfId="15248" priority="6506">
      <formula>I62&gt;K62+#REF!</formula>
    </cfRule>
  </conditionalFormatting>
  <conditionalFormatting sqref="I63:K63">
    <cfRule type="expression" dxfId="15247" priority="6505">
      <formula>I63&gt;K63+#REF!</formula>
    </cfRule>
  </conditionalFormatting>
  <conditionalFormatting sqref="I64:K64">
    <cfRule type="expression" dxfId="15246" priority="6504">
      <formula>I64&gt;K64+#REF!</formula>
    </cfRule>
  </conditionalFormatting>
  <conditionalFormatting sqref="I67:K67">
    <cfRule type="expression" dxfId="15245" priority="6502">
      <formula>I67&gt;K67+#REF!</formula>
    </cfRule>
  </conditionalFormatting>
  <conditionalFormatting sqref="I68:K68">
    <cfRule type="expression" dxfId="15244" priority="6501">
      <formula>I68&gt;K68+#REF!</formula>
    </cfRule>
  </conditionalFormatting>
  <conditionalFormatting sqref="I74:K74">
    <cfRule type="expression" dxfId="15243" priority="6508">
      <formula>I74&gt;K74*#REF!</formula>
    </cfRule>
  </conditionalFormatting>
  <conditionalFormatting sqref="I76:K77">
    <cfRule type="expression" dxfId="15242" priority="6334">
      <formula>I76&lt;K76*#REF!</formula>
    </cfRule>
    <cfRule type="expression" dxfId="15241" priority="6335">
      <formula>I76&gt;K76*#REF!</formula>
    </cfRule>
  </conditionalFormatting>
  <conditionalFormatting sqref="I78:K78">
    <cfRule type="expression" dxfId="15240" priority="6332">
      <formula>I78&gt;K78+#REF!</formula>
    </cfRule>
  </conditionalFormatting>
  <conditionalFormatting sqref="I78:K80">
    <cfRule type="expression" dxfId="15239" priority="6338">
      <formula>I78&lt;K78-#REF!</formula>
    </cfRule>
  </conditionalFormatting>
  <conditionalFormatting sqref="I79:K79">
    <cfRule type="expression" dxfId="15238" priority="6331">
      <formula>I79&gt;K79+#REF!</formula>
    </cfRule>
  </conditionalFormatting>
  <conditionalFormatting sqref="I80:K80">
    <cfRule type="expression" dxfId="15237" priority="6330">
      <formula>I80&gt;K80+#REF!</formula>
    </cfRule>
  </conditionalFormatting>
  <conditionalFormatting sqref="I81:K81">
    <cfRule type="expression" dxfId="15236" priority="6329">
      <formula>I81&gt;K81+#REF!</formula>
    </cfRule>
  </conditionalFormatting>
  <conditionalFormatting sqref="I84:K84">
    <cfRule type="expression" dxfId="15235" priority="6327">
      <formula>I84&gt;K84+#REF!</formula>
    </cfRule>
  </conditionalFormatting>
  <conditionalFormatting sqref="I85:K85">
    <cfRule type="expression" dxfId="15234" priority="6326">
      <formula>I85&gt;K85+#REF!</formula>
    </cfRule>
  </conditionalFormatting>
  <conditionalFormatting sqref="I91:K91">
    <cfRule type="expression" dxfId="15233" priority="6333">
      <formula>I91&gt;K91*#REF!</formula>
    </cfRule>
  </conditionalFormatting>
  <conditionalFormatting sqref="I93:K94">
    <cfRule type="expression" dxfId="15232" priority="6159">
      <formula>I93&lt;K93*#REF!</formula>
    </cfRule>
    <cfRule type="expression" dxfId="15231" priority="6160">
      <formula>I93&gt;K93*#REF!</formula>
    </cfRule>
  </conditionalFormatting>
  <conditionalFormatting sqref="I95:K95">
    <cfRule type="expression" dxfId="15230" priority="6157">
      <formula>I95&gt;K95+#REF!</formula>
    </cfRule>
  </conditionalFormatting>
  <conditionalFormatting sqref="I95:K97">
    <cfRule type="expression" dxfId="15229" priority="6163">
      <formula>I95&lt;K95-#REF!</formula>
    </cfRule>
  </conditionalFormatting>
  <conditionalFormatting sqref="I96:K96">
    <cfRule type="expression" dxfId="15228" priority="6156">
      <formula>I96&gt;K96+#REF!</formula>
    </cfRule>
  </conditionalFormatting>
  <conditionalFormatting sqref="I97:K97">
    <cfRule type="expression" dxfId="15227" priority="6155">
      <formula>I97&gt;K97+#REF!</formula>
    </cfRule>
  </conditionalFormatting>
  <conditionalFormatting sqref="I98:K98">
    <cfRule type="expression" dxfId="15226" priority="6154">
      <formula>I98&gt;K98+#REF!</formula>
    </cfRule>
  </conditionalFormatting>
  <conditionalFormatting sqref="I101:K101">
    <cfRule type="expression" dxfId="15225" priority="6152">
      <formula>I101&gt;K101+#REF!</formula>
    </cfRule>
  </conditionalFormatting>
  <conditionalFormatting sqref="I102:K102">
    <cfRule type="expression" dxfId="15224" priority="6151">
      <formula>I102&gt;K102+#REF!</formula>
    </cfRule>
  </conditionalFormatting>
  <conditionalFormatting sqref="I108:K108">
    <cfRule type="expression" dxfId="15223" priority="6158">
      <formula>I108&gt;K108*#REF!</formula>
    </cfRule>
  </conditionalFormatting>
  <conditionalFormatting sqref="I110:K111">
    <cfRule type="expression" dxfId="15222" priority="5984">
      <formula>I110&lt;K110*#REF!</formula>
    </cfRule>
    <cfRule type="expression" dxfId="15221" priority="5985">
      <formula>I110&gt;K110*#REF!</formula>
    </cfRule>
  </conditionalFormatting>
  <conditionalFormatting sqref="I112:K112">
    <cfRule type="expression" dxfId="15220" priority="5982">
      <formula>I112&gt;K112+#REF!</formula>
    </cfRule>
  </conditionalFormatting>
  <conditionalFormatting sqref="I112:K114">
    <cfRule type="expression" dxfId="15219" priority="5988">
      <formula>I112&lt;K112-#REF!</formula>
    </cfRule>
  </conditionalFormatting>
  <conditionalFormatting sqref="I113:K113">
    <cfRule type="expression" dxfId="15218" priority="5981">
      <formula>I113&gt;K113+#REF!</formula>
    </cfRule>
  </conditionalFormatting>
  <conditionalFormatting sqref="I114:K114">
    <cfRule type="expression" dxfId="15217" priority="5980">
      <formula>I114&gt;K114+#REF!</formula>
    </cfRule>
  </conditionalFormatting>
  <conditionalFormatting sqref="I115:K115">
    <cfRule type="expression" dxfId="15216" priority="5979">
      <formula>I115&gt;K115+#REF!</formula>
    </cfRule>
  </conditionalFormatting>
  <conditionalFormatting sqref="I118:K118">
    <cfRule type="expression" dxfId="15215" priority="5977">
      <formula>I118&gt;K118+#REF!</formula>
    </cfRule>
  </conditionalFormatting>
  <conditionalFormatting sqref="I119:K119">
    <cfRule type="expression" dxfId="15214" priority="5976">
      <formula>I119&gt;K119+#REF!</formula>
    </cfRule>
  </conditionalFormatting>
  <conditionalFormatting sqref="I125:K125">
    <cfRule type="expression" dxfId="15213" priority="5983">
      <formula>I125&gt;K125*#REF!</formula>
    </cfRule>
  </conditionalFormatting>
  <conditionalFormatting sqref="I161:K162">
    <cfRule type="expression" dxfId="15212" priority="5809">
      <formula>I161&lt;K161*#REF!</formula>
    </cfRule>
    <cfRule type="expression" dxfId="15211" priority="5810">
      <formula>I161&gt;K161*#REF!</formula>
    </cfRule>
  </conditionalFormatting>
  <conditionalFormatting sqref="I163:K163">
    <cfRule type="expression" dxfId="15210" priority="5807">
      <formula>I163&gt;K163+#REF!</formula>
    </cfRule>
  </conditionalFormatting>
  <conditionalFormatting sqref="I163:K165">
    <cfRule type="expression" dxfId="15209" priority="5813">
      <formula>I163&lt;K163-#REF!</formula>
    </cfRule>
  </conditionalFormatting>
  <conditionalFormatting sqref="I164:K164">
    <cfRule type="expression" dxfId="15208" priority="5806">
      <formula>I164&gt;K164+#REF!</formula>
    </cfRule>
  </conditionalFormatting>
  <conditionalFormatting sqref="I165:K165">
    <cfRule type="expression" dxfId="15207" priority="5805">
      <formula>I165&gt;K165+#REF!</formula>
    </cfRule>
  </conditionalFormatting>
  <conditionalFormatting sqref="I166:K166">
    <cfRule type="expression" dxfId="15206" priority="5804">
      <formula>I166&gt;K166+#REF!</formula>
    </cfRule>
  </conditionalFormatting>
  <conditionalFormatting sqref="I169:K169">
    <cfRule type="expression" dxfId="15205" priority="5802">
      <formula>I169&gt;K169+#REF!</formula>
    </cfRule>
  </conditionalFormatting>
  <conditionalFormatting sqref="I170:K170">
    <cfRule type="expression" dxfId="15204" priority="5801">
      <formula>I170&gt;K170+#REF!</formula>
    </cfRule>
  </conditionalFormatting>
  <conditionalFormatting sqref="I176:K176">
    <cfRule type="expression" dxfId="15203" priority="5808">
      <formula>I176&gt;K176*#REF!</formula>
    </cfRule>
  </conditionalFormatting>
  <conditionalFormatting sqref="I178:K179">
    <cfRule type="expression" dxfId="15202" priority="5634">
      <formula>I178&lt;K178*#REF!</formula>
    </cfRule>
    <cfRule type="expression" dxfId="15201" priority="5635">
      <formula>I178&gt;K178*#REF!</formula>
    </cfRule>
  </conditionalFormatting>
  <conditionalFormatting sqref="I180:K180">
    <cfRule type="expression" dxfId="15200" priority="5632">
      <formula>I180&gt;K180+#REF!</formula>
    </cfRule>
  </conditionalFormatting>
  <conditionalFormatting sqref="I180:K182">
    <cfRule type="expression" dxfId="15199" priority="5638">
      <formula>I180&lt;K180-#REF!</formula>
    </cfRule>
  </conditionalFormatting>
  <conditionalFormatting sqref="I181:K181">
    <cfRule type="expression" dxfId="15198" priority="5631">
      <formula>I181&gt;K181+#REF!</formula>
    </cfRule>
  </conditionalFormatting>
  <conditionalFormatting sqref="I182:K182">
    <cfRule type="expression" dxfId="15197" priority="5630">
      <formula>I182&gt;K182+#REF!</formula>
    </cfRule>
  </conditionalFormatting>
  <conditionalFormatting sqref="I183:K183">
    <cfRule type="expression" dxfId="15196" priority="5629">
      <formula>I183&gt;K183+#REF!</formula>
    </cfRule>
  </conditionalFormatting>
  <conditionalFormatting sqref="I186:K186">
    <cfRule type="expression" dxfId="15195" priority="5627">
      <formula>I186&gt;K186+#REF!</formula>
    </cfRule>
  </conditionalFormatting>
  <conditionalFormatting sqref="I187:K187">
    <cfRule type="expression" dxfId="15194" priority="5626">
      <formula>I187&gt;K187+#REF!</formula>
    </cfRule>
  </conditionalFormatting>
  <conditionalFormatting sqref="I193:K193">
    <cfRule type="expression" dxfId="15193" priority="5633">
      <formula>I193&gt;K193*#REF!</formula>
    </cfRule>
  </conditionalFormatting>
  <conditionalFormatting sqref="I195:K196">
    <cfRule type="expression" dxfId="15192" priority="5459">
      <formula>I195&lt;K195*#REF!</formula>
    </cfRule>
    <cfRule type="expression" dxfId="15191" priority="5460">
      <formula>I195&gt;K195*#REF!</formula>
    </cfRule>
  </conditionalFormatting>
  <conditionalFormatting sqref="I197:K197">
    <cfRule type="expression" dxfId="15190" priority="5457">
      <formula>I197&gt;K197+#REF!</formula>
    </cfRule>
  </conditionalFormatting>
  <conditionalFormatting sqref="I197:K199">
    <cfRule type="expression" dxfId="15189" priority="5463">
      <formula>I197&lt;K197-#REF!</formula>
    </cfRule>
  </conditionalFormatting>
  <conditionalFormatting sqref="I198:K198">
    <cfRule type="expression" dxfId="15188" priority="5456">
      <formula>I198&gt;K198+#REF!</formula>
    </cfRule>
  </conditionalFormatting>
  <conditionalFormatting sqref="I199:K199">
    <cfRule type="expression" dxfId="15187" priority="5455">
      <formula>I199&gt;K199+#REF!</formula>
    </cfRule>
  </conditionalFormatting>
  <conditionalFormatting sqref="I200:K200">
    <cfRule type="expression" dxfId="15186" priority="5454">
      <formula>I200&gt;K200+#REF!</formula>
    </cfRule>
  </conditionalFormatting>
  <conditionalFormatting sqref="I203:K203">
    <cfRule type="expression" dxfId="15185" priority="5452">
      <formula>I203&gt;K203+#REF!</formula>
    </cfRule>
  </conditionalFormatting>
  <conditionalFormatting sqref="I204:K204">
    <cfRule type="expression" dxfId="15184" priority="5451">
      <formula>I204&gt;K204+#REF!</formula>
    </cfRule>
  </conditionalFormatting>
  <conditionalFormatting sqref="I210:K210">
    <cfRule type="expression" dxfId="15183" priority="5458">
      <formula>I210&gt;K210*#REF!</formula>
    </cfRule>
  </conditionalFormatting>
  <conditionalFormatting sqref="I212:K213">
    <cfRule type="expression" dxfId="15182" priority="5284">
      <formula>I212&lt;K212*#REF!</formula>
    </cfRule>
    <cfRule type="expression" dxfId="15181" priority="5285">
      <formula>I212&gt;K212*#REF!</formula>
    </cfRule>
  </conditionalFormatting>
  <conditionalFormatting sqref="I214:K214">
    <cfRule type="expression" dxfId="15180" priority="5282">
      <formula>I214&gt;K214+#REF!</formula>
    </cfRule>
  </conditionalFormatting>
  <conditionalFormatting sqref="I214:K216">
    <cfRule type="expression" dxfId="15179" priority="5288">
      <formula>I214&lt;K214-#REF!</formula>
    </cfRule>
  </conditionalFormatting>
  <conditionalFormatting sqref="I215:K215">
    <cfRule type="expression" dxfId="15178" priority="5281">
      <formula>I215&gt;K215+#REF!</formula>
    </cfRule>
  </conditionalFormatting>
  <conditionalFormatting sqref="I216:K216">
    <cfRule type="expression" dxfId="15177" priority="5280">
      <formula>I216&gt;K216+#REF!</formula>
    </cfRule>
  </conditionalFormatting>
  <conditionalFormatting sqref="I217:K217">
    <cfRule type="expression" dxfId="15176" priority="5279">
      <formula>I217&gt;K217+#REF!</formula>
    </cfRule>
  </conditionalFormatting>
  <conditionalFormatting sqref="I220:K220">
    <cfRule type="expression" dxfId="15175" priority="5277">
      <formula>I220&gt;K220+#REF!</formula>
    </cfRule>
  </conditionalFormatting>
  <conditionalFormatting sqref="I221:K221">
    <cfRule type="expression" dxfId="15174" priority="5276">
      <formula>I221&gt;K221+#REF!</formula>
    </cfRule>
  </conditionalFormatting>
  <conditionalFormatting sqref="I227:K227">
    <cfRule type="expression" dxfId="15173" priority="5283">
      <formula>I227&gt;K227*#REF!</formula>
    </cfRule>
  </conditionalFormatting>
  <conditionalFormatting sqref="I229:K230">
    <cfRule type="expression" dxfId="15172" priority="5109">
      <formula>I229&lt;K229*#REF!</formula>
    </cfRule>
    <cfRule type="expression" dxfId="15171" priority="5110">
      <formula>I229&gt;K229*#REF!</formula>
    </cfRule>
  </conditionalFormatting>
  <conditionalFormatting sqref="I231:K231">
    <cfRule type="expression" dxfId="15170" priority="5107">
      <formula>I231&gt;K231+#REF!</formula>
    </cfRule>
  </conditionalFormatting>
  <conditionalFormatting sqref="I231:K233">
    <cfRule type="expression" dxfId="15169" priority="5113">
      <formula>I231&lt;K231-#REF!</formula>
    </cfRule>
  </conditionalFormatting>
  <conditionalFormatting sqref="I232:K232">
    <cfRule type="expression" dxfId="15168" priority="5106">
      <formula>I232&gt;K232+#REF!</formula>
    </cfRule>
  </conditionalFormatting>
  <conditionalFormatting sqref="I233:K233">
    <cfRule type="expression" dxfId="15167" priority="5105">
      <formula>I233&gt;K233+#REF!</formula>
    </cfRule>
  </conditionalFormatting>
  <conditionalFormatting sqref="I234:K234">
    <cfRule type="expression" dxfId="15166" priority="5104">
      <formula>I234&gt;K234+#REF!</formula>
    </cfRule>
  </conditionalFormatting>
  <conditionalFormatting sqref="I237:K237">
    <cfRule type="expression" dxfId="15165" priority="5102">
      <formula>I237&gt;K237+#REF!</formula>
    </cfRule>
  </conditionalFormatting>
  <conditionalFormatting sqref="I238:K238">
    <cfRule type="expression" dxfId="15164" priority="5101">
      <formula>I238&gt;K238+#REF!</formula>
    </cfRule>
  </conditionalFormatting>
  <conditionalFormatting sqref="I244:K244">
    <cfRule type="expression" dxfId="15163" priority="5108">
      <formula>I244&gt;K244*#REF!</formula>
    </cfRule>
  </conditionalFormatting>
  <conditionalFormatting sqref="I246:K247">
    <cfRule type="expression" dxfId="15162" priority="4610">
      <formula>I246&lt;K246*#REF!</formula>
    </cfRule>
    <cfRule type="expression" dxfId="15161" priority="4611">
      <formula>I246&gt;K246*#REF!</formula>
    </cfRule>
  </conditionalFormatting>
  <conditionalFormatting sqref="I248:K248">
    <cfRule type="expression" dxfId="15160" priority="4608">
      <formula>I248&gt;K248+#REF!</formula>
    </cfRule>
  </conditionalFormatting>
  <conditionalFormatting sqref="I248:K250">
    <cfRule type="expression" dxfId="15159" priority="4613">
      <formula>I248&lt;K248-#REF!</formula>
    </cfRule>
  </conditionalFormatting>
  <conditionalFormatting sqref="I249:K249">
    <cfRule type="expression" dxfId="15158" priority="4607">
      <formula>I249&gt;K249+#REF!</formula>
    </cfRule>
  </conditionalFormatting>
  <conditionalFormatting sqref="I250:K250">
    <cfRule type="expression" dxfId="15157" priority="4606">
      <formula>I250&gt;K250+#REF!</formula>
    </cfRule>
  </conditionalFormatting>
  <conditionalFormatting sqref="I251:K251">
    <cfRule type="expression" dxfId="15156" priority="4605">
      <formula>I251&gt;K251+#REF!</formula>
    </cfRule>
  </conditionalFormatting>
  <conditionalFormatting sqref="I254:K254">
    <cfRule type="expression" dxfId="15155" priority="4603">
      <formula>I254&gt;K254+#REF!</formula>
    </cfRule>
  </conditionalFormatting>
  <conditionalFormatting sqref="I255:K255">
    <cfRule type="expression" dxfId="15154" priority="4602">
      <formula>I255&gt;K255+#REF!</formula>
    </cfRule>
  </conditionalFormatting>
  <conditionalFormatting sqref="I261:K261">
    <cfRule type="expression" dxfId="15153" priority="4609">
      <formula>I261&gt;K261*#REF!</formula>
    </cfRule>
  </conditionalFormatting>
  <conditionalFormatting sqref="I263:K264">
    <cfRule type="expression" dxfId="15152" priority="3697">
      <formula>I263&lt;K263*#REF!</formula>
    </cfRule>
    <cfRule type="expression" dxfId="15151" priority="3698">
      <formula>I263&gt;K263*#REF!</formula>
    </cfRule>
  </conditionalFormatting>
  <conditionalFormatting sqref="I265:K265">
    <cfRule type="expression" dxfId="15150" priority="3695">
      <formula>I265&gt;K265+#REF!</formula>
    </cfRule>
  </conditionalFormatting>
  <conditionalFormatting sqref="I265:K267">
    <cfRule type="expression" dxfId="15149" priority="3701">
      <formula>I265&lt;K265-#REF!</formula>
    </cfRule>
  </conditionalFormatting>
  <conditionalFormatting sqref="I266:K266">
    <cfRule type="expression" dxfId="15148" priority="3694">
      <formula>I266&gt;K266+#REF!</formula>
    </cfRule>
  </conditionalFormatting>
  <conditionalFormatting sqref="I267:K267">
    <cfRule type="expression" dxfId="15147" priority="3693">
      <formula>I267&gt;K267+#REF!</formula>
    </cfRule>
  </conditionalFormatting>
  <conditionalFormatting sqref="I268:K268">
    <cfRule type="expression" dxfId="15146" priority="3692">
      <formula>I268&gt;K268+#REF!</formula>
    </cfRule>
  </conditionalFormatting>
  <conditionalFormatting sqref="I271:K271">
    <cfRule type="expression" dxfId="15145" priority="3690">
      <formula>I271&gt;K271+#REF!</formula>
    </cfRule>
  </conditionalFormatting>
  <conditionalFormatting sqref="I272:K272">
    <cfRule type="expression" dxfId="15144" priority="3689">
      <formula>I272&gt;K272+#REF!</formula>
    </cfRule>
  </conditionalFormatting>
  <conditionalFormatting sqref="I278:K278">
    <cfRule type="expression" dxfId="15143" priority="3696">
      <formula>I278&gt;K278*#REF!</formula>
    </cfRule>
  </conditionalFormatting>
  <conditionalFormatting sqref="I297:K298">
    <cfRule type="expression" dxfId="15142" priority="4243">
      <formula>I297&lt;K297*#REF!</formula>
    </cfRule>
    <cfRule type="expression" dxfId="15141" priority="4244">
      <formula>I297&gt;K297*#REF!</formula>
    </cfRule>
  </conditionalFormatting>
  <conditionalFormatting sqref="I299:K299">
    <cfRule type="expression" dxfId="15140" priority="4241">
      <formula>I299&gt;K299+#REF!</formula>
    </cfRule>
  </conditionalFormatting>
  <conditionalFormatting sqref="I299:K301">
    <cfRule type="expression" dxfId="15139" priority="4246">
      <formula>I299&lt;K299-#REF!</formula>
    </cfRule>
  </conditionalFormatting>
  <conditionalFormatting sqref="I300:K300">
    <cfRule type="expression" dxfId="15138" priority="4240">
      <formula>I300&gt;K300+#REF!</formula>
    </cfRule>
  </conditionalFormatting>
  <conditionalFormatting sqref="I301:K301">
    <cfRule type="expression" dxfId="15137" priority="4239">
      <formula>I301&gt;K301+#REF!</formula>
    </cfRule>
  </conditionalFormatting>
  <conditionalFormatting sqref="I302:K302">
    <cfRule type="expression" dxfId="15136" priority="4238">
      <formula>I302&gt;K302+#REF!</formula>
    </cfRule>
  </conditionalFormatting>
  <conditionalFormatting sqref="I305:K305">
    <cfRule type="expression" dxfId="15135" priority="4236">
      <formula>I305&gt;K305+#REF!</formula>
    </cfRule>
  </conditionalFormatting>
  <conditionalFormatting sqref="I306:K306">
    <cfRule type="expression" dxfId="15134" priority="4235">
      <formula>I306&gt;K306+#REF!</formula>
    </cfRule>
  </conditionalFormatting>
  <conditionalFormatting sqref="I312:K312">
    <cfRule type="expression" dxfId="15133" priority="4242">
      <formula>I312&gt;K312*#REF!</formula>
    </cfRule>
  </conditionalFormatting>
  <conditionalFormatting sqref="I314:K315">
    <cfRule type="expression" dxfId="15132" priority="4061">
      <formula>I314&lt;K314*#REF!</formula>
    </cfRule>
    <cfRule type="expression" dxfId="15131" priority="4062">
      <formula>I314&gt;K314*#REF!</formula>
    </cfRule>
  </conditionalFormatting>
  <conditionalFormatting sqref="I316:K316">
    <cfRule type="expression" dxfId="15130" priority="4059">
      <formula>I316&gt;K316+#REF!</formula>
    </cfRule>
  </conditionalFormatting>
  <conditionalFormatting sqref="I316:K318">
    <cfRule type="expression" dxfId="15129" priority="4064">
      <formula>I316&lt;K316-#REF!</formula>
    </cfRule>
  </conditionalFormatting>
  <conditionalFormatting sqref="I317:K317">
    <cfRule type="expression" dxfId="15128" priority="4058">
      <formula>I317&gt;K317+#REF!</formula>
    </cfRule>
  </conditionalFormatting>
  <conditionalFormatting sqref="I318:K318">
    <cfRule type="expression" dxfId="15127" priority="4057">
      <formula>I318&gt;K318+#REF!</formula>
    </cfRule>
  </conditionalFormatting>
  <conditionalFormatting sqref="I319:K319">
    <cfRule type="expression" dxfId="15126" priority="4056">
      <formula>I319&gt;K319+#REF!</formula>
    </cfRule>
  </conditionalFormatting>
  <conditionalFormatting sqref="I322:K322">
    <cfRule type="expression" dxfId="15125" priority="4054">
      <formula>I322&gt;K322+#REF!</formula>
    </cfRule>
  </conditionalFormatting>
  <conditionalFormatting sqref="I323:K323">
    <cfRule type="expression" dxfId="15124" priority="4053">
      <formula>I323&gt;K323+#REF!</formula>
    </cfRule>
  </conditionalFormatting>
  <conditionalFormatting sqref="I329:K329">
    <cfRule type="expression" dxfId="15123" priority="4060">
      <formula>I329&gt;K329*#REF!</formula>
    </cfRule>
  </conditionalFormatting>
  <conditionalFormatting sqref="I331:K332">
    <cfRule type="expression" dxfId="15122" priority="3879">
      <formula>I331&lt;K331*#REF!</formula>
    </cfRule>
    <cfRule type="expression" dxfId="15121" priority="3880">
      <formula>I331&gt;K331*#REF!</formula>
    </cfRule>
  </conditionalFormatting>
  <conditionalFormatting sqref="I333:K333">
    <cfRule type="expression" dxfId="15120" priority="3877">
      <formula>I333&gt;K333+#REF!</formula>
    </cfRule>
  </conditionalFormatting>
  <conditionalFormatting sqref="I333:K335">
    <cfRule type="expression" dxfId="15119" priority="3882">
      <formula>I333&lt;K333-#REF!</formula>
    </cfRule>
  </conditionalFormatting>
  <conditionalFormatting sqref="I334:K334">
    <cfRule type="expression" dxfId="15118" priority="3876">
      <formula>I334&gt;K334+#REF!</formula>
    </cfRule>
  </conditionalFormatting>
  <conditionalFormatting sqref="I335:K335">
    <cfRule type="expression" dxfId="15117" priority="3875">
      <formula>I335&gt;K335+#REF!</formula>
    </cfRule>
  </conditionalFormatting>
  <conditionalFormatting sqref="I336:K336">
    <cfRule type="expression" dxfId="15116" priority="3874">
      <formula>I336&gt;K336+#REF!</formula>
    </cfRule>
  </conditionalFormatting>
  <conditionalFormatting sqref="I339:K339">
    <cfRule type="expression" dxfId="15115" priority="3872">
      <formula>I339&gt;K339+#REF!</formula>
    </cfRule>
  </conditionalFormatting>
  <conditionalFormatting sqref="I340:K340">
    <cfRule type="expression" dxfId="15114" priority="3871">
      <formula>I340&gt;K340+#REF!</formula>
    </cfRule>
  </conditionalFormatting>
  <conditionalFormatting sqref="I346:K346">
    <cfRule type="expression" dxfId="15113" priority="3878">
      <formula>I346&gt;K346*#REF!</formula>
    </cfRule>
  </conditionalFormatting>
  <conditionalFormatting sqref="I348:K349">
    <cfRule type="expression" dxfId="15112" priority="4759">
      <formula>I348&lt;K348*#REF!</formula>
    </cfRule>
    <cfRule type="expression" dxfId="15111" priority="4760">
      <formula>I348&gt;K348*#REF!</formula>
    </cfRule>
  </conditionalFormatting>
  <conditionalFormatting sqref="I350:K350">
    <cfRule type="expression" dxfId="15110" priority="4757">
      <formula>I350&gt;K350+#REF!</formula>
    </cfRule>
  </conditionalFormatting>
  <conditionalFormatting sqref="I350:K352">
    <cfRule type="expression" dxfId="15109" priority="4763">
      <formula>I350&lt;K350-#REF!</formula>
    </cfRule>
  </conditionalFormatting>
  <conditionalFormatting sqref="I351:K351">
    <cfRule type="expression" dxfId="15108" priority="4756">
      <formula>I351&gt;K351+#REF!</formula>
    </cfRule>
  </conditionalFormatting>
  <conditionalFormatting sqref="I352:K352">
    <cfRule type="expression" dxfId="15107" priority="4755">
      <formula>I352&gt;K352+#REF!</formula>
    </cfRule>
  </conditionalFormatting>
  <conditionalFormatting sqref="I353:K353">
    <cfRule type="expression" dxfId="15106" priority="4754">
      <formula>I353&gt;K353+#REF!</formula>
    </cfRule>
  </conditionalFormatting>
  <conditionalFormatting sqref="I356:K356">
    <cfRule type="expression" dxfId="15105" priority="4752">
      <formula>I356&gt;K356+#REF!</formula>
    </cfRule>
  </conditionalFormatting>
  <conditionalFormatting sqref="I357:K357">
    <cfRule type="expression" dxfId="15104" priority="4751">
      <formula>I357&gt;K357+#REF!</formula>
    </cfRule>
  </conditionalFormatting>
  <conditionalFormatting sqref="I363:K363">
    <cfRule type="expression" dxfId="15103" priority="4758">
      <formula>I363&gt;K363*#REF!</formula>
    </cfRule>
  </conditionalFormatting>
  <conditionalFormatting sqref="J14:J15">
    <cfRule type="expression" dxfId="15102" priority="7022">
      <formula>J14&gt;L14+#REF!</formula>
    </cfRule>
    <cfRule type="expression" dxfId="15101" priority="7023">
      <formula>J14&lt;L14-#REF!</formula>
    </cfRule>
  </conditionalFormatting>
  <conditionalFormatting sqref="J18:J19">
    <cfRule type="expression" dxfId="15100" priority="7020">
      <formula>J18&gt;L18+#REF!</formula>
    </cfRule>
  </conditionalFormatting>
  <conditionalFormatting sqref="J18:J22">
    <cfRule type="expression" dxfId="15099" priority="7021">
      <formula>J18&lt;L18-#REF!</formula>
    </cfRule>
  </conditionalFormatting>
  <conditionalFormatting sqref="J20:J22">
    <cfRule type="expression" dxfId="15098" priority="7019">
      <formula>J20&gt;L20+#REF!</formula>
    </cfRule>
  </conditionalFormatting>
  <conditionalFormatting sqref="J31:J32">
    <cfRule type="expression" dxfId="15097" priority="6847">
      <formula>J31&gt;L31+#REF!</formula>
    </cfRule>
    <cfRule type="expression" dxfId="15096" priority="6848">
      <formula>J31&lt;L31-#REF!</formula>
    </cfRule>
  </conditionalFormatting>
  <conditionalFormatting sqref="J35:J36">
    <cfRule type="expression" dxfId="15095" priority="6845">
      <formula>J35&gt;L35+#REF!</formula>
    </cfRule>
  </conditionalFormatting>
  <conditionalFormatting sqref="J35:J39">
    <cfRule type="expression" dxfId="15094" priority="6846">
      <formula>J35&lt;L35-#REF!</formula>
    </cfRule>
  </conditionalFormatting>
  <conditionalFormatting sqref="J37:J39">
    <cfRule type="expression" dxfId="15093" priority="6844">
      <formula>J37&gt;L37+#REF!</formula>
    </cfRule>
  </conditionalFormatting>
  <conditionalFormatting sqref="J48:J49">
    <cfRule type="expression" dxfId="15092" priority="6672">
      <formula>J48&gt;L48+#REF!</formula>
    </cfRule>
    <cfRule type="expression" dxfId="15091" priority="6673">
      <formula>J48&lt;L48-#REF!</formula>
    </cfRule>
  </conditionalFormatting>
  <conditionalFormatting sqref="J52:J53">
    <cfRule type="expression" dxfId="15090" priority="6670">
      <formula>J52&gt;L52+#REF!</formula>
    </cfRule>
  </conditionalFormatting>
  <conditionalFormatting sqref="J52:J56">
    <cfRule type="expression" dxfId="15089" priority="6671">
      <formula>J52&lt;L52-#REF!</formula>
    </cfRule>
  </conditionalFormatting>
  <conditionalFormatting sqref="J54:J56">
    <cfRule type="expression" dxfId="15088" priority="6669">
      <formula>J54&gt;L54+#REF!</formula>
    </cfRule>
  </conditionalFormatting>
  <conditionalFormatting sqref="J65:J66">
    <cfRule type="expression" dxfId="15087" priority="6497">
      <formula>J65&gt;L65+#REF!</formula>
    </cfRule>
    <cfRule type="expression" dxfId="15086" priority="6498">
      <formula>J65&lt;L65-#REF!</formula>
    </cfRule>
  </conditionalFormatting>
  <conditionalFormatting sqref="J69:J70">
    <cfRule type="expression" dxfId="15085" priority="6495">
      <formula>J69&gt;L69+#REF!</formula>
    </cfRule>
  </conditionalFormatting>
  <conditionalFormatting sqref="J69:J73">
    <cfRule type="expression" dxfId="15084" priority="6496">
      <formula>J69&lt;L69-#REF!</formula>
    </cfRule>
  </conditionalFormatting>
  <conditionalFormatting sqref="J71:J73">
    <cfRule type="expression" dxfId="15083" priority="6494">
      <formula>J71&gt;L71+#REF!</formula>
    </cfRule>
  </conditionalFormatting>
  <conditionalFormatting sqref="J82:J83">
    <cfRule type="expression" dxfId="15082" priority="6322">
      <formula>J82&gt;L82+#REF!</formula>
    </cfRule>
    <cfRule type="expression" dxfId="15081" priority="6323">
      <formula>J82&lt;L82-#REF!</formula>
    </cfRule>
  </conditionalFormatting>
  <conditionalFormatting sqref="J86:J87">
    <cfRule type="expression" dxfId="15080" priority="6320">
      <formula>J86&gt;L86+#REF!</formula>
    </cfRule>
  </conditionalFormatting>
  <conditionalFormatting sqref="J86:J90">
    <cfRule type="expression" dxfId="15079" priority="6321">
      <formula>J86&lt;L86-#REF!</formula>
    </cfRule>
  </conditionalFormatting>
  <conditionalFormatting sqref="J88:J90">
    <cfRule type="expression" dxfId="15078" priority="6319">
      <formula>J88&gt;L88+#REF!</formula>
    </cfRule>
  </conditionalFormatting>
  <conditionalFormatting sqref="J99:J100">
    <cfRule type="expression" dxfId="15077" priority="6147">
      <formula>J99&gt;L99+#REF!</formula>
    </cfRule>
    <cfRule type="expression" dxfId="15076" priority="6148">
      <formula>J99&lt;L99-#REF!</formula>
    </cfRule>
  </conditionalFormatting>
  <conditionalFormatting sqref="J103:J104">
    <cfRule type="expression" dxfId="15075" priority="6145">
      <formula>J103&gt;L103+#REF!</formula>
    </cfRule>
  </conditionalFormatting>
  <conditionalFormatting sqref="J103:J107">
    <cfRule type="expression" dxfId="15074" priority="6146">
      <formula>J103&lt;L103-#REF!</formula>
    </cfRule>
  </conditionalFormatting>
  <conditionalFormatting sqref="J105:J107">
    <cfRule type="expression" dxfId="15073" priority="6144">
      <formula>J105&gt;L105+#REF!</formula>
    </cfRule>
  </conditionalFormatting>
  <conditionalFormatting sqref="J116:J117">
    <cfRule type="expression" dxfId="15072" priority="5972">
      <formula>J116&gt;L116+#REF!</formula>
    </cfRule>
    <cfRule type="expression" dxfId="15071" priority="5973">
      <formula>J116&lt;L116-#REF!</formula>
    </cfRule>
  </conditionalFormatting>
  <conditionalFormatting sqref="J120:J121">
    <cfRule type="expression" dxfId="15070" priority="5970">
      <formula>J120&gt;L120+#REF!</formula>
    </cfRule>
  </conditionalFormatting>
  <conditionalFormatting sqref="J120:J124">
    <cfRule type="expression" dxfId="15069" priority="5971">
      <formula>J120&lt;L120-#REF!</formula>
    </cfRule>
  </conditionalFormatting>
  <conditionalFormatting sqref="J122:J124">
    <cfRule type="expression" dxfId="15068" priority="5969">
      <formula>J122&gt;L122+#REF!</formula>
    </cfRule>
  </conditionalFormatting>
  <conditionalFormatting sqref="J167:J168">
    <cfRule type="expression" dxfId="15067" priority="5797">
      <formula>J167&gt;L167+#REF!</formula>
    </cfRule>
    <cfRule type="expression" dxfId="15066" priority="5798">
      <formula>J167&lt;L167-#REF!</formula>
    </cfRule>
  </conditionalFormatting>
  <conditionalFormatting sqref="J171:J172">
    <cfRule type="expression" dxfId="15065" priority="5795">
      <formula>J171&gt;L171+#REF!</formula>
    </cfRule>
  </conditionalFormatting>
  <conditionalFormatting sqref="J171:J175">
    <cfRule type="expression" dxfId="15064" priority="5796">
      <formula>J171&lt;L171-#REF!</formula>
    </cfRule>
  </conditionalFormatting>
  <conditionalFormatting sqref="J173:J175">
    <cfRule type="expression" dxfId="15063" priority="5794">
      <formula>J173&gt;L173+#REF!</formula>
    </cfRule>
  </conditionalFormatting>
  <conditionalFormatting sqref="J184:J185">
    <cfRule type="expression" dxfId="15062" priority="5622">
      <formula>J184&gt;L184+#REF!</formula>
    </cfRule>
    <cfRule type="expression" dxfId="15061" priority="5623">
      <formula>J184&lt;L184-#REF!</formula>
    </cfRule>
  </conditionalFormatting>
  <conditionalFormatting sqref="J188:J189">
    <cfRule type="expression" dxfId="15060" priority="5620">
      <formula>J188&gt;L188+#REF!</formula>
    </cfRule>
  </conditionalFormatting>
  <conditionalFormatting sqref="J188:J192">
    <cfRule type="expression" dxfId="15059" priority="5621">
      <formula>J188&lt;L188-#REF!</formula>
    </cfRule>
  </conditionalFormatting>
  <conditionalFormatting sqref="J190:J192">
    <cfRule type="expression" dxfId="15058" priority="5619">
      <formula>J190&gt;L190+#REF!</formula>
    </cfRule>
  </conditionalFormatting>
  <conditionalFormatting sqref="J201:J202">
    <cfRule type="expression" dxfId="15057" priority="5447">
      <formula>J201&gt;L201+#REF!</formula>
    </cfRule>
    <cfRule type="expression" dxfId="15056" priority="5448">
      <formula>J201&lt;L201-#REF!</formula>
    </cfRule>
  </conditionalFormatting>
  <conditionalFormatting sqref="J205:J206">
    <cfRule type="expression" dxfId="15055" priority="5445">
      <formula>J205&gt;L205+#REF!</formula>
    </cfRule>
  </conditionalFormatting>
  <conditionalFormatting sqref="J205:J209">
    <cfRule type="expression" dxfId="15054" priority="5446">
      <formula>J205&lt;L205-#REF!</formula>
    </cfRule>
  </conditionalFormatting>
  <conditionalFormatting sqref="J207:J209">
    <cfRule type="expression" dxfId="15053" priority="5444">
      <formula>J207&gt;L207+#REF!</formula>
    </cfRule>
  </conditionalFormatting>
  <conditionalFormatting sqref="J218:J219">
    <cfRule type="expression" dxfId="15052" priority="5272">
      <formula>J218&gt;L218+#REF!</formula>
    </cfRule>
    <cfRule type="expression" dxfId="15051" priority="5273">
      <formula>J218&lt;L218-#REF!</formula>
    </cfRule>
  </conditionalFormatting>
  <conditionalFormatting sqref="J222:J223">
    <cfRule type="expression" dxfId="15050" priority="5270">
      <formula>J222&gt;L222+#REF!</formula>
    </cfRule>
  </conditionalFormatting>
  <conditionalFormatting sqref="J222:J226">
    <cfRule type="expression" dxfId="15049" priority="5271">
      <formula>J222&lt;L222-#REF!</formula>
    </cfRule>
  </conditionalFormatting>
  <conditionalFormatting sqref="J224:J226">
    <cfRule type="expression" dxfId="15048" priority="5269">
      <formula>J224&gt;L224+#REF!</formula>
    </cfRule>
  </conditionalFormatting>
  <conditionalFormatting sqref="J235:J236">
    <cfRule type="expression" dxfId="15047" priority="5097">
      <formula>J235&gt;L235+#REF!</formula>
    </cfRule>
    <cfRule type="expression" dxfId="15046" priority="5098">
      <formula>J235&lt;L235-#REF!</formula>
    </cfRule>
  </conditionalFormatting>
  <conditionalFormatting sqref="J239:J240">
    <cfRule type="expression" dxfId="15045" priority="5095">
      <formula>J239&gt;L239+#REF!</formula>
    </cfRule>
  </conditionalFormatting>
  <conditionalFormatting sqref="J239:J243">
    <cfRule type="expression" dxfId="15044" priority="5096">
      <formula>J239&lt;L239-#REF!</formula>
    </cfRule>
  </conditionalFormatting>
  <conditionalFormatting sqref="J241:J243">
    <cfRule type="expression" dxfId="15043" priority="5094">
      <formula>J241&gt;L241+#REF!</formula>
    </cfRule>
  </conditionalFormatting>
  <conditionalFormatting sqref="J252:J253">
    <cfRule type="expression" dxfId="15042" priority="4598">
      <formula>J252&gt;L252+#REF!</formula>
    </cfRule>
    <cfRule type="expression" dxfId="15041" priority="4599">
      <formula>J252&lt;L252-#REF!</formula>
    </cfRule>
  </conditionalFormatting>
  <conditionalFormatting sqref="J256:J257">
    <cfRule type="expression" dxfId="15040" priority="4596">
      <formula>J256&gt;L256+#REF!</formula>
    </cfRule>
  </conditionalFormatting>
  <conditionalFormatting sqref="J256:J259">
    <cfRule type="expression" dxfId="15039" priority="4597">
      <formula>J256&lt;L256-#REF!</formula>
    </cfRule>
  </conditionalFormatting>
  <conditionalFormatting sqref="J258:J259">
    <cfRule type="expression" dxfId="15038" priority="4595">
      <formula>J258&gt;L258+#REF!</formula>
    </cfRule>
  </conditionalFormatting>
  <conditionalFormatting sqref="J260">
    <cfRule type="expression" dxfId="15037" priority="4589">
      <formula>J260&gt;L260+#REF!</formula>
    </cfRule>
  </conditionalFormatting>
  <conditionalFormatting sqref="J269:J270">
    <cfRule type="expression" dxfId="15036" priority="3685">
      <formula>J269&gt;L269+#REF!</formula>
    </cfRule>
    <cfRule type="expression" dxfId="15035" priority="3686">
      <formula>J269&lt;L269-#REF!</formula>
    </cfRule>
  </conditionalFormatting>
  <conditionalFormatting sqref="J273:J274">
    <cfRule type="expression" dxfId="15034" priority="3683">
      <formula>J273&gt;L273+#REF!</formula>
    </cfRule>
  </conditionalFormatting>
  <conditionalFormatting sqref="J273:J277">
    <cfRule type="expression" dxfId="15033" priority="3684">
      <formula>J273&lt;L273-#REF!</formula>
    </cfRule>
  </conditionalFormatting>
  <conditionalFormatting sqref="J275:J277">
    <cfRule type="expression" dxfId="15032" priority="3682">
      <formula>J275&gt;L275+#REF!</formula>
    </cfRule>
  </conditionalFormatting>
  <conditionalFormatting sqref="J303:J304">
    <cfRule type="expression" dxfId="15031" priority="4231">
      <formula>J303&gt;L303+#REF!</formula>
    </cfRule>
    <cfRule type="expression" dxfId="15030" priority="4232">
      <formula>J303&lt;L303-#REF!</formula>
    </cfRule>
  </conditionalFormatting>
  <conditionalFormatting sqref="J307:J308">
    <cfRule type="expression" dxfId="15029" priority="4229">
      <formula>J307&gt;L307+#REF!</formula>
    </cfRule>
  </conditionalFormatting>
  <conditionalFormatting sqref="J307:J310">
    <cfRule type="expression" dxfId="15028" priority="4230">
      <formula>J307&lt;L307-#REF!</formula>
    </cfRule>
  </conditionalFormatting>
  <conditionalFormatting sqref="J309:J310">
    <cfRule type="expression" dxfId="15027" priority="4228">
      <formula>J309&gt;L309+#REF!</formula>
    </cfRule>
  </conditionalFormatting>
  <conditionalFormatting sqref="J311">
    <cfRule type="expression" dxfId="15026" priority="4222">
      <formula>J311&gt;L311+#REF!</formula>
    </cfRule>
  </conditionalFormatting>
  <conditionalFormatting sqref="J320:J321">
    <cfRule type="expression" dxfId="15025" priority="4049">
      <formula>J320&gt;L320+#REF!</formula>
    </cfRule>
    <cfRule type="expression" dxfId="15024" priority="4050">
      <formula>J320&lt;L320-#REF!</formula>
    </cfRule>
  </conditionalFormatting>
  <conditionalFormatting sqref="J324:J325">
    <cfRule type="expression" dxfId="15023" priority="4047">
      <formula>J324&gt;L324+#REF!</formula>
    </cfRule>
  </conditionalFormatting>
  <conditionalFormatting sqref="J324:J327">
    <cfRule type="expression" dxfId="15022" priority="4048">
      <formula>J324&lt;L324-#REF!</formula>
    </cfRule>
  </conditionalFormatting>
  <conditionalFormatting sqref="J326:J327">
    <cfRule type="expression" dxfId="15021" priority="4046">
      <formula>J326&gt;L326+#REF!</formula>
    </cfRule>
  </conditionalFormatting>
  <conditionalFormatting sqref="J328">
    <cfRule type="expression" dxfId="15020" priority="4040">
      <formula>J328&gt;L328+#REF!</formula>
    </cfRule>
  </conditionalFormatting>
  <conditionalFormatting sqref="J337:J338">
    <cfRule type="expression" dxfId="15019" priority="3867">
      <formula>J337&gt;L337+#REF!</formula>
    </cfRule>
    <cfRule type="expression" dxfId="15018" priority="3868">
      <formula>J337&lt;L337-#REF!</formula>
    </cfRule>
  </conditionalFormatting>
  <conditionalFormatting sqref="J341:J342">
    <cfRule type="expression" dxfId="15017" priority="3865">
      <formula>J341&gt;L341+#REF!</formula>
    </cfRule>
  </conditionalFormatting>
  <conditionalFormatting sqref="J341:J344">
    <cfRule type="expression" dxfId="15016" priority="3866">
      <formula>J341&lt;L341-#REF!</formula>
    </cfRule>
  </conditionalFormatting>
  <conditionalFormatting sqref="J343:J344">
    <cfRule type="expression" dxfId="15015" priority="3864">
      <formula>J343&gt;L343+#REF!</formula>
    </cfRule>
  </conditionalFormatting>
  <conditionalFormatting sqref="J345">
    <cfRule type="expression" dxfId="15014" priority="3858">
      <formula>J345&gt;L345+#REF!</formula>
    </cfRule>
  </conditionalFormatting>
  <conditionalFormatting sqref="J354:J355">
    <cfRule type="expression" dxfId="15013" priority="4747">
      <formula>J354&gt;L354+#REF!</formula>
    </cfRule>
    <cfRule type="expression" dxfId="15012" priority="4748">
      <formula>J354&lt;L354-#REF!</formula>
    </cfRule>
  </conditionalFormatting>
  <conditionalFormatting sqref="J358:J359">
    <cfRule type="expression" dxfId="15011" priority="4745">
      <formula>J358&gt;L358+#REF!</formula>
    </cfRule>
  </conditionalFormatting>
  <conditionalFormatting sqref="J358:J362">
    <cfRule type="expression" dxfId="15010" priority="4746">
      <formula>J358&lt;L358-#REF!</formula>
    </cfRule>
  </conditionalFormatting>
  <conditionalFormatting sqref="J360:J362">
    <cfRule type="expression" dxfId="15009" priority="4744">
      <formula>J360&gt;L360+#REF!</formula>
    </cfRule>
  </conditionalFormatting>
  <conditionalFormatting sqref="K14:K15">
    <cfRule type="expression" dxfId="15008" priority="7017">
      <formula>K14&gt;M14+#REF!</formula>
    </cfRule>
    <cfRule type="expression" dxfId="15007" priority="7018">
      <formula>K14&lt;M14-#REF!</formula>
    </cfRule>
  </conditionalFormatting>
  <conditionalFormatting sqref="K18:K19">
    <cfRule type="expression" dxfId="15006" priority="7015">
      <formula>K18&gt;M18+#REF!</formula>
    </cfRule>
    <cfRule type="expression" dxfId="15005" priority="7016">
      <formula>K18&lt;M18-#REF!</formula>
    </cfRule>
  </conditionalFormatting>
  <conditionalFormatting sqref="K20:K22">
    <cfRule type="expression" dxfId="15004" priority="7014">
      <formula>K20&gt;M20+#REF!</formula>
    </cfRule>
  </conditionalFormatting>
  <conditionalFormatting sqref="K31:K32">
    <cfRule type="expression" dxfId="15003" priority="6842">
      <formula>K31&gt;M31+#REF!</formula>
    </cfRule>
    <cfRule type="expression" dxfId="15002" priority="6843">
      <formula>K31&lt;M31-#REF!</formula>
    </cfRule>
  </conditionalFormatting>
  <conditionalFormatting sqref="K35:K36">
    <cfRule type="expression" dxfId="15001" priority="6840">
      <formula>K35&gt;M35+#REF!</formula>
    </cfRule>
    <cfRule type="expression" dxfId="15000" priority="6841">
      <formula>K35&lt;M35-#REF!</formula>
    </cfRule>
  </conditionalFormatting>
  <conditionalFormatting sqref="K37:K39">
    <cfRule type="expression" dxfId="14999" priority="6839">
      <formula>K37&gt;M37+#REF!</formula>
    </cfRule>
  </conditionalFormatting>
  <conditionalFormatting sqref="K48:K49">
    <cfRule type="expression" dxfId="14998" priority="6667">
      <formula>K48&gt;M48+#REF!</formula>
    </cfRule>
    <cfRule type="expression" dxfId="14997" priority="6668">
      <formula>K48&lt;M48-#REF!</formula>
    </cfRule>
  </conditionalFormatting>
  <conditionalFormatting sqref="K52:K53">
    <cfRule type="expression" dxfId="14996" priority="6665">
      <formula>K52&gt;M52+#REF!</formula>
    </cfRule>
    <cfRule type="expression" dxfId="14995" priority="6666">
      <formula>K52&lt;M52-#REF!</formula>
    </cfRule>
  </conditionalFormatting>
  <conditionalFormatting sqref="K54:K56">
    <cfRule type="expression" dxfId="14994" priority="6664">
      <formula>K54&gt;M54+#REF!</formula>
    </cfRule>
  </conditionalFormatting>
  <conditionalFormatting sqref="K65:K66">
    <cfRule type="expression" dxfId="14993" priority="6492">
      <formula>K65&gt;M65+#REF!</formula>
    </cfRule>
    <cfRule type="expression" dxfId="14992" priority="6493">
      <formula>K65&lt;M65-#REF!</formula>
    </cfRule>
  </conditionalFormatting>
  <conditionalFormatting sqref="K69:K70">
    <cfRule type="expression" dxfId="14991" priority="6490">
      <formula>K69&gt;M69+#REF!</formula>
    </cfRule>
    <cfRule type="expression" dxfId="14990" priority="6491">
      <formula>K69&lt;M69-#REF!</formula>
    </cfRule>
  </conditionalFormatting>
  <conditionalFormatting sqref="K71:K73">
    <cfRule type="expression" dxfId="14989" priority="6489">
      <formula>K71&gt;M71+#REF!</formula>
    </cfRule>
  </conditionalFormatting>
  <conditionalFormatting sqref="K82:K83">
    <cfRule type="expression" dxfId="14988" priority="6317">
      <formula>K82&gt;M82+#REF!</formula>
    </cfRule>
    <cfRule type="expression" dxfId="14987" priority="6318">
      <formula>K82&lt;M82-#REF!</formula>
    </cfRule>
  </conditionalFormatting>
  <conditionalFormatting sqref="K86:K87">
    <cfRule type="expression" dxfId="14986" priority="6315">
      <formula>K86&gt;M86+#REF!</formula>
    </cfRule>
    <cfRule type="expression" dxfId="14985" priority="6316">
      <formula>K86&lt;M86-#REF!</formula>
    </cfRule>
  </conditionalFormatting>
  <conditionalFormatting sqref="K88:K90">
    <cfRule type="expression" dxfId="14984" priority="6314">
      <formula>K88&gt;M88+#REF!</formula>
    </cfRule>
  </conditionalFormatting>
  <conditionalFormatting sqref="K99:K100">
    <cfRule type="expression" dxfId="14983" priority="6142">
      <formula>K99&gt;M99+#REF!</formula>
    </cfRule>
    <cfRule type="expression" dxfId="14982" priority="6143">
      <formula>K99&lt;M99-#REF!</formula>
    </cfRule>
  </conditionalFormatting>
  <conditionalFormatting sqref="K103:K104">
    <cfRule type="expression" dxfId="14981" priority="6140">
      <formula>K103&gt;M103+#REF!</formula>
    </cfRule>
    <cfRule type="expression" dxfId="14980" priority="6141">
      <formula>K103&lt;M103-#REF!</formula>
    </cfRule>
  </conditionalFormatting>
  <conditionalFormatting sqref="K105:K107">
    <cfRule type="expression" dxfId="14979" priority="6139">
      <formula>K105&gt;M105+#REF!</formula>
    </cfRule>
  </conditionalFormatting>
  <conditionalFormatting sqref="K116:K117">
    <cfRule type="expression" dxfId="14978" priority="5967">
      <formula>K116&gt;M116+#REF!</formula>
    </cfRule>
    <cfRule type="expression" dxfId="14977" priority="5968">
      <formula>K116&lt;M116-#REF!</formula>
    </cfRule>
  </conditionalFormatting>
  <conditionalFormatting sqref="K120:K121">
    <cfRule type="expression" dxfId="14976" priority="5965">
      <formula>K120&gt;M120+#REF!</formula>
    </cfRule>
    <cfRule type="expression" dxfId="14975" priority="5966">
      <formula>K120&lt;M120-#REF!</formula>
    </cfRule>
  </conditionalFormatting>
  <conditionalFormatting sqref="K122:K124">
    <cfRule type="expression" dxfId="14974" priority="5964">
      <formula>K122&gt;M122+#REF!</formula>
    </cfRule>
  </conditionalFormatting>
  <conditionalFormatting sqref="K167:K168">
    <cfRule type="expression" dxfId="14973" priority="5792">
      <formula>K167&gt;M167+#REF!</formula>
    </cfRule>
    <cfRule type="expression" dxfId="14972" priority="5793">
      <formula>K167&lt;M167-#REF!</formula>
    </cfRule>
  </conditionalFormatting>
  <conditionalFormatting sqref="K171:K172">
    <cfRule type="expression" dxfId="14971" priority="5790">
      <formula>K171&gt;M171+#REF!</formula>
    </cfRule>
    <cfRule type="expression" dxfId="14970" priority="5791">
      <formula>K171&lt;M171-#REF!</formula>
    </cfRule>
  </conditionalFormatting>
  <conditionalFormatting sqref="K173:K175">
    <cfRule type="expression" dxfId="14969" priority="5789">
      <formula>K173&gt;M173+#REF!</formula>
    </cfRule>
  </conditionalFormatting>
  <conditionalFormatting sqref="K184:K185">
    <cfRule type="expression" dxfId="14968" priority="5617">
      <formula>K184&gt;M184+#REF!</formula>
    </cfRule>
    <cfRule type="expression" dxfId="14967" priority="5618">
      <formula>K184&lt;M184-#REF!</formula>
    </cfRule>
  </conditionalFormatting>
  <conditionalFormatting sqref="K188:K189">
    <cfRule type="expression" dxfId="14966" priority="5615">
      <formula>K188&gt;M188+#REF!</formula>
    </cfRule>
    <cfRule type="expression" dxfId="14965" priority="5616">
      <formula>K188&lt;M188-#REF!</formula>
    </cfRule>
  </conditionalFormatting>
  <conditionalFormatting sqref="K190:K192">
    <cfRule type="expression" dxfId="14964" priority="5614">
      <formula>K190&gt;M190+#REF!</formula>
    </cfRule>
  </conditionalFormatting>
  <conditionalFormatting sqref="K201:K202">
    <cfRule type="expression" dxfId="14963" priority="5442">
      <formula>K201&gt;M201+#REF!</formula>
    </cfRule>
    <cfRule type="expression" dxfId="14962" priority="5443">
      <formula>K201&lt;M201-#REF!</formula>
    </cfRule>
  </conditionalFormatting>
  <conditionalFormatting sqref="K205:K206">
    <cfRule type="expression" dxfId="14961" priority="5440">
      <formula>K205&gt;M205+#REF!</formula>
    </cfRule>
    <cfRule type="expression" dxfId="14960" priority="5441">
      <formula>K205&lt;M205-#REF!</formula>
    </cfRule>
  </conditionalFormatting>
  <conditionalFormatting sqref="K207:K209">
    <cfRule type="expression" dxfId="14959" priority="5439">
      <formula>K207&gt;M207+#REF!</formula>
    </cfRule>
  </conditionalFormatting>
  <conditionalFormatting sqref="K218:K219">
    <cfRule type="expression" dxfId="14958" priority="5267">
      <formula>K218&gt;M218+#REF!</formula>
    </cfRule>
    <cfRule type="expression" dxfId="14957" priority="5268">
      <formula>K218&lt;M218-#REF!</formula>
    </cfRule>
  </conditionalFormatting>
  <conditionalFormatting sqref="K222:K223">
    <cfRule type="expression" dxfId="14956" priority="5265">
      <formula>K222&gt;M222+#REF!</formula>
    </cfRule>
    <cfRule type="expression" dxfId="14955" priority="5266">
      <formula>K222&lt;M222-#REF!</formula>
    </cfRule>
  </conditionalFormatting>
  <conditionalFormatting sqref="K224:K226">
    <cfRule type="expression" dxfId="14954" priority="5264">
      <formula>K224&gt;M224+#REF!</formula>
    </cfRule>
  </conditionalFormatting>
  <conditionalFormatting sqref="K235:K236">
    <cfRule type="expression" dxfId="14953" priority="5092">
      <formula>K235&gt;M235+#REF!</formula>
    </cfRule>
    <cfRule type="expression" dxfId="14952" priority="5093">
      <formula>K235&lt;M235-#REF!</formula>
    </cfRule>
  </conditionalFormatting>
  <conditionalFormatting sqref="K239:K240">
    <cfRule type="expression" dxfId="14951" priority="5090">
      <formula>K239&gt;M239+#REF!</formula>
    </cfRule>
    <cfRule type="expression" dxfId="14950" priority="5091">
      <formula>K239&lt;M239-#REF!</formula>
    </cfRule>
  </conditionalFormatting>
  <conditionalFormatting sqref="K241:K243">
    <cfRule type="expression" dxfId="14949" priority="5089">
      <formula>K241&gt;M241+#REF!</formula>
    </cfRule>
  </conditionalFormatting>
  <conditionalFormatting sqref="K252:K253">
    <cfRule type="expression" dxfId="14948" priority="4593">
      <formula>K252&gt;M252+#REF!</formula>
    </cfRule>
    <cfRule type="expression" dxfId="14947" priority="4594">
      <formula>K252&lt;M252-#REF!</formula>
    </cfRule>
  </conditionalFormatting>
  <conditionalFormatting sqref="K256:K257">
    <cfRule type="expression" dxfId="14946" priority="4591">
      <formula>K256&gt;M256+#REF!</formula>
    </cfRule>
    <cfRule type="expression" dxfId="14945" priority="4592">
      <formula>K256&lt;M256-#REF!</formula>
    </cfRule>
  </conditionalFormatting>
  <conditionalFormatting sqref="K258:K259">
    <cfRule type="expression" dxfId="14944" priority="4590">
      <formula>K258&gt;M258+#REF!</formula>
    </cfRule>
  </conditionalFormatting>
  <conditionalFormatting sqref="K260">
    <cfRule type="expression" dxfId="14943" priority="4588">
      <formula>K260&gt;M260+#REF!</formula>
    </cfRule>
  </conditionalFormatting>
  <conditionalFormatting sqref="K269:K270">
    <cfRule type="expression" dxfId="14942" priority="3680">
      <formula>K269&gt;M269+#REF!</formula>
    </cfRule>
    <cfRule type="expression" dxfId="14941" priority="3681">
      <formula>K269&lt;M269-#REF!</formula>
    </cfRule>
  </conditionalFormatting>
  <conditionalFormatting sqref="K273:K274">
    <cfRule type="expression" dxfId="14940" priority="3678">
      <formula>K273&gt;M273+#REF!</formula>
    </cfRule>
    <cfRule type="expression" dxfId="14939" priority="3679">
      <formula>K273&lt;M273-#REF!</formula>
    </cfRule>
  </conditionalFormatting>
  <conditionalFormatting sqref="K275:K277">
    <cfRule type="expression" dxfId="14938" priority="3677">
      <formula>K275&gt;M275+#REF!</formula>
    </cfRule>
  </conditionalFormatting>
  <conditionalFormatting sqref="K303:K304">
    <cfRule type="expression" dxfId="14937" priority="4226">
      <formula>K303&gt;M303+#REF!</formula>
    </cfRule>
    <cfRule type="expression" dxfId="14936" priority="4227">
      <formula>K303&lt;M303-#REF!</formula>
    </cfRule>
  </conditionalFormatting>
  <conditionalFormatting sqref="K307:K308">
    <cfRule type="expression" dxfId="14935" priority="4224">
      <formula>K307&gt;M307+#REF!</formula>
    </cfRule>
    <cfRule type="expression" dxfId="14934" priority="4225">
      <formula>K307&lt;M307-#REF!</formula>
    </cfRule>
  </conditionalFormatting>
  <conditionalFormatting sqref="K309:K310">
    <cfRule type="expression" dxfId="14933" priority="4223">
      <formula>K309&gt;M309+#REF!</formula>
    </cfRule>
  </conditionalFormatting>
  <conditionalFormatting sqref="K311">
    <cfRule type="expression" dxfId="14932" priority="4221">
      <formula>K311&gt;M311+#REF!</formula>
    </cfRule>
  </conditionalFormatting>
  <conditionalFormatting sqref="K320:K321">
    <cfRule type="expression" dxfId="14931" priority="4044">
      <formula>K320&gt;M320+#REF!</formula>
    </cfRule>
    <cfRule type="expression" dxfId="14930" priority="4045">
      <formula>K320&lt;M320-#REF!</formula>
    </cfRule>
  </conditionalFormatting>
  <conditionalFormatting sqref="K324:K325">
    <cfRule type="expression" dxfId="14929" priority="4042">
      <formula>K324&gt;M324+#REF!</formula>
    </cfRule>
    <cfRule type="expression" dxfId="14928" priority="4043">
      <formula>K324&lt;M324-#REF!</formula>
    </cfRule>
  </conditionalFormatting>
  <conditionalFormatting sqref="K326:K327">
    <cfRule type="expression" dxfId="14927" priority="4041">
      <formula>K326&gt;M326+#REF!</formula>
    </cfRule>
  </conditionalFormatting>
  <conditionalFormatting sqref="K328">
    <cfRule type="expression" dxfId="14926" priority="4039">
      <formula>K328&gt;M328+#REF!</formula>
    </cfRule>
  </conditionalFormatting>
  <conditionalFormatting sqref="K337:K338">
    <cfRule type="expression" dxfId="14925" priority="3862">
      <formula>K337&gt;M337+#REF!</formula>
    </cfRule>
    <cfRule type="expression" dxfId="14924" priority="3863">
      <formula>K337&lt;M337-#REF!</formula>
    </cfRule>
  </conditionalFormatting>
  <conditionalFormatting sqref="K341:K342">
    <cfRule type="expression" dxfId="14923" priority="3860">
      <formula>K341&gt;M341+#REF!</formula>
    </cfRule>
    <cfRule type="expression" dxfId="14922" priority="3861">
      <formula>K341&lt;M341-#REF!</formula>
    </cfRule>
  </conditionalFormatting>
  <conditionalFormatting sqref="K343:K344">
    <cfRule type="expression" dxfId="14921" priority="3859">
      <formula>K343&gt;M343+#REF!</formula>
    </cfRule>
  </conditionalFormatting>
  <conditionalFormatting sqref="K345">
    <cfRule type="expression" dxfId="14920" priority="3857">
      <formula>K345&gt;M345+#REF!</formula>
    </cfRule>
  </conditionalFormatting>
  <conditionalFormatting sqref="K354:K355">
    <cfRule type="expression" dxfId="14919" priority="4742">
      <formula>K354&gt;M354+#REF!</formula>
    </cfRule>
    <cfRule type="expression" dxfId="14918" priority="4743">
      <formula>K354&lt;M354-#REF!</formula>
    </cfRule>
  </conditionalFormatting>
  <conditionalFormatting sqref="K358:K359">
    <cfRule type="expression" dxfId="14917" priority="4740">
      <formula>K358&gt;M358+#REF!</formula>
    </cfRule>
    <cfRule type="expression" dxfId="14916" priority="4741">
      <formula>K358&lt;M358-#REF!</formula>
    </cfRule>
  </conditionalFormatting>
  <conditionalFormatting sqref="K360:K362">
    <cfRule type="expression" dxfId="14915" priority="4739">
      <formula>K360&gt;M360+#REF!</formula>
    </cfRule>
  </conditionalFormatting>
  <conditionalFormatting sqref="M14:M15">
    <cfRule type="expression" dxfId="14914" priority="7003">
      <formula>M14&gt;O14+#REF!</formula>
    </cfRule>
  </conditionalFormatting>
  <conditionalFormatting sqref="M18:M19">
    <cfRule type="expression" dxfId="14913" priority="7000">
      <formula>M18&gt;O18+#REF!</formula>
    </cfRule>
  </conditionalFormatting>
  <conditionalFormatting sqref="M20:M22">
    <cfRule type="expression" dxfId="14912" priority="6999">
      <formula>M20&gt;O20+#REF!</formula>
    </cfRule>
  </conditionalFormatting>
  <conditionalFormatting sqref="M31:M32">
    <cfRule type="expression" dxfId="14911" priority="6828">
      <formula>M31&gt;O31+#REF!</formula>
    </cfRule>
  </conditionalFormatting>
  <conditionalFormatting sqref="M35:M36">
    <cfRule type="expression" dxfId="14910" priority="6825">
      <formula>M35&gt;O35+#REF!</formula>
    </cfRule>
  </conditionalFormatting>
  <conditionalFormatting sqref="M37:M39">
    <cfRule type="expression" dxfId="14909" priority="6824">
      <formula>M37&gt;O37+#REF!</formula>
    </cfRule>
  </conditionalFormatting>
  <conditionalFormatting sqref="M48:M49">
    <cfRule type="expression" dxfId="14908" priority="6653">
      <formula>M48&gt;O48+#REF!</formula>
    </cfRule>
  </conditionalFormatting>
  <conditionalFormatting sqref="M52:M53">
    <cfRule type="expression" dxfId="14907" priority="6650">
      <formula>M52&gt;O52+#REF!</formula>
    </cfRule>
  </conditionalFormatting>
  <conditionalFormatting sqref="M54:M56">
    <cfRule type="expression" dxfId="14906" priority="6649">
      <formula>M54&gt;O54+#REF!</formula>
    </cfRule>
  </conditionalFormatting>
  <conditionalFormatting sqref="M65:M66">
    <cfRule type="expression" dxfId="14905" priority="6478">
      <formula>M65&gt;O65+#REF!</formula>
    </cfRule>
  </conditionalFormatting>
  <conditionalFormatting sqref="M69:M70">
    <cfRule type="expression" dxfId="14904" priority="6475">
      <formula>M69&gt;O69+#REF!</formula>
    </cfRule>
  </conditionalFormatting>
  <conditionalFormatting sqref="M71:M73">
    <cfRule type="expression" dxfId="14903" priority="6474">
      <formula>M71&gt;O71+#REF!</formula>
    </cfRule>
  </conditionalFormatting>
  <conditionalFormatting sqref="M82:M83">
    <cfRule type="expression" dxfId="14902" priority="6303">
      <formula>M82&gt;O82+#REF!</formula>
    </cfRule>
  </conditionalFormatting>
  <conditionalFormatting sqref="M86:M87">
    <cfRule type="expression" dxfId="14901" priority="6300">
      <formula>M86&gt;O86+#REF!</formula>
    </cfRule>
  </conditionalFormatting>
  <conditionalFormatting sqref="M88:M90">
    <cfRule type="expression" dxfId="14900" priority="6299">
      <formula>M88&gt;O88+#REF!</formula>
    </cfRule>
  </conditionalFormatting>
  <conditionalFormatting sqref="M99:M100">
    <cfRule type="expression" dxfId="14899" priority="6128">
      <formula>M99&gt;O99+#REF!</formula>
    </cfRule>
  </conditionalFormatting>
  <conditionalFormatting sqref="M103:M104">
    <cfRule type="expression" dxfId="14898" priority="6125">
      <formula>M103&gt;O103+#REF!</formula>
    </cfRule>
  </conditionalFormatting>
  <conditionalFormatting sqref="M105:M107">
    <cfRule type="expression" dxfId="14897" priority="6124">
      <formula>M105&gt;O105+#REF!</formula>
    </cfRule>
  </conditionalFormatting>
  <conditionalFormatting sqref="M116:M117">
    <cfRule type="expression" dxfId="14896" priority="5953">
      <formula>M116&gt;O116+#REF!</formula>
    </cfRule>
  </conditionalFormatting>
  <conditionalFormatting sqref="M120:M121">
    <cfRule type="expression" dxfId="14895" priority="5950">
      <formula>M120&gt;O120+#REF!</formula>
    </cfRule>
  </conditionalFormatting>
  <conditionalFormatting sqref="M122:M124">
    <cfRule type="expression" dxfId="14894" priority="5949">
      <formula>M122&gt;O122+#REF!</formula>
    </cfRule>
  </conditionalFormatting>
  <conditionalFormatting sqref="M167:M168">
    <cfRule type="expression" dxfId="14893" priority="5778">
      <formula>M167&gt;O167+#REF!</formula>
    </cfRule>
  </conditionalFormatting>
  <conditionalFormatting sqref="M171:M172">
    <cfRule type="expression" dxfId="14892" priority="5775">
      <formula>M171&gt;O171+#REF!</formula>
    </cfRule>
  </conditionalFormatting>
  <conditionalFormatting sqref="M173:M175">
    <cfRule type="expression" dxfId="14891" priority="5774">
      <formula>M173&gt;O173+#REF!</formula>
    </cfRule>
  </conditionalFormatting>
  <conditionalFormatting sqref="M184:M185">
    <cfRule type="expression" dxfId="14890" priority="5603">
      <formula>M184&gt;O184+#REF!</formula>
    </cfRule>
  </conditionalFormatting>
  <conditionalFormatting sqref="M188:M189">
    <cfRule type="expression" dxfId="14889" priority="5600">
      <formula>M188&gt;O188+#REF!</formula>
    </cfRule>
  </conditionalFormatting>
  <conditionalFormatting sqref="M190:M192">
    <cfRule type="expression" dxfId="14888" priority="5599">
      <formula>M190&gt;O190+#REF!</formula>
    </cfRule>
  </conditionalFormatting>
  <conditionalFormatting sqref="M201:M202">
    <cfRule type="expression" dxfId="14887" priority="5428">
      <formula>M201&gt;O201+#REF!</formula>
    </cfRule>
  </conditionalFormatting>
  <conditionalFormatting sqref="M205:M206">
    <cfRule type="expression" dxfId="14886" priority="5425">
      <formula>M205&gt;O205+#REF!</formula>
    </cfRule>
  </conditionalFormatting>
  <conditionalFormatting sqref="M207:M209">
    <cfRule type="expression" dxfId="14885" priority="5424">
      <formula>M207&gt;O207+#REF!</formula>
    </cfRule>
  </conditionalFormatting>
  <conditionalFormatting sqref="M218:M219">
    <cfRule type="expression" dxfId="14884" priority="5253">
      <formula>M218&gt;O218+#REF!</formula>
    </cfRule>
  </conditionalFormatting>
  <conditionalFormatting sqref="M222:M223">
    <cfRule type="expression" dxfId="14883" priority="5250">
      <formula>M222&gt;O222+#REF!</formula>
    </cfRule>
  </conditionalFormatting>
  <conditionalFormatting sqref="M224:M226">
    <cfRule type="expression" dxfId="14882" priority="5249">
      <formula>M224&gt;O224+#REF!</formula>
    </cfRule>
  </conditionalFormatting>
  <conditionalFormatting sqref="M235:M236">
    <cfRule type="expression" dxfId="14881" priority="5078">
      <formula>M235&gt;O235+#REF!</formula>
    </cfRule>
  </conditionalFormatting>
  <conditionalFormatting sqref="M239:M240">
    <cfRule type="expression" dxfId="14880" priority="5075">
      <formula>M239&gt;O239+#REF!</formula>
    </cfRule>
  </conditionalFormatting>
  <conditionalFormatting sqref="M241:M243">
    <cfRule type="expression" dxfId="14879" priority="5074">
      <formula>M241&gt;O241+#REF!</formula>
    </cfRule>
  </conditionalFormatting>
  <conditionalFormatting sqref="M252:M253">
    <cfRule type="expression" dxfId="14878" priority="4578">
      <formula>M252&gt;O252+#REF!</formula>
    </cfRule>
  </conditionalFormatting>
  <conditionalFormatting sqref="M256:M257">
    <cfRule type="expression" dxfId="14877" priority="4575">
      <formula>M256&gt;O256+#REF!</formula>
    </cfRule>
  </conditionalFormatting>
  <conditionalFormatting sqref="M258:M260">
    <cfRule type="expression" dxfId="14876" priority="4574">
      <formula>M258&gt;O258+#REF!</formula>
    </cfRule>
  </conditionalFormatting>
  <conditionalFormatting sqref="M269:M270">
    <cfRule type="expression" dxfId="14875" priority="3666">
      <formula>M269&gt;O269+#REF!</formula>
    </cfRule>
  </conditionalFormatting>
  <conditionalFormatting sqref="M273:M274">
    <cfRule type="expression" dxfId="14874" priority="3663">
      <formula>M273&gt;O273+#REF!</formula>
    </cfRule>
  </conditionalFormatting>
  <conditionalFormatting sqref="M275:M277">
    <cfRule type="expression" dxfId="14873" priority="3662">
      <formula>M275&gt;O275+#REF!</formula>
    </cfRule>
  </conditionalFormatting>
  <conditionalFormatting sqref="M286:M287">
    <cfRule type="expression" dxfId="14872" priority="4393">
      <formula>M286&gt;O286+#REF!</formula>
    </cfRule>
  </conditionalFormatting>
  <conditionalFormatting sqref="M290:M291">
    <cfRule type="expression" dxfId="14871" priority="4390">
      <formula>M290&gt;O290+#REF!</formula>
    </cfRule>
  </conditionalFormatting>
  <conditionalFormatting sqref="M292:M294">
    <cfRule type="expression" dxfId="14870" priority="4389">
      <formula>M292&gt;O292+#REF!</formula>
    </cfRule>
  </conditionalFormatting>
  <conditionalFormatting sqref="M303:M304">
    <cfRule type="expression" dxfId="14869" priority="4211">
      <formula>M303&gt;O303+#REF!</formula>
    </cfRule>
  </conditionalFormatting>
  <conditionalFormatting sqref="M307:M308">
    <cfRule type="expression" dxfId="14868" priority="4208">
      <formula>M307&gt;O307+#REF!</formula>
    </cfRule>
  </conditionalFormatting>
  <conditionalFormatting sqref="M309:M311">
    <cfRule type="expression" dxfId="14867" priority="4207">
      <formula>M309&gt;O309+#REF!</formula>
    </cfRule>
  </conditionalFormatting>
  <conditionalFormatting sqref="M320:M321">
    <cfRule type="expression" dxfId="14866" priority="4029">
      <formula>M320&gt;O320+#REF!</formula>
    </cfRule>
  </conditionalFormatting>
  <conditionalFormatting sqref="M324:M325">
    <cfRule type="expression" dxfId="14865" priority="4026">
      <formula>M324&gt;O324+#REF!</formula>
    </cfRule>
  </conditionalFormatting>
  <conditionalFormatting sqref="M326:M328">
    <cfRule type="expression" dxfId="14864" priority="4025">
      <formula>M326&gt;O326+#REF!</formula>
    </cfRule>
  </conditionalFormatting>
  <conditionalFormatting sqref="M337:M338">
    <cfRule type="expression" dxfId="14863" priority="3847">
      <formula>M337&gt;O337+#REF!</formula>
    </cfRule>
  </conditionalFormatting>
  <conditionalFormatting sqref="M341:M342">
    <cfRule type="expression" dxfId="14862" priority="3844">
      <formula>M341&gt;O341+#REF!</formula>
    </cfRule>
  </conditionalFormatting>
  <conditionalFormatting sqref="M343:M345">
    <cfRule type="expression" dxfId="14861" priority="3843">
      <formula>M343&gt;O343+#REF!</formula>
    </cfRule>
  </conditionalFormatting>
  <conditionalFormatting sqref="M354:M355">
    <cfRule type="expression" dxfId="14860" priority="4728">
      <formula>M354&gt;O354+#REF!</formula>
    </cfRule>
  </conditionalFormatting>
  <conditionalFormatting sqref="M358:M359">
    <cfRule type="expression" dxfId="14859" priority="4725">
      <formula>M358&gt;O358+#REF!</formula>
    </cfRule>
  </conditionalFormatting>
  <conditionalFormatting sqref="M360:M362">
    <cfRule type="expression" dxfId="14858" priority="4724">
      <formula>M360&gt;O360+#REF!</formula>
    </cfRule>
  </conditionalFormatting>
  <conditionalFormatting sqref="M8:O9">
    <cfRule type="expression" dxfId="14857" priority="7009">
      <formula>M8&lt;O8*#REF!</formula>
    </cfRule>
    <cfRule type="expression" dxfId="14856" priority="7010">
      <formula>M8&gt;O8*#REF!</formula>
    </cfRule>
  </conditionalFormatting>
  <conditionalFormatting sqref="M10:O10">
    <cfRule type="expression" dxfId="14855" priority="7007">
      <formula>M10&gt;O10+#REF!</formula>
    </cfRule>
  </conditionalFormatting>
  <conditionalFormatting sqref="M10:O12">
    <cfRule type="expression" dxfId="14854" priority="7013">
      <formula>M10&lt;O10-#REF!</formula>
    </cfRule>
  </conditionalFormatting>
  <conditionalFormatting sqref="M11:O11">
    <cfRule type="expression" dxfId="14853" priority="7006">
      <formula>M11&gt;O11+#REF!</formula>
    </cfRule>
  </conditionalFormatting>
  <conditionalFormatting sqref="M12:O12">
    <cfRule type="expression" dxfId="14852" priority="7005">
      <formula>M12&gt;O12+#REF!</formula>
    </cfRule>
  </conditionalFormatting>
  <conditionalFormatting sqref="M13:O13">
    <cfRule type="expression" dxfId="14851" priority="7004">
      <formula>M13&gt;O13+#REF!</formula>
    </cfRule>
  </conditionalFormatting>
  <conditionalFormatting sqref="M16:O16">
    <cfRule type="expression" dxfId="14850" priority="7002">
      <formula>M16&gt;O16+#REF!</formula>
    </cfRule>
  </conditionalFormatting>
  <conditionalFormatting sqref="M17:O17">
    <cfRule type="expression" dxfId="14849" priority="7001">
      <formula>M17&gt;O17+#REF!</formula>
    </cfRule>
  </conditionalFormatting>
  <conditionalFormatting sqref="M23:O23">
    <cfRule type="expression" dxfId="14848" priority="7008">
      <formula>M23&gt;O23*#REF!</formula>
    </cfRule>
  </conditionalFormatting>
  <conditionalFormatting sqref="M25:O26">
    <cfRule type="expression" dxfId="14847" priority="6834">
      <formula>M25&lt;O25*#REF!</formula>
    </cfRule>
    <cfRule type="expression" dxfId="14846" priority="6835">
      <formula>M25&gt;O25*#REF!</formula>
    </cfRule>
  </conditionalFormatting>
  <conditionalFormatting sqref="M27:O27">
    <cfRule type="expression" dxfId="14845" priority="6832">
      <formula>M27&gt;O27+#REF!</formula>
    </cfRule>
  </conditionalFormatting>
  <conditionalFormatting sqref="M27:O29">
    <cfRule type="expression" dxfId="14844" priority="6838">
      <formula>M27&lt;O27-#REF!</formula>
    </cfRule>
  </conditionalFormatting>
  <conditionalFormatting sqref="M28:O28">
    <cfRule type="expression" dxfId="14843" priority="6831">
      <formula>M28&gt;O28+#REF!</formula>
    </cfRule>
  </conditionalFormatting>
  <conditionalFormatting sqref="M29:O29">
    <cfRule type="expression" dxfId="14842" priority="6830">
      <formula>M29&gt;O29+#REF!</formula>
    </cfRule>
  </conditionalFormatting>
  <conditionalFormatting sqref="M30:O30">
    <cfRule type="expression" dxfId="14841" priority="6829">
      <formula>M30&gt;O30+#REF!</formula>
    </cfRule>
  </conditionalFormatting>
  <conditionalFormatting sqref="M33:O33">
    <cfRule type="expression" dxfId="14840" priority="6827">
      <formula>M33&gt;O33+#REF!</formula>
    </cfRule>
  </conditionalFormatting>
  <conditionalFormatting sqref="M34:O34">
    <cfRule type="expression" dxfId="14839" priority="6826">
      <formula>M34&gt;O34+#REF!</formula>
    </cfRule>
  </conditionalFormatting>
  <conditionalFormatting sqref="M40:O40">
    <cfRule type="expression" dxfId="14838" priority="6833">
      <formula>M40&gt;O40*#REF!</formula>
    </cfRule>
  </conditionalFormatting>
  <conditionalFormatting sqref="M42:O43">
    <cfRule type="expression" dxfId="14837" priority="6659">
      <formula>M42&lt;O42*#REF!</formula>
    </cfRule>
    <cfRule type="expression" dxfId="14836" priority="6660">
      <formula>M42&gt;O42*#REF!</formula>
    </cfRule>
  </conditionalFormatting>
  <conditionalFormatting sqref="M44:O44">
    <cfRule type="expression" dxfId="14835" priority="6657">
      <formula>M44&gt;O44+#REF!</formula>
    </cfRule>
  </conditionalFormatting>
  <conditionalFormatting sqref="M44:O46">
    <cfRule type="expression" dxfId="14834" priority="6663">
      <formula>M44&lt;O44-#REF!</formula>
    </cfRule>
  </conditionalFormatting>
  <conditionalFormatting sqref="M45:O45">
    <cfRule type="expression" dxfId="14833" priority="6656">
      <formula>M45&gt;O45+#REF!</formula>
    </cfRule>
  </conditionalFormatting>
  <conditionalFormatting sqref="M46:O46">
    <cfRule type="expression" dxfId="14832" priority="6655">
      <formula>M46&gt;O46+#REF!</formula>
    </cfRule>
  </conditionalFormatting>
  <conditionalFormatting sqref="M47:O47">
    <cfRule type="expression" dxfId="14831" priority="6654">
      <formula>M47&gt;O47+#REF!</formula>
    </cfRule>
  </conditionalFormatting>
  <conditionalFormatting sqref="M50:O50">
    <cfRule type="expression" dxfId="14830" priority="6652">
      <formula>M50&gt;O50+#REF!</formula>
    </cfRule>
  </conditionalFormatting>
  <conditionalFormatting sqref="M51:O51">
    <cfRule type="expression" dxfId="14829" priority="6651">
      <formula>M51&gt;O51+#REF!</formula>
    </cfRule>
  </conditionalFormatting>
  <conditionalFormatting sqref="M57:O57">
    <cfRule type="expression" dxfId="14828" priority="6658">
      <formula>M57&gt;O57*#REF!</formula>
    </cfRule>
  </conditionalFormatting>
  <conditionalFormatting sqref="M59:O60">
    <cfRule type="expression" dxfId="14827" priority="6484">
      <formula>M59&lt;O59*#REF!</formula>
    </cfRule>
    <cfRule type="expression" dxfId="14826" priority="6485">
      <formula>M59&gt;O59*#REF!</formula>
    </cfRule>
  </conditionalFormatting>
  <conditionalFormatting sqref="M61:O61">
    <cfRule type="expression" dxfId="14825" priority="6482">
      <formula>M61&gt;O61+#REF!</formula>
    </cfRule>
  </conditionalFormatting>
  <conditionalFormatting sqref="M61:O63">
    <cfRule type="expression" dxfId="14824" priority="6488">
      <formula>M61&lt;O61-#REF!</formula>
    </cfRule>
  </conditionalFormatting>
  <conditionalFormatting sqref="M62:O62">
    <cfRule type="expression" dxfId="14823" priority="6481">
      <formula>M62&gt;O62+#REF!</formula>
    </cfRule>
  </conditionalFormatting>
  <conditionalFormatting sqref="M63:O63">
    <cfRule type="expression" dxfId="14822" priority="6480">
      <formula>M63&gt;O63+#REF!</formula>
    </cfRule>
  </conditionalFormatting>
  <conditionalFormatting sqref="M64:O64">
    <cfRule type="expression" dxfId="14821" priority="6479">
      <formula>M64&gt;O64+#REF!</formula>
    </cfRule>
  </conditionalFormatting>
  <conditionalFormatting sqref="M67:O67">
    <cfRule type="expression" dxfId="14820" priority="6477">
      <formula>M67&gt;O67+#REF!</formula>
    </cfRule>
  </conditionalFormatting>
  <conditionalFormatting sqref="M68:O68">
    <cfRule type="expression" dxfId="14819" priority="6476">
      <formula>M68&gt;O68+#REF!</formula>
    </cfRule>
  </conditionalFormatting>
  <conditionalFormatting sqref="M74:O74">
    <cfRule type="expression" dxfId="14818" priority="6483">
      <formula>M74&gt;O74*#REF!</formula>
    </cfRule>
  </conditionalFormatting>
  <conditionalFormatting sqref="M76:O77">
    <cfRule type="expression" dxfId="14817" priority="6309">
      <formula>M76&lt;O76*#REF!</formula>
    </cfRule>
    <cfRule type="expression" dxfId="14816" priority="6310">
      <formula>M76&gt;O76*#REF!</formula>
    </cfRule>
  </conditionalFormatting>
  <conditionalFormatting sqref="M78:O78">
    <cfRule type="expression" dxfId="14815" priority="6307">
      <formula>M78&gt;O78+#REF!</formula>
    </cfRule>
  </conditionalFormatting>
  <conditionalFormatting sqref="M78:O80">
    <cfRule type="expression" dxfId="14814" priority="6313">
      <formula>M78&lt;O78-#REF!</formula>
    </cfRule>
  </conditionalFormatting>
  <conditionalFormatting sqref="M79:O79">
    <cfRule type="expression" dxfId="14813" priority="6306">
      <formula>M79&gt;O79+#REF!</formula>
    </cfRule>
  </conditionalFormatting>
  <conditionalFormatting sqref="M80:O80">
    <cfRule type="expression" dxfId="14812" priority="6305">
      <formula>M80&gt;O80+#REF!</formula>
    </cfRule>
  </conditionalFormatting>
  <conditionalFormatting sqref="M81:O81">
    <cfRule type="expression" dxfId="14811" priority="6304">
      <formula>M81&gt;O81+#REF!</formula>
    </cfRule>
  </conditionalFormatting>
  <conditionalFormatting sqref="M84:O84">
    <cfRule type="expression" dxfId="14810" priority="6302">
      <formula>M84&gt;O84+#REF!</formula>
    </cfRule>
  </conditionalFormatting>
  <conditionalFormatting sqref="M85:O85">
    <cfRule type="expression" dxfId="14809" priority="6301">
      <formula>M85&gt;O85+#REF!</formula>
    </cfRule>
  </conditionalFormatting>
  <conditionalFormatting sqref="M91:O91">
    <cfRule type="expression" dxfId="14808" priority="6308">
      <formula>M91&gt;O91*#REF!</formula>
    </cfRule>
  </conditionalFormatting>
  <conditionalFormatting sqref="M93:O94">
    <cfRule type="expression" dxfId="14807" priority="6134">
      <formula>M93&lt;O93*#REF!</formula>
    </cfRule>
    <cfRule type="expression" dxfId="14806" priority="6135">
      <formula>M93&gt;O93*#REF!</formula>
    </cfRule>
  </conditionalFormatting>
  <conditionalFormatting sqref="M95:O95">
    <cfRule type="expression" dxfId="14805" priority="6132">
      <formula>M95&gt;O95+#REF!</formula>
    </cfRule>
  </conditionalFormatting>
  <conditionalFormatting sqref="M95:O97">
    <cfRule type="expression" dxfId="14804" priority="6138">
      <formula>M95&lt;O95-#REF!</formula>
    </cfRule>
  </conditionalFormatting>
  <conditionalFormatting sqref="M96:O96">
    <cfRule type="expression" dxfId="14803" priority="6131">
      <formula>M96&gt;O96+#REF!</formula>
    </cfRule>
  </conditionalFormatting>
  <conditionalFormatting sqref="M97:O97">
    <cfRule type="expression" dxfId="14802" priority="6130">
      <formula>M97&gt;O97+#REF!</formula>
    </cfRule>
  </conditionalFormatting>
  <conditionalFormatting sqref="M98:O98">
    <cfRule type="expression" dxfId="14801" priority="6129">
      <formula>M98&gt;O98+#REF!</formula>
    </cfRule>
  </conditionalFormatting>
  <conditionalFormatting sqref="M101:O101">
    <cfRule type="expression" dxfId="14800" priority="6127">
      <formula>M101&gt;O101+#REF!</formula>
    </cfRule>
  </conditionalFormatting>
  <conditionalFormatting sqref="M102:O102">
    <cfRule type="expression" dxfId="14799" priority="6126">
      <formula>M102&gt;O102+#REF!</formula>
    </cfRule>
  </conditionalFormatting>
  <conditionalFormatting sqref="M108:O108">
    <cfRule type="expression" dxfId="14798" priority="6133">
      <formula>M108&gt;O108*#REF!</formula>
    </cfRule>
  </conditionalFormatting>
  <conditionalFormatting sqref="M110:O111">
    <cfRule type="expression" dxfId="14797" priority="5959">
      <formula>M110&lt;O110*#REF!</formula>
    </cfRule>
    <cfRule type="expression" dxfId="14796" priority="5960">
      <formula>M110&gt;O110*#REF!</formula>
    </cfRule>
  </conditionalFormatting>
  <conditionalFormatting sqref="M112:O112">
    <cfRule type="expression" dxfId="14795" priority="5957">
      <formula>M112&gt;O112+#REF!</formula>
    </cfRule>
  </conditionalFormatting>
  <conditionalFormatting sqref="M112:O114">
    <cfRule type="expression" dxfId="14794" priority="5963">
      <formula>M112&lt;O112-#REF!</formula>
    </cfRule>
  </conditionalFormatting>
  <conditionalFormatting sqref="M113:O113">
    <cfRule type="expression" dxfId="14793" priority="5956">
      <formula>M113&gt;O113+#REF!</formula>
    </cfRule>
  </conditionalFormatting>
  <conditionalFormatting sqref="M114:O114">
    <cfRule type="expression" dxfId="14792" priority="5955">
      <formula>M114&gt;O114+#REF!</formula>
    </cfRule>
  </conditionalFormatting>
  <conditionalFormatting sqref="M115:O115">
    <cfRule type="expression" dxfId="14791" priority="5954">
      <formula>M115&gt;O115+#REF!</formula>
    </cfRule>
  </conditionalFormatting>
  <conditionalFormatting sqref="M118:O118">
    <cfRule type="expression" dxfId="14790" priority="5952">
      <formula>M118&gt;O118+#REF!</formula>
    </cfRule>
  </conditionalFormatting>
  <conditionalFormatting sqref="M119:O119">
    <cfRule type="expression" dxfId="14789" priority="5951">
      <formula>M119&gt;O119+#REF!</formula>
    </cfRule>
  </conditionalFormatting>
  <conditionalFormatting sqref="M125:O125">
    <cfRule type="expression" dxfId="14788" priority="5958">
      <formula>M125&gt;O125*#REF!</formula>
    </cfRule>
  </conditionalFormatting>
  <conditionalFormatting sqref="M161:O162">
    <cfRule type="expression" dxfId="14787" priority="5784">
      <formula>M161&lt;O161*#REF!</formula>
    </cfRule>
    <cfRule type="expression" dxfId="14786" priority="5785">
      <formula>M161&gt;O161*#REF!</formula>
    </cfRule>
  </conditionalFormatting>
  <conditionalFormatting sqref="M163:O163">
    <cfRule type="expression" dxfId="14785" priority="5782">
      <formula>M163&gt;O163+#REF!</formula>
    </cfRule>
  </conditionalFormatting>
  <conditionalFormatting sqref="M163:O165">
    <cfRule type="expression" dxfId="14784" priority="5788">
      <formula>M163&lt;O163-#REF!</formula>
    </cfRule>
  </conditionalFormatting>
  <conditionalFormatting sqref="M164:O164">
    <cfRule type="expression" dxfId="14783" priority="5781">
      <formula>M164&gt;O164+#REF!</formula>
    </cfRule>
  </conditionalFormatting>
  <conditionalFormatting sqref="M165:O165">
    <cfRule type="expression" dxfId="14782" priority="5780">
      <formula>M165&gt;O165+#REF!</formula>
    </cfRule>
  </conditionalFormatting>
  <conditionalFormatting sqref="M166:O166">
    <cfRule type="expression" dxfId="14781" priority="5779">
      <formula>M166&gt;O166+#REF!</formula>
    </cfRule>
  </conditionalFormatting>
  <conditionalFormatting sqref="M169:O169">
    <cfRule type="expression" dxfId="14780" priority="5777">
      <formula>M169&gt;O169+#REF!</formula>
    </cfRule>
  </conditionalFormatting>
  <conditionalFormatting sqref="M170:O170">
    <cfRule type="expression" dxfId="14779" priority="5776">
      <formula>M170&gt;O170+#REF!</formula>
    </cfRule>
  </conditionalFormatting>
  <conditionalFormatting sqref="M176:O176">
    <cfRule type="expression" dxfId="14778" priority="5783">
      <formula>M176&gt;O176*#REF!</formula>
    </cfRule>
  </conditionalFormatting>
  <conditionalFormatting sqref="M178:O179">
    <cfRule type="expression" dxfId="14777" priority="5609">
      <formula>M178&lt;O178*#REF!</formula>
    </cfRule>
    <cfRule type="expression" dxfId="14776" priority="5610">
      <formula>M178&gt;O178*#REF!</formula>
    </cfRule>
  </conditionalFormatting>
  <conditionalFormatting sqref="M180:O180">
    <cfRule type="expression" dxfId="14775" priority="5607">
      <formula>M180&gt;O180+#REF!</formula>
    </cfRule>
  </conditionalFormatting>
  <conditionalFormatting sqref="M180:O182">
    <cfRule type="expression" dxfId="14774" priority="5613">
      <formula>M180&lt;O180-#REF!</formula>
    </cfRule>
  </conditionalFormatting>
  <conditionalFormatting sqref="M181:O181">
    <cfRule type="expression" dxfId="14773" priority="5606">
      <formula>M181&gt;O181+#REF!</formula>
    </cfRule>
  </conditionalFormatting>
  <conditionalFormatting sqref="M182:O182">
    <cfRule type="expression" dxfId="14772" priority="5605">
      <formula>M182&gt;O182+#REF!</formula>
    </cfRule>
  </conditionalFormatting>
  <conditionalFormatting sqref="M183:O183">
    <cfRule type="expression" dxfId="14771" priority="5604">
      <formula>M183&gt;O183+#REF!</formula>
    </cfRule>
  </conditionalFormatting>
  <conditionalFormatting sqref="M186:O186">
    <cfRule type="expression" dxfId="14770" priority="5602">
      <formula>M186&gt;O186+#REF!</formula>
    </cfRule>
  </conditionalFormatting>
  <conditionalFormatting sqref="M187:O187">
    <cfRule type="expression" dxfId="14769" priority="5601">
      <formula>M187&gt;O187+#REF!</formula>
    </cfRule>
  </conditionalFormatting>
  <conditionalFormatting sqref="M193:O193">
    <cfRule type="expression" dxfId="14768" priority="5608">
      <formula>M193&gt;O193*#REF!</formula>
    </cfRule>
  </conditionalFormatting>
  <conditionalFormatting sqref="M195:O196">
    <cfRule type="expression" dxfId="14767" priority="5434">
      <formula>M195&lt;O195*#REF!</formula>
    </cfRule>
    <cfRule type="expression" dxfId="14766" priority="5435">
      <formula>M195&gt;O195*#REF!</formula>
    </cfRule>
  </conditionalFormatting>
  <conditionalFormatting sqref="M197:O197">
    <cfRule type="expression" dxfId="14765" priority="5432">
      <formula>M197&gt;O197+#REF!</formula>
    </cfRule>
  </conditionalFormatting>
  <conditionalFormatting sqref="M197:O199">
    <cfRule type="expression" dxfId="14764" priority="5438">
      <formula>M197&lt;O197-#REF!</formula>
    </cfRule>
  </conditionalFormatting>
  <conditionalFormatting sqref="M198:O198">
    <cfRule type="expression" dxfId="14763" priority="5431">
      <formula>M198&gt;O198+#REF!</formula>
    </cfRule>
  </conditionalFormatting>
  <conditionalFormatting sqref="M199:O199">
    <cfRule type="expression" dxfId="14762" priority="5430">
      <formula>M199&gt;O199+#REF!</formula>
    </cfRule>
  </conditionalFormatting>
  <conditionalFormatting sqref="M200:O200">
    <cfRule type="expression" dxfId="14761" priority="5429">
      <formula>M200&gt;O200+#REF!</formula>
    </cfRule>
  </conditionalFormatting>
  <conditionalFormatting sqref="M203:O203">
    <cfRule type="expression" dxfId="14760" priority="5427">
      <formula>M203&gt;O203+#REF!</formula>
    </cfRule>
  </conditionalFormatting>
  <conditionalFormatting sqref="M204:O204">
    <cfRule type="expression" dxfId="14759" priority="5426">
      <formula>M204&gt;O204+#REF!</formula>
    </cfRule>
  </conditionalFormatting>
  <conditionalFormatting sqref="M210:O210">
    <cfRule type="expression" dxfId="14758" priority="5433">
      <formula>M210&gt;O210*#REF!</formula>
    </cfRule>
  </conditionalFormatting>
  <conditionalFormatting sqref="M212:O213">
    <cfRule type="expression" dxfId="14757" priority="5259">
      <formula>M212&lt;O212*#REF!</formula>
    </cfRule>
    <cfRule type="expression" dxfId="14756" priority="5260">
      <formula>M212&gt;O212*#REF!</formula>
    </cfRule>
  </conditionalFormatting>
  <conditionalFormatting sqref="M214:O214">
    <cfRule type="expression" dxfId="14755" priority="5257">
      <formula>M214&gt;O214+#REF!</formula>
    </cfRule>
  </conditionalFormatting>
  <conditionalFormatting sqref="M214:O216">
    <cfRule type="expression" dxfId="14754" priority="5263">
      <formula>M214&lt;O214-#REF!</formula>
    </cfRule>
  </conditionalFormatting>
  <conditionalFormatting sqref="M215:O215">
    <cfRule type="expression" dxfId="14753" priority="5256">
      <formula>M215&gt;O215+#REF!</formula>
    </cfRule>
  </conditionalFormatting>
  <conditionalFormatting sqref="M216:O216">
    <cfRule type="expression" dxfId="14752" priority="5255">
      <formula>M216&gt;O216+#REF!</formula>
    </cfRule>
  </conditionalFormatting>
  <conditionalFormatting sqref="M217:O217">
    <cfRule type="expression" dxfId="14751" priority="5254">
      <formula>M217&gt;O217+#REF!</formula>
    </cfRule>
  </conditionalFormatting>
  <conditionalFormatting sqref="M220:O220">
    <cfRule type="expression" dxfId="14750" priority="5252">
      <formula>M220&gt;O220+#REF!</formula>
    </cfRule>
  </conditionalFormatting>
  <conditionalFormatting sqref="M221:O221">
    <cfRule type="expression" dxfId="14749" priority="5251">
      <formula>M221&gt;O221+#REF!</formula>
    </cfRule>
  </conditionalFormatting>
  <conditionalFormatting sqref="M227:O227">
    <cfRule type="expression" dxfId="14748" priority="5258">
      <formula>M227&gt;O227*#REF!</formula>
    </cfRule>
  </conditionalFormatting>
  <conditionalFormatting sqref="M229:O230">
    <cfRule type="expression" dxfId="14747" priority="5084">
      <formula>M229&lt;O229*#REF!</formula>
    </cfRule>
    <cfRule type="expression" dxfId="14746" priority="5085">
      <formula>M229&gt;O229*#REF!</formula>
    </cfRule>
  </conditionalFormatting>
  <conditionalFormatting sqref="M231:O231">
    <cfRule type="expression" dxfId="14745" priority="5082">
      <formula>M231&gt;O231+#REF!</formula>
    </cfRule>
  </conditionalFormatting>
  <conditionalFormatting sqref="M231:O233">
    <cfRule type="expression" dxfId="14744" priority="5088">
      <formula>M231&lt;O231-#REF!</formula>
    </cfRule>
  </conditionalFormatting>
  <conditionalFormatting sqref="M232:O232">
    <cfRule type="expression" dxfId="14743" priority="5081">
      <formula>M232&gt;O232+#REF!</formula>
    </cfRule>
  </conditionalFormatting>
  <conditionalFormatting sqref="M233:O233">
    <cfRule type="expression" dxfId="14742" priority="5080">
      <formula>M233&gt;O233+#REF!</formula>
    </cfRule>
  </conditionalFormatting>
  <conditionalFormatting sqref="M234:O234">
    <cfRule type="expression" dxfId="14741" priority="5079">
      <formula>M234&gt;O234+#REF!</formula>
    </cfRule>
  </conditionalFormatting>
  <conditionalFormatting sqref="M237:O237">
    <cfRule type="expression" dxfId="14740" priority="5077">
      <formula>M237&gt;O237+#REF!</formula>
    </cfRule>
  </conditionalFormatting>
  <conditionalFormatting sqref="M238:O238">
    <cfRule type="expression" dxfId="14739" priority="5076">
      <formula>M238&gt;O238+#REF!</formula>
    </cfRule>
  </conditionalFormatting>
  <conditionalFormatting sqref="M244:O244">
    <cfRule type="expression" dxfId="14738" priority="5083">
      <formula>M244&gt;O244*#REF!</formula>
    </cfRule>
  </conditionalFormatting>
  <conditionalFormatting sqref="M246:O247">
    <cfRule type="expression" dxfId="14737" priority="4584">
      <formula>M246&lt;O246*#REF!</formula>
    </cfRule>
    <cfRule type="expression" dxfId="14736" priority="4585">
      <formula>M246&gt;O246*#REF!</formula>
    </cfRule>
  </conditionalFormatting>
  <conditionalFormatting sqref="M248:O248">
    <cfRule type="expression" dxfId="14735" priority="4582">
      <formula>M248&gt;O248+#REF!</formula>
    </cfRule>
  </conditionalFormatting>
  <conditionalFormatting sqref="M248:O250">
    <cfRule type="expression" dxfId="14734" priority="4587">
      <formula>M248&lt;O248-#REF!</formula>
    </cfRule>
  </conditionalFormatting>
  <conditionalFormatting sqref="M249:O249">
    <cfRule type="expression" dxfId="14733" priority="4581">
      <formula>M249&gt;O249+#REF!</formula>
    </cfRule>
  </conditionalFormatting>
  <conditionalFormatting sqref="M250:O250">
    <cfRule type="expression" dxfId="14732" priority="4580">
      <formula>M250&gt;O250+#REF!</formula>
    </cfRule>
  </conditionalFormatting>
  <conditionalFormatting sqref="M251:O251">
    <cfRule type="expression" dxfId="14731" priority="4579">
      <formula>M251&gt;O251+#REF!</formula>
    </cfRule>
  </conditionalFormatting>
  <conditionalFormatting sqref="M254:O254">
    <cfRule type="expression" dxfId="14730" priority="4577">
      <formula>M254&gt;O254+#REF!</formula>
    </cfRule>
  </conditionalFormatting>
  <conditionalFormatting sqref="M255:O255">
    <cfRule type="expression" dxfId="14729" priority="4576">
      <formula>M255&gt;O255+#REF!</formula>
    </cfRule>
  </conditionalFormatting>
  <conditionalFormatting sqref="M261:O261">
    <cfRule type="expression" dxfId="14728" priority="4583">
      <formula>M261&gt;O261*#REF!</formula>
    </cfRule>
  </conditionalFormatting>
  <conditionalFormatting sqref="M263:O264">
    <cfRule type="expression" dxfId="14727" priority="3672">
      <formula>M263&lt;O263*#REF!</formula>
    </cfRule>
    <cfRule type="expression" dxfId="14726" priority="3673">
      <formula>M263&gt;O263*#REF!</formula>
    </cfRule>
  </conditionalFormatting>
  <conditionalFormatting sqref="M265:O265">
    <cfRule type="expression" dxfId="14725" priority="3670">
      <formula>M265&gt;O265+#REF!</formula>
    </cfRule>
  </conditionalFormatting>
  <conditionalFormatting sqref="M265:O267">
    <cfRule type="expression" dxfId="14724" priority="3676">
      <formula>M265&lt;O265-#REF!</formula>
    </cfRule>
  </conditionalFormatting>
  <conditionalFormatting sqref="M266:O266">
    <cfRule type="expression" dxfId="14723" priority="3669">
      <formula>M266&gt;O266+#REF!</formula>
    </cfRule>
  </conditionalFormatting>
  <conditionalFormatting sqref="M267:O267">
    <cfRule type="expression" dxfId="14722" priority="3668">
      <formula>M267&gt;O267+#REF!</formula>
    </cfRule>
  </conditionalFormatting>
  <conditionalFormatting sqref="M268:O268">
    <cfRule type="expression" dxfId="14721" priority="3667">
      <formula>M268&gt;O268+#REF!</formula>
    </cfRule>
  </conditionalFormatting>
  <conditionalFormatting sqref="M271:O271">
    <cfRule type="expression" dxfId="14720" priority="3665">
      <formula>M271&gt;O271+#REF!</formula>
    </cfRule>
  </conditionalFormatting>
  <conditionalFormatting sqref="M272:O272">
    <cfRule type="expression" dxfId="14719" priority="3664">
      <formula>M272&gt;O272+#REF!</formula>
    </cfRule>
  </conditionalFormatting>
  <conditionalFormatting sqref="M278:O278">
    <cfRule type="expression" dxfId="14718" priority="3671">
      <formula>M278&gt;O278*#REF!</formula>
    </cfRule>
  </conditionalFormatting>
  <conditionalFormatting sqref="M280:O281">
    <cfRule type="expression" dxfId="14717" priority="4399">
      <formula>M280&lt;O280*#REF!</formula>
    </cfRule>
    <cfRule type="expression" dxfId="14716" priority="4400">
      <formula>M280&gt;O280*#REF!</formula>
    </cfRule>
  </conditionalFormatting>
  <conditionalFormatting sqref="M282:O282">
    <cfRule type="expression" dxfId="14715" priority="4397">
      <formula>M282&gt;O282+#REF!</formula>
    </cfRule>
  </conditionalFormatting>
  <conditionalFormatting sqref="M282:O284">
    <cfRule type="expression" dxfId="14714" priority="4402">
      <formula>M282&lt;O282-#REF!</formula>
    </cfRule>
  </conditionalFormatting>
  <conditionalFormatting sqref="M283:O283">
    <cfRule type="expression" dxfId="14713" priority="4396">
      <formula>M283&gt;O283+#REF!</formula>
    </cfRule>
  </conditionalFormatting>
  <conditionalFormatting sqref="M284:O284">
    <cfRule type="expression" dxfId="14712" priority="4395">
      <formula>M284&gt;O284+#REF!</formula>
    </cfRule>
  </conditionalFormatting>
  <conditionalFormatting sqref="M285:O285">
    <cfRule type="expression" dxfId="14711" priority="4394">
      <formula>M285&gt;O285+#REF!</formula>
    </cfRule>
  </conditionalFormatting>
  <conditionalFormatting sqref="M288:O288">
    <cfRule type="expression" dxfId="14710" priority="4392">
      <formula>M288&gt;O288+#REF!</formula>
    </cfRule>
  </conditionalFormatting>
  <conditionalFormatting sqref="M289:O289">
    <cfRule type="expression" dxfId="14709" priority="4391">
      <formula>M289&gt;O289+#REF!</formula>
    </cfRule>
  </conditionalFormatting>
  <conditionalFormatting sqref="M295:O295">
    <cfRule type="expression" dxfId="14708" priority="4398">
      <formula>M295&gt;O295*#REF!</formula>
    </cfRule>
  </conditionalFormatting>
  <conditionalFormatting sqref="M297:O298">
    <cfRule type="expression" dxfId="14707" priority="4217">
      <formula>M297&lt;O297*#REF!</formula>
    </cfRule>
    <cfRule type="expression" dxfId="14706" priority="4218">
      <formula>M297&gt;O297*#REF!</formula>
    </cfRule>
  </conditionalFormatting>
  <conditionalFormatting sqref="M299:O299">
    <cfRule type="expression" dxfId="14705" priority="4215">
      <formula>M299&gt;O299+#REF!</formula>
    </cfRule>
  </conditionalFormatting>
  <conditionalFormatting sqref="M299:O301">
    <cfRule type="expression" dxfId="14704" priority="4220">
      <formula>M299&lt;O299-#REF!</formula>
    </cfRule>
  </conditionalFormatting>
  <conditionalFormatting sqref="M300:O300">
    <cfRule type="expression" dxfId="14703" priority="4214">
      <formula>M300&gt;O300+#REF!</formula>
    </cfRule>
  </conditionalFormatting>
  <conditionalFormatting sqref="M301:O301">
    <cfRule type="expression" dxfId="14702" priority="4213">
      <formula>M301&gt;O301+#REF!</formula>
    </cfRule>
  </conditionalFormatting>
  <conditionalFormatting sqref="M302:O302">
    <cfRule type="expression" dxfId="14701" priority="4212">
      <formula>M302&gt;O302+#REF!</formula>
    </cfRule>
  </conditionalFormatting>
  <conditionalFormatting sqref="M305:O305">
    <cfRule type="expression" dxfId="14700" priority="4210">
      <formula>M305&gt;O305+#REF!</formula>
    </cfRule>
  </conditionalFormatting>
  <conditionalFormatting sqref="M306:O306">
    <cfRule type="expression" dxfId="14699" priority="4209">
      <formula>M306&gt;O306+#REF!</formula>
    </cfRule>
  </conditionalFormatting>
  <conditionalFormatting sqref="M312:O312">
    <cfRule type="expression" dxfId="14698" priority="4216">
      <formula>M312&gt;O312*#REF!</formula>
    </cfRule>
  </conditionalFormatting>
  <conditionalFormatting sqref="M314:O315">
    <cfRule type="expression" dxfId="14697" priority="4035">
      <formula>M314&lt;O314*#REF!</formula>
    </cfRule>
    <cfRule type="expression" dxfId="14696" priority="4036">
      <formula>M314&gt;O314*#REF!</formula>
    </cfRule>
  </conditionalFormatting>
  <conditionalFormatting sqref="M316:O316">
    <cfRule type="expression" dxfId="14695" priority="4033">
      <formula>M316&gt;O316+#REF!</formula>
    </cfRule>
  </conditionalFormatting>
  <conditionalFormatting sqref="M316:O318">
    <cfRule type="expression" dxfId="14694" priority="4038">
      <formula>M316&lt;O316-#REF!</formula>
    </cfRule>
  </conditionalFormatting>
  <conditionalFormatting sqref="M317:O317">
    <cfRule type="expression" dxfId="14693" priority="4032">
      <formula>M317&gt;O317+#REF!</formula>
    </cfRule>
  </conditionalFormatting>
  <conditionalFormatting sqref="M318:O318">
    <cfRule type="expression" dxfId="14692" priority="4031">
      <formula>M318&gt;O318+#REF!</formula>
    </cfRule>
  </conditionalFormatting>
  <conditionalFormatting sqref="M319:O319">
    <cfRule type="expression" dxfId="14691" priority="4030">
      <formula>M319&gt;O319+#REF!</formula>
    </cfRule>
  </conditionalFormatting>
  <conditionalFormatting sqref="M322:O322">
    <cfRule type="expression" dxfId="14690" priority="4028">
      <formula>M322&gt;O322+#REF!</formula>
    </cfRule>
  </conditionalFormatting>
  <conditionalFormatting sqref="M323:O323">
    <cfRule type="expression" dxfId="14689" priority="4027">
      <formula>M323&gt;O323+#REF!</formula>
    </cfRule>
  </conditionalFormatting>
  <conditionalFormatting sqref="M329:O329">
    <cfRule type="expression" dxfId="14688" priority="4034">
      <formula>M329&gt;O329*#REF!</formula>
    </cfRule>
  </conditionalFormatting>
  <conditionalFormatting sqref="M331:O332">
    <cfRule type="expression" dxfId="14687" priority="3853">
      <formula>M331&lt;O331*#REF!</formula>
    </cfRule>
    <cfRule type="expression" dxfId="14686" priority="3854">
      <formula>M331&gt;O331*#REF!</formula>
    </cfRule>
  </conditionalFormatting>
  <conditionalFormatting sqref="M333:O333">
    <cfRule type="expression" dxfId="14685" priority="3851">
      <formula>M333&gt;O333+#REF!</formula>
    </cfRule>
  </conditionalFormatting>
  <conditionalFormatting sqref="M333:O335">
    <cfRule type="expression" dxfId="14684" priority="3856">
      <formula>M333&lt;O333-#REF!</formula>
    </cfRule>
  </conditionalFormatting>
  <conditionalFormatting sqref="M334:O334">
    <cfRule type="expression" dxfId="14683" priority="3850">
      <formula>M334&gt;O334+#REF!</formula>
    </cfRule>
  </conditionalFormatting>
  <conditionalFormatting sqref="M335:O335">
    <cfRule type="expression" dxfId="14682" priority="3849">
      <formula>M335&gt;O335+#REF!</formula>
    </cfRule>
  </conditionalFormatting>
  <conditionalFormatting sqref="M336:O336">
    <cfRule type="expression" dxfId="14681" priority="3848">
      <formula>M336&gt;O336+#REF!</formula>
    </cfRule>
  </conditionalFormatting>
  <conditionalFormatting sqref="M339:O339">
    <cfRule type="expression" dxfId="14680" priority="3846">
      <formula>M339&gt;O339+#REF!</formula>
    </cfRule>
  </conditionalFormatting>
  <conditionalFormatting sqref="M340:O340">
    <cfRule type="expression" dxfId="14679" priority="3845">
      <formula>M340&gt;O340+#REF!</formula>
    </cfRule>
  </conditionalFormatting>
  <conditionalFormatting sqref="M346:O346">
    <cfRule type="expression" dxfId="14678" priority="3852">
      <formula>M346&gt;O346*#REF!</formula>
    </cfRule>
  </conditionalFormatting>
  <conditionalFormatting sqref="M348:O349">
    <cfRule type="expression" dxfId="14677" priority="4734">
      <formula>M348&lt;O348*#REF!</formula>
    </cfRule>
    <cfRule type="expression" dxfId="14676" priority="4735">
      <formula>M348&gt;O348*#REF!</formula>
    </cfRule>
  </conditionalFormatting>
  <conditionalFormatting sqref="M350:O350">
    <cfRule type="expression" dxfId="14675" priority="4732">
      <formula>M350&gt;O350+#REF!</formula>
    </cfRule>
  </conditionalFormatting>
  <conditionalFormatting sqref="M350:O352">
    <cfRule type="expression" dxfId="14674" priority="4738">
      <formula>M350&lt;O350-#REF!</formula>
    </cfRule>
  </conditionalFormatting>
  <conditionalFormatting sqref="M351:O351">
    <cfRule type="expression" dxfId="14673" priority="4731">
      <formula>M351&gt;O351+#REF!</formula>
    </cfRule>
  </conditionalFormatting>
  <conditionalFormatting sqref="M352:O352">
    <cfRule type="expression" dxfId="14672" priority="4730">
      <formula>M352&gt;O352+#REF!</formula>
    </cfRule>
  </conditionalFormatting>
  <conditionalFormatting sqref="M353:O353">
    <cfRule type="expression" dxfId="14671" priority="4729">
      <formula>M353&gt;O353+#REF!</formula>
    </cfRule>
  </conditionalFormatting>
  <conditionalFormatting sqref="M356:O356">
    <cfRule type="expression" dxfId="14670" priority="4727">
      <formula>M356&gt;O356+#REF!</formula>
    </cfRule>
  </conditionalFormatting>
  <conditionalFormatting sqref="M357:O357">
    <cfRule type="expression" dxfId="14669" priority="4726">
      <formula>M357&gt;O357+#REF!</formula>
    </cfRule>
  </conditionalFormatting>
  <conditionalFormatting sqref="M363:O363">
    <cfRule type="expression" dxfId="14668" priority="4733">
      <formula>M363&gt;O363*#REF!</formula>
    </cfRule>
  </conditionalFormatting>
  <conditionalFormatting sqref="N14:N15">
    <cfRule type="expression" dxfId="14667" priority="6997">
      <formula>N14&gt;P14+#REF!</formula>
    </cfRule>
    <cfRule type="expression" dxfId="14666" priority="6998">
      <formula>N14&lt;P14-#REF!</formula>
    </cfRule>
  </conditionalFormatting>
  <conditionalFormatting sqref="N18:N19">
    <cfRule type="expression" dxfId="14665" priority="6995">
      <formula>N18&gt;P18+#REF!</formula>
    </cfRule>
  </conditionalFormatting>
  <conditionalFormatting sqref="N18:N22">
    <cfRule type="expression" dxfId="14664" priority="6996">
      <formula>N18&lt;P18-#REF!</formula>
    </cfRule>
  </conditionalFormatting>
  <conditionalFormatting sqref="N20:N22">
    <cfRule type="expression" dxfId="14663" priority="6994">
      <formula>N20&gt;P20+#REF!</formula>
    </cfRule>
  </conditionalFormatting>
  <conditionalFormatting sqref="N31:N32">
    <cfRule type="expression" dxfId="14662" priority="6822">
      <formula>N31&gt;P31+#REF!</formula>
    </cfRule>
    <cfRule type="expression" dxfId="14661" priority="6823">
      <formula>N31&lt;P31-#REF!</formula>
    </cfRule>
  </conditionalFormatting>
  <conditionalFormatting sqref="N35:N36">
    <cfRule type="expression" dxfId="14660" priority="6820">
      <formula>N35&gt;P35+#REF!</formula>
    </cfRule>
  </conditionalFormatting>
  <conditionalFormatting sqref="N35:N39">
    <cfRule type="expression" dxfId="14659" priority="6821">
      <formula>N35&lt;P35-#REF!</formula>
    </cfRule>
  </conditionalFormatting>
  <conditionalFormatting sqref="N37:N39">
    <cfRule type="expression" dxfId="14658" priority="6819">
      <formula>N37&gt;P37+#REF!</formula>
    </cfRule>
  </conditionalFormatting>
  <conditionalFormatting sqref="N48:N49">
    <cfRule type="expression" dxfId="14657" priority="6647">
      <formula>N48&gt;P48+#REF!</formula>
    </cfRule>
    <cfRule type="expression" dxfId="14656" priority="6648">
      <formula>N48&lt;P48-#REF!</formula>
    </cfRule>
  </conditionalFormatting>
  <conditionalFormatting sqref="N52:N53">
    <cfRule type="expression" dxfId="14655" priority="6645">
      <formula>N52&gt;P52+#REF!</formula>
    </cfRule>
  </conditionalFormatting>
  <conditionalFormatting sqref="N52:N56">
    <cfRule type="expression" dxfId="14654" priority="6646">
      <formula>N52&lt;P52-#REF!</formula>
    </cfRule>
  </conditionalFormatting>
  <conditionalFormatting sqref="N54:N56">
    <cfRule type="expression" dxfId="14653" priority="6644">
      <formula>N54&gt;P54+#REF!</formula>
    </cfRule>
  </conditionalFormatting>
  <conditionalFormatting sqref="N65:N66">
    <cfRule type="expression" dxfId="14652" priority="6472">
      <formula>N65&gt;P65+#REF!</formula>
    </cfRule>
    <cfRule type="expression" dxfId="14651" priority="6473">
      <formula>N65&lt;P65-#REF!</formula>
    </cfRule>
  </conditionalFormatting>
  <conditionalFormatting sqref="N69:N70">
    <cfRule type="expression" dxfId="14650" priority="6470">
      <formula>N69&gt;P69+#REF!</formula>
    </cfRule>
  </conditionalFormatting>
  <conditionalFormatting sqref="N69:N73">
    <cfRule type="expression" dxfId="14649" priority="6471">
      <formula>N69&lt;P69-#REF!</formula>
    </cfRule>
  </conditionalFormatting>
  <conditionalFormatting sqref="N71:N73">
    <cfRule type="expression" dxfId="14648" priority="6469">
      <formula>N71&gt;P71+#REF!</formula>
    </cfRule>
  </conditionalFormatting>
  <conditionalFormatting sqref="N82:N83">
    <cfRule type="expression" dxfId="14647" priority="6297">
      <formula>N82&gt;P82+#REF!</formula>
    </cfRule>
    <cfRule type="expression" dxfId="14646" priority="6298">
      <formula>N82&lt;P82-#REF!</formula>
    </cfRule>
  </conditionalFormatting>
  <conditionalFormatting sqref="N86:N87">
    <cfRule type="expression" dxfId="14645" priority="6295">
      <formula>N86&gt;P86+#REF!</formula>
    </cfRule>
  </conditionalFormatting>
  <conditionalFormatting sqref="N86:N90">
    <cfRule type="expression" dxfId="14644" priority="6296">
      <formula>N86&lt;P86-#REF!</formula>
    </cfRule>
  </conditionalFormatting>
  <conditionalFormatting sqref="N88:N90">
    <cfRule type="expression" dxfId="14643" priority="6294">
      <formula>N88&gt;P88+#REF!</formula>
    </cfRule>
  </conditionalFormatting>
  <conditionalFormatting sqref="N99:N100">
    <cfRule type="expression" dxfId="14642" priority="6122">
      <formula>N99&gt;P99+#REF!</formula>
    </cfRule>
    <cfRule type="expression" dxfId="14641" priority="6123">
      <formula>N99&lt;P99-#REF!</formula>
    </cfRule>
  </conditionalFormatting>
  <conditionalFormatting sqref="N103:N104">
    <cfRule type="expression" dxfId="14640" priority="6120">
      <formula>N103&gt;P103+#REF!</formula>
    </cfRule>
  </conditionalFormatting>
  <conditionalFormatting sqref="N103:N107">
    <cfRule type="expression" dxfId="14639" priority="6121">
      <formula>N103&lt;P103-#REF!</formula>
    </cfRule>
  </conditionalFormatting>
  <conditionalFormatting sqref="N105:N107">
    <cfRule type="expression" dxfId="14638" priority="6119">
      <formula>N105&gt;P105+#REF!</formula>
    </cfRule>
  </conditionalFormatting>
  <conditionalFormatting sqref="N116:N117">
    <cfRule type="expression" dxfId="14637" priority="5947">
      <formula>N116&gt;P116+#REF!</formula>
    </cfRule>
    <cfRule type="expression" dxfId="14636" priority="5948">
      <formula>N116&lt;P116-#REF!</formula>
    </cfRule>
  </conditionalFormatting>
  <conditionalFormatting sqref="N120:N121">
    <cfRule type="expression" dxfId="14635" priority="5945">
      <formula>N120&gt;P120+#REF!</formula>
    </cfRule>
  </conditionalFormatting>
  <conditionalFormatting sqref="N120:N124">
    <cfRule type="expression" dxfId="14634" priority="5946">
      <formula>N120&lt;P120-#REF!</formula>
    </cfRule>
  </conditionalFormatting>
  <conditionalFormatting sqref="N122:N124">
    <cfRule type="expression" dxfId="14633" priority="5944">
      <formula>N122&gt;P122+#REF!</formula>
    </cfRule>
  </conditionalFormatting>
  <conditionalFormatting sqref="N167:N168">
    <cfRule type="expression" dxfId="14632" priority="5772">
      <formula>N167&gt;P167+#REF!</formula>
    </cfRule>
    <cfRule type="expression" dxfId="14631" priority="5773">
      <formula>N167&lt;P167-#REF!</formula>
    </cfRule>
  </conditionalFormatting>
  <conditionalFormatting sqref="N171:N172">
    <cfRule type="expression" dxfId="14630" priority="5770">
      <formula>N171&gt;P171+#REF!</formula>
    </cfRule>
  </conditionalFormatting>
  <conditionalFormatting sqref="N171:N175">
    <cfRule type="expression" dxfId="14629" priority="5771">
      <formula>N171&lt;P171-#REF!</formula>
    </cfRule>
  </conditionalFormatting>
  <conditionalFormatting sqref="N173:N175">
    <cfRule type="expression" dxfId="14628" priority="5769">
      <formula>N173&gt;P173+#REF!</formula>
    </cfRule>
  </conditionalFormatting>
  <conditionalFormatting sqref="N184:N185">
    <cfRule type="expression" dxfId="14627" priority="5597">
      <formula>N184&gt;P184+#REF!</formula>
    </cfRule>
    <cfRule type="expression" dxfId="14626" priority="5598">
      <formula>N184&lt;P184-#REF!</formula>
    </cfRule>
  </conditionalFormatting>
  <conditionalFormatting sqref="N188:N189">
    <cfRule type="expression" dxfId="14625" priority="5595">
      <formula>N188&gt;P188+#REF!</formula>
    </cfRule>
  </conditionalFormatting>
  <conditionalFormatting sqref="N188:N192">
    <cfRule type="expression" dxfId="14624" priority="5596">
      <formula>N188&lt;P188-#REF!</formula>
    </cfRule>
  </conditionalFormatting>
  <conditionalFormatting sqref="N190:N192">
    <cfRule type="expression" dxfId="14623" priority="5594">
      <formula>N190&gt;P190+#REF!</formula>
    </cfRule>
  </conditionalFormatting>
  <conditionalFormatting sqref="N201:N202">
    <cfRule type="expression" dxfId="14622" priority="5422">
      <formula>N201&gt;P201+#REF!</formula>
    </cfRule>
    <cfRule type="expression" dxfId="14621" priority="5423">
      <formula>N201&lt;P201-#REF!</formula>
    </cfRule>
  </conditionalFormatting>
  <conditionalFormatting sqref="N205:N206">
    <cfRule type="expression" dxfId="14620" priority="5420">
      <formula>N205&gt;P205+#REF!</formula>
    </cfRule>
  </conditionalFormatting>
  <conditionalFormatting sqref="N205:N209">
    <cfRule type="expression" dxfId="14619" priority="5421">
      <formula>N205&lt;P205-#REF!</formula>
    </cfRule>
  </conditionalFormatting>
  <conditionalFormatting sqref="N207:N209">
    <cfRule type="expression" dxfId="14618" priority="5419">
      <formula>N207&gt;P207+#REF!</formula>
    </cfRule>
  </conditionalFormatting>
  <conditionalFormatting sqref="N218:N219">
    <cfRule type="expression" dxfId="14617" priority="5247">
      <formula>N218&gt;P218+#REF!</formula>
    </cfRule>
    <cfRule type="expression" dxfId="14616" priority="5248">
      <formula>N218&lt;P218-#REF!</formula>
    </cfRule>
  </conditionalFormatting>
  <conditionalFormatting sqref="N222:N223">
    <cfRule type="expression" dxfId="14615" priority="5245">
      <formula>N222&gt;P222+#REF!</formula>
    </cfRule>
  </conditionalFormatting>
  <conditionalFormatting sqref="N222:N226">
    <cfRule type="expression" dxfId="14614" priority="5246">
      <formula>N222&lt;P222-#REF!</formula>
    </cfRule>
  </conditionalFormatting>
  <conditionalFormatting sqref="N224:N226">
    <cfRule type="expression" dxfId="14613" priority="5244">
      <formula>N224&gt;P224+#REF!</formula>
    </cfRule>
  </conditionalFormatting>
  <conditionalFormatting sqref="N235:N236">
    <cfRule type="expression" dxfId="14612" priority="5072">
      <formula>N235&gt;P235+#REF!</formula>
    </cfRule>
    <cfRule type="expression" dxfId="14611" priority="5073">
      <formula>N235&lt;P235-#REF!</formula>
    </cfRule>
  </conditionalFormatting>
  <conditionalFormatting sqref="N239:N240">
    <cfRule type="expression" dxfId="14610" priority="5070">
      <formula>N239&gt;P239+#REF!</formula>
    </cfRule>
  </conditionalFormatting>
  <conditionalFormatting sqref="N239:N243">
    <cfRule type="expression" dxfId="14609" priority="5071">
      <formula>N239&lt;P239-#REF!</formula>
    </cfRule>
  </conditionalFormatting>
  <conditionalFormatting sqref="N241:N243">
    <cfRule type="expression" dxfId="14608" priority="5069">
      <formula>N241&gt;P241+#REF!</formula>
    </cfRule>
  </conditionalFormatting>
  <conditionalFormatting sqref="N252:N253">
    <cfRule type="expression" dxfId="14607" priority="4572">
      <formula>N252&gt;P252+#REF!</formula>
    </cfRule>
    <cfRule type="expression" dxfId="14606" priority="4573">
      <formula>N252&lt;P252-#REF!</formula>
    </cfRule>
  </conditionalFormatting>
  <conditionalFormatting sqref="N256:N257">
    <cfRule type="expression" dxfId="14605" priority="4570">
      <formula>N256&gt;P256+#REF!</formula>
    </cfRule>
  </conditionalFormatting>
  <conditionalFormatting sqref="N256:N259">
    <cfRule type="expression" dxfId="14604" priority="4571">
      <formula>N256&lt;P256-#REF!</formula>
    </cfRule>
  </conditionalFormatting>
  <conditionalFormatting sqref="N258:N259">
    <cfRule type="expression" dxfId="14603" priority="4569">
      <formula>N258&gt;P258+#REF!</formula>
    </cfRule>
  </conditionalFormatting>
  <conditionalFormatting sqref="N260">
    <cfRule type="expression" dxfId="14602" priority="4563">
      <formula>N260&gt;P260+#REF!</formula>
    </cfRule>
  </conditionalFormatting>
  <conditionalFormatting sqref="N269:N270">
    <cfRule type="expression" dxfId="14601" priority="3660">
      <formula>N269&gt;P269+#REF!</formula>
    </cfRule>
    <cfRule type="expression" dxfId="14600" priority="3661">
      <formula>N269&lt;P269-#REF!</formula>
    </cfRule>
  </conditionalFormatting>
  <conditionalFormatting sqref="N273:N274">
    <cfRule type="expression" dxfId="14599" priority="3658">
      <formula>N273&gt;P273+#REF!</formula>
    </cfRule>
  </conditionalFormatting>
  <conditionalFormatting sqref="N273:N277">
    <cfRule type="expression" dxfId="14598" priority="3659">
      <formula>N273&lt;P273-#REF!</formula>
    </cfRule>
  </conditionalFormatting>
  <conditionalFormatting sqref="N275:N277">
    <cfRule type="expression" dxfId="14597" priority="3657">
      <formula>N275&gt;P275+#REF!</formula>
    </cfRule>
  </conditionalFormatting>
  <conditionalFormatting sqref="N286:N287">
    <cfRule type="expression" dxfId="14596" priority="4387">
      <formula>N286&gt;P286+#REF!</formula>
    </cfRule>
    <cfRule type="expression" dxfId="14595" priority="4388">
      <formula>N286&lt;P286-#REF!</formula>
    </cfRule>
  </conditionalFormatting>
  <conditionalFormatting sqref="N290:N291">
    <cfRule type="expression" dxfId="14594" priority="4385">
      <formula>N290&gt;P290+#REF!</formula>
    </cfRule>
  </conditionalFormatting>
  <conditionalFormatting sqref="N290:N293">
    <cfRule type="expression" dxfId="14593" priority="4386">
      <formula>N290&lt;P290-#REF!</formula>
    </cfRule>
  </conditionalFormatting>
  <conditionalFormatting sqref="N292:N293">
    <cfRule type="expression" dxfId="14592" priority="4384">
      <formula>N292&gt;P292+#REF!</formula>
    </cfRule>
  </conditionalFormatting>
  <conditionalFormatting sqref="N294">
    <cfRule type="expression" dxfId="14591" priority="4378">
      <formula>N294&gt;P294+#REF!</formula>
    </cfRule>
  </conditionalFormatting>
  <conditionalFormatting sqref="N303:N304">
    <cfRule type="expression" dxfId="14590" priority="4205">
      <formula>N303&gt;P303+#REF!</formula>
    </cfRule>
    <cfRule type="expression" dxfId="14589" priority="4206">
      <formula>N303&lt;P303-#REF!</formula>
    </cfRule>
  </conditionalFormatting>
  <conditionalFormatting sqref="N307:N308">
    <cfRule type="expression" dxfId="14588" priority="4203">
      <formula>N307&gt;P307+#REF!</formula>
    </cfRule>
  </conditionalFormatting>
  <conditionalFormatting sqref="N307:N310">
    <cfRule type="expression" dxfId="14587" priority="4204">
      <formula>N307&lt;P307-#REF!</formula>
    </cfRule>
  </conditionalFormatting>
  <conditionalFormatting sqref="N309:N310">
    <cfRule type="expression" dxfId="14586" priority="4202">
      <formula>N309&gt;P309+#REF!</formula>
    </cfRule>
  </conditionalFormatting>
  <conditionalFormatting sqref="N311">
    <cfRule type="expression" dxfId="14585" priority="4196">
      <formula>N311&gt;P311+#REF!</formula>
    </cfRule>
  </conditionalFormatting>
  <conditionalFormatting sqref="N320:N321">
    <cfRule type="expression" dxfId="14584" priority="4023">
      <formula>N320&gt;P320+#REF!</formula>
    </cfRule>
    <cfRule type="expression" dxfId="14583" priority="4024">
      <formula>N320&lt;P320-#REF!</formula>
    </cfRule>
  </conditionalFormatting>
  <conditionalFormatting sqref="N324:N325">
    <cfRule type="expression" dxfId="14582" priority="4021">
      <formula>N324&gt;P324+#REF!</formula>
    </cfRule>
  </conditionalFormatting>
  <conditionalFormatting sqref="N324:N327">
    <cfRule type="expression" dxfId="14581" priority="4022">
      <formula>N324&lt;P324-#REF!</formula>
    </cfRule>
  </conditionalFormatting>
  <conditionalFormatting sqref="N326:N327">
    <cfRule type="expression" dxfId="14580" priority="4020">
      <formula>N326&gt;P326+#REF!</formula>
    </cfRule>
  </conditionalFormatting>
  <conditionalFormatting sqref="N328">
    <cfRule type="expression" dxfId="14579" priority="4014">
      <formula>N328&gt;P328+#REF!</formula>
    </cfRule>
  </conditionalFormatting>
  <conditionalFormatting sqref="N337:N338">
    <cfRule type="expression" dxfId="14578" priority="3841">
      <formula>N337&gt;P337+#REF!</formula>
    </cfRule>
    <cfRule type="expression" dxfId="14577" priority="3842">
      <formula>N337&lt;P337-#REF!</formula>
    </cfRule>
  </conditionalFormatting>
  <conditionalFormatting sqref="N341:N342">
    <cfRule type="expression" dxfId="14576" priority="3839">
      <formula>N341&gt;P341+#REF!</formula>
    </cfRule>
  </conditionalFormatting>
  <conditionalFormatting sqref="N341:N344">
    <cfRule type="expression" dxfId="14575" priority="3840">
      <formula>N341&lt;P341-#REF!</formula>
    </cfRule>
  </conditionalFormatting>
  <conditionalFormatting sqref="N343:N344">
    <cfRule type="expression" dxfId="14574" priority="3838">
      <formula>N343&gt;P343+#REF!</formula>
    </cfRule>
  </conditionalFormatting>
  <conditionalFormatting sqref="N345">
    <cfRule type="expression" dxfId="14573" priority="3832">
      <formula>N345&gt;P345+#REF!</formula>
    </cfRule>
  </conditionalFormatting>
  <conditionalFormatting sqref="N354:N355">
    <cfRule type="expression" dxfId="14572" priority="4722">
      <formula>N354&gt;P354+#REF!</formula>
    </cfRule>
    <cfRule type="expression" dxfId="14571" priority="4723">
      <formula>N354&lt;P354-#REF!</formula>
    </cfRule>
  </conditionalFormatting>
  <conditionalFormatting sqref="N358:N359">
    <cfRule type="expression" dxfId="14570" priority="4720">
      <formula>N358&gt;P358+#REF!</formula>
    </cfRule>
  </conditionalFormatting>
  <conditionalFormatting sqref="N358:N362">
    <cfRule type="expression" dxfId="14569" priority="4721">
      <formula>N358&lt;P358-#REF!</formula>
    </cfRule>
  </conditionalFormatting>
  <conditionalFormatting sqref="N360:N362">
    <cfRule type="expression" dxfId="14568" priority="4719">
      <formula>N360&gt;P360+#REF!</formula>
    </cfRule>
  </conditionalFormatting>
  <conditionalFormatting sqref="O14:O15">
    <cfRule type="expression" dxfId="14567" priority="6992">
      <formula>O14&gt;Q14+#REF!</formula>
    </cfRule>
    <cfRule type="expression" dxfId="14566" priority="6993">
      <formula>O14&lt;Q14-#REF!</formula>
    </cfRule>
  </conditionalFormatting>
  <conditionalFormatting sqref="O18:O19">
    <cfRule type="expression" dxfId="14565" priority="6990">
      <formula>O18&gt;Q18+#REF!</formula>
    </cfRule>
    <cfRule type="expression" dxfId="14564" priority="6991">
      <formula>O18&lt;Q18-#REF!</formula>
    </cfRule>
  </conditionalFormatting>
  <conditionalFormatting sqref="O20:O22">
    <cfRule type="expression" dxfId="14563" priority="6989">
      <formula>O20&gt;Q20+#REF!</formula>
    </cfRule>
  </conditionalFormatting>
  <conditionalFormatting sqref="O31:O32">
    <cfRule type="expression" dxfId="14562" priority="6817">
      <formula>O31&gt;Q31+#REF!</formula>
    </cfRule>
    <cfRule type="expression" dxfId="14561" priority="6818">
      <formula>O31&lt;Q31-#REF!</formula>
    </cfRule>
  </conditionalFormatting>
  <conditionalFormatting sqref="O35:O36">
    <cfRule type="expression" dxfId="14560" priority="6815">
      <formula>O35&gt;Q35+#REF!</formula>
    </cfRule>
    <cfRule type="expression" dxfId="14559" priority="6816">
      <formula>O35&lt;Q35-#REF!</formula>
    </cfRule>
  </conditionalFormatting>
  <conditionalFormatting sqref="O37:O39">
    <cfRule type="expression" dxfId="14558" priority="6814">
      <formula>O37&gt;Q37+#REF!</formula>
    </cfRule>
  </conditionalFormatting>
  <conditionalFormatting sqref="O48:O49">
    <cfRule type="expression" dxfId="14557" priority="6642">
      <formula>O48&gt;Q48+#REF!</formula>
    </cfRule>
    <cfRule type="expression" dxfId="14556" priority="6643">
      <formula>O48&lt;Q48-#REF!</formula>
    </cfRule>
  </conditionalFormatting>
  <conditionalFormatting sqref="O52:O53">
    <cfRule type="expression" dxfId="14555" priority="6640">
      <formula>O52&gt;Q52+#REF!</formula>
    </cfRule>
    <cfRule type="expression" dxfId="14554" priority="6641">
      <formula>O52&lt;Q52-#REF!</formula>
    </cfRule>
  </conditionalFormatting>
  <conditionalFormatting sqref="O54:O56">
    <cfRule type="expression" dxfId="14553" priority="6639">
      <formula>O54&gt;Q54+#REF!</formula>
    </cfRule>
  </conditionalFormatting>
  <conditionalFormatting sqref="O65:O66">
    <cfRule type="expression" dxfId="14552" priority="6467">
      <formula>O65&gt;Q65+#REF!</formula>
    </cfRule>
    <cfRule type="expression" dxfId="14551" priority="6468">
      <formula>O65&lt;Q65-#REF!</formula>
    </cfRule>
  </conditionalFormatting>
  <conditionalFormatting sqref="O69:O70">
    <cfRule type="expression" dxfId="14550" priority="6465">
      <formula>O69&gt;Q69+#REF!</formula>
    </cfRule>
    <cfRule type="expression" dxfId="14549" priority="6466">
      <formula>O69&lt;Q69-#REF!</formula>
    </cfRule>
  </conditionalFormatting>
  <conditionalFormatting sqref="O71:O73">
    <cfRule type="expression" dxfId="14548" priority="6464">
      <formula>O71&gt;Q71+#REF!</formula>
    </cfRule>
  </conditionalFormatting>
  <conditionalFormatting sqref="O82:O83">
    <cfRule type="expression" dxfId="14547" priority="6292">
      <formula>O82&gt;Q82+#REF!</formula>
    </cfRule>
    <cfRule type="expression" dxfId="14546" priority="6293">
      <formula>O82&lt;Q82-#REF!</formula>
    </cfRule>
  </conditionalFormatting>
  <conditionalFormatting sqref="O86:O87">
    <cfRule type="expression" dxfId="14545" priority="6290">
      <formula>O86&gt;Q86+#REF!</formula>
    </cfRule>
    <cfRule type="expression" dxfId="14544" priority="6291">
      <formula>O86&lt;Q86-#REF!</formula>
    </cfRule>
  </conditionalFormatting>
  <conditionalFormatting sqref="O88:O90">
    <cfRule type="expression" dxfId="14543" priority="6289">
      <formula>O88&gt;Q88+#REF!</formula>
    </cfRule>
  </conditionalFormatting>
  <conditionalFormatting sqref="O99:O100">
    <cfRule type="expression" dxfId="14542" priority="6117">
      <formula>O99&gt;Q99+#REF!</formula>
    </cfRule>
    <cfRule type="expression" dxfId="14541" priority="6118">
      <formula>O99&lt;Q99-#REF!</formula>
    </cfRule>
  </conditionalFormatting>
  <conditionalFormatting sqref="O103:O104">
    <cfRule type="expression" dxfId="14540" priority="6115">
      <formula>O103&gt;Q103+#REF!</formula>
    </cfRule>
    <cfRule type="expression" dxfId="14539" priority="6116">
      <formula>O103&lt;Q103-#REF!</formula>
    </cfRule>
  </conditionalFormatting>
  <conditionalFormatting sqref="O105:O107">
    <cfRule type="expression" dxfId="14538" priority="6114">
      <formula>O105&gt;Q105+#REF!</formula>
    </cfRule>
  </conditionalFormatting>
  <conditionalFormatting sqref="O116:O117">
    <cfRule type="expression" dxfId="14537" priority="5942">
      <formula>O116&gt;Q116+#REF!</formula>
    </cfRule>
    <cfRule type="expression" dxfId="14536" priority="5943">
      <formula>O116&lt;Q116-#REF!</formula>
    </cfRule>
  </conditionalFormatting>
  <conditionalFormatting sqref="O120:O121">
    <cfRule type="expression" dxfId="14535" priority="5940">
      <formula>O120&gt;Q120+#REF!</formula>
    </cfRule>
    <cfRule type="expression" dxfId="14534" priority="5941">
      <formula>O120&lt;Q120-#REF!</formula>
    </cfRule>
  </conditionalFormatting>
  <conditionalFormatting sqref="O122:O124">
    <cfRule type="expression" dxfId="14533" priority="5939">
      <formula>O122&gt;Q122+#REF!</formula>
    </cfRule>
  </conditionalFormatting>
  <conditionalFormatting sqref="O167:O168">
    <cfRule type="expression" dxfId="14532" priority="5767">
      <formula>O167&gt;Q167+#REF!</formula>
    </cfRule>
    <cfRule type="expression" dxfId="14531" priority="5768">
      <formula>O167&lt;Q167-#REF!</formula>
    </cfRule>
  </conditionalFormatting>
  <conditionalFormatting sqref="O171:O172">
    <cfRule type="expression" dxfId="14530" priority="5765">
      <formula>O171&gt;Q171+#REF!</formula>
    </cfRule>
    <cfRule type="expression" dxfId="14529" priority="5766">
      <formula>O171&lt;Q171-#REF!</formula>
    </cfRule>
  </conditionalFormatting>
  <conditionalFormatting sqref="O173:O175">
    <cfRule type="expression" dxfId="14528" priority="5764">
      <formula>O173&gt;Q173+#REF!</formula>
    </cfRule>
  </conditionalFormatting>
  <conditionalFormatting sqref="O184:O185">
    <cfRule type="expression" dxfId="14527" priority="5592">
      <formula>O184&gt;Q184+#REF!</formula>
    </cfRule>
    <cfRule type="expression" dxfId="14526" priority="5593">
      <formula>O184&lt;Q184-#REF!</formula>
    </cfRule>
  </conditionalFormatting>
  <conditionalFormatting sqref="O188:O189">
    <cfRule type="expression" dxfId="14525" priority="5590">
      <formula>O188&gt;Q188+#REF!</formula>
    </cfRule>
    <cfRule type="expression" dxfId="14524" priority="5591">
      <formula>O188&lt;Q188-#REF!</formula>
    </cfRule>
  </conditionalFormatting>
  <conditionalFormatting sqref="O190:O192">
    <cfRule type="expression" dxfId="14523" priority="5589">
      <formula>O190&gt;Q190+#REF!</formula>
    </cfRule>
  </conditionalFormatting>
  <conditionalFormatting sqref="O201:O202">
    <cfRule type="expression" dxfId="14522" priority="5417">
      <formula>O201&gt;Q201+#REF!</formula>
    </cfRule>
    <cfRule type="expression" dxfId="14521" priority="5418">
      <formula>O201&lt;Q201-#REF!</formula>
    </cfRule>
  </conditionalFormatting>
  <conditionalFormatting sqref="O205:O206">
    <cfRule type="expression" dxfId="14520" priority="5415">
      <formula>O205&gt;Q205+#REF!</formula>
    </cfRule>
    <cfRule type="expression" dxfId="14519" priority="5416">
      <formula>O205&lt;Q205-#REF!</formula>
    </cfRule>
  </conditionalFormatting>
  <conditionalFormatting sqref="O207:O209">
    <cfRule type="expression" dxfId="14518" priority="5414">
      <formula>O207&gt;Q207+#REF!</formula>
    </cfRule>
  </conditionalFormatting>
  <conditionalFormatting sqref="O218:O219">
    <cfRule type="expression" dxfId="14517" priority="5242">
      <formula>O218&gt;Q218+#REF!</formula>
    </cfRule>
    <cfRule type="expression" dxfId="14516" priority="5243">
      <formula>O218&lt;Q218-#REF!</formula>
    </cfRule>
  </conditionalFormatting>
  <conditionalFormatting sqref="O222:O223">
    <cfRule type="expression" dxfId="14515" priority="5240">
      <formula>O222&gt;Q222+#REF!</formula>
    </cfRule>
    <cfRule type="expression" dxfId="14514" priority="5241">
      <formula>O222&lt;Q222-#REF!</formula>
    </cfRule>
  </conditionalFormatting>
  <conditionalFormatting sqref="O224:O226">
    <cfRule type="expression" dxfId="14513" priority="5239">
      <formula>O224&gt;Q224+#REF!</formula>
    </cfRule>
  </conditionalFormatting>
  <conditionalFormatting sqref="O235:O236">
    <cfRule type="expression" dxfId="14512" priority="5067">
      <formula>O235&gt;Q235+#REF!</formula>
    </cfRule>
    <cfRule type="expression" dxfId="14511" priority="5068">
      <formula>O235&lt;Q235-#REF!</formula>
    </cfRule>
  </conditionalFormatting>
  <conditionalFormatting sqref="O239:O240">
    <cfRule type="expression" dxfId="14510" priority="5065">
      <formula>O239&gt;Q239+#REF!</formula>
    </cfRule>
    <cfRule type="expression" dxfId="14509" priority="5066">
      <formula>O239&lt;Q239-#REF!</formula>
    </cfRule>
  </conditionalFormatting>
  <conditionalFormatting sqref="O241:O243">
    <cfRule type="expression" dxfId="14508" priority="5064">
      <formula>O241&gt;Q241+#REF!</formula>
    </cfRule>
  </conditionalFormatting>
  <conditionalFormatting sqref="O252:O253">
    <cfRule type="expression" dxfId="14507" priority="4567">
      <formula>O252&gt;Q252+#REF!</formula>
    </cfRule>
    <cfRule type="expression" dxfId="14506" priority="4568">
      <formula>O252&lt;Q252-#REF!</formula>
    </cfRule>
  </conditionalFormatting>
  <conditionalFormatting sqref="O256:O257">
    <cfRule type="expression" dxfId="14505" priority="4565">
      <formula>O256&gt;Q256+#REF!</formula>
    </cfRule>
    <cfRule type="expression" dxfId="14504" priority="4566">
      <formula>O256&lt;Q256-#REF!</formula>
    </cfRule>
  </conditionalFormatting>
  <conditionalFormatting sqref="O258:O259">
    <cfRule type="expression" dxfId="14503" priority="4564">
      <formula>O258&gt;Q258+#REF!</formula>
    </cfRule>
  </conditionalFormatting>
  <conditionalFormatting sqref="O260">
    <cfRule type="expression" dxfId="14502" priority="4562">
      <formula>O260&gt;Q260+#REF!</formula>
    </cfRule>
  </conditionalFormatting>
  <conditionalFormatting sqref="O269:O270">
    <cfRule type="expression" dxfId="14501" priority="3655">
      <formula>O269&gt;Q269+#REF!</formula>
    </cfRule>
    <cfRule type="expression" dxfId="14500" priority="3656">
      <formula>O269&lt;Q269-#REF!</formula>
    </cfRule>
  </conditionalFormatting>
  <conditionalFormatting sqref="O273:O274">
    <cfRule type="expression" dxfId="14499" priority="3653">
      <formula>O273&gt;Q273+#REF!</formula>
    </cfRule>
    <cfRule type="expression" dxfId="14498" priority="3654">
      <formula>O273&lt;Q273-#REF!</formula>
    </cfRule>
  </conditionalFormatting>
  <conditionalFormatting sqref="O275:O277">
    <cfRule type="expression" dxfId="14497" priority="3652">
      <formula>O275&gt;Q275+#REF!</formula>
    </cfRule>
  </conditionalFormatting>
  <conditionalFormatting sqref="O286:O287">
    <cfRule type="expression" dxfId="14496" priority="4382">
      <formula>O286&gt;Q286+#REF!</formula>
    </cfRule>
    <cfRule type="expression" dxfId="14495" priority="4383">
      <formula>O286&lt;Q286-#REF!</formula>
    </cfRule>
  </conditionalFormatting>
  <conditionalFormatting sqref="O290:O291">
    <cfRule type="expression" dxfId="14494" priority="4380">
      <formula>O290&gt;Q290+#REF!</formula>
    </cfRule>
    <cfRule type="expression" dxfId="14493" priority="4381">
      <formula>O290&lt;Q290-#REF!</formula>
    </cfRule>
  </conditionalFormatting>
  <conditionalFormatting sqref="O292:O293">
    <cfRule type="expression" dxfId="14492" priority="4379">
      <formula>O292&gt;Q292+#REF!</formula>
    </cfRule>
  </conditionalFormatting>
  <conditionalFormatting sqref="O294">
    <cfRule type="expression" dxfId="14491" priority="4377">
      <formula>O294&gt;Q294+#REF!</formula>
    </cfRule>
  </conditionalFormatting>
  <conditionalFormatting sqref="O303:O304">
    <cfRule type="expression" dxfId="14490" priority="4200">
      <formula>O303&gt;Q303+#REF!</formula>
    </cfRule>
    <cfRule type="expression" dxfId="14489" priority="4201">
      <formula>O303&lt;Q303-#REF!</formula>
    </cfRule>
  </conditionalFormatting>
  <conditionalFormatting sqref="O307:O308">
    <cfRule type="expression" dxfId="14488" priority="4198">
      <formula>O307&gt;Q307+#REF!</formula>
    </cfRule>
    <cfRule type="expression" dxfId="14487" priority="4199">
      <formula>O307&lt;Q307-#REF!</formula>
    </cfRule>
  </conditionalFormatting>
  <conditionalFormatting sqref="O309:O310">
    <cfRule type="expression" dxfId="14486" priority="4197">
      <formula>O309&gt;Q309+#REF!</formula>
    </cfRule>
  </conditionalFormatting>
  <conditionalFormatting sqref="O311">
    <cfRule type="expression" dxfId="14485" priority="4195">
      <formula>O311&gt;Q311+#REF!</formula>
    </cfRule>
  </conditionalFormatting>
  <conditionalFormatting sqref="O320:O321">
    <cfRule type="expression" dxfId="14484" priority="4018">
      <formula>O320&gt;Q320+#REF!</formula>
    </cfRule>
    <cfRule type="expression" dxfId="14483" priority="4019">
      <formula>O320&lt;Q320-#REF!</formula>
    </cfRule>
  </conditionalFormatting>
  <conditionalFormatting sqref="O324:O325">
    <cfRule type="expression" dxfId="14482" priority="4016">
      <formula>O324&gt;Q324+#REF!</formula>
    </cfRule>
    <cfRule type="expression" dxfId="14481" priority="4017">
      <formula>O324&lt;Q324-#REF!</formula>
    </cfRule>
  </conditionalFormatting>
  <conditionalFormatting sqref="O326:O327">
    <cfRule type="expression" dxfId="14480" priority="4015">
      <formula>O326&gt;Q326+#REF!</formula>
    </cfRule>
  </conditionalFormatting>
  <conditionalFormatting sqref="O328">
    <cfRule type="expression" dxfId="14479" priority="4013">
      <formula>O328&gt;Q328+#REF!</formula>
    </cfRule>
  </conditionalFormatting>
  <conditionalFormatting sqref="O337:O338">
    <cfRule type="expression" dxfId="14478" priority="3836">
      <formula>O337&gt;Q337+#REF!</formula>
    </cfRule>
    <cfRule type="expression" dxfId="14477" priority="3837">
      <formula>O337&lt;Q337-#REF!</formula>
    </cfRule>
  </conditionalFormatting>
  <conditionalFormatting sqref="O341:O342">
    <cfRule type="expression" dxfId="14476" priority="3834">
      <formula>O341&gt;Q341+#REF!</formula>
    </cfRule>
    <cfRule type="expression" dxfId="14475" priority="3835">
      <formula>O341&lt;Q341-#REF!</formula>
    </cfRule>
  </conditionalFormatting>
  <conditionalFormatting sqref="O343:O344">
    <cfRule type="expression" dxfId="14474" priority="3833">
      <formula>O343&gt;Q343+#REF!</formula>
    </cfRule>
  </conditionalFormatting>
  <conditionalFormatting sqref="O345">
    <cfRule type="expression" dxfId="14473" priority="3831">
      <formula>O345&gt;Q345+#REF!</formula>
    </cfRule>
  </conditionalFormatting>
  <conditionalFormatting sqref="O354:O355">
    <cfRule type="expression" dxfId="14472" priority="4717">
      <formula>O354&gt;Q354+#REF!</formula>
    </cfRule>
    <cfRule type="expression" dxfId="14471" priority="4718">
      <formula>O354&lt;Q354-#REF!</formula>
    </cfRule>
  </conditionalFormatting>
  <conditionalFormatting sqref="O358:O359">
    <cfRule type="expression" dxfId="14470" priority="4715">
      <formula>O358&gt;Q358+#REF!</formula>
    </cfRule>
    <cfRule type="expression" dxfId="14469" priority="4716">
      <formula>O358&lt;Q358-#REF!</formula>
    </cfRule>
  </conditionalFormatting>
  <conditionalFormatting sqref="O360:O362">
    <cfRule type="expression" dxfId="14468" priority="4714">
      <formula>O360&gt;Q360+#REF!</formula>
    </cfRule>
  </conditionalFormatting>
  <conditionalFormatting sqref="Q14:Q15">
    <cfRule type="expression" dxfId="14467" priority="6978">
      <formula>Q14&gt;S14+#REF!</formula>
    </cfRule>
  </conditionalFormatting>
  <conditionalFormatting sqref="Q18:Q19">
    <cfRule type="expression" dxfId="14466" priority="6975">
      <formula>Q18&gt;S18+#REF!</formula>
    </cfRule>
  </conditionalFormatting>
  <conditionalFormatting sqref="Q20:Q22">
    <cfRule type="expression" dxfId="14465" priority="6974">
      <formula>Q20&gt;S20+#REF!</formula>
    </cfRule>
  </conditionalFormatting>
  <conditionalFormatting sqref="Q31:Q32">
    <cfRule type="expression" dxfId="14464" priority="6803">
      <formula>Q31&gt;S31+#REF!</formula>
    </cfRule>
  </conditionalFormatting>
  <conditionalFormatting sqref="Q35:Q36">
    <cfRule type="expression" dxfId="14463" priority="6800">
      <formula>Q35&gt;S35+#REF!</formula>
    </cfRule>
  </conditionalFormatting>
  <conditionalFormatting sqref="Q37:Q39">
    <cfRule type="expression" dxfId="14462" priority="6799">
      <formula>Q37&gt;S37+#REF!</formula>
    </cfRule>
  </conditionalFormatting>
  <conditionalFormatting sqref="Q48:Q49">
    <cfRule type="expression" dxfId="14461" priority="6628">
      <formula>Q48&gt;S48+#REF!</formula>
    </cfRule>
  </conditionalFormatting>
  <conditionalFormatting sqref="Q52:Q53">
    <cfRule type="expression" dxfId="14460" priority="6625">
      <formula>Q52&gt;S52+#REF!</formula>
    </cfRule>
  </conditionalFormatting>
  <conditionalFormatting sqref="Q54:Q56">
    <cfRule type="expression" dxfId="14459" priority="6624">
      <formula>Q54&gt;S54+#REF!</formula>
    </cfRule>
  </conditionalFormatting>
  <conditionalFormatting sqref="Q65:Q66">
    <cfRule type="expression" dxfId="14458" priority="6453">
      <formula>Q65&gt;S65+#REF!</formula>
    </cfRule>
  </conditionalFormatting>
  <conditionalFormatting sqref="Q69:Q70">
    <cfRule type="expression" dxfId="14457" priority="6450">
      <formula>Q69&gt;S69+#REF!</formula>
    </cfRule>
  </conditionalFormatting>
  <conditionalFormatting sqref="Q71:Q73">
    <cfRule type="expression" dxfId="14456" priority="6449">
      <formula>Q71&gt;S71+#REF!</formula>
    </cfRule>
  </conditionalFormatting>
  <conditionalFormatting sqref="Q82:Q83">
    <cfRule type="expression" dxfId="14455" priority="6278">
      <formula>Q82&gt;S82+#REF!</formula>
    </cfRule>
  </conditionalFormatting>
  <conditionalFormatting sqref="Q86:Q87">
    <cfRule type="expression" dxfId="14454" priority="6275">
      <formula>Q86&gt;S86+#REF!</formula>
    </cfRule>
  </conditionalFormatting>
  <conditionalFormatting sqref="Q88:Q90">
    <cfRule type="expression" dxfId="14453" priority="6274">
      <formula>Q88&gt;S88+#REF!</formula>
    </cfRule>
  </conditionalFormatting>
  <conditionalFormatting sqref="Q99:Q100">
    <cfRule type="expression" dxfId="14452" priority="6103">
      <formula>Q99&gt;S99+#REF!</formula>
    </cfRule>
  </conditionalFormatting>
  <conditionalFormatting sqref="Q103:Q104">
    <cfRule type="expression" dxfId="14451" priority="6100">
      <formula>Q103&gt;S103+#REF!</formula>
    </cfRule>
  </conditionalFormatting>
  <conditionalFormatting sqref="Q105:Q107">
    <cfRule type="expression" dxfId="14450" priority="6099">
      <formula>Q105&gt;S105+#REF!</formula>
    </cfRule>
  </conditionalFormatting>
  <conditionalFormatting sqref="Q116:Q117">
    <cfRule type="expression" dxfId="14449" priority="5928">
      <formula>Q116&gt;S116+#REF!</formula>
    </cfRule>
  </conditionalFormatting>
  <conditionalFormatting sqref="Q120:Q121">
    <cfRule type="expression" dxfId="14448" priority="5925">
      <formula>Q120&gt;S120+#REF!</formula>
    </cfRule>
  </conditionalFormatting>
  <conditionalFormatting sqref="Q122:Q124">
    <cfRule type="expression" dxfId="14447" priority="5924">
      <formula>Q122&gt;S122+#REF!</formula>
    </cfRule>
  </conditionalFormatting>
  <conditionalFormatting sqref="Q167:Q168">
    <cfRule type="expression" dxfId="14446" priority="5753">
      <formula>Q167&gt;S167+#REF!</formula>
    </cfRule>
  </conditionalFormatting>
  <conditionalFormatting sqref="Q171:Q172">
    <cfRule type="expression" dxfId="14445" priority="5750">
      <formula>Q171&gt;S171+#REF!</formula>
    </cfRule>
  </conditionalFormatting>
  <conditionalFormatting sqref="Q173:Q175">
    <cfRule type="expression" dxfId="14444" priority="5749">
      <formula>Q173&gt;S173+#REF!</formula>
    </cfRule>
  </conditionalFormatting>
  <conditionalFormatting sqref="Q184:Q185">
    <cfRule type="expression" dxfId="14443" priority="5578">
      <formula>Q184&gt;S184+#REF!</formula>
    </cfRule>
  </conditionalFormatting>
  <conditionalFormatting sqref="Q188:Q189">
    <cfRule type="expression" dxfId="14442" priority="5575">
      <formula>Q188&gt;S188+#REF!</formula>
    </cfRule>
  </conditionalFormatting>
  <conditionalFormatting sqref="Q190:Q192">
    <cfRule type="expression" dxfId="14441" priority="5574">
      <formula>Q190&gt;S190+#REF!</formula>
    </cfRule>
  </conditionalFormatting>
  <conditionalFormatting sqref="Q201:Q202">
    <cfRule type="expression" dxfId="14440" priority="5403">
      <formula>Q201&gt;S201+#REF!</formula>
    </cfRule>
  </conditionalFormatting>
  <conditionalFormatting sqref="Q205:Q206">
    <cfRule type="expression" dxfId="14439" priority="5400">
      <formula>Q205&gt;S205+#REF!</formula>
    </cfRule>
  </conditionalFormatting>
  <conditionalFormatting sqref="Q207:Q209">
    <cfRule type="expression" dxfId="14438" priority="5399">
      <formula>Q207&gt;S207+#REF!</formula>
    </cfRule>
  </conditionalFormatting>
  <conditionalFormatting sqref="Q218:Q219">
    <cfRule type="expression" dxfId="14437" priority="5228">
      <formula>Q218&gt;S218+#REF!</formula>
    </cfRule>
  </conditionalFormatting>
  <conditionalFormatting sqref="Q222:Q223">
    <cfRule type="expression" dxfId="14436" priority="5225">
      <formula>Q222&gt;S222+#REF!</formula>
    </cfRule>
  </conditionalFormatting>
  <conditionalFormatting sqref="Q224:Q226">
    <cfRule type="expression" dxfId="14435" priority="5224">
      <formula>Q224&gt;S224+#REF!</formula>
    </cfRule>
  </conditionalFormatting>
  <conditionalFormatting sqref="Q235:Q236">
    <cfRule type="expression" dxfId="14434" priority="5053">
      <formula>Q235&gt;S235+#REF!</formula>
    </cfRule>
  </conditionalFormatting>
  <conditionalFormatting sqref="Q239:Q240">
    <cfRule type="expression" dxfId="14433" priority="5050">
      <formula>Q239&gt;S239+#REF!</formula>
    </cfRule>
  </conditionalFormatting>
  <conditionalFormatting sqref="Q241:Q243">
    <cfRule type="expression" dxfId="14432" priority="5049">
      <formula>Q241&gt;S241+#REF!</formula>
    </cfRule>
  </conditionalFormatting>
  <conditionalFormatting sqref="Q252:Q253">
    <cfRule type="expression" dxfId="14431" priority="4552">
      <formula>Q252&gt;S252+#REF!</formula>
    </cfRule>
  </conditionalFormatting>
  <conditionalFormatting sqref="Q256:Q257">
    <cfRule type="expression" dxfId="14430" priority="4549">
      <formula>Q256&gt;S256+#REF!</formula>
    </cfRule>
  </conditionalFormatting>
  <conditionalFormatting sqref="Q258:Q260">
    <cfRule type="expression" dxfId="14429" priority="4548">
      <formula>Q258&gt;S258+#REF!</formula>
    </cfRule>
  </conditionalFormatting>
  <conditionalFormatting sqref="Q269:Q270">
    <cfRule type="expression" dxfId="14428" priority="3641">
      <formula>Q269&gt;S269+#REF!</formula>
    </cfRule>
  </conditionalFormatting>
  <conditionalFormatting sqref="Q273:Q274">
    <cfRule type="expression" dxfId="14427" priority="3638">
      <formula>Q273&gt;S273+#REF!</formula>
    </cfRule>
  </conditionalFormatting>
  <conditionalFormatting sqref="Q275:Q277">
    <cfRule type="expression" dxfId="14426" priority="3637">
      <formula>Q275&gt;S275+#REF!</formula>
    </cfRule>
  </conditionalFormatting>
  <conditionalFormatting sqref="Q286:Q287">
    <cfRule type="expression" dxfId="14425" priority="4367">
      <formula>Q286&gt;S286+#REF!</formula>
    </cfRule>
  </conditionalFormatting>
  <conditionalFormatting sqref="Q290:Q291">
    <cfRule type="expression" dxfId="14424" priority="4364">
      <formula>Q290&gt;S290+#REF!</formula>
    </cfRule>
  </conditionalFormatting>
  <conditionalFormatting sqref="Q292:Q294">
    <cfRule type="expression" dxfId="14423" priority="4363">
      <formula>Q292&gt;S292+#REF!</formula>
    </cfRule>
  </conditionalFormatting>
  <conditionalFormatting sqref="Q303:Q304">
    <cfRule type="expression" dxfId="14422" priority="4185">
      <formula>Q303&gt;S303+#REF!</formula>
    </cfRule>
  </conditionalFormatting>
  <conditionalFormatting sqref="Q307:Q308">
    <cfRule type="expression" dxfId="14421" priority="4182">
      <formula>Q307&gt;S307+#REF!</formula>
    </cfRule>
  </conditionalFormatting>
  <conditionalFormatting sqref="Q309:Q311">
    <cfRule type="expression" dxfId="14420" priority="4181">
      <formula>Q309&gt;S309+#REF!</formula>
    </cfRule>
  </conditionalFormatting>
  <conditionalFormatting sqref="Q320:Q321">
    <cfRule type="expression" dxfId="14419" priority="4003">
      <formula>Q320&gt;S320+#REF!</formula>
    </cfRule>
  </conditionalFormatting>
  <conditionalFormatting sqref="Q324:Q325">
    <cfRule type="expression" dxfId="14418" priority="4000">
      <formula>Q324&gt;S324+#REF!</formula>
    </cfRule>
  </conditionalFormatting>
  <conditionalFormatting sqref="Q326:Q328">
    <cfRule type="expression" dxfId="14417" priority="3999">
      <formula>Q326&gt;S326+#REF!</formula>
    </cfRule>
  </conditionalFormatting>
  <conditionalFormatting sqref="Q337:Q338">
    <cfRule type="expression" dxfId="14416" priority="3821">
      <formula>Q337&gt;S337+#REF!</formula>
    </cfRule>
  </conditionalFormatting>
  <conditionalFormatting sqref="Q341:Q342">
    <cfRule type="expression" dxfId="14415" priority="3818">
      <formula>Q341&gt;S341+#REF!</formula>
    </cfRule>
  </conditionalFormatting>
  <conditionalFormatting sqref="Q343:Q345">
    <cfRule type="expression" dxfId="14414" priority="3817">
      <formula>Q343&gt;S343+#REF!</formula>
    </cfRule>
  </conditionalFormatting>
  <conditionalFormatting sqref="Q354:Q355">
    <cfRule type="expression" dxfId="14413" priority="4703">
      <formula>Q354&gt;S354+#REF!</formula>
    </cfRule>
  </conditionalFormatting>
  <conditionalFormatting sqref="Q358:Q359">
    <cfRule type="expression" dxfId="14412" priority="4700">
      <formula>Q358&gt;S358+#REF!</formula>
    </cfRule>
  </conditionalFormatting>
  <conditionalFormatting sqref="Q360:Q362">
    <cfRule type="expression" dxfId="14411" priority="4699">
      <formula>Q360&gt;S360+#REF!</formula>
    </cfRule>
  </conditionalFormatting>
  <conditionalFormatting sqref="Q8:S9">
    <cfRule type="expression" dxfId="14410" priority="6984">
      <formula>Q8&lt;S8*#REF!</formula>
    </cfRule>
    <cfRule type="expression" dxfId="14409" priority="6985">
      <formula>Q8&gt;S8*#REF!</formula>
    </cfRule>
  </conditionalFormatting>
  <conditionalFormatting sqref="Q10:S10">
    <cfRule type="expression" dxfId="14408" priority="6982">
      <formula>Q10&gt;S10+#REF!</formula>
    </cfRule>
  </conditionalFormatting>
  <conditionalFormatting sqref="Q10:S12">
    <cfRule type="expression" dxfId="14407" priority="6988">
      <formula>Q10&lt;S10-#REF!</formula>
    </cfRule>
  </conditionalFormatting>
  <conditionalFormatting sqref="Q11:S11">
    <cfRule type="expression" dxfId="14406" priority="6981">
      <formula>Q11&gt;S11+#REF!</formula>
    </cfRule>
  </conditionalFormatting>
  <conditionalFormatting sqref="Q12:S12">
    <cfRule type="expression" dxfId="14405" priority="6980">
      <formula>Q12&gt;S12+#REF!</formula>
    </cfRule>
  </conditionalFormatting>
  <conditionalFormatting sqref="Q13:S13">
    <cfRule type="expression" dxfId="14404" priority="6979">
      <formula>Q13&gt;S13+#REF!</formula>
    </cfRule>
  </conditionalFormatting>
  <conditionalFormatting sqref="Q16:S16">
    <cfRule type="expression" dxfId="14403" priority="6977">
      <formula>Q16&gt;S16+#REF!</formula>
    </cfRule>
  </conditionalFormatting>
  <conditionalFormatting sqref="Q17:S17">
    <cfRule type="expression" dxfId="14402" priority="6976">
      <formula>Q17&gt;S17+#REF!</formula>
    </cfRule>
  </conditionalFormatting>
  <conditionalFormatting sqref="Q23:S23">
    <cfRule type="expression" dxfId="14401" priority="6983">
      <formula>Q23&gt;S23*#REF!</formula>
    </cfRule>
  </conditionalFormatting>
  <conditionalFormatting sqref="Q25:S26">
    <cfRule type="expression" dxfId="14400" priority="6809">
      <formula>Q25&lt;S25*#REF!</formula>
    </cfRule>
    <cfRule type="expression" dxfId="14399" priority="6810">
      <formula>Q25&gt;S25*#REF!</formula>
    </cfRule>
  </conditionalFormatting>
  <conditionalFormatting sqref="Q27:S27">
    <cfRule type="expression" dxfId="14398" priority="6807">
      <formula>Q27&gt;S27+#REF!</formula>
    </cfRule>
  </conditionalFormatting>
  <conditionalFormatting sqref="Q27:S29">
    <cfRule type="expression" dxfId="14397" priority="6813">
      <formula>Q27&lt;S27-#REF!</formula>
    </cfRule>
  </conditionalFormatting>
  <conditionalFormatting sqref="Q28:S28">
    <cfRule type="expression" dxfId="14396" priority="6806">
      <formula>Q28&gt;S28+#REF!</formula>
    </cfRule>
  </conditionalFormatting>
  <conditionalFormatting sqref="Q29:S29">
    <cfRule type="expression" dxfId="14395" priority="6805">
      <formula>Q29&gt;S29+#REF!</formula>
    </cfRule>
  </conditionalFormatting>
  <conditionalFormatting sqref="Q30:S30">
    <cfRule type="expression" dxfId="14394" priority="6804">
      <formula>Q30&gt;S30+#REF!</formula>
    </cfRule>
  </conditionalFormatting>
  <conditionalFormatting sqref="Q33:S33">
    <cfRule type="expression" dxfId="14393" priority="6802">
      <formula>Q33&gt;S33+#REF!</formula>
    </cfRule>
  </conditionalFormatting>
  <conditionalFormatting sqref="Q34:S34">
    <cfRule type="expression" dxfId="14392" priority="6801">
      <formula>Q34&gt;S34+#REF!</formula>
    </cfRule>
  </conditionalFormatting>
  <conditionalFormatting sqref="Q40:S40">
    <cfRule type="expression" dxfId="14391" priority="6808">
      <formula>Q40&gt;S40*#REF!</formula>
    </cfRule>
  </conditionalFormatting>
  <conditionalFormatting sqref="Q42:S43">
    <cfRule type="expression" dxfId="14390" priority="6634">
      <formula>Q42&lt;S42*#REF!</formula>
    </cfRule>
    <cfRule type="expression" dxfId="14389" priority="6635">
      <formula>Q42&gt;S42*#REF!</formula>
    </cfRule>
  </conditionalFormatting>
  <conditionalFormatting sqref="Q44:S44">
    <cfRule type="expression" dxfId="14388" priority="6632">
      <formula>Q44&gt;S44+#REF!</formula>
    </cfRule>
  </conditionalFormatting>
  <conditionalFormatting sqref="Q44:S46">
    <cfRule type="expression" dxfId="14387" priority="6638">
      <formula>Q44&lt;S44-#REF!</formula>
    </cfRule>
  </conditionalFormatting>
  <conditionalFormatting sqref="Q45:S45">
    <cfRule type="expression" dxfId="14386" priority="6631">
      <formula>Q45&gt;S45+#REF!</formula>
    </cfRule>
  </conditionalFormatting>
  <conditionalFormatting sqref="Q46:S46">
    <cfRule type="expression" dxfId="14385" priority="6630">
      <formula>Q46&gt;S46+#REF!</formula>
    </cfRule>
  </conditionalFormatting>
  <conditionalFormatting sqref="Q47:S47">
    <cfRule type="expression" dxfId="14384" priority="6629">
      <formula>Q47&gt;S47+#REF!</formula>
    </cfRule>
  </conditionalFormatting>
  <conditionalFormatting sqref="Q50:S50">
    <cfRule type="expression" dxfId="14383" priority="6627">
      <formula>Q50&gt;S50+#REF!</formula>
    </cfRule>
  </conditionalFormatting>
  <conditionalFormatting sqref="Q51:S51">
    <cfRule type="expression" dxfId="14382" priority="6626">
      <formula>Q51&gt;S51+#REF!</formula>
    </cfRule>
  </conditionalFormatting>
  <conditionalFormatting sqref="Q57:S57">
    <cfRule type="expression" dxfId="14381" priority="6633">
      <formula>Q57&gt;S57*#REF!</formula>
    </cfRule>
  </conditionalFormatting>
  <conditionalFormatting sqref="Q59:S60">
    <cfRule type="expression" dxfId="14380" priority="6459">
      <formula>Q59&lt;S59*#REF!</formula>
    </cfRule>
    <cfRule type="expression" dxfId="14379" priority="6460">
      <formula>Q59&gt;S59*#REF!</formula>
    </cfRule>
  </conditionalFormatting>
  <conditionalFormatting sqref="Q61:S61">
    <cfRule type="expression" dxfId="14378" priority="6457">
      <formula>Q61&gt;S61+#REF!</formula>
    </cfRule>
  </conditionalFormatting>
  <conditionalFormatting sqref="Q61:S63">
    <cfRule type="expression" dxfId="14377" priority="6463">
      <formula>Q61&lt;S61-#REF!</formula>
    </cfRule>
  </conditionalFormatting>
  <conditionalFormatting sqref="Q62:S62">
    <cfRule type="expression" dxfId="14376" priority="6456">
      <formula>Q62&gt;S62+#REF!</formula>
    </cfRule>
  </conditionalFormatting>
  <conditionalFormatting sqref="Q63:S63">
    <cfRule type="expression" dxfId="14375" priority="6455">
      <formula>Q63&gt;S63+#REF!</formula>
    </cfRule>
  </conditionalFormatting>
  <conditionalFormatting sqref="Q64:S64">
    <cfRule type="expression" dxfId="14374" priority="6454">
      <formula>Q64&gt;S64+#REF!</formula>
    </cfRule>
  </conditionalFormatting>
  <conditionalFormatting sqref="Q67:S67">
    <cfRule type="expression" dxfId="14373" priority="6452">
      <formula>Q67&gt;S67+#REF!</formula>
    </cfRule>
  </conditionalFormatting>
  <conditionalFormatting sqref="Q68:S68">
    <cfRule type="expression" dxfId="14372" priority="6451">
      <formula>Q68&gt;S68+#REF!</formula>
    </cfRule>
  </conditionalFormatting>
  <conditionalFormatting sqref="Q74:S74">
    <cfRule type="expression" dxfId="14371" priority="6458">
      <formula>Q74&gt;S74*#REF!</formula>
    </cfRule>
  </conditionalFormatting>
  <conditionalFormatting sqref="Q76:S77">
    <cfRule type="expression" dxfId="14370" priority="6284">
      <formula>Q76&lt;S76*#REF!</formula>
    </cfRule>
    <cfRule type="expression" dxfId="14369" priority="6285">
      <formula>Q76&gt;S76*#REF!</formula>
    </cfRule>
  </conditionalFormatting>
  <conditionalFormatting sqref="Q78:S78">
    <cfRule type="expression" dxfId="14368" priority="6282">
      <formula>Q78&gt;S78+#REF!</formula>
    </cfRule>
  </conditionalFormatting>
  <conditionalFormatting sqref="Q78:S80">
    <cfRule type="expression" dxfId="14367" priority="6288">
      <formula>Q78&lt;S78-#REF!</formula>
    </cfRule>
  </conditionalFormatting>
  <conditionalFormatting sqref="Q79:S79">
    <cfRule type="expression" dxfId="14366" priority="6281">
      <formula>Q79&gt;S79+#REF!</formula>
    </cfRule>
  </conditionalFormatting>
  <conditionalFormatting sqref="Q80:S80">
    <cfRule type="expression" dxfId="14365" priority="6280">
      <formula>Q80&gt;S80+#REF!</formula>
    </cfRule>
  </conditionalFormatting>
  <conditionalFormatting sqref="Q81:S81">
    <cfRule type="expression" dxfId="14364" priority="6279">
      <formula>Q81&gt;S81+#REF!</formula>
    </cfRule>
  </conditionalFormatting>
  <conditionalFormatting sqref="Q84:S84">
    <cfRule type="expression" dxfId="14363" priority="6277">
      <formula>Q84&gt;S84+#REF!</formula>
    </cfRule>
  </conditionalFormatting>
  <conditionalFormatting sqref="Q85:S85">
    <cfRule type="expression" dxfId="14362" priority="6276">
      <formula>Q85&gt;S85+#REF!</formula>
    </cfRule>
  </conditionalFormatting>
  <conditionalFormatting sqref="Q91:S91">
    <cfRule type="expression" dxfId="14361" priority="6283">
      <formula>Q91&gt;S91*#REF!</formula>
    </cfRule>
  </conditionalFormatting>
  <conditionalFormatting sqref="Q93:S94">
    <cfRule type="expression" dxfId="14360" priority="6109">
      <formula>Q93&lt;S93*#REF!</formula>
    </cfRule>
    <cfRule type="expression" dxfId="14359" priority="6110">
      <formula>Q93&gt;S93*#REF!</formula>
    </cfRule>
  </conditionalFormatting>
  <conditionalFormatting sqref="Q95:S95">
    <cfRule type="expression" dxfId="14358" priority="6107">
      <formula>Q95&gt;S95+#REF!</formula>
    </cfRule>
  </conditionalFormatting>
  <conditionalFormatting sqref="Q95:S97">
    <cfRule type="expression" dxfId="14357" priority="6113">
      <formula>Q95&lt;S95-#REF!</formula>
    </cfRule>
  </conditionalFormatting>
  <conditionalFormatting sqref="Q96:S96">
    <cfRule type="expression" dxfId="14356" priority="6106">
      <formula>Q96&gt;S96+#REF!</formula>
    </cfRule>
  </conditionalFormatting>
  <conditionalFormatting sqref="Q97:S97">
    <cfRule type="expression" dxfId="14355" priority="6105">
      <formula>Q97&gt;S97+#REF!</formula>
    </cfRule>
  </conditionalFormatting>
  <conditionalFormatting sqref="Q98:S98">
    <cfRule type="expression" dxfId="14354" priority="6104">
      <formula>Q98&gt;S98+#REF!</formula>
    </cfRule>
  </conditionalFormatting>
  <conditionalFormatting sqref="Q101:S101">
    <cfRule type="expression" dxfId="14353" priority="6102">
      <formula>Q101&gt;S101+#REF!</formula>
    </cfRule>
  </conditionalFormatting>
  <conditionalFormatting sqref="Q102:S102">
    <cfRule type="expression" dxfId="14352" priority="6101">
      <formula>Q102&gt;S102+#REF!</formula>
    </cfRule>
  </conditionalFormatting>
  <conditionalFormatting sqref="Q108:S108">
    <cfRule type="expression" dxfId="14351" priority="6108">
      <formula>Q108&gt;S108*#REF!</formula>
    </cfRule>
  </conditionalFormatting>
  <conditionalFormatting sqref="Q110:S111">
    <cfRule type="expression" dxfId="14350" priority="5934">
      <formula>Q110&lt;S110*#REF!</formula>
    </cfRule>
    <cfRule type="expression" dxfId="14349" priority="5935">
      <formula>Q110&gt;S110*#REF!</formula>
    </cfRule>
  </conditionalFormatting>
  <conditionalFormatting sqref="Q112:S112">
    <cfRule type="expression" dxfId="14348" priority="5932">
      <formula>Q112&gt;S112+#REF!</formula>
    </cfRule>
  </conditionalFormatting>
  <conditionalFormatting sqref="Q112:S114">
    <cfRule type="expression" dxfId="14347" priority="5938">
      <formula>Q112&lt;S112-#REF!</formula>
    </cfRule>
  </conditionalFormatting>
  <conditionalFormatting sqref="Q113:S113">
    <cfRule type="expression" dxfId="14346" priority="5931">
      <formula>Q113&gt;S113+#REF!</formula>
    </cfRule>
  </conditionalFormatting>
  <conditionalFormatting sqref="Q114:S114">
    <cfRule type="expression" dxfId="14345" priority="5930">
      <formula>Q114&gt;S114+#REF!</formula>
    </cfRule>
  </conditionalFormatting>
  <conditionalFormatting sqref="Q115:S115">
    <cfRule type="expression" dxfId="14344" priority="5929">
      <formula>Q115&gt;S115+#REF!</formula>
    </cfRule>
  </conditionalFormatting>
  <conditionalFormatting sqref="Q118:S118">
    <cfRule type="expression" dxfId="14343" priority="5927">
      <formula>Q118&gt;S118+#REF!</formula>
    </cfRule>
  </conditionalFormatting>
  <conditionalFormatting sqref="Q119:S119">
    <cfRule type="expression" dxfId="14342" priority="5926">
      <formula>Q119&gt;S119+#REF!</formula>
    </cfRule>
  </conditionalFormatting>
  <conditionalFormatting sqref="Q125:S125">
    <cfRule type="expression" dxfId="14341" priority="5933">
      <formula>Q125&gt;S125*#REF!</formula>
    </cfRule>
  </conditionalFormatting>
  <conditionalFormatting sqref="Q161:S162">
    <cfRule type="expression" dxfId="14340" priority="5759">
      <formula>Q161&lt;S161*#REF!</formula>
    </cfRule>
    <cfRule type="expression" dxfId="14339" priority="5760">
      <formula>Q161&gt;S161*#REF!</formula>
    </cfRule>
  </conditionalFormatting>
  <conditionalFormatting sqref="Q163:S163">
    <cfRule type="expression" dxfId="14338" priority="5757">
      <formula>Q163&gt;S163+#REF!</formula>
    </cfRule>
  </conditionalFormatting>
  <conditionalFormatting sqref="Q163:S165">
    <cfRule type="expression" dxfId="14337" priority="5763">
      <formula>Q163&lt;S163-#REF!</formula>
    </cfRule>
  </conditionalFormatting>
  <conditionalFormatting sqref="Q164:S164">
    <cfRule type="expression" dxfId="14336" priority="5756">
      <formula>Q164&gt;S164+#REF!</formula>
    </cfRule>
  </conditionalFormatting>
  <conditionalFormatting sqref="Q165:S165">
    <cfRule type="expression" dxfId="14335" priority="5755">
      <formula>Q165&gt;S165+#REF!</formula>
    </cfRule>
  </conditionalFormatting>
  <conditionalFormatting sqref="Q166:S166">
    <cfRule type="expression" dxfId="14334" priority="5754">
      <formula>Q166&gt;S166+#REF!</formula>
    </cfRule>
  </conditionalFormatting>
  <conditionalFormatting sqref="Q169:S169">
    <cfRule type="expression" dxfId="14333" priority="5752">
      <formula>Q169&gt;S169+#REF!</formula>
    </cfRule>
  </conditionalFormatting>
  <conditionalFormatting sqref="Q170:S170">
    <cfRule type="expression" dxfId="14332" priority="5751">
      <formula>Q170&gt;S170+#REF!</formula>
    </cfRule>
  </conditionalFormatting>
  <conditionalFormatting sqref="Q176:S176">
    <cfRule type="expression" dxfId="14331" priority="5758">
      <formula>Q176&gt;S176*#REF!</formula>
    </cfRule>
  </conditionalFormatting>
  <conditionalFormatting sqref="Q178:S179">
    <cfRule type="expression" dxfId="14330" priority="5584">
      <formula>Q178&lt;S178*#REF!</formula>
    </cfRule>
    <cfRule type="expression" dxfId="14329" priority="5585">
      <formula>Q178&gt;S178*#REF!</formula>
    </cfRule>
  </conditionalFormatting>
  <conditionalFormatting sqref="Q180:S180">
    <cfRule type="expression" dxfId="14328" priority="5582">
      <formula>Q180&gt;S180+#REF!</formula>
    </cfRule>
  </conditionalFormatting>
  <conditionalFormatting sqref="Q180:S182">
    <cfRule type="expression" dxfId="14327" priority="5588">
      <formula>Q180&lt;S180-#REF!</formula>
    </cfRule>
  </conditionalFormatting>
  <conditionalFormatting sqref="Q181:S181">
    <cfRule type="expression" dxfId="14326" priority="5581">
      <formula>Q181&gt;S181+#REF!</formula>
    </cfRule>
  </conditionalFormatting>
  <conditionalFormatting sqref="Q182:S182">
    <cfRule type="expression" dxfId="14325" priority="5580">
      <formula>Q182&gt;S182+#REF!</formula>
    </cfRule>
  </conditionalFormatting>
  <conditionalFormatting sqref="Q183:S183">
    <cfRule type="expression" dxfId="14324" priority="5579">
      <formula>Q183&gt;S183+#REF!</formula>
    </cfRule>
  </conditionalFormatting>
  <conditionalFormatting sqref="Q186:S186">
    <cfRule type="expression" dxfId="14323" priority="5577">
      <formula>Q186&gt;S186+#REF!</formula>
    </cfRule>
  </conditionalFormatting>
  <conditionalFormatting sqref="Q187:S187">
    <cfRule type="expression" dxfId="14322" priority="5576">
      <formula>Q187&gt;S187+#REF!</formula>
    </cfRule>
  </conditionalFormatting>
  <conditionalFormatting sqref="Q193:S193">
    <cfRule type="expression" dxfId="14321" priority="5583">
      <formula>Q193&gt;S193*#REF!</formula>
    </cfRule>
  </conditionalFormatting>
  <conditionalFormatting sqref="Q195:S196">
    <cfRule type="expression" dxfId="14320" priority="5409">
      <formula>Q195&lt;S195*#REF!</formula>
    </cfRule>
    <cfRule type="expression" dxfId="14319" priority="5410">
      <formula>Q195&gt;S195*#REF!</formula>
    </cfRule>
  </conditionalFormatting>
  <conditionalFormatting sqref="Q197:S197">
    <cfRule type="expression" dxfId="14318" priority="5407">
      <formula>Q197&gt;S197+#REF!</formula>
    </cfRule>
  </conditionalFormatting>
  <conditionalFormatting sqref="Q197:S199">
    <cfRule type="expression" dxfId="14317" priority="5413">
      <formula>Q197&lt;S197-#REF!</formula>
    </cfRule>
  </conditionalFormatting>
  <conditionalFormatting sqref="Q198:S198">
    <cfRule type="expression" dxfId="14316" priority="5406">
      <formula>Q198&gt;S198+#REF!</formula>
    </cfRule>
  </conditionalFormatting>
  <conditionalFormatting sqref="Q199:S199">
    <cfRule type="expression" dxfId="14315" priority="5405">
      <formula>Q199&gt;S199+#REF!</formula>
    </cfRule>
  </conditionalFormatting>
  <conditionalFormatting sqref="Q200:S200">
    <cfRule type="expression" dxfId="14314" priority="5404">
      <formula>Q200&gt;S200+#REF!</formula>
    </cfRule>
  </conditionalFormatting>
  <conditionalFormatting sqref="Q203:S203">
    <cfRule type="expression" dxfId="14313" priority="5402">
      <formula>Q203&gt;S203+#REF!</formula>
    </cfRule>
  </conditionalFormatting>
  <conditionalFormatting sqref="Q204:S204">
    <cfRule type="expression" dxfId="14312" priority="5401">
      <formula>Q204&gt;S204+#REF!</formula>
    </cfRule>
  </conditionalFormatting>
  <conditionalFormatting sqref="Q210:S210">
    <cfRule type="expression" dxfId="14311" priority="5408">
      <formula>Q210&gt;S210*#REF!</formula>
    </cfRule>
  </conditionalFormatting>
  <conditionalFormatting sqref="Q212:S213">
    <cfRule type="expression" dxfId="14310" priority="5234">
      <formula>Q212&lt;S212*#REF!</formula>
    </cfRule>
    <cfRule type="expression" dxfId="14309" priority="5235">
      <formula>Q212&gt;S212*#REF!</formula>
    </cfRule>
  </conditionalFormatting>
  <conditionalFormatting sqref="Q214:S214">
    <cfRule type="expression" dxfId="14308" priority="5232">
      <formula>Q214&gt;S214+#REF!</formula>
    </cfRule>
  </conditionalFormatting>
  <conditionalFormatting sqref="Q214:S216">
    <cfRule type="expression" dxfId="14307" priority="5238">
      <formula>Q214&lt;S214-#REF!</formula>
    </cfRule>
  </conditionalFormatting>
  <conditionalFormatting sqref="Q215:S215">
    <cfRule type="expression" dxfId="14306" priority="5231">
      <formula>Q215&gt;S215+#REF!</formula>
    </cfRule>
  </conditionalFormatting>
  <conditionalFormatting sqref="Q216:S216">
    <cfRule type="expression" dxfId="14305" priority="5230">
      <formula>Q216&gt;S216+#REF!</formula>
    </cfRule>
  </conditionalFormatting>
  <conditionalFormatting sqref="Q217:S217">
    <cfRule type="expression" dxfId="14304" priority="5229">
      <formula>Q217&gt;S217+#REF!</formula>
    </cfRule>
  </conditionalFormatting>
  <conditionalFormatting sqref="Q220:S220">
    <cfRule type="expression" dxfId="14303" priority="5227">
      <formula>Q220&gt;S220+#REF!</formula>
    </cfRule>
  </conditionalFormatting>
  <conditionalFormatting sqref="Q221:S221">
    <cfRule type="expression" dxfId="14302" priority="5226">
      <formula>Q221&gt;S221+#REF!</formula>
    </cfRule>
  </conditionalFormatting>
  <conditionalFormatting sqref="Q227:S227">
    <cfRule type="expression" dxfId="14301" priority="5233">
      <formula>Q227&gt;S227*#REF!</formula>
    </cfRule>
  </conditionalFormatting>
  <conditionalFormatting sqref="Q229:S230">
    <cfRule type="expression" dxfId="14300" priority="5059">
      <formula>Q229&lt;S229*#REF!</formula>
    </cfRule>
    <cfRule type="expression" dxfId="14299" priority="5060">
      <formula>Q229&gt;S229*#REF!</formula>
    </cfRule>
  </conditionalFormatting>
  <conditionalFormatting sqref="Q231:S231">
    <cfRule type="expression" dxfId="14298" priority="5057">
      <formula>Q231&gt;S231+#REF!</formula>
    </cfRule>
  </conditionalFormatting>
  <conditionalFormatting sqref="Q231:S233">
    <cfRule type="expression" dxfId="14297" priority="5063">
      <formula>Q231&lt;S231-#REF!</formula>
    </cfRule>
  </conditionalFormatting>
  <conditionalFormatting sqref="Q232:S232">
    <cfRule type="expression" dxfId="14296" priority="5056">
      <formula>Q232&gt;S232+#REF!</formula>
    </cfRule>
  </conditionalFormatting>
  <conditionalFormatting sqref="Q233:S233">
    <cfRule type="expression" dxfId="14295" priority="5055">
      <formula>Q233&gt;S233+#REF!</formula>
    </cfRule>
  </conditionalFormatting>
  <conditionalFormatting sqref="Q234:S234">
    <cfRule type="expression" dxfId="14294" priority="5054">
      <formula>Q234&gt;S234+#REF!</formula>
    </cfRule>
  </conditionalFormatting>
  <conditionalFormatting sqref="Q237:S237">
    <cfRule type="expression" dxfId="14293" priority="5052">
      <formula>Q237&gt;S237+#REF!</formula>
    </cfRule>
  </conditionalFormatting>
  <conditionalFormatting sqref="Q238:S238">
    <cfRule type="expression" dxfId="14292" priority="5051">
      <formula>Q238&gt;S238+#REF!</formula>
    </cfRule>
  </conditionalFormatting>
  <conditionalFormatting sqref="Q244:S244">
    <cfRule type="expression" dxfId="14291" priority="5058">
      <formula>Q244&gt;S244*#REF!</formula>
    </cfRule>
  </conditionalFormatting>
  <conditionalFormatting sqref="Q246:S247">
    <cfRule type="expression" dxfId="14290" priority="4558">
      <formula>Q246&lt;S246*#REF!</formula>
    </cfRule>
    <cfRule type="expression" dxfId="14289" priority="4559">
      <formula>Q246&gt;S246*#REF!</formula>
    </cfRule>
  </conditionalFormatting>
  <conditionalFormatting sqref="Q248:S248">
    <cfRule type="expression" dxfId="14288" priority="4556">
      <formula>Q248&gt;S248+#REF!</formula>
    </cfRule>
  </conditionalFormatting>
  <conditionalFormatting sqref="Q248:S250">
    <cfRule type="expression" dxfId="14287" priority="4561">
      <formula>Q248&lt;S248-#REF!</formula>
    </cfRule>
  </conditionalFormatting>
  <conditionalFormatting sqref="Q249:S249">
    <cfRule type="expression" dxfId="14286" priority="4555">
      <formula>Q249&gt;S249+#REF!</formula>
    </cfRule>
  </conditionalFormatting>
  <conditionalFormatting sqref="Q250:S250">
    <cfRule type="expression" dxfId="14285" priority="4554">
      <formula>Q250&gt;S250+#REF!</formula>
    </cfRule>
  </conditionalFormatting>
  <conditionalFormatting sqref="Q251:S251">
    <cfRule type="expression" dxfId="14284" priority="4553">
      <formula>Q251&gt;S251+#REF!</formula>
    </cfRule>
  </conditionalFormatting>
  <conditionalFormatting sqref="Q254:S254">
    <cfRule type="expression" dxfId="14283" priority="4551">
      <formula>Q254&gt;S254+#REF!</formula>
    </cfRule>
  </conditionalFormatting>
  <conditionalFormatting sqref="Q255:S255">
    <cfRule type="expression" dxfId="14282" priority="4550">
      <formula>Q255&gt;S255+#REF!</formula>
    </cfRule>
  </conditionalFormatting>
  <conditionalFormatting sqref="Q261:S261">
    <cfRule type="expression" dxfId="14281" priority="4557">
      <formula>Q261&gt;S261*#REF!</formula>
    </cfRule>
  </conditionalFormatting>
  <conditionalFormatting sqref="Q263:S264">
    <cfRule type="expression" dxfId="14280" priority="3647">
      <formula>Q263&lt;S263*#REF!</formula>
    </cfRule>
    <cfRule type="expression" dxfId="14279" priority="3648">
      <formula>Q263&gt;S263*#REF!</formula>
    </cfRule>
  </conditionalFormatting>
  <conditionalFormatting sqref="Q265:S265">
    <cfRule type="expression" dxfId="14278" priority="3645">
      <formula>Q265&gt;S265+#REF!</formula>
    </cfRule>
  </conditionalFormatting>
  <conditionalFormatting sqref="Q265:S267">
    <cfRule type="expression" dxfId="14277" priority="3651">
      <formula>Q265&lt;S265-#REF!</formula>
    </cfRule>
  </conditionalFormatting>
  <conditionalFormatting sqref="Q266:S266">
    <cfRule type="expression" dxfId="14276" priority="3644">
      <formula>Q266&gt;S266+#REF!</formula>
    </cfRule>
  </conditionalFormatting>
  <conditionalFormatting sqref="Q267:S267">
    <cfRule type="expression" dxfId="14275" priority="3643">
      <formula>Q267&gt;S267+#REF!</formula>
    </cfRule>
  </conditionalFormatting>
  <conditionalFormatting sqref="Q268:S268">
    <cfRule type="expression" dxfId="14274" priority="3642">
      <formula>Q268&gt;S268+#REF!</formula>
    </cfRule>
  </conditionalFormatting>
  <conditionalFormatting sqref="Q271:S271">
    <cfRule type="expression" dxfId="14273" priority="3640">
      <formula>Q271&gt;S271+#REF!</formula>
    </cfRule>
  </conditionalFormatting>
  <conditionalFormatting sqref="Q272:S272">
    <cfRule type="expression" dxfId="14272" priority="3639">
      <formula>Q272&gt;S272+#REF!</formula>
    </cfRule>
  </conditionalFormatting>
  <conditionalFormatting sqref="Q278:S278">
    <cfRule type="expression" dxfId="14271" priority="3646">
      <formula>Q278&gt;S278*#REF!</formula>
    </cfRule>
  </conditionalFormatting>
  <conditionalFormatting sqref="Q280:S281">
    <cfRule type="expression" dxfId="14270" priority="4373">
      <formula>Q280&lt;S280*#REF!</formula>
    </cfRule>
    <cfRule type="expression" dxfId="14269" priority="4374">
      <formula>Q280&gt;S280*#REF!</formula>
    </cfRule>
  </conditionalFormatting>
  <conditionalFormatting sqref="Q282:S282">
    <cfRule type="expression" dxfId="14268" priority="4371">
      <formula>Q282&gt;S282+#REF!</formula>
    </cfRule>
  </conditionalFormatting>
  <conditionalFormatting sqref="Q282:S284">
    <cfRule type="expression" dxfId="14267" priority="4376">
      <formula>Q282&lt;S282-#REF!</formula>
    </cfRule>
  </conditionalFormatting>
  <conditionalFormatting sqref="Q283:S283">
    <cfRule type="expression" dxfId="14266" priority="4370">
      <formula>Q283&gt;S283+#REF!</formula>
    </cfRule>
  </conditionalFormatting>
  <conditionalFormatting sqref="Q284:S284">
    <cfRule type="expression" dxfId="14265" priority="4369">
      <formula>Q284&gt;S284+#REF!</formula>
    </cfRule>
  </conditionalFormatting>
  <conditionalFormatting sqref="Q285:S285">
    <cfRule type="expression" dxfId="14264" priority="4368">
      <formula>Q285&gt;S285+#REF!</formula>
    </cfRule>
  </conditionalFormatting>
  <conditionalFormatting sqref="Q288:S288">
    <cfRule type="expression" dxfId="14263" priority="4366">
      <formula>Q288&gt;S288+#REF!</formula>
    </cfRule>
  </conditionalFormatting>
  <conditionalFormatting sqref="Q289:S289">
    <cfRule type="expression" dxfId="14262" priority="4365">
      <formula>Q289&gt;S289+#REF!</formula>
    </cfRule>
  </conditionalFormatting>
  <conditionalFormatting sqref="Q295:S295">
    <cfRule type="expression" dxfId="14261" priority="4372">
      <formula>Q295&gt;S295*#REF!</formula>
    </cfRule>
  </conditionalFormatting>
  <conditionalFormatting sqref="Q297:S298">
    <cfRule type="expression" dxfId="14260" priority="4191">
      <formula>Q297&lt;S297*#REF!</formula>
    </cfRule>
    <cfRule type="expression" dxfId="14259" priority="4192">
      <formula>Q297&gt;S297*#REF!</formula>
    </cfRule>
  </conditionalFormatting>
  <conditionalFormatting sqref="Q299:S299">
    <cfRule type="expression" dxfId="14258" priority="4189">
      <formula>Q299&gt;S299+#REF!</formula>
    </cfRule>
  </conditionalFormatting>
  <conditionalFormatting sqref="Q299:S301">
    <cfRule type="expression" dxfId="14257" priority="4194">
      <formula>Q299&lt;S299-#REF!</formula>
    </cfRule>
  </conditionalFormatting>
  <conditionalFormatting sqref="Q300:S300">
    <cfRule type="expression" dxfId="14256" priority="4188">
      <formula>Q300&gt;S300+#REF!</formula>
    </cfRule>
  </conditionalFormatting>
  <conditionalFormatting sqref="Q301:S301">
    <cfRule type="expression" dxfId="14255" priority="4187">
      <formula>Q301&gt;S301+#REF!</formula>
    </cfRule>
  </conditionalFormatting>
  <conditionalFormatting sqref="Q302:S302">
    <cfRule type="expression" dxfId="14254" priority="4186">
      <formula>Q302&gt;S302+#REF!</formula>
    </cfRule>
  </conditionalFormatting>
  <conditionalFormatting sqref="Q305:S305">
    <cfRule type="expression" dxfId="14253" priority="4184">
      <formula>Q305&gt;S305+#REF!</formula>
    </cfRule>
  </conditionalFormatting>
  <conditionalFormatting sqref="Q306:S306">
    <cfRule type="expression" dxfId="14252" priority="4183">
      <formula>Q306&gt;S306+#REF!</formula>
    </cfRule>
  </conditionalFormatting>
  <conditionalFormatting sqref="Q312:S312">
    <cfRule type="expression" dxfId="14251" priority="4190">
      <formula>Q312&gt;S312*#REF!</formula>
    </cfRule>
  </conditionalFormatting>
  <conditionalFormatting sqref="Q314:S315">
    <cfRule type="expression" dxfId="14250" priority="4009">
      <formula>Q314&lt;S314*#REF!</formula>
    </cfRule>
    <cfRule type="expression" dxfId="14249" priority="4010">
      <formula>Q314&gt;S314*#REF!</formula>
    </cfRule>
  </conditionalFormatting>
  <conditionalFormatting sqref="Q316:S316">
    <cfRule type="expression" dxfId="14248" priority="4007">
      <formula>Q316&gt;S316+#REF!</formula>
    </cfRule>
  </conditionalFormatting>
  <conditionalFormatting sqref="Q316:S318">
    <cfRule type="expression" dxfId="14247" priority="4012">
      <formula>Q316&lt;S316-#REF!</formula>
    </cfRule>
  </conditionalFormatting>
  <conditionalFormatting sqref="Q317:S317">
    <cfRule type="expression" dxfId="14246" priority="4006">
      <formula>Q317&gt;S317+#REF!</formula>
    </cfRule>
  </conditionalFormatting>
  <conditionalFormatting sqref="Q318:S318">
    <cfRule type="expression" dxfId="14245" priority="4005">
      <formula>Q318&gt;S318+#REF!</formula>
    </cfRule>
  </conditionalFormatting>
  <conditionalFormatting sqref="Q319:S319">
    <cfRule type="expression" dxfId="14244" priority="4004">
      <formula>Q319&gt;S319+#REF!</formula>
    </cfRule>
  </conditionalFormatting>
  <conditionalFormatting sqref="Q322:S322">
    <cfRule type="expression" dxfId="14243" priority="4002">
      <formula>Q322&gt;S322+#REF!</formula>
    </cfRule>
  </conditionalFormatting>
  <conditionalFormatting sqref="Q323:S323">
    <cfRule type="expression" dxfId="14242" priority="4001">
      <formula>Q323&gt;S323+#REF!</formula>
    </cfRule>
  </conditionalFormatting>
  <conditionalFormatting sqref="Q329:S329">
    <cfRule type="expression" dxfId="14241" priority="4008">
      <formula>Q329&gt;S329*#REF!</formula>
    </cfRule>
  </conditionalFormatting>
  <conditionalFormatting sqref="Q331:S332">
    <cfRule type="expression" dxfId="14240" priority="3827">
      <formula>Q331&lt;S331*#REF!</formula>
    </cfRule>
    <cfRule type="expression" dxfId="14239" priority="3828">
      <formula>Q331&gt;S331*#REF!</formula>
    </cfRule>
  </conditionalFormatting>
  <conditionalFormatting sqref="Q333:S333">
    <cfRule type="expression" dxfId="14238" priority="3825">
      <formula>Q333&gt;S333+#REF!</formula>
    </cfRule>
  </conditionalFormatting>
  <conditionalFormatting sqref="Q333:S335">
    <cfRule type="expression" dxfId="14237" priority="3830">
      <formula>Q333&lt;S333-#REF!</formula>
    </cfRule>
  </conditionalFormatting>
  <conditionalFormatting sqref="Q334:S334">
    <cfRule type="expression" dxfId="14236" priority="3824">
      <formula>Q334&gt;S334+#REF!</formula>
    </cfRule>
  </conditionalFormatting>
  <conditionalFormatting sqref="Q335:S335">
    <cfRule type="expression" dxfId="14235" priority="3823">
      <formula>Q335&gt;S335+#REF!</formula>
    </cfRule>
  </conditionalFormatting>
  <conditionalFormatting sqref="Q336:S336">
    <cfRule type="expression" dxfId="14234" priority="3822">
      <formula>Q336&gt;S336+#REF!</formula>
    </cfRule>
  </conditionalFormatting>
  <conditionalFormatting sqref="Q339:S339">
    <cfRule type="expression" dxfId="14233" priority="3820">
      <formula>Q339&gt;S339+#REF!</formula>
    </cfRule>
  </conditionalFormatting>
  <conditionalFormatting sqref="Q340:S340">
    <cfRule type="expression" dxfId="14232" priority="3819">
      <formula>Q340&gt;S340+#REF!</formula>
    </cfRule>
  </conditionalFormatting>
  <conditionalFormatting sqref="Q346:S346">
    <cfRule type="expression" dxfId="14231" priority="3826">
      <formula>Q346&gt;S346*#REF!</formula>
    </cfRule>
  </conditionalFormatting>
  <conditionalFormatting sqref="Q348:S349">
    <cfRule type="expression" dxfId="14230" priority="4709">
      <formula>Q348&lt;S348*#REF!</formula>
    </cfRule>
    <cfRule type="expression" dxfId="14229" priority="4710">
      <formula>Q348&gt;S348*#REF!</formula>
    </cfRule>
  </conditionalFormatting>
  <conditionalFormatting sqref="Q350:S350">
    <cfRule type="expression" dxfId="14228" priority="4707">
      <formula>Q350&gt;S350+#REF!</formula>
    </cfRule>
  </conditionalFormatting>
  <conditionalFormatting sqref="Q350:S352">
    <cfRule type="expression" dxfId="14227" priority="4713">
      <formula>Q350&lt;S350-#REF!</formula>
    </cfRule>
  </conditionalFormatting>
  <conditionalFormatting sqref="Q351:S351">
    <cfRule type="expression" dxfId="14226" priority="4706">
      <formula>Q351&gt;S351+#REF!</formula>
    </cfRule>
  </conditionalFormatting>
  <conditionalFormatting sqref="Q352:S352">
    <cfRule type="expression" dxfId="14225" priority="4705">
      <formula>Q352&gt;S352+#REF!</formula>
    </cfRule>
  </conditionalFormatting>
  <conditionalFormatting sqref="Q353:S353">
    <cfRule type="expression" dxfId="14224" priority="4704">
      <formula>Q353&gt;S353+#REF!</formula>
    </cfRule>
  </conditionalFormatting>
  <conditionalFormatting sqref="Q356:S356">
    <cfRule type="expression" dxfId="14223" priority="4702">
      <formula>Q356&gt;S356+#REF!</formula>
    </cfRule>
  </conditionalFormatting>
  <conditionalFormatting sqref="Q357:S357">
    <cfRule type="expression" dxfId="14222" priority="4701">
      <formula>Q357&gt;S357+#REF!</formula>
    </cfRule>
  </conditionalFormatting>
  <conditionalFormatting sqref="Q363:S363">
    <cfRule type="expression" dxfId="14221" priority="4708">
      <formula>Q363&gt;S363*#REF!</formula>
    </cfRule>
  </conditionalFormatting>
  <conditionalFormatting sqref="R14:R15">
    <cfRule type="expression" dxfId="14220" priority="6972">
      <formula>R14&gt;T14+#REF!</formula>
    </cfRule>
    <cfRule type="expression" dxfId="14219" priority="6973">
      <formula>R14&lt;T14-#REF!</formula>
    </cfRule>
  </conditionalFormatting>
  <conditionalFormatting sqref="R18:R19">
    <cfRule type="expression" dxfId="14218" priority="6970">
      <formula>R18&gt;T18+#REF!</formula>
    </cfRule>
  </conditionalFormatting>
  <conditionalFormatting sqref="R18:R22">
    <cfRule type="expression" dxfId="14217" priority="6971">
      <formula>R18&lt;T18-#REF!</formula>
    </cfRule>
  </conditionalFormatting>
  <conditionalFormatting sqref="R20:R22">
    <cfRule type="expression" dxfId="14216" priority="6969">
      <formula>R20&gt;T20+#REF!</formula>
    </cfRule>
  </conditionalFormatting>
  <conditionalFormatting sqref="R31:R32">
    <cfRule type="expression" dxfId="14215" priority="6797">
      <formula>R31&gt;T31+#REF!</formula>
    </cfRule>
    <cfRule type="expression" dxfId="14214" priority="6798">
      <formula>R31&lt;T31-#REF!</formula>
    </cfRule>
  </conditionalFormatting>
  <conditionalFormatting sqref="R35:R36">
    <cfRule type="expression" dxfId="14213" priority="6795">
      <formula>R35&gt;T35+#REF!</formula>
    </cfRule>
  </conditionalFormatting>
  <conditionalFormatting sqref="R35:R39">
    <cfRule type="expression" dxfId="14212" priority="6796">
      <formula>R35&lt;T35-#REF!</formula>
    </cfRule>
  </conditionalFormatting>
  <conditionalFormatting sqref="R37:R39">
    <cfRule type="expression" dxfId="14211" priority="6794">
      <formula>R37&gt;T37+#REF!</formula>
    </cfRule>
  </conditionalFormatting>
  <conditionalFormatting sqref="R48:R49">
    <cfRule type="expression" dxfId="14210" priority="6622">
      <formula>R48&gt;T48+#REF!</formula>
    </cfRule>
    <cfRule type="expression" dxfId="14209" priority="6623">
      <formula>R48&lt;T48-#REF!</formula>
    </cfRule>
  </conditionalFormatting>
  <conditionalFormatting sqref="R52:R53">
    <cfRule type="expression" dxfId="14208" priority="6620">
      <formula>R52&gt;T52+#REF!</formula>
    </cfRule>
  </conditionalFormatting>
  <conditionalFormatting sqref="R52:R56">
    <cfRule type="expression" dxfId="14207" priority="6621">
      <formula>R52&lt;T52-#REF!</formula>
    </cfRule>
  </conditionalFormatting>
  <conditionalFormatting sqref="R54:R56">
    <cfRule type="expression" dxfId="14206" priority="6619">
      <formula>R54&gt;T54+#REF!</formula>
    </cfRule>
  </conditionalFormatting>
  <conditionalFormatting sqref="R65:R66">
    <cfRule type="expression" dxfId="14205" priority="6447">
      <formula>R65&gt;T65+#REF!</formula>
    </cfRule>
    <cfRule type="expression" dxfId="14204" priority="6448">
      <formula>R65&lt;T65-#REF!</formula>
    </cfRule>
  </conditionalFormatting>
  <conditionalFormatting sqref="R69:R70">
    <cfRule type="expression" dxfId="14203" priority="6445">
      <formula>R69&gt;T69+#REF!</formula>
    </cfRule>
  </conditionalFormatting>
  <conditionalFormatting sqref="R69:R73">
    <cfRule type="expression" dxfId="14202" priority="6446">
      <formula>R69&lt;T69-#REF!</formula>
    </cfRule>
  </conditionalFormatting>
  <conditionalFormatting sqref="R71:R73">
    <cfRule type="expression" dxfId="14201" priority="6444">
      <formula>R71&gt;T71+#REF!</formula>
    </cfRule>
  </conditionalFormatting>
  <conditionalFormatting sqref="R82:R83">
    <cfRule type="expression" dxfId="14200" priority="6272">
      <formula>R82&gt;T82+#REF!</formula>
    </cfRule>
    <cfRule type="expression" dxfId="14199" priority="6273">
      <formula>R82&lt;T82-#REF!</formula>
    </cfRule>
  </conditionalFormatting>
  <conditionalFormatting sqref="R86:R87">
    <cfRule type="expression" dxfId="14198" priority="6270">
      <formula>R86&gt;T86+#REF!</formula>
    </cfRule>
  </conditionalFormatting>
  <conditionalFormatting sqref="R86:R90">
    <cfRule type="expression" dxfId="14197" priority="6271">
      <formula>R86&lt;T86-#REF!</formula>
    </cfRule>
  </conditionalFormatting>
  <conditionalFormatting sqref="R88:R90">
    <cfRule type="expression" dxfId="14196" priority="6269">
      <formula>R88&gt;T88+#REF!</formula>
    </cfRule>
  </conditionalFormatting>
  <conditionalFormatting sqref="R99:R100">
    <cfRule type="expression" dxfId="14195" priority="6097">
      <formula>R99&gt;T99+#REF!</formula>
    </cfRule>
    <cfRule type="expression" dxfId="14194" priority="6098">
      <formula>R99&lt;T99-#REF!</formula>
    </cfRule>
  </conditionalFormatting>
  <conditionalFormatting sqref="R103:R104">
    <cfRule type="expression" dxfId="14193" priority="6095">
      <formula>R103&gt;T103+#REF!</formula>
    </cfRule>
  </conditionalFormatting>
  <conditionalFormatting sqref="R103:R107">
    <cfRule type="expression" dxfId="14192" priority="6096">
      <formula>R103&lt;T103-#REF!</formula>
    </cfRule>
  </conditionalFormatting>
  <conditionalFormatting sqref="R105:R107">
    <cfRule type="expression" dxfId="14191" priority="6094">
      <formula>R105&gt;T105+#REF!</formula>
    </cfRule>
  </conditionalFormatting>
  <conditionalFormatting sqref="R116:R117">
    <cfRule type="expression" dxfId="14190" priority="5922">
      <formula>R116&gt;T116+#REF!</formula>
    </cfRule>
    <cfRule type="expression" dxfId="14189" priority="5923">
      <formula>R116&lt;T116-#REF!</formula>
    </cfRule>
  </conditionalFormatting>
  <conditionalFormatting sqref="R120:R121">
    <cfRule type="expression" dxfId="14188" priority="5920">
      <formula>R120&gt;T120+#REF!</formula>
    </cfRule>
  </conditionalFormatting>
  <conditionalFormatting sqref="R120:R124">
    <cfRule type="expression" dxfId="14187" priority="5921">
      <formula>R120&lt;T120-#REF!</formula>
    </cfRule>
  </conditionalFormatting>
  <conditionalFormatting sqref="R122:R124">
    <cfRule type="expression" dxfId="14186" priority="5919">
      <formula>R122&gt;T122+#REF!</formula>
    </cfRule>
  </conditionalFormatting>
  <conditionalFormatting sqref="R167:R168">
    <cfRule type="expression" dxfId="14185" priority="5747">
      <formula>R167&gt;T167+#REF!</formula>
    </cfRule>
    <cfRule type="expression" dxfId="14184" priority="5748">
      <formula>R167&lt;T167-#REF!</formula>
    </cfRule>
  </conditionalFormatting>
  <conditionalFormatting sqref="R171:R172">
    <cfRule type="expression" dxfId="14183" priority="5745">
      <formula>R171&gt;T171+#REF!</formula>
    </cfRule>
  </conditionalFormatting>
  <conditionalFormatting sqref="R171:R175">
    <cfRule type="expression" dxfId="14182" priority="5746">
      <formula>R171&lt;T171-#REF!</formula>
    </cfRule>
  </conditionalFormatting>
  <conditionalFormatting sqref="R173:R175">
    <cfRule type="expression" dxfId="14181" priority="5744">
      <formula>R173&gt;T173+#REF!</formula>
    </cfRule>
  </conditionalFormatting>
  <conditionalFormatting sqref="R184:R185">
    <cfRule type="expression" dxfId="14180" priority="5572">
      <formula>R184&gt;T184+#REF!</formula>
    </cfRule>
    <cfRule type="expression" dxfId="14179" priority="5573">
      <formula>R184&lt;T184-#REF!</formula>
    </cfRule>
  </conditionalFormatting>
  <conditionalFormatting sqref="R188:R189">
    <cfRule type="expression" dxfId="14178" priority="5570">
      <formula>R188&gt;T188+#REF!</formula>
    </cfRule>
  </conditionalFormatting>
  <conditionalFormatting sqref="R188:R192">
    <cfRule type="expression" dxfId="14177" priority="5571">
      <formula>R188&lt;T188-#REF!</formula>
    </cfRule>
  </conditionalFormatting>
  <conditionalFormatting sqref="R190:R192">
    <cfRule type="expression" dxfId="14176" priority="5569">
      <formula>R190&gt;T190+#REF!</formula>
    </cfRule>
  </conditionalFormatting>
  <conditionalFormatting sqref="R201:R202">
    <cfRule type="expression" dxfId="14175" priority="5397">
      <formula>R201&gt;T201+#REF!</formula>
    </cfRule>
    <cfRule type="expression" dxfId="14174" priority="5398">
      <formula>R201&lt;T201-#REF!</formula>
    </cfRule>
  </conditionalFormatting>
  <conditionalFormatting sqref="R205:R206">
    <cfRule type="expression" dxfId="14173" priority="5395">
      <formula>R205&gt;T205+#REF!</formula>
    </cfRule>
  </conditionalFormatting>
  <conditionalFormatting sqref="R205:R209">
    <cfRule type="expression" dxfId="14172" priority="5396">
      <formula>R205&lt;T205-#REF!</formula>
    </cfRule>
  </conditionalFormatting>
  <conditionalFormatting sqref="R207:R209">
    <cfRule type="expression" dxfId="14171" priority="5394">
      <formula>R207&gt;T207+#REF!</formula>
    </cfRule>
  </conditionalFormatting>
  <conditionalFormatting sqref="R218:R219">
    <cfRule type="expression" dxfId="14170" priority="5222">
      <formula>R218&gt;T218+#REF!</formula>
    </cfRule>
    <cfRule type="expression" dxfId="14169" priority="5223">
      <formula>R218&lt;T218-#REF!</formula>
    </cfRule>
  </conditionalFormatting>
  <conditionalFormatting sqref="R222:R223">
    <cfRule type="expression" dxfId="14168" priority="5220">
      <formula>R222&gt;T222+#REF!</formula>
    </cfRule>
  </conditionalFormatting>
  <conditionalFormatting sqref="R222:R226">
    <cfRule type="expression" dxfId="14167" priority="5221">
      <formula>R222&lt;T222-#REF!</formula>
    </cfRule>
  </conditionalFormatting>
  <conditionalFormatting sqref="R224:R226">
    <cfRule type="expression" dxfId="14166" priority="5219">
      <formula>R224&gt;T224+#REF!</formula>
    </cfRule>
  </conditionalFormatting>
  <conditionalFormatting sqref="R235:R236">
    <cfRule type="expression" dxfId="14165" priority="5047">
      <formula>R235&gt;T235+#REF!</formula>
    </cfRule>
    <cfRule type="expression" dxfId="14164" priority="5048">
      <formula>R235&lt;T235-#REF!</formula>
    </cfRule>
  </conditionalFormatting>
  <conditionalFormatting sqref="R239:R240">
    <cfRule type="expression" dxfId="14163" priority="5045">
      <formula>R239&gt;T239+#REF!</formula>
    </cfRule>
  </conditionalFormatting>
  <conditionalFormatting sqref="R239:R243">
    <cfRule type="expression" dxfId="14162" priority="5046">
      <formula>R239&lt;T239-#REF!</formula>
    </cfRule>
  </conditionalFormatting>
  <conditionalFormatting sqref="R241:R243">
    <cfRule type="expression" dxfId="14161" priority="5044">
      <formula>R241&gt;T241+#REF!</formula>
    </cfRule>
  </conditionalFormatting>
  <conditionalFormatting sqref="R252:R253">
    <cfRule type="expression" dxfId="14160" priority="4546">
      <formula>R252&gt;T252+#REF!</formula>
    </cfRule>
    <cfRule type="expression" dxfId="14159" priority="4547">
      <formula>R252&lt;T252-#REF!</formula>
    </cfRule>
  </conditionalFormatting>
  <conditionalFormatting sqref="R256:R257">
    <cfRule type="expression" dxfId="14158" priority="4544">
      <formula>R256&gt;T256+#REF!</formula>
    </cfRule>
  </conditionalFormatting>
  <conditionalFormatting sqref="R256:R259">
    <cfRule type="expression" dxfId="14157" priority="4545">
      <formula>R256&lt;T256-#REF!</formula>
    </cfRule>
  </conditionalFormatting>
  <conditionalFormatting sqref="R258:R259">
    <cfRule type="expression" dxfId="14156" priority="4543">
      <formula>R258&gt;T258+#REF!</formula>
    </cfRule>
  </conditionalFormatting>
  <conditionalFormatting sqref="R260">
    <cfRule type="expression" dxfId="14155" priority="4537">
      <formula>R260&gt;T260+#REF!</formula>
    </cfRule>
  </conditionalFormatting>
  <conditionalFormatting sqref="R269:R270">
    <cfRule type="expression" dxfId="14154" priority="3635">
      <formula>R269&gt;T269+#REF!</formula>
    </cfRule>
    <cfRule type="expression" dxfId="14153" priority="3636">
      <formula>R269&lt;T269-#REF!</formula>
    </cfRule>
  </conditionalFormatting>
  <conditionalFormatting sqref="R273:R274">
    <cfRule type="expression" dxfId="14152" priority="3633">
      <formula>R273&gt;T273+#REF!</formula>
    </cfRule>
  </conditionalFormatting>
  <conditionalFormatting sqref="R273:R277">
    <cfRule type="expression" dxfId="14151" priority="3634">
      <formula>R273&lt;T273-#REF!</formula>
    </cfRule>
  </conditionalFormatting>
  <conditionalFormatting sqref="R275:R277">
    <cfRule type="expression" dxfId="14150" priority="3632">
      <formula>R275&gt;T275+#REF!</formula>
    </cfRule>
  </conditionalFormatting>
  <conditionalFormatting sqref="R286:R287">
    <cfRule type="expression" dxfId="14149" priority="4361">
      <formula>R286&gt;T286+#REF!</formula>
    </cfRule>
    <cfRule type="expression" dxfId="14148" priority="4362">
      <formula>R286&lt;T286-#REF!</formula>
    </cfRule>
  </conditionalFormatting>
  <conditionalFormatting sqref="R290:R291">
    <cfRule type="expression" dxfId="14147" priority="4359">
      <formula>R290&gt;T290+#REF!</formula>
    </cfRule>
  </conditionalFormatting>
  <conditionalFormatting sqref="R290:R293">
    <cfRule type="expression" dxfId="14146" priority="4360">
      <formula>R290&lt;T290-#REF!</formula>
    </cfRule>
  </conditionalFormatting>
  <conditionalFormatting sqref="R292:R293">
    <cfRule type="expression" dxfId="14145" priority="4358">
      <formula>R292&gt;T292+#REF!</formula>
    </cfRule>
  </conditionalFormatting>
  <conditionalFormatting sqref="R294">
    <cfRule type="expression" dxfId="14144" priority="4352">
      <formula>R294&gt;T294+#REF!</formula>
    </cfRule>
  </conditionalFormatting>
  <conditionalFormatting sqref="R303:R304">
    <cfRule type="expression" dxfId="14143" priority="4179">
      <formula>R303&gt;T303+#REF!</formula>
    </cfRule>
    <cfRule type="expression" dxfId="14142" priority="4180">
      <formula>R303&lt;T303-#REF!</formula>
    </cfRule>
  </conditionalFormatting>
  <conditionalFormatting sqref="R307:R308">
    <cfRule type="expression" dxfId="14141" priority="4177">
      <formula>R307&gt;T307+#REF!</formula>
    </cfRule>
  </conditionalFormatting>
  <conditionalFormatting sqref="R307:R310">
    <cfRule type="expression" dxfId="14140" priority="4178">
      <formula>R307&lt;T307-#REF!</formula>
    </cfRule>
  </conditionalFormatting>
  <conditionalFormatting sqref="R309:R310">
    <cfRule type="expression" dxfId="14139" priority="4176">
      <formula>R309&gt;T309+#REF!</formula>
    </cfRule>
  </conditionalFormatting>
  <conditionalFormatting sqref="R311">
    <cfRule type="expression" dxfId="14138" priority="4170">
      <formula>R311&gt;T311+#REF!</formula>
    </cfRule>
  </conditionalFormatting>
  <conditionalFormatting sqref="R320:R321">
    <cfRule type="expression" dxfId="14137" priority="3997">
      <formula>R320&gt;T320+#REF!</formula>
    </cfRule>
    <cfRule type="expression" dxfId="14136" priority="3998">
      <formula>R320&lt;T320-#REF!</formula>
    </cfRule>
  </conditionalFormatting>
  <conditionalFormatting sqref="R324:R325">
    <cfRule type="expression" dxfId="14135" priority="3995">
      <formula>R324&gt;T324+#REF!</formula>
    </cfRule>
  </conditionalFormatting>
  <conditionalFormatting sqref="R324:R327">
    <cfRule type="expression" dxfId="14134" priority="3996">
      <formula>R324&lt;T324-#REF!</formula>
    </cfRule>
  </conditionalFormatting>
  <conditionalFormatting sqref="R326:R327">
    <cfRule type="expression" dxfId="14133" priority="3994">
      <formula>R326&gt;T326+#REF!</formula>
    </cfRule>
  </conditionalFormatting>
  <conditionalFormatting sqref="R328">
    <cfRule type="expression" dxfId="14132" priority="3988">
      <formula>R328&gt;T328+#REF!</formula>
    </cfRule>
  </conditionalFormatting>
  <conditionalFormatting sqref="R337:R338">
    <cfRule type="expression" dxfId="14131" priority="3815">
      <formula>R337&gt;T337+#REF!</formula>
    </cfRule>
    <cfRule type="expression" dxfId="14130" priority="3816">
      <formula>R337&lt;T337-#REF!</formula>
    </cfRule>
  </conditionalFormatting>
  <conditionalFormatting sqref="R341:R342">
    <cfRule type="expression" dxfId="14129" priority="3813">
      <formula>R341&gt;T341+#REF!</formula>
    </cfRule>
  </conditionalFormatting>
  <conditionalFormatting sqref="R341:R344">
    <cfRule type="expression" dxfId="14128" priority="3814">
      <formula>R341&lt;T341-#REF!</formula>
    </cfRule>
  </conditionalFormatting>
  <conditionalFormatting sqref="R343:R344">
    <cfRule type="expression" dxfId="14127" priority="3812">
      <formula>R343&gt;T343+#REF!</formula>
    </cfRule>
  </conditionalFormatting>
  <conditionalFormatting sqref="R345">
    <cfRule type="expression" dxfId="14126" priority="3806">
      <formula>R345&gt;T345+#REF!</formula>
    </cfRule>
  </conditionalFormatting>
  <conditionalFormatting sqref="R354:R355">
    <cfRule type="expression" dxfId="14125" priority="4697">
      <formula>R354&gt;T354+#REF!</formula>
    </cfRule>
    <cfRule type="expression" dxfId="14124" priority="4698">
      <formula>R354&lt;T354-#REF!</formula>
    </cfRule>
  </conditionalFormatting>
  <conditionalFormatting sqref="R358:R359">
    <cfRule type="expression" dxfId="14123" priority="4695">
      <formula>R358&gt;T358+#REF!</formula>
    </cfRule>
  </conditionalFormatting>
  <conditionalFormatting sqref="R358:R362">
    <cfRule type="expression" dxfId="14122" priority="4696">
      <formula>R358&lt;T358-#REF!</formula>
    </cfRule>
  </conditionalFormatting>
  <conditionalFormatting sqref="R360:R362">
    <cfRule type="expression" dxfId="14121" priority="4694">
      <formula>R360&gt;T360+#REF!</formula>
    </cfRule>
  </conditionalFormatting>
  <conditionalFormatting sqref="S14:S15">
    <cfRule type="expression" dxfId="14120" priority="6967">
      <formula>S14&gt;U14+#REF!</formula>
    </cfRule>
    <cfRule type="expression" dxfId="14119" priority="6968">
      <formula>S14&lt;U14-#REF!</formula>
    </cfRule>
  </conditionalFormatting>
  <conditionalFormatting sqref="S18:S19">
    <cfRule type="expression" dxfId="14118" priority="6965">
      <formula>S18&gt;U18+#REF!</formula>
    </cfRule>
    <cfRule type="expression" dxfId="14117" priority="6966">
      <formula>S18&lt;U18-#REF!</formula>
    </cfRule>
  </conditionalFormatting>
  <conditionalFormatting sqref="S20:S22">
    <cfRule type="expression" dxfId="14116" priority="6964">
      <formula>S20&gt;U20+#REF!</formula>
    </cfRule>
  </conditionalFormatting>
  <conditionalFormatting sqref="S31:S32">
    <cfRule type="expression" dxfId="14115" priority="6792">
      <formula>S31&gt;U31+#REF!</formula>
    </cfRule>
    <cfRule type="expression" dxfId="14114" priority="6793">
      <formula>S31&lt;U31-#REF!</formula>
    </cfRule>
  </conditionalFormatting>
  <conditionalFormatting sqref="S35:S36">
    <cfRule type="expression" dxfId="14113" priority="6790">
      <formula>S35&gt;U35+#REF!</formula>
    </cfRule>
    <cfRule type="expression" dxfId="14112" priority="6791">
      <formula>S35&lt;U35-#REF!</formula>
    </cfRule>
  </conditionalFormatting>
  <conditionalFormatting sqref="S37:S39">
    <cfRule type="expression" dxfId="14111" priority="6789">
      <formula>S37&gt;U37+#REF!</formula>
    </cfRule>
  </conditionalFormatting>
  <conditionalFormatting sqref="S48:S49">
    <cfRule type="expression" dxfId="14110" priority="6617">
      <formula>S48&gt;U48+#REF!</formula>
    </cfRule>
    <cfRule type="expression" dxfId="14109" priority="6618">
      <formula>S48&lt;U48-#REF!</formula>
    </cfRule>
  </conditionalFormatting>
  <conditionalFormatting sqref="S52:S53">
    <cfRule type="expression" dxfId="14108" priority="6615">
      <formula>S52&gt;U52+#REF!</formula>
    </cfRule>
    <cfRule type="expression" dxfId="14107" priority="6616">
      <formula>S52&lt;U52-#REF!</formula>
    </cfRule>
  </conditionalFormatting>
  <conditionalFormatting sqref="S54:S56">
    <cfRule type="expression" dxfId="14106" priority="6614">
      <formula>S54&gt;U54+#REF!</formula>
    </cfRule>
  </conditionalFormatting>
  <conditionalFormatting sqref="S65:S66">
    <cfRule type="expression" dxfId="14105" priority="6442">
      <formula>S65&gt;U65+#REF!</formula>
    </cfRule>
    <cfRule type="expression" dxfId="14104" priority="6443">
      <formula>S65&lt;U65-#REF!</formula>
    </cfRule>
  </conditionalFormatting>
  <conditionalFormatting sqref="S69:S70">
    <cfRule type="expression" dxfId="14103" priority="6440">
      <formula>S69&gt;U69+#REF!</formula>
    </cfRule>
    <cfRule type="expression" dxfId="14102" priority="6441">
      <formula>S69&lt;U69-#REF!</formula>
    </cfRule>
  </conditionalFormatting>
  <conditionalFormatting sqref="S71:S73">
    <cfRule type="expression" dxfId="14101" priority="6439">
      <formula>S71&gt;U71+#REF!</formula>
    </cfRule>
  </conditionalFormatting>
  <conditionalFormatting sqref="S82:S83">
    <cfRule type="expression" dxfId="14100" priority="6267">
      <formula>S82&gt;U82+#REF!</formula>
    </cfRule>
    <cfRule type="expression" dxfId="14099" priority="6268">
      <formula>S82&lt;U82-#REF!</formula>
    </cfRule>
  </conditionalFormatting>
  <conditionalFormatting sqref="S86:S87">
    <cfRule type="expression" dxfId="14098" priority="6265">
      <formula>S86&gt;U86+#REF!</formula>
    </cfRule>
    <cfRule type="expression" dxfId="14097" priority="6266">
      <formula>S86&lt;U86-#REF!</formula>
    </cfRule>
  </conditionalFormatting>
  <conditionalFormatting sqref="S88:S90">
    <cfRule type="expression" dxfId="14096" priority="6264">
      <formula>S88&gt;U88+#REF!</formula>
    </cfRule>
  </conditionalFormatting>
  <conditionalFormatting sqref="S99:S100">
    <cfRule type="expression" dxfId="14095" priority="6092">
      <formula>S99&gt;U99+#REF!</formula>
    </cfRule>
    <cfRule type="expression" dxfId="14094" priority="6093">
      <formula>S99&lt;U99-#REF!</formula>
    </cfRule>
  </conditionalFormatting>
  <conditionalFormatting sqref="S103:S104">
    <cfRule type="expression" dxfId="14093" priority="6090">
      <formula>S103&gt;U103+#REF!</formula>
    </cfRule>
    <cfRule type="expression" dxfId="14092" priority="6091">
      <formula>S103&lt;U103-#REF!</formula>
    </cfRule>
  </conditionalFormatting>
  <conditionalFormatting sqref="S105:S107">
    <cfRule type="expression" dxfId="14091" priority="6089">
      <formula>S105&gt;U105+#REF!</formula>
    </cfRule>
  </conditionalFormatting>
  <conditionalFormatting sqref="S116:S117">
    <cfRule type="expression" dxfId="14090" priority="5917">
      <formula>S116&gt;U116+#REF!</formula>
    </cfRule>
    <cfRule type="expression" dxfId="14089" priority="5918">
      <formula>S116&lt;U116-#REF!</formula>
    </cfRule>
  </conditionalFormatting>
  <conditionalFormatting sqref="S120:S121">
    <cfRule type="expression" dxfId="14088" priority="5915">
      <formula>S120&gt;U120+#REF!</formula>
    </cfRule>
    <cfRule type="expression" dxfId="14087" priority="5916">
      <formula>S120&lt;U120-#REF!</formula>
    </cfRule>
  </conditionalFormatting>
  <conditionalFormatting sqref="S122:S124">
    <cfRule type="expression" dxfId="14086" priority="5914">
      <formula>S122&gt;U122+#REF!</formula>
    </cfRule>
  </conditionalFormatting>
  <conditionalFormatting sqref="S167:S168">
    <cfRule type="expression" dxfId="14085" priority="5742">
      <formula>S167&gt;U167+#REF!</formula>
    </cfRule>
    <cfRule type="expression" dxfId="14084" priority="5743">
      <formula>S167&lt;U167-#REF!</formula>
    </cfRule>
  </conditionalFormatting>
  <conditionalFormatting sqref="S171:S172">
    <cfRule type="expression" dxfId="14083" priority="5740">
      <formula>S171&gt;U171+#REF!</formula>
    </cfRule>
    <cfRule type="expression" dxfId="14082" priority="5741">
      <formula>S171&lt;U171-#REF!</formula>
    </cfRule>
  </conditionalFormatting>
  <conditionalFormatting sqref="S173:S175">
    <cfRule type="expression" dxfId="14081" priority="5739">
      <formula>S173&gt;U173+#REF!</formula>
    </cfRule>
  </conditionalFormatting>
  <conditionalFormatting sqref="S184:S185">
    <cfRule type="expression" dxfId="14080" priority="5567">
      <formula>S184&gt;U184+#REF!</formula>
    </cfRule>
    <cfRule type="expression" dxfId="14079" priority="5568">
      <formula>S184&lt;U184-#REF!</formula>
    </cfRule>
  </conditionalFormatting>
  <conditionalFormatting sqref="S188:S189">
    <cfRule type="expression" dxfId="14078" priority="5565">
      <formula>S188&gt;U188+#REF!</formula>
    </cfRule>
    <cfRule type="expression" dxfId="14077" priority="5566">
      <formula>S188&lt;U188-#REF!</formula>
    </cfRule>
  </conditionalFormatting>
  <conditionalFormatting sqref="S190:S192">
    <cfRule type="expression" dxfId="14076" priority="5564">
      <formula>S190&gt;U190+#REF!</formula>
    </cfRule>
  </conditionalFormatting>
  <conditionalFormatting sqref="S201:S202">
    <cfRule type="expression" dxfId="14075" priority="5392">
      <formula>S201&gt;U201+#REF!</formula>
    </cfRule>
    <cfRule type="expression" dxfId="14074" priority="5393">
      <formula>S201&lt;U201-#REF!</formula>
    </cfRule>
  </conditionalFormatting>
  <conditionalFormatting sqref="S205:S206">
    <cfRule type="expression" dxfId="14073" priority="5390">
      <formula>S205&gt;U205+#REF!</formula>
    </cfRule>
    <cfRule type="expression" dxfId="14072" priority="5391">
      <formula>S205&lt;U205-#REF!</formula>
    </cfRule>
  </conditionalFormatting>
  <conditionalFormatting sqref="S207:S209">
    <cfRule type="expression" dxfId="14071" priority="5389">
      <formula>S207&gt;U207+#REF!</formula>
    </cfRule>
  </conditionalFormatting>
  <conditionalFormatting sqref="S218:S219">
    <cfRule type="expression" dxfId="14070" priority="5217">
      <formula>S218&gt;U218+#REF!</formula>
    </cfRule>
    <cfRule type="expression" dxfId="14069" priority="5218">
      <formula>S218&lt;U218-#REF!</formula>
    </cfRule>
  </conditionalFormatting>
  <conditionalFormatting sqref="S222:S223">
    <cfRule type="expression" dxfId="14068" priority="5215">
      <formula>S222&gt;U222+#REF!</formula>
    </cfRule>
    <cfRule type="expression" dxfId="14067" priority="5216">
      <formula>S222&lt;U222-#REF!</formula>
    </cfRule>
  </conditionalFormatting>
  <conditionalFormatting sqref="S224:S226">
    <cfRule type="expression" dxfId="14066" priority="5214">
      <formula>S224&gt;U224+#REF!</formula>
    </cfRule>
  </conditionalFormatting>
  <conditionalFormatting sqref="S235:S236">
    <cfRule type="expression" dxfId="14065" priority="5042">
      <formula>S235&gt;U235+#REF!</formula>
    </cfRule>
    <cfRule type="expression" dxfId="14064" priority="5043">
      <formula>S235&lt;U235-#REF!</formula>
    </cfRule>
  </conditionalFormatting>
  <conditionalFormatting sqref="S239:S240">
    <cfRule type="expression" dxfId="14063" priority="5040">
      <formula>S239&gt;U239+#REF!</formula>
    </cfRule>
    <cfRule type="expression" dxfId="14062" priority="5041">
      <formula>S239&lt;U239-#REF!</formula>
    </cfRule>
  </conditionalFormatting>
  <conditionalFormatting sqref="S241:S243">
    <cfRule type="expression" dxfId="14061" priority="5039">
      <formula>S241&gt;U241+#REF!</formula>
    </cfRule>
  </conditionalFormatting>
  <conditionalFormatting sqref="S252:S253">
    <cfRule type="expression" dxfId="14060" priority="4541">
      <formula>S252&gt;U252+#REF!</formula>
    </cfRule>
    <cfRule type="expression" dxfId="14059" priority="4542">
      <formula>S252&lt;U252-#REF!</formula>
    </cfRule>
  </conditionalFormatting>
  <conditionalFormatting sqref="S256:S257">
    <cfRule type="expression" dxfId="14058" priority="4539">
      <formula>S256&gt;U256+#REF!</formula>
    </cfRule>
    <cfRule type="expression" dxfId="14057" priority="4540">
      <formula>S256&lt;U256-#REF!</formula>
    </cfRule>
  </conditionalFormatting>
  <conditionalFormatting sqref="S258:S259">
    <cfRule type="expression" dxfId="14056" priority="4538">
      <formula>S258&gt;U258+#REF!</formula>
    </cfRule>
  </conditionalFormatting>
  <conditionalFormatting sqref="S260">
    <cfRule type="expression" dxfId="14055" priority="4536">
      <formula>S260&gt;U260+#REF!</formula>
    </cfRule>
  </conditionalFormatting>
  <conditionalFormatting sqref="S269:S270">
    <cfRule type="expression" dxfId="14054" priority="3630">
      <formula>S269&gt;U269+#REF!</formula>
    </cfRule>
    <cfRule type="expression" dxfId="14053" priority="3631">
      <formula>S269&lt;U269-#REF!</formula>
    </cfRule>
  </conditionalFormatting>
  <conditionalFormatting sqref="S273:S274">
    <cfRule type="expression" dxfId="14052" priority="3628">
      <formula>S273&gt;U273+#REF!</formula>
    </cfRule>
    <cfRule type="expression" dxfId="14051" priority="3629">
      <formula>S273&lt;U273-#REF!</formula>
    </cfRule>
  </conditionalFormatting>
  <conditionalFormatting sqref="S275:S277">
    <cfRule type="expression" dxfId="14050" priority="3627">
      <formula>S275&gt;U275+#REF!</formula>
    </cfRule>
  </conditionalFormatting>
  <conditionalFormatting sqref="S286:S287">
    <cfRule type="expression" dxfId="14049" priority="4356">
      <formula>S286&gt;U286+#REF!</formula>
    </cfRule>
    <cfRule type="expression" dxfId="14048" priority="4357">
      <formula>S286&lt;U286-#REF!</formula>
    </cfRule>
  </conditionalFormatting>
  <conditionalFormatting sqref="S290:S291">
    <cfRule type="expression" dxfId="14047" priority="4354">
      <formula>S290&gt;U290+#REF!</formula>
    </cfRule>
    <cfRule type="expression" dxfId="14046" priority="4355">
      <formula>S290&lt;U290-#REF!</formula>
    </cfRule>
  </conditionalFormatting>
  <conditionalFormatting sqref="S292:S293">
    <cfRule type="expression" dxfId="14045" priority="4353">
      <formula>S292&gt;U292+#REF!</formula>
    </cfRule>
  </conditionalFormatting>
  <conditionalFormatting sqref="S294">
    <cfRule type="expression" dxfId="14044" priority="4351">
      <formula>S294&gt;U294+#REF!</formula>
    </cfRule>
  </conditionalFormatting>
  <conditionalFormatting sqref="S303:S304">
    <cfRule type="expression" dxfId="14043" priority="4174">
      <formula>S303&gt;U303+#REF!</formula>
    </cfRule>
    <cfRule type="expression" dxfId="14042" priority="4175">
      <formula>S303&lt;U303-#REF!</formula>
    </cfRule>
  </conditionalFormatting>
  <conditionalFormatting sqref="S307:S308">
    <cfRule type="expression" dxfId="14041" priority="4172">
      <formula>S307&gt;U307+#REF!</formula>
    </cfRule>
    <cfRule type="expression" dxfId="14040" priority="4173">
      <formula>S307&lt;U307-#REF!</formula>
    </cfRule>
  </conditionalFormatting>
  <conditionalFormatting sqref="S309:S310">
    <cfRule type="expression" dxfId="14039" priority="4171">
      <formula>S309&gt;U309+#REF!</formula>
    </cfRule>
  </conditionalFormatting>
  <conditionalFormatting sqref="S311">
    <cfRule type="expression" dxfId="14038" priority="4169">
      <formula>S311&gt;U311+#REF!</formula>
    </cfRule>
  </conditionalFormatting>
  <conditionalFormatting sqref="S320:S321">
    <cfRule type="expression" dxfId="14037" priority="3992">
      <formula>S320&gt;U320+#REF!</formula>
    </cfRule>
    <cfRule type="expression" dxfId="14036" priority="3993">
      <formula>S320&lt;U320-#REF!</formula>
    </cfRule>
  </conditionalFormatting>
  <conditionalFormatting sqref="S324:S325">
    <cfRule type="expression" dxfId="14035" priority="3990">
      <formula>S324&gt;U324+#REF!</formula>
    </cfRule>
    <cfRule type="expression" dxfId="14034" priority="3991">
      <formula>S324&lt;U324-#REF!</formula>
    </cfRule>
  </conditionalFormatting>
  <conditionalFormatting sqref="S326:S327">
    <cfRule type="expression" dxfId="14033" priority="3989">
      <formula>S326&gt;U326+#REF!</formula>
    </cfRule>
  </conditionalFormatting>
  <conditionalFormatting sqref="S328">
    <cfRule type="expression" dxfId="14032" priority="3987">
      <formula>S328&gt;U328+#REF!</formula>
    </cfRule>
  </conditionalFormatting>
  <conditionalFormatting sqref="S337:S338">
    <cfRule type="expression" dxfId="14031" priority="3810">
      <formula>S337&gt;U337+#REF!</formula>
    </cfRule>
    <cfRule type="expression" dxfId="14030" priority="3811">
      <formula>S337&lt;U337-#REF!</formula>
    </cfRule>
  </conditionalFormatting>
  <conditionalFormatting sqref="S341:S342">
    <cfRule type="expression" dxfId="14029" priority="3808">
      <formula>S341&gt;U341+#REF!</formula>
    </cfRule>
    <cfRule type="expression" dxfId="14028" priority="3809">
      <formula>S341&lt;U341-#REF!</formula>
    </cfRule>
  </conditionalFormatting>
  <conditionalFormatting sqref="S343:S344">
    <cfRule type="expression" dxfId="14027" priority="3807">
      <formula>S343&gt;U343+#REF!</formula>
    </cfRule>
  </conditionalFormatting>
  <conditionalFormatting sqref="S345">
    <cfRule type="expression" dxfId="14026" priority="3805">
      <formula>S345&gt;U345+#REF!</formula>
    </cfRule>
  </conditionalFormatting>
  <conditionalFormatting sqref="S354:S355">
    <cfRule type="expression" dxfId="14025" priority="4692">
      <formula>S354&gt;U354+#REF!</formula>
    </cfRule>
    <cfRule type="expression" dxfId="14024" priority="4693">
      <formula>S354&lt;U354-#REF!</formula>
    </cfRule>
  </conditionalFormatting>
  <conditionalFormatting sqref="S358:S359">
    <cfRule type="expression" dxfId="14023" priority="4690">
      <formula>S358&gt;U358+#REF!</formula>
    </cfRule>
    <cfRule type="expression" dxfId="14022" priority="4691">
      <formula>S358&lt;U358-#REF!</formula>
    </cfRule>
  </conditionalFormatting>
  <conditionalFormatting sqref="S360:S362">
    <cfRule type="expression" dxfId="14021" priority="4689">
      <formula>S360&gt;U360+#REF!</formula>
    </cfRule>
  </conditionalFormatting>
  <conditionalFormatting sqref="U14:U15">
    <cfRule type="expression" dxfId="14020" priority="3571">
      <formula>U14&gt;W14+#REF!</formula>
    </cfRule>
  </conditionalFormatting>
  <conditionalFormatting sqref="U18:U19">
    <cfRule type="expression" dxfId="14019" priority="3569">
      <formula>U18&gt;W18+#REF!</formula>
    </cfRule>
  </conditionalFormatting>
  <conditionalFormatting sqref="U20:U22">
    <cfRule type="expression" dxfId="14018" priority="3568">
      <formula>U20&gt;W20+#REF!</formula>
    </cfRule>
  </conditionalFormatting>
  <conditionalFormatting sqref="U31:U32">
    <cfRule type="expression" dxfId="14017" priority="3556">
      <formula>U31&gt;W31+#REF!</formula>
    </cfRule>
  </conditionalFormatting>
  <conditionalFormatting sqref="U35:U36">
    <cfRule type="expression" dxfId="14016" priority="3554">
      <formula>U35&gt;W35+#REF!</formula>
    </cfRule>
  </conditionalFormatting>
  <conditionalFormatting sqref="U37:U39">
    <cfRule type="expression" dxfId="14015" priority="3553">
      <formula>U37&gt;W37+#REF!</formula>
    </cfRule>
  </conditionalFormatting>
  <conditionalFormatting sqref="U48:U49">
    <cfRule type="expression" dxfId="14014" priority="3541">
      <formula>U48&gt;W48+#REF!</formula>
    </cfRule>
  </conditionalFormatting>
  <conditionalFormatting sqref="U52:U53">
    <cfRule type="expression" dxfId="14013" priority="3539">
      <formula>U52&gt;W52+#REF!</formula>
    </cfRule>
  </conditionalFormatting>
  <conditionalFormatting sqref="U54:U56">
    <cfRule type="expression" dxfId="14012" priority="3538">
      <formula>U54&gt;W54+#REF!</formula>
    </cfRule>
  </conditionalFormatting>
  <conditionalFormatting sqref="U65:U66">
    <cfRule type="expression" dxfId="14011" priority="3526">
      <formula>U65&gt;W65+#REF!</formula>
    </cfRule>
  </conditionalFormatting>
  <conditionalFormatting sqref="U69:U70">
    <cfRule type="expression" dxfId="14010" priority="3524">
      <formula>U69&gt;W69+#REF!</formula>
    </cfRule>
  </conditionalFormatting>
  <conditionalFormatting sqref="U71:U73">
    <cfRule type="expression" dxfId="14009" priority="3523">
      <formula>U71&gt;W71+#REF!</formula>
    </cfRule>
  </conditionalFormatting>
  <conditionalFormatting sqref="U82:U83">
    <cfRule type="expression" dxfId="14008" priority="3511">
      <formula>U82&gt;W82+#REF!</formula>
    </cfRule>
  </conditionalFormatting>
  <conditionalFormatting sqref="U86:U87">
    <cfRule type="expression" dxfId="14007" priority="3509">
      <formula>U86&gt;W86+#REF!</formula>
    </cfRule>
  </conditionalFormatting>
  <conditionalFormatting sqref="U88:U90">
    <cfRule type="expression" dxfId="14006" priority="3508">
      <formula>U88&gt;W88+#REF!</formula>
    </cfRule>
  </conditionalFormatting>
  <conditionalFormatting sqref="U99:U100">
    <cfRule type="expression" dxfId="14005" priority="3496">
      <formula>U99&gt;W99+#REF!</formula>
    </cfRule>
  </conditionalFormatting>
  <conditionalFormatting sqref="U103:U104">
    <cfRule type="expression" dxfId="14004" priority="3494">
      <formula>U103&gt;W103+#REF!</formula>
    </cfRule>
  </conditionalFormatting>
  <conditionalFormatting sqref="U105:U107">
    <cfRule type="expression" dxfId="14003" priority="3493">
      <formula>U105&gt;W105+#REF!</formula>
    </cfRule>
  </conditionalFormatting>
  <conditionalFormatting sqref="U116:U117">
    <cfRule type="expression" dxfId="14002" priority="3481">
      <formula>U116&gt;W116+#REF!</formula>
    </cfRule>
  </conditionalFormatting>
  <conditionalFormatting sqref="U120:U121">
    <cfRule type="expression" dxfId="14001" priority="3479">
      <formula>U120&gt;W120+#REF!</formula>
    </cfRule>
  </conditionalFormatting>
  <conditionalFormatting sqref="U122:U124">
    <cfRule type="expression" dxfId="14000" priority="3478">
      <formula>U122&gt;W122+#REF!</formula>
    </cfRule>
  </conditionalFormatting>
  <conditionalFormatting sqref="U167:U168">
    <cfRule type="expression" dxfId="13999" priority="3466">
      <formula>U167&gt;W167+#REF!</formula>
    </cfRule>
  </conditionalFormatting>
  <conditionalFormatting sqref="U171:U172">
    <cfRule type="expression" dxfId="13998" priority="3464">
      <formula>U171&gt;W171+#REF!</formula>
    </cfRule>
  </conditionalFormatting>
  <conditionalFormatting sqref="U173:U175">
    <cfRule type="expression" dxfId="13997" priority="3463">
      <formula>U173&gt;W173+#REF!</formula>
    </cfRule>
  </conditionalFormatting>
  <conditionalFormatting sqref="U184:U185">
    <cfRule type="expression" dxfId="13996" priority="3451">
      <formula>U184&gt;W184+#REF!</formula>
    </cfRule>
  </conditionalFormatting>
  <conditionalFormatting sqref="U188:U189">
    <cfRule type="expression" dxfId="13995" priority="3449">
      <formula>U188&gt;W188+#REF!</formula>
    </cfRule>
  </conditionalFormatting>
  <conditionalFormatting sqref="U190:U192">
    <cfRule type="expression" dxfId="13994" priority="3448">
      <formula>U190&gt;W190+#REF!</formula>
    </cfRule>
  </conditionalFormatting>
  <conditionalFormatting sqref="U201:U202">
    <cfRule type="expression" dxfId="13993" priority="3436">
      <formula>U201&gt;W201+#REF!</formula>
    </cfRule>
  </conditionalFormatting>
  <conditionalFormatting sqref="U205:U206">
    <cfRule type="expression" dxfId="13992" priority="3434">
      <formula>U205&gt;W205+#REF!</formula>
    </cfRule>
  </conditionalFormatting>
  <conditionalFormatting sqref="U207:U209">
    <cfRule type="expression" dxfId="13991" priority="3433">
      <formula>U207&gt;W207+#REF!</formula>
    </cfRule>
  </conditionalFormatting>
  <conditionalFormatting sqref="U218:U219">
    <cfRule type="expression" dxfId="13990" priority="3421">
      <formula>U218&gt;W218+#REF!</formula>
    </cfRule>
  </conditionalFormatting>
  <conditionalFormatting sqref="U222:U223">
    <cfRule type="expression" dxfId="13989" priority="3419">
      <formula>U222&gt;W222+#REF!</formula>
    </cfRule>
  </conditionalFormatting>
  <conditionalFormatting sqref="U224:U226">
    <cfRule type="expression" dxfId="13988" priority="3418">
      <formula>U224&gt;W224+#REF!</formula>
    </cfRule>
  </conditionalFormatting>
  <conditionalFormatting sqref="U235:U236">
    <cfRule type="expression" dxfId="13987" priority="3406">
      <formula>U235&gt;W235+#REF!</formula>
    </cfRule>
  </conditionalFormatting>
  <conditionalFormatting sqref="U239:U240">
    <cfRule type="expression" dxfId="13986" priority="3404">
      <formula>U239&gt;W239+#REF!</formula>
    </cfRule>
  </conditionalFormatting>
  <conditionalFormatting sqref="U241:U243">
    <cfRule type="expression" dxfId="13985" priority="3403">
      <formula>U241&gt;W241+#REF!</formula>
    </cfRule>
  </conditionalFormatting>
  <conditionalFormatting sqref="U269:U270">
    <cfRule type="expression" dxfId="13984" priority="3391">
      <formula>U269&gt;W269+#REF!</formula>
    </cfRule>
  </conditionalFormatting>
  <conditionalFormatting sqref="U273:U274">
    <cfRule type="expression" dxfId="13983" priority="3389">
      <formula>U273&gt;W273+#REF!</formula>
    </cfRule>
  </conditionalFormatting>
  <conditionalFormatting sqref="U275:U277">
    <cfRule type="expression" dxfId="13982" priority="3388">
      <formula>U275&gt;W275+#REF!</formula>
    </cfRule>
  </conditionalFormatting>
  <conditionalFormatting sqref="U354:U355">
    <cfRule type="expression" dxfId="13981" priority="3376">
      <formula>U354&gt;W354+#REF!</formula>
    </cfRule>
  </conditionalFormatting>
  <conditionalFormatting sqref="U358:U359">
    <cfRule type="expression" dxfId="13980" priority="3374">
      <formula>U358&gt;W358+#REF!</formula>
    </cfRule>
  </conditionalFormatting>
  <conditionalFormatting sqref="U360:U362">
    <cfRule type="expression" dxfId="13979" priority="3373">
      <formula>U360&gt;W360+#REF!</formula>
    </cfRule>
  </conditionalFormatting>
  <conditionalFormatting sqref="U8:W9">
    <cfRule type="expression" dxfId="13978" priority="3574">
      <formula>U8&lt;W8*#REF!</formula>
    </cfRule>
    <cfRule type="expression" dxfId="13977" priority="3575">
      <formula>U8&gt;W8*#REF!</formula>
    </cfRule>
  </conditionalFormatting>
  <conditionalFormatting sqref="U10:W12">
    <cfRule type="expression" dxfId="13976" priority="3576">
      <formula>U10&lt;W10-#REF!</formula>
    </cfRule>
  </conditionalFormatting>
  <conditionalFormatting sqref="U10:W13">
    <cfRule type="expression" dxfId="13975" priority="3572">
      <formula>U10&gt;W10+#REF!</formula>
    </cfRule>
  </conditionalFormatting>
  <conditionalFormatting sqref="U16:W17">
    <cfRule type="expression" dxfId="13974" priority="3570">
      <formula>U16&gt;W16+#REF!</formula>
    </cfRule>
  </conditionalFormatting>
  <conditionalFormatting sqref="U23:W23">
    <cfRule type="expression" dxfId="13973" priority="3573">
      <formula>U23&gt;W23*#REF!</formula>
    </cfRule>
  </conditionalFormatting>
  <conditionalFormatting sqref="U25:W26">
    <cfRule type="expression" dxfId="13972" priority="3559">
      <formula>U25&lt;W25*#REF!</formula>
    </cfRule>
    <cfRule type="expression" dxfId="13971" priority="3560">
      <formula>U25&gt;W25*#REF!</formula>
    </cfRule>
  </conditionalFormatting>
  <conditionalFormatting sqref="U27:W29">
    <cfRule type="expression" dxfId="13970" priority="3561">
      <formula>U27&lt;W27-#REF!</formula>
    </cfRule>
  </conditionalFormatting>
  <conditionalFormatting sqref="U27:W30">
    <cfRule type="expression" dxfId="13969" priority="3557">
      <formula>U27&gt;W27+#REF!</formula>
    </cfRule>
  </conditionalFormatting>
  <conditionalFormatting sqref="U33:W34">
    <cfRule type="expression" dxfId="13968" priority="3555">
      <formula>U33&gt;W33+#REF!</formula>
    </cfRule>
  </conditionalFormatting>
  <conditionalFormatting sqref="U40:W40">
    <cfRule type="expression" dxfId="13967" priority="3558">
      <formula>U40&gt;W40*#REF!</formula>
    </cfRule>
  </conditionalFormatting>
  <conditionalFormatting sqref="U42:W43">
    <cfRule type="expression" dxfId="13966" priority="3544">
      <formula>U42&lt;W42*#REF!</formula>
    </cfRule>
    <cfRule type="expression" dxfId="13965" priority="3545">
      <formula>U42&gt;W42*#REF!</formula>
    </cfRule>
  </conditionalFormatting>
  <conditionalFormatting sqref="U44:W46">
    <cfRule type="expression" dxfId="13964" priority="3546">
      <formula>U44&lt;W44-#REF!</formula>
    </cfRule>
  </conditionalFormatting>
  <conditionalFormatting sqref="U44:W47">
    <cfRule type="expression" dxfId="13963" priority="3542">
      <formula>U44&gt;W44+#REF!</formula>
    </cfRule>
  </conditionalFormatting>
  <conditionalFormatting sqref="U50:W51">
    <cfRule type="expression" dxfId="13962" priority="3540">
      <formula>U50&gt;W50+#REF!</formula>
    </cfRule>
  </conditionalFormatting>
  <conditionalFormatting sqref="U57:W57">
    <cfRule type="expression" dxfId="13961" priority="3543">
      <formula>U57&gt;W57*#REF!</formula>
    </cfRule>
  </conditionalFormatting>
  <conditionalFormatting sqref="U59:W60">
    <cfRule type="expression" dxfId="13960" priority="3529">
      <formula>U59&lt;W59*#REF!</formula>
    </cfRule>
    <cfRule type="expression" dxfId="13959" priority="3530">
      <formula>U59&gt;W59*#REF!</formula>
    </cfRule>
  </conditionalFormatting>
  <conditionalFormatting sqref="U61:W63">
    <cfRule type="expression" dxfId="13958" priority="3531">
      <formula>U61&lt;W61-#REF!</formula>
    </cfRule>
  </conditionalFormatting>
  <conditionalFormatting sqref="U61:W64">
    <cfRule type="expression" dxfId="13957" priority="3527">
      <formula>U61&gt;W61+#REF!</formula>
    </cfRule>
  </conditionalFormatting>
  <conditionalFormatting sqref="U67:W68">
    <cfRule type="expression" dxfId="13956" priority="3525">
      <formula>U67&gt;W67+#REF!</formula>
    </cfRule>
  </conditionalFormatting>
  <conditionalFormatting sqref="U74:W74">
    <cfRule type="expression" dxfId="13955" priority="3528">
      <formula>U74&gt;W74*#REF!</formula>
    </cfRule>
  </conditionalFormatting>
  <conditionalFormatting sqref="U76:W77">
    <cfRule type="expression" dxfId="13954" priority="3514">
      <formula>U76&lt;W76*#REF!</formula>
    </cfRule>
    <cfRule type="expression" dxfId="13953" priority="3515">
      <formula>U76&gt;W76*#REF!</formula>
    </cfRule>
  </conditionalFormatting>
  <conditionalFormatting sqref="U78:W80">
    <cfRule type="expression" dxfId="13952" priority="3516">
      <formula>U78&lt;W78-#REF!</formula>
    </cfRule>
  </conditionalFormatting>
  <conditionalFormatting sqref="U78:W81">
    <cfRule type="expression" dxfId="13951" priority="3512">
      <formula>U78&gt;W78+#REF!</formula>
    </cfRule>
  </conditionalFormatting>
  <conditionalFormatting sqref="U84:W85">
    <cfRule type="expression" dxfId="13950" priority="3510">
      <formula>U84&gt;W84+#REF!</formula>
    </cfRule>
  </conditionalFormatting>
  <conditionalFormatting sqref="U91:W91">
    <cfRule type="expression" dxfId="13949" priority="3513">
      <formula>U91&gt;W91*#REF!</formula>
    </cfRule>
  </conditionalFormatting>
  <conditionalFormatting sqref="U93:W94">
    <cfRule type="expression" dxfId="13948" priority="3499">
      <formula>U93&lt;W93*#REF!</formula>
    </cfRule>
    <cfRule type="expression" dxfId="13947" priority="3500">
      <formula>U93&gt;W93*#REF!</formula>
    </cfRule>
  </conditionalFormatting>
  <conditionalFormatting sqref="U95:W97">
    <cfRule type="expression" dxfId="13946" priority="3501">
      <formula>U95&lt;W95-#REF!</formula>
    </cfRule>
  </conditionalFormatting>
  <conditionalFormatting sqref="U95:W98">
    <cfRule type="expression" dxfId="13945" priority="3497">
      <formula>U95&gt;W95+#REF!</formula>
    </cfRule>
  </conditionalFormatting>
  <conditionalFormatting sqref="U101:W102">
    <cfRule type="expression" dxfId="13944" priority="3495">
      <formula>U101&gt;W101+#REF!</formula>
    </cfRule>
  </conditionalFormatting>
  <conditionalFormatting sqref="U108:W108">
    <cfRule type="expression" dxfId="13943" priority="3498">
      <formula>U108&gt;W108*#REF!</formula>
    </cfRule>
  </conditionalFormatting>
  <conditionalFormatting sqref="U110:W111">
    <cfRule type="expression" dxfId="13942" priority="3484">
      <formula>U110&lt;W110*#REF!</formula>
    </cfRule>
    <cfRule type="expression" dxfId="13941" priority="3485">
      <formula>U110&gt;W110*#REF!</formula>
    </cfRule>
  </conditionalFormatting>
  <conditionalFormatting sqref="U112:W114">
    <cfRule type="expression" dxfId="13940" priority="3486">
      <formula>U112&lt;W112-#REF!</formula>
    </cfRule>
  </conditionalFormatting>
  <conditionalFormatting sqref="U112:W115">
    <cfRule type="expression" dxfId="13939" priority="3482">
      <formula>U112&gt;W112+#REF!</formula>
    </cfRule>
  </conditionalFormatting>
  <conditionalFormatting sqref="U118:W119">
    <cfRule type="expression" dxfId="13938" priority="3480">
      <formula>U118&gt;W118+#REF!</formula>
    </cfRule>
  </conditionalFormatting>
  <conditionalFormatting sqref="U125:W125">
    <cfRule type="expression" dxfId="13937" priority="3483">
      <formula>U125&gt;W125*#REF!</formula>
    </cfRule>
  </conditionalFormatting>
  <conditionalFormatting sqref="U161:W162">
    <cfRule type="expression" dxfId="13936" priority="3469">
      <formula>U161&lt;W161*#REF!</formula>
    </cfRule>
    <cfRule type="expression" dxfId="13935" priority="3470">
      <formula>U161&gt;W161*#REF!</formula>
    </cfRule>
  </conditionalFormatting>
  <conditionalFormatting sqref="U163:W165">
    <cfRule type="expression" dxfId="13934" priority="3471">
      <formula>U163&lt;W163-#REF!</formula>
    </cfRule>
  </conditionalFormatting>
  <conditionalFormatting sqref="U163:W166">
    <cfRule type="expression" dxfId="13933" priority="3467">
      <formula>U163&gt;W163+#REF!</formula>
    </cfRule>
  </conditionalFormatting>
  <conditionalFormatting sqref="U169:W170">
    <cfRule type="expression" dxfId="13932" priority="3465">
      <formula>U169&gt;W169+#REF!</formula>
    </cfRule>
  </conditionalFormatting>
  <conditionalFormatting sqref="U176:W176">
    <cfRule type="expression" dxfId="13931" priority="3468">
      <formula>U176&gt;W176*#REF!</formula>
    </cfRule>
  </conditionalFormatting>
  <conditionalFormatting sqref="U178:W179">
    <cfRule type="expression" dxfId="13930" priority="3454">
      <formula>U178&lt;W178*#REF!</formula>
    </cfRule>
    <cfRule type="expression" dxfId="13929" priority="3455">
      <formula>U178&gt;W178*#REF!</formula>
    </cfRule>
  </conditionalFormatting>
  <conditionalFormatting sqref="U180:W182">
    <cfRule type="expression" dxfId="13928" priority="3456">
      <formula>U180&lt;W180-#REF!</formula>
    </cfRule>
  </conditionalFormatting>
  <conditionalFormatting sqref="U180:W183">
    <cfRule type="expression" dxfId="13927" priority="3452">
      <formula>U180&gt;W180+#REF!</formula>
    </cfRule>
  </conditionalFormatting>
  <conditionalFormatting sqref="U186:W187">
    <cfRule type="expression" dxfId="13926" priority="3450">
      <formula>U186&gt;W186+#REF!</formula>
    </cfRule>
  </conditionalFormatting>
  <conditionalFormatting sqref="U193:W193">
    <cfRule type="expression" dxfId="13925" priority="3453">
      <formula>U193&gt;W193*#REF!</formula>
    </cfRule>
  </conditionalFormatting>
  <conditionalFormatting sqref="U195:W196">
    <cfRule type="expression" dxfId="13924" priority="3439">
      <formula>U195&lt;W195*#REF!</formula>
    </cfRule>
    <cfRule type="expression" dxfId="13923" priority="3440">
      <formula>U195&gt;W195*#REF!</formula>
    </cfRule>
  </conditionalFormatting>
  <conditionalFormatting sqref="U197:W199">
    <cfRule type="expression" dxfId="13922" priority="3441">
      <formula>U197&lt;W197-#REF!</formula>
    </cfRule>
  </conditionalFormatting>
  <conditionalFormatting sqref="U197:W200">
    <cfRule type="expression" dxfId="13921" priority="3437">
      <formula>U197&gt;W197+#REF!</formula>
    </cfRule>
  </conditionalFormatting>
  <conditionalFormatting sqref="U203:W204">
    <cfRule type="expression" dxfId="13920" priority="3435">
      <formula>U203&gt;W203+#REF!</formula>
    </cfRule>
  </conditionalFormatting>
  <conditionalFormatting sqref="U210:W210">
    <cfRule type="expression" dxfId="13919" priority="3438">
      <formula>U210&gt;W210*#REF!</formula>
    </cfRule>
  </conditionalFormatting>
  <conditionalFormatting sqref="U212:W213">
    <cfRule type="expression" dxfId="13918" priority="3424">
      <formula>U212&lt;W212*#REF!</formula>
    </cfRule>
    <cfRule type="expression" dxfId="13917" priority="3425">
      <formula>U212&gt;W212*#REF!</formula>
    </cfRule>
  </conditionalFormatting>
  <conditionalFormatting sqref="U214:W216">
    <cfRule type="expression" dxfId="13916" priority="3426">
      <formula>U214&lt;W214-#REF!</formula>
    </cfRule>
  </conditionalFormatting>
  <conditionalFormatting sqref="U214:W217">
    <cfRule type="expression" dxfId="13915" priority="3422">
      <formula>U214&gt;W214+#REF!</formula>
    </cfRule>
  </conditionalFormatting>
  <conditionalFormatting sqref="U220:W221">
    <cfRule type="expression" dxfId="13914" priority="3420">
      <formula>U220&gt;W220+#REF!</formula>
    </cfRule>
  </conditionalFormatting>
  <conditionalFormatting sqref="U227:W227">
    <cfRule type="expression" dxfId="13913" priority="3423">
      <formula>U227&gt;W227*#REF!</formula>
    </cfRule>
  </conditionalFormatting>
  <conditionalFormatting sqref="U229:W230">
    <cfRule type="expression" dxfId="13912" priority="3409">
      <formula>U229&lt;W229*#REF!</formula>
    </cfRule>
    <cfRule type="expression" dxfId="13911" priority="3410">
      <formula>U229&gt;W229*#REF!</formula>
    </cfRule>
  </conditionalFormatting>
  <conditionalFormatting sqref="U231:W233">
    <cfRule type="expression" dxfId="13910" priority="3411">
      <formula>U231&lt;W231-#REF!</formula>
    </cfRule>
  </conditionalFormatting>
  <conditionalFormatting sqref="U231:W234">
    <cfRule type="expression" dxfId="13909" priority="3407">
      <formula>U231&gt;W231+#REF!</formula>
    </cfRule>
  </conditionalFormatting>
  <conditionalFormatting sqref="U237:W238">
    <cfRule type="expression" dxfId="13908" priority="3405">
      <formula>U237&gt;W237+#REF!</formula>
    </cfRule>
  </conditionalFormatting>
  <conditionalFormatting sqref="U244:W244">
    <cfRule type="expression" dxfId="13907" priority="3408">
      <formula>U244&gt;W244*#REF!</formula>
    </cfRule>
  </conditionalFormatting>
  <conditionalFormatting sqref="U246:W247">
    <cfRule type="expression" dxfId="13906" priority="3364">
      <formula>U246&lt;W246*#REF!</formula>
    </cfRule>
    <cfRule type="expression" dxfId="13905" priority="3365">
      <formula>U246&gt;W246*#REF!</formula>
    </cfRule>
  </conditionalFormatting>
  <conditionalFormatting sqref="U248:W250">
    <cfRule type="expression" dxfId="13904" priority="3366">
      <formula>U248&lt;W248-#REF!</formula>
    </cfRule>
  </conditionalFormatting>
  <conditionalFormatting sqref="U248:W260">
    <cfRule type="expression" dxfId="13903" priority="3358">
      <formula>U248&gt;W248+#REF!</formula>
    </cfRule>
  </conditionalFormatting>
  <conditionalFormatting sqref="U261:W261">
    <cfRule type="expression" dxfId="13902" priority="3363">
      <formula>U261&gt;W261*#REF!</formula>
    </cfRule>
  </conditionalFormatting>
  <conditionalFormatting sqref="U263:W264">
    <cfRule type="expression" dxfId="13901" priority="3394">
      <formula>U263&lt;W263*#REF!</formula>
    </cfRule>
    <cfRule type="expression" dxfId="13900" priority="3395">
      <formula>U263&gt;W263*#REF!</formula>
    </cfRule>
  </conditionalFormatting>
  <conditionalFormatting sqref="U265:W267">
    <cfRule type="expression" dxfId="13899" priority="3396">
      <formula>U265&lt;W265-#REF!</formula>
    </cfRule>
  </conditionalFormatting>
  <conditionalFormatting sqref="U265:W268">
    <cfRule type="expression" dxfId="13898" priority="3392">
      <formula>U265&gt;W265+#REF!</formula>
    </cfRule>
  </conditionalFormatting>
  <conditionalFormatting sqref="U271:W272">
    <cfRule type="expression" dxfId="13897" priority="3390">
      <formula>U271&gt;W271+#REF!</formula>
    </cfRule>
  </conditionalFormatting>
  <conditionalFormatting sqref="U278:W278">
    <cfRule type="expression" dxfId="13896" priority="3393">
      <formula>U278&gt;W278*#REF!</formula>
    </cfRule>
  </conditionalFormatting>
  <conditionalFormatting sqref="U297:W298">
    <cfRule type="expression" dxfId="13895" priority="3346">
      <formula>U297&lt;W297*#REF!</formula>
    </cfRule>
    <cfRule type="expression" dxfId="13894" priority="3347">
      <formula>U297&gt;W297*#REF!</formula>
    </cfRule>
  </conditionalFormatting>
  <conditionalFormatting sqref="U299:W301">
    <cfRule type="expression" dxfId="13893" priority="3348">
      <formula>U299&lt;W299-#REF!</formula>
    </cfRule>
  </conditionalFormatting>
  <conditionalFormatting sqref="U299:W311">
    <cfRule type="expression" dxfId="13892" priority="3340">
      <formula>U299&gt;W299+#REF!</formula>
    </cfRule>
  </conditionalFormatting>
  <conditionalFormatting sqref="U312:W312">
    <cfRule type="expression" dxfId="13891" priority="3345">
      <formula>U312&gt;W312*#REF!</formula>
    </cfRule>
  </conditionalFormatting>
  <conditionalFormatting sqref="U314:W315">
    <cfRule type="expression" dxfId="13890" priority="3337">
      <formula>U314&lt;W314*#REF!</formula>
    </cfRule>
    <cfRule type="expression" dxfId="13889" priority="3338">
      <formula>U314&gt;W314*#REF!</formula>
    </cfRule>
  </conditionalFormatting>
  <conditionalFormatting sqref="U316:W318">
    <cfRule type="expression" dxfId="13888" priority="3339">
      <formula>U316&lt;W316-#REF!</formula>
    </cfRule>
  </conditionalFormatting>
  <conditionalFormatting sqref="U316:W328">
    <cfRule type="expression" dxfId="13887" priority="3331">
      <formula>U316&gt;W316+#REF!</formula>
    </cfRule>
  </conditionalFormatting>
  <conditionalFormatting sqref="U329:W329">
    <cfRule type="expression" dxfId="13886" priority="3336">
      <formula>U329&gt;W329*#REF!</formula>
    </cfRule>
  </conditionalFormatting>
  <conditionalFormatting sqref="U331:W332">
    <cfRule type="expression" dxfId="13885" priority="3328">
      <formula>U331&lt;W331*#REF!</formula>
    </cfRule>
    <cfRule type="expression" dxfId="13884" priority="3329">
      <formula>U331&gt;W331*#REF!</formula>
    </cfRule>
  </conditionalFormatting>
  <conditionalFormatting sqref="U333:W335">
    <cfRule type="expression" dxfId="13883" priority="3330">
      <formula>U333&lt;W333-#REF!</formula>
    </cfRule>
  </conditionalFormatting>
  <conditionalFormatting sqref="U333:W345">
    <cfRule type="expression" dxfId="13882" priority="3322">
      <formula>U333&gt;W333+#REF!</formula>
    </cfRule>
  </conditionalFormatting>
  <conditionalFormatting sqref="U346:W346">
    <cfRule type="expression" dxfId="13881" priority="3327">
      <formula>U346&gt;W346*#REF!</formula>
    </cfRule>
  </conditionalFormatting>
  <conditionalFormatting sqref="U348:W349">
    <cfRule type="expression" dxfId="13880" priority="3379">
      <formula>U348&lt;W348*#REF!</formula>
    </cfRule>
    <cfRule type="expression" dxfId="13879" priority="3380">
      <formula>U348&gt;W348*#REF!</formula>
    </cfRule>
  </conditionalFormatting>
  <conditionalFormatting sqref="U350:W352">
    <cfRule type="expression" dxfId="13878" priority="3381">
      <formula>U350&lt;W350-#REF!</formula>
    </cfRule>
  </conditionalFormatting>
  <conditionalFormatting sqref="U350:W353">
    <cfRule type="expression" dxfId="13877" priority="3377">
      <formula>U350&gt;W350+#REF!</formula>
    </cfRule>
  </conditionalFormatting>
  <conditionalFormatting sqref="U356:W357">
    <cfRule type="expression" dxfId="13876" priority="3375">
      <formula>U356&gt;W356+#REF!</formula>
    </cfRule>
  </conditionalFormatting>
  <conditionalFormatting sqref="U363:W363">
    <cfRule type="expression" dxfId="13875" priority="3378">
      <formula>U363&gt;W363*#REF!</formula>
    </cfRule>
  </conditionalFormatting>
  <conditionalFormatting sqref="V14:V15">
    <cfRule type="expression" dxfId="13874" priority="3567">
      <formula>V14&lt;X14-#REF!</formula>
    </cfRule>
  </conditionalFormatting>
  <conditionalFormatting sqref="V18:V22">
    <cfRule type="expression" dxfId="13873" priority="3566">
      <formula>V18&lt;X18-#REF!</formula>
    </cfRule>
  </conditionalFormatting>
  <conditionalFormatting sqref="V31:V32">
    <cfRule type="expression" dxfId="13872" priority="3552">
      <formula>V31&lt;X31-#REF!</formula>
    </cfRule>
  </conditionalFormatting>
  <conditionalFormatting sqref="V35:V39">
    <cfRule type="expression" dxfId="13871" priority="3551">
      <formula>V35&lt;X35-#REF!</formula>
    </cfRule>
  </conditionalFormatting>
  <conditionalFormatting sqref="V48:V49">
    <cfRule type="expression" dxfId="13870" priority="3537">
      <formula>V48&lt;X48-#REF!</formula>
    </cfRule>
  </conditionalFormatting>
  <conditionalFormatting sqref="V52:V56">
    <cfRule type="expression" dxfId="13869" priority="3536">
      <formula>V52&lt;X52-#REF!</formula>
    </cfRule>
  </conditionalFormatting>
  <conditionalFormatting sqref="V65:V66">
    <cfRule type="expression" dxfId="13868" priority="3522">
      <formula>V65&lt;X65-#REF!</formula>
    </cfRule>
  </conditionalFormatting>
  <conditionalFormatting sqref="V69:V73">
    <cfRule type="expression" dxfId="13867" priority="3521">
      <formula>V69&lt;X69-#REF!</formula>
    </cfRule>
  </conditionalFormatting>
  <conditionalFormatting sqref="V82:V83">
    <cfRule type="expression" dxfId="13866" priority="3507">
      <formula>V82&lt;X82-#REF!</formula>
    </cfRule>
  </conditionalFormatting>
  <conditionalFormatting sqref="V86:V90">
    <cfRule type="expression" dxfId="13865" priority="3506">
      <formula>V86&lt;X86-#REF!</formula>
    </cfRule>
  </conditionalFormatting>
  <conditionalFormatting sqref="V99:V100">
    <cfRule type="expression" dxfId="13864" priority="3492">
      <formula>V99&lt;X99-#REF!</formula>
    </cfRule>
  </conditionalFormatting>
  <conditionalFormatting sqref="V103:V107">
    <cfRule type="expression" dxfId="13863" priority="3491">
      <formula>V103&lt;X103-#REF!</formula>
    </cfRule>
  </conditionalFormatting>
  <conditionalFormatting sqref="V116:V117">
    <cfRule type="expression" dxfId="13862" priority="3477">
      <formula>V116&lt;X116-#REF!</formula>
    </cfRule>
  </conditionalFormatting>
  <conditionalFormatting sqref="V120:V124">
    <cfRule type="expression" dxfId="13861" priority="3476">
      <formula>V120&lt;X120-#REF!</formula>
    </cfRule>
  </conditionalFormatting>
  <conditionalFormatting sqref="V167:V168">
    <cfRule type="expression" dxfId="13860" priority="3462">
      <formula>V167&lt;X167-#REF!</formula>
    </cfRule>
  </conditionalFormatting>
  <conditionalFormatting sqref="V171:V175">
    <cfRule type="expression" dxfId="13859" priority="3461">
      <formula>V171&lt;X171-#REF!</formula>
    </cfRule>
  </conditionalFormatting>
  <conditionalFormatting sqref="V184:V185">
    <cfRule type="expression" dxfId="13858" priority="3447">
      <formula>V184&lt;X184-#REF!</formula>
    </cfRule>
  </conditionalFormatting>
  <conditionalFormatting sqref="V188:V192">
    <cfRule type="expression" dxfId="13857" priority="3446">
      <formula>V188&lt;X188-#REF!</formula>
    </cfRule>
  </conditionalFormatting>
  <conditionalFormatting sqref="V201:V202">
    <cfRule type="expression" dxfId="13856" priority="3432">
      <formula>V201&lt;X201-#REF!</formula>
    </cfRule>
  </conditionalFormatting>
  <conditionalFormatting sqref="V205:V209">
    <cfRule type="expression" dxfId="13855" priority="3431">
      <formula>V205&lt;X205-#REF!</formula>
    </cfRule>
  </conditionalFormatting>
  <conditionalFormatting sqref="V218:V219">
    <cfRule type="expression" dxfId="13854" priority="3417">
      <formula>V218&lt;X218-#REF!</formula>
    </cfRule>
  </conditionalFormatting>
  <conditionalFormatting sqref="V222:V226">
    <cfRule type="expression" dxfId="13853" priority="3416">
      <formula>V222&lt;X222-#REF!</formula>
    </cfRule>
  </conditionalFormatting>
  <conditionalFormatting sqref="V235:V236">
    <cfRule type="expression" dxfId="13852" priority="3402">
      <formula>V235&lt;X235-#REF!</formula>
    </cfRule>
  </conditionalFormatting>
  <conditionalFormatting sqref="V239:V243">
    <cfRule type="expression" dxfId="13851" priority="3401">
      <formula>V239&lt;X239-#REF!</formula>
    </cfRule>
  </conditionalFormatting>
  <conditionalFormatting sqref="V252:V253">
    <cfRule type="expression" dxfId="13850" priority="3362">
      <formula>V252&lt;X252-#REF!</formula>
    </cfRule>
  </conditionalFormatting>
  <conditionalFormatting sqref="V256:V260">
    <cfRule type="expression" dxfId="13849" priority="3361">
      <formula>V256&lt;X256-#REF!</formula>
    </cfRule>
  </conditionalFormatting>
  <conditionalFormatting sqref="V269:V270">
    <cfRule type="expression" dxfId="13848" priority="3387">
      <formula>V269&lt;X269-#REF!</formula>
    </cfRule>
  </conditionalFormatting>
  <conditionalFormatting sqref="V273:V277">
    <cfRule type="expression" dxfId="13847" priority="3386">
      <formula>V273&lt;X273-#REF!</formula>
    </cfRule>
  </conditionalFormatting>
  <conditionalFormatting sqref="V303:V304">
    <cfRule type="expression" dxfId="13846" priority="3344">
      <formula>V303&lt;X303-#REF!</formula>
    </cfRule>
  </conditionalFormatting>
  <conditionalFormatting sqref="V307:V311">
    <cfRule type="expression" dxfId="13845" priority="3343">
      <formula>V307&lt;X307-#REF!</formula>
    </cfRule>
  </conditionalFormatting>
  <conditionalFormatting sqref="V320:V321">
    <cfRule type="expression" dxfId="13844" priority="3335">
      <formula>V320&lt;X320-#REF!</formula>
    </cfRule>
  </conditionalFormatting>
  <conditionalFormatting sqref="V324:V328">
    <cfRule type="expression" dxfId="13843" priority="3334">
      <formula>V324&lt;X324-#REF!</formula>
    </cfRule>
  </conditionalFormatting>
  <conditionalFormatting sqref="V337:V338">
    <cfRule type="expression" dxfId="13842" priority="3326">
      <formula>V337&lt;X337-#REF!</formula>
    </cfRule>
  </conditionalFormatting>
  <conditionalFormatting sqref="V341:V345">
    <cfRule type="expression" dxfId="13841" priority="3325">
      <formula>V341&lt;X341-#REF!</formula>
    </cfRule>
  </conditionalFormatting>
  <conditionalFormatting sqref="V354:V355">
    <cfRule type="expression" dxfId="13840" priority="3372">
      <formula>V354&lt;X354-#REF!</formula>
    </cfRule>
  </conditionalFormatting>
  <conditionalFormatting sqref="V358:V362">
    <cfRule type="expression" dxfId="13839" priority="3371">
      <formula>V358&lt;X358-#REF!</formula>
    </cfRule>
  </conditionalFormatting>
  <conditionalFormatting sqref="V14:W15">
    <cfRule type="expression" dxfId="13838" priority="3564">
      <formula>V14&gt;X14+#REF!</formula>
    </cfRule>
  </conditionalFormatting>
  <conditionalFormatting sqref="V18:W22">
    <cfRule type="expression" dxfId="13837" priority="3562">
      <formula>V18&gt;X18+#REF!</formula>
    </cfRule>
  </conditionalFormatting>
  <conditionalFormatting sqref="V31:W32">
    <cfRule type="expression" dxfId="13836" priority="3549">
      <formula>V31&gt;X31+#REF!</formula>
    </cfRule>
  </conditionalFormatting>
  <conditionalFormatting sqref="V35:W39">
    <cfRule type="expression" dxfId="13835" priority="3547">
      <formula>V35&gt;X35+#REF!</formula>
    </cfRule>
  </conditionalFormatting>
  <conditionalFormatting sqref="V48:W49">
    <cfRule type="expression" dxfId="13834" priority="3534">
      <formula>V48&gt;X48+#REF!</formula>
    </cfRule>
  </conditionalFormatting>
  <conditionalFormatting sqref="V52:W56">
    <cfRule type="expression" dxfId="13833" priority="3532">
      <formula>V52&gt;X52+#REF!</formula>
    </cfRule>
  </conditionalFormatting>
  <conditionalFormatting sqref="V65:W66">
    <cfRule type="expression" dxfId="13832" priority="3519">
      <formula>V65&gt;X65+#REF!</formula>
    </cfRule>
  </conditionalFormatting>
  <conditionalFormatting sqref="V69:W73">
    <cfRule type="expression" dxfId="13831" priority="3517">
      <formula>V69&gt;X69+#REF!</formula>
    </cfRule>
  </conditionalFormatting>
  <conditionalFormatting sqref="V82:W83">
    <cfRule type="expression" dxfId="13830" priority="3504">
      <formula>V82&gt;X82+#REF!</formula>
    </cfRule>
  </conditionalFormatting>
  <conditionalFormatting sqref="V86:W90">
    <cfRule type="expression" dxfId="13829" priority="3502">
      <formula>V86&gt;X86+#REF!</formula>
    </cfRule>
  </conditionalFormatting>
  <conditionalFormatting sqref="V99:W100">
    <cfRule type="expression" dxfId="13828" priority="3489">
      <formula>V99&gt;X99+#REF!</formula>
    </cfRule>
  </conditionalFormatting>
  <conditionalFormatting sqref="V103:W107">
    <cfRule type="expression" dxfId="13827" priority="3487">
      <formula>V103&gt;X103+#REF!</formula>
    </cfRule>
  </conditionalFormatting>
  <conditionalFormatting sqref="V116:W117">
    <cfRule type="expression" dxfId="13826" priority="3474">
      <formula>V116&gt;X116+#REF!</formula>
    </cfRule>
  </conditionalFormatting>
  <conditionalFormatting sqref="V120:W124">
    <cfRule type="expression" dxfId="13825" priority="3472">
      <formula>V120&gt;X120+#REF!</formula>
    </cfRule>
  </conditionalFormatting>
  <conditionalFormatting sqref="V167:W168">
    <cfRule type="expression" dxfId="13824" priority="3459">
      <formula>V167&gt;X167+#REF!</formula>
    </cfRule>
  </conditionalFormatting>
  <conditionalFormatting sqref="V171:W175">
    <cfRule type="expression" dxfId="13823" priority="3457">
      <formula>V171&gt;X171+#REF!</formula>
    </cfRule>
  </conditionalFormatting>
  <conditionalFormatting sqref="V184:W185">
    <cfRule type="expression" dxfId="13822" priority="3444">
      <formula>V184&gt;X184+#REF!</formula>
    </cfRule>
  </conditionalFormatting>
  <conditionalFormatting sqref="V188:W192">
    <cfRule type="expression" dxfId="13821" priority="3442">
      <formula>V188&gt;X188+#REF!</formula>
    </cfRule>
  </conditionalFormatting>
  <conditionalFormatting sqref="V201:W202">
    <cfRule type="expression" dxfId="13820" priority="3429">
      <formula>V201&gt;X201+#REF!</formula>
    </cfRule>
  </conditionalFormatting>
  <conditionalFormatting sqref="V205:W209">
    <cfRule type="expression" dxfId="13819" priority="3427">
      <formula>V205&gt;X205+#REF!</formula>
    </cfRule>
  </conditionalFormatting>
  <conditionalFormatting sqref="V218:W219">
    <cfRule type="expression" dxfId="13818" priority="3414">
      <formula>V218&gt;X218+#REF!</formula>
    </cfRule>
  </conditionalFormatting>
  <conditionalFormatting sqref="V222:W226">
    <cfRule type="expression" dxfId="13817" priority="3412">
      <formula>V222&gt;X222+#REF!</formula>
    </cfRule>
  </conditionalFormatting>
  <conditionalFormatting sqref="V235:W236">
    <cfRule type="expression" dxfId="13816" priority="3399">
      <formula>V235&gt;X235+#REF!</formula>
    </cfRule>
  </conditionalFormatting>
  <conditionalFormatting sqref="V239:W243">
    <cfRule type="expression" dxfId="13815" priority="3397">
      <formula>V239&gt;X239+#REF!</formula>
    </cfRule>
  </conditionalFormatting>
  <conditionalFormatting sqref="V269:W270">
    <cfRule type="expression" dxfId="13814" priority="3384">
      <formula>V269&gt;X269+#REF!</formula>
    </cfRule>
  </conditionalFormatting>
  <conditionalFormatting sqref="V273:W277">
    <cfRule type="expression" dxfId="13813" priority="3382">
      <formula>V273&gt;X273+#REF!</formula>
    </cfRule>
  </conditionalFormatting>
  <conditionalFormatting sqref="V354:W355">
    <cfRule type="expression" dxfId="13812" priority="3369">
      <formula>V354&gt;X354+#REF!</formula>
    </cfRule>
  </conditionalFormatting>
  <conditionalFormatting sqref="V358:W362">
    <cfRule type="expression" dxfId="13811" priority="3367">
      <formula>V358&gt;X358+#REF!</formula>
    </cfRule>
  </conditionalFormatting>
  <conditionalFormatting sqref="W14:W15">
    <cfRule type="expression" dxfId="13810" priority="3565">
      <formula>W14&lt;Y14-#REF!</formula>
    </cfRule>
  </conditionalFormatting>
  <conditionalFormatting sqref="W18:W19">
    <cfRule type="expression" dxfId="13809" priority="3563">
      <formula>W18&lt;Y18-#REF!</formula>
    </cfRule>
  </conditionalFormatting>
  <conditionalFormatting sqref="W31:W32">
    <cfRule type="expression" dxfId="13808" priority="3550">
      <formula>W31&lt;Y31-#REF!</formula>
    </cfRule>
  </conditionalFormatting>
  <conditionalFormatting sqref="W35:W36">
    <cfRule type="expression" dxfId="13807" priority="3548">
      <formula>W35&lt;Y35-#REF!</formula>
    </cfRule>
  </conditionalFormatting>
  <conditionalFormatting sqref="W48:W49">
    <cfRule type="expression" dxfId="13806" priority="3535">
      <formula>W48&lt;Y48-#REF!</formula>
    </cfRule>
  </conditionalFormatting>
  <conditionalFormatting sqref="W52:W53">
    <cfRule type="expression" dxfId="13805" priority="3533">
      <formula>W52&lt;Y52-#REF!</formula>
    </cfRule>
  </conditionalFormatting>
  <conditionalFormatting sqref="W65:W66">
    <cfRule type="expression" dxfId="13804" priority="3520">
      <formula>W65&lt;Y65-#REF!</formula>
    </cfRule>
  </conditionalFormatting>
  <conditionalFormatting sqref="W69:W70">
    <cfRule type="expression" dxfId="13803" priority="3518">
      <formula>W69&lt;Y69-#REF!</formula>
    </cfRule>
  </conditionalFormatting>
  <conditionalFormatting sqref="W82:W83">
    <cfRule type="expression" dxfId="13802" priority="3505">
      <formula>W82&lt;Y82-#REF!</formula>
    </cfRule>
  </conditionalFormatting>
  <conditionalFormatting sqref="W86:W87">
    <cfRule type="expression" dxfId="13801" priority="3503">
      <formula>W86&lt;Y86-#REF!</formula>
    </cfRule>
  </conditionalFormatting>
  <conditionalFormatting sqref="W99:W100">
    <cfRule type="expression" dxfId="13800" priority="3490">
      <formula>W99&lt;Y99-#REF!</formula>
    </cfRule>
  </conditionalFormatting>
  <conditionalFormatting sqref="W103:W104">
    <cfRule type="expression" dxfId="13799" priority="3488">
      <formula>W103&lt;Y103-#REF!</formula>
    </cfRule>
  </conditionalFormatting>
  <conditionalFormatting sqref="W116:W117">
    <cfRule type="expression" dxfId="13798" priority="3475">
      <formula>W116&lt;Y116-#REF!</formula>
    </cfRule>
  </conditionalFormatting>
  <conditionalFormatting sqref="W120:W121">
    <cfRule type="expression" dxfId="13797" priority="3473">
      <formula>W120&lt;Y120-#REF!</formula>
    </cfRule>
  </conditionalFormatting>
  <conditionalFormatting sqref="W167:W168">
    <cfRule type="expression" dxfId="13796" priority="3460">
      <formula>W167&lt;Y167-#REF!</formula>
    </cfRule>
  </conditionalFormatting>
  <conditionalFormatting sqref="W171:W172">
    <cfRule type="expression" dxfId="13795" priority="3458">
      <formula>W171&lt;Y171-#REF!</formula>
    </cfRule>
  </conditionalFormatting>
  <conditionalFormatting sqref="W184:W185">
    <cfRule type="expression" dxfId="13794" priority="3445">
      <formula>W184&lt;Y184-#REF!</formula>
    </cfRule>
  </conditionalFormatting>
  <conditionalFormatting sqref="W188:W189">
    <cfRule type="expression" dxfId="13793" priority="3443">
      <formula>W188&lt;Y188-#REF!</formula>
    </cfRule>
  </conditionalFormatting>
  <conditionalFormatting sqref="W201:W202">
    <cfRule type="expression" dxfId="13792" priority="3430">
      <formula>W201&lt;Y201-#REF!</formula>
    </cfRule>
  </conditionalFormatting>
  <conditionalFormatting sqref="W205:W206">
    <cfRule type="expression" dxfId="13791" priority="3428">
      <formula>W205&lt;Y205-#REF!</formula>
    </cfRule>
  </conditionalFormatting>
  <conditionalFormatting sqref="W218:W219">
    <cfRule type="expression" dxfId="13790" priority="3415">
      <formula>W218&lt;Y218-#REF!</formula>
    </cfRule>
  </conditionalFormatting>
  <conditionalFormatting sqref="W222:W223">
    <cfRule type="expression" dxfId="13789" priority="3413">
      <formula>W222&lt;Y222-#REF!</formula>
    </cfRule>
  </conditionalFormatting>
  <conditionalFormatting sqref="W235:W236">
    <cfRule type="expression" dxfId="13788" priority="3400">
      <formula>W235&lt;Y235-#REF!</formula>
    </cfRule>
  </conditionalFormatting>
  <conditionalFormatting sqref="W239:W240">
    <cfRule type="expression" dxfId="13787" priority="3398">
      <formula>W239&lt;Y239-#REF!</formula>
    </cfRule>
  </conditionalFormatting>
  <conditionalFormatting sqref="W252:W253">
    <cfRule type="expression" dxfId="13786" priority="3360">
      <formula>W252&lt;Y252-#REF!</formula>
    </cfRule>
  </conditionalFormatting>
  <conditionalFormatting sqref="W256:W257">
    <cfRule type="expression" dxfId="13785" priority="3359">
      <formula>W256&lt;Y256-#REF!</formula>
    </cfRule>
  </conditionalFormatting>
  <conditionalFormatting sqref="W269:W270">
    <cfRule type="expression" dxfId="13784" priority="3385">
      <formula>W269&lt;Y269-#REF!</formula>
    </cfRule>
  </conditionalFormatting>
  <conditionalFormatting sqref="W273:W274">
    <cfRule type="expression" dxfId="13783" priority="3383">
      <formula>W273&lt;Y273-#REF!</formula>
    </cfRule>
  </conditionalFormatting>
  <conditionalFormatting sqref="W303:W304">
    <cfRule type="expression" dxfId="13782" priority="3342">
      <formula>W303&lt;Y303-#REF!</formula>
    </cfRule>
  </conditionalFormatting>
  <conditionalFormatting sqref="W307:W308">
    <cfRule type="expression" dxfId="13781" priority="3341">
      <formula>W307&lt;Y307-#REF!</formula>
    </cfRule>
  </conditionalFormatting>
  <conditionalFormatting sqref="W320:W321">
    <cfRule type="expression" dxfId="13780" priority="3333">
      <formula>W320&lt;Y320-#REF!</formula>
    </cfRule>
  </conditionalFormatting>
  <conditionalFormatting sqref="W324:W325">
    <cfRule type="expression" dxfId="13779" priority="3332">
      <formula>W324&lt;Y324-#REF!</formula>
    </cfRule>
  </conditionalFormatting>
  <conditionalFormatting sqref="W337:W338">
    <cfRule type="expression" dxfId="13778" priority="3324">
      <formula>W337&lt;Y337-#REF!</formula>
    </cfRule>
  </conditionalFormatting>
  <conditionalFormatting sqref="W341:W342">
    <cfRule type="expression" dxfId="13777" priority="3323">
      <formula>W341&lt;Y341-#REF!</formula>
    </cfRule>
  </conditionalFormatting>
  <conditionalFormatting sqref="W354:W355">
    <cfRule type="expression" dxfId="13776" priority="3370">
      <formula>W354&lt;Y354-#REF!</formula>
    </cfRule>
  </conditionalFormatting>
  <conditionalFormatting sqref="W358:W359">
    <cfRule type="expression" dxfId="13775" priority="3368">
      <formula>W358&lt;Y358-#REF!</formula>
    </cfRule>
  </conditionalFormatting>
  <conditionalFormatting sqref="Y14:Y15">
    <cfRule type="expression" dxfId="13774" priority="3056">
      <formula>Y14&gt;AA14+#REF!</formula>
    </cfRule>
  </conditionalFormatting>
  <conditionalFormatting sqref="Y18:Y19">
    <cfRule type="expression" dxfId="13773" priority="3053">
      <formula>Y18&gt;AA18+#REF!</formula>
    </cfRule>
  </conditionalFormatting>
  <conditionalFormatting sqref="Y20:Y22">
    <cfRule type="expression" dxfId="13772" priority="3052">
      <formula>Y20&gt;AA20+#REF!</formula>
    </cfRule>
  </conditionalFormatting>
  <conditionalFormatting sqref="Y31:Y32">
    <cfRule type="expression" dxfId="13771" priority="3031">
      <formula>Y31&gt;AA31+#REF!</formula>
    </cfRule>
  </conditionalFormatting>
  <conditionalFormatting sqref="Y35:Y36">
    <cfRule type="expression" dxfId="13770" priority="3028">
      <formula>Y35&gt;AA35+#REF!</formula>
    </cfRule>
  </conditionalFormatting>
  <conditionalFormatting sqref="Y37:Y39">
    <cfRule type="expression" dxfId="13769" priority="3027">
      <formula>Y37&gt;AA37+#REF!</formula>
    </cfRule>
  </conditionalFormatting>
  <conditionalFormatting sqref="Y48:Y49">
    <cfRule type="expression" dxfId="13768" priority="3006">
      <formula>Y48&gt;AA48+#REF!</formula>
    </cfRule>
  </conditionalFormatting>
  <conditionalFormatting sqref="Y52:Y53">
    <cfRule type="expression" dxfId="13767" priority="3003">
      <formula>Y52&gt;AA52+#REF!</formula>
    </cfRule>
  </conditionalFormatting>
  <conditionalFormatting sqref="Y54:Y56">
    <cfRule type="expression" dxfId="13766" priority="3002">
      <formula>Y54&gt;AA54+#REF!</formula>
    </cfRule>
  </conditionalFormatting>
  <conditionalFormatting sqref="Y65:Y66">
    <cfRule type="expression" dxfId="13765" priority="2981">
      <formula>Y65&gt;AA65+#REF!</formula>
    </cfRule>
  </conditionalFormatting>
  <conditionalFormatting sqref="Y69:Y70">
    <cfRule type="expression" dxfId="13764" priority="2978">
      <formula>Y69&gt;AA69+#REF!</formula>
    </cfRule>
  </conditionalFormatting>
  <conditionalFormatting sqref="Y71:Y73">
    <cfRule type="expression" dxfId="13763" priority="2977">
      <formula>Y71&gt;AA71+#REF!</formula>
    </cfRule>
  </conditionalFormatting>
  <conditionalFormatting sqref="Y82:Y83">
    <cfRule type="expression" dxfId="13762" priority="2956">
      <formula>Y82&gt;AA82+#REF!</formula>
    </cfRule>
  </conditionalFormatting>
  <conditionalFormatting sqref="Y86:Y87">
    <cfRule type="expression" dxfId="13761" priority="2953">
      <formula>Y86&gt;AA86+#REF!</formula>
    </cfRule>
  </conditionalFormatting>
  <conditionalFormatting sqref="Y88:Y90">
    <cfRule type="expression" dxfId="13760" priority="2952">
      <formula>Y88&gt;AA88+#REF!</formula>
    </cfRule>
  </conditionalFormatting>
  <conditionalFormatting sqref="Y99:Y100">
    <cfRule type="expression" dxfId="13759" priority="2931">
      <formula>Y99&gt;AA99+#REF!</formula>
    </cfRule>
  </conditionalFormatting>
  <conditionalFormatting sqref="Y103:Y104">
    <cfRule type="expression" dxfId="13758" priority="2928">
      <formula>Y103&gt;AA103+#REF!</formula>
    </cfRule>
  </conditionalFormatting>
  <conditionalFormatting sqref="Y105:Y107">
    <cfRule type="expression" dxfId="13757" priority="2927">
      <formula>Y105&gt;AA105+#REF!</formula>
    </cfRule>
  </conditionalFormatting>
  <conditionalFormatting sqref="Y116:Y117">
    <cfRule type="expression" dxfId="13756" priority="2906">
      <formula>Y116&gt;AA116+#REF!</formula>
    </cfRule>
  </conditionalFormatting>
  <conditionalFormatting sqref="Y120:Y121">
    <cfRule type="expression" dxfId="13755" priority="2903">
      <formula>Y120&gt;AA120+#REF!</formula>
    </cfRule>
  </conditionalFormatting>
  <conditionalFormatting sqref="Y122:Y124">
    <cfRule type="expression" dxfId="13754" priority="2902">
      <formula>Y122&gt;AA122+#REF!</formula>
    </cfRule>
  </conditionalFormatting>
  <conditionalFormatting sqref="Y167:Y168">
    <cfRule type="expression" dxfId="13753" priority="2881">
      <formula>Y167&gt;AA167+#REF!</formula>
    </cfRule>
  </conditionalFormatting>
  <conditionalFormatting sqref="Y171:Y172">
    <cfRule type="expression" dxfId="13752" priority="2878">
      <formula>Y171&gt;AA171+#REF!</formula>
    </cfRule>
  </conditionalFormatting>
  <conditionalFormatting sqref="Y173:Y175">
    <cfRule type="expression" dxfId="13751" priority="2877">
      <formula>Y173&gt;AA173+#REF!</formula>
    </cfRule>
  </conditionalFormatting>
  <conditionalFormatting sqref="Y184:Y185">
    <cfRule type="expression" dxfId="13750" priority="2856">
      <formula>Y184&gt;AA184+#REF!</formula>
    </cfRule>
  </conditionalFormatting>
  <conditionalFormatting sqref="Y188:Y189">
    <cfRule type="expression" dxfId="13749" priority="2853">
      <formula>Y188&gt;AA188+#REF!</formula>
    </cfRule>
  </conditionalFormatting>
  <conditionalFormatting sqref="Y190:Y192">
    <cfRule type="expression" dxfId="13748" priority="2852">
      <formula>Y190&gt;AA190+#REF!</formula>
    </cfRule>
  </conditionalFormatting>
  <conditionalFormatting sqref="Y201:Y202">
    <cfRule type="expression" dxfId="13747" priority="2831">
      <formula>Y201&gt;AA201+#REF!</formula>
    </cfRule>
  </conditionalFormatting>
  <conditionalFormatting sqref="Y205:Y206">
    <cfRule type="expression" dxfId="13746" priority="2828">
      <formula>Y205&gt;AA205+#REF!</formula>
    </cfRule>
  </conditionalFormatting>
  <conditionalFormatting sqref="Y207:Y209">
    <cfRule type="expression" dxfId="13745" priority="2827">
      <formula>Y207&gt;AA207+#REF!</formula>
    </cfRule>
  </conditionalFormatting>
  <conditionalFormatting sqref="Y218:Y219">
    <cfRule type="expression" dxfId="13744" priority="2806">
      <formula>Y218&gt;AA218+#REF!</formula>
    </cfRule>
  </conditionalFormatting>
  <conditionalFormatting sqref="Y222:Y223">
    <cfRule type="expression" dxfId="13743" priority="2803">
      <formula>Y222&gt;AA222+#REF!</formula>
    </cfRule>
  </conditionalFormatting>
  <conditionalFormatting sqref="Y224:Y226">
    <cfRule type="expression" dxfId="13742" priority="2802">
      <formula>Y224&gt;AA224+#REF!</formula>
    </cfRule>
  </conditionalFormatting>
  <conditionalFormatting sqref="Y235:Y236">
    <cfRule type="expression" dxfId="13741" priority="2781">
      <formula>Y235&gt;AA235+#REF!</formula>
    </cfRule>
  </conditionalFormatting>
  <conditionalFormatting sqref="Y239:Y240">
    <cfRule type="expression" dxfId="13740" priority="2778">
      <formula>Y239&gt;AA239+#REF!</formula>
    </cfRule>
  </conditionalFormatting>
  <conditionalFormatting sqref="Y241:Y243">
    <cfRule type="expression" dxfId="13739" priority="2777">
      <formula>Y241&gt;AA241+#REF!</formula>
    </cfRule>
  </conditionalFormatting>
  <conditionalFormatting sqref="Y252:Y253">
    <cfRule type="expression" dxfId="13738" priority="2732">
      <formula>Y252&gt;AA252+#REF!</formula>
    </cfRule>
  </conditionalFormatting>
  <conditionalFormatting sqref="Y256:Y257">
    <cfRule type="expression" dxfId="13737" priority="2729">
      <formula>Y256&gt;AA256+#REF!</formula>
    </cfRule>
  </conditionalFormatting>
  <conditionalFormatting sqref="Y258:Y260">
    <cfRule type="expression" dxfId="13736" priority="2728">
      <formula>Y258&gt;AA258+#REF!</formula>
    </cfRule>
  </conditionalFormatting>
  <conditionalFormatting sqref="Y269:Y270">
    <cfRule type="expression" dxfId="13735" priority="2601">
      <formula>Y269&gt;AA269+#REF!</formula>
    </cfRule>
  </conditionalFormatting>
  <conditionalFormatting sqref="Y273:Y274">
    <cfRule type="expression" dxfId="13734" priority="2598">
      <formula>Y273&gt;AA273+#REF!</formula>
    </cfRule>
  </conditionalFormatting>
  <conditionalFormatting sqref="Y275:Y277">
    <cfRule type="expression" dxfId="13733" priority="2597">
      <formula>Y275&gt;AA275+#REF!</formula>
    </cfRule>
  </conditionalFormatting>
  <conditionalFormatting sqref="Y286:Y287">
    <cfRule type="expression" dxfId="13732" priority="2706">
      <formula>Y286&gt;AA286+#REF!</formula>
    </cfRule>
  </conditionalFormatting>
  <conditionalFormatting sqref="Y290:Y291">
    <cfRule type="expression" dxfId="13731" priority="2703">
      <formula>Y290&gt;AA290+#REF!</formula>
    </cfRule>
  </conditionalFormatting>
  <conditionalFormatting sqref="Y292:Y294">
    <cfRule type="expression" dxfId="13730" priority="2702">
      <formula>Y292&gt;AA292+#REF!</formula>
    </cfRule>
  </conditionalFormatting>
  <conditionalFormatting sqref="Y303:Y304">
    <cfRule type="expression" dxfId="13729" priority="2680">
      <formula>Y303&gt;AA303+#REF!</formula>
    </cfRule>
  </conditionalFormatting>
  <conditionalFormatting sqref="Y307:Y308">
    <cfRule type="expression" dxfId="13728" priority="2677">
      <formula>Y307&gt;AA307+#REF!</formula>
    </cfRule>
  </conditionalFormatting>
  <conditionalFormatting sqref="Y309:Y311">
    <cfRule type="expression" dxfId="13727" priority="2676">
      <formula>Y309&gt;AA309+#REF!</formula>
    </cfRule>
  </conditionalFormatting>
  <conditionalFormatting sqref="Y320:Y321">
    <cfRule type="expression" dxfId="13726" priority="2654">
      <formula>Y320&gt;AA320+#REF!</formula>
    </cfRule>
  </conditionalFormatting>
  <conditionalFormatting sqref="Y324:Y325">
    <cfRule type="expression" dxfId="13725" priority="2651">
      <formula>Y324&gt;AA324+#REF!</formula>
    </cfRule>
  </conditionalFormatting>
  <conditionalFormatting sqref="Y326:Y328">
    <cfRule type="expression" dxfId="13724" priority="2650">
      <formula>Y326&gt;AA326+#REF!</formula>
    </cfRule>
  </conditionalFormatting>
  <conditionalFormatting sqref="Y337:Y338">
    <cfRule type="expression" dxfId="13723" priority="2628">
      <formula>Y337&gt;AA337+#REF!</formula>
    </cfRule>
  </conditionalFormatting>
  <conditionalFormatting sqref="Y341:Y342">
    <cfRule type="expression" dxfId="13722" priority="2625">
      <formula>Y341&gt;AA341+#REF!</formula>
    </cfRule>
  </conditionalFormatting>
  <conditionalFormatting sqref="Y343:Y345">
    <cfRule type="expression" dxfId="13721" priority="2624">
      <formula>Y343&gt;AA343+#REF!</formula>
    </cfRule>
  </conditionalFormatting>
  <conditionalFormatting sqref="Y354:Y355">
    <cfRule type="expression" dxfId="13720" priority="2756">
      <formula>Y354&gt;AA354+#REF!</formula>
    </cfRule>
  </conditionalFormatting>
  <conditionalFormatting sqref="Y358:Y359">
    <cfRule type="expression" dxfId="13719" priority="2753">
      <formula>Y358&gt;AA358+#REF!</formula>
    </cfRule>
  </conditionalFormatting>
  <conditionalFormatting sqref="Y360:Y362">
    <cfRule type="expression" dxfId="13718" priority="2752">
      <formula>Y360&gt;AA360+#REF!</formula>
    </cfRule>
  </conditionalFormatting>
  <conditionalFormatting sqref="Y8:AA9">
    <cfRule type="expression" dxfId="13717" priority="3062">
      <formula>Y8&lt;AA8*#REF!</formula>
    </cfRule>
    <cfRule type="expression" dxfId="13716" priority="3063">
      <formula>Y8&gt;AA8*#REF!</formula>
    </cfRule>
  </conditionalFormatting>
  <conditionalFormatting sqref="Y10:AA10">
    <cfRule type="expression" dxfId="13715" priority="3060">
      <formula>Y10&gt;AA10+#REF!</formula>
    </cfRule>
  </conditionalFormatting>
  <conditionalFormatting sqref="Y10:AA12">
    <cfRule type="expression" dxfId="13714" priority="3066">
      <formula>Y10&lt;AA10-#REF!</formula>
    </cfRule>
  </conditionalFormatting>
  <conditionalFormatting sqref="Y11:AA11">
    <cfRule type="expression" dxfId="13713" priority="3059">
      <formula>Y11&gt;AA11+#REF!</formula>
    </cfRule>
  </conditionalFormatting>
  <conditionalFormatting sqref="Y12:AA12">
    <cfRule type="expression" dxfId="13712" priority="3058">
      <formula>Y12&gt;AA12+#REF!</formula>
    </cfRule>
  </conditionalFormatting>
  <conditionalFormatting sqref="Y13:AA13">
    <cfRule type="expression" dxfId="13711" priority="3057">
      <formula>Y13&gt;AA13+#REF!</formula>
    </cfRule>
  </conditionalFormatting>
  <conditionalFormatting sqref="Y16:AA16">
    <cfRule type="expression" dxfId="13710" priority="3055">
      <formula>Y16&gt;AA16+#REF!</formula>
    </cfRule>
  </conditionalFormatting>
  <conditionalFormatting sqref="Y17:AA17">
    <cfRule type="expression" dxfId="13709" priority="3054">
      <formula>Y17&gt;AA17+#REF!</formula>
    </cfRule>
  </conditionalFormatting>
  <conditionalFormatting sqref="Y23:AA23">
    <cfRule type="expression" dxfId="13708" priority="3061">
      <formula>Y23&gt;AA23*#REF!</formula>
    </cfRule>
  </conditionalFormatting>
  <conditionalFormatting sqref="Y25:AA26">
    <cfRule type="expression" dxfId="13707" priority="3037">
      <formula>Y25&lt;AA25*#REF!</formula>
    </cfRule>
    <cfRule type="expression" dxfId="13706" priority="3038">
      <formula>Y25&gt;AA25*#REF!</formula>
    </cfRule>
  </conditionalFormatting>
  <conditionalFormatting sqref="Y27:AA27">
    <cfRule type="expression" dxfId="13705" priority="3035">
      <formula>Y27&gt;AA27+#REF!</formula>
    </cfRule>
  </conditionalFormatting>
  <conditionalFormatting sqref="Y27:AA29">
    <cfRule type="expression" dxfId="13704" priority="3041">
      <formula>Y27&lt;AA27-#REF!</formula>
    </cfRule>
  </conditionalFormatting>
  <conditionalFormatting sqref="Y28:AA28">
    <cfRule type="expression" dxfId="13703" priority="3034">
      <formula>Y28&gt;AA28+#REF!</formula>
    </cfRule>
  </conditionalFormatting>
  <conditionalFormatting sqref="Y29:AA29">
    <cfRule type="expression" dxfId="13702" priority="3033">
      <formula>Y29&gt;AA29+#REF!</formula>
    </cfRule>
  </conditionalFormatting>
  <conditionalFormatting sqref="Y30:AA30">
    <cfRule type="expression" dxfId="13701" priority="3032">
      <formula>Y30&gt;AA30+#REF!</formula>
    </cfRule>
  </conditionalFormatting>
  <conditionalFormatting sqref="Y33:AA33">
    <cfRule type="expression" dxfId="13700" priority="3030">
      <formula>Y33&gt;AA33+#REF!</formula>
    </cfRule>
  </conditionalFormatting>
  <conditionalFormatting sqref="Y34:AA34">
    <cfRule type="expression" dxfId="13699" priority="3029">
      <formula>Y34&gt;AA34+#REF!</formula>
    </cfRule>
  </conditionalFormatting>
  <conditionalFormatting sqref="Y40:AA40">
    <cfRule type="expression" dxfId="13698" priority="3036">
      <formula>Y40&gt;AA40*#REF!</formula>
    </cfRule>
  </conditionalFormatting>
  <conditionalFormatting sqref="Y42:AA43">
    <cfRule type="expression" dxfId="13697" priority="3012">
      <formula>Y42&lt;AA42*#REF!</formula>
    </cfRule>
    <cfRule type="expression" dxfId="13696" priority="3013">
      <formula>Y42&gt;AA42*#REF!</formula>
    </cfRule>
  </conditionalFormatting>
  <conditionalFormatting sqref="Y44:AA44">
    <cfRule type="expression" dxfId="13695" priority="3010">
      <formula>Y44&gt;AA44+#REF!</formula>
    </cfRule>
  </conditionalFormatting>
  <conditionalFormatting sqref="Y44:AA46">
    <cfRule type="expression" dxfId="13694" priority="3016">
      <formula>Y44&lt;AA44-#REF!</formula>
    </cfRule>
  </conditionalFormatting>
  <conditionalFormatting sqref="Y45:AA45">
    <cfRule type="expression" dxfId="13693" priority="3009">
      <formula>Y45&gt;AA45+#REF!</formula>
    </cfRule>
  </conditionalFormatting>
  <conditionalFormatting sqref="Y46:AA46">
    <cfRule type="expression" dxfId="13692" priority="3008">
      <formula>Y46&gt;AA46+#REF!</formula>
    </cfRule>
  </conditionalFormatting>
  <conditionalFormatting sqref="Y47:AA47">
    <cfRule type="expression" dxfId="13691" priority="3007">
      <formula>Y47&gt;AA47+#REF!</formula>
    </cfRule>
  </conditionalFormatting>
  <conditionalFormatting sqref="Y50:AA50">
    <cfRule type="expression" dxfId="13690" priority="3005">
      <formula>Y50&gt;AA50+#REF!</formula>
    </cfRule>
  </conditionalFormatting>
  <conditionalFormatting sqref="Y51:AA51">
    <cfRule type="expression" dxfId="13689" priority="3004">
      <formula>Y51&gt;AA51+#REF!</formula>
    </cfRule>
  </conditionalFormatting>
  <conditionalFormatting sqref="Y57:AA57">
    <cfRule type="expression" dxfId="13688" priority="3011">
      <formula>Y57&gt;AA57*#REF!</formula>
    </cfRule>
  </conditionalFormatting>
  <conditionalFormatting sqref="Y59:AA60">
    <cfRule type="expression" dxfId="13687" priority="2987">
      <formula>Y59&lt;AA59*#REF!</formula>
    </cfRule>
    <cfRule type="expression" dxfId="13686" priority="2988">
      <formula>Y59&gt;AA59*#REF!</formula>
    </cfRule>
  </conditionalFormatting>
  <conditionalFormatting sqref="Y61:AA61">
    <cfRule type="expression" dxfId="13685" priority="2985">
      <formula>Y61&gt;AA61+#REF!</formula>
    </cfRule>
  </conditionalFormatting>
  <conditionalFormatting sqref="Y61:AA63">
    <cfRule type="expression" dxfId="13684" priority="2991">
      <formula>Y61&lt;AA61-#REF!</formula>
    </cfRule>
  </conditionalFormatting>
  <conditionalFormatting sqref="Y62:AA62">
    <cfRule type="expression" dxfId="13683" priority="2984">
      <formula>Y62&gt;AA62+#REF!</formula>
    </cfRule>
  </conditionalFormatting>
  <conditionalFormatting sqref="Y63:AA63">
    <cfRule type="expression" dxfId="13682" priority="2983">
      <formula>Y63&gt;AA63+#REF!</formula>
    </cfRule>
  </conditionalFormatting>
  <conditionalFormatting sqref="Y64:AA64">
    <cfRule type="expression" dxfId="13681" priority="2982">
      <formula>Y64&gt;AA64+#REF!</formula>
    </cfRule>
  </conditionalFormatting>
  <conditionalFormatting sqref="Y67:AA67">
    <cfRule type="expression" dxfId="13680" priority="2980">
      <formula>Y67&gt;AA67+#REF!</formula>
    </cfRule>
  </conditionalFormatting>
  <conditionalFormatting sqref="Y68:AA68">
    <cfRule type="expression" dxfId="13679" priority="2979">
      <formula>Y68&gt;AA68+#REF!</formula>
    </cfRule>
  </conditionalFormatting>
  <conditionalFormatting sqref="Y74:AA74">
    <cfRule type="expression" dxfId="13678" priority="2986">
      <formula>Y74&gt;AA74*#REF!</formula>
    </cfRule>
  </conditionalFormatting>
  <conditionalFormatting sqref="Y76:AA77">
    <cfRule type="expression" dxfId="13677" priority="2962">
      <formula>Y76&lt;AA76*#REF!</formula>
    </cfRule>
    <cfRule type="expression" dxfId="13676" priority="2963">
      <formula>Y76&gt;AA76*#REF!</formula>
    </cfRule>
  </conditionalFormatting>
  <conditionalFormatting sqref="Y78:AA78">
    <cfRule type="expression" dxfId="13675" priority="2960">
      <formula>Y78&gt;AA78+#REF!</formula>
    </cfRule>
  </conditionalFormatting>
  <conditionalFormatting sqref="Y78:AA80">
    <cfRule type="expression" dxfId="13674" priority="2966">
      <formula>Y78&lt;AA78-#REF!</formula>
    </cfRule>
  </conditionalFormatting>
  <conditionalFormatting sqref="Y79:AA79">
    <cfRule type="expression" dxfId="13673" priority="2959">
      <formula>Y79&gt;AA79+#REF!</formula>
    </cfRule>
  </conditionalFormatting>
  <conditionalFormatting sqref="Y80:AA80">
    <cfRule type="expression" dxfId="13672" priority="2958">
      <formula>Y80&gt;AA80+#REF!</formula>
    </cfRule>
  </conditionalFormatting>
  <conditionalFormatting sqref="Y81:AA81">
    <cfRule type="expression" dxfId="13671" priority="2957">
      <formula>Y81&gt;AA81+#REF!</formula>
    </cfRule>
  </conditionalFormatting>
  <conditionalFormatting sqref="Y84:AA84">
    <cfRule type="expression" dxfId="13670" priority="2955">
      <formula>Y84&gt;AA84+#REF!</formula>
    </cfRule>
  </conditionalFormatting>
  <conditionalFormatting sqref="Y85:AA85">
    <cfRule type="expression" dxfId="13669" priority="2954">
      <formula>Y85&gt;AA85+#REF!</formula>
    </cfRule>
  </conditionalFormatting>
  <conditionalFormatting sqref="Y91:AA91">
    <cfRule type="expression" dxfId="13668" priority="2961">
      <formula>Y91&gt;AA91*#REF!</formula>
    </cfRule>
  </conditionalFormatting>
  <conditionalFormatting sqref="Y93:AA94">
    <cfRule type="expression" dxfId="13667" priority="2937">
      <formula>Y93&lt;AA93*#REF!</formula>
    </cfRule>
    <cfRule type="expression" dxfId="13666" priority="2938">
      <formula>Y93&gt;AA93*#REF!</formula>
    </cfRule>
  </conditionalFormatting>
  <conditionalFormatting sqref="Y95:AA95">
    <cfRule type="expression" dxfId="13665" priority="2935">
      <formula>Y95&gt;AA95+#REF!</formula>
    </cfRule>
  </conditionalFormatting>
  <conditionalFormatting sqref="Y95:AA97">
    <cfRule type="expression" dxfId="13664" priority="2941">
      <formula>Y95&lt;AA95-#REF!</formula>
    </cfRule>
  </conditionalFormatting>
  <conditionalFormatting sqref="Y96:AA96">
    <cfRule type="expression" dxfId="13663" priority="2934">
      <formula>Y96&gt;AA96+#REF!</formula>
    </cfRule>
  </conditionalFormatting>
  <conditionalFormatting sqref="Y97:AA97">
    <cfRule type="expression" dxfId="13662" priority="2933">
      <formula>Y97&gt;AA97+#REF!</formula>
    </cfRule>
  </conditionalFormatting>
  <conditionalFormatting sqref="Y98:AA98">
    <cfRule type="expression" dxfId="13661" priority="2932">
      <formula>Y98&gt;AA98+#REF!</formula>
    </cfRule>
  </conditionalFormatting>
  <conditionalFormatting sqref="Y101:AA101">
    <cfRule type="expression" dxfId="13660" priority="2930">
      <formula>Y101&gt;AA101+#REF!</formula>
    </cfRule>
  </conditionalFormatting>
  <conditionalFormatting sqref="Y102:AA102">
    <cfRule type="expression" dxfId="13659" priority="2929">
      <formula>Y102&gt;AA102+#REF!</formula>
    </cfRule>
  </conditionalFormatting>
  <conditionalFormatting sqref="Y108:AA108">
    <cfRule type="expression" dxfId="13658" priority="2936">
      <formula>Y108&gt;AA108*#REF!</formula>
    </cfRule>
  </conditionalFormatting>
  <conditionalFormatting sqref="Y110:AA111">
    <cfRule type="expression" dxfId="13657" priority="2912">
      <formula>Y110&lt;AA110*#REF!</formula>
    </cfRule>
    <cfRule type="expression" dxfId="13656" priority="2913">
      <formula>Y110&gt;AA110*#REF!</formula>
    </cfRule>
  </conditionalFormatting>
  <conditionalFormatting sqref="Y112:AA112">
    <cfRule type="expression" dxfId="13655" priority="2910">
      <formula>Y112&gt;AA112+#REF!</formula>
    </cfRule>
  </conditionalFormatting>
  <conditionalFormatting sqref="Y112:AA114">
    <cfRule type="expression" dxfId="13654" priority="2916">
      <formula>Y112&lt;AA112-#REF!</formula>
    </cfRule>
  </conditionalFormatting>
  <conditionalFormatting sqref="Y113:AA113">
    <cfRule type="expression" dxfId="13653" priority="2909">
      <formula>Y113&gt;AA113+#REF!</formula>
    </cfRule>
  </conditionalFormatting>
  <conditionalFormatting sqref="Y114:AA114">
    <cfRule type="expression" dxfId="13652" priority="2908">
      <formula>Y114&gt;AA114+#REF!</formula>
    </cfRule>
  </conditionalFormatting>
  <conditionalFormatting sqref="Y115:AA115">
    <cfRule type="expression" dxfId="13651" priority="2907">
      <formula>Y115&gt;AA115+#REF!</formula>
    </cfRule>
  </conditionalFormatting>
  <conditionalFormatting sqref="Y118:AA118">
    <cfRule type="expression" dxfId="13650" priority="2905">
      <formula>Y118&gt;AA118+#REF!</formula>
    </cfRule>
  </conditionalFormatting>
  <conditionalFormatting sqref="Y119:AA119">
    <cfRule type="expression" dxfId="13649" priority="2904">
      <formula>Y119&gt;AA119+#REF!</formula>
    </cfRule>
  </conditionalFormatting>
  <conditionalFormatting sqref="Y125:AA125">
    <cfRule type="expression" dxfId="13648" priority="2911">
      <formula>Y125&gt;AA125*#REF!</formula>
    </cfRule>
  </conditionalFormatting>
  <conditionalFormatting sqref="Y161:AA162">
    <cfRule type="expression" dxfId="13647" priority="2887">
      <formula>Y161&lt;AA161*#REF!</formula>
    </cfRule>
    <cfRule type="expression" dxfId="13646" priority="2888">
      <formula>Y161&gt;AA161*#REF!</formula>
    </cfRule>
  </conditionalFormatting>
  <conditionalFormatting sqref="Y163:AA163">
    <cfRule type="expression" dxfId="13645" priority="2885">
      <formula>Y163&gt;AA163+#REF!</formula>
    </cfRule>
  </conditionalFormatting>
  <conditionalFormatting sqref="Y163:AA165">
    <cfRule type="expression" dxfId="13644" priority="2891">
      <formula>Y163&lt;AA163-#REF!</formula>
    </cfRule>
  </conditionalFormatting>
  <conditionalFormatting sqref="Y164:AA164">
    <cfRule type="expression" dxfId="13643" priority="2884">
      <formula>Y164&gt;AA164+#REF!</formula>
    </cfRule>
  </conditionalFormatting>
  <conditionalFormatting sqref="Y165:AA165">
    <cfRule type="expression" dxfId="13642" priority="2883">
      <formula>Y165&gt;AA165+#REF!</formula>
    </cfRule>
  </conditionalFormatting>
  <conditionalFormatting sqref="Y166:AA166">
    <cfRule type="expression" dxfId="13641" priority="2882">
      <formula>Y166&gt;AA166+#REF!</formula>
    </cfRule>
  </conditionalFormatting>
  <conditionalFormatting sqref="Y169:AA169">
    <cfRule type="expression" dxfId="13640" priority="2880">
      <formula>Y169&gt;AA169+#REF!</formula>
    </cfRule>
  </conditionalFormatting>
  <conditionalFormatting sqref="Y170:AA170">
    <cfRule type="expression" dxfId="13639" priority="2879">
      <formula>Y170&gt;AA170+#REF!</formula>
    </cfRule>
  </conditionalFormatting>
  <conditionalFormatting sqref="Y176:AA176">
    <cfRule type="expression" dxfId="13638" priority="2886">
      <formula>Y176&gt;AA176*#REF!</formula>
    </cfRule>
  </conditionalFormatting>
  <conditionalFormatting sqref="Y178:AA179">
    <cfRule type="expression" dxfId="13637" priority="2862">
      <formula>Y178&lt;AA178*#REF!</formula>
    </cfRule>
    <cfRule type="expression" dxfId="13636" priority="2863">
      <formula>Y178&gt;AA178*#REF!</formula>
    </cfRule>
  </conditionalFormatting>
  <conditionalFormatting sqref="Y180:AA180">
    <cfRule type="expression" dxfId="13635" priority="2860">
      <formula>Y180&gt;AA180+#REF!</formula>
    </cfRule>
  </conditionalFormatting>
  <conditionalFormatting sqref="Y180:AA182">
    <cfRule type="expression" dxfId="13634" priority="2866">
      <formula>Y180&lt;AA180-#REF!</formula>
    </cfRule>
  </conditionalFormatting>
  <conditionalFormatting sqref="Y181:AA181">
    <cfRule type="expression" dxfId="13633" priority="2859">
      <formula>Y181&gt;AA181+#REF!</formula>
    </cfRule>
  </conditionalFormatting>
  <conditionalFormatting sqref="Y182:AA182">
    <cfRule type="expression" dxfId="13632" priority="2858">
      <formula>Y182&gt;AA182+#REF!</formula>
    </cfRule>
  </conditionalFormatting>
  <conditionalFormatting sqref="Y183:AA183">
    <cfRule type="expression" dxfId="13631" priority="2857">
      <formula>Y183&gt;AA183+#REF!</formula>
    </cfRule>
  </conditionalFormatting>
  <conditionalFormatting sqref="Y186:AA186">
    <cfRule type="expression" dxfId="13630" priority="2855">
      <formula>Y186&gt;AA186+#REF!</formula>
    </cfRule>
  </conditionalFormatting>
  <conditionalFormatting sqref="Y187:AA187">
    <cfRule type="expression" dxfId="13629" priority="2854">
      <formula>Y187&gt;AA187+#REF!</formula>
    </cfRule>
  </conditionalFormatting>
  <conditionalFormatting sqref="Y193:AA193">
    <cfRule type="expression" dxfId="13628" priority="2861">
      <formula>Y193&gt;AA193*#REF!</formula>
    </cfRule>
  </conditionalFormatting>
  <conditionalFormatting sqref="Y195:AA196">
    <cfRule type="expression" dxfId="13627" priority="2837">
      <formula>Y195&lt;AA195*#REF!</formula>
    </cfRule>
    <cfRule type="expression" dxfId="13626" priority="2838">
      <formula>Y195&gt;AA195*#REF!</formula>
    </cfRule>
  </conditionalFormatting>
  <conditionalFormatting sqref="Y197:AA197">
    <cfRule type="expression" dxfId="13625" priority="2835">
      <formula>Y197&gt;AA197+#REF!</formula>
    </cfRule>
  </conditionalFormatting>
  <conditionalFormatting sqref="Y197:AA199">
    <cfRule type="expression" dxfId="13624" priority="2841">
      <formula>Y197&lt;AA197-#REF!</formula>
    </cfRule>
  </conditionalFormatting>
  <conditionalFormatting sqref="Y198:AA198">
    <cfRule type="expression" dxfId="13623" priority="2834">
      <formula>Y198&gt;AA198+#REF!</formula>
    </cfRule>
  </conditionalFormatting>
  <conditionalFormatting sqref="Y199:AA199">
    <cfRule type="expression" dxfId="13622" priority="2833">
      <formula>Y199&gt;AA199+#REF!</formula>
    </cfRule>
  </conditionalFormatting>
  <conditionalFormatting sqref="Y200:AA200">
    <cfRule type="expression" dxfId="13621" priority="2832">
      <formula>Y200&gt;AA200+#REF!</formula>
    </cfRule>
  </conditionalFormatting>
  <conditionalFormatting sqref="Y203:AA203">
    <cfRule type="expression" dxfId="13620" priority="2830">
      <formula>Y203&gt;AA203+#REF!</formula>
    </cfRule>
  </conditionalFormatting>
  <conditionalFormatting sqref="Y204:AA204">
    <cfRule type="expression" dxfId="13619" priority="2829">
      <formula>Y204&gt;AA204+#REF!</formula>
    </cfRule>
  </conditionalFormatting>
  <conditionalFormatting sqref="Y210:AA210">
    <cfRule type="expression" dxfId="13618" priority="2836">
      <formula>Y210&gt;AA210*#REF!</formula>
    </cfRule>
  </conditionalFormatting>
  <conditionalFormatting sqref="Y212:AA213">
    <cfRule type="expression" dxfId="13617" priority="2812">
      <formula>Y212&lt;AA212*#REF!</formula>
    </cfRule>
    <cfRule type="expression" dxfId="13616" priority="2813">
      <formula>Y212&gt;AA212*#REF!</formula>
    </cfRule>
  </conditionalFormatting>
  <conditionalFormatting sqref="Y214:AA214">
    <cfRule type="expression" dxfId="13615" priority="2810">
      <formula>Y214&gt;AA214+#REF!</formula>
    </cfRule>
  </conditionalFormatting>
  <conditionalFormatting sqref="Y214:AA216">
    <cfRule type="expression" dxfId="13614" priority="2816">
      <formula>Y214&lt;AA214-#REF!</formula>
    </cfRule>
  </conditionalFormatting>
  <conditionalFormatting sqref="Y215:AA215">
    <cfRule type="expression" dxfId="13613" priority="2809">
      <formula>Y215&gt;AA215+#REF!</formula>
    </cfRule>
  </conditionalFormatting>
  <conditionalFormatting sqref="Y216:AA216">
    <cfRule type="expression" dxfId="13612" priority="2808">
      <formula>Y216&gt;AA216+#REF!</formula>
    </cfRule>
  </conditionalFormatting>
  <conditionalFormatting sqref="Y217:AA217">
    <cfRule type="expression" dxfId="13611" priority="2807">
      <formula>Y217&gt;AA217+#REF!</formula>
    </cfRule>
  </conditionalFormatting>
  <conditionalFormatting sqref="Y220:AA220">
    <cfRule type="expression" dxfId="13610" priority="2805">
      <formula>Y220&gt;AA220+#REF!</formula>
    </cfRule>
  </conditionalFormatting>
  <conditionalFormatting sqref="Y221:AA221">
    <cfRule type="expression" dxfId="13609" priority="2804">
      <formula>Y221&gt;AA221+#REF!</formula>
    </cfRule>
  </conditionalFormatting>
  <conditionalFormatting sqref="Y227:AA227">
    <cfRule type="expression" dxfId="13608" priority="2811">
      <formula>Y227&gt;AA227*#REF!</formula>
    </cfRule>
  </conditionalFormatting>
  <conditionalFormatting sqref="Y229:AA230">
    <cfRule type="expression" dxfId="13607" priority="2787">
      <formula>Y229&lt;AA229*#REF!</formula>
    </cfRule>
    <cfRule type="expression" dxfId="13606" priority="2788">
      <formula>Y229&gt;AA229*#REF!</formula>
    </cfRule>
  </conditionalFormatting>
  <conditionalFormatting sqref="Y231:AA231">
    <cfRule type="expression" dxfId="13605" priority="2785">
      <formula>Y231&gt;AA231+#REF!</formula>
    </cfRule>
  </conditionalFormatting>
  <conditionalFormatting sqref="Y231:AA233">
    <cfRule type="expression" dxfId="13604" priority="2791">
      <formula>Y231&lt;AA231-#REF!</formula>
    </cfRule>
  </conditionalFormatting>
  <conditionalFormatting sqref="Y232:AA232">
    <cfRule type="expression" dxfId="13603" priority="2784">
      <formula>Y232&gt;AA232+#REF!</formula>
    </cfRule>
  </conditionalFormatting>
  <conditionalFormatting sqref="Y233:AA233">
    <cfRule type="expression" dxfId="13602" priority="2783">
      <formula>Y233&gt;AA233+#REF!</formula>
    </cfRule>
  </conditionalFormatting>
  <conditionalFormatting sqref="Y234:AA234">
    <cfRule type="expression" dxfId="13601" priority="2782">
      <formula>Y234&gt;AA234+#REF!</formula>
    </cfRule>
  </conditionalFormatting>
  <conditionalFormatting sqref="Y237:AA237">
    <cfRule type="expression" dxfId="13600" priority="2780">
      <formula>Y237&gt;AA237+#REF!</formula>
    </cfRule>
  </conditionalFormatting>
  <conditionalFormatting sqref="Y238:AA238">
    <cfRule type="expression" dxfId="13599" priority="2779">
      <formula>Y238&gt;AA238+#REF!</formula>
    </cfRule>
  </conditionalFormatting>
  <conditionalFormatting sqref="Y244:AA244">
    <cfRule type="expression" dxfId="13598" priority="2786">
      <formula>Y244&gt;AA244*#REF!</formula>
    </cfRule>
  </conditionalFormatting>
  <conditionalFormatting sqref="Y246:AA247">
    <cfRule type="expression" dxfId="13597" priority="2738">
      <formula>Y246&lt;AA246*#REF!</formula>
    </cfRule>
    <cfRule type="expression" dxfId="13596" priority="2739">
      <formula>Y246&gt;AA246*#REF!</formula>
    </cfRule>
  </conditionalFormatting>
  <conditionalFormatting sqref="Y248:AA248">
    <cfRule type="expression" dxfId="13595" priority="2736">
      <formula>Y248&gt;AA248+#REF!</formula>
    </cfRule>
  </conditionalFormatting>
  <conditionalFormatting sqref="Y248:AA250">
    <cfRule type="expression" dxfId="13594" priority="2741">
      <formula>Y248&lt;AA248-#REF!</formula>
    </cfRule>
  </conditionalFormatting>
  <conditionalFormatting sqref="Y249:AA249">
    <cfRule type="expression" dxfId="13593" priority="2735">
      <formula>Y249&gt;AA249+#REF!</formula>
    </cfRule>
  </conditionalFormatting>
  <conditionalFormatting sqref="Y250:AA250">
    <cfRule type="expression" dxfId="13592" priority="2734">
      <formula>Y250&gt;AA250+#REF!</formula>
    </cfRule>
  </conditionalFormatting>
  <conditionalFormatting sqref="Y251:AA251">
    <cfRule type="expression" dxfId="13591" priority="2733">
      <formula>Y251&gt;AA251+#REF!</formula>
    </cfRule>
  </conditionalFormatting>
  <conditionalFormatting sqref="Y254:AA254">
    <cfRule type="expression" dxfId="13590" priority="2731">
      <formula>Y254&gt;AA254+#REF!</formula>
    </cfRule>
  </conditionalFormatting>
  <conditionalFormatting sqref="Y255:AA255">
    <cfRule type="expression" dxfId="13589" priority="2730">
      <formula>Y255&gt;AA255+#REF!</formula>
    </cfRule>
  </conditionalFormatting>
  <conditionalFormatting sqref="Y261:AA261">
    <cfRule type="expression" dxfId="13588" priority="2737">
      <formula>Y261&gt;AA261*#REF!</formula>
    </cfRule>
  </conditionalFormatting>
  <conditionalFormatting sqref="Y263:AA264">
    <cfRule type="expression" dxfId="13587" priority="2607">
      <formula>Y263&lt;AA263*#REF!</formula>
    </cfRule>
    <cfRule type="expression" dxfId="13586" priority="2608">
      <formula>Y263&gt;AA263*#REF!</formula>
    </cfRule>
  </conditionalFormatting>
  <conditionalFormatting sqref="Y265:AA265">
    <cfRule type="expression" dxfId="13585" priority="2605">
      <formula>Y265&gt;AA265+#REF!</formula>
    </cfRule>
  </conditionalFormatting>
  <conditionalFormatting sqref="Y265:AA267">
    <cfRule type="expression" dxfId="13584" priority="2611">
      <formula>Y265&lt;AA265-#REF!</formula>
    </cfRule>
  </conditionalFormatting>
  <conditionalFormatting sqref="Y266:AA266">
    <cfRule type="expression" dxfId="13583" priority="2604">
      <formula>Y266&gt;AA266+#REF!</formula>
    </cfRule>
  </conditionalFormatting>
  <conditionalFormatting sqref="Y267:AA267">
    <cfRule type="expression" dxfId="13582" priority="2603">
      <formula>Y267&gt;AA267+#REF!</formula>
    </cfRule>
  </conditionalFormatting>
  <conditionalFormatting sqref="Y268:AA268">
    <cfRule type="expression" dxfId="13581" priority="2602">
      <formula>Y268&gt;AA268+#REF!</formula>
    </cfRule>
  </conditionalFormatting>
  <conditionalFormatting sqref="Y271:AA271">
    <cfRule type="expression" dxfId="13580" priority="2600">
      <formula>Y271&gt;AA271+#REF!</formula>
    </cfRule>
  </conditionalFormatting>
  <conditionalFormatting sqref="Y272:AA272">
    <cfRule type="expression" dxfId="13579" priority="2599">
      <formula>Y272&gt;AA272+#REF!</formula>
    </cfRule>
  </conditionalFormatting>
  <conditionalFormatting sqref="Y278:AA278">
    <cfRule type="expression" dxfId="13578" priority="2606">
      <formula>Y278&gt;AA278*#REF!</formula>
    </cfRule>
  </conditionalFormatting>
  <conditionalFormatting sqref="Y280:AA281">
    <cfRule type="expression" dxfId="13577" priority="2712">
      <formula>Y280&lt;AA280*#REF!</formula>
    </cfRule>
    <cfRule type="expression" dxfId="13576" priority="2713">
      <formula>Y280&gt;AA280*#REF!</formula>
    </cfRule>
  </conditionalFormatting>
  <conditionalFormatting sqref="Y282:AA282">
    <cfRule type="expression" dxfId="13575" priority="2710">
      <formula>Y282&gt;AA282+#REF!</formula>
    </cfRule>
  </conditionalFormatting>
  <conditionalFormatting sqref="Y282:AA284">
    <cfRule type="expression" dxfId="13574" priority="2715">
      <formula>Y282&lt;AA282-#REF!</formula>
    </cfRule>
  </conditionalFormatting>
  <conditionalFormatting sqref="Y283:AA283">
    <cfRule type="expression" dxfId="13573" priority="2709">
      <formula>Y283&gt;AA283+#REF!</formula>
    </cfRule>
  </conditionalFormatting>
  <conditionalFormatting sqref="Y284:AA284">
    <cfRule type="expression" dxfId="13572" priority="2708">
      <formula>Y284&gt;AA284+#REF!</formula>
    </cfRule>
  </conditionalFormatting>
  <conditionalFormatting sqref="Y285:AA285">
    <cfRule type="expression" dxfId="13571" priority="2707">
      <formula>Y285&gt;AA285+#REF!</formula>
    </cfRule>
  </conditionalFormatting>
  <conditionalFormatting sqref="Y288:AA288">
    <cfRule type="expression" dxfId="13570" priority="2705">
      <formula>Y288&gt;AA288+#REF!</formula>
    </cfRule>
  </conditionalFormatting>
  <conditionalFormatting sqref="Y289:AA289">
    <cfRule type="expression" dxfId="13569" priority="2704">
      <formula>Y289&gt;AA289+#REF!</formula>
    </cfRule>
  </conditionalFormatting>
  <conditionalFormatting sqref="Y295:AA295">
    <cfRule type="expression" dxfId="13568" priority="2711">
      <formula>Y295&gt;AA295*#REF!</formula>
    </cfRule>
  </conditionalFormatting>
  <conditionalFormatting sqref="Y297:AA298">
    <cfRule type="expression" dxfId="13567" priority="2686">
      <formula>Y297&lt;AA297*#REF!</formula>
    </cfRule>
    <cfRule type="expression" dxfId="13566" priority="2687">
      <formula>Y297&gt;AA297*#REF!</formula>
    </cfRule>
  </conditionalFormatting>
  <conditionalFormatting sqref="Y299:AA299">
    <cfRule type="expression" dxfId="13565" priority="2684">
      <formula>Y299&gt;AA299+#REF!</formula>
    </cfRule>
  </conditionalFormatting>
  <conditionalFormatting sqref="Y299:AA301">
    <cfRule type="expression" dxfId="13564" priority="2689">
      <formula>Y299&lt;AA299-#REF!</formula>
    </cfRule>
  </conditionalFormatting>
  <conditionalFormatting sqref="Y300:AA300">
    <cfRule type="expression" dxfId="13563" priority="2683">
      <formula>Y300&gt;AA300+#REF!</formula>
    </cfRule>
  </conditionalFormatting>
  <conditionalFormatting sqref="Y301:AA301">
    <cfRule type="expression" dxfId="13562" priority="2682">
      <formula>Y301&gt;AA301+#REF!</formula>
    </cfRule>
  </conditionalFormatting>
  <conditionalFormatting sqref="Y302:AA302">
    <cfRule type="expression" dxfId="13561" priority="2681">
      <formula>Y302&gt;AA302+#REF!</formula>
    </cfRule>
  </conditionalFormatting>
  <conditionalFormatting sqref="Y305:AA305">
    <cfRule type="expression" dxfId="13560" priority="2679">
      <formula>Y305&gt;AA305+#REF!</formula>
    </cfRule>
  </conditionalFormatting>
  <conditionalFormatting sqref="Y306:AA306">
    <cfRule type="expression" dxfId="13559" priority="2678">
      <formula>Y306&gt;AA306+#REF!</formula>
    </cfRule>
  </conditionalFormatting>
  <conditionalFormatting sqref="Y312:AA312">
    <cfRule type="expression" dxfId="13558" priority="2685">
      <formula>Y312&gt;AA312*#REF!</formula>
    </cfRule>
  </conditionalFormatting>
  <conditionalFormatting sqref="Y314:AA315">
    <cfRule type="expression" dxfId="13557" priority="2660">
      <formula>Y314&lt;AA314*#REF!</formula>
    </cfRule>
    <cfRule type="expression" dxfId="13556" priority="2661">
      <formula>Y314&gt;AA314*#REF!</formula>
    </cfRule>
  </conditionalFormatting>
  <conditionalFormatting sqref="Y316:AA316">
    <cfRule type="expression" dxfId="13555" priority="2658">
      <formula>Y316&gt;AA316+#REF!</formula>
    </cfRule>
  </conditionalFormatting>
  <conditionalFormatting sqref="Y316:AA318">
    <cfRule type="expression" dxfId="13554" priority="2663">
      <formula>Y316&lt;AA316-#REF!</formula>
    </cfRule>
  </conditionalFormatting>
  <conditionalFormatting sqref="Y317:AA317">
    <cfRule type="expression" dxfId="13553" priority="2657">
      <formula>Y317&gt;AA317+#REF!</formula>
    </cfRule>
  </conditionalFormatting>
  <conditionalFormatting sqref="Y318:AA318">
    <cfRule type="expression" dxfId="13552" priority="2656">
      <formula>Y318&gt;AA318+#REF!</formula>
    </cfRule>
  </conditionalFormatting>
  <conditionalFormatting sqref="Y319:AA319">
    <cfRule type="expression" dxfId="13551" priority="2655">
      <formula>Y319&gt;AA319+#REF!</formula>
    </cfRule>
  </conditionalFormatting>
  <conditionalFormatting sqref="Y322:AA322">
    <cfRule type="expression" dxfId="13550" priority="2653">
      <formula>Y322&gt;AA322+#REF!</formula>
    </cfRule>
  </conditionalFormatting>
  <conditionalFormatting sqref="Y323:AA323">
    <cfRule type="expression" dxfId="13549" priority="2652">
      <formula>Y323&gt;AA323+#REF!</formula>
    </cfRule>
  </conditionalFormatting>
  <conditionalFormatting sqref="Y329:AA329">
    <cfRule type="expression" dxfId="13548" priority="2659">
      <formula>Y329&gt;AA329*#REF!</formula>
    </cfRule>
  </conditionalFormatting>
  <conditionalFormatting sqref="Y331:AA332">
    <cfRule type="expression" dxfId="13547" priority="2634">
      <formula>Y331&lt;AA331*#REF!</formula>
    </cfRule>
    <cfRule type="expression" dxfId="13546" priority="2635">
      <formula>Y331&gt;AA331*#REF!</formula>
    </cfRule>
  </conditionalFormatting>
  <conditionalFormatting sqref="Y333:AA333">
    <cfRule type="expression" dxfId="13545" priority="2632">
      <formula>Y333&gt;AA333+#REF!</formula>
    </cfRule>
  </conditionalFormatting>
  <conditionalFormatting sqref="Y333:AA335">
    <cfRule type="expression" dxfId="13544" priority="2637">
      <formula>Y333&lt;AA333-#REF!</formula>
    </cfRule>
  </conditionalFormatting>
  <conditionalFormatting sqref="Y334:AA334">
    <cfRule type="expression" dxfId="13543" priority="2631">
      <formula>Y334&gt;AA334+#REF!</formula>
    </cfRule>
  </conditionalFormatting>
  <conditionalFormatting sqref="Y335:AA335">
    <cfRule type="expression" dxfId="13542" priority="2630">
      <formula>Y335&gt;AA335+#REF!</formula>
    </cfRule>
  </conditionalFormatting>
  <conditionalFormatting sqref="Y336:AA336">
    <cfRule type="expression" dxfId="13541" priority="2629">
      <formula>Y336&gt;AA336+#REF!</formula>
    </cfRule>
  </conditionalFormatting>
  <conditionalFormatting sqref="Y339:AA339">
    <cfRule type="expression" dxfId="13540" priority="2627">
      <formula>Y339&gt;AA339+#REF!</formula>
    </cfRule>
  </conditionalFormatting>
  <conditionalFormatting sqref="Y340:AA340">
    <cfRule type="expression" dxfId="13539" priority="2626">
      <formula>Y340&gt;AA340+#REF!</formula>
    </cfRule>
  </conditionalFormatting>
  <conditionalFormatting sqref="Y346:AA346">
    <cfRule type="expression" dxfId="13538" priority="2633">
      <formula>Y346&gt;AA346*#REF!</formula>
    </cfRule>
  </conditionalFormatting>
  <conditionalFormatting sqref="Y348:AA349">
    <cfRule type="expression" dxfId="13537" priority="2762">
      <formula>Y348&lt;AA348*#REF!</formula>
    </cfRule>
    <cfRule type="expression" dxfId="13536" priority="2763">
      <formula>Y348&gt;AA348*#REF!</formula>
    </cfRule>
  </conditionalFormatting>
  <conditionalFormatting sqref="Y350:AA350">
    <cfRule type="expression" dxfId="13535" priority="2760">
      <formula>Y350&gt;AA350+#REF!</formula>
    </cfRule>
  </conditionalFormatting>
  <conditionalFormatting sqref="Y350:AA352">
    <cfRule type="expression" dxfId="13534" priority="2766">
      <formula>Y350&lt;AA350-#REF!</formula>
    </cfRule>
  </conditionalFormatting>
  <conditionalFormatting sqref="Y351:AA351">
    <cfRule type="expression" dxfId="13533" priority="2759">
      <formula>Y351&gt;AA351+#REF!</formula>
    </cfRule>
  </conditionalFormatting>
  <conditionalFormatting sqref="Y352:AA352">
    <cfRule type="expression" dxfId="13532" priority="2758">
      <formula>Y352&gt;AA352+#REF!</formula>
    </cfRule>
  </conditionalFormatting>
  <conditionalFormatting sqref="Y353:AA353">
    <cfRule type="expression" dxfId="13531" priority="2757">
      <formula>Y353&gt;AA353+#REF!</formula>
    </cfRule>
  </conditionalFormatting>
  <conditionalFormatting sqref="Y356:AA356">
    <cfRule type="expression" dxfId="13530" priority="2755">
      <formula>Y356&gt;AA356+#REF!</formula>
    </cfRule>
  </conditionalFormatting>
  <conditionalFormatting sqref="Y357:AA357">
    <cfRule type="expression" dxfId="13529" priority="2754">
      <formula>Y357&gt;AA357+#REF!</formula>
    </cfRule>
  </conditionalFormatting>
  <conditionalFormatting sqref="Y363:AA363">
    <cfRule type="expression" dxfId="13528" priority="2761">
      <formula>Y363&gt;AA363*#REF!</formula>
    </cfRule>
  </conditionalFormatting>
  <conditionalFormatting sqref="Z14:Z15">
    <cfRule type="expression" dxfId="13527" priority="3050">
      <formula>Z14&gt;AB14+#REF!</formula>
    </cfRule>
    <cfRule type="expression" dxfId="13526" priority="3051">
      <formula>Z14&lt;AB14-#REF!</formula>
    </cfRule>
  </conditionalFormatting>
  <conditionalFormatting sqref="Z18:Z19">
    <cfRule type="expression" dxfId="13525" priority="3048">
      <formula>Z18&gt;AB18+#REF!</formula>
    </cfRule>
  </conditionalFormatting>
  <conditionalFormatting sqref="Z18:Z22">
    <cfRule type="expression" dxfId="13524" priority="3049">
      <formula>Z18&lt;AB18-#REF!</formula>
    </cfRule>
  </conditionalFormatting>
  <conditionalFormatting sqref="Z20:Z22">
    <cfRule type="expression" dxfId="13523" priority="3047">
      <formula>Z20&gt;AB20+#REF!</formula>
    </cfRule>
  </conditionalFormatting>
  <conditionalFormatting sqref="Z31:Z32">
    <cfRule type="expression" dxfId="13522" priority="3025">
      <formula>Z31&gt;AB31+#REF!</formula>
    </cfRule>
    <cfRule type="expression" dxfId="13521" priority="3026">
      <formula>Z31&lt;AB31-#REF!</formula>
    </cfRule>
  </conditionalFormatting>
  <conditionalFormatting sqref="Z35:Z36">
    <cfRule type="expression" dxfId="13520" priority="3023">
      <formula>Z35&gt;AB35+#REF!</formula>
    </cfRule>
  </conditionalFormatting>
  <conditionalFormatting sqref="Z35:Z39">
    <cfRule type="expression" dxfId="13519" priority="3024">
      <formula>Z35&lt;AB35-#REF!</formula>
    </cfRule>
  </conditionalFormatting>
  <conditionalFormatting sqref="Z37:Z39">
    <cfRule type="expression" dxfId="13518" priority="3022">
      <formula>Z37&gt;AB37+#REF!</formula>
    </cfRule>
  </conditionalFormatting>
  <conditionalFormatting sqref="Z48:Z49">
    <cfRule type="expression" dxfId="13517" priority="3000">
      <formula>Z48&gt;AB48+#REF!</formula>
    </cfRule>
    <cfRule type="expression" dxfId="13516" priority="3001">
      <formula>Z48&lt;AB48-#REF!</formula>
    </cfRule>
  </conditionalFormatting>
  <conditionalFormatting sqref="Z52:Z53">
    <cfRule type="expression" dxfId="13515" priority="2998">
      <formula>Z52&gt;AB52+#REF!</formula>
    </cfRule>
  </conditionalFormatting>
  <conditionalFormatting sqref="Z52:Z56">
    <cfRule type="expression" dxfId="13514" priority="2999">
      <formula>Z52&lt;AB52-#REF!</formula>
    </cfRule>
  </conditionalFormatting>
  <conditionalFormatting sqref="Z54:Z56">
    <cfRule type="expression" dxfId="13513" priority="2997">
      <formula>Z54&gt;AB54+#REF!</formula>
    </cfRule>
  </conditionalFormatting>
  <conditionalFormatting sqref="Z65:Z66">
    <cfRule type="expression" dxfId="13512" priority="2975">
      <formula>Z65&gt;AB65+#REF!</formula>
    </cfRule>
    <cfRule type="expression" dxfId="13511" priority="2976">
      <formula>Z65&lt;AB65-#REF!</formula>
    </cfRule>
  </conditionalFormatting>
  <conditionalFormatting sqref="Z69:Z70">
    <cfRule type="expression" dxfId="13510" priority="2973">
      <formula>Z69&gt;AB69+#REF!</formula>
    </cfRule>
  </conditionalFormatting>
  <conditionalFormatting sqref="Z69:Z73">
    <cfRule type="expression" dxfId="13509" priority="2974">
      <formula>Z69&lt;AB69-#REF!</formula>
    </cfRule>
  </conditionalFormatting>
  <conditionalFormatting sqref="Z71:Z73">
    <cfRule type="expression" dxfId="13508" priority="2972">
      <formula>Z71&gt;AB71+#REF!</formula>
    </cfRule>
  </conditionalFormatting>
  <conditionalFormatting sqref="Z82:Z83">
    <cfRule type="expression" dxfId="13507" priority="2950">
      <formula>Z82&gt;AB82+#REF!</formula>
    </cfRule>
    <cfRule type="expression" dxfId="13506" priority="2951">
      <formula>Z82&lt;AB82-#REF!</formula>
    </cfRule>
  </conditionalFormatting>
  <conditionalFormatting sqref="Z86:Z87">
    <cfRule type="expression" dxfId="13505" priority="2948">
      <formula>Z86&gt;AB86+#REF!</formula>
    </cfRule>
  </conditionalFormatting>
  <conditionalFormatting sqref="Z86:Z90">
    <cfRule type="expression" dxfId="13504" priority="2949">
      <formula>Z86&lt;AB86-#REF!</formula>
    </cfRule>
  </conditionalFormatting>
  <conditionalFormatting sqref="Z88:Z90">
    <cfRule type="expression" dxfId="13503" priority="2947">
      <formula>Z88&gt;AB88+#REF!</formula>
    </cfRule>
  </conditionalFormatting>
  <conditionalFormatting sqref="Z99:Z100">
    <cfRule type="expression" dxfId="13502" priority="2925">
      <formula>Z99&gt;AB99+#REF!</formula>
    </cfRule>
    <cfRule type="expression" dxfId="13501" priority="2926">
      <formula>Z99&lt;AB99-#REF!</formula>
    </cfRule>
  </conditionalFormatting>
  <conditionalFormatting sqref="Z103:Z104">
    <cfRule type="expression" dxfId="13500" priority="2923">
      <formula>Z103&gt;AB103+#REF!</formula>
    </cfRule>
  </conditionalFormatting>
  <conditionalFormatting sqref="Z103:Z107">
    <cfRule type="expression" dxfId="13499" priority="2924">
      <formula>Z103&lt;AB103-#REF!</formula>
    </cfRule>
  </conditionalFormatting>
  <conditionalFormatting sqref="Z105:Z107">
    <cfRule type="expression" dxfId="13498" priority="2922">
      <formula>Z105&gt;AB105+#REF!</formula>
    </cfRule>
  </conditionalFormatting>
  <conditionalFormatting sqref="Z116:Z117">
    <cfRule type="expression" dxfId="13497" priority="2900">
      <formula>Z116&gt;AB116+#REF!</formula>
    </cfRule>
    <cfRule type="expression" dxfId="13496" priority="2901">
      <formula>Z116&lt;AB116-#REF!</formula>
    </cfRule>
  </conditionalFormatting>
  <conditionalFormatting sqref="Z120:Z121">
    <cfRule type="expression" dxfId="13495" priority="2898">
      <formula>Z120&gt;AB120+#REF!</formula>
    </cfRule>
  </conditionalFormatting>
  <conditionalFormatting sqref="Z120:Z124">
    <cfRule type="expression" dxfId="13494" priority="2899">
      <formula>Z120&lt;AB120-#REF!</formula>
    </cfRule>
  </conditionalFormatting>
  <conditionalFormatting sqref="Z122:Z124">
    <cfRule type="expression" dxfId="13493" priority="2897">
      <formula>Z122&gt;AB122+#REF!</formula>
    </cfRule>
  </conditionalFormatting>
  <conditionalFormatting sqref="Z167:Z168">
    <cfRule type="expression" dxfId="13492" priority="2875">
      <formula>Z167&gt;AB167+#REF!</formula>
    </cfRule>
    <cfRule type="expression" dxfId="13491" priority="2876">
      <formula>Z167&lt;AB167-#REF!</formula>
    </cfRule>
  </conditionalFormatting>
  <conditionalFormatting sqref="Z171:Z172">
    <cfRule type="expression" dxfId="13490" priority="2873">
      <formula>Z171&gt;AB171+#REF!</formula>
    </cfRule>
  </conditionalFormatting>
  <conditionalFormatting sqref="Z171:Z175">
    <cfRule type="expression" dxfId="13489" priority="2874">
      <formula>Z171&lt;AB171-#REF!</formula>
    </cfRule>
  </conditionalFormatting>
  <conditionalFormatting sqref="Z173:Z175">
    <cfRule type="expression" dxfId="13488" priority="2872">
      <formula>Z173&gt;AB173+#REF!</formula>
    </cfRule>
  </conditionalFormatting>
  <conditionalFormatting sqref="Z184:Z185">
    <cfRule type="expression" dxfId="13487" priority="2850">
      <formula>Z184&gt;AB184+#REF!</formula>
    </cfRule>
    <cfRule type="expression" dxfId="13486" priority="2851">
      <formula>Z184&lt;AB184-#REF!</formula>
    </cfRule>
  </conditionalFormatting>
  <conditionalFormatting sqref="Z188:Z189">
    <cfRule type="expression" dxfId="13485" priority="2848">
      <formula>Z188&gt;AB188+#REF!</formula>
    </cfRule>
  </conditionalFormatting>
  <conditionalFormatting sqref="Z188:Z192">
    <cfRule type="expression" dxfId="13484" priority="2849">
      <formula>Z188&lt;AB188-#REF!</formula>
    </cfRule>
  </conditionalFormatting>
  <conditionalFormatting sqref="Z190:Z192">
    <cfRule type="expression" dxfId="13483" priority="2847">
      <formula>Z190&gt;AB190+#REF!</formula>
    </cfRule>
  </conditionalFormatting>
  <conditionalFormatting sqref="Z201:Z202">
    <cfRule type="expression" dxfId="13482" priority="2825">
      <formula>Z201&gt;AB201+#REF!</formula>
    </cfRule>
    <cfRule type="expression" dxfId="13481" priority="2826">
      <formula>Z201&lt;AB201-#REF!</formula>
    </cfRule>
  </conditionalFormatting>
  <conditionalFormatting sqref="Z205:Z206">
    <cfRule type="expression" dxfId="13480" priority="2823">
      <formula>Z205&gt;AB205+#REF!</formula>
    </cfRule>
  </conditionalFormatting>
  <conditionalFormatting sqref="Z205:Z209">
    <cfRule type="expression" dxfId="13479" priority="2824">
      <formula>Z205&lt;AB205-#REF!</formula>
    </cfRule>
  </conditionalFormatting>
  <conditionalFormatting sqref="Z207:Z209">
    <cfRule type="expression" dxfId="13478" priority="2822">
      <formula>Z207&gt;AB207+#REF!</formula>
    </cfRule>
  </conditionalFormatting>
  <conditionalFormatting sqref="Z218:Z219">
    <cfRule type="expression" dxfId="13477" priority="2800">
      <formula>Z218&gt;AB218+#REF!</formula>
    </cfRule>
    <cfRule type="expression" dxfId="13476" priority="2801">
      <formula>Z218&lt;AB218-#REF!</formula>
    </cfRule>
  </conditionalFormatting>
  <conditionalFormatting sqref="Z222:Z223">
    <cfRule type="expression" dxfId="13475" priority="2798">
      <formula>Z222&gt;AB222+#REF!</formula>
    </cfRule>
  </conditionalFormatting>
  <conditionalFormatting sqref="Z222:Z226">
    <cfRule type="expression" dxfId="13474" priority="2799">
      <formula>Z222&lt;AB222-#REF!</formula>
    </cfRule>
  </conditionalFormatting>
  <conditionalFormatting sqref="Z224:Z226">
    <cfRule type="expression" dxfId="13473" priority="2797">
      <formula>Z224&gt;AB224+#REF!</formula>
    </cfRule>
  </conditionalFormatting>
  <conditionalFormatting sqref="Z235:Z236">
    <cfRule type="expression" dxfId="13472" priority="2775">
      <formula>Z235&gt;AB235+#REF!</formula>
    </cfRule>
    <cfRule type="expression" dxfId="13471" priority="2776">
      <formula>Z235&lt;AB235-#REF!</formula>
    </cfRule>
  </conditionalFormatting>
  <conditionalFormatting sqref="Z239:Z240">
    <cfRule type="expression" dxfId="13470" priority="2773">
      <formula>Z239&gt;AB239+#REF!</formula>
    </cfRule>
  </conditionalFormatting>
  <conditionalFormatting sqref="Z239:Z243">
    <cfRule type="expression" dxfId="13469" priority="2774">
      <formula>Z239&lt;AB239-#REF!</formula>
    </cfRule>
  </conditionalFormatting>
  <conditionalFormatting sqref="Z241:Z243">
    <cfRule type="expression" dxfId="13468" priority="2772">
      <formula>Z241&gt;AB241+#REF!</formula>
    </cfRule>
  </conditionalFormatting>
  <conditionalFormatting sqref="Z252:Z253">
    <cfRule type="expression" dxfId="13467" priority="2726">
      <formula>Z252&gt;AB252+#REF!</formula>
    </cfRule>
    <cfRule type="expression" dxfId="13466" priority="2727">
      <formula>Z252&lt;AB252-#REF!</formula>
    </cfRule>
  </conditionalFormatting>
  <conditionalFormatting sqref="Z256:Z257">
    <cfRule type="expression" dxfId="13465" priority="2724">
      <formula>Z256&gt;AB256+#REF!</formula>
    </cfRule>
  </conditionalFormatting>
  <conditionalFormatting sqref="Z256:Z259">
    <cfRule type="expression" dxfId="13464" priority="2725">
      <formula>Z256&lt;AB256-#REF!</formula>
    </cfRule>
  </conditionalFormatting>
  <conditionalFormatting sqref="Z258:Z259">
    <cfRule type="expression" dxfId="13463" priority="2723">
      <formula>Z258&gt;AB258+#REF!</formula>
    </cfRule>
  </conditionalFormatting>
  <conditionalFormatting sqref="Z260">
    <cfRule type="expression" dxfId="13462" priority="2717">
      <formula>Z260&gt;AB260+#REF!</formula>
    </cfRule>
  </conditionalFormatting>
  <conditionalFormatting sqref="Z269:Z270">
    <cfRule type="expression" dxfId="13461" priority="2595">
      <formula>Z269&gt;AB269+#REF!</formula>
    </cfRule>
    <cfRule type="expression" dxfId="13460" priority="2596">
      <formula>Z269&lt;AB269-#REF!</formula>
    </cfRule>
  </conditionalFormatting>
  <conditionalFormatting sqref="Z273:Z274">
    <cfRule type="expression" dxfId="13459" priority="2593">
      <formula>Z273&gt;AB273+#REF!</formula>
    </cfRule>
  </conditionalFormatting>
  <conditionalFormatting sqref="Z273:Z277">
    <cfRule type="expression" dxfId="13458" priority="2594">
      <formula>Z273&lt;AB273-#REF!</formula>
    </cfRule>
  </conditionalFormatting>
  <conditionalFormatting sqref="Z275:Z277">
    <cfRule type="expression" dxfId="13457" priority="2592">
      <formula>Z275&gt;AB275+#REF!</formula>
    </cfRule>
  </conditionalFormatting>
  <conditionalFormatting sqref="Z286:Z287">
    <cfRule type="expression" dxfId="13456" priority="2700">
      <formula>Z286&gt;AB286+#REF!</formula>
    </cfRule>
    <cfRule type="expression" dxfId="13455" priority="2701">
      <formula>Z286&lt;AB286-#REF!</formula>
    </cfRule>
  </conditionalFormatting>
  <conditionalFormatting sqref="Z290:Z291">
    <cfRule type="expression" dxfId="13454" priority="2698">
      <formula>Z290&gt;AB290+#REF!</formula>
    </cfRule>
  </conditionalFormatting>
  <conditionalFormatting sqref="Z290:Z293">
    <cfRule type="expression" dxfId="13453" priority="2699">
      <formula>Z290&lt;AB290-#REF!</formula>
    </cfRule>
  </conditionalFormatting>
  <conditionalFormatting sqref="Z292:Z293">
    <cfRule type="expression" dxfId="13452" priority="2697">
      <formula>Z292&gt;AB292+#REF!</formula>
    </cfRule>
  </conditionalFormatting>
  <conditionalFormatting sqref="Z294">
    <cfRule type="expression" dxfId="13451" priority="2691">
      <formula>Z294&gt;AB294+#REF!</formula>
    </cfRule>
  </conditionalFormatting>
  <conditionalFormatting sqref="Z303:Z304">
    <cfRule type="expression" dxfId="13450" priority="2674">
      <formula>Z303&gt;AB303+#REF!</formula>
    </cfRule>
    <cfRule type="expression" dxfId="13449" priority="2675">
      <formula>Z303&lt;AB303-#REF!</formula>
    </cfRule>
  </conditionalFormatting>
  <conditionalFormatting sqref="Z307:Z308">
    <cfRule type="expression" dxfId="13448" priority="2672">
      <formula>Z307&gt;AB307+#REF!</formula>
    </cfRule>
  </conditionalFormatting>
  <conditionalFormatting sqref="Z307:Z310">
    <cfRule type="expression" dxfId="13447" priority="2673">
      <formula>Z307&lt;AB307-#REF!</formula>
    </cfRule>
  </conditionalFormatting>
  <conditionalFormatting sqref="Z309:Z310">
    <cfRule type="expression" dxfId="13446" priority="2671">
      <formula>Z309&gt;AB309+#REF!</formula>
    </cfRule>
  </conditionalFormatting>
  <conditionalFormatting sqref="Z311">
    <cfRule type="expression" dxfId="13445" priority="2665">
      <formula>Z311&gt;AB311+#REF!</formula>
    </cfRule>
  </conditionalFormatting>
  <conditionalFormatting sqref="Z320:Z321">
    <cfRule type="expression" dxfId="13444" priority="2648">
      <formula>Z320&gt;AB320+#REF!</formula>
    </cfRule>
    <cfRule type="expression" dxfId="13443" priority="2649">
      <formula>Z320&lt;AB320-#REF!</formula>
    </cfRule>
  </conditionalFormatting>
  <conditionalFormatting sqref="Z324:Z325">
    <cfRule type="expression" dxfId="13442" priority="2646">
      <formula>Z324&gt;AB324+#REF!</formula>
    </cfRule>
  </conditionalFormatting>
  <conditionalFormatting sqref="Z324:Z327">
    <cfRule type="expression" dxfId="13441" priority="2647">
      <formula>Z324&lt;AB324-#REF!</formula>
    </cfRule>
  </conditionalFormatting>
  <conditionalFormatting sqref="Z326:Z327">
    <cfRule type="expression" dxfId="13440" priority="2645">
      <formula>Z326&gt;AB326+#REF!</formula>
    </cfRule>
  </conditionalFormatting>
  <conditionalFormatting sqref="Z328">
    <cfRule type="expression" dxfId="13439" priority="2639">
      <formula>Z328&gt;AB328+#REF!</formula>
    </cfRule>
  </conditionalFormatting>
  <conditionalFormatting sqref="Z337:Z338">
    <cfRule type="expression" dxfId="13438" priority="2622">
      <formula>Z337&gt;AB337+#REF!</formula>
    </cfRule>
    <cfRule type="expression" dxfId="13437" priority="2623">
      <formula>Z337&lt;AB337-#REF!</formula>
    </cfRule>
  </conditionalFormatting>
  <conditionalFormatting sqref="Z341:Z342">
    <cfRule type="expression" dxfId="13436" priority="2620">
      <formula>Z341&gt;AB341+#REF!</formula>
    </cfRule>
  </conditionalFormatting>
  <conditionalFormatting sqref="Z341:Z344">
    <cfRule type="expression" dxfId="13435" priority="2621">
      <formula>Z341&lt;AB341-#REF!</formula>
    </cfRule>
  </conditionalFormatting>
  <conditionalFormatting sqref="Z343:Z344">
    <cfRule type="expression" dxfId="13434" priority="2619">
      <formula>Z343&gt;AB343+#REF!</formula>
    </cfRule>
  </conditionalFormatting>
  <conditionalFormatting sqref="Z345">
    <cfRule type="expression" dxfId="13433" priority="2613">
      <formula>Z345&gt;AB345+#REF!</formula>
    </cfRule>
  </conditionalFormatting>
  <conditionalFormatting sqref="Z354:Z355">
    <cfRule type="expression" dxfId="13432" priority="2750">
      <formula>Z354&gt;AB354+#REF!</formula>
    </cfRule>
    <cfRule type="expression" dxfId="13431" priority="2751">
      <formula>Z354&lt;AB354-#REF!</formula>
    </cfRule>
  </conditionalFormatting>
  <conditionalFormatting sqref="Z358:Z359">
    <cfRule type="expression" dxfId="13430" priority="2748">
      <formula>Z358&gt;AB358+#REF!</formula>
    </cfRule>
  </conditionalFormatting>
  <conditionalFormatting sqref="Z358:Z362">
    <cfRule type="expression" dxfId="13429" priority="2749">
      <formula>Z358&lt;AB358-#REF!</formula>
    </cfRule>
  </conditionalFormatting>
  <conditionalFormatting sqref="Z360:Z362">
    <cfRule type="expression" dxfId="13428" priority="2747">
      <formula>Z360&gt;AB360+#REF!</formula>
    </cfRule>
  </conditionalFormatting>
  <conditionalFormatting sqref="AA14:AA15">
    <cfRule type="expression" dxfId="13427" priority="3045">
      <formula>AA14&gt;AC14+#REF!</formula>
    </cfRule>
    <cfRule type="expression" dxfId="13426" priority="3046">
      <formula>AA14&lt;AC14-#REF!</formula>
    </cfRule>
  </conditionalFormatting>
  <conditionalFormatting sqref="AA18:AA19">
    <cfRule type="expression" dxfId="13425" priority="3043">
      <formula>AA18&gt;AC18+#REF!</formula>
    </cfRule>
    <cfRule type="expression" dxfId="13424" priority="3044">
      <formula>AA18&lt;AC18-#REF!</formula>
    </cfRule>
  </conditionalFormatting>
  <conditionalFormatting sqref="AA20:AA22">
    <cfRule type="expression" dxfId="13423" priority="3042">
      <formula>AA20&gt;AC20+#REF!</formula>
    </cfRule>
  </conditionalFormatting>
  <conditionalFormatting sqref="AA31:AA32">
    <cfRule type="expression" dxfId="13422" priority="3020">
      <formula>AA31&gt;AC31+#REF!</formula>
    </cfRule>
    <cfRule type="expression" dxfId="13421" priority="3021">
      <formula>AA31&lt;AC31-#REF!</formula>
    </cfRule>
  </conditionalFormatting>
  <conditionalFormatting sqref="AA35:AA36">
    <cfRule type="expression" dxfId="13420" priority="3018">
      <formula>AA35&gt;AC35+#REF!</formula>
    </cfRule>
    <cfRule type="expression" dxfId="13419" priority="3019">
      <formula>AA35&lt;AC35-#REF!</formula>
    </cfRule>
  </conditionalFormatting>
  <conditionalFormatting sqref="AA37:AA39">
    <cfRule type="expression" dxfId="13418" priority="3017">
      <formula>AA37&gt;AC37+#REF!</formula>
    </cfRule>
  </conditionalFormatting>
  <conditionalFormatting sqref="AA48:AA49">
    <cfRule type="expression" dxfId="13417" priority="2995">
      <formula>AA48&gt;AC48+#REF!</formula>
    </cfRule>
    <cfRule type="expression" dxfId="13416" priority="2996">
      <formula>AA48&lt;AC48-#REF!</formula>
    </cfRule>
  </conditionalFormatting>
  <conditionalFormatting sqref="AA52:AA53">
    <cfRule type="expression" dxfId="13415" priority="2993">
      <formula>AA52&gt;AC52+#REF!</formula>
    </cfRule>
    <cfRule type="expression" dxfId="13414" priority="2994">
      <formula>AA52&lt;AC52-#REF!</formula>
    </cfRule>
  </conditionalFormatting>
  <conditionalFormatting sqref="AA54:AA56">
    <cfRule type="expression" dxfId="13413" priority="2992">
      <formula>AA54&gt;AC54+#REF!</formula>
    </cfRule>
  </conditionalFormatting>
  <conditionalFormatting sqref="AA65:AA66">
    <cfRule type="expression" dxfId="13412" priority="2970">
      <formula>AA65&gt;AC65+#REF!</formula>
    </cfRule>
    <cfRule type="expression" dxfId="13411" priority="2971">
      <formula>AA65&lt;AC65-#REF!</formula>
    </cfRule>
  </conditionalFormatting>
  <conditionalFormatting sqref="AA69:AA70">
    <cfRule type="expression" dxfId="13410" priority="2968">
      <formula>AA69&gt;AC69+#REF!</formula>
    </cfRule>
    <cfRule type="expression" dxfId="13409" priority="2969">
      <formula>AA69&lt;AC69-#REF!</formula>
    </cfRule>
  </conditionalFormatting>
  <conditionalFormatting sqref="AA71:AA73">
    <cfRule type="expression" dxfId="13408" priority="2967">
      <formula>AA71&gt;AC71+#REF!</formula>
    </cfRule>
  </conditionalFormatting>
  <conditionalFormatting sqref="AA82:AA83">
    <cfRule type="expression" dxfId="13407" priority="2945">
      <formula>AA82&gt;AC82+#REF!</formula>
    </cfRule>
    <cfRule type="expression" dxfId="13406" priority="2946">
      <formula>AA82&lt;AC82-#REF!</formula>
    </cfRule>
  </conditionalFormatting>
  <conditionalFormatting sqref="AA86:AA87">
    <cfRule type="expression" dxfId="13405" priority="2943">
      <formula>AA86&gt;AC86+#REF!</formula>
    </cfRule>
    <cfRule type="expression" dxfId="13404" priority="2944">
      <formula>AA86&lt;AC86-#REF!</formula>
    </cfRule>
  </conditionalFormatting>
  <conditionalFormatting sqref="AA88:AA90">
    <cfRule type="expression" dxfId="13403" priority="2942">
      <formula>AA88&gt;AC88+#REF!</formula>
    </cfRule>
  </conditionalFormatting>
  <conditionalFormatting sqref="AA99:AA100">
    <cfRule type="expression" dxfId="13402" priority="2920">
      <formula>AA99&gt;AC99+#REF!</formula>
    </cfRule>
    <cfRule type="expression" dxfId="13401" priority="2921">
      <formula>AA99&lt;AC99-#REF!</formula>
    </cfRule>
  </conditionalFormatting>
  <conditionalFormatting sqref="AA103:AA104">
    <cfRule type="expression" dxfId="13400" priority="2918">
      <formula>AA103&gt;AC103+#REF!</formula>
    </cfRule>
    <cfRule type="expression" dxfId="13399" priority="2919">
      <formula>AA103&lt;AC103-#REF!</formula>
    </cfRule>
  </conditionalFormatting>
  <conditionalFormatting sqref="AA105:AA107">
    <cfRule type="expression" dxfId="13398" priority="2917">
      <formula>AA105&gt;AC105+#REF!</formula>
    </cfRule>
  </conditionalFormatting>
  <conditionalFormatting sqref="AA116:AA117">
    <cfRule type="expression" dxfId="13397" priority="2895">
      <formula>AA116&gt;AC116+#REF!</formula>
    </cfRule>
    <cfRule type="expression" dxfId="13396" priority="2896">
      <formula>AA116&lt;AC116-#REF!</formula>
    </cfRule>
  </conditionalFormatting>
  <conditionalFormatting sqref="AA120:AA121">
    <cfRule type="expression" dxfId="13395" priority="2893">
      <formula>AA120&gt;AC120+#REF!</formula>
    </cfRule>
    <cfRule type="expression" dxfId="13394" priority="2894">
      <formula>AA120&lt;AC120-#REF!</formula>
    </cfRule>
  </conditionalFormatting>
  <conditionalFormatting sqref="AA122:AA124">
    <cfRule type="expression" dxfId="13393" priority="2892">
      <formula>AA122&gt;AC122+#REF!</formula>
    </cfRule>
  </conditionalFormatting>
  <conditionalFormatting sqref="AA167:AA168">
    <cfRule type="expression" dxfId="13392" priority="2870">
      <formula>AA167&gt;AC167+#REF!</formula>
    </cfRule>
    <cfRule type="expression" dxfId="13391" priority="2871">
      <formula>AA167&lt;AC167-#REF!</formula>
    </cfRule>
  </conditionalFormatting>
  <conditionalFormatting sqref="AA171:AA172">
    <cfRule type="expression" dxfId="13390" priority="2868">
      <formula>AA171&gt;AC171+#REF!</formula>
    </cfRule>
    <cfRule type="expression" dxfId="13389" priority="2869">
      <formula>AA171&lt;AC171-#REF!</formula>
    </cfRule>
  </conditionalFormatting>
  <conditionalFormatting sqref="AA173:AA175">
    <cfRule type="expression" dxfId="13388" priority="2867">
      <formula>AA173&gt;AC173+#REF!</formula>
    </cfRule>
  </conditionalFormatting>
  <conditionalFormatting sqref="AA184:AA185">
    <cfRule type="expression" dxfId="13387" priority="2845">
      <formula>AA184&gt;AC184+#REF!</formula>
    </cfRule>
    <cfRule type="expression" dxfId="13386" priority="2846">
      <formula>AA184&lt;AC184-#REF!</formula>
    </cfRule>
  </conditionalFormatting>
  <conditionalFormatting sqref="AA188:AA189">
    <cfRule type="expression" dxfId="13385" priority="2843">
      <formula>AA188&gt;AC188+#REF!</formula>
    </cfRule>
    <cfRule type="expression" dxfId="13384" priority="2844">
      <formula>AA188&lt;AC188-#REF!</formula>
    </cfRule>
  </conditionalFormatting>
  <conditionalFormatting sqref="AA190:AA192">
    <cfRule type="expression" dxfId="13383" priority="2842">
      <formula>AA190&gt;AC190+#REF!</formula>
    </cfRule>
  </conditionalFormatting>
  <conditionalFormatting sqref="AA201:AA202">
    <cfRule type="expression" dxfId="13382" priority="2820">
      <formula>AA201&gt;AC201+#REF!</formula>
    </cfRule>
    <cfRule type="expression" dxfId="13381" priority="2821">
      <formula>AA201&lt;AC201-#REF!</formula>
    </cfRule>
  </conditionalFormatting>
  <conditionalFormatting sqref="AA205:AA206">
    <cfRule type="expression" dxfId="13380" priority="2818">
      <formula>AA205&gt;AC205+#REF!</formula>
    </cfRule>
    <cfRule type="expression" dxfId="13379" priority="2819">
      <formula>AA205&lt;AC205-#REF!</formula>
    </cfRule>
  </conditionalFormatting>
  <conditionalFormatting sqref="AA207:AA209">
    <cfRule type="expression" dxfId="13378" priority="2817">
      <formula>AA207&gt;AC207+#REF!</formula>
    </cfRule>
  </conditionalFormatting>
  <conditionalFormatting sqref="AA218:AA219">
    <cfRule type="expression" dxfId="13377" priority="2795">
      <formula>AA218&gt;AC218+#REF!</formula>
    </cfRule>
    <cfRule type="expression" dxfId="13376" priority="2796">
      <formula>AA218&lt;AC218-#REF!</formula>
    </cfRule>
  </conditionalFormatting>
  <conditionalFormatting sqref="AA222:AA223">
    <cfRule type="expression" dxfId="13375" priority="2793">
      <formula>AA222&gt;AC222+#REF!</formula>
    </cfRule>
    <cfRule type="expression" dxfId="13374" priority="2794">
      <formula>AA222&lt;AC222-#REF!</formula>
    </cfRule>
  </conditionalFormatting>
  <conditionalFormatting sqref="AA224:AA226">
    <cfRule type="expression" dxfId="13373" priority="2792">
      <formula>AA224&gt;AC224+#REF!</formula>
    </cfRule>
  </conditionalFormatting>
  <conditionalFormatting sqref="AA235:AA236">
    <cfRule type="expression" dxfId="13372" priority="2770">
      <formula>AA235&gt;AC235+#REF!</formula>
    </cfRule>
    <cfRule type="expression" dxfId="13371" priority="2771">
      <formula>AA235&lt;AC235-#REF!</formula>
    </cfRule>
  </conditionalFormatting>
  <conditionalFormatting sqref="AA239:AA240">
    <cfRule type="expression" dxfId="13370" priority="2768">
      <formula>AA239&gt;AC239+#REF!</formula>
    </cfRule>
    <cfRule type="expression" dxfId="13369" priority="2769">
      <formula>AA239&lt;AC239-#REF!</formula>
    </cfRule>
  </conditionalFormatting>
  <conditionalFormatting sqref="AA241:AA243">
    <cfRule type="expression" dxfId="13368" priority="2767">
      <formula>AA241&gt;AC241+#REF!</formula>
    </cfRule>
  </conditionalFormatting>
  <conditionalFormatting sqref="AA252:AA253">
    <cfRule type="expression" dxfId="13367" priority="2721">
      <formula>AA252&gt;AC252+#REF!</formula>
    </cfRule>
    <cfRule type="expression" dxfId="13366" priority="2722">
      <formula>AA252&lt;AC252-#REF!</formula>
    </cfRule>
  </conditionalFormatting>
  <conditionalFormatting sqref="AA256:AA257">
    <cfRule type="expression" dxfId="13365" priority="2719">
      <formula>AA256&gt;AC256+#REF!</formula>
    </cfRule>
    <cfRule type="expression" dxfId="13364" priority="2720">
      <formula>AA256&lt;AC256-#REF!</formula>
    </cfRule>
  </conditionalFormatting>
  <conditionalFormatting sqref="AA258:AA259">
    <cfRule type="expression" dxfId="13363" priority="2718">
      <formula>AA258&gt;AC258+#REF!</formula>
    </cfRule>
  </conditionalFormatting>
  <conditionalFormatting sqref="AA260">
    <cfRule type="expression" dxfId="13362" priority="2716">
      <formula>AA260&gt;AC260+#REF!</formula>
    </cfRule>
  </conditionalFormatting>
  <conditionalFormatting sqref="AA269:AA270">
    <cfRule type="expression" dxfId="13361" priority="2590">
      <formula>AA269&gt;AC269+#REF!</formula>
    </cfRule>
    <cfRule type="expression" dxfId="13360" priority="2591">
      <formula>AA269&lt;AC269-#REF!</formula>
    </cfRule>
  </conditionalFormatting>
  <conditionalFormatting sqref="AA273:AA274">
    <cfRule type="expression" dxfId="13359" priority="2588">
      <formula>AA273&gt;AC273+#REF!</formula>
    </cfRule>
    <cfRule type="expression" dxfId="13358" priority="2589">
      <formula>AA273&lt;AC273-#REF!</formula>
    </cfRule>
  </conditionalFormatting>
  <conditionalFormatting sqref="AA275:AA277">
    <cfRule type="expression" dxfId="13357" priority="2587">
      <formula>AA275&gt;AC275+#REF!</formula>
    </cfRule>
  </conditionalFormatting>
  <conditionalFormatting sqref="AA286:AA287">
    <cfRule type="expression" dxfId="13356" priority="2695">
      <formula>AA286&gt;AC286+#REF!</formula>
    </cfRule>
    <cfRule type="expression" dxfId="13355" priority="2696">
      <formula>AA286&lt;AC286-#REF!</formula>
    </cfRule>
  </conditionalFormatting>
  <conditionalFormatting sqref="AA290:AA291">
    <cfRule type="expression" dxfId="13354" priority="2693">
      <formula>AA290&gt;AC290+#REF!</formula>
    </cfRule>
    <cfRule type="expression" dxfId="13353" priority="2694">
      <formula>AA290&lt;AC290-#REF!</formula>
    </cfRule>
  </conditionalFormatting>
  <conditionalFormatting sqref="AA292:AA293">
    <cfRule type="expression" dxfId="13352" priority="2692">
      <formula>AA292&gt;AC292+#REF!</formula>
    </cfRule>
  </conditionalFormatting>
  <conditionalFormatting sqref="AA294">
    <cfRule type="expression" dxfId="13351" priority="2690">
      <formula>AA294&gt;AC294+#REF!</formula>
    </cfRule>
  </conditionalFormatting>
  <conditionalFormatting sqref="AA303:AA304">
    <cfRule type="expression" dxfId="13350" priority="2669">
      <formula>AA303&gt;AC303+#REF!</formula>
    </cfRule>
    <cfRule type="expression" dxfId="13349" priority="2670">
      <formula>AA303&lt;AC303-#REF!</formula>
    </cfRule>
  </conditionalFormatting>
  <conditionalFormatting sqref="AA307:AA308">
    <cfRule type="expression" dxfId="13348" priority="2667">
      <formula>AA307&gt;AC307+#REF!</formula>
    </cfRule>
    <cfRule type="expression" dxfId="13347" priority="2668">
      <formula>AA307&lt;AC307-#REF!</formula>
    </cfRule>
  </conditionalFormatting>
  <conditionalFormatting sqref="AA309:AA310">
    <cfRule type="expression" dxfId="13346" priority="2666">
      <formula>AA309&gt;AC309+#REF!</formula>
    </cfRule>
  </conditionalFormatting>
  <conditionalFormatting sqref="AA311">
    <cfRule type="expression" dxfId="13345" priority="2664">
      <formula>AA311&gt;AC311+#REF!</formula>
    </cfRule>
  </conditionalFormatting>
  <conditionalFormatting sqref="AA320:AA321">
    <cfRule type="expression" dxfId="13344" priority="2643">
      <formula>AA320&gt;AC320+#REF!</formula>
    </cfRule>
    <cfRule type="expression" dxfId="13343" priority="2644">
      <formula>AA320&lt;AC320-#REF!</formula>
    </cfRule>
  </conditionalFormatting>
  <conditionalFormatting sqref="AA324:AA325">
    <cfRule type="expression" dxfId="13342" priority="2641">
      <formula>AA324&gt;AC324+#REF!</formula>
    </cfRule>
    <cfRule type="expression" dxfId="13341" priority="2642">
      <formula>AA324&lt;AC324-#REF!</formula>
    </cfRule>
  </conditionalFormatting>
  <conditionalFormatting sqref="AA326:AA327">
    <cfRule type="expression" dxfId="13340" priority="2640">
      <formula>AA326&gt;AC326+#REF!</formula>
    </cfRule>
  </conditionalFormatting>
  <conditionalFormatting sqref="AA328">
    <cfRule type="expression" dxfId="13339" priority="2638">
      <formula>AA328&gt;AC328+#REF!</formula>
    </cfRule>
  </conditionalFormatting>
  <conditionalFormatting sqref="AA337:AA338">
    <cfRule type="expression" dxfId="13338" priority="2617">
      <formula>AA337&gt;AC337+#REF!</formula>
    </cfRule>
    <cfRule type="expression" dxfId="13337" priority="2618">
      <formula>AA337&lt;AC337-#REF!</formula>
    </cfRule>
  </conditionalFormatting>
  <conditionalFormatting sqref="AA341:AA342">
    <cfRule type="expression" dxfId="13336" priority="2615">
      <formula>AA341&gt;AC341+#REF!</formula>
    </cfRule>
    <cfRule type="expression" dxfId="13335" priority="2616">
      <formula>AA341&lt;AC341-#REF!</formula>
    </cfRule>
  </conditionalFormatting>
  <conditionalFormatting sqref="AA343:AA344">
    <cfRule type="expression" dxfId="13334" priority="2614">
      <formula>AA343&gt;AC343+#REF!</formula>
    </cfRule>
  </conditionalFormatting>
  <conditionalFormatting sqref="AA345">
    <cfRule type="expression" dxfId="13333" priority="2612">
      <formula>AA345&gt;AC345+#REF!</formula>
    </cfRule>
  </conditionalFormatting>
  <conditionalFormatting sqref="AA354:AA355">
    <cfRule type="expression" dxfId="13332" priority="2745">
      <formula>AA354&gt;AC354+#REF!</formula>
    </cfRule>
    <cfRule type="expression" dxfId="13331" priority="2746">
      <formula>AA354&lt;AC354-#REF!</formula>
    </cfRule>
  </conditionalFormatting>
  <conditionalFormatting sqref="AA358:AA359">
    <cfRule type="expression" dxfId="13330" priority="2743">
      <formula>AA358&gt;AC358+#REF!</formula>
    </cfRule>
    <cfRule type="expression" dxfId="13329" priority="2744">
      <formula>AA358&lt;AC358-#REF!</formula>
    </cfRule>
  </conditionalFormatting>
  <conditionalFormatting sqref="AA360:AA362">
    <cfRule type="expression" dxfId="13328" priority="2742">
      <formula>AA360&gt;AC360+#REF!</formula>
    </cfRule>
  </conditionalFormatting>
  <conditionalFormatting sqref="AC14:AC15">
    <cfRule type="expression" dxfId="13327" priority="2576">
      <formula>AC14&gt;AE14+#REF!</formula>
    </cfRule>
  </conditionalFormatting>
  <conditionalFormatting sqref="AC18:AC19">
    <cfRule type="expression" dxfId="13326" priority="2573">
      <formula>AC18&gt;AE18+#REF!</formula>
    </cfRule>
  </conditionalFormatting>
  <conditionalFormatting sqref="AC20:AC22">
    <cfRule type="expression" dxfId="13325" priority="2572">
      <formula>AC20&gt;AE20+#REF!</formula>
    </cfRule>
  </conditionalFormatting>
  <conditionalFormatting sqref="AC31:AC32">
    <cfRule type="expression" dxfId="13324" priority="2551">
      <formula>AC31&gt;AE31+#REF!</formula>
    </cfRule>
  </conditionalFormatting>
  <conditionalFormatting sqref="AC35:AC36">
    <cfRule type="expression" dxfId="13323" priority="2548">
      <formula>AC35&gt;AE35+#REF!</formula>
    </cfRule>
  </conditionalFormatting>
  <conditionalFormatting sqref="AC37:AC39">
    <cfRule type="expression" dxfId="13322" priority="2547">
      <formula>AC37&gt;AE37+#REF!</formula>
    </cfRule>
  </conditionalFormatting>
  <conditionalFormatting sqref="AC48:AC49">
    <cfRule type="expression" dxfId="13321" priority="2526">
      <formula>AC48&gt;AE48+#REF!</formula>
    </cfRule>
  </conditionalFormatting>
  <conditionalFormatting sqref="AC52:AC53">
    <cfRule type="expression" dxfId="13320" priority="2523">
      <formula>AC52&gt;AE52+#REF!</formula>
    </cfRule>
  </conditionalFormatting>
  <conditionalFormatting sqref="AC54:AC56">
    <cfRule type="expression" dxfId="13319" priority="2522">
      <formula>AC54&gt;AE54+#REF!</formula>
    </cfRule>
  </conditionalFormatting>
  <conditionalFormatting sqref="AC65:AC66">
    <cfRule type="expression" dxfId="13318" priority="2501">
      <formula>AC65&gt;AE65+#REF!</formula>
    </cfRule>
  </conditionalFormatting>
  <conditionalFormatting sqref="AC69:AC70">
    <cfRule type="expression" dxfId="13317" priority="2498">
      <formula>AC69&gt;AE69+#REF!</formula>
    </cfRule>
  </conditionalFormatting>
  <conditionalFormatting sqref="AC71:AC73">
    <cfRule type="expression" dxfId="13316" priority="2497">
      <formula>AC71&gt;AE71+#REF!</formula>
    </cfRule>
  </conditionalFormatting>
  <conditionalFormatting sqref="AC82:AC83">
    <cfRule type="expression" dxfId="13315" priority="2476">
      <formula>AC82&gt;AE82+#REF!</formula>
    </cfRule>
  </conditionalFormatting>
  <conditionalFormatting sqref="AC86:AC87">
    <cfRule type="expression" dxfId="13314" priority="2473">
      <formula>AC86&gt;AE86+#REF!</formula>
    </cfRule>
  </conditionalFormatting>
  <conditionalFormatting sqref="AC88:AC90">
    <cfRule type="expression" dxfId="13313" priority="2472">
      <formula>AC88&gt;AE88+#REF!</formula>
    </cfRule>
  </conditionalFormatting>
  <conditionalFormatting sqref="AC99:AC100">
    <cfRule type="expression" dxfId="13312" priority="2451">
      <formula>AC99&gt;AE99+#REF!</formula>
    </cfRule>
  </conditionalFormatting>
  <conditionalFormatting sqref="AC103:AC104">
    <cfRule type="expression" dxfId="13311" priority="2448">
      <formula>AC103&gt;AE103+#REF!</formula>
    </cfRule>
  </conditionalFormatting>
  <conditionalFormatting sqref="AC105:AC107">
    <cfRule type="expression" dxfId="13310" priority="2447">
      <formula>AC105&gt;AE105+#REF!</formula>
    </cfRule>
  </conditionalFormatting>
  <conditionalFormatting sqref="AC116:AC117">
    <cfRule type="expression" dxfId="13309" priority="2426">
      <formula>AC116&gt;AE116+#REF!</formula>
    </cfRule>
  </conditionalFormatting>
  <conditionalFormatting sqref="AC120:AC121">
    <cfRule type="expression" dxfId="13308" priority="2423">
      <formula>AC120&gt;AE120+#REF!</formula>
    </cfRule>
  </conditionalFormatting>
  <conditionalFormatting sqref="AC122:AC124">
    <cfRule type="expression" dxfId="13307" priority="2422">
      <formula>AC122&gt;AE122+#REF!</formula>
    </cfRule>
  </conditionalFormatting>
  <conditionalFormatting sqref="AC167:AC168">
    <cfRule type="expression" dxfId="13306" priority="2401">
      <formula>AC167&gt;AE167+#REF!</formula>
    </cfRule>
  </conditionalFormatting>
  <conditionalFormatting sqref="AC171:AC172">
    <cfRule type="expression" dxfId="13305" priority="2398">
      <formula>AC171&gt;AE171+#REF!</formula>
    </cfRule>
  </conditionalFormatting>
  <conditionalFormatting sqref="AC173:AC175">
    <cfRule type="expression" dxfId="13304" priority="2397">
      <formula>AC173&gt;AE173+#REF!</formula>
    </cfRule>
  </conditionalFormatting>
  <conditionalFormatting sqref="AC184:AC185">
    <cfRule type="expression" dxfId="13303" priority="2376">
      <formula>AC184&gt;AE184+#REF!</formula>
    </cfRule>
  </conditionalFormatting>
  <conditionalFormatting sqref="AC188:AC189">
    <cfRule type="expression" dxfId="13302" priority="2373">
      <formula>AC188&gt;AE188+#REF!</formula>
    </cfRule>
  </conditionalFormatting>
  <conditionalFormatting sqref="AC190:AC192">
    <cfRule type="expression" dxfId="13301" priority="2372">
      <formula>AC190&gt;AE190+#REF!</formula>
    </cfRule>
  </conditionalFormatting>
  <conditionalFormatting sqref="AC201:AC202">
    <cfRule type="expression" dxfId="13300" priority="2351">
      <formula>AC201&gt;AE201+#REF!</formula>
    </cfRule>
  </conditionalFormatting>
  <conditionalFormatting sqref="AC205:AC206">
    <cfRule type="expression" dxfId="13299" priority="2348">
      <formula>AC205&gt;AE205+#REF!</formula>
    </cfRule>
  </conditionalFormatting>
  <conditionalFormatting sqref="AC207:AC209">
    <cfRule type="expression" dxfId="13298" priority="2347">
      <formula>AC207&gt;AE207+#REF!</formula>
    </cfRule>
  </conditionalFormatting>
  <conditionalFormatting sqref="AC218:AC219">
    <cfRule type="expression" dxfId="13297" priority="2326">
      <formula>AC218&gt;AE218+#REF!</formula>
    </cfRule>
  </conditionalFormatting>
  <conditionalFormatting sqref="AC222:AC223">
    <cfRule type="expression" dxfId="13296" priority="2323">
      <formula>AC222&gt;AE222+#REF!</formula>
    </cfRule>
  </conditionalFormatting>
  <conditionalFormatting sqref="AC224:AC226">
    <cfRule type="expression" dxfId="13295" priority="2322">
      <formula>AC224&gt;AE224+#REF!</formula>
    </cfRule>
  </conditionalFormatting>
  <conditionalFormatting sqref="AC235:AC236">
    <cfRule type="expression" dxfId="13294" priority="2301">
      <formula>AC235&gt;AE235+#REF!</formula>
    </cfRule>
  </conditionalFormatting>
  <conditionalFormatting sqref="AC239:AC240">
    <cfRule type="expression" dxfId="13293" priority="2298">
      <formula>AC239&gt;AE239+#REF!</formula>
    </cfRule>
  </conditionalFormatting>
  <conditionalFormatting sqref="AC241:AC243">
    <cfRule type="expression" dxfId="13292" priority="2297">
      <formula>AC241&gt;AE241+#REF!</formula>
    </cfRule>
  </conditionalFormatting>
  <conditionalFormatting sqref="AC252:AC253">
    <cfRule type="expression" dxfId="13291" priority="2252">
      <formula>AC252&gt;AE252+#REF!</formula>
    </cfRule>
  </conditionalFormatting>
  <conditionalFormatting sqref="AC256:AC257">
    <cfRule type="expression" dxfId="13290" priority="2249">
      <formula>AC256&gt;AE256+#REF!</formula>
    </cfRule>
  </conditionalFormatting>
  <conditionalFormatting sqref="AC258:AC260">
    <cfRule type="expression" dxfId="13289" priority="2248">
      <formula>AC258&gt;AE258+#REF!</formula>
    </cfRule>
  </conditionalFormatting>
  <conditionalFormatting sqref="AC269:AC270">
    <cfRule type="expression" dxfId="13288" priority="2121">
      <formula>AC269&gt;AE269+#REF!</formula>
    </cfRule>
  </conditionalFormatting>
  <conditionalFormatting sqref="AC273:AC274">
    <cfRule type="expression" dxfId="13287" priority="2118">
      <formula>AC273&gt;AE273+#REF!</formula>
    </cfRule>
  </conditionalFormatting>
  <conditionalFormatting sqref="AC275:AC277">
    <cfRule type="expression" dxfId="13286" priority="2117">
      <formula>AC275&gt;AE275+#REF!</formula>
    </cfRule>
  </conditionalFormatting>
  <conditionalFormatting sqref="AC286:AC287">
    <cfRule type="expression" dxfId="13285" priority="2226">
      <formula>AC286&gt;AE286+#REF!</formula>
    </cfRule>
  </conditionalFormatting>
  <conditionalFormatting sqref="AC290:AC291">
    <cfRule type="expression" dxfId="13284" priority="2223">
      <formula>AC290&gt;AE290+#REF!</formula>
    </cfRule>
  </conditionalFormatting>
  <conditionalFormatting sqref="AC292:AC294">
    <cfRule type="expression" dxfId="13283" priority="2222">
      <formula>AC292&gt;AE292+#REF!</formula>
    </cfRule>
  </conditionalFormatting>
  <conditionalFormatting sqref="AC303:AC304">
    <cfRule type="expression" dxfId="13282" priority="2200">
      <formula>AC303&gt;AE303+#REF!</formula>
    </cfRule>
  </conditionalFormatting>
  <conditionalFormatting sqref="AC307:AC308">
    <cfRule type="expression" dxfId="13281" priority="2197">
      <formula>AC307&gt;AE307+#REF!</formula>
    </cfRule>
  </conditionalFormatting>
  <conditionalFormatting sqref="AC309:AC311">
    <cfRule type="expression" dxfId="13280" priority="2196">
      <formula>AC309&gt;AE309+#REF!</formula>
    </cfRule>
  </conditionalFormatting>
  <conditionalFormatting sqref="AC320:AC321">
    <cfRule type="expression" dxfId="13279" priority="2174">
      <formula>AC320&gt;AE320+#REF!</formula>
    </cfRule>
  </conditionalFormatting>
  <conditionalFormatting sqref="AC324:AC325">
    <cfRule type="expression" dxfId="13278" priority="2171">
      <formula>AC324&gt;AE324+#REF!</formula>
    </cfRule>
  </conditionalFormatting>
  <conditionalFormatting sqref="AC326:AC328">
    <cfRule type="expression" dxfId="13277" priority="2170">
      <formula>AC326&gt;AE326+#REF!</formula>
    </cfRule>
  </conditionalFormatting>
  <conditionalFormatting sqref="AC337:AC338">
    <cfRule type="expression" dxfId="13276" priority="2148">
      <formula>AC337&gt;AE337+#REF!</formula>
    </cfRule>
  </conditionalFormatting>
  <conditionalFormatting sqref="AC341:AC342">
    <cfRule type="expression" dxfId="13275" priority="2145">
      <formula>AC341&gt;AE341+#REF!</formula>
    </cfRule>
  </conditionalFormatting>
  <conditionalFormatting sqref="AC343:AC345">
    <cfRule type="expression" dxfId="13274" priority="2144">
      <formula>AC343&gt;AE343+#REF!</formula>
    </cfRule>
  </conditionalFormatting>
  <conditionalFormatting sqref="AC354:AC355">
    <cfRule type="expression" dxfId="13273" priority="2276">
      <formula>AC354&gt;AE354+#REF!</formula>
    </cfRule>
  </conditionalFormatting>
  <conditionalFormatting sqref="AC358:AC359">
    <cfRule type="expression" dxfId="13272" priority="2273">
      <formula>AC358&gt;AE358+#REF!</formula>
    </cfRule>
  </conditionalFormatting>
  <conditionalFormatting sqref="AC360:AC362">
    <cfRule type="expression" dxfId="13271" priority="2272">
      <formula>AC360&gt;AE360+#REF!</formula>
    </cfRule>
  </conditionalFormatting>
  <conditionalFormatting sqref="AC8:AE9">
    <cfRule type="expression" dxfId="13270" priority="2582">
      <formula>AC8&lt;AE8*#REF!</formula>
    </cfRule>
    <cfRule type="expression" dxfId="13269" priority="2583">
      <formula>AC8&gt;AE8*#REF!</formula>
    </cfRule>
  </conditionalFormatting>
  <conditionalFormatting sqref="AC10:AE10">
    <cfRule type="expression" dxfId="13268" priority="2580">
      <formula>AC10&gt;AE10+#REF!</formula>
    </cfRule>
  </conditionalFormatting>
  <conditionalFormatting sqref="AC10:AE12">
    <cfRule type="expression" dxfId="13267" priority="2586">
      <formula>AC10&lt;AE10-#REF!</formula>
    </cfRule>
  </conditionalFormatting>
  <conditionalFormatting sqref="AC11:AE11">
    <cfRule type="expression" dxfId="13266" priority="2579">
      <formula>AC11&gt;AE11+#REF!</formula>
    </cfRule>
  </conditionalFormatting>
  <conditionalFormatting sqref="AC12:AE12">
    <cfRule type="expression" dxfId="13265" priority="2578">
      <formula>AC12&gt;AE12+#REF!</formula>
    </cfRule>
  </conditionalFormatting>
  <conditionalFormatting sqref="AC13:AE13">
    <cfRule type="expression" dxfId="13264" priority="2577">
      <formula>AC13&gt;AE13+#REF!</formula>
    </cfRule>
  </conditionalFormatting>
  <conditionalFormatting sqref="AC16:AE16">
    <cfRule type="expression" dxfId="13263" priority="2575">
      <formula>AC16&gt;AE16+#REF!</formula>
    </cfRule>
  </conditionalFormatting>
  <conditionalFormatting sqref="AC17:AE17">
    <cfRule type="expression" dxfId="13262" priority="2574">
      <formula>AC17&gt;AE17+#REF!</formula>
    </cfRule>
  </conditionalFormatting>
  <conditionalFormatting sqref="AC23:AE23">
    <cfRule type="expression" dxfId="13261" priority="2581">
      <formula>AC23&gt;AE23*#REF!</formula>
    </cfRule>
  </conditionalFormatting>
  <conditionalFormatting sqref="AC25:AE25">
    <cfRule type="expression" dxfId="13260" priority="2560">
      <formula>AC25&gt;AE25*#REF!</formula>
    </cfRule>
  </conditionalFormatting>
  <conditionalFormatting sqref="AC25:AE26">
    <cfRule type="expression" dxfId="13259" priority="2557">
      <formula>AC25&lt;AE25*#REF!</formula>
    </cfRule>
  </conditionalFormatting>
  <conditionalFormatting sqref="AC26:AE26">
    <cfRule type="expression" dxfId="13258" priority="2558">
      <formula>AC26&gt;AE26*#REF!</formula>
    </cfRule>
  </conditionalFormatting>
  <conditionalFormatting sqref="AC27:AE27">
    <cfRule type="expression" dxfId="13257" priority="2555">
      <formula>AC27&gt;AE27+#REF!</formula>
    </cfRule>
  </conditionalFormatting>
  <conditionalFormatting sqref="AC27:AE29">
    <cfRule type="expression" dxfId="13256" priority="2561">
      <formula>AC27&lt;AE27-#REF!</formula>
    </cfRule>
  </conditionalFormatting>
  <conditionalFormatting sqref="AC28:AE28">
    <cfRule type="expression" dxfId="13255" priority="2554">
      <formula>AC28&gt;AE28+#REF!</formula>
    </cfRule>
  </conditionalFormatting>
  <conditionalFormatting sqref="AC29:AE29">
    <cfRule type="expression" dxfId="13254" priority="2553">
      <formula>AC29&gt;AE29+#REF!</formula>
    </cfRule>
  </conditionalFormatting>
  <conditionalFormatting sqref="AC30:AE30">
    <cfRule type="expression" dxfId="13253" priority="2552">
      <formula>AC30&gt;AE30+#REF!</formula>
    </cfRule>
  </conditionalFormatting>
  <conditionalFormatting sqref="AC33:AE33">
    <cfRule type="expression" dxfId="13252" priority="2550">
      <formula>AC33&gt;AE33+#REF!</formula>
    </cfRule>
  </conditionalFormatting>
  <conditionalFormatting sqref="AC34:AE34">
    <cfRule type="expression" dxfId="13251" priority="2549">
      <formula>AC34&gt;AE34+#REF!</formula>
    </cfRule>
  </conditionalFormatting>
  <conditionalFormatting sqref="AC40:AE40">
    <cfRule type="expression" dxfId="13250" priority="2556">
      <formula>AC40&gt;AE40*#REF!</formula>
    </cfRule>
  </conditionalFormatting>
  <conditionalFormatting sqref="AC42:AE42">
    <cfRule type="expression" dxfId="13249" priority="2535">
      <formula>AC42&gt;AE42*#REF!</formula>
    </cfRule>
  </conditionalFormatting>
  <conditionalFormatting sqref="AC42:AE43">
    <cfRule type="expression" dxfId="13248" priority="2532">
      <formula>AC42&lt;AE42*#REF!</formula>
    </cfRule>
  </conditionalFormatting>
  <conditionalFormatting sqref="AC43:AE43">
    <cfRule type="expression" dxfId="13247" priority="2533">
      <formula>AC43&gt;AE43*#REF!</formula>
    </cfRule>
  </conditionalFormatting>
  <conditionalFormatting sqref="AC44:AE44">
    <cfRule type="expression" dxfId="13246" priority="2530">
      <formula>AC44&gt;AE44+#REF!</formula>
    </cfRule>
  </conditionalFormatting>
  <conditionalFormatting sqref="AC44:AE46">
    <cfRule type="expression" dxfId="13245" priority="2536">
      <formula>AC44&lt;AE44-#REF!</formula>
    </cfRule>
  </conditionalFormatting>
  <conditionalFormatting sqref="AC45:AE45">
    <cfRule type="expression" dxfId="13244" priority="2529">
      <formula>AC45&gt;AE45+#REF!</formula>
    </cfRule>
  </conditionalFormatting>
  <conditionalFormatting sqref="AC46:AE46">
    <cfRule type="expression" dxfId="13243" priority="2528">
      <formula>AC46&gt;AE46+#REF!</formula>
    </cfRule>
  </conditionalFormatting>
  <conditionalFormatting sqref="AC47:AE47">
    <cfRule type="expression" dxfId="13242" priority="2527">
      <formula>AC47&gt;AE47+#REF!</formula>
    </cfRule>
  </conditionalFormatting>
  <conditionalFormatting sqref="AC50:AE50">
    <cfRule type="expression" dxfId="13241" priority="2525">
      <formula>AC50&gt;AE50+#REF!</formula>
    </cfRule>
  </conditionalFormatting>
  <conditionalFormatting sqref="AC51:AE51">
    <cfRule type="expression" dxfId="13240" priority="2524">
      <formula>AC51&gt;AE51+#REF!</formula>
    </cfRule>
  </conditionalFormatting>
  <conditionalFormatting sqref="AC57:AE57">
    <cfRule type="expression" dxfId="13239" priority="2531">
      <formula>AC57&gt;AE57*#REF!</formula>
    </cfRule>
  </conditionalFormatting>
  <conditionalFormatting sqref="AC59:AE59">
    <cfRule type="expression" dxfId="13238" priority="2510">
      <formula>AC59&gt;AE59*#REF!</formula>
    </cfRule>
  </conditionalFormatting>
  <conditionalFormatting sqref="AC59:AE60">
    <cfRule type="expression" dxfId="13237" priority="2507">
      <formula>AC59&lt;AE59*#REF!</formula>
    </cfRule>
  </conditionalFormatting>
  <conditionalFormatting sqref="AC60:AE60">
    <cfRule type="expression" dxfId="13236" priority="2508">
      <formula>AC60&gt;AE60*#REF!</formula>
    </cfRule>
  </conditionalFormatting>
  <conditionalFormatting sqref="AC61:AE61">
    <cfRule type="expression" dxfId="13235" priority="2505">
      <formula>AC61&gt;AE61+#REF!</formula>
    </cfRule>
  </conditionalFormatting>
  <conditionalFormatting sqref="AC61:AE63">
    <cfRule type="expression" dxfId="13234" priority="2511">
      <formula>AC61&lt;AE61-#REF!</formula>
    </cfRule>
  </conditionalFormatting>
  <conditionalFormatting sqref="AC62:AE62">
    <cfRule type="expression" dxfId="13233" priority="2504">
      <formula>AC62&gt;AE62+#REF!</formula>
    </cfRule>
  </conditionalFormatting>
  <conditionalFormatting sqref="AC63:AE63">
    <cfRule type="expression" dxfId="13232" priority="2503">
      <formula>AC63&gt;AE63+#REF!</formula>
    </cfRule>
  </conditionalFormatting>
  <conditionalFormatting sqref="AC64:AE64">
    <cfRule type="expression" dxfId="13231" priority="2502">
      <formula>AC64&gt;AE64+#REF!</formula>
    </cfRule>
  </conditionalFormatting>
  <conditionalFormatting sqref="AC67:AE67">
    <cfRule type="expression" dxfId="13230" priority="2500">
      <formula>AC67&gt;AE67+#REF!</formula>
    </cfRule>
  </conditionalFormatting>
  <conditionalFormatting sqref="AC68:AE68">
    <cfRule type="expression" dxfId="13229" priority="2499">
      <formula>AC68&gt;AE68+#REF!</formula>
    </cfRule>
  </conditionalFormatting>
  <conditionalFormatting sqref="AC74:AE74">
    <cfRule type="expression" dxfId="13228" priority="2506">
      <formula>AC74&gt;AE74*#REF!</formula>
    </cfRule>
  </conditionalFormatting>
  <conditionalFormatting sqref="AC76:AE76">
    <cfRule type="expression" dxfId="13227" priority="2485">
      <formula>AC76&gt;AE76*#REF!</formula>
    </cfRule>
  </conditionalFormatting>
  <conditionalFormatting sqref="AC76:AE77">
    <cfRule type="expression" dxfId="13226" priority="2482">
      <formula>AC76&lt;AE76*#REF!</formula>
    </cfRule>
  </conditionalFormatting>
  <conditionalFormatting sqref="AC77:AE77">
    <cfRule type="expression" dxfId="13225" priority="2483">
      <formula>AC77&gt;AE77*#REF!</formula>
    </cfRule>
  </conditionalFormatting>
  <conditionalFormatting sqref="AC78:AE78">
    <cfRule type="expression" dxfId="13224" priority="2480">
      <formula>AC78&gt;AE78+#REF!</formula>
    </cfRule>
  </conditionalFormatting>
  <conditionalFormatting sqref="AC78:AE80">
    <cfRule type="expression" dxfId="13223" priority="2486">
      <formula>AC78&lt;AE78-#REF!</formula>
    </cfRule>
  </conditionalFormatting>
  <conditionalFormatting sqref="AC79:AE79">
    <cfRule type="expression" dxfId="13222" priority="2479">
      <formula>AC79&gt;AE79+#REF!</formula>
    </cfRule>
  </conditionalFormatting>
  <conditionalFormatting sqref="AC80:AE80">
    <cfRule type="expression" dxfId="13221" priority="2478">
      <formula>AC80&gt;AE80+#REF!</formula>
    </cfRule>
  </conditionalFormatting>
  <conditionalFormatting sqref="AC81:AE81">
    <cfRule type="expression" dxfId="13220" priority="2477">
      <formula>AC81&gt;AE81+#REF!</formula>
    </cfRule>
  </conditionalFormatting>
  <conditionalFormatting sqref="AC84:AE84">
    <cfRule type="expression" dxfId="13219" priority="2475">
      <formula>AC84&gt;AE84+#REF!</formula>
    </cfRule>
  </conditionalFormatting>
  <conditionalFormatting sqref="AC85:AE85">
    <cfRule type="expression" dxfId="13218" priority="2474">
      <formula>AC85&gt;AE85+#REF!</formula>
    </cfRule>
  </conditionalFormatting>
  <conditionalFormatting sqref="AC91:AE91">
    <cfRule type="expression" dxfId="13217" priority="2481">
      <formula>AC91&gt;AE91*#REF!</formula>
    </cfRule>
  </conditionalFormatting>
  <conditionalFormatting sqref="AC93:AE93">
    <cfRule type="expression" dxfId="13216" priority="2460">
      <formula>AC93&gt;AE93*#REF!</formula>
    </cfRule>
  </conditionalFormatting>
  <conditionalFormatting sqref="AC93:AE94">
    <cfRule type="expression" dxfId="13215" priority="2457">
      <formula>AC93&lt;AE93*#REF!</formula>
    </cfRule>
  </conditionalFormatting>
  <conditionalFormatting sqref="AC94:AE94">
    <cfRule type="expression" dxfId="13214" priority="2458">
      <formula>AC94&gt;AE94*#REF!</formula>
    </cfRule>
  </conditionalFormatting>
  <conditionalFormatting sqref="AC95:AE95">
    <cfRule type="expression" dxfId="13213" priority="2455">
      <formula>AC95&gt;AE95+#REF!</formula>
    </cfRule>
  </conditionalFormatting>
  <conditionalFormatting sqref="AC95:AE97">
    <cfRule type="expression" dxfId="13212" priority="2461">
      <formula>AC95&lt;AE95-#REF!</formula>
    </cfRule>
  </conditionalFormatting>
  <conditionalFormatting sqref="AC96:AE96">
    <cfRule type="expression" dxfId="13211" priority="2454">
      <formula>AC96&gt;AE96+#REF!</formula>
    </cfRule>
  </conditionalFormatting>
  <conditionalFormatting sqref="AC97:AE97">
    <cfRule type="expression" dxfId="13210" priority="2453">
      <formula>AC97&gt;AE97+#REF!</formula>
    </cfRule>
  </conditionalFormatting>
  <conditionalFormatting sqref="AC98:AE98">
    <cfRule type="expression" dxfId="13209" priority="2452">
      <formula>AC98&gt;AE98+#REF!</formula>
    </cfRule>
  </conditionalFormatting>
  <conditionalFormatting sqref="AC101:AE101">
    <cfRule type="expression" dxfId="13208" priority="2450">
      <formula>AC101&gt;AE101+#REF!</formula>
    </cfRule>
  </conditionalFormatting>
  <conditionalFormatting sqref="AC102:AE102">
    <cfRule type="expression" dxfId="13207" priority="2449">
      <formula>AC102&gt;AE102+#REF!</formula>
    </cfRule>
  </conditionalFormatting>
  <conditionalFormatting sqref="AC108:AE108">
    <cfRule type="expression" dxfId="13206" priority="2456">
      <formula>AC108&gt;AE108*#REF!</formula>
    </cfRule>
  </conditionalFormatting>
  <conditionalFormatting sqref="AC110:AE110">
    <cfRule type="expression" dxfId="13205" priority="2435">
      <formula>AC110&gt;AE110*#REF!</formula>
    </cfRule>
  </conditionalFormatting>
  <conditionalFormatting sqref="AC110:AE111">
    <cfRule type="expression" dxfId="13204" priority="2432">
      <formula>AC110&lt;AE110*#REF!</formula>
    </cfRule>
  </conditionalFormatting>
  <conditionalFormatting sqref="AC111:AE111">
    <cfRule type="expression" dxfId="13203" priority="2433">
      <formula>AC111&gt;AE111*#REF!</formula>
    </cfRule>
  </conditionalFormatting>
  <conditionalFormatting sqref="AC112:AE112">
    <cfRule type="expression" dxfId="13202" priority="2430">
      <formula>AC112&gt;AE112+#REF!</formula>
    </cfRule>
  </conditionalFormatting>
  <conditionalFormatting sqref="AC112:AE114">
    <cfRule type="expression" dxfId="13201" priority="2436">
      <formula>AC112&lt;AE112-#REF!</formula>
    </cfRule>
  </conditionalFormatting>
  <conditionalFormatting sqref="AC113:AE113">
    <cfRule type="expression" dxfId="13200" priority="2429">
      <formula>AC113&gt;AE113+#REF!</formula>
    </cfRule>
  </conditionalFormatting>
  <conditionalFormatting sqref="AC114:AE114">
    <cfRule type="expression" dxfId="13199" priority="2428">
      <formula>AC114&gt;AE114+#REF!</formula>
    </cfRule>
  </conditionalFormatting>
  <conditionalFormatting sqref="AC115:AE115">
    <cfRule type="expression" dxfId="13198" priority="2427">
      <formula>AC115&gt;AE115+#REF!</formula>
    </cfRule>
  </conditionalFormatting>
  <conditionalFormatting sqref="AC118:AE118">
    <cfRule type="expression" dxfId="13197" priority="2425">
      <formula>AC118&gt;AE118+#REF!</formula>
    </cfRule>
  </conditionalFormatting>
  <conditionalFormatting sqref="AC119:AE119">
    <cfRule type="expression" dxfId="13196" priority="2424">
      <formula>AC119&gt;AE119+#REF!</formula>
    </cfRule>
  </conditionalFormatting>
  <conditionalFormatting sqref="AC125:AE125">
    <cfRule type="expression" dxfId="13195" priority="2431">
      <formula>AC125&gt;AE125*#REF!</formula>
    </cfRule>
  </conditionalFormatting>
  <conditionalFormatting sqref="AC161:AE161">
    <cfRule type="expression" dxfId="13194" priority="2410">
      <formula>AC161&gt;AE161*#REF!</formula>
    </cfRule>
  </conditionalFormatting>
  <conditionalFormatting sqref="AC161:AE162">
    <cfRule type="expression" dxfId="13193" priority="2407">
      <formula>AC161&lt;AE161*#REF!</formula>
    </cfRule>
  </conditionalFormatting>
  <conditionalFormatting sqref="AC162:AE162">
    <cfRule type="expression" dxfId="13192" priority="2408">
      <formula>AC162&gt;AE162*#REF!</formula>
    </cfRule>
  </conditionalFormatting>
  <conditionalFormatting sqref="AC163:AE163">
    <cfRule type="expression" dxfId="13191" priority="2405">
      <formula>AC163&gt;AE163+#REF!</formula>
    </cfRule>
  </conditionalFormatting>
  <conditionalFormatting sqref="AC163:AE165">
    <cfRule type="expression" dxfId="13190" priority="2411">
      <formula>AC163&lt;AE163-#REF!</formula>
    </cfRule>
  </conditionalFormatting>
  <conditionalFormatting sqref="AC164:AE164">
    <cfRule type="expression" dxfId="13189" priority="2404">
      <formula>AC164&gt;AE164+#REF!</formula>
    </cfRule>
  </conditionalFormatting>
  <conditionalFormatting sqref="AC165:AE165">
    <cfRule type="expression" dxfId="13188" priority="2403">
      <formula>AC165&gt;AE165+#REF!</formula>
    </cfRule>
  </conditionalFormatting>
  <conditionalFormatting sqref="AC166:AE166">
    <cfRule type="expression" dxfId="13187" priority="2402">
      <formula>AC166&gt;AE166+#REF!</formula>
    </cfRule>
  </conditionalFormatting>
  <conditionalFormatting sqref="AC169:AE169">
    <cfRule type="expression" dxfId="13186" priority="2400">
      <formula>AC169&gt;AE169+#REF!</formula>
    </cfRule>
  </conditionalFormatting>
  <conditionalFormatting sqref="AC170:AE170">
    <cfRule type="expression" dxfId="13185" priority="2399">
      <formula>AC170&gt;AE170+#REF!</formula>
    </cfRule>
  </conditionalFormatting>
  <conditionalFormatting sqref="AC176:AE176">
    <cfRule type="expression" dxfId="13184" priority="2406">
      <formula>AC176&gt;AE176*#REF!</formula>
    </cfRule>
  </conditionalFormatting>
  <conditionalFormatting sqref="AC178:AE178">
    <cfRule type="expression" dxfId="13183" priority="2385">
      <formula>AC178&gt;AE178*#REF!</formula>
    </cfRule>
  </conditionalFormatting>
  <conditionalFormatting sqref="AC178:AE179">
    <cfRule type="expression" dxfId="13182" priority="2382">
      <formula>AC178&lt;AE178*#REF!</formula>
    </cfRule>
  </conditionalFormatting>
  <conditionalFormatting sqref="AC179:AE179">
    <cfRule type="expression" dxfId="13181" priority="2383">
      <formula>AC179&gt;AE179*#REF!</formula>
    </cfRule>
  </conditionalFormatting>
  <conditionalFormatting sqref="AC180:AE180">
    <cfRule type="expression" dxfId="13180" priority="2380">
      <formula>AC180&gt;AE180+#REF!</formula>
    </cfRule>
  </conditionalFormatting>
  <conditionalFormatting sqref="AC180:AE182">
    <cfRule type="expression" dxfId="13179" priority="2386">
      <formula>AC180&lt;AE180-#REF!</formula>
    </cfRule>
  </conditionalFormatting>
  <conditionalFormatting sqref="AC181:AE181">
    <cfRule type="expression" dxfId="13178" priority="2379">
      <formula>AC181&gt;AE181+#REF!</formula>
    </cfRule>
  </conditionalFormatting>
  <conditionalFormatting sqref="AC182:AE182">
    <cfRule type="expression" dxfId="13177" priority="2378">
      <formula>AC182&gt;AE182+#REF!</formula>
    </cfRule>
  </conditionalFormatting>
  <conditionalFormatting sqref="AC183:AE183">
    <cfRule type="expression" dxfId="13176" priority="2377">
      <formula>AC183&gt;AE183+#REF!</formula>
    </cfRule>
  </conditionalFormatting>
  <conditionalFormatting sqref="AC186:AE186">
    <cfRule type="expression" dxfId="13175" priority="2375">
      <formula>AC186&gt;AE186+#REF!</formula>
    </cfRule>
  </conditionalFormatting>
  <conditionalFormatting sqref="AC187:AE187">
    <cfRule type="expression" dxfId="13174" priority="2374">
      <formula>AC187&gt;AE187+#REF!</formula>
    </cfRule>
  </conditionalFormatting>
  <conditionalFormatting sqref="AC193:AE193">
    <cfRule type="expression" dxfId="13173" priority="2381">
      <formula>AC193&gt;AE193*#REF!</formula>
    </cfRule>
  </conditionalFormatting>
  <conditionalFormatting sqref="AC195:AE195">
    <cfRule type="expression" dxfId="13172" priority="2360">
      <formula>AC195&gt;AE195*#REF!</formula>
    </cfRule>
  </conditionalFormatting>
  <conditionalFormatting sqref="AC195:AE196">
    <cfRule type="expression" dxfId="13171" priority="2357">
      <formula>AC195&lt;AE195*#REF!</formula>
    </cfRule>
  </conditionalFormatting>
  <conditionalFormatting sqref="AC196:AE196">
    <cfRule type="expression" dxfId="13170" priority="2358">
      <formula>AC196&gt;AE196*#REF!</formula>
    </cfRule>
  </conditionalFormatting>
  <conditionalFormatting sqref="AC197:AE197">
    <cfRule type="expression" dxfId="13169" priority="2355">
      <formula>AC197&gt;AE197+#REF!</formula>
    </cfRule>
  </conditionalFormatting>
  <conditionalFormatting sqref="AC197:AE199">
    <cfRule type="expression" dxfId="13168" priority="2361">
      <formula>AC197&lt;AE197-#REF!</formula>
    </cfRule>
  </conditionalFormatting>
  <conditionalFormatting sqref="AC198:AE198">
    <cfRule type="expression" dxfId="13167" priority="2354">
      <formula>AC198&gt;AE198+#REF!</formula>
    </cfRule>
  </conditionalFormatting>
  <conditionalFormatting sqref="AC199:AE199">
    <cfRule type="expression" dxfId="13166" priority="2353">
      <formula>AC199&gt;AE199+#REF!</formula>
    </cfRule>
  </conditionalFormatting>
  <conditionalFormatting sqref="AC200:AE200">
    <cfRule type="expression" dxfId="13165" priority="2352">
      <formula>AC200&gt;AE200+#REF!</formula>
    </cfRule>
  </conditionalFormatting>
  <conditionalFormatting sqref="AC203:AE203">
    <cfRule type="expression" dxfId="13164" priority="2350">
      <formula>AC203&gt;AE203+#REF!</formula>
    </cfRule>
  </conditionalFormatting>
  <conditionalFormatting sqref="AC204:AE204">
    <cfRule type="expression" dxfId="13163" priority="2349">
      <formula>AC204&gt;AE204+#REF!</formula>
    </cfRule>
  </conditionalFormatting>
  <conditionalFormatting sqref="AC210:AE210">
    <cfRule type="expression" dxfId="13162" priority="2356">
      <formula>AC210&gt;AE210*#REF!</formula>
    </cfRule>
  </conditionalFormatting>
  <conditionalFormatting sqref="AC212:AE212">
    <cfRule type="expression" dxfId="13161" priority="2335">
      <formula>AC212&gt;AE212*#REF!</formula>
    </cfRule>
  </conditionalFormatting>
  <conditionalFormatting sqref="AC212:AE213">
    <cfRule type="expression" dxfId="13160" priority="2332">
      <formula>AC212&lt;AE212*#REF!</formula>
    </cfRule>
  </conditionalFormatting>
  <conditionalFormatting sqref="AC213:AE213">
    <cfRule type="expression" dxfId="13159" priority="2333">
      <formula>AC213&gt;AE213*#REF!</formula>
    </cfRule>
  </conditionalFormatting>
  <conditionalFormatting sqref="AC214:AE214">
    <cfRule type="expression" dxfId="13158" priority="2330">
      <formula>AC214&gt;AE214+#REF!</formula>
    </cfRule>
  </conditionalFormatting>
  <conditionalFormatting sqref="AC214:AE216">
    <cfRule type="expression" dxfId="13157" priority="2336">
      <formula>AC214&lt;AE214-#REF!</formula>
    </cfRule>
  </conditionalFormatting>
  <conditionalFormatting sqref="AC215:AE215">
    <cfRule type="expression" dxfId="13156" priority="2329">
      <formula>AC215&gt;AE215+#REF!</formula>
    </cfRule>
  </conditionalFormatting>
  <conditionalFormatting sqref="AC216:AE216">
    <cfRule type="expression" dxfId="13155" priority="2328">
      <formula>AC216&gt;AE216+#REF!</formula>
    </cfRule>
  </conditionalFormatting>
  <conditionalFormatting sqref="AC217:AE217">
    <cfRule type="expression" dxfId="13154" priority="2327">
      <formula>AC217&gt;AE217+#REF!</formula>
    </cfRule>
  </conditionalFormatting>
  <conditionalFormatting sqref="AC220:AE220">
    <cfRule type="expression" dxfId="13153" priority="2325">
      <formula>AC220&gt;AE220+#REF!</formula>
    </cfRule>
  </conditionalFormatting>
  <conditionalFormatting sqref="AC221:AE221">
    <cfRule type="expression" dxfId="13152" priority="2324">
      <formula>AC221&gt;AE221+#REF!</formula>
    </cfRule>
  </conditionalFormatting>
  <conditionalFormatting sqref="AC227:AE227">
    <cfRule type="expression" dxfId="13151" priority="2331">
      <formula>AC227&gt;AE227*#REF!</formula>
    </cfRule>
  </conditionalFormatting>
  <conditionalFormatting sqref="AC229:AE229">
    <cfRule type="expression" dxfId="13150" priority="2310">
      <formula>AC229&gt;AE229*#REF!</formula>
    </cfRule>
  </conditionalFormatting>
  <conditionalFormatting sqref="AC229:AE230">
    <cfRule type="expression" dxfId="13149" priority="2307">
      <formula>AC229&lt;AE229*#REF!</formula>
    </cfRule>
  </conditionalFormatting>
  <conditionalFormatting sqref="AC230:AE230">
    <cfRule type="expression" dxfId="13148" priority="2308">
      <formula>AC230&gt;AE230*#REF!</formula>
    </cfRule>
  </conditionalFormatting>
  <conditionalFormatting sqref="AC231:AE231">
    <cfRule type="expression" dxfId="13147" priority="2305">
      <formula>AC231&gt;AE231+#REF!</formula>
    </cfRule>
  </conditionalFormatting>
  <conditionalFormatting sqref="AC231:AE233">
    <cfRule type="expression" dxfId="13146" priority="2311">
      <formula>AC231&lt;AE231-#REF!</formula>
    </cfRule>
  </conditionalFormatting>
  <conditionalFormatting sqref="AC232:AE232">
    <cfRule type="expression" dxfId="13145" priority="2304">
      <formula>AC232&gt;AE232+#REF!</formula>
    </cfRule>
  </conditionalFormatting>
  <conditionalFormatting sqref="AC233:AE233">
    <cfRule type="expression" dxfId="13144" priority="2303">
      <formula>AC233&gt;AE233+#REF!</formula>
    </cfRule>
  </conditionalFormatting>
  <conditionalFormatting sqref="AC234:AE234">
    <cfRule type="expression" dxfId="13143" priority="2302">
      <formula>AC234&gt;AE234+#REF!</formula>
    </cfRule>
  </conditionalFormatting>
  <conditionalFormatting sqref="AC237:AE237">
    <cfRule type="expression" dxfId="13142" priority="2300">
      <formula>AC237&gt;AE237+#REF!</formula>
    </cfRule>
  </conditionalFormatting>
  <conditionalFormatting sqref="AC238:AE238">
    <cfRule type="expression" dxfId="13141" priority="2299">
      <formula>AC238&gt;AE238+#REF!</formula>
    </cfRule>
  </conditionalFormatting>
  <conditionalFormatting sqref="AC244:AE244">
    <cfRule type="expression" dxfId="13140" priority="2306">
      <formula>AC244&gt;AE244*#REF!</formula>
    </cfRule>
  </conditionalFormatting>
  <conditionalFormatting sqref="AC246:AE246">
    <cfRule type="expression" dxfId="13139" priority="2260">
      <formula>AC246&gt;AE246*#REF!</formula>
    </cfRule>
  </conditionalFormatting>
  <conditionalFormatting sqref="AC246:AE247">
    <cfRule type="expression" dxfId="13138" priority="2258">
      <formula>AC246&lt;AE246*#REF!</formula>
    </cfRule>
  </conditionalFormatting>
  <conditionalFormatting sqref="AC247:AE247">
    <cfRule type="expression" dxfId="13137" priority="2259">
      <formula>AC247&gt;AE247*#REF!</formula>
    </cfRule>
  </conditionalFormatting>
  <conditionalFormatting sqref="AC248:AE248">
    <cfRule type="expression" dxfId="13136" priority="2256">
      <formula>AC248&gt;AE248+#REF!</formula>
    </cfRule>
  </conditionalFormatting>
  <conditionalFormatting sqref="AC248:AE250">
    <cfRule type="expression" dxfId="13135" priority="2261">
      <formula>AC248&lt;AE248-#REF!</formula>
    </cfRule>
  </conditionalFormatting>
  <conditionalFormatting sqref="AC249:AE249">
    <cfRule type="expression" dxfId="13134" priority="2255">
      <formula>AC249&gt;AE249+#REF!</formula>
    </cfRule>
  </conditionalFormatting>
  <conditionalFormatting sqref="AC250:AE250">
    <cfRule type="expression" dxfId="13133" priority="2254">
      <formula>AC250&gt;AE250+#REF!</formula>
    </cfRule>
  </conditionalFormatting>
  <conditionalFormatting sqref="AC251:AE251">
    <cfRule type="expression" dxfId="13132" priority="2253">
      <formula>AC251&gt;AE251+#REF!</formula>
    </cfRule>
  </conditionalFormatting>
  <conditionalFormatting sqref="AC254:AE254">
    <cfRule type="expression" dxfId="13131" priority="2251">
      <formula>AC254&gt;AE254+#REF!</formula>
    </cfRule>
  </conditionalFormatting>
  <conditionalFormatting sqref="AC255:AE255">
    <cfRule type="expression" dxfId="13130" priority="2250">
      <formula>AC255&gt;AE255+#REF!</formula>
    </cfRule>
  </conditionalFormatting>
  <conditionalFormatting sqref="AC261:AE261">
    <cfRule type="expression" dxfId="13129" priority="2257">
      <formula>AC261&gt;AE261*#REF!</formula>
    </cfRule>
  </conditionalFormatting>
  <conditionalFormatting sqref="AC263:AE263">
    <cfRule type="expression" dxfId="13128" priority="2130">
      <formula>AC263&gt;AE263*#REF!</formula>
    </cfRule>
  </conditionalFormatting>
  <conditionalFormatting sqref="AC263:AE264">
    <cfRule type="expression" dxfId="13127" priority="2127">
      <formula>AC263&lt;AE263*#REF!</formula>
    </cfRule>
  </conditionalFormatting>
  <conditionalFormatting sqref="AC264:AE264">
    <cfRule type="expression" dxfId="13126" priority="2128">
      <formula>AC264&gt;AE264*#REF!</formula>
    </cfRule>
  </conditionalFormatting>
  <conditionalFormatting sqref="AC265:AE265">
    <cfRule type="expression" dxfId="13125" priority="2125">
      <formula>AC265&gt;AE265+#REF!</formula>
    </cfRule>
  </conditionalFormatting>
  <conditionalFormatting sqref="AC265:AE267">
    <cfRule type="expression" dxfId="13124" priority="2131">
      <formula>AC265&lt;AE265-#REF!</formula>
    </cfRule>
  </conditionalFormatting>
  <conditionalFormatting sqref="AC266:AE266">
    <cfRule type="expression" dxfId="13123" priority="2124">
      <formula>AC266&gt;AE266+#REF!</formula>
    </cfRule>
  </conditionalFormatting>
  <conditionalFormatting sqref="AC267:AE267">
    <cfRule type="expression" dxfId="13122" priority="2123">
      <formula>AC267&gt;AE267+#REF!</formula>
    </cfRule>
  </conditionalFormatting>
  <conditionalFormatting sqref="AC268:AE268">
    <cfRule type="expression" dxfId="13121" priority="2122">
      <formula>AC268&gt;AE268+#REF!</formula>
    </cfRule>
  </conditionalFormatting>
  <conditionalFormatting sqref="AC271:AE271">
    <cfRule type="expression" dxfId="13120" priority="2120">
      <formula>AC271&gt;AE271+#REF!</formula>
    </cfRule>
  </conditionalFormatting>
  <conditionalFormatting sqref="AC272:AE272">
    <cfRule type="expression" dxfId="13119" priority="2119">
      <formula>AC272&gt;AE272+#REF!</formula>
    </cfRule>
  </conditionalFormatting>
  <conditionalFormatting sqref="AC278:AE278">
    <cfRule type="expression" dxfId="13118" priority="2126">
      <formula>AC278&gt;AE278*#REF!</formula>
    </cfRule>
  </conditionalFormatting>
  <conditionalFormatting sqref="AC280:AE280">
    <cfRule type="expression" dxfId="13117" priority="2234">
      <formula>AC280&gt;AE280*#REF!</formula>
    </cfRule>
  </conditionalFormatting>
  <conditionalFormatting sqref="AC280:AE281">
    <cfRule type="expression" dxfId="13116" priority="2232">
      <formula>AC280&lt;AE280*#REF!</formula>
    </cfRule>
  </conditionalFormatting>
  <conditionalFormatting sqref="AC281:AE281">
    <cfRule type="expression" dxfId="13115" priority="2233">
      <formula>AC281&gt;AE281*#REF!</formula>
    </cfRule>
  </conditionalFormatting>
  <conditionalFormatting sqref="AC282:AE282">
    <cfRule type="expression" dxfId="13114" priority="2230">
      <formula>AC282&gt;AE282+#REF!</formula>
    </cfRule>
  </conditionalFormatting>
  <conditionalFormatting sqref="AC282:AE284">
    <cfRule type="expression" dxfId="13113" priority="2235">
      <formula>AC282&lt;AE282-#REF!</formula>
    </cfRule>
  </conditionalFormatting>
  <conditionalFormatting sqref="AC283:AE283">
    <cfRule type="expression" dxfId="13112" priority="2229">
      <formula>AC283&gt;AE283+#REF!</formula>
    </cfRule>
  </conditionalFormatting>
  <conditionalFormatting sqref="AC284:AE284">
    <cfRule type="expression" dxfId="13111" priority="2228">
      <formula>AC284&gt;AE284+#REF!</formula>
    </cfRule>
  </conditionalFormatting>
  <conditionalFormatting sqref="AC285:AE285">
    <cfRule type="expression" dxfId="13110" priority="2227">
      <formula>AC285&gt;AE285+#REF!</formula>
    </cfRule>
  </conditionalFormatting>
  <conditionalFormatting sqref="AC288:AE288">
    <cfRule type="expression" dxfId="13109" priority="2225">
      <formula>AC288&gt;AE288+#REF!</formula>
    </cfRule>
  </conditionalFormatting>
  <conditionalFormatting sqref="AC289:AE289">
    <cfRule type="expression" dxfId="13108" priority="2224">
      <formula>AC289&gt;AE289+#REF!</formula>
    </cfRule>
  </conditionalFormatting>
  <conditionalFormatting sqref="AC295:AE295">
    <cfRule type="expression" dxfId="13107" priority="2231">
      <formula>AC295&gt;AE295*#REF!</formula>
    </cfRule>
  </conditionalFormatting>
  <conditionalFormatting sqref="AC297:AE297">
    <cfRule type="expression" dxfId="13106" priority="2208">
      <formula>AC297&gt;AE297*#REF!</formula>
    </cfRule>
  </conditionalFormatting>
  <conditionalFormatting sqref="AC297:AE298">
    <cfRule type="expression" dxfId="13105" priority="2206">
      <formula>AC297&lt;AE297*#REF!</formula>
    </cfRule>
  </conditionalFormatting>
  <conditionalFormatting sqref="AC298:AE298">
    <cfRule type="expression" dxfId="13104" priority="2207">
      <formula>AC298&gt;AE298*#REF!</formula>
    </cfRule>
  </conditionalFormatting>
  <conditionalFormatting sqref="AC299:AE299">
    <cfRule type="expression" dxfId="13103" priority="2204">
      <formula>AC299&gt;AE299+#REF!</formula>
    </cfRule>
  </conditionalFormatting>
  <conditionalFormatting sqref="AC299:AE301">
    <cfRule type="expression" dxfId="13102" priority="2209">
      <formula>AC299&lt;AE299-#REF!</formula>
    </cfRule>
  </conditionalFormatting>
  <conditionalFormatting sqref="AC300:AE300">
    <cfRule type="expression" dxfId="13101" priority="2203">
      <formula>AC300&gt;AE300+#REF!</formula>
    </cfRule>
  </conditionalFormatting>
  <conditionalFormatting sqref="AC301:AE301">
    <cfRule type="expression" dxfId="13100" priority="2202">
      <formula>AC301&gt;AE301+#REF!</formula>
    </cfRule>
  </conditionalFormatting>
  <conditionalFormatting sqref="AC302:AE302">
    <cfRule type="expression" dxfId="13099" priority="2201">
      <formula>AC302&gt;AE302+#REF!</formula>
    </cfRule>
  </conditionalFormatting>
  <conditionalFormatting sqref="AC305:AE305">
    <cfRule type="expression" dxfId="13098" priority="2199">
      <formula>AC305&gt;AE305+#REF!</formula>
    </cfRule>
  </conditionalFormatting>
  <conditionalFormatting sqref="AC306:AE306">
    <cfRule type="expression" dxfId="13097" priority="2198">
      <formula>AC306&gt;AE306+#REF!</formula>
    </cfRule>
  </conditionalFormatting>
  <conditionalFormatting sqref="AC312:AE312">
    <cfRule type="expression" dxfId="13096" priority="2205">
      <formula>AC312&gt;AE312*#REF!</formula>
    </cfRule>
  </conditionalFormatting>
  <conditionalFormatting sqref="AC314:AE314">
    <cfRule type="expression" dxfId="13095" priority="2182">
      <formula>AC314&gt;AE314*#REF!</formula>
    </cfRule>
  </conditionalFormatting>
  <conditionalFormatting sqref="AC314:AE315">
    <cfRule type="expression" dxfId="13094" priority="2180">
      <formula>AC314&lt;AE314*#REF!</formula>
    </cfRule>
  </conditionalFormatting>
  <conditionalFormatting sqref="AC315:AE315">
    <cfRule type="expression" dxfId="13093" priority="2181">
      <formula>AC315&gt;AE315*#REF!</formula>
    </cfRule>
  </conditionalFormatting>
  <conditionalFormatting sqref="AC316:AE316">
    <cfRule type="expression" dxfId="13092" priority="2178">
      <formula>AC316&gt;AE316+#REF!</formula>
    </cfRule>
  </conditionalFormatting>
  <conditionalFormatting sqref="AC316:AE318">
    <cfRule type="expression" dxfId="13091" priority="2183">
      <formula>AC316&lt;AE316-#REF!</formula>
    </cfRule>
  </conditionalFormatting>
  <conditionalFormatting sqref="AC317:AE317">
    <cfRule type="expression" dxfId="13090" priority="2177">
      <formula>AC317&gt;AE317+#REF!</formula>
    </cfRule>
  </conditionalFormatting>
  <conditionalFormatting sqref="AC318:AE318">
    <cfRule type="expression" dxfId="13089" priority="2176">
      <formula>AC318&gt;AE318+#REF!</formula>
    </cfRule>
  </conditionalFormatting>
  <conditionalFormatting sqref="AC319:AE319">
    <cfRule type="expression" dxfId="13088" priority="2175">
      <formula>AC319&gt;AE319+#REF!</formula>
    </cfRule>
  </conditionalFormatting>
  <conditionalFormatting sqref="AC322:AE322">
    <cfRule type="expression" dxfId="13087" priority="2173">
      <formula>AC322&gt;AE322+#REF!</formula>
    </cfRule>
  </conditionalFormatting>
  <conditionalFormatting sqref="AC323:AE323">
    <cfRule type="expression" dxfId="13086" priority="2172">
      <formula>AC323&gt;AE323+#REF!</formula>
    </cfRule>
  </conditionalFormatting>
  <conditionalFormatting sqref="AC329:AE329">
    <cfRule type="expression" dxfId="13085" priority="2179">
      <formula>AC329&gt;AE329*#REF!</formula>
    </cfRule>
  </conditionalFormatting>
  <conditionalFormatting sqref="AC331:AE331">
    <cfRule type="expression" dxfId="13084" priority="2156">
      <formula>AC331&gt;AE331*#REF!</formula>
    </cfRule>
  </conditionalFormatting>
  <conditionalFormatting sqref="AC331:AE332">
    <cfRule type="expression" dxfId="13083" priority="2154">
      <formula>AC331&lt;AE331*#REF!</formula>
    </cfRule>
  </conditionalFormatting>
  <conditionalFormatting sqref="AC332:AE332">
    <cfRule type="expression" dxfId="13082" priority="2155">
      <formula>AC332&gt;AE332*#REF!</formula>
    </cfRule>
  </conditionalFormatting>
  <conditionalFormatting sqref="AC333:AE333">
    <cfRule type="expression" dxfId="13081" priority="2152">
      <formula>AC333&gt;AE333+#REF!</formula>
    </cfRule>
  </conditionalFormatting>
  <conditionalFormatting sqref="AC333:AE335">
    <cfRule type="expression" dxfId="13080" priority="2157">
      <formula>AC333&lt;AE333-#REF!</formula>
    </cfRule>
  </conditionalFormatting>
  <conditionalFormatting sqref="AC334:AE334">
    <cfRule type="expression" dxfId="13079" priority="2151">
      <formula>AC334&gt;AE334+#REF!</formula>
    </cfRule>
  </conditionalFormatting>
  <conditionalFormatting sqref="AC335:AE335">
    <cfRule type="expression" dxfId="13078" priority="2150">
      <formula>AC335&gt;AE335+#REF!</formula>
    </cfRule>
  </conditionalFormatting>
  <conditionalFormatting sqref="AC336:AE336">
    <cfRule type="expression" dxfId="13077" priority="2149">
      <formula>AC336&gt;AE336+#REF!</formula>
    </cfRule>
  </conditionalFormatting>
  <conditionalFormatting sqref="AC339:AE339">
    <cfRule type="expression" dxfId="13076" priority="2147">
      <formula>AC339&gt;AE339+#REF!</formula>
    </cfRule>
  </conditionalFormatting>
  <conditionalFormatting sqref="AC340:AE340">
    <cfRule type="expression" dxfId="13075" priority="2146">
      <formula>AC340&gt;AE340+#REF!</formula>
    </cfRule>
  </conditionalFormatting>
  <conditionalFormatting sqref="AC346:AE346">
    <cfRule type="expression" dxfId="13074" priority="2153">
      <formula>AC346&gt;AE346*#REF!</formula>
    </cfRule>
  </conditionalFormatting>
  <conditionalFormatting sqref="AC348:AE348">
    <cfRule type="expression" dxfId="13073" priority="2285">
      <formula>AC348&gt;AE348*#REF!</formula>
    </cfRule>
  </conditionalFormatting>
  <conditionalFormatting sqref="AC348:AE349">
    <cfRule type="expression" dxfId="13072" priority="2282">
      <formula>AC348&lt;AE348*#REF!</formula>
    </cfRule>
  </conditionalFormatting>
  <conditionalFormatting sqref="AC349:AE349">
    <cfRule type="expression" dxfId="13071" priority="2283">
      <formula>AC349&gt;AE349*#REF!</formula>
    </cfRule>
  </conditionalFormatting>
  <conditionalFormatting sqref="AC350:AE350">
    <cfRule type="expression" dxfId="13070" priority="2280">
      <formula>AC350&gt;AE350+#REF!</formula>
    </cfRule>
  </conditionalFormatting>
  <conditionalFormatting sqref="AC350:AE352">
    <cfRule type="expression" dxfId="13069" priority="2286">
      <formula>AC350&lt;AE350-#REF!</formula>
    </cfRule>
  </conditionalFormatting>
  <conditionalFormatting sqref="AC351:AE351">
    <cfRule type="expression" dxfId="13068" priority="2279">
      <formula>AC351&gt;AE351+#REF!</formula>
    </cfRule>
  </conditionalFormatting>
  <conditionalFormatting sqref="AC352:AE352">
    <cfRule type="expression" dxfId="13067" priority="2278">
      <formula>AC352&gt;AE352+#REF!</formula>
    </cfRule>
  </conditionalFormatting>
  <conditionalFormatting sqref="AC353:AE353">
    <cfRule type="expression" dxfId="13066" priority="2277">
      <formula>AC353&gt;AE353+#REF!</formula>
    </cfRule>
  </conditionalFormatting>
  <conditionalFormatting sqref="AC356:AE356">
    <cfRule type="expression" dxfId="13065" priority="2275">
      <formula>AC356&gt;AE356+#REF!</formula>
    </cfRule>
  </conditionalFormatting>
  <conditionalFormatting sqref="AC357:AE357">
    <cfRule type="expression" dxfId="13064" priority="2274">
      <formula>AC357&gt;AE357+#REF!</formula>
    </cfRule>
  </conditionalFormatting>
  <conditionalFormatting sqref="AC363:AE363">
    <cfRule type="expression" dxfId="13063" priority="2281">
      <formula>AC363&gt;AE363*#REF!</formula>
    </cfRule>
  </conditionalFormatting>
  <conditionalFormatting sqref="AD14:AD15">
    <cfRule type="expression" dxfId="13062" priority="2570">
      <formula>AD14&gt;AF14+#REF!</formula>
    </cfRule>
    <cfRule type="expression" dxfId="13061" priority="2571">
      <formula>AD14&lt;AF14-#REF!</formula>
    </cfRule>
  </conditionalFormatting>
  <conditionalFormatting sqref="AD18:AD19">
    <cfRule type="expression" dxfId="13060" priority="2568">
      <formula>AD18&gt;AF18+#REF!</formula>
    </cfRule>
  </conditionalFormatting>
  <conditionalFormatting sqref="AD18:AD22">
    <cfRule type="expression" dxfId="13059" priority="2569">
      <formula>AD18&lt;AF18-#REF!</formula>
    </cfRule>
  </conditionalFormatting>
  <conditionalFormatting sqref="AD20:AD22">
    <cfRule type="expression" dxfId="13058" priority="2567">
      <formula>AD20&gt;AF20+#REF!</formula>
    </cfRule>
  </conditionalFormatting>
  <conditionalFormatting sqref="AD31:AD32">
    <cfRule type="expression" dxfId="13057" priority="2545">
      <formula>AD31&gt;AF31+#REF!</formula>
    </cfRule>
    <cfRule type="expression" dxfId="13056" priority="2546">
      <formula>AD31&lt;AF31-#REF!</formula>
    </cfRule>
  </conditionalFormatting>
  <conditionalFormatting sqref="AD35:AD36">
    <cfRule type="expression" dxfId="13055" priority="2543">
      <formula>AD35&gt;AF35+#REF!</formula>
    </cfRule>
  </conditionalFormatting>
  <conditionalFormatting sqref="AD35:AD39">
    <cfRule type="expression" dxfId="13054" priority="2544">
      <formula>AD35&lt;AF35-#REF!</formula>
    </cfRule>
  </conditionalFormatting>
  <conditionalFormatting sqref="AD37:AD39">
    <cfRule type="expression" dxfId="13053" priority="2542">
      <formula>AD37&gt;AF37+#REF!</formula>
    </cfRule>
  </conditionalFormatting>
  <conditionalFormatting sqref="AD48:AD49">
    <cfRule type="expression" dxfId="13052" priority="2520">
      <formula>AD48&gt;AF48+#REF!</formula>
    </cfRule>
    <cfRule type="expression" dxfId="13051" priority="2521">
      <formula>AD48&lt;AF48-#REF!</formula>
    </cfRule>
  </conditionalFormatting>
  <conditionalFormatting sqref="AD52:AD53">
    <cfRule type="expression" dxfId="13050" priority="2518">
      <formula>AD52&gt;AF52+#REF!</formula>
    </cfRule>
  </conditionalFormatting>
  <conditionalFormatting sqref="AD52:AD56">
    <cfRule type="expression" dxfId="13049" priority="2519">
      <formula>AD52&lt;AF52-#REF!</formula>
    </cfRule>
  </conditionalFormatting>
  <conditionalFormatting sqref="AD54:AD56">
    <cfRule type="expression" dxfId="13048" priority="2517">
      <formula>AD54&gt;AF54+#REF!</formula>
    </cfRule>
  </conditionalFormatting>
  <conditionalFormatting sqref="AD65:AD66">
    <cfRule type="expression" dxfId="13047" priority="2495">
      <formula>AD65&gt;AF65+#REF!</formula>
    </cfRule>
    <cfRule type="expression" dxfId="13046" priority="2496">
      <formula>AD65&lt;AF65-#REF!</formula>
    </cfRule>
  </conditionalFormatting>
  <conditionalFormatting sqref="AD69:AD70">
    <cfRule type="expression" dxfId="13045" priority="2493">
      <formula>AD69&gt;AF69+#REF!</formula>
    </cfRule>
  </conditionalFormatting>
  <conditionalFormatting sqref="AD69:AD73">
    <cfRule type="expression" dxfId="13044" priority="2494">
      <formula>AD69&lt;AF69-#REF!</formula>
    </cfRule>
  </conditionalFormatting>
  <conditionalFormatting sqref="AD71:AD73">
    <cfRule type="expression" dxfId="13043" priority="2492">
      <formula>AD71&gt;AF71+#REF!</formula>
    </cfRule>
  </conditionalFormatting>
  <conditionalFormatting sqref="AD82:AD83">
    <cfRule type="expression" dxfId="13042" priority="2470">
      <formula>AD82&gt;AF82+#REF!</formula>
    </cfRule>
    <cfRule type="expression" dxfId="13041" priority="2471">
      <formula>AD82&lt;AF82-#REF!</formula>
    </cfRule>
  </conditionalFormatting>
  <conditionalFormatting sqref="AD86:AD87">
    <cfRule type="expression" dxfId="13040" priority="2468">
      <formula>AD86&gt;AF86+#REF!</formula>
    </cfRule>
  </conditionalFormatting>
  <conditionalFormatting sqref="AD86:AD90">
    <cfRule type="expression" dxfId="13039" priority="2469">
      <formula>AD86&lt;AF86-#REF!</formula>
    </cfRule>
  </conditionalFormatting>
  <conditionalFormatting sqref="AD88:AD90">
    <cfRule type="expression" dxfId="13038" priority="2467">
      <formula>AD88&gt;AF88+#REF!</formula>
    </cfRule>
  </conditionalFormatting>
  <conditionalFormatting sqref="AD99:AD100">
    <cfRule type="expression" dxfId="13037" priority="2445">
      <formula>AD99&gt;AF99+#REF!</formula>
    </cfRule>
    <cfRule type="expression" dxfId="13036" priority="2446">
      <formula>AD99&lt;AF99-#REF!</formula>
    </cfRule>
  </conditionalFormatting>
  <conditionalFormatting sqref="AD103:AD104">
    <cfRule type="expression" dxfId="13035" priority="2443">
      <formula>AD103&gt;AF103+#REF!</formula>
    </cfRule>
  </conditionalFormatting>
  <conditionalFormatting sqref="AD103:AD107">
    <cfRule type="expression" dxfId="13034" priority="2444">
      <formula>AD103&lt;AF103-#REF!</formula>
    </cfRule>
  </conditionalFormatting>
  <conditionalFormatting sqref="AD105:AD107">
    <cfRule type="expression" dxfId="13033" priority="2442">
      <formula>AD105&gt;AF105+#REF!</formula>
    </cfRule>
  </conditionalFormatting>
  <conditionalFormatting sqref="AD116:AD117">
    <cfRule type="expression" dxfId="13032" priority="2420">
      <formula>AD116&gt;AF116+#REF!</formula>
    </cfRule>
    <cfRule type="expression" dxfId="13031" priority="2421">
      <formula>AD116&lt;AF116-#REF!</formula>
    </cfRule>
  </conditionalFormatting>
  <conditionalFormatting sqref="AD120:AD121">
    <cfRule type="expression" dxfId="13030" priority="2418">
      <formula>AD120&gt;AF120+#REF!</formula>
    </cfRule>
  </conditionalFormatting>
  <conditionalFormatting sqref="AD120:AD124">
    <cfRule type="expression" dxfId="13029" priority="2419">
      <formula>AD120&lt;AF120-#REF!</formula>
    </cfRule>
  </conditionalFormatting>
  <conditionalFormatting sqref="AD122:AD124">
    <cfRule type="expression" dxfId="13028" priority="2417">
      <formula>AD122&gt;AF122+#REF!</formula>
    </cfRule>
  </conditionalFormatting>
  <conditionalFormatting sqref="AD167:AD168">
    <cfRule type="expression" dxfId="13027" priority="2395">
      <formula>AD167&gt;AF167+#REF!</formula>
    </cfRule>
    <cfRule type="expression" dxfId="13026" priority="2396">
      <formula>AD167&lt;AF167-#REF!</formula>
    </cfRule>
  </conditionalFormatting>
  <conditionalFormatting sqref="AD171:AD172">
    <cfRule type="expression" dxfId="13025" priority="2393">
      <formula>AD171&gt;AF171+#REF!</formula>
    </cfRule>
  </conditionalFormatting>
  <conditionalFormatting sqref="AD171:AD175">
    <cfRule type="expression" dxfId="13024" priority="2394">
      <formula>AD171&lt;AF171-#REF!</formula>
    </cfRule>
  </conditionalFormatting>
  <conditionalFormatting sqref="AD173:AD175">
    <cfRule type="expression" dxfId="13023" priority="2392">
      <formula>AD173&gt;AF173+#REF!</formula>
    </cfRule>
  </conditionalFormatting>
  <conditionalFormatting sqref="AD184:AD185">
    <cfRule type="expression" dxfId="13022" priority="2370">
      <formula>AD184&gt;AF184+#REF!</formula>
    </cfRule>
    <cfRule type="expression" dxfId="13021" priority="2371">
      <formula>AD184&lt;AF184-#REF!</formula>
    </cfRule>
  </conditionalFormatting>
  <conditionalFormatting sqref="AD188:AD189">
    <cfRule type="expression" dxfId="13020" priority="2368">
      <formula>AD188&gt;AF188+#REF!</formula>
    </cfRule>
  </conditionalFormatting>
  <conditionalFormatting sqref="AD188:AD192">
    <cfRule type="expression" dxfId="13019" priority="2369">
      <formula>AD188&lt;AF188-#REF!</formula>
    </cfRule>
  </conditionalFormatting>
  <conditionalFormatting sqref="AD190:AD192">
    <cfRule type="expression" dxfId="13018" priority="2367">
      <formula>AD190&gt;AF190+#REF!</formula>
    </cfRule>
  </conditionalFormatting>
  <conditionalFormatting sqref="AD201:AD202">
    <cfRule type="expression" dxfId="13017" priority="2345">
      <formula>AD201&gt;AF201+#REF!</formula>
    </cfRule>
    <cfRule type="expression" dxfId="13016" priority="2346">
      <formula>AD201&lt;AF201-#REF!</formula>
    </cfRule>
  </conditionalFormatting>
  <conditionalFormatting sqref="AD205:AD206">
    <cfRule type="expression" dxfId="13015" priority="2343">
      <formula>AD205&gt;AF205+#REF!</formula>
    </cfRule>
  </conditionalFormatting>
  <conditionalFormatting sqref="AD205:AD209">
    <cfRule type="expression" dxfId="13014" priority="2344">
      <formula>AD205&lt;AF205-#REF!</formula>
    </cfRule>
  </conditionalFormatting>
  <conditionalFormatting sqref="AD207:AD209">
    <cfRule type="expression" dxfId="13013" priority="2342">
      <formula>AD207&gt;AF207+#REF!</formula>
    </cfRule>
  </conditionalFormatting>
  <conditionalFormatting sqref="AD218:AD219">
    <cfRule type="expression" dxfId="13012" priority="2320">
      <formula>AD218&gt;AF218+#REF!</formula>
    </cfRule>
    <cfRule type="expression" dxfId="13011" priority="2321">
      <formula>AD218&lt;AF218-#REF!</formula>
    </cfRule>
  </conditionalFormatting>
  <conditionalFormatting sqref="AD222:AD223">
    <cfRule type="expression" dxfId="13010" priority="2318">
      <formula>AD222&gt;AF222+#REF!</formula>
    </cfRule>
  </conditionalFormatting>
  <conditionalFormatting sqref="AD222:AD226">
    <cfRule type="expression" dxfId="13009" priority="2319">
      <formula>AD222&lt;AF222-#REF!</formula>
    </cfRule>
  </conditionalFormatting>
  <conditionalFormatting sqref="AD224:AD226">
    <cfRule type="expression" dxfId="13008" priority="2317">
      <formula>AD224&gt;AF224+#REF!</formula>
    </cfRule>
  </conditionalFormatting>
  <conditionalFormatting sqref="AD235:AD236">
    <cfRule type="expression" dxfId="13007" priority="2295">
      <formula>AD235&gt;AF235+#REF!</formula>
    </cfRule>
    <cfRule type="expression" dxfId="13006" priority="2296">
      <formula>AD235&lt;AF235-#REF!</formula>
    </cfRule>
  </conditionalFormatting>
  <conditionalFormatting sqref="AD239:AD240">
    <cfRule type="expression" dxfId="13005" priority="2293">
      <formula>AD239&gt;AF239+#REF!</formula>
    </cfRule>
  </conditionalFormatting>
  <conditionalFormatting sqref="AD239:AD243">
    <cfRule type="expression" dxfId="13004" priority="2294">
      <formula>AD239&lt;AF239-#REF!</formula>
    </cfRule>
  </conditionalFormatting>
  <conditionalFormatting sqref="AD241:AD243">
    <cfRule type="expression" dxfId="13003" priority="2292">
      <formula>AD241&gt;AF241+#REF!</formula>
    </cfRule>
  </conditionalFormatting>
  <conditionalFormatting sqref="AD252:AD253">
    <cfRule type="expression" dxfId="13002" priority="2246">
      <formula>AD252&gt;AF252+#REF!</formula>
    </cfRule>
    <cfRule type="expression" dxfId="13001" priority="2247">
      <formula>AD252&lt;AF252-#REF!</formula>
    </cfRule>
  </conditionalFormatting>
  <conditionalFormatting sqref="AD256:AD257">
    <cfRule type="expression" dxfId="13000" priority="2244">
      <formula>AD256&gt;AF256+#REF!</formula>
    </cfRule>
  </conditionalFormatting>
  <conditionalFormatting sqref="AD256:AD259">
    <cfRule type="expression" dxfId="12999" priority="2245">
      <formula>AD256&lt;AF256-#REF!</formula>
    </cfRule>
  </conditionalFormatting>
  <conditionalFormatting sqref="AD258:AD259">
    <cfRule type="expression" dxfId="12998" priority="2243">
      <formula>AD258&gt;AF258+#REF!</formula>
    </cfRule>
  </conditionalFormatting>
  <conditionalFormatting sqref="AD260">
    <cfRule type="expression" dxfId="12997" priority="2237">
      <formula>AD260&gt;AF260+#REF!</formula>
    </cfRule>
  </conditionalFormatting>
  <conditionalFormatting sqref="AD269:AD270">
    <cfRule type="expression" dxfId="12996" priority="2115">
      <formula>AD269&gt;AF269+#REF!</formula>
    </cfRule>
    <cfRule type="expression" dxfId="12995" priority="2116">
      <formula>AD269&lt;AF269-#REF!</formula>
    </cfRule>
  </conditionalFormatting>
  <conditionalFormatting sqref="AD273:AD274">
    <cfRule type="expression" dxfId="12994" priority="2113">
      <formula>AD273&gt;AF273+#REF!</formula>
    </cfRule>
  </conditionalFormatting>
  <conditionalFormatting sqref="AD273:AD277">
    <cfRule type="expression" dxfId="12993" priority="2114">
      <formula>AD273&lt;AF273-#REF!</formula>
    </cfRule>
  </conditionalFormatting>
  <conditionalFormatting sqref="AD275:AD277">
    <cfRule type="expression" dxfId="12992" priority="2112">
      <formula>AD275&gt;AF275+#REF!</formula>
    </cfRule>
  </conditionalFormatting>
  <conditionalFormatting sqref="AD286:AD287">
    <cfRule type="expression" dxfId="12991" priority="2220">
      <formula>AD286&gt;AF286+#REF!</formula>
    </cfRule>
    <cfRule type="expression" dxfId="12990" priority="2221">
      <formula>AD286&lt;AF286-#REF!</formula>
    </cfRule>
  </conditionalFormatting>
  <conditionalFormatting sqref="AD290:AD291">
    <cfRule type="expression" dxfId="12989" priority="2218">
      <formula>AD290&gt;AF290+#REF!</formula>
    </cfRule>
  </conditionalFormatting>
  <conditionalFormatting sqref="AD290:AD293">
    <cfRule type="expression" dxfId="12988" priority="2219">
      <formula>AD290&lt;AF290-#REF!</formula>
    </cfRule>
  </conditionalFormatting>
  <conditionalFormatting sqref="AD292:AD293">
    <cfRule type="expression" dxfId="12987" priority="2217">
      <formula>AD292&gt;AF292+#REF!</formula>
    </cfRule>
  </conditionalFormatting>
  <conditionalFormatting sqref="AD294">
    <cfRule type="expression" dxfId="12986" priority="2211">
      <formula>AD294&gt;AF294+#REF!</formula>
    </cfRule>
  </conditionalFormatting>
  <conditionalFormatting sqref="AD303:AD304">
    <cfRule type="expression" dxfId="12985" priority="2194">
      <formula>AD303&gt;AF303+#REF!</formula>
    </cfRule>
    <cfRule type="expression" dxfId="12984" priority="2195">
      <formula>AD303&lt;AF303-#REF!</formula>
    </cfRule>
  </conditionalFormatting>
  <conditionalFormatting sqref="AD307:AD308">
    <cfRule type="expression" dxfId="12983" priority="2192">
      <formula>AD307&gt;AF307+#REF!</formula>
    </cfRule>
  </conditionalFormatting>
  <conditionalFormatting sqref="AD307:AD310">
    <cfRule type="expression" dxfId="12982" priority="2193">
      <formula>AD307&lt;AF307-#REF!</formula>
    </cfRule>
  </conditionalFormatting>
  <conditionalFormatting sqref="AD309:AD310">
    <cfRule type="expression" dxfId="12981" priority="2191">
      <formula>AD309&gt;AF309+#REF!</formula>
    </cfRule>
  </conditionalFormatting>
  <conditionalFormatting sqref="AD311">
    <cfRule type="expression" dxfId="12980" priority="2185">
      <formula>AD311&gt;AF311+#REF!</formula>
    </cfRule>
  </conditionalFormatting>
  <conditionalFormatting sqref="AD320:AD321">
    <cfRule type="expression" dxfId="12979" priority="2168">
      <formula>AD320&gt;AF320+#REF!</formula>
    </cfRule>
    <cfRule type="expression" dxfId="12978" priority="2169">
      <formula>AD320&lt;AF320-#REF!</formula>
    </cfRule>
  </conditionalFormatting>
  <conditionalFormatting sqref="AD324:AD325">
    <cfRule type="expression" dxfId="12977" priority="2166">
      <formula>AD324&gt;AF324+#REF!</formula>
    </cfRule>
  </conditionalFormatting>
  <conditionalFormatting sqref="AD324:AD327">
    <cfRule type="expression" dxfId="12976" priority="2167">
      <formula>AD324&lt;AF324-#REF!</formula>
    </cfRule>
  </conditionalFormatting>
  <conditionalFormatting sqref="AD326:AD327">
    <cfRule type="expression" dxfId="12975" priority="2165">
      <formula>AD326&gt;AF326+#REF!</formula>
    </cfRule>
  </conditionalFormatting>
  <conditionalFormatting sqref="AD328">
    <cfRule type="expression" dxfId="12974" priority="2159">
      <formula>AD328&gt;AF328+#REF!</formula>
    </cfRule>
  </conditionalFormatting>
  <conditionalFormatting sqref="AD337:AD338">
    <cfRule type="expression" dxfId="12973" priority="2142">
      <formula>AD337&gt;AF337+#REF!</formula>
    </cfRule>
    <cfRule type="expression" dxfId="12972" priority="2143">
      <formula>AD337&lt;AF337-#REF!</formula>
    </cfRule>
  </conditionalFormatting>
  <conditionalFormatting sqref="AD341:AD342">
    <cfRule type="expression" dxfId="12971" priority="2140">
      <formula>AD341&gt;AF341+#REF!</formula>
    </cfRule>
  </conditionalFormatting>
  <conditionalFormatting sqref="AD341:AD344">
    <cfRule type="expression" dxfId="12970" priority="2141">
      <formula>AD341&lt;AF341-#REF!</formula>
    </cfRule>
  </conditionalFormatting>
  <conditionalFormatting sqref="AD343:AD344">
    <cfRule type="expression" dxfId="12969" priority="2139">
      <formula>AD343&gt;AF343+#REF!</formula>
    </cfRule>
  </conditionalFormatting>
  <conditionalFormatting sqref="AD345">
    <cfRule type="expression" dxfId="12968" priority="2133">
      <formula>AD345&gt;AF345+#REF!</formula>
    </cfRule>
  </conditionalFormatting>
  <conditionalFormatting sqref="AD354:AD355">
    <cfRule type="expression" dxfId="12967" priority="2270">
      <formula>AD354&gt;AF354+#REF!</formula>
    </cfRule>
    <cfRule type="expression" dxfId="12966" priority="2271">
      <formula>AD354&lt;AF354-#REF!</formula>
    </cfRule>
  </conditionalFormatting>
  <conditionalFormatting sqref="AD358:AD359">
    <cfRule type="expression" dxfId="12965" priority="2268">
      <formula>AD358&gt;AF358+#REF!</formula>
    </cfRule>
  </conditionalFormatting>
  <conditionalFormatting sqref="AD358:AD362">
    <cfRule type="expression" dxfId="12964" priority="2269">
      <formula>AD358&lt;AF358-#REF!</formula>
    </cfRule>
  </conditionalFormatting>
  <conditionalFormatting sqref="AD360:AD362">
    <cfRule type="expression" dxfId="12963" priority="2267">
      <formula>AD360&gt;AF360+#REF!</formula>
    </cfRule>
  </conditionalFormatting>
  <conditionalFormatting sqref="AE14:AE15">
    <cfRule type="expression" dxfId="12962" priority="2565">
      <formula>AE14&gt;AG14+#REF!</formula>
    </cfRule>
    <cfRule type="expression" dxfId="12961" priority="2566">
      <formula>AE14&lt;AG14-#REF!</formula>
    </cfRule>
  </conditionalFormatting>
  <conditionalFormatting sqref="AE18:AE19">
    <cfRule type="expression" dxfId="12960" priority="2563">
      <formula>AE18&gt;AG18+#REF!</formula>
    </cfRule>
    <cfRule type="expression" dxfId="12959" priority="2564">
      <formula>AE18&lt;AG18-#REF!</formula>
    </cfRule>
  </conditionalFormatting>
  <conditionalFormatting sqref="AE20:AE22">
    <cfRule type="expression" dxfId="12958" priority="2562">
      <formula>AE20&gt;AG20+#REF!</formula>
    </cfRule>
  </conditionalFormatting>
  <conditionalFormatting sqref="AE31:AE32">
    <cfRule type="expression" dxfId="12957" priority="2540">
      <formula>AE31&gt;AG31+#REF!</formula>
    </cfRule>
    <cfRule type="expression" dxfId="12956" priority="2541">
      <formula>AE31&lt;AG31-#REF!</formula>
    </cfRule>
  </conditionalFormatting>
  <conditionalFormatting sqref="AE35:AE36">
    <cfRule type="expression" dxfId="12955" priority="2538">
      <formula>AE35&gt;AG35+#REF!</formula>
    </cfRule>
    <cfRule type="expression" dxfId="12954" priority="2539">
      <formula>AE35&lt;AG35-#REF!</formula>
    </cfRule>
  </conditionalFormatting>
  <conditionalFormatting sqref="AE37:AE39">
    <cfRule type="expression" dxfId="12953" priority="2537">
      <formula>AE37&gt;AG37+#REF!</formula>
    </cfRule>
  </conditionalFormatting>
  <conditionalFormatting sqref="AE48:AE49">
    <cfRule type="expression" dxfId="12952" priority="2515">
      <formula>AE48&gt;AG48+#REF!</formula>
    </cfRule>
    <cfRule type="expression" dxfId="12951" priority="2516">
      <formula>AE48&lt;AG48-#REF!</formula>
    </cfRule>
  </conditionalFormatting>
  <conditionalFormatting sqref="AE52:AE53">
    <cfRule type="expression" dxfId="12950" priority="2513">
      <formula>AE52&gt;AG52+#REF!</formula>
    </cfRule>
    <cfRule type="expression" dxfId="12949" priority="2514">
      <formula>AE52&lt;AG52-#REF!</formula>
    </cfRule>
  </conditionalFormatting>
  <conditionalFormatting sqref="AE54:AE56">
    <cfRule type="expression" dxfId="12948" priority="2512">
      <formula>AE54&gt;AG54+#REF!</formula>
    </cfRule>
  </conditionalFormatting>
  <conditionalFormatting sqref="AE65:AE66">
    <cfRule type="expression" dxfId="12947" priority="2490">
      <formula>AE65&gt;AG65+#REF!</formula>
    </cfRule>
    <cfRule type="expression" dxfId="12946" priority="2491">
      <formula>AE65&lt;AG65-#REF!</formula>
    </cfRule>
  </conditionalFormatting>
  <conditionalFormatting sqref="AE69:AE70">
    <cfRule type="expression" dxfId="12945" priority="2488">
      <formula>AE69&gt;AG69+#REF!</formula>
    </cfRule>
    <cfRule type="expression" dxfId="12944" priority="2489">
      <formula>AE69&lt;AG69-#REF!</formula>
    </cfRule>
  </conditionalFormatting>
  <conditionalFormatting sqref="AE71:AE73">
    <cfRule type="expression" dxfId="12943" priority="2487">
      <formula>AE71&gt;AG71+#REF!</formula>
    </cfRule>
  </conditionalFormatting>
  <conditionalFormatting sqref="AE82:AE83">
    <cfRule type="expression" dxfId="12942" priority="2465">
      <formula>AE82&gt;AG82+#REF!</formula>
    </cfRule>
    <cfRule type="expression" dxfId="12941" priority="2466">
      <formula>AE82&lt;AG82-#REF!</formula>
    </cfRule>
  </conditionalFormatting>
  <conditionalFormatting sqref="AE86:AE87">
    <cfRule type="expression" dxfId="12940" priority="2463">
      <formula>AE86&gt;AG86+#REF!</formula>
    </cfRule>
    <cfRule type="expression" dxfId="12939" priority="2464">
      <formula>AE86&lt;AG86-#REF!</formula>
    </cfRule>
  </conditionalFormatting>
  <conditionalFormatting sqref="AE88:AE90">
    <cfRule type="expression" dxfId="12938" priority="2462">
      <formula>AE88&gt;AG88+#REF!</formula>
    </cfRule>
  </conditionalFormatting>
  <conditionalFormatting sqref="AE99:AE100">
    <cfRule type="expression" dxfId="12937" priority="2440">
      <formula>AE99&gt;AG99+#REF!</formula>
    </cfRule>
    <cfRule type="expression" dxfId="12936" priority="2441">
      <formula>AE99&lt;AG99-#REF!</formula>
    </cfRule>
  </conditionalFormatting>
  <conditionalFormatting sqref="AE103:AE104">
    <cfRule type="expression" dxfId="12935" priority="2438">
      <formula>AE103&gt;AG103+#REF!</formula>
    </cfRule>
    <cfRule type="expression" dxfId="12934" priority="2439">
      <formula>AE103&lt;AG103-#REF!</formula>
    </cfRule>
  </conditionalFormatting>
  <conditionalFormatting sqref="AE105:AE107">
    <cfRule type="expression" dxfId="12933" priority="2437">
      <formula>AE105&gt;AG105+#REF!</formula>
    </cfRule>
  </conditionalFormatting>
  <conditionalFormatting sqref="AE116:AE117">
    <cfRule type="expression" dxfId="12932" priority="2415">
      <formula>AE116&gt;AG116+#REF!</formula>
    </cfRule>
    <cfRule type="expression" dxfId="12931" priority="2416">
      <formula>AE116&lt;AG116-#REF!</formula>
    </cfRule>
  </conditionalFormatting>
  <conditionalFormatting sqref="AE120:AE121">
    <cfRule type="expression" dxfId="12930" priority="2413">
      <formula>AE120&gt;AG120+#REF!</formula>
    </cfRule>
    <cfRule type="expression" dxfId="12929" priority="2414">
      <formula>AE120&lt;AG120-#REF!</formula>
    </cfRule>
  </conditionalFormatting>
  <conditionalFormatting sqref="AE122:AE124">
    <cfRule type="expression" dxfId="12928" priority="2412">
      <formula>AE122&gt;AG122+#REF!</formula>
    </cfRule>
  </conditionalFormatting>
  <conditionalFormatting sqref="AE167:AE168">
    <cfRule type="expression" dxfId="12927" priority="2390">
      <formula>AE167&gt;AG167+#REF!</formula>
    </cfRule>
    <cfRule type="expression" dxfId="12926" priority="2391">
      <formula>AE167&lt;AG167-#REF!</formula>
    </cfRule>
  </conditionalFormatting>
  <conditionalFormatting sqref="AE171:AE172">
    <cfRule type="expression" dxfId="12925" priority="2388">
      <formula>AE171&gt;AG171+#REF!</formula>
    </cfRule>
    <cfRule type="expression" dxfId="12924" priority="2389">
      <formula>AE171&lt;AG171-#REF!</formula>
    </cfRule>
  </conditionalFormatting>
  <conditionalFormatting sqref="AE173:AE175">
    <cfRule type="expression" dxfId="12923" priority="2387">
      <formula>AE173&gt;AG173+#REF!</formula>
    </cfRule>
  </conditionalFormatting>
  <conditionalFormatting sqref="AE184:AE185">
    <cfRule type="expression" dxfId="12922" priority="2365">
      <formula>AE184&gt;AG184+#REF!</formula>
    </cfRule>
    <cfRule type="expression" dxfId="12921" priority="2366">
      <formula>AE184&lt;AG184-#REF!</formula>
    </cfRule>
  </conditionalFormatting>
  <conditionalFormatting sqref="AE188:AE189">
    <cfRule type="expression" dxfId="12920" priority="2363">
      <formula>AE188&gt;AG188+#REF!</formula>
    </cfRule>
    <cfRule type="expression" dxfId="12919" priority="2364">
      <formula>AE188&lt;AG188-#REF!</formula>
    </cfRule>
  </conditionalFormatting>
  <conditionalFormatting sqref="AE190:AE192">
    <cfRule type="expression" dxfId="12918" priority="2362">
      <formula>AE190&gt;AG190+#REF!</formula>
    </cfRule>
  </conditionalFormatting>
  <conditionalFormatting sqref="AE201:AE202">
    <cfRule type="expression" dxfId="12917" priority="2340">
      <formula>AE201&gt;AG201+#REF!</formula>
    </cfRule>
    <cfRule type="expression" dxfId="12916" priority="2341">
      <formula>AE201&lt;AG201-#REF!</formula>
    </cfRule>
  </conditionalFormatting>
  <conditionalFormatting sqref="AE205:AE206">
    <cfRule type="expression" dxfId="12915" priority="2338">
      <formula>AE205&gt;AG205+#REF!</formula>
    </cfRule>
    <cfRule type="expression" dxfId="12914" priority="2339">
      <formula>AE205&lt;AG205-#REF!</formula>
    </cfRule>
  </conditionalFormatting>
  <conditionalFormatting sqref="AE207:AE209">
    <cfRule type="expression" dxfId="12913" priority="2337">
      <formula>AE207&gt;AG207+#REF!</formula>
    </cfRule>
  </conditionalFormatting>
  <conditionalFormatting sqref="AE218:AE219">
    <cfRule type="expression" dxfId="12912" priority="2315">
      <formula>AE218&gt;AG218+#REF!</formula>
    </cfRule>
    <cfRule type="expression" dxfId="12911" priority="2316">
      <formula>AE218&lt;AG218-#REF!</formula>
    </cfRule>
  </conditionalFormatting>
  <conditionalFormatting sqref="AE222:AE223">
    <cfRule type="expression" dxfId="12910" priority="2313">
      <formula>AE222&gt;AG222+#REF!</formula>
    </cfRule>
    <cfRule type="expression" dxfId="12909" priority="2314">
      <formula>AE222&lt;AG222-#REF!</formula>
    </cfRule>
  </conditionalFormatting>
  <conditionalFormatting sqref="AE224:AE226">
    <cfRule type="expression" dxfId="12908" priority="2312">
      <formula>AE224&gt;AG224+#REF!</formula>
    </cfRule>
  </conditionalFormatting>
  <conditionalFormatting sqref="AE235:AE236">
    <cfRule type="expression" dxfId="12907" priority="2290">
      <formula>AE235&gt;AG235+#REF!</formula>
    </cfRule>
    <cfRule type="expression" dxfId="12906" priority="2291">
      <formula>AE235&lt;AG235-#REF!</formula>
    </cfRule>
  </conditionalFormatting>
  <conditionalFormatting sqref="AE239:AE240">
    <cfRule type="expression" dxfId="12905" priority="2288">
      <formula>AE239&gt;AG239+#REF!</formula>
    </cfRule>
    <cfRule type="expression" dxfId="12904" priority="2289">
      <formula>AE239&lt;AG239-#REF!</formula>
    </cfRule>
  </conditionalFormatting>
  <conditionalFormatting sqref="AE241:AE243">
    <cfRule type="expression" dxfId="12903" priority="2287">
      <formula>AE241&gt;AG241+#REF!</formula>
    </cfRule>
  </conditionalFormatting>
  <conditionalFormatting sqref="AE252:AE253">
    <cfRule type="expression" dxfId="12902" priority="2241">
      <formula>AE252&gt;AG252+#REF!</formula>
    </cfRule>
    <cfRule type="expression" dxfId="12901" priority="2242">
      <formula>AE252&lt;AG252-#REF!</formula>
    </cfRule>
  </conditionalFormatting>
  <conditionalFormatting sqref="AE256:AE257">
    <cfRule type="expression" dxfId="12900" priority="2239">
      <formula>AE256&gt;AG256+#REF!</formula>
    </cfRule>
    <cfRule type="expression" dxfId="12899" priority="2240">
      <formula>AE256&lt;AG256-#REF!</formula>
    </cfRule>
  </conditionalFormatting>
  <conditionalFormatting sqref="AE258:AE259">
    <cfRule type="expression" dxfId="12898" priority="2238">
      <formula>AE258&gt;AG258+#REF!</formula>
    </cfRule>
  </conditionalFormatting>
  <conditionalFormatting sqref="AE260">
    <cfRule type="expression" dxfId="12897" priority="2236">
      <formula>AE260&gt;AG260+#REF!</formula>
    </cfRule>
  </conditionalFormatting>
  <conditionalFormatting sqref="AE269:AE270">
    <cfRule type="expression" dxfId="12896" priority="2110">
      <formula>AE269&gt;AG269+#REF!</formula>
    </cfRule>
    <cfRule type="expression" dxfId="12895" priority="2111">
      <formula>AE269&lt;AG269-#REF!</formula>
    </cfRule>
  </conditionalFormatting>
  <conditionalFormatting sqref="AE273:AE274">
    <cfRule type="expression" dxfId="12894" priority="2108">
      <formula>AE273&gt;AG273+#REF!</formula>
    </cfRule>
    <cfRule type="expression" dxfId="12893" priority="2109">
      <formula>AE273&lt;AG273-#REF!</formula>
    </cfRule>
  </conditionalFormatting>
  <conditionalFormatting sqref="AE275:AE277">
    <cfRule type="expression" dxfId="12892" priority="2107">
      <formula>AE275&gt;AG275+#REF!</formula>
    </cfRule>
  </conditionalFormatting>
  <conditionalFormatting sqref="AE286:AE287">
    <cfRule type="expression" dxfId="12891" priority="2215">
      <formula>AE286&gt;AG286+#REF!</formula>
    </cfRule>
    <cfRule type="expression" dxfId="12890" priority="2216">
      <formula>AE286&lt;AG286-#REF!</formula>
    </cfRule>
  </conditionalFormatting>
  <conditionalFormatting sqref="AE290:AE291">
    <cfRule type="expression" dxfId="12889" priority="2213">
      <formula>AE290&gt;AG290+#REF!</formula>
    </cfRule>
    <cfRule type="expression" dxfId="12888" priority="2214">
      <formula>AE290&lt;AG290-#REF!</formula>
    </cfRule>
  </conditionalFormatting>
  <conditionalFormatting sqref="AE292:AE293">
    <cfRule type="expression" dxfId="12887" priority="2212">
      <formula>AE292&gt;AG292+#REF!</formula>
    </cfRule>
  </conditionalFormatting>
  <conditionalFormatting sqref="AE294">
    <cfRule type="expression" dxfId="12886" priority="2210">
      <formula>AE294&gt;AG294+#REF!</formula>
    </cfRule>
  </conditionalFormatting>
  <conditionalFormatting sqref="AE303:AE304">
    <cfRule type="expression" dxfId="12885" priority="2189">
      <formula>AE303&gt;AG303+#REF!</formula>
    </cfRule>
    <cfRule type="expression" dxfId="12884" priority="2190">
      <formula>AE303&lt;AG303-#REF!</formula>
    </cfRule>
  </conditionalFormatting>
  <conditionalFormatting sqref="AE307:AE308">
    <cfRule type="expression" dxfId="12883" priority="2187">
      <formula>AE307&gt;AG307+#REF!</formula>
    </cfRule>
    <cfRule type="expression" dxfId="12882" priority="2188">
      <formula>AE307&lt;AG307-#REF!</formula>
    </cfRule>
  </conditionalFormatting>
  <conditionalFormatting sqref="AE309:AE310">
    <cfRule type="expression" dxfId="12881" priority="2186">
      <formula>AE309&gt;AG309+#REF!</formula>
    </cfRule>
  </conditionalFormatting>
  <conditionalFormatting sqref="AE311">
    <cfRule type="expression" dxfId="12880" priority="2184">
      <formula>AE311&gt;AG311+#REF!</formula>
    </cfRule>
  </conditionalFormatting>
  <conditionalFormatting sqref="AE320:AE321">
    <cfRule type="expression" dxfId="12879" priority="2163">
      <formula>AE320&gt;AG320+#REF!</formula>
    </cfRule>
    <cfRule type="expression" dxfId="12878" priority="2164">
      <formula>AE320&lt;AG320-#REF!</formula>
    </cfRule>
  </conditionalFormatting>
  <conditionalFormatting sqref="AE324:AE325">
    <cfRule type="expression" dxfId="12877" priority="2161">
      <formula>AE324&gt;AG324+#REF!</formula>
    </cfRule>
    <cfRule type="expression" dxfId="12876" priority="2162">
      <formula>AE324&lt;AG324-#REF!</formula>
    </cfRule>
  </conditionalFormatting>
  <conditionalFormatting sqref="AE326:AE327">
    <cfRule type="expression" dxfId="12875" priority="2160">
      <formula>AE326&gt;AG326+#REF!</formula>
    </cfRule>
  </conditionalFormatting>
  <conditionalFormatting sqref="AE328">
    <cfRule type="expression" dxfId="12874" priority="2158">
      <formula>AE328&gt;AG328+#REF!</formula>
    </cfRule>
  </conditionalFormatting>
  <conditionalFormatting sqref="AE337:AE338">
    <cfRule type="expression" dxfId="12873" priority="2137">
      <formula>AE337&gt;AG337+#REF!</formula>
    </cfRule>
    <cfRule type="expression" dxfId="12872" priority="2138">
      <formula>AE337&lt;AG337-#REF!</formula>
    </cfRule>
  </conditionalFormatting>
  <conditionalFormatting sqref="AE341:AE342">
    <cfRule type="expression" dxfId="12871" priority="2135">
      <formula>AE341&gt;AG341+#REF!</formula>
    </cfRule>
    <cfRule type="expression" dxfId="12870" priority="2136">
      <formula>AE341&lt;AG341-#REF!</formula>
    </cfRule>
  </conditionalFormatting>
  <conditionalFormatting sqref="AE343:AE344">
    <cfRule type="expression" dxfId="12869" priority="2134">
      <formula>AE343&gt;AG343+#REF!</formula>
    </cfRule>
  </conditionalFormatting>
  <conditionalFormatting sqref="AE345">
    <cfRule type="expression" dxfId="12868" priority="2132">
      <formula>AE345&gt;AG345+#REF!</formula>
    </cfRule>
  </conditionalFormatting>
  <conditionalFormatting sqref="AE354:AE355">
    <cfRule type="expression" dxfId="12867" priority="2265">
      <formula>AE354&gt;AG354+#REF!</formula>
    </cfRule>
    <cfRule type="expression" dxfId="12866" priority="2266">
      <formula>AE354&lt;AG354-#REF!</formula>
    </cfRule>
  </conditionalFormatting>
  <conditionalFormatting sqref="AE358:AE359">
    <cfRule type="expression" dxfId="12865" priority="2263">
      <formula>AE358&gt;AG358+#REF!</formula>
    </cfRule>
    <cfRule type="expression" dxfId="12864" priority="2264">
      <formula>AE358&lt;AG358-#REF!</formula>
    </cfRule>
  </conditionalFormatting>
  <conditionalFormatting sqref="AE360:AE362">
    <cfRule type="expression" dxfId="12863" priority="2262">
      <formula>AE360&gt;AG360+#REF!</formula>
    </cfRule>
  </conditionalFormatting>
  <conditionalFormatting sqref="AG14:AG15">
    <cfRule type="expression" dxfId="12862" priority="2096">
      <formula>AG14&gt;AI14+#REF!</formula>
    </cfRule>
  </conditionalFormatting>
  <conditionalFormatting sqref="AG18:AG19">
    <cfRule type="expression" dxfId="12861" priority="2093">
      <formula>AG18&gt;AI18+#REF!</formula>
    </cfRule>
  </conditionalFormatting>
  <conditionalFormatting sqref="AG20:AG22">
    <cfRule type="expression" dxfId="12860" priority="2092">
      <formula>AG20&gt;AI20+#REF!</formula>
    </cfRule>
  </conditionalFormatting>
  <conditionalFormatting sqref="AG31:AG32">
    <cfRule type="expression" dxfId="12859" priority="2071">
      <formula>AG31&gt;AI31+#REF!</formula>
    </cfRule>
  </conditionalFormatting>
  <conditionalFormatting sqref="AG35:AG36">
    <cfRule type="expression" dxfId="12858" priority="2068">
      <formula>AG35&gt;AI35+#REF!</formula>
    </cfRule>
  </conditionalFormatting>
  <conditionalFormatting sqref="AG37:AG39">
    <cfRule type="expression" dxfId="12857" priority="2067">
      <formula>AG37&gt;AI37+#REF!</formula>
    </cfRule>
  </conditionalFormatting>
  <conditionalFormatting sqref="AG48:AG49">
    <cfRule type="expression" dxfId="12856" priority="2046">
      <formula>AG48&gt;AI48+#REF!</formula>
    </cfRule>
  </conditionalFormatting>
  <conditionalFormatting sqref="AG52:AG53">
    <cfRule type="expression" dxfId="12855" priority="2043">
      <formula>AG52&gt;AI52+#REF!</formula>
    </cfRule>
  </conditionalFormatting>
  <conditionalFormatting sqref="AG54:AG56">
    <cfRule type="expression" dxfId="12854" priority="2042">
      <formula>AG54&gt;AI54+#REF!</formula>
    </cfRule>
  </conditionalFormatting>
  <conditionalFormatting sqref="AG65:AG66">
    <cfRule type="expression" dxfId="12853" priority="2021">
      <formula>AG65&gt;AI65+#REF!</formula>
    </cfRule>
  </conditionalFormatting>
  <conditionalFormatting sqref="AG69:AG70">
    <cfRule type="expression" dxfId="12852" priority="2018">
      <formula>AG69&gt;AI69+#REF!</formula>
    </cfRule>
  </conditionalFormatting>
  <conditionalFormatting sqref="AG71:AG73">
    <cfRule type="expression" dxfId="12851" priority="2017">
      <formula>AG71&gt;AI71+#REF!</formula>
    </cfRule>
  </conditionalFormatting>
  <conditionalFormatting sqref="AG82:AG83">
    <cfRule type="expression" dxfId="12850" priority="1996">
      <formula>AG82&gt;AI82+#REF!</formula>
    </cfRule>
  </conditionalFormatting>
  <conditionalFormatting sqref="AG86:AG87">
    <cfRule type="expression" dxfId="12849" priority="1993">
      <formula>AG86&gt;AI86+#REF!</formula>
    </cfRule>
  </conditionalFormatting>
  <conditionalFormatting sqref="AG88:AG90">
    <cfRule type="expression" dxfId="12848" priority="1992">
      <formula>AG88&gt;AI88+#REF!</formula>
    </cfRule>
  </conditionalFormatting>
  <conditionalFormatting sqref="AG99:AG100">
    <cfRule type="expression" dxfId="12847" priority="1971">
      <formula>AG99&gt;AI99+#REF!</formula>
    </cfRule>
  </conditionalFormatting>
  <conditionalFormatting sqref="AG103:AG104">
    <cfRule type="expression" dxfId="12846" priority="1968">
      <formula>AG103&gt;AI103+#REF!</formula>
    </cfRule>
  </conditionalFormatting>
  <conditionalFormatting sqref="AG105:AG107">
    <cfRule type="expression" dxfId="12845" priority="1967">
      <formula>AG105&gt;AI105+#REF!</formula>
    </cfRule>
  </conditionalFormatting>
  <conditionalFormatting sqref="AG116:AG117">
    <cfRule type="expression" dxfId="12844" priority="1946">
      <formula>AG116&gt;AI116+#REF!</formula>
    </cfRule>
  </conditionalFormatting>
  <conditionalFormatting sqref="AG120:AG121">
    <cfRule type="expression" dxfId="12843" priority="1943">
      <formula>AG120&gt;AI120+#REF!</formula>
    </cfRule>
  </conditionalFormatting>
  <conditionalFormatting sqref="AG122:AG124">
    <cfRule type="expression" dxfId="12842" priority="1942">
      <formula>AG122&gt;AI122+#REF!</formula>
    </cfRule>
  </conditionalFormatting>
  <conditionalFormatting sqref="AG167:AG168">
    <cfRule type="expression" dxfId="12841" priority="1921">
      <formula>AG167&gt;AI167+#REF!</formula>
    </cfRule>
  </conditionalFormatting>
  <conditionalFormatting sqref="AG171:AG172">
    <cfRule type="expression" dxfId="12840" priority="1918">
      <formula>AG171&gt;AI171+#REF!</formula>
    </cfRule>
  </conditionalFormatting>
  <conditionalFormatting sqref="AG173:AG175">
    <cfRule type="expression" dxfId="12839" priority="1917">
      <formula>AG173&gt;AI173+#REF!</formula>
    </cfRule>
  </conditionalFormatting>
  <conditionalFormatting sqref="AG184:AG185">
    <cfRule type="expression" dxfId="12838" priority="1896">
      <formula>AG184&gt;AI184+#REF!</formula>
    </cfRule>
  </conditionalFormatting>
  <conditionalFormatting sqref="AG188:AG189">
    <cfRule type="expression" dxfId="12837" priority="1893">
      <formula>AG188&gt;AI188+#REF!</formula>
    </cfRule>
  </conditionalFormatting>
  <conditionalFormatting sqref="AG190:AG192">
    <cfRule type="expression" dxfId="12836" priority="1892">
      <formula>AG190&gt;AI190+#REF!</formula>
    </cfRule>
  </conditionalFormatting>
  <conditionalFormatting sqref="AG201:AG202">
    <cfRule type="expression" dxfId="12835" priority="1871">
      <formula>AG201&gt;AI201+#REF!</formula>
    </cfRule>
  </conditionalFormatting>
  <conditionalFormatting sqref="AG205:AG206">
    <cfRule type="expression" dxfId="12834" priority="1868">
      <formula>AG205&gt;AI205+#REF!</formula>
    </cfRule>
  </conditionalFormatting>
  <conditionalFormatting sqref="AG207:AG209">
    <cfRule type="expression" dxfId="12833" priority="1867">
      <formula>AG207&gt;AI207+#REF!</formula>
    </cfRule>
  </conditionalFormatting>
  <conditionalFormatting sqref="AG218:AG219">
    <cfRule type="expression" dxfId="12832" priority="1846">
      <formula>AG218&gt;AI218+#REF!</formula>
    </cfRule>
  </conditionalFormatting>
  <conditionalFormatting sqref="AG222:AG223">
    <cfRule type="expression" dxfId="12831" priority="1843">
      <formula>AG222&gt;AI222+#REF!</formula>
    </cfRule>
  </conditionalFormatting>
  <conditionalFormatting sqref="AG224:AG226">
    <cfRule type="expression" dxfId="12830" priority="1842">
      <formula>AG224&gt;AI224+#REF!</formula>
    </cfRule>
  </conditionalFormatting>
  <conditionalFormatting sqref="AG235:AG236">
    <cfRule type="expression" dxfId="12829" priority="1821">
      <formula>AG235&gt;AI235+#REF!</formula>
    </cfRule>
  </conditionalFormatting>
  <conditionalFormatting sqref="AG239:AG240">
    <cfRule type="expression" dxfId="12828" priority="1818">
      <formula>AG239&gt;AI239+#REF!</formula>
    </cfRule>
  </conditionalFormatting>
  <conditionalFormatting sqref="AG241:AG243">
    <cfRule type="expression" dxfId="12827" priority="1817">
      <formula>AG241&gt;AI241+#REF!</formula>
    </cfRule>
  </conditionalFormatting>
  <conditionalFormatting sqref="AG252:AG253">
    <cfRule type="expression" dxfId="12826" priority="1772">
      <formula>AG252&gt;AI252+#REF!</formula>
    </cfRule>
  </conditionalFormatting>
  <conditionalFormatting sqref="AG256:AG257">
    <cfRule type="expression" dxfId="12825" priority="1769">
      <formula>AG256&gt;AI256+#REF!</formula>
    </cfRule>
  </conditionalFormatting>
  <conditionalFormatting sqref="AG258:AG260">
    <cfRule type="expression" dxfId="12824" priority="1768">
      <formula>AG258&gt;AI258+#REF!</formula>
    </cfRule>
  </conditionalFormatting>
  <conditionalFormatting sqref="AG269:AG270">
    <cfRule type="expression" dxfId="12823" priority="1641">
      <formula>AG269&gt;AI269+#REF!</formula>
    </cfRule>
  </conditionalFormatting>
  <conditionalFormatting sqref="AG273:AG274">
    <cfRule type="expression" dxfId="12822" priority="1638">
      <formula>AG273&gt;AI273+#REF!</formula>
    </cfRule>
  </conditionalFormatting>
  <conditionalFormatting sqref="AG275:AG277">
    <cfRule type="expression" dxfId="12821" priority="1637">
      <formula>AG275&gt;AI275+#REF!</formula>
    </cfRule>
  </conditionalFormatting>
  <conditionalFormatting sqref="AG286:AG287">
    <cfRule type="expression" dxfId="12820" priority="1746">
      <formula>AG286&gt;AI286+#REF!</formula>
    </cfRule>
  </conditionalFormatting>
  <conditionalFormatting sqref="AG290:AG291">
    <cfRule type="expression" dxfId="12819" priority="1743">
      <formula>AG290&gt;AI290+#REF!</formula>
    </cfRule>
  </conditionalFormatting>
  <conditionalFormatting sqref="AG292:AG294">
    <cfRule type="expression" dxfId="12818" priority="1742">
      <formula>AG292&gt;AI292+#REF!</formula>
    </cfRule>
  </conditionalFormatting>
  <conditionalFormatting sqref="AG303:AG304">
    <cfRule type="expression" dxfId="12817" priority="1720">
      <formula>AG303&gt;AI303+#REF!</formula>
    </cfRule>
  </conditionalFormatting>
  <conditionalFormatting sqref="AG307:AG308">
    <cfRule type="expression" dxfId="12816" priority="1717">
      <formula>AG307&gt;AI307+#REF!</formula>
    </cfRule>
  </conditionalFormatting>
  <conditionalFormatting sqref="AG309:AG311">
    <cfRule type="expression" dxfId="12815" priority="1716">
      <formula>AG309&gt;AI309+#REF!</formula>
    </cfRule>
  </conditionalFormatting>
  <conditionalFormatting sqref="AG320:AG321">
    <cfRule type="expression" dxfId="12814" priority="1694">
      <formula>AG320&gt;AI320+#REF!</formula>
    </cfRule>
  </conditionalFormatting>
  <conditionalFormatting sqref="AG324:AG325">
    <cfRule type="expression" dxfId="12813" priority="1691">
      <formula>AG324&gt;AI324+#REF!</formula>
    </cfRule>
  </conditionalFormatting>
  <conditionalFormatting sqref="AG326:AG328">
    <cfRule type="expression" dxfId="12812" priority="1690">
      <formula>AG326&gt;AI326+#REF!</formula>
    </cfRule>
  </conditionalFormatting>
  <conditionalFormatting sqref="AG337:AG338">
    <cfRule type="expression" dxfId="12811" priority="1668">
      <formula>AG337&gt;AI337+#REF!</formula>
    </cfRule>
  </conditionalFormatting>
  <conditionalFormatting sqref="AG341:AG342">
    <cfRule type="expression" dxfId="12810" priority="1665">
      <formula>AG341&gt;AI341+#REF!</formula>
    </cfRule>
  </conditionalFormatting>
  <conditionalFormatting sqref="AG343:AG345">
    <cfRule type="expression" dxfId="12809" priority="1664">
      <formula>AG343&gt;AI343+#REF!</formula>
    </cfRule>
  </conditionalFormatting>
  <conditionalFormatting sqref="AG354:AG355">
    <cfRule type="expression" dxfId="12808" priority="1796">
      <formula>AG354&gt;AI354+#REF!</formula>
    </cfRule>
  </conditionalFormatting>
  <conditionalFormatting sqref="AG358:AG359">
    <cfRule type="expression" dxfId="12807" priority="1793">
      <formula>AG358&gt;AI358+#REF!</formula>
    </cfRule>
  </conditionalFormatting>
  <conditionalFormatting sqref="AG360:AG362">
    <cfRule type="expression" dxfId="12806" priority="1792">
      <formula>AG360&gt;AI360+#REF!</formula>
    </cfRule>
  </conditionalFormatting>
  <conditionalFormatting sqref="AG8:AI8">
    <cfRule type="expression" dxfId="12805" priority="2105">
      <formula>AG8&gt;AI8*#REF!</formula>
    </cfRule>
  </conditionalFormatting>
  <conditionalFormatting sqref="AG8:AI9">
    <cfRule type="expression" dxfId="12804" priority="2102">
      <formula>AG8&lt;AI8*#REF!</formula>
    </cfRule>
  </conditionalFormatting>
  <conditionalFormatting sqref="AG9:AI9">
    <cfRule type="expression" dxfId="12803" priority="2103">
      <formula>AG9&gt;AI9*#REF!</formula>
    </cfRule>
  </conditionalFormatting>
  <conditionalFormatting sqref="AG10:AI10">
    <cfRule type="expression" dxfId="12802" priority="2100">
      <formula>AG10&gt;AI10+#REF!</formula>
    </cfRule>
  </conditionalFormatting>
  <conditionalFormatting sqref="AG10:AI12">
    <cfRule type="expression" dxfId="12801" priority="2106">
      <formula>AG10&lt;AI10-#REF!</formula>
    </cfRule>
  </conditionalFormatting>
  <conditionalFormatting sqref="AG11:AI11">
    <cfRule type="expression" dxfId="12800" priority="2099">
      <formula>AG11&gt;AI11+#REF!</formula>
    </cfRule>
  </conditionalFormatting>
  <conditionalFormatting sqref="AG12:AI12">
    <cfRule type="expression" dxfId="12799" priority="2098">
      <formula>AG12&gt;AI12+#REF!</formula>
    </cfRule>
  </conditionalFormatting>
  <conditionalFormatting sqref="AG13:AI13">
    <cfRule type="expression" dxfId="12798" priority="2097">
      <formula>AG13&gt;AI13+#REF!</formula>
    </cfRule>
  </conditionalFormatting>
  <conditionalFormatting sqref="AG16:AI16">
    <cfRule type="expression" dxfId="12797" priority="2095">
      <formula>AG16&gt;AI16+#REF!</formula>
    </cfRule>
  </conditionalFormatting>
  <conditionalFormatting sqref="AG17:AI17">
    <cfRule type="expression" dxfId="12796" priority="2094">
      <formula>AG17&gt;AI17+#REF!</formula>
    </cfRule>
  </conditionalFormatting>
  <conditionalFormatting sqref="AG23:AI23">
    <cfRule type="expression" dxfId="12795" priority="2101">
      <formula>AG23&gt;AI23*#REF!</formula>
    </cfRule>
  </conditionalFormatting>
  <conditionalFormatting sqref="AG25:AI25">
    <cfRule type="expression" dxfId="12794" priority="2080">
      <formula>AG25&gt;AI25*#REF!</formula>
    </cfRule>
  </conditionalFormatting>
  <conditionalFormatting sqref="AG25:AI26">
    <cfRule type="expression" dxfId="12793" priority="2077">
      <formula>AG25&lt;AI25*#REF!</formula>
    </cfRule>
  </conditionalFormatting>
  <conditionalFormatting sqref="AG26:AI26">
    <cfRule type="expression" dxfId="12792" priority="2078">
      <formula>AG26&gt;AI26*#REF!</formula>
    </cfRule>
  </conditionalFormatting>
  <conditionalFormatting sqref="AG27:AI27">
    <cfRule type="expression" dxfId="12791" priority="2075">
      <formula>AG27&gt;AI27+#REF!</formula>
    </cfRule>
  </conditionalFormatting>
  <conditionalFormatting sqref="AG27:AI29">
    <cfRule type="expression" dxfId="12790" priority="2081">
      <formula>AG27&lt;AI27-#REF!</formula>
    </cfRule>
  </conditionalFormatting>
  <conditionalFormatting sqref="AG28:AI28">
    <cfRule type="expression" dxfId="12789" priority="2074">
      <formula>AG28&gt;AI28+#REF!</formula>
    </cfRule>
  </conditionalFormatting>
  <conditionalFormatting sqref="AG29:AI29">
    <cfRule type="expression" dxfId="12788" priority="2073">
      <formula>AG29&gt;AI29+#REF!</formula>
    </cfRule>
  </conditionalFormatting>
  <conditionalFormatting sqref="AG30:AI30">
    <cfRule type="expression" dxfId="12787" priority="2072">
      <formula>AG30&gt;AI30+#REF!</formula>
    </cfRule>
  </conditionalFormatting>
  <conditionalFormatting sqref="AG33:AI33">
    <cfRule type="expression" dxfId="12786" priority="2070">
      <formula>AG33&gt;AI33+#REF!</formula>
    </cfRule>
  </conditionalFormatting>
  <conditionalFormatting sqref="AG34:AI34">
    <cfRule type="expression" dxfId="12785" priority="2069">
      <formula>AG34&gt;AI34+#REF!</formula>
    </cfRule>
  </conditionalFormatting>
  <conditionalFormatting sqref="AG40:AI40">
    <cfRule type="expression" dxfId="12784" priority="2076">
      <formula>AG40&gt;AI40*#REF!</formula>
    </cfRule>
  </conditionalFormatting>
  <conditionalFormatting sqref="AG42:AI42">
    <cfRule type="expression" dxfId="12783" priority="2055">
      <formula>AG42&gt;AI42*#REF!</formula>
    </cfRule>
  </conditionalFormatting>
  <conditionalFormatting sqref="AG42:AI43">
    <cfRule type="expression" dxfId="12782" priority="2052">
      <formula>AG42&lt;AI42*#REF!</formula>
    </cfRule>
  </conditionalFormatting>
  <conditionalFormatting sqref="AG43:AI43">
    <cfRule type="expression" dxfId="12781" priority="2053">
      <formula>AG43&gt;AI43*#REF!</formula>
    </cfRule>
  </conditionalFormatting>
  <conditionalFormatting sqref="AG44:AI44">
    <cfRule type="expression" dxfId="12780" priority="2050">
      <formula>AG44&gt;AI44+#REF!</formula>
    </cfRule>
  </conditionalFormatting>
  <conditionalFormatting sqref="AG44:AI46">
    <cfRule type="expression" dxfId="12779" priority="2056">
      <formula>AG44&lt;AI44-#REF!</formula>
    </cfRule>
  </conditionalFormatting>
  <conditionalFormatting sqref="AG45:AI45">
    <cfRule type="expression" dxfId="12778" priority="2049">
      <formula>AG45&gt;AI45+#REF!</formula>
    </cfRule>
  </conditionalFormatting>
  <conditionalFormatting sqref="AG46:AI46">
    <cfRule type="expression" dxfId="12777" priority="2048">
      <formula>AG46&gt;AI46+#REF!</formula>
    </cfRule>
  </conditionalFormatting>
  <conditionalFormatting sqref="AG47:AI47">
    <cfRule type="expression" dxfId="12776" priority="2047">
      <formula>AG47&gt;AI47+#REF!</formula>
    </cfRule>
  </conditionalFormatting>
  <conditionalFormatting sqref="AG50:AI50">
    <cfRule type="expression" dxfId="12775" priority="2045">
      <formula>AG50&gt;AI50+#REF!</formula>
    </cfRule>
  </conditionalFormatting>
  <conditionalFormatting sqref="AG51:AI51">
    <cfRule type="expression" dxfId="12774" priority="2044">
      <formula>AG51&gt;AI51+#REF!</formula>
    </cfRule>
  </conditionalFormatting>
  <conditionalFormatting sqref="AG57:AI57">
    <cfRule type="expression" dxfId="12773" priority="2051">
      <formula>AG57&gt;AI57*#REF!</formula>
    </cfRule>
  </conditionalFormatting>
  <conditionalFormatting sqref="AG59:AI59">
    <cfRule type="expression" dxfId="12772" priority="2030">
      <formula>AG59&gt;AI59*#REF!</formula>
    </cfRule>
  </conditionalFormatting>
  <conditionalFormatting sqref="AG59:AI60">
    <cfRule type="expression" dxfId="12771" priority="2027">
      <formula>AG59&lt;AI59*#REF!</formula>
    </cfRule>
  </conditionalFormatting>
  <conditionalFormatting sqref="AG60:AI60">
    <cfRule type="expression" dxfId="12770" priority="2028">
      <formula>AG60&gt;AI60*#REF!</formula>
    </cfRule>
  </conditionalFormatting>
  <conditionalFormatting sqref="AG61:AI61">
    <cfRule type="expression" dxfId="12769" priority="2025">
      <formula>AG61&gt;AI61+#REF!</formula>
    </cfRule>
  </conditionalFormatting>
  <conditionalFormatting sqref="AG61:AI63">
    <cfRule type="expression" dxfId="12768" priority="2031">
      <formula>AG61&lt;AI61-#REF!</formula>
    </cfRule>
  </conditionalFormatting>
  <conditionalFormatting sqref="AG62:AI62">
    <cfRule type="expression" dxfId="12767" priority="2024">
      <formula>AG62&gt;AI62+#REF!</formula>
    </cfRule>
  </conditionalFormatting>
  <conditionalFormatting sqref="AG63:AI63">
    <cfRule type="expression" dxfId="12766" priority="2023">
      <formula>AG63&gt;AI63+#REF!</formula>
    </cfRule>
  </conditionalFormatting>
  <conditionalFormatting sqref="AG64:AI64">
    <cfRule type="expression" dxfId="12765" priority="2022">
      <formula>AG64&gt;AI64+#REF!</formula>
    </cfRule>
  </conditionalFormatting>
  <conditionalFormatting sqref="AG67:AI67">
    <cfRule type="expression" dxfId="12764" priority="2020">
      <formula>AG67&gt;AI67+#REF!</formula>
    </cfRule>
  </conditionalFormatting>
  <conditionalFormatting sqref="AG68:AI68">
    <cfRule type="expression" dxfId="12763" priority="2019">
      <formula>AG68&gt;AI68+#REF!</formula>
    </cfRule>
  </conditionalFormatting>
  <conditionalFormatting sqref="AG74:AI74">
    <cfRule type="expression" dxfId="12762" priority="2026">
      <formula>AG74&gt;AI74*#REF!</formula>
    </cfRule>
  </conditionalFormatting>
  <conditionalFormatting sqref="AG76:AI76">
    <cfRule type="expression" dxfId="12761" priority="2005">
      <formula>AG76&gt;AI76*#REF!</formula>
    </cfRule>
  </conditionalFormatting>
  <conditionalFormatting sqref="AG76:AI77">
    <cfRule type="expression" dxfId="12760" priority="2002">
      <formula>AG76&lt;AI76*#REF!</formula>
    </cfRule>
  </conditionalFormatting>
  <conditionalFormatting sqref="AG77:AI77">
    <cfRule type="expression" dxfId="12759" priority="2003">
      <formula>AG77&gt;AI77*#REF!</formula>
    </cfRule>
  </conditionalFormatting>
  <conditionalFormatting sqref="AG78:AI78">
    <cfRule type="expression" dxfId="12758" priority="2000">
      <formula>AG78&gt;AI78+#REF!</formula>
    </cfRule>
  </conditionalFormatting>
  <conditionalFormatting sqref="AG78:AI80">
    <cfRule type="expression" dxfId="12757" priority="2006">
      <formula>AG78&lt;AI78-#REF!</formula>
    </cfRule>
  </conditionalFormatting>
  <conditionalFormatting sqref="AG79:AI79">
    <cfRule type="expression" dxfId="12756" priority="1999">
      <formula>AG79&gt;AI79+#REF!</formula>
    </cfRule>
  </conditionalFormatting>
  <conditionalFormatting sqref="AG80:AI80">
    <cfRule type="expression" dxfId="12755" priority="1998">
      <formula>AG80&gt;AI80+#REF!</formula>
    </cfRule>
  </conditionalFormatting>
  <conditionalFormatting sqref="AG81:AI81">
    <cfRule type="expression" dxfId="12754" priority="1997">
      <formula>AG81&gt;AI81+#REF!</formula>
    </cfRule>
  </conditionalFormatting>
  <conditionalFormatting sqref="AG84:AI84">
    <cfRule type="expression" dxfId="12753" priority="1995">
      <formula>AG84&gt;AI84+#REF!</formula>
    </cfRule>
  </conditionalFormatting>
  <conditionalFormatting sqref="AG85:AI85">
    <cfRule type="expression" dxfId="12752" priority="1994">
      <formula>AG85&gt;AI85+#REF!</formula>
    </cfRule>
  </conditionalFormatting>
  <conditionalFormatting sqref="AG91:AI91">
    <cfRule type="expression" dxfId="12751" priority="2001">
      <formula>AG91&gt;AI91*#REF!</formula>
    </cfRule>
  </conditionalFormatting>
  <conditionalFormatting sqref="AG93:AI93">
    <cfRule type="expression" dxfId="12750" priority="1980">
      <formula>AG93&gt;AI93*#REF!</formula>
    </cfRule>
  </conditionalFormatting>
  <conditionalFormatting sqref="AG93:AI94">
    <cfRule type="expression" dxfId="12749" priority="1977">
      <formula>AG93&lt;AI93*#REF!</formula>
    </cfRule>
  </conditionalFormatting>
  <conditionalFormatting sqref="AG94:AI94">
    <cfRule type="expression" dxfId="12748" priority="1978">
      <formula>AG94&gt;AI94*#REF!</formula>
    </cfRule>
  </conditionalFormatting>
  <conditionalFormatting sqref="AG95:AI95">
    <cfRule type="expression" dxfId="12747" priority="1975">
      <formula>AG95&gt;AI95+#REF!</formula>
    </cfRule>
  </conditionalFormatting>
  <conditionalFormatting sqref="AG95:AI97">
    <cfRule type="expression" dxfId="12746" priority="1981">
      <formula>AG95&lt;AI95-#REF!</formula>
    </cfRule>
  </conditionalFormatting>
  <conditionalFormatting sqref="AG96:AI96">
    <cfRule type="expression" dxfId="12745" priority="1974">
      <formula>AG96&gt;AI96+#REF!</formula>
    </cfRule>
  </conditionalFormatting>
  <conditionalFormatting sqref="AG97:AI97">
    <cfRule type="expression" dxfId="12744" priority="1973">
      <formula>AG97&gt;AI97+#REF!</formula>
    </cfRule>
  </conditionalFormatting>
  <conditionalFormatting sqref="AG98:AI98">
    <cfRule type="expression" dxfId="12743" priority="1972">
      <formula>AG98&gt;AI98+#REF!</formula>
    </cfRule>
  </conditionalFormatting>
  <conditionalFormatting sqref="AG101:AI101">
    <cfRule type="expression" dxfId="12742" priority="1970">
      <formula>AG101&gt;AI101+#REF!</formula>
    </cfRule>
  </conditionalFormatting>
  <conditionalFormatting sqref="AG102:AI102">
    <cfRule type="expression" dxfId="12741" priority="1969">
      <formula>AG102&gt;AI102+#REF!</formula>
    </cfRule>
  </conditionalFormatting>
  <conditionalFormatting sqref="AG108:AI108">
    <cfRule type="expression" dxfId="12740" priority="1976">
      <formula>AG108&gt;AI108*#REF!</formula>
    </cfRule>
  </conditionalFormatting>
  <conditionalFormatting sqref="AG110:AI110">
    <cfRule type="expression" dxfId="12739" priority="1955">
      <formula>AG110&gt;AI110*#REF!</formula>
    </cfRule>
  </conditionalFormatting>
  <conditionalFormatting sqref="AG110:AI111">
    <cfRule type="expression" dxfId="12738" priority="1952">
      <formula>AG110&lt;AI110*#REF!</formula>
    </cfRule>
  </conditionalFormatting>
  <conditionalFormatting sqref="AG111:AI111">
    <cfRule type="expression" dxfId="12737" priority="1953">
      <formula>AG111&gt;AI111*#REF!</formula>
    </cfRule>
  </conditionalFormatting>
  <conditionalFormatting sqref="AG112:AI112">
    <cfRule type="expression" dxfId="12736" priority="1950">
      <formula>AG112&gt;AI112+#REF!</formula>
    </cfRule>
  </conditionalFormatting>
  <conditionalFormatting sqref="AG112:AI114">
    <cfRule type="expression" dxfId="12735" priority="1956">
      <formula>AG112&lt;AI112-#REF!</formula>
    </cfRule>
  </conditionalFormatting>
  <conditionalFormatting sqref="AG113:AI113">
    <cfRule type="expression" dxfId="12734" priority="1949">
      <formula>AG113&gt;AI113+#REF!</formula>
    </cfRule>
  </conditionalFormatting>
  <conditionalFormatting sqref="AG114:AI114">
    <cfRule type="expression" dxfId="12733" priority="1948">
      <formula>AG114&gt;AI114+#REF!</formula>
    </cfRule>
  </conditionalFormatting>
  <conditionalFormatting sqref="AG115:AI115">
    <cfRule type="expression" dxfId="12732" priority="1947">
      <formula>AG115&gt;AI115+#REF!</formula>
    </cfRule>
  </conditionalFormatting>
  <conditionalFormatting sqref="AG118:AI118">
    <cfRule type="expression" dxfId="12731" priority="1945">
      <formula>AG118&gt;AI118+#REF!</formula>
    </cfRule>
  </conditionalFormatting>
  <conditionalFormatting sqref="AG119:AI119">
    <cfRule type="expression" dxfId="12730" priority="1944">
      <formula>AG119&gt;AI119+#REF!</formula>
    </cfRule>
  </conditionalFormatting>
  <conditionalFormatting sqref="AG125:AI125">
    <cfRule type="expression" dxfId="12729" priority="1951">
      <formula>AG125&gt;AI125*#REF!</formula>
    </cfRule>
  </conditionalFormatting>
  <conditionalFormatting sqref="AG161:AI161">
    <cfRule type="expression" dxfId="12728" priority="1930">
      <formula>AG161&gt;AI161*#REF!</formula>
    </cfRule>
  </conditionalFormatting>
  <conditionalFormatting sqref="AG161:AI162">
    <cfRule type="expression" dxfId="12727" priority="1927">
      <formula>AG161&lt;AI161*#REF!</formula>
    </cfRule>
  </conditionalFormatting>
  <conditionalFormatting sqref="AG162:AI162">
    <cfRule type="expression" dxfId="12726" priority="1928">
      <formula>AG162&gt;AI162*#REF!</formula>
    </cfRule>
  </conditionalFormatting>
  <conditionalFormatting sqref="AG163:AI163">
    <cfRule type="expression" dxfId="12725" priority="1925">
      <formula>AG163&gt;AI163+#REF!</formula>
    </cfRule>
  </conditionalFormatting>
  <conditionalFormatting sqref="AG163:AI165">
    <cfRule type="expression" dxfId="12724" priority="1931">
      <formula>AG163&lt;AI163-#REF!</formula>
    </cfRule>
  </conditionalFormatting>
  <conditionalFormatting sqref="AG164:AI164">
    <cfRule type="expression" dxfId="12723" priority="1924">
      <formula>AG164&gt;AI164+#REF!</formula>
    </cfRule>
  </conditionalFormatting>
  <conditionalFormatting sqref="AG165:AI165">
    <cfRule type="expression" dxfId="12722" priority="1923">
      <formula>AG165&gt;AI165+#REF!</formula>
    </cfRule>
  </conditionalFormatting>
  <conditionalFormatting sqref="AG166:AI166">
    <cfRule type="expression" dxfId="12721" priority="1922">
      <formula>AG166&gt;AI166+#REF!</formula>
    </cfRule>
  </conditionalFormatting>
  <conditionalFormatting sqref="AG169:AI169">
    <cfRule type="expression" dxfId="12720" priority="1920">
      <formula>AG169&gt;AI169+#REF!</formula>
    </cfRule>
  </conditionalFormatting>
  <conditionalFormatting sqref="AG170:AI170">
    <cfRule type="expression" dxfId="12719" priority="1919">
      <formula>AG170&gt;AI170+#REF!</formula>
    </cfRule>
  </conditionalFormatting>
  <conditionalFormatting sqref="AG176:AI176">
    <cfRule type="expression" dxfId="12718" priority="1926">
      <formula>AG176&gt;AI176*#REF!</formula>
    </cfRule>
  </conditionalFormatting>
  <conditionalFormatting sqref="AG178:AI178">
    <cfRule type="expression" dxfId="12717" priority="1905">
      <formula>AG178&gt;AI178*#REF!</formula>
    </cfRule>
  </conditionalFormatting>
  <conditionalFormatting sqref="AG178:AI179">
    <cfRule type="expression" dxfId="12716" priority="1902">
      <formula>AG178&lt;AI178*#REF!</formula>
    </cfRule>
  </conditionalFormatting>
  <conditionalFormatting sqref="AG179:AI179">
    <cfRule type="expression" dxfId="12715" priority="1903">
      <formula>AG179&gt;AI179*#REF!</formula>
    </cfRule>
  </conditionalFormatting>
  <conditionalFormatting sqref="AG180:AI180">
    <cfRule type="expression" dxfId="12714" priority="1900">
      <formula>AG180&gt;AI180+#REF!</formula>
    </cfRule>
  </conditionalFormatting>
  <conditionalFormatting sqref="AG180:AI182">
    <cfRule type="expression" dxfId="12713" priority="1906">
      <formula>AG180&lt;AI180-#REF!</formula>
    </cfRule>
  </conditionalFormatting>
  <conditionalFormatting sqref="AG181:AI181">
    <cfRule type="expression" dxfId="12712" priority="1899">
      <formula>AG181&gt;AI181+#REF!</formula>
    </cfRule>
  </conditionalFormatting>
  <conditionalFormatting sqref="AG182:AI182">
    <cfRule type="expression" dxfId="12711" priority="1898">
      <formula>AG182&gt;AI182+#REF!</formula>
    </cfRule>
  </conditionalFormatting>
  <conditionalFormatting sqref="AG183:AI183">
    <cfRule type="expression" dxfId="12710" priority="1897">
      <formula>AG183&gt;AI183+#REF!</formula>
    </cfRule>
  </conditionalFormatting>
  <conditionalFormatting sqref="AG186:AI186">
    <cfRule type="expression" dxfId="12709" priority="1895">
      <formula>AG186&gt;AI186+#REF!</formula>
    </cfRule>
  </conditionalFormatting>
  <conditionalFormatting sqref="AG187:AI187">
    <cfRule type="expression" dxfId="12708" priority="1894">
      <formula>AG187&gt;AI187+#REF!</formula>
    </cfRule>
  </conditionalFormatting>
  <conditionalFormatting sqref="AG193:AI193">
    <cfRule type="expression" dxfId="12707" priority="1901">
      <formula>AG193&gt;AI193*#REF!</formula>
    </cfRule>
  </conditionalFormatting>
  <conditionalFormatting sqref="AG195:AI195">
    <cfRule type="expression" dxfId="12706" priority="1880">
      <formula>AG195&gt;AI195*#REF!</formula>
    </cfRule>
  </conditionalFormatting>
  <conditionalFormatting sqref="AG195:AI196">
    <cfRule type="expression" dxfId="12705" priority="1877">
      <formula>AG195&lt;AI195*#REF!</formula>
    </cfRule>
  </conditionalFormatting>
  <conditionalFormatting sqref="AG196:AI196">
    <cfRule type="expression" dxfId="12704" priority="1878">
      <formula>AG196&gt;AI196*#REF!</formula>
    </cfRule>
  </conditionalFormatting>
  <conditionalFormatting sqref="AG197:AI197">
    <cfRule type="expression" dxfId="12703" priority="1875">
      <formula>AG197&gt;AI197+#REF!</formula>
    </cfRule>
  </conditionalFormatting>
  <conditionalFormatting sqref="AG197:AI199">
    <cfRule type="expression" dxfId="12702" priority="1881">
      <formula>AG197&lt;AI197-#REF!</formula>
    </cfRule>
  </conditionalFormatting>
  <conditionalFormatting sqref="AG198:AI198">
    <cfRule type="expression" dxfId="12701" priority="1874">
      <formula>AG198&gt;AI198+#REF!</formula>
    </cfRule>
  </conditionalFormatting>
  <conditionalFormatting sqref="AG199:AI199">
    <cfRule type="expression" dxfId="12700" priority="1873">
      <formula>AG199&gt;AI199+#REF!</formula>
    </cfRule>
  </conditionalFormatting>
  <conditionalFormatting sqref="AG200:AI200">
    <cfRule type="expression" dxfId="12699" priority="1872">
      <formula>AG200&gt;AI200+#REF!</formula>
    </cfRule>
  </conditionalFormatting>
  <conditionalFormatting sqref="AG203:AI203">
    <cfRule type="expression" dxfId="12698" priority="1870">
      <formula>AG203&gt;AI203+#REF!</formula>
    </cfRule>
  </conditionalFormatting>
  <conditionalFormatting sqref="AG204:AI204">
    <cfRule type="expression" dxfId="12697" priority="1869">
      <formula>AG204&gt;AI204+#REF!</formula>
    </cfRule>
  </conditionalFormatting>
  <conditionalFormatting sqref="AG210:AI210">
    <cfRule type="expression" dxfId="12696" priority="1876">
      <formula>AG210&gt;AI210*#REF!</formula>
    </cfRule>
  </conditionalFormatting>
  <conditionalFormatting sqref="AG212:AI212">
    <cfRule type="expression" dxfId="12695" priority="1855">
      <formula>AG212&gt;AI212*#REF!</formula>
    </cfRule>
  </conditionalFormatting>
  <conditionalFormatting sqref="AG212:AI213">
    <cfRule type="expression" dxfId="12694" priority="1852">
      <formula>AG212&lt;AI212*#REF!</formula>
    </cfRule>
  </conditionalFormatting>
  <conditionalFormatting sqref="AG213:AI213">
    <cfRule type="expression" dxfId="12693" priority="1853">
      <formula>AG213&gt;AI213*#REF!</formula>
    </cfRule>
  </conditionalFormatting>
  <conditionalFormatting sqref="AG214:AI214">
    <cfRule type="expression" dxfId="12692" priority="1850">
      <formula>AG214&gt;AI214+#REF!</formula>
    </cfRule>
  </conditionalFormatting>
  <conditionalFormatting sqref="AG214:AI216">
    <cfRule type="expression" dxfId="12691" priority="1856">
      <formula>AG214&lt;AI214-#REF!</formula>
    </cfRule>
  </conditionalFormatting>
  <conditionalFormatting sqref="AG215:AI215">
    <cfRule type="expression" dxfId="12690" priority="1849">
      <formula>AG215&gt;AI215+#REF!</formula>
    </cfRule>
  </conditionalFormatting>
  <conditionalFormatting sqref="AG216:AI216">
    <cfRule type="expression" dxfId="12689" priority="1848">
      <formula>AG216&gt;AI216+#REF!</formula>
    </cfRule>
  </conditionalFormatting>
  <conditionalFormatting sqref="AG217:AI217">
    <cfRule type="expression" dxfId="12688" priority="1847">
      <formula>AG217&gt;AI217+#REF!</formula>
    </cfRule>
  </conditionalFormatting>
  <conditionalFormatting sqref="AG220:AI220">
    <cfRule type="expression" dxfId="12687" priority="1845">
      <formula>AG220&gt;AI220+#REF!</formula>
    </cfRule>
  </conditionalFormatting>
  <conditionalFormatting sqref="AG221:AI221">
    <cfRule type="expression" dxfId="12686" priority="1844">
      <formula>AG221&gt;AI221+#REF!</formula>
    </cfRule>
  </conditionalFormatting>
  <conditionalFormatting sqref="AG227:AI227">
    <cfRule type="expression" dxfId="12685" priority="1851">
      <formula>AG227&gt;AI227*#REF!</formula>
    </cfRule>
  </conditionalFormatting>
  <conditionalFormatting sqref="AG229:AI229">
    <cfRule type="expression" dxfId="12684" priority="1830">
      <formula>AG229&gt;AI229*#REF!</formula>
    </cfRule>
  </conditionalFormatting>
  <conditionalFormatting sqref="AG229:AI230">
    <cfRule type="expression" dxfId="12683" priority="1827">
      <formula>AG229&lt;AI229*#REF!</formula>
    </cfRule>
  </conditionalFormatting>
  <conditionalFormatting sqref="AG230:AI230">
    <cfRule type="expression" dxfId="12682" priority="1828">
      <formula>AG230&gt;AI230*#REF!</formula>
    </cfRule>
  </conditionalFormatting>
  <conditionalFormatting sqref="AG231:AI231">
    <cfRule type="expression" dxfId="12681" priority="1825">
      <formula>AG231&gt;AI231+#REF!</formula>
    </cfRule>
  </conditionalFormatting>
  <conditionalFormatting sqref="AG231:AI233">
    <cfRule type="expression" dxfId="12680" priority="1831">
      <formula>AG231&lt;AI231-#REF!</formula>
    </cfRule>
  </conditionalFormatting>
  <conditionalFormatting sqref="AG232:AI232">
    <cfRule type="expression" dxfId="12679" priority="1824">
      <formula>AG232&gt;AI232+#REF!</formula>
    </cfRule>
  </conditionalFormatting>
  <conditionalFormatting sqref="AG233:AI233">
    <cfRule type="expression" dxfId="12678" priority="1823">
      <formula>AG233&gt;AI233+#REF!</formula>
    </cfRule>
  </conditionalFormatting>
  <conditionalFormatting sqref="AG234:AI234">
    <cfRule type="expression" dxfId="12677" priority="1822">
      <formula>AG234&gt;AI234+#REF!</formula>
    </cfRule>
  </conditionalFormatting>
  <conditionalFormatting sqref="AG237:AI237">
    <cfRule type="expression" dxfId="12676" priority="1820">
      <formula>AG237&gt;AI237+#REF!</formula>
    </cfRule>
  </conditionalFormatting>
  <conditionalFormatting sqref="AG238:AI238">
    <cfRule type="expression" dxfId="12675" priority="1819">
      <formula>AG238&gt;AI238+#REF!</formula>
    </cfRule>
  </conditionalFormatting>
  <conditionalFormatting sqref="AG244:AI244">
    <cfRule type="expression" dxfId="12674" priority="1826">
      <formula>AG244&gt;AI244*#REF!</formula>
    </cfRule>
  </conditionalFormatting>
  <conditionalFormatting sqref="AG246:AI246">
    <cfRule type="expression" dxfId="12673" priority="1780">
      <formula>AG246&gt;AI246*#REF!</formula>
    </cfRule>
  </conditionalFormatting>
  <conditionalFormatting sqref="AG246:AI247">
    <cfRule type="expression" dxfId="12672" priority="1778">
      <formula>AG246&lt;AI246*#REF!</formula>
    </cfRule>
  </conditionalFormatting>
  <conditionalFormatting sqref="AG247:AI247">
    <cfRule type="expression" dxfId="12671" priority="1779">
      <formula>AG247&gt;AI247*#REF!</formula>
    </cfRule>
  </conditionalFormatting>
  <conditionalFormatting sqref="AG248:AI248">
    <cfRule type="expression" dxfId="12670" priority="1776">
      <formula>AG248&gt;AI248+#REF!</formula>
    </cfRule>
  </conditionalFormatting>
  <conditionalFormatting sqref="AG248:AI250">
    <cfRule type="expression" dxfId="12669" priority="1781">
      <formula>AG248&lt;AI248-#REF!</formula>
    </cfRule>
  </conditionalFormatting>
  <conditionalFormatting sqref="AG249:AI249">
    <cfRule type="expression" dxfId="12668" priority="1775">
      <formula>AG249&gt;AI249+#REF!</formula>
    </cfRule>
  </conditionalFormatting>
  <conditionalFormatting sqref="AG250:AI250">
    <cfRule type="expression" dxfId="12667" priority="1774">
      <formula>AG250&gt;AI250+#REF!</formula>
    </cfRule>
  </conditionalFormatting>
  <conditionalFormatting sqref="AG251:AI251">
    <cfRule type="expression" dxfId="12666" priority="1773">
      <formula>AG251&gt;AI251+#REF!</formula>
    </cfRule>
  </conditionalFormatting>
  <conditionalFormatting sqref="AG254:AI254">
    <cfRule type="expression" dxfId="12665" priority="1771">
      <formula>AG254&gt;AI254+#REF!</formula>
    </cfRule>
  </conditionalFormatting>
  <conditionalFormatting sqref="AG255:AI255">
    <cfRule type="expression" dxfId="12664" priority="1770">
      <formula>AG255&gt;AI255+#REF!</formula>
    </cfRule>
  </conditionalFormatting>
  <conditionalFormatting sqref="AG261:AI261">
    <cfRule type="expression" dxfId="12663" priority="1777">
      <formula>AG261&gt;AI261*#REF!</formula>
    </cfRule>
  </conditionalFormatting>
  <conditionalFormatting sqref="AG263:AI263">
    <cfRule type="expression" dxfId="12662" priority="1650">
      <formula>AG263&gt;AI263*#REF!</formula>
    </cfRule>
  </conditionalFormatting>
  <conditionalFormatting sqref="AG263:AI264">
    <cfRule type="expression" dxfId="12661" priority="1647">
      <formula>AG263&lt;AI263*#REF!</formula>
    </cfRule>
  </conditionalFormatting>
  <conditionalFormatting sqref="AG264:AI264">
    <cfRule type="expression" dxfId="12660" priority="1648">
      <formula>AG264&gt;AI264*#REF!</formula>
    </cfRule>
  </conditionalFormatting>
  <conditionalFormatting sqref="AG265:AI265">
    <cfRule type="expression" dxfId="12659" priority="1645">
      <formula>AG265&gt;AI265+#REF!</formula>
    </cfRule>
  </conditionalFormatting>
  <conditionalFormatting sqref="AG265:AI267">
    <cfRule type="expression" dxfId="12658" priority="1651">
      <formula>AG265&lt;AI265-#REF!</formula>
    </cfRule>
  </conditionalFormatting>
  <conditionalFormatting sqref="AG266:AI266">
    <cfRule type="expression" dxfId="12657" priority="1644">
      <formula>AG266&gt;AI266+#REF!</formula>
    </cfRule>
  </conditionalFormatting>
  <conditionalFormatting sqref="AG267:AI267">
    <cfRule type="expression" dxfId="12656" priority="1643">
      <formula>AG267&gt;AI267+#REF!</formula>
    </cfRule>
  </conditionalFormatting>
  <conditionalFormatting sqref="AG268:AI268">
    <cfRule type="expression" dxfId="12655" priority="1642">
      <formula>AG268&gt;AI268+#REF!</formula>
    </cfRule>
  </conditionalFormatting>
  <conditionalFormatting sqref="AG271:AI271">
    <cfRule type="expression" dxfId="12654" priority="1640">
      <formula>AG271&gt;AI271+#REF!</formula>
    </cfRule>
  </conditionalFormatting>
  <conditionalFormatting sqref="AG272:AI272">
    <cfRule type="expression" dxfId="12653" priority="1639">
      <formula>AG272&gt;AI272+#REF!</formula>
    </cfRule>
  </conditionalFormatting>
  <conditionalFormatting sqref="AG278:AI278">
    <cfRule type="expression" dxfId="12652" priority="1646">
      <formula>AG278&gt;AI278*#REF!</formula>
    </cfRule>
  </conditionalFormatting>
  <conditionalFormatting sqref="AG280:AI280">
    <cfRule type="expression" dxfId="12651" priority="1754">
      <formula>AG280&gt;AI280*#REF!</formula>
    </cfRule>
  </conditionalFormatting>
  <conditionalFormatting sqref="AG280:AI281">
    <cfRule type="expression" dxfId="12650" priority="1752">
      <formula>AG280&lt;AI280*#REF!</formula>
    </cfRule>
  </conditionalFormatting>
  <conditionalFormatting sqref="AG281:AI281">
    <cfRule type="expression" dxfId="12649" priority="1753">
      <formula>AG281&gt;AI281*#REF!</formula>
    </cfRule>
  </conditionalFormatting>
  <conditionalFormatting sqref="AG282:AI282">
    <cfRule type="expression" dxfId="12648" priority="1750">
      <formula>AG282&gt;AI282+#REF!</formula>
    </cfRule>
  </conditionalFormatting>
  <conditionalFormatting sqref="AG282:AI284">
    <cfRule type="expression" dxfId="12647" priority="1755">
      <formula>AG282&lt;AI282-#REF!</formula>
    </cfRule>
  </conditionalFormatting>
  <conditionalFormatting sqref="AG283:AI283">
    <cfRule type="expression" dxfId="12646" priority="1749">
      <formula>AG283&gt;AI283+#REF!</formula>
    </cfRule>
  </conditionalFormatting>
  <conditionalFormatting sqref="AG284:AI284">
    <cfRule type="expression" dxfId="12645" priority="1748">
      <formula>AG284&gt;AI284+#REF!</formula>
    </cfRule>
  </conditionalFormatting>
  <conditionalFormatting sqref="AG285:AI285">
    <cfRule type="expression" dxfId="12644" priority="1747">
      <formula>AG285&gt;AI285+#REF!</formula>
    </cfRule>
  </conditionalFormatting>
  <conditionalFormatting sqref="AG288:AI288">
    <cfRule type="expression" dxfId="12643" priority="1745">
      <formula>AG288&gt;AI288+#REF!</formula>
    </cfRule>
  </conditionalFormatting>
  <conditionalFormatting sqref="AG289:AI289">
    <cfRule type="expression" dxfId="12642" priority="1744">
      <formula>AG289&gt;AI289+#REF!</formula>
    </cfRule>
  </conditionalFormatting>
  <conditionalFormatting sqref="AG295:AI295">
    <cfRule type="expression" dxfId="12641" priority="1751">
      <formula>AG295&gt;AI295*#REF!</formula>
    </cfRule>
  </conditionalFormatting>
  <conditionalFormatting sqref="AG297:AI297">
    <cfRule type="expression" dxfId="12640" priority="1728">
      <formula>AG297&gt;AI297*#REF!</formula>
    </cfRule>
  </conditionalFormatting>
  <conditionalFormatting sqref="AG297:AI298">
    <cfRule type="expression" dxfId="12639" priority="1726">
      <formula>AG297&lt;AI297*#REF!</formula>
    </cfRule>
  </conditionalFormatting>
  <conditionalFormatting sqref="AG298:AI298">
    <cfRule type="expression" dxfId="12638" priority="1727">
      <formula>AG298&gt;AI298*#REF!</formula>
    </cfRule>
  </conditionalFormatting>
  <conditionalFormatting sqref="AG299:AI299">
    <cfRule type="expression" dxfId="12637" priority="1724">
      <formula>AG299&gt;AI299+#REF!</formula>
    </cfRule>
  </conditionalFormatting>
  <conditionalFormatting sqref="AG299:AI301">
    <cfRule type="expression" dxfId="12636" priority="1729">
      <formula>AG299&lt;AI299-#REF!</formula>
    </cfRule>
  </conditionalFormatting>
  <conditionalFormatting sqref="AG300:AI300">
    <cfRule type="expression" dxfId="12635" priority="1723">
      <formula>AG300&gt;AI300+#REF!</formula>
    </cfRule>
  </conditionalFormatting>
  <conditionalFormatting sqref="AG301:AI301">
    <cfRule type="expression" dxfId="12634" priority="1722">
      <formula>AG301&gt;AI301+#REF!</formula>
    </cfRule>
  </conditionalFormatting>
  <conditionalFormatting sqref="AG302:AI302">
    <cfRule type="expression" dxfId="12633" priority="1721">
      <formula>AG302&gt;AI302+#REF!</formula>
    </cfRule>
  </conditionalFormatting>
  <conditionalFormatting sqref="AG305:AI305">
    <cfRule type="expression" dxfId="12632" priority="1719">
      <formula>AG305&gt;AI305+#REF!</formula>
    </cfRule>
  </conditionalFormatting>
  <conditionalFormatting sqref="AG306:AI306">
    <cfRule type="expression" dxfId="12631" priority="1718">
      <formula>AG306&gt;AI306+#REF!</formula>
    </cfRule>
  </conditionalFormatting>
  <conditionalFormatting sqref="AG312:AI312">
    <cfRule type="expression" dxfId="12630" priority="1725">
      <formula>AG312&gt;AI312*#REF!</formula>
    </cfRule>
  </conditionalFormatting>
  <conditionalFormatting sqref="AG314:AI314">
    <cfRule type="expression" dxfId="12629" priority="1702">
      <formula>AG314&gt;AI314*#REF!</formula>
    </cfRule>
  </conditionalFormatting>
  <conditionalFormatting sqref="AG314:AI315">
    <cfRule type="expression" dxfId="12628" priority="1700">
      <formula>AG314&lt;AI314*#REF!</formula>
    </cfRule>
  </conditionalFormatting>
  <conditionalFormatting sqref="AG315:AI315">
    <cfRule type="expression" dxfId="12627" priority="1701">
      <formula>AG315&gt;AI315*#REF!</formula>
    </cfRule>
  </conditionalFormatting>
  <conditionalFormatting sqref="AG316:AI316">
    <cfRule type="expression" dxfId="12626" priority="1698">
      <formula>AG316&gt;AI316+#REF!</formula>
    </cfRule>
  </conditionalFormatting>
  <conditionalFormatting sqref="AG316:AI318">
    <cfRule type="expression" dxfId="12625" priority="1703">
      <formula>AG316&lt;AI316-#REF!</formula>
    </cfRule>
  </conditionalFormatting>
  <conditionalFormatting sqref="AG317:AI317">
    <cfRule type="expression" dxfId="12624" priority="1697">
      <formula>AG317&gt;AI317+#REF!</formula>
    </cfRule>
  </conditionalFormatting>
  <conditionalFormatting sqref="AG318:AI318">
    <cfRule type="expression" dxfId="12623" priority="1696">
      <formula>AG318&gt;AI318+#REF!</formula>
    </cfRule>
  </conditionalFormatting>
  <conditionalFormatting sqref="AG319:AI319">
    <cfRule type="expression" dxfId="12622" priority="1695">
      <formula>AG319&gt;AI319+#REF!</formula>
    </cfRule>
  </conditionalFormatting>
  <conditionalFormatting sqref="AG322:AI322">
    <cfRule type="expression" dxfId="12621" priority="1693">
      <formula>AG322&gt;AI322+#REF!</formula>
    </cfRule>
  </conditionalFormatting>
  <conditionalFormatting sqref="AG323:AI323">
    <cfRule type="expression" dxfId="12620" priority="1692">
      <formula>AG323&gt;AI323+#REF!</formula>
    </cfRule>
  </conditionalFormatting>
  <conditionalFormatting sqref="AG329:AI329">
    <cfRule type="expression" dxfId="12619" priority="1699">
      <formula>AG329&gt;AI329*#REF!</formula>
    </cfRule>
  </conditionalFormatting>
  <conditionalFormatting sqref="AG331:AI331">
    <cfRule type="expression" dxfId="12618" priority="1676">
      <formula>AG331&gt;AI331*#REF!</formula>
    </cfRule>
  </conditionalFormatting>
  <conditionalFormatting sqref="AG331:AI332">
    <cfRule type="expression" dxfId="12617" priority="1674">
      <formula>AG331&lt;AI331*#REF!</formula>
    </cfRule>
  </conditionalFormatting>
  <conditionalFormatting sqref="AG332:AI332">
    <cfRule type="expression" dxfId="12616" priority="1675">
      <formula>AG332&gt;AI332*#REF!</formula>
    </cfRule>
  </conditionalFormatting>
  <conditionalFormatting sqref="AG333:AI333">
    <cfRule type="expression" dxfId="12615" priority="1672">
      <formula>AG333&gt;AI333+#REF!</formula>
    </cfRule>
  </conditionalFormatting>
  <conditionalFormatting sqref="AG333:AI335">
    <cfRule type="expression" dxfId="12614" priority="1677">
      <formula>AG333&lt;AI333-#REF!</formula>
    </cfRule>
  </conditionalFormatting>
  <conditionalFormatting sqref="AG334:AI334">
    <cfRule type="expression" dxfId="12613" priority="1671">
      <formula>AG334&gt;AI334+#REF!</formula>
    </cfRule>
  </conditionalFormatting>
  <conditionalFormatting sqref="AG335:AI335">
    <cfRule type="expression" dxfId="12612" priority="1670">
      <formula>AG335&gt;AI335+#REF!</formula>
    </cfRule>
  </conditionalFormatting>
  <conditionalFormatting sqref="AG336:AI336">
    <cfRule type="expression" dxfId="12611" priority="1669">
      <formula>AG336&gt;AI336+#REF!</formula>
    </cfRule>
  </conditionalFormatting>
  <conditionalFormatting sqref="AG339:AI339">
    <cfRule type="expression" dxfId="12610" priority="1667">
      <formula>AG339&gt;AI339+#REF!</formula>
    </cfRule>
  </conditionalFormatting>
  <conditionalFormatting sqref="AG340:AI340">
    <cfRule type="expression" dxfId="12609" priority="1666">
      <formula>AG340&gt;AI340+#REF!</formula>
    </cfRule>
  </conditionalFormatting>
  <conditionalFormatting sqref="AG346:AI346">
    <cfRule type="expression" dxfId="12608" priority="1673">
      <formula>AG346&gt;AI346*#REF!</formula>
    </cfRule>
  </conditionalFormatting>
  <conditionalFormatting sqref="AG348:AI348">
    <cfRule type="expression" dxfId="12607" priority="1805">
      <formula>AG348&gt;AI348*#REF!</formula>
    </cfRule>
  </conditionalFormatting>
  <conditionalFormatting sqref="AG348:AI349">
    <cfRule type="expression" dxfId="12606" priority="1802">
      <formula>AG348&lt;AI348*#REF!</formula>
    </cfRule>
  </conditionalFormatting>
  <conditionalFormatting sqref="AG349:AI349">
    <cfRule type="expression" dxfId="12605" priority="1803">
      <formula>AG349&gt;AI349*#REF!</formula>
    </cfRule>
  </conditionalFormatting>
  <conditionalFormatting sqref="AG350:AI350">
    <cfRule type="expression" dxfId="12604" priority="1800">
      <formula>AG350&gt;AI350+#REF!</formula>
    </cfRule>
  </conditionalFormatting>
  <conditionalFormatting sqref="AG350:AI352">
    <cfRule type="expression" dxfId="12603" priority="1806">
      <formula>AG350&lt;AI350-#REF!</formula>
    </cfRule>
  </conditionalFormatting>
  <conditionalFormatting sqref="AG351:AI351">
    <cfRule type="expression" dxfId="12602" priority="1799">
      <formula>AG351&gt;AI351+#REF!</formula>
    </cfRule>
  </conditionalFormatting>
  <conditionalFormatting sqref="AG352:AI352">
    <cfRule type="expression" dxfId="12601" priority="1798">
      <formula>AG352&gt;AI352+#REF!</formula>
    </cfRule>
  </conditionalFormatting>
  <conditionalFormatting sqref="AG353:AI353">
    <cfRule type="expression" dxfId="12600" priority="1797">
      <formula>AG353&gt;AI353+#REF!</formula>
    </cfRule>
  </conditionalFormatting>
  <conditionalFormatting sqref="AG356:AI356">
    <cfRule type="expression" dxfId="12599" priority="1795">
      <formula>AG356&gt;AI356+#REF!</formula>
    </cfRule>
  </conditionalFormatting>
  <conditionalFormatting sqref="AG357:AI357">
    <cfRule type="expression" dxfId="12598" priority="1794">
      <formula>AG357&gt;AI357+#REF!</formula>
    </cfRule>
  </conditionalFormatting>
  <conditionalFormatting sqref="AG363:AI363">
    <cfRule type="expression" dxfId="12597" priority="1801">
      <formula>AG363&gt;AI363*#REF!</formula>
    </cfRule>
  </conditionalFormatting>
  <conditionalFormatting sqref="AH14:AH15">
    <cfRule type="expression" dxfId="12596" priority="2090">
      <formula>AH14&gt;AJ14+#REF!</formula>
    </cfRule>
    <cfRule type="expression" dxfId="12595" priority="2091">
      <formula>AH14&lt;AJ14-#REF!</formula>
    </cfRule>
  </conditionalFormatting>
  <conditionalFormatting sqref="AH18:AH19">
    <cfRule type="expression" dxfId="12594" priority="2088">
      <formula>AH18&gt;AJ18+#REF!</formula>
    </cfRule>
  </conditionalFormatting>
  <conditionalFormatting sqref="AH18:AH22">
    <cfRule type="expression" dxfId="12593" priority="2089">
      <formula>AH18&lt;AJ18-#REF!</formula>
    </cfRule>
  </conditionalFormatting>
  <conditionalFormatting sqref="AH20:AH22">
    <cfRule type="expression" dxfId="12592" priority="2087">
      <formula>AH20&gt;AJ20+#REF!</formula>
    </cfRule>
  </conditionalFormatting>
  <conditionalFormatting sqref="AH31:AH32">
    <cfRule type="expression" dxfId="12591" priority="2065">
      <formula>AH31&gt;AJ31+#REF!</formula>
    </cfRule>
    <cfRule type="expression" dxfId="12590" priority="2066">
      <formula>AH31&lt;AJ31-#REF!</formula>
    </cfRule>
  </conditionalFormatting>
  <conditionalFormatting sqref="AH35:AH36">
    <cfRule type="expression" dxfId="12589" priority="2063">
      <formula>AH35&gt;AJ35+#REF!</formula>
    </cfRule>
  </conditionalFormatting>
  <conditionalFormatting sqref="AH35:AH39">
    <cfRule type="expression" dxfId="12588" priority="2064">
      <formula>AH35&lt;AJ35-#REF!</formula>
    </cfRule>
  </conditionalFormatting>
  <conditionalFormatting sqref="AH37:AH39">
    <cfRule type="expression" dxfId="12587" priority="2062">
      <formula>AH37&gt;AJ37+#REF!</formula>
    </cfRule>
  </conditionalFormatting>
  <conditionalFormatting sqref="AH48:AH49">
    <cfRule type="expression" dxfId="12586" priority="2040">
      <formula>AH48&gt;AJ48+#REF!</formula>
    </cfRule>
    <cfRule type="expression" dxfId="12585" priority="2041">
      <formula>AH48&lt;AJ48-#REF!</formula>
    </cfRule>
  </conditionalFormatting>
  <conditionalFormatting sqref="AH52:AH53">
    <cfRule type="expression" dxfId="12584" priority="2038">
      <formula>AH52&gt;AJ52+#REF!</formula>
    </cfRule>
  </conditionalFormatting>
  <conditionalFormatting sqref="AH52:AH56">
    <cfRule type="expression" dxfId="12583" priority="2039">
      <formula>AH52&lt;AJ52-#REF!</formula>
    </cfRule>
  </conditionalFormatting>
  <conditionalFormatting sqref="AH54:AH56">
    <cfRule type="expression" dxfId="12582" priority="2037">
      <formula>AH54&gt;AJ54+#REF!</formula>
    </cfRule>
  </conditionalFormatting>
  <conditionalFormatting sqref="AH65:AH66">
    <cfRule type="expression" dxfId="12581" priority="2015">
      <formula>AH65&gt;AJ65+#REF!</formula>
    </cfRule>
    <cfRule type="expression" dxfId="12580" priority="2016">
      <formula>AH65&lt;AJ65-#REF!</formula>
    </cfRule>
  </conditionalFormatting>
  <conditionalFormatting sqref="AH69:AH70">
    <cfRule type="expression" dxfId="12579" priority="2013">
      <formula>AH69&gt;AJ69+#REF!</formula>
    </cfRule>
  </conditionalFormatting>
  <conditionalFormatting sqref="AH69:AH73">
    <cfRule type="expression" dxfId="12578" priority="2014">
      <formula>AH69&lt;AJ69-#REF!</formula>
    </cfRule>
  </conditionalFormatting>
  <conditionalFormatting sqref="AH71:AH73">
    <cfRule type="expression" dxfId="12577" priority="2012">
      <formula>AH71&gt;AJ71+#REF!</formula>
    </cfRule>
  </conditionalFormatting>
  <conditionalFormatting sqref="AH82:AH83">
    <cfRule type="expression" dxfId="12576" priority="1990">
      <formula>AH82&gt;AJ82+#REF!</formula>
    </cfRule>
    <cfRule type="expression" dxfId="12575" priority="1991">
      <formula>AH82&lt;AJ82-#REF!</formula>
    </cfRule>
  </conditionalFormatting>
  <conditionalFormatting sqref="AH86:AH87">
    <cfRule type="expression" dxfId="12574" priority="1988">
      <formula>AH86&gt;AJ86+#REF!</formula>
    </cfRule>
  </conditionalFormatting>
  <conditionalFormatting sqref="AH86:AH90">
    <cfRule type="expression" dxfId="12573" priority="1989">
      <formula>AH86&lt;AJ86-#REF!</formula>
    </cfRule>
  </conditionalFormatting>
  <conditionalFormatting sqref="AH88:AH90">
    <cfRule type="expression" dxfId="12572" priority="1987">
      <formula>AH88&gt;AJ88+#REF!</formula>
    </cfRule>
  </conditionalFormatting>
  <conditionalFormatting sqref="AH99:AH100">
    <cfRule type="expression" dxfId="12571" priority="1965">
      <formula>AH99&gt;AJ99+#REF!</formula>
    </cfRule>
    <cfRule type="expression" dxfId="12570" priority="1966">
      <formula>AH99&lt;AJ99-#REF!</formula>
    </cfRule>
  </conditionalFormatting>
  <conditionalFormatting sqref="AH103:AH104">
    <cfRule type="expression" dxfId="12569" priority="1963">
      <formula>AH103&gt;AJ103+#REF!</formula>
    </cfRule>
  </conditionalFormatting>
  <conditionalFormatting sqref="AH103:AH107">
    <cfRule type="expression" dxfId="12568" priority="1964">
      <formula>AH103&lt;AJ103-#REF!</formula>
    </cfRule>
  </conditionalFormatting>
  <conditionalFormatting sqref="AH105:AH107">
    <cfRule type="expression" dxfId="12567" priority="1962">
      <formula>AH105&gt;AJ105+#REF!</formula>
    </cfRule>
  </conditionalFormatting>
  <conditionalFormatting sqref="AH116:AH117">
    <cfRule type="expression" dxfId="12566" priority="1940">
      <formula>AH116&gt;AJ116+#REF!</formula>
    </cfRule>
    <cfRule type="expression" dxfId="12565" priority="1941">
      <formula>AH116&lt;AJ116-#REF!</formula>
    </cfRule>
  </conditionalFormatting>
  <conditionalFormatting sqref="AH120:AH121">
    <cfRule type="expression" dxfId="12564" priority="1938">
      <formula>AH120&gt;AJ120+#REF!</formula>
    </cfRule>
  </conditionalFormatting>
  <conditionalFormatting sqref="AH120:AH124">
    <cfRule type="expression" dxfId="12563" priority="1939">
      <formula>AH120&lt;AJ120-#REF!</formula>
    </cfRule>
  </conditionalFormatting>
  <conditionalFormatting sqref="AH122:AH124">
    <cfRule type="expression" dxfId="12562" priority="1937">
      <formula>AH122&gt;AJ122+#REF!</formula>
    </cfRule>
  </conditionalFormatting>
  <conditionalFormatting sqref="AH167:AH168">
    <cfRule type="expression" dxfId="12561" priority="1915">
      <formula>AH167&gt;AJ167+#REF!</formula>
    </cfRule>
    <cfRule type="expression" dxfId="12560" priority="1916">
      <formula>AH167&lt;AJ167-#REF!</formula>
    </cfRule>
  </conditionalFormatting>
  <conditionalFormatting sqref="AH171:AH172">
    <cfRule type="expression" dxfId="12559" priority="1913">
      <formula>AH171&gt;AJ171+#REF!</formula>
    </cfRule>
  </conditionalFormatting>
  <conditionalFormatting sqref="AH171:AH175">
    <cfRule type="expression" dxfId="12558" priority="1914">
      <formula>AH171&lt;AJ171-#REF!</formula>
    </cfRule>
  </conditionalFormatting>
  <conditionalFormatting sqref="AH173:AH175">
    <cfRule type="expression" dxfId="12557" priority="1912">
      <formula>AH173&gt;AJ173+#REF!</formula>
    </cfRule>
  </conditionalFormatting>
  <conditionalFormatting sqref="AH184:AH185">
    <cfRule type="expression" dxfId="12556" priority="1890">
      <formula>AH184&gt;AJ184+#REF!</formula>
    </cfRule>
    <cfRule type="expression" dxfId="12555" priority="1891">
      <formula>AH184&lt;AJ184-#REF!</formula>
    </cfRule>
  </conditionalFormatting>
  <conditionalFormatting sqref="AH188:AH189">
    <cfRule type="expression" dxfId="12554" priority="1888">
      <formula>AH188&gt;AJ188+#REF!</formula>
    </cfRule>
  </conditionalFormatting>
  <conditionalFormatting sqref="AH188:AH192">
    <cfRule type="expression" dxfId="12553" priority="1889">
      <formula>AH188&lt;AJ188-#REF!</formula>
    </cfRule>
  </conditionalFormatting>
  <conditionalFormatting sqref="AH190:AH192">
    <cfRule type="expression" dxfId="12552" priority="1887">
      <formula>AH190&gt;AJ190+#REF!</formula>
    </cfRule>
  </conditionalFormatting>
  <conditionalFormatting sqref="AH201:AH202">
    <cfRule type="expression" dxfId="12551" priority="1865">
      <formula>AH201&gt;AJ201+#REF!</formula>
    </cfRule>
    <cfRule type="expression" dxfId="12550" priority="1866">
      <formula>AH201&lt;AJ201-#REF!</formula>
    </cfRule>
  </conditionalFormatting>
  <conditionalFormatting sqref="AH205:AH206">
    <cfRule type="expression" dxfId="12549" priority="1863">
      <formula>AH205&gt;AJ205+#REF!</formula>
    </cfRule>
  </conditionalFormatting>
  <conditionalFormatting sqref="AH205:AH209">
    <cfRule type="expression" dxfId="12548" priority="1864">
      <formula>AH205&lt;AJ205-#REF!</formula>
    </cfRule>
  </conditionalFormatting>
  <conditionalFormatting sqref="AH207:AH209">
    <cfRule type="expression" dxfId="12547" priority="1862">
      <formula>AH207&gt;AJ207+#REF!</formula>
    </cfRule>
  </conditionalFormatting>
  <conditionalFormatting sqref="AH218:AH219">
    <cfRule type="expression" dxfId="12546" priority="1840">
      <formula>AH218&gt;AJ218+#REF!</formula>
    </cfRule>
    <cfRule type="expression" dxfId="12545" priority="1841">
      <formula>AH218&lt;AJ218-#REF!</formula>
    </cfRule>
  </conditionalFormatting>
  <conditionalFormatting sqref="AH222:AH223">
    <cfRule type="expression" dxfId="12544" priority="1838">
      <formula>AH222&gt;AJ222+#REF!</formula>
    </cfRule>
  </conditionalFormatting>
  <conditionalFormatting sqref="AH222:AH226">
    <cfRule type="expression" dxfId="12543" priority="1839">
      <formula>AH222&lt;AJ222-#REF!</formula>
    </cfRule>
  </conditionalFormatting>
  <conditionalFormatting sqref="AH224:AH226">
    <cfRule type="expression" dxfId="12542" priority="1837">
      <formula>AH224&gt;AJ224+#REF!</formula>
    </cfRule>
  </conditionalFormatting>
  <conditionalFormatting sqref="AH235:AH236">
    <cfRule type="expression" dxfId="12541" priority="1815">
      <formula>AH235&gt;AJ235+#REF!</formula>
    </cfRule>
    <cfRule type="expression" dxfId="12540" priority="1816">
      <formula>AH235&lt;AJ235-#REF!</formula>
    </cfRule>
  </conditionalFormatting>
  <conditionalFormatting sqref="AH239:AH240">
    <cfRule type="expression" dxfId="12539" priority="1813">
      <formula>AH239&gt;AJ239+#REF!</formula>
    </cfRule>
  </conditionalFormatting>
  <conditionalFormatting sqref="AH239:AH243">
    <cfRule type="expression" dxfId="12538" priority="1814">
      <formula>AH239&lt;AJ239-#REF!</formula>
    </cfRule>
  </conditionalFormatting>
  <conditionalFormatting sqref="AH241:AH243">
    <cfRule type="expression" dxfId="12537" priority="1812">
      <formula>AH241&gt;AJ241+#REF!</formula>
    </cfRule>
  </conditionalFormatting>
  <conditionalFormatting sqref="AH252:AH253">
    <cfRule type="expression" dxfId="12536" priority="1766">
      <formula>AH252&gt;AJ252+#REF!</formula>
    </cfRule>
    <cfRule type="expression" dxfId="12535" priority="1767">
      <formula>AH252&lt;AJ252-#REF!</formula>
    </cfRule>
  </conditionalFormatting>
  <conditionalFormatting sqref="AH256:AH257">
    <cfRule type="expression" dxfId="12534" priority="1764">
      <formula>AH256&gt;AJ256+#REF!</formula>
    </cfRule>
  </conditionalFormatting>
  <conditionalFormatting sqref="AH256:AH259">
    <cfRule type="expression" dxfId="12533" priority="1765">
      <formula>AH256&lt;AJ256-#REF!</formula>
    </cfRule>
  </conditionalFormatting>
  <conditionalFormatting sqref="AH258:AH259">
    <cfRule type="expression" dxfId="12532" priority="1763">
      <formula>AH258&gt;AJ258+#REF!</formula>
    </cfRule>
  </conditionalFormatting>
  <conditionalFormatting sqref="AH260">
    <cfRule type="expression" dxfId="12531" priority="1757">
      <formula>AH260&gt;AJ260+#REF!</formula>
    </cfRule>
  </conditionalFormatting>
  <conditionalFormatting sqref="AH269:AH270">
    <cfRule type="expression" dxfId="12530" priority="1635">
      <formula>AH269&gt;AJ269+#REF!</formula>
    </cfRule>
    <cfRule type="expression" dxfId="12529" priority="1636">
      <formula>AH269&lt;AJ269-#REF!</formula>
    </cfRule>
  </conditionalFormatting>
  <conditionalFormatting sqref="AH273:AH274">
    <cfRule type="expression" dxfId="12528" priority="1633">
      <formula>AH273&gt;AJ273+#REF!</formula>
    </cfRule>
  </conditionalFormatting>
  <conditionalFormatting sqref="AH273:AH277">
    <cfRule type="expression" dxfId="12527" priority="1634">
      <formula>AH273&lt;AJ273-#REF!</formula>
    </cfRule>
  </conditionalFormatting>
  <conditionalFormatting sqref="AH275:AH277">
    <cfRule type="expression" dxfId="12526" priority="1632">
      <formula>AH275&gt;AJ275+#REF!</formula>
    </cfRule>
  </conditionalFormatting>
  <conditionalFormatting sqref="AH286:AH287">
    <cfRule type="expression" dxfId="12525" priority="1740">
      <formula>AH286&gt;AJ286+#REF!</formula>
    </cfRule>
    <cfRule type="expression" dxfId="12524" priority="1741">
      <formula>AH286&lt;AJ286-#REF!</formula>
    </cfRule>
  </conditionalFormatting>
  <conditionalFormatting sqref="AH290:AH291">
    <cfRule type="expression" dxfId="12523" priority="1738">
      <formula>AH290&gt;AJ290+#REF!</formula>
    </cfRule>
  </conditionalFormatting>
  <conditionalFormatting sqref="AH290:AH293">
    <cfRule type="expression" dxfId="12522" priority="1739">
      <formula>AH290&lt;AJ290-#REF!</formula>
    </cfRule>
  </conditionalFormatting>
  <conditionalFormatting sqref="AH292:AH293">
    <cfRule type="expression" dxfId="12521" priority="1737">
      <formula>AH292&gt;AJ292+#REF!</formula>
    </cfRule>
  </conditionalFormatting>
  <conditionalFormatting sqref="AH294">
    <cfRule type="expression" dxfId="12520" priority="1731">
      <formula>AH294&gt;AJ294+#REF!</formula>
    </cfRule>
  </conditionalFormatting>
  <conditionalFormatting sqref="AH303:AH304">
    <cfRule type="expression" dxfId="12519" priority="1714">
      <formula>AH303&gt;AJ303+#REF!</formula>
    </cfRule>
    <cfRule type="expression" dxfId="12518" priority="1715">
      <formula>AH303&lt;AJ303-#REF!</formula>
    </cfRule>
  </conditionalFormatting>
  <conditionalFormatting sqref="AH307:AH308">
    <cfRule type="expression" dxfId="12517" priority="1712">
      <formula>AH307&gt;AJ307+#REF!</formula>
    </cfRule>
  </conditionalFormatting>
  <conditionalFormatting sqref="AH307:AH310">
    <cfRule type="expression" dxfId="12516" priority="1713">
      <formula>AH307&lt;AJ307-#REF!</formula>
    </cfRule>
  </conditionalFormatting>
  <conditionalFormatting sqref="AH309:AH310">
    <cfRule type="expression" dxfId="12515" priority="1711">
      <formula>AH309&gt;AJ309+#REF!</formula>
    </cfRule>
  </conditionalFormatting>
  <conditionalFormatting sqref="AH311">
    <cfRule type="expression" dxfId="12514" priority="1705">
      <formula>AH311&gt;AJ311+#REF!</formula>
    </cfRule>
  </conditionalFormatting>
  <conditionalFormatting sqref="AH320:AH321">
    <cfRule type="expression" dxfId="12513" priority="1688">
      <formula>AH320&gt;AJ320+#REF!</formula>
    </cfRule>
    <cfRule type="expression" dxfId="12512" priority="1689">
      <formula>AH320&lt;AJ320-#REF!</formula>
    </cfRule>
  </conditionalFormatting>
  <conditionalFormatting sqref="AH324:AH325">
    <cfRule type="expression" dxfId="12511" priority="1686">
      <formula>AH324&gt;AJ324+#REF!</formula>
    </cfRule>
  </conditionalFormatting>
  <conditionalFormatting sqref="AH324:AH327">
    <cfRule type="expression" dxfId="12510" priority="1687">
      <formula>AH324&lt;AJ324-#REF!</formula>
    </cfRule>
  </conditionalFormatting>
  <conditionalFormatting sqref="AH326:AH327">
    <cfRule type="expression" dxfId="12509" priority="1685">
      <formula>AH326&gt;AJ326+#REF!</formula>
    </cfRule>
  </conditionalFormatting>
  <conditionalFormatting sqref="AH328">
    <cfRule type="expression" dxfId="12508" priority="1679">
      <formula>AH328&gt;AJ328+#REF!</formula>
    </cfRule>
  </conditionalFormatting>
  <conditionalFormatting sqref="AH337:AH338">
    <cfRule type="expression" dxfId="12507" priority="1662">
      <formula>AH337&gt;AJ337+#REF!</formula>
    </cfRule>
    <cfRule type="expression" dxfId="12506" priority="1663">
      <formula>AH337&lt;AJ337-#REF!</formula>
    </cfRule>
  </conditionalFormatting>
  <conditionalFormatting sqref="AH341:AH342">
    <cfRule type="expression" dxfId="12505" priority="1660">
      <formula>AH341&gt;AJ341+#REF!</formula>
    </cfRule>
  </conditionalFormatting>
  <conditionalFormatting sqref="AH341:AH344">
    <cfRule type="expression" dxfId="12504" priority="1661">
      <formula>AH341&lt;AJ341-#REF!</formula>
    </cfRule>
  </conditionalFormatting>
  <conditionalFormatting sqref="AH343:AH344">
    <cfRule type="expression" dxfId="12503" priority="1659">
      <formula>AH343&gt;AJ343+#REF!</formula>
    </cfRule>
  </conditionalFormatting>
  <conditionalFormatting sqref="AH345">
    <cfRule type="expression" dxfId="12502" priority="1653">
      <formula>AH345&gt;AJ345+#REF!</formula>
    </cfRule>
  </conditionalFormatting>
  <conditionalFormatting sqref="AH354:AH355">
    <cfRule type="expression" dxfId="12501" priority="1790">
      <formula>AH354&gt;AJ354+#REF!</formula>
    </cfRule>
    <cfRule type="expression" dxfId="12500" priority="1791">
      <formula>AH354&lt;AJ354-#REF!</formula>
    </cfRule>
  </conditionalFormatting>
  <conditionalFormatting sqref="AH358:AH359">
    <cfRule type="expression" dxfId="12499" priority="1788">
      <formula>AH358&gt;AJ358+#REF!</formula>
    </cfRule>
  </conditionalFormatting>
  <conditionalFormatting sqref="AH358:AH362">
    <cfRule type="expression" dxfId="12498" priority="1789">
      <formula>AH358&lt;AJ358-#REF!</formula>
    </cfRule>
  </conditionalFormatting>
  <conditionalFormatting sqref="AH360:AH362">
    <cfRule type="expression" dxfId="12497" priority="1787">
      <formula>AH360&gt;AJ360+#REF!</formula>
    </cfRule>
  </conditionalFormatting>
  <conditionalFormatting sqref="AI14:AI15">
    <cfRule type="expression" dxfId="12496" priority="2085">
      <formula>AI14&gt;AK14+#REF!</formula>
    </cfRule>
    <cfRule type="expression" dxfId="12495" priority="2086">
      <formula>AI14&lt;AK14-#REF!</formula>
    </cfRule>
  </conditionalFormatting>
  <conditionalFormatting sqref="AI18:AI19">
    <cfRule type="expression" dxfId="12494" priority="2083">
      <formula>AI18&gt;AK18+#REF!</formula>
    </cfRule>
    <cfRule type="expression" dxfId="12493" priority="2084">
      <formula>AI18&lt;AK18-#REF!</formula>
    </cfRule>
  </conditionalFormatting>
  <conditionalFormatting sqref="AI20:AI22">
    <cfRule type="expression" dxfId="12492" priority="2082">
      <formula>AI20&gt;AK20+#REF!</formula>
    </cfRule>
  </conditionalFormatting>
  <conditionalFormatting sqref="AI31:AI32">
    <cfRule type="expression" dxfId="12491" priority="2060">
      <formula>AI31&gt;AK31+#REF!</formula>
    </cfRule>
    <cfRule type="expression" dxfId="12490" priority="2061">
      <formula>AI31&lt;AK31-#REF!</formula>
    </cfRule>
  </conditionalFormatting>
  <conditionalFormatting sqref="AI35:AI36">
    <cfRule type="expression" dxfId="12489" priority="2058">
      <formula>AI35&gt;AK35+#REF!</formula>
    </cfRule>
    <cfRule type="expression" dxfId="12488" priority="2059">
      <formula>AI35&lt;AK35-#REF!</formula>
    </cfRule>
  </conditionalFormatting>
  <conditionalFormatting sqref="AI37:AI39">
    <cfRule type="expression" dxfId="12487" priority="2057">
      <formula>AI37&gt;AK37+#REF!</formula>
    </cfRule>
  </conditionalFormatting>
  <conditionalFormatting sqref="AI48:AI49">
    <cfRule type="expression" dxfId="12486" priority="2035">
      <formula>AI48&gt;AK48+#REF!</formula>
    </cfRule>
    <cfRule type="expression" dxfId="12485" priority="2036">
      <formula>AI48&lt;AK48-#REF!</formula>
    </cfRule>
  </conditionalFormatting>
  <conditionalFormatting sqref="AI52:AI53">
    <cfRule type="expression" dxfId="12484" priority="2033">
      <formula>AI52&gt;AK52+#REF!</formula>
    </cfRule>
    <cfRule type="expression" dxfId="12483" priority="2034">
      <formula>AI52&lt;AK52-#REF!</formula>
    </cfRule>
  </conditionalFormatting>
  <conditionalFormatting sqref="AI54:AI56">
    <cfRule type="expression" dxfId="12482" priority="2032">
      <formula>AI54&gt;AK54+#REF!</formula>
    </cfRule>
  </conditionalFormatting>
  <conditionalFormatting sqref="AI65:AI66">
    <cfRule type="expression" dxfId="12481" priority="2010">
      <formula>AI65&gt;AK65+#REF!</formula>
    </cfRule>
    <cfRule type="expression" dxfId="12480" priority="2011">
      <formula>AI65&lt;AK65-#REF!</formula>
    </cfRule>
  </conditionalFormatting>
  <conditionalFormatting sqref="AI69:AI70">
    <cfRule type="expression" dxfId="12479" priority="2008">
      <formula>AI69&gt;AK69+#REF!</formula>
    </cfRule>
    <cfRule type="expression" dxfId="12478" priority="2009">
      <formula>AI69&lt;AK69-#REF!</formula>
    </cfRule>
  </conditionalFormatting>
  <conditionalFormatting sqref="AI71:AI73">
    <cfRule type="expression" dxfId="12477" priority="2007">
      <formula>AI71&gt;AK71+#REF!</formula>
    </cfRule>
  </conditionalFormatting>
  <conditionalFormatting sqref="AI82:AI83">
    <cfRule type="expression" dxfId="12476" priority="1985">
      <formula>AI82&gt;AK82+#REF!</formula>
    </cfRule>
    <cfRule type="expression" dxfId="12475" priority="1986">
      <formula>AI82&lt;AK82-#REF!</formula>
    </cfRule>
  </conditionalFormatting>
  <conditionalFormatting sqref="AI86:AI87">
    <cfRule type="expression" dxfId="12474" priority="1983">
      <formula>AI86&gt;AK86+#REF!</formula>
    </cfRule>
    <cfRule type="expression" dxfId="12473" priority="1984">
      <formula>AI86&lt;AK86-#REF!</formula>
    </cfRule>
  </conditionalFormatting>
  <conditionalFormatting sqref="AI88:AI90">
    <cfRule type="expression" dxfId="12472" priority="1982">
      <formula>AI88&gt;AK88+#REF!</formula>
    </cfRule>
  </conditionalFormatting>
  <conditionalFormatting sqref="AI99:AI100">
    <cfRule type="expression" dxfId="12471" priority="1960">
      <formula>AI99&gt;AK99+#REF!</formula>
    </cfRule>
    <cfRule type="expression" dxfId="12470" priority="1961">
      <formula>AI99&lt;AK99-#REF!</formula>
    </cfRule>
  </conditionalFormatting>
  <conditionalFormatting sqref="AI103:AI104">
    <cfRule type="expression" dxfId="12469" priority="1958">
      <formula>AI103&gt;AK103+#REF!</formula>
    </cfRule>
    <cfRule type="expression" dxfId="12468" priority="1959">
      <formula>AI103&lt;AK103-#REF!</formula>
    </cfRule>
  </conditionalFormatting>
  <conditionalFormatting sqref="AI105:AI107">
    <cfRule type="expression" dxfId="12467" priority="1957">
      <formula>AI105&gt;AK105+#REF!</formula>
    </cfRule>
  </conditionalFormatting>
  <conditionalFormatting sqref="AI116:AI117">
    <cfRule type="expression" dxfId="12466" priority="1935">
      <formula>AI116&gt;AK116+#REF!</formula>
    </cfRule>
    <cfRule type="expression" dxfId="12465" priority="1936">
      <formula>AI116&lt;AK116-#REF!</formula>
    </cfRule>
  </conditionalFormatting>
  <conditionalFormatting sqref="AI120:AI121">
    <cfRule type="expression" dxfId="12464" priority="1933">
      <formula>AI120&gt;AK120+#REF!</formula>
    </cfRule>
    <cfRule type="expression" dxfId="12463" priority="1934">
      <formula>AI120&lt;AK120-#REF!</formula>
    </cfRule>
  </conditionalFormatting>
  <conditionalFormatting sqref="AI122:AI124">
    <cfRule type="expression" dxfId="12462" priority="1932">
      <formula>AI122&gt;AK122+#REF!</formula>
    </cfRule>
  </conditionalFormatting>
  <conditionalFormatting sqref="AI167:AI168">
    <cfRule type="expression" dxfId="12461" priority="1910">
      <formula>AI167&gt;AK167+#REF!</formula>
    </cfRule>
    <cfRule type="expression" dxfId="12460" priority="1911">
      <formula>AI167&lt;AK167-#REF!</formula>
    </cfRule>
  </conditionalFormatting>
  <conditionalFormatting sqref="AI171:AI172">
    <cfRule type="expression" dxfId="12459" priority="1908">
      <formula>AI171&gt;AK171+#REF!</formula>
    </cfRule>
    <cfRule type="expression" dxfId="12458" priority="1909">
      <formula>AI171&lt;AK171-#REF!</formula>
    </cfRule>
  </conditionalFormatting>
  <conditionalFormatting sqref="AI173:AI175">
    <cfRule type="expression" dxfId="12457" priority="1907">
      <formula>AI173&gt;AK173+#REF!</formula>
    </cfRule>
  </conditionalFormatting>
  <conditionalFormatting sqref="AI184:AI185">
    <cfRule type="expression" dxfId="12456" priority="1885">
      <formula>AI184&gt;AK184+#REF!</formula>
    </cfRule>
    <cfRule type="expression" dxfId="12455" priority="1886">
      <formula>AI184&lt;AK184-#REF!</formula>
    </cfRule>
  </conditionalFormatting>
  <conditionalFormatting sqref="AI188:AI189">
    <cfRule type="expression" dxfId="12454" priority="1883">
      <formula>AI188&gt;AK188+#REF!</formula>
    </cfRule>
    <cfRule type="expression" dxfId="12453" priority="1884">
      <formula>AI188&lt;AK188-#REF!</formula>
    </cfRule>
  </conditionalFormatting>
  <conditionalFormatting sqref="AI190:AI192">
    <cfRule type="expression" dxfId="12452" priority="1882">
      <formula>AI190&gt;AK190+#REF!</formula>
    </cfRule>
  </conditionalFormatting>
  <conditionalFormatting sqref="AI201:AI202">
    <cfRule type="expression" dxfId="12451" priority="1860">
      <formula>AI201&gt;AK201+#REF!</formula>
    </cfRule>
    <cfRule type="expression" dxfId="12450" priority="1861">
      <formula>AI201&lt;AK201-#REF!</formula>
    </cfRule>
  </conditionalFormatting>
  <conditionalFormatting sqref="AI205:AI206">
    <cfRule type="expression" dxfId="12449" priority="1858">
      <formula>AI205&gt;AK205+#REF!</formula>
    </cfRule>
    <cfRule type="expression" dxfId="12448" priority="1859">
      <formula>AI205&lt;AK205-#REF!</formula>
    </cfRule>
  </conditionalFormatting>
  <conditionalFormatting sqref="AI207:AI209">
    <cfRule type="expression" dxfId="12447" priority="1857">
      <formula>AI207&gt;AK207+#REF!</formula>
    </cfRule>
  </conditionalFormatting>
  <conditionalFormatting sqref="AI218:AI219">
    <cfRule type="expression" dxfId="12446" priority="1835">
      <formula>AI218&gt;AK218+#REF!</formula>
    </cfRule>
    <cfRule type="expression" dxfId="12445" priority="1836">
      <formula>AI218&lt;AK218-#REF!</formula>
    </cfRule>
  </conditionalFormatting>
  <conditionalFormatting sqref="AI222:AI223">
    <cfRule type="expression" dxfId="12444" priority="1833">
      <formula>AI222&gt;AK222+#REF!</formula>
    </cfRule>
    <cfRule type="expression" dxfId="12443" priority="1834">
      <formula>AI222&lt;AK222-#REF!</formula>
    </cfRule>
  </conditionalFormatting>
  <conditionalFormatting sqref="AI224:AI226">
    <cfRule type="expression" dxfId="12442" priority="1832">
      <formula>AI224&gt;AK224+#REF!</formula>
    </cfRule>
  </conditionalFormatting>
  <conditionalFormatting sqref="AI235:AI236">
    <cfRule type="expression" dxfId="12441" priority="1810">
      <formula>AI235&gt;AK235+#REF!</formula>
    </cfRule>
    <cfRule type="expression" dxfId="12440" priority="1811">
      <formula>AI235&lt;AK235-#REF!</formula>
    </cfRule>
  </conditionalFormatting>
  <conditionalFormatting sqref="AI239:AI240">
    <cfRule type="expression" dxfId="12439" priority="1808">
      <formula>AI239&gt;AK239+#REF!</formula>
    </cfRule>
    <cfRule type="expression" dxfId="12438" priority="1809">
      <formula>AI239&lt;AK239-#REF!</formula>
    </cfRule>
  </conditionalFormatting>
  <conditionalFormatting sqref="AI241:AI243">
    <cfRule type="expression" dxfId="12437" priority="1807">
      <formula>AI241&gt;AK241+#REF!</formula>
    </cfRule>
  </conditionalFormatting>
  <conditionalFormatting sqref="AI252:AI253">
    <cfRule type="expression" dxfId="12436" priority="1761">
      <formula>AI252&gt;AK252+#REF!</formula>
    </cfRule>
    <cfRule type="expression" dxfId="12435" priority="1762">
      <formula>AI252&lt;AK252-#REF!</formula>
    </cfRule>
  </conditionalFormatting>
  <conditionalFormatting sqref="AI256:AI257">
    <cfRule type="expression" dxfId="12434" priority="1759">
      <formula>AI256&gt;AK256+#REF!</formula>
    </cfRule>
    <cfRule type="expression" dxfId="12433" priority="1760">
      <formula>AI256&lt;AK256-#REF!</formula>
    </cfRule>
  </conditionalFormatting>
  <conditionalFormatting sqref="AI258:AI259">
    <cfRule type="expression" dxfId="12432" priority="1758">
      <formula>AI258&gt;AK258+#REF!</formula>
    </cfRule>
  </conditionalFormatting>
  <conditionalFormatting sqref="AI260">
    <cfRule type="expression" dxfId="12431" priority="1756">
      <formula>AI260&gt;AK260+#REF!</formula>
    </cfRule>
  </conditionalFormatting>
  <conditionalFormatting sqref="AI269:AI270">
    <cfRule type="expression" dxfId="12430" priority="1630">
      <formula>AI269&gt;AK269+#REF!</formula>
    </cfRule>
    <cfRule type="expression" dxfId="12429" priority="1631">
      <formula>AI269&lt;AK269-#REF!</formula>
    </cfRule>
  </conditionalFormatting>
  <conditionalFormatting sqref="AI273:AI274">
    <cfRule type="expression" dxfId="12428" priority="1628">
      <formula>AI273&gt;AK273+#REF!</formula>
    </cfRule>
    <cfRule type="expression" dxfId="12427" priority="1629">
      <formula>AI273&lt;AK273-#REF!</formula>
    </cfRule>
  </conditionalFormatting>
  <conditionalFormatting sqref="AI275:AI277">
    <cfRule type="expression" dxfId="12426" priority="1627">
      <formula>AI275&gt;AK275+#REF!</formula>
    </cfRule>
  </conditionalFormatting>
  <conditionalFormatting sqref="AI286:AI287">
    <cfRule type="expression" dxfId="12425" priority="1735">
      <formula>AI286&gt;AK286+#REF!</formula>
    </cfRule>
    <cfRule type="expression" dxfId="12424" priority="1736">
      <formula>AI286&lt;AK286-#REF!</formula>
    </cfRule>
  </conditionalFormatting>
  <conditionalFormatting sqref="AI290:AI291">
    <cfRule type="expression" dxfId="12423" priority="1733">
      <formula>AI290&gt;AK290+#REF!</formula>
    </cfRule>
    <cfRule type="expression" dxfId="12422" priority="1734">
      <formula>AI290&lt;AK290-#REF!</formula>
    </cfRule>
  </conditionalFormatting>
  <conditionalFormatting sqref="AI292:AI293">
    <cfRule type="expression" dxfId="12421" priority="1732">
      <formula>AI292&gt;AK292+#REF!</formula>
    </cfRule>
  </conditionalFormatting>
  <conditionalFormatting sqref="AI294">
    <cfRule type="expression" dxfId="12420" priority="1730">
      <formula>AI294&gt;AK294+#REF!</formula>
    </cfRule>
  </conditionalFormatting>
  <conditionalFormatting sqref="AI303:AI304">
    <cfRule type="expression" dxfId="12419" priority="1709">
      <formula>AI303&gt;AK303+#REF!</formula>
    </cfRule>
    <cfRule type="expression" dxfId="12418" priority="1710">
      <formula>AI303&lt;AK303-#REF!</formula>
    </cfRule>
  </conditionalFormatting>
  <conditionalFormatting sqref="AI307:AI308">
    <cfRule type="expression" dxfId="12417" priority="1707">
      <formula>AI307&gt;AK307+#REF!</formula>
    </cfRule>
    <cfRule type="expression" dxfId="12416" priority="1708">
      <formula>AI307&lt;AK307-#REF!</formula>
    </cfRule>
  </conditionalFormatting>
  <conditionalFormatting sqref="AI309:AI310">
    <cfRule type="expression" dxfId="12415" priority="1706">
      <formula>AI309&gt;AK309+#REF!</formula>
    </cfRule>
  </conditionalFormatting>
  <conditionalFormatting sqref="AI311">
    <cfRule type="expression" dxfId="12414" priority="1704">
      <formula>AI311&gt;AK311+#REF!</formula>
    </cfRule>
  </conditionalFormatting>
  <conditionalFormatting sqref="AI320:AI321">
    <cfRule type="expression" dxfId="12413" priority="1683">
      <formula>AI320&gt;AK320+#REF!</formula>
    </cfRule>
    <cfRule type="expression" dxfId="12412" priority="1684">
      <formula>AI320&lt;AK320-#REF!</formula>
    </cfRule>
  </conditionalFormatting>
  <conditionalFormatting sqref="AI324:AI325">
    <cfRule type="expression" dxfId="12411" priority="1681">
      <formula>AI324&gt;AK324+#REF!</formula>
    </cfRule>
    <cfRule type="expression" dxfId="12410" priority="1682">
      <formula>AI324&lt;AK324-#REF!</formula>
    </cfRule>
  </conditionalFormatting>
  <conditionalFormatting sqref="AI326:AI327">
    <cfRule type="expression" dxfId="12409" priority="1680">
      <formula>AI326&gt;AK326+#REF!</formula>
    </cfRule>
  </conditionalFormatting>
  <conditionalFormatting sqref="AI328">
    <cfRule type="expression" dxfId="12408" priority="1678">
      <formula>AI328&gt;AK328+#REF!</formula>
    </cfRule>
  </conditionalFormatting>
  <conditionalFormatting sqref="AI337:AI338">
    <cfRule type="expression" dxfId="12407" priority="1657">
      <formula>AI337&gt;AK337+#REF!</formula>
    </cfRule>
    <cfRule type="expression" dxfId="12406" priority="1658">
      <formula>AI337&lt;AK337-#REF!</formula>
    </cfRule>
  </conditionalFormatting>
  <conditionalFormatting sqref="AI341:AI342">
    <cfRule type="expression" dxfId="12405" priority="1655">
      <formula>AI341&gt;AK341+#REF!</formula>
    </cfRule>
    <cfRule type="expression" dxfId="12404" priority="1656">
      <formula>AI341&lt;AK341-#REF!</formula>
    </cfRule>
  </conditionalFormatting>
  <conditionalFormatting sqref="AI343:AI344">
    <cfRule type="expression" dxfId="12403" priority="1654">
      <formula>AI343&gt;AK343+#REF!</formula>
    </cfRule>
  </conditionalFormatting>
  <conditionalFormatting sqref="AI345">
    <cfRule type="expression" dxfId="12402" priority="1652">
      <formula>AI345&gt;AK345+#REF!</formula>
    </cfRule>
  </conditionalFormatting>
  <conditionalFormatting sqref="AI354:AI355">
    <cfRule type="expression" dxfId="12401" priority="1785">
      <formula>AI354&gt;AK354+#REF!</formula>
    </cfRule>
    <cfRule type="expression" dxfId="12400" priority="1786">
      <formula>AI354&lt;AK354-#REF!</formula>
    </cfRule>
  </conditionalFormatting>
  <conditionalFormatting sqref="AI358:AI359">
    <cfRule type="expression" dxfId="12399" priority="1783">
      <formula>AI358&gt;AK358+#REF!</formula>
    </cfRule>
    <cfRule type="expression" dxfId="12398" priority="1784">
      <formula>AI358&lt;AK358-#REF!</formula>
    </cfRule>
  </conditionalFormatting>
  <conditionalFormatting sqref="AI360:AI362">
    <cfRule type="expression" dxfId="12397" priority="1782">
      <formula>AI360&gt;AK360+#REF!</formula>
    </cfRule>
  </conditionalFormatting>
  <conditionalFormatting sqref="AK14:AK15">
    <cfRule type="expression" dxfId="12396" priority="1616">
      <formula>AK14&gt;AM14+#REF!</formula>
    </cfRule>
  </conditionalFormatting>
  <conditionalFormatting sqref="AK18:AK19">
    <cfRule type="expression" dxfId="12395" priority="1613">
      <formula>AK18&gt;AM18+#REF!</formula>
    </cfRule>
  </conditionalFormatting>
  <conditionalFormatting sqref="AK20:AK22">
    <cfRule type="expression" dxfId="12394" priority="1612">
      <formula>AK20&gt;AM20+#REF!</formula>
    </cfRule>
  </conditionalFormatting>
  <conditionalFormatting sqref="AK31:AK32">
    <cfRule type="expression" dxfId="12393" priority="1591">
      <formula>AK31&gt;AM31+#REF!</formula>
    </cfRule>
  </conditionalFormatting>
  <conditionalFormatting sqref="AK35:AK36">
    <cfRule type="expression" dxfId="12392" priority="1588">
      <formula>AK35&gt;AM35+#REF!</formula>
    </cfRule>
  </conditionalFormatting>
  <conditionalFormatting sqref="AK37:AK39">
    <cfRule type="expression" dxfId="12391" priority="1587">
      <formula>AK37&gt;AM37+#REF!</formula>
    </cfRule>
  </conditionalFormatting>
  <conditionalFormatting sqref="AK48:AK49">
    <cfRule type="expression" dxfId="12390" priority="1566">
      <formula>AK48&gt;AM48+#REF!</formula>
    </cfRule>
  </conditionalFormatting>
  <conditionalFormatting sqref="AK52:AK53">
    <cfRule type="expression" dxfId="12389" priority="1563">
      <formula>AK52&gt;AM52+#REF!</formula>
    </cfRule>
  </conditionalFormatting>
  <conditionalFormatting sqref="AK54:AK56">
    <cfRule type="expression" dxfId="12388" priority="1562">
      <formula>AK54&gt;AM54+#REF!</formula>
    </cfRule>
  </conditionalFormatting>
  <conditionalFormatting sqref="AK65:AK66">
    <cfRule type="expression" dxfId="12387" priority="1541">
      <formula>AK65&gt;AM65+#REF!</formula>
    </cfRule>
  </conditionalFormatting>
  <conditionalFormatting sqref="AK69:AK70">
    <cfRule type="expression" dxfId="12386" priority="1538">
      <formula>AK69&gt;AM69+#REF!</formula>
    </cfRule>
  </conditionalFormatting>
  <conditionalFormatting sqref="AK71:AK73">
    <cfRule type="expression" dxfId="12385" priority="1537">
      <formula>AK71&gt;AM71+#REF!</formula>
    </cfRule>
  </conditionalFormatting>
  <conditionalFormatting sqref="AK82:AK83">
    <cfRule type="expression" dxfId="12384" priority="1516">
      <formula>AK82&gt;AM82+#REF!</formula>
    </cfRule>
  </conditionalFormatting>
  <conditionalFormatting sqref="AK86:AK87">
    <cfRule type="expression" dxfId="12383" priority="1513">
      <formula>AK86&gt;AM86+#REF!</formula>
    </cfRule>
  </conditionalFormatting>
  <conditionalFormatting sqref="AK88:AK90">
    <cfRule type="expression" dxfId="12382" priority="1512">
      <formula>AK88&gt;AM88+#REF!</formula>
    </cfRule>
  </conditionalFormatting>
  <conditionalFormatting sqref="AK99:AK100">
    <cfRule type="expression" dxfId="12381" priority="1491">
      <formula>AK99&gt;AM99+#REF!</formula>
    </cfRule>
  </conditionalFormatting>
  <conditionalFormatting sqref="AK103:AK104">
    <cfRule type="expression" dxfId="12380" priority="1488">
      <formula>AK103&gt;AM103+#REF!</formula>
    </cfRule>
  </conditionalFormatting>
  <conditionalFormatting sqref="AK105:AK107">
    <cfRule type="expression" dxfId="12379" priority="1487">
      <formula>AK105&gt;AM105+#REF!</formula>
    </cfRule>
  </conditionalFormatting>
  <conditionalFormatting sqref="AK116:AK117">
    <cfRule type="expression" dxfId="12378" priority="1466">
      <formula>AK116&gt;AM116+#REF!</formula>
    </cfRule>
  </conditionalFormatting>
  <conditionalFormatting sqref="AK120:AK121">
    <cfRule type="expression" dxfId="12377" priority="1463">
      <formula>AK120&gt;AM120+#REF!</formula>
    </cfRule>
  </conditionalFormatting>
  <conditionalFormatting sqref="AK122:AK124">
    <cfRule type="expression" dxfId="12376" priority="1462">
      <formula>AK122&gt;AM122+#REF!</formula>
    </cfRule>
  </conditionalFormatting>
  <conditionalFormatting sqref="AK167:AK168">
    <cfRule type="expression" dxfId="12375" priority="1441">
      <formula>AK167&gt;AM167+#REF!</formula>
    </cfRule>
  </conditionalFormatting>
  <conditionalFormatting sqref="AK171:AK172">
    <cfRule type="expression" dxfId="12374" priority="1438">
      <formula>AK171&gt;AM171+#REF!</formula>
    </cfRule>
  </conditionalFormatting>
  <conditionalFormatting sqref="AK173:AK175">
    <cfRule type="expression" dxfId="12373" priority="1437">
      <formula>AK173&gt;AM173+#REF!</formula>
    </cfRule>
  </conditionalFormatting>
  <conditionalFormatting sqref="AK184:AK185">
    <cfRule type="expression" dxfId="12372" priority="1416">
      <formula>AK184&gt;AM184+#REF!</formula>
    </cfRule>
  </conditionalFormatting>
  <conditionalFormatting sqref="AK188:AK189">
    <cfRule type="expression" dxfId="12371" priority="1413">
      <formula>AK188&gt;AM188+#REF!</formula>
    </cfRule>
  </conditionalFormatting>
  <conditionalFormatting sqref="AK190:AK192">
    <cfRule type="expression" dxfId="12370" priority="1412">
      <formula>AK190&gt;AM190+#REF!</formula>
    </cfRule>
  </conditionalFormatting>
  <conditionalFormatting sqref="AK201:AK202">
    <cfRule type="expression" dxfId="12369" priority="1391">
      <formula>AK201&gt;AM201+#REF!</formula>
    </cfRule>
  </conditionalFormatting>
  <conditionalFormatting sqref="AK205:AK206">
    <cfRule type="expression" dxfId="12368" priority="1388">
      <formula>AK205&gt;AM205+#REF!</formula>
    </cfRule>
  </conditionalFormatting>
  <conditionalFormatting sqref="AK207:AK209">
    <cfRule type="expression" dxfId="12367" priority="1387">
      <formula>AK207&gt;AM207+#REF!</formula>
    </cfRule>
  </conditionalFormatting>
  <conditionalFormatting sqref="AK218:AK219">
    <cfRule type="expression" dxfId="12366" priority="1366">
      <formula>AK218&gt;AM218+#REF!</formula>
    </cfRule>
  </conditionalFormatting>
  <conditionalFormatting sqref="AK222:AK223">
    <cfRule type="expression" dxfId="12365" priority="1363">
      <formula>AK222&gt;AM222+#REF!</formula>
    </cfRule>
  </conditionalFormatting>
  <conditionalFormatting sqref="AK224:AK226">
    <cfRule type="expression" dxfId="12364" priority="1362">
      <formula>AK224&gt;AM224+#REF!</formula>
    </cfRule>
  </conditionalFormatting>
  <conditionalFormatting sqref="AK235:AK236">
    <cfRule type="expression" dxfId="12363" priority="1341">
      <formula>AK235&gt;AM235+#REF!</formula>
    </cfRule>
  </conditionalFormatting>
  <conditionalFormatting sqref="AK239:AK240">
    <cfRule type="expression" dxfId="12362" priority="1338">
      <formula>AK239&gt;AM239+#REF!</formula>
    </cfRule>
  </conditionalFormatting>
  <conditionalFormatting sqref="AK241:AK243">
    <cfRule type="expression" dxfId="12361" priority="1337">
      <formula>AK241&gt;AM241+#REF!</formula>
    </cfRule>
  </conditionalFormatting>
  <conditionalFormatting sqref="AK252:AK253">
    <cfRule type="expression" dxfId="12360" priority="1292">
      <formula>AK252&gt;AM252+#REF!</formula>
    </cfRule>
  </conditionalFormatting>
  <conditionalFormatting sqref="AK256:AK257">
    <cfRule type="expression" dxfId="12359" priority="1289">
      <formula>AK256&gt;AM256+#REF!</formula>
    </cfRule>
  </conditionalFormatting>
  <conditionalFormatting sqref="AK258:AK260">
    <cfRule type="expression" dxfId="12358" priority="1288">
      <formula>AK258&gt;AM258+#REF!</formula>
    </cfRule>
  </conditionalFormatting>
  <conditionalFormatting sqref="AK269:AK270">
    <cfRule type="expression" dxfId="12357" priority="1161">
      <formula>AK269&gt;AM269+#REF!</formula>
    </cfRule>
  </conditionalFormatting>
  <conditionalFormatting sqref="AK273:AK274">
    <cfRule type="expression" dxfId="12356" priority="1158">
      <formula>AK273&gt;AM273+#REF!</formula>
    </cfRule>
  </conditionalFormatting>
  <conditionalFormatting sqref="AK275:AK277">
    <cfRule type="expression" dxfId="12355" priority="1157">
      <formula>AK275&gt;AM275+#REF!</formula>
    </cfRule>
  </conditionalFormatting>
  <conditionalFormatting sqref="AK286:AK287">
    <cfRule type="expression" dxfId="12354" priority="1266">
      <formula>AK286&gt;AM286+#REF!</formula>
    </cfRule>
  </conditionalFormatting>
  <conditionalFormatting sqref="AK290:AK291">
    <cfRule type="expression" dxfId="12353" priority="1263">
      <formula>AK290&gt;AM290+#REF!</formula>
    </cfRule>
  </conditionalFormatting>
  <conditionalFormatting sqref="AK292:AK294">
    <cfRule type="expression" dxfId="12352" priority="1262">
      <formula>AK292&gt;AM292+#REF!</formula>
    </cfRule>
  </conditionalFormatting>
  <conditionalFormatting sqref="AK303:AK304">
    <cfRule type="expression" dxfId="12351" priority="1240">
      <formula>AK303&gt;AM303+#REF!</formula>
    </cfRule>
  </conditionalFormatting>
  <conditionalFormatting sqref="AK307:AK308">
    <cfRule type="expression" dxfId="12350" priority="1237">
      <formula>AK307&gt;AM307+#REF!</formula>
    </cfRule>
  </conditionalFormatting>
  <conditionalFormatting sqref="AK309:AK311">
    <cfRule type="expression" dxfId="12349" priority="1236">
      <formula>AK309&gt;AM309+#REF!</formula>
    </cfRule>
  </conditionalFormatting>
  <conditionalFormatting sqref="AK320:AK321">
    <cfRule type="expression" dxfId="12348" priority="1214">
      <formula>AK320&gt;AM320+#REF!</formula>
    </cfRule>
  </conditionalFormatting>
  <conditionalFormatting sqref="AK324:AK325">
    <cfRule type="expression" dxfId="12347" priority="1211">
      <formula>AK324&gt;AM324+#REF!</formula>
    </cfRule>
  </conditionalFormatting>
  <conditionalFormatting sqref="AK326:AK328">
    <cfRule type="expression" dxfId="12346" priority="1210">
      <formula>AK326&gt;AM326+#REF!</formula>
    </cfRule>
  </conditionalFormatting>
  <conditionalFormatting sqref="AK337:AK338">
    <cfRule type="expression" dxfId="12345" priority="1188">
      <formula>AK337&gt;AM337+#REF!</formula>
    </cfRule>
  </conditionalFormatting>
  <conditionalFormatting sqref="AK341:AK342">
    <cfRule type="expression" dxfId="12344" priority="1185">
      <formula>AK341&gt;AM341+#REF!</formula>
    </cfRule>
  </conditionalFormatting>
  <conditionalFormatting sqref="AK343:AK345">
    <cfRule type="expression" dxfId="12343" priority="1184">
      <formula>AK343&gt;AM343+#REF!</formula>
    </cfRule>
  </conditionalFormatting>
  <conditionalFormatting sqref="AK354:AK355">
    <cfRule type="expression" dxfId="12342" priority="1316">
      <formula>AK354&gt;AM354+#REF!</formula>
    </cfRule>
  </conditionalFormatting>
  <conditionalFormatting sqref="AK358:AK359">
    <cfRule type="expression" dxfId="12341" priority="1313">
      <formula>AK358&gt;AM358+#REF!</formula>
    </cfRule>
  </conditionalFormatting>
  <conditionalFormatting sqref="AK360:AK362">
    <cfRule type="expression" dxfId="12340" priority="1312">
      <formula>AK360&gt;AM360+#REF!</formula>
    </cfRule>
  </conditionalFormatting>
  <conditionalFormatting sqref="AK8:AM8">
    <cfRule type="expression" dxfId="12339" priority="1625">
      <formula>AK8&gt;AM8*#REF!</formula>
    </cfRule>
  </conditionalFormatting>
  <conditionalFormatting sqref="AK8:AM9">
    <cfRule type="expression" dxfId="12338" priority="1622">
      <formula>AK8&lt;AM8*#REF!</formula>
    </cfRule>
  </conditionalFormatting>
  <conditionalFormatting sqref="AK9:AM9">
    <cfRule type="expression" dxfId="12337" priority="1623">
      <formula>AK9&gt;AM9*#REF!</formula>
    </cfRule>
  </conditionalFormatting>
  <conditionalFormatting sqref="AK10:AM10">
    <cfRule type="expression" dxfId="12336" priority="1620">
      <formula>AK10&gt;AM10+#REF!</formula>
    </cfRule>
  </conditionalFormatting>
  <conditionalFormatting sqref="AK10:AM12">
    <cfRule type="expression" dxfId="12335" priority="1626">
      <formula>AK10&lt;AM10-#REF!</formula>
    </cfRule>
  </conditionalFormatting>
  <conditionalFormatting sqref="AK11:AM11">
    <cfRule type="expression" dxfId="12334" priority="1619">
      <formula>AK11&gt;AM11+#REF!</formula>
    </cfRule>
  </conditionalFormatting>
  <conditionalFormatting sqref="AK12:AM12">
    <cfRule type="expression" dxfId="12333" priority="1618">
      <formula>AK12&gt;AM12+#REF!</formula>
    </cfRule>
  </conditionalFormatting>
  <conditionalFormatting sqref="AK13:AM13">
    <cfRule type="expression" dxfId="12332" priority="1617">
      <formula>AK13&gt;AM13+#REF!</formula>
    </cfRule>
  </conditionalFormatting>
  <conditionalFormatting sqref="AK16:AM16">
    <cfRule type="expression" dxfId="12331" priority="1615">
      <formula>AK16&gt;AM16+#REF!</formula>
    </cfRule>
  </conditionalFormatting>
  <conditionalFormatting sqref="AK17:AM17">
    <cfRule type="expression" dxfId="12330" priority="1614">
      <formula>AK17&gt;AM17+#REF!</formula>
    </cfRule>
  </conditionalFormatting>
  <conditionalFormatting sqref="AK23:AM23">
    <cfRule type="expression" dxfId="12329" priority="1621">
      <formula>AK23&gt;AM23*#REF!</formula>
    </cfRule>
  </conditionalFormatting>
  <conditionalFormatting sqref="AK25:AM25">
    <cfRule type="expression" dxfId="12328" priority="1600">
      <formula>AK25&gt;AM25*#REF!</formula>
    </cfRule>
  </conditionalFormatting>
  <conditionalFormatting sqref="AK25:AM26">
    <cfRule type="expression" dxfId="12327" priority="1597">
      <formula>AK25&lt;AM25*#REF!</formula>
    </cfRule>
  </conditionalFormatting>
  <conditionalFormatting sqref="AK26:AM26">
    <cfRule type="expression" dxfId="12326" priority="1598">
      <formula>AK26&gt;AM26*#REF!</formula>
    </cfRule>
  </conditionalFormatting>
  <conditionalFormatting sqref="AK27:AM27">
    <cfRule type="expression" dxfId="12325" priority="1595">
      <formula>AK27&gt;AM27+#REF!</formula>
    </cfRule>
  </conditionalFormatting>
  <conditionalFormatting sqref="AK27:AM29">
    <cfRule type="expression" dxfId="12324" priority="1601">
      <formula>AK27&lt;AM27-#REF!</formula>
    </cfRule>
  </conditionalFormatting>
  <conditionalFormatting sqref="AK28:AM28">
    <cfRule type="expression" dxfId="12323" priority="1594">
      <formula>AK28&gt;AM28+#REF!</formula>
    </cfRule>
  </conditionalFormatting>
  <conditionalFormatting sqref="AK29:AM29">
    <cfRule type="expression" dxfId="12322" priority="1593">
      <formula>AK29&gt;AM29+#REF!</formula>
    </cfRule>
  </conditionalFormatting>
  <conditionalFormatting sqref="AK30:AM30">
    <cfRule type="expression" dxfId="12321" priority="1592">
      <formula>AK30&gt;AM30+#REF!</formula>
    </cfRule>
  </conditionalFormatting>
  <conditionalFormatting sqref="AK33:AM33">
    <cfRule type="expression" dxfId="12320" priority="1590">
      <formula>AK33&gt;AM33+#REF!</formula>
    </cfRule>
  </conditionalFormatting>
  <conditionalFormatting sqref="AK34:AM34">
    <cfRule type="expression" dxfId="12319" priority="1589">
      <formula>AK34&gt;AM34+#REF!</formula>
    </cfRule>
  </conditionalFormatting>
  <conditionalFormatting sqref="AK40:AM40">
    <cfRule type="expression" dxfId="12318" priority="1596">
      <formula>AK40&gt;AM40*#REF!</formula>
    </cfRule>
  </conditionalFormatting>
  <conditionalFormatting sqref="AK42:AM42">
    <cfRule type="expression" dxfId="12317" priority="1575">
      <formula>AK42&gt;AM42*#REF!</formula>
    </cfRule>
  </conditionalFormatting>
  <conditionalFormatting sqref="AK42:AM43">
    <cfRule type="expression" dxfId="12316" priority="1572">
      <formula>AK42&lt;AM42*#REF!</formula>
    </cfRule>
  </conditionalFormatting>
  <conditionalFormatting sqref="AK43:AM43">
    <cfRule type="expression" dxfId="12315" priority="1573">
      <formula>AK43&gt;AM43*#REF!</formula>
    </cfRule>
  </conditionalFormatting>
  <conditionalFormatting sqref="AK44:AM44">
    <cfRule type="expression" dxfId="12314" priority="1570">
      <formula>AK44&gt;AM44+#REF!</formula>
    </cfRule>
  </conditionalFormatting>
  <conditionalFormatting sqref="AK44:AM46">
    <cfRule type="expression" dxfId="12313" priority="1576">
      <formula>AK44&lt;AM44-#REF!</formula>
    </cfRule>
  </conditionalFormatting>
  <conditionalFormatting sqref="AK45:AM45">
    <cfRule type="expression" dxfId="12312" priority="1569">
      <formula>AK45&gt;AM45+#REF!</formula>
    </cfRule>
  </conditionalFormatting>
  <conditionalFormatting sqref="AK46:AM46">
    <cfRule type="expression" dxfId="12311" priority="1568">
      <formula>AK46&gt;AM46+#REF!</formula>
    </cfRule>
  </conditionalFormatting>
  <conditionalFormatting sqref="AK47:AM47">
    <cfRule type="expression" dxfId="12310" priority="1567">
      <formula>AK47&gt;AM47+#REF!</formula>
    </cfRule>
  </conditionalFormatting>
  <conditionalFormatting sqref="AK50:AM50">
    <cfRule type="expression" dxfId="12309" priority="1565">
      <formula>AK50&gt;AM50+#REF!</formula>
    </cfRule>
  </conditionalFormatting>
  <conditionalFormatting sqref="AK51:AM51">
    <cfRule type="expression" dxfId="12308" priority="1564">
      <formula>AK51&gt;AM51+#REF!</formula>
    </cfRule>
  </conditionalFormatting>
  <conditionalFormatting sqref="AK57:AM57">
    <cfRule type="expression" dxfId="12307" priority="1571">
      <formula>AK57&gt;AM57*#REF!</formula>
    </cfRule>
  </conditionalFormatting>
  <conditionalFormatting sqref="AK59:AM59">
    <cfRule type="expression" dxfId="12306" priority="1550">
      <formula>AK59&gt;AM59*#REF!</formula>
    </cfRule>
  </conditionalFormatting>
  <conditionalFormatting sqref="AK59:AM60">
    <cfRule type="expression" dxfId="12305" priority="1547">
      <formula>AK59&lt;AM59*#REF!</formula>
    </cfRule>
  </conditionalFormatting>
  <conditionalFormatting sqref="AK60:AM60">
    <cfRule type="expression" dxfId="12304" priority="1548">
      <formula>AK60&gt;AM60*#REF!</formula>
    </cfRule>
  </conditionalFormatting>
  <conditionalFormatting sqref="AK61:AM61">
    <cfRule type="expression" dxfId="12303" priority="1545">
      <formula>AK61&gt;AM61+#REF!</formula>
    </cfRule>
  </conditionalFormatting>
  <conditionalFormatting sqref="AK61:AM63">
    <cfRule type="expression" dxfId="12302" priority="1551">
      <formula>AK61&lt;AM61-#REF!</formula>
    </cfRule>
  </conditionalFormatting>
  <conditionalFormatting sqref="AK62:AM62">
    <cfRule type="expression" dxfId="12301" priority="1544">
      <formula>AK62&gt;AM62+#REF!</formula>
    </cfRule>
  </conditionalFormatting>
  <conditionalFormatting sqref="AK63:AM63">
    <cfRule type="expression" dxfId="12300" priority="1543">
      <formula>AK63&gt;AM63+#REF!</formula>
    </cfRule>
  </conditionalFormatting>
  <conditionalFormatting sqref="AK64:AM64">
    <cfRule type="expression" dxfId="12299" priority="1542">
      <formula>AK64&gt;AM64+#REF!</formula>
    </cfRule>
  </conditionalFormatting>
  <conditionalFormatting sqref="AK67:AM67">
    <cfRule type="expression" dxfId="12298" priority="1540">
      <formula>AK67&gt;AM67+#REF!</formula>
    </cfRule>
  </conditionalFormatting>
  <conditionalFormatting sqref="AK68:AM68">
    <cfRule type="expression" dxfId="12297" priority="1539">
      <formula>AK68&gt;AM68+#REF!</formula>
    </cfRule>
  </conditionalFormatting>
  <conditionalFormatting sqref="AK74:AM74">
    <cfRule type="expression" dxfId="12296" priority="1546">
      <formula>AK74&gt;AM74*#REF!</formula>
    </cfRule>
  </conditionalFormatting>
  <conditionalFormatting sqref="AK76:AM76">
    <cfRule type="expression" dxfId="12295" priority="1525">
      <formula>AK76&gt;AM76*#REF!</formula>
    </cfRule>
  </conditionalFormatting>
  <conditionalFormatting sqref="AK76:AM77">
    <cfRule type="expression" dxfId="12294" priority="1522">
      <formula>AK76&lt;AM76*#REF!</formula>
    </cfRule>
  </conditionalFormatting>
  <conditionalFormatting sqref="AK77:AM77">
    <cfRule type="expression" dxfId="12293" priority="1523">
      <formula>AK77&gt;AM77*#REF!</formula>
    </cfRule>
  </conditionalFormatting>
  <conditionalFormatting sqref="AK78:AM78">
    <cfRule type="expression" dxfId="12292" priority="1520">
      <formula>AK78&gt;AM78+#REF!</formula>
    </cfRule>
  </conditionalFormatting>
  <conditionalFormatting sqref="AK78:AM80">
    <cfRule type="expression" dxfId="12291" priority="1526">
      <formula>AK78&lt;AM78-#REF!</formula>
    </cfRule>
  </conditionalFormatting>
  <conditionalFormatting sqref="AK79:AM79">
    <cfRule type="expression" dxfId="12290" priority="1519">
      <formula>AK79&gt;AM79+#REF!</formula>
    </cfRule>
  </conditionalFormatting>
  <conditionalFormatting sqref="AK80:AM80">
    <cfRule type="expression" dxfId="12289" priority="1518">
      <formula>AK80&gt;AM80+#REF!</formula>
    </cfRule>
  </conditionalFormatting>
  <conditionalFormatting sqref="AK81:AM81">
    <cfRule type="expression" dxfId="12288" priority="1517">
      <formula>AK81&gt;AM81+#REF!</formula>
    </cfRule>
  </conditionalFormatting>
  <conditionalFormatting sqref="AK84:AM84">
    <cfRule type="expression" dxfId="12287" priority="1515">
      <formula>AK84&gt;AM84+#REF!</formula>
    </cfRule>
  </conditionalFormatting>
  <conditionalFormatting sqref="AK85:AM85">
    <cfRule type="expression" dxfId="12286" priority="1514">
      <formula>AK85&gt;AM85+#REF!</formula>
    </cfRule>
  </conditionalFormatting>
  <conditionalFormatting sqref="AK91:AM91">
    <cfRule type="expression" dxfId="12285" priority="1521">
      <formula>AK91&gt;AM91*#REF!</formula>
    </cfRule>
  </conditionalFormatting>
  <conditionalFormatting sqref="AK93:AM93">
    <cfRule type="expression" dxfId="12284" priority="1500">
      <formula>AK93&gt;AM93*#REF!</formula>
    </cfRule>
  </conditionalFormatting>
  <conditionalFormatting sqref="AK93:AM94">
    <cfRule type="expression" dxfId="12283" priority="1497">
      <formula>AK93&lt;AM93*#REF!</formula>
    </cfRule>
  </conditionalFormatting>
  <conditionalFormatting sqref="AK94:AM94">
    <cfRule type="expression" dxfId="12282" priority="1498">
      <formula>AK94&gt;AM94*#REF!</formula>
    </cfRule>
  </conditionalFormatting>
  <conditionalFormatting sqref="AK95:AM95">
    <cfRule type="expression" dxfId="12281" priority="1495">
      <formula>AK95&gt;AM95+#REF!</formula>
    </cfRule>
  </conditionalFormatting>
  <conditionalFormatting sqref="AK95:AM97">
    <cfRule type="expression" dxfId="12280" priority="1501">
      <formula>AK95&lt;AM95-#REF!</formula>
    </cfRule>
  </conditionalFormatting>
  <conditionalFormatting sqref="AK96:AM96">
    <cfRule type="expression" dxfId="12279" priority="1494">
      <formula>AK96&gt;AM96+#REF!</formula>
    </cfRule>
  </conditionalFormatting>
  <conditionalFormatting sqref="AK97:AM97">
    <cfRule type="expression" dxfId="12278" priority="1493">
      <formula>AK97&gt;AM97+#REF!</formula>
    </cfRule>
  </conditionalFormatting>
  <conditionalFormatting sqref="AK98:AM98">
    <cfRule type="expression" dxfId="12277" priority="1492">
      <formula>AK98&gt;AM98+#REF!</formula>
    </cfRule>
  </conditionalFormatting>
  <conditionalFormatting sqref="AK101:AM101">
    <cfRule type="expression" dxfId="12276" priority="1490">
      <formula>AK101&gt;AM101+#REF!</formula>
    </cfRule>
  </conditionalFormatting>
  <conditionalFormatting sqref="AK102:AM102">
    <cfRule type="expression" dxfId="12275" priority="1489">
      <formula>AK102&gt;AM102+#REF!</formula>
    </cfRule>
  </conditionalFormatting>
  <conditionalFormatting sqref="AK108:AM108">
    <cfRule type="expression" dxfId="12274" priority="1496">
      <formula>AK108&gt;AM108*#REF!</formula>
    </cfRule>
  </conditionalFormatting>
  <conditionalFormatting sqref="AK110:AM110">
    <cfRule type="expression" dxfId="12273" priority="1475">
      <formula>AK110&gt;AM110*#REF!</formula>
    </cfRule>
  </conditionalFormatting>
  <conditionalFormatting sqref="AK110:AM111">
    <cfRule type="expression" dxfId="12272" priority="1472">
      <formula>AK110&lt;AM110*#REF!</formula>
    </cfRule>
  </conditionalFormatting>
  <conditionalFormatting sqref="AK111:AM111">
    <cfRule type="expression" dxfId="12271" priority="1473">
      <formula>AK111&gt;AM111*#REF!</formula>
    </cfRule>
  </conditionalFormatting>
  <conditionalFormatting sqref="AK112:AM112">
    <cfRule type="expression" dxfId="12270" priority="1470">
      <formula>AK112&gt;AM112+#REF!</formula>
    </cfRule>
  </conditionalFormatting>
  <conditionalFormatting sqref="AK112:AM114">
    <cfRule type="expression" dxfId="12269" priority="1476">
      <formula>AK112&lt;AM112-#REF!</formula>
    </cfRule>
  </conditionalFormatting>
  <conditionalFormatting sqref="AK113:AM113">
    <cfRule type="expression" dxfId="12268" priority="1469">
      <formula>AK113&gt;AM113+#REF!</formula>
    </cfRule>
  </conditionalFormatting>
  <conditionalFormatting sqref="AK114:AM114">
    <cfRule type="expression" dxfId="12267" priority="1468">
      <formula>AK114&gt;AM114+#REF!</formula>
    </cfRule>
  </conditionalFormatting>
  <conditionalFormatting sqref="AK115:AM115">
    <cfRule type="expression" dxfId="12266" priority="1467">
      <formula>AK115&gt;AM115+#REF!</formula>
    </cfRule>
  </conditionalFormatting>
  <conditionalFormatting sqref="AK118:AM118">
    <cfRule type="expression" dxfId="12265" priority="1465">
      <formula>AK118&gt;AM118+#REF!</formula>
    </cfRule>
  </conditionalFormatting>
  <conditionalFormatting sqref="AK119:AM119">
    <cfRule type="expression" dxfId="12264" priority="1464">
      <formula>AK119&gt;AM119+#REF!</formula>
    </cfRule>
  </conditionalFormatting>
  <conditionalFormatting sqref="AK125:AM125">
    <cfRule type="expression" dxfId="12263" priority="1471">
      <formula>AK125&gt;AM125*#REF!</formula>
    </cfRule>
  </conditionalFormatting>
  <conditionalFormatting sqref="AK161:AM161">
    <cfRule type="expression" dxfId="12262" priority="1450">
      <formula>AK161&gt;AM161*#REF!</formula>
    </cfRule>
  </conditionalFormatting>
  <conditionalFormatting sqref="AK161:AM162">
    <cfRule type="expression" dxfId="12261" priority="1447">
      <formula>AK161&lt;AM161*#REF!</formula>
    </cfRule>
  </conditionalFormatting>
  <conditionalFormatting sqref="AK162:AM162">
    <cfRule type="expression" dxfId="12260" priority="1448">
      <formula>AK162&gt;AM162*#REF!</formula>
    </cfRule>
  </conditionalFormatting>
  <conditionalFormatting sqref="AK163:AM163">
    <cfRule type="expression" dxfId="12259" priority="1445">
      <formula>AK163&gt;AM163+#REF!</formula>
    </cfRule>
  </conditionalFormatting>
  <conditionalFormatting sqref="AK163:AM165">
    <cfRule type="expression" dxfId="12258" priority="1451">
      <formula>AK163&lt;AM163-#REF!</formula>
    </cfRule>
  </conditionalFormatting>
  <conditionalFormatting sqref="AK164:AM164">
    <cfRule type="expression" dxfId="12257" priority="1444">
      <formula>AK164&gt;AM164+#REF!</formula>
    </cfRule>
  </conditionalFormatting>
  <conditionalFormatting sqref="AK165:AM165">
    <cfRule type="expression" dxfId="12256" priority="1443">
      <formula>AK165&gt;AM165+#REF!</formula>
    </cfRule>
  </conditionalFormatting>
  <conditionalFormatting sqref="AK166:AM166">
    <cfRule type="expression" dxfId="12255" priority="1442">
      <formula>AK166&gt;AM166+#REF!</formula>
    </cfRule>
  </conditionalFormatting>
  <conditionalFormatting sqref="AK169:AM169">
    <cfRule type="expression" dxfId="12254" priority="1440">
      <formula>AK169&gt;AM169+#REF!</formula>
    </cfRule>
  </conditionalFormatting>
  <conditionalFormatting sqref="AK170:AM170">
    <cfRule type="expression" dxfId="12253" priority="1439">
      <formula>AK170&gt;AM170+#REF!</formula>
    </cfRule>
  </conditionalFormatting>
  <conditionalFormatting sqref="AK176:AM176">
    <cfRule type="expression" dxfId="12252" priority="1446">
      <formula>AK176&gt;AM176*#REF!</formula>
    </cfRule>
  </conditionalFormatting>
  <conditionalFormatting sqref="AK178:AM178">
    <cfRule type="expression" dxfId="12251" priority="1425">
      <formula>AK178&gt;AM178*#REF!</formula>
    </cfRule>
  </conditionalFormatting>
  <conditionalFormatting sqref="AK178:AM179">
    <cfRule type="expression" dxfId="12250" priority="1422">
      <formula>AK178&lt;AM178*#REF!</formula>
    </cfRule>
  </conditionalFormatting>
  <conditionalFormatting sqref="AK179:AM179">
    <cfRule type="expression" dxfId="12249" priority="1423">
      <formula>AK179&gt;AM179*#REF!</formula>
    </cfRule>
  </conditionalFormatting>
  <conditionalFormatting sqref="AK180:AM180">
    <cfRule type="expression" dxfId="12248" priority="1420">
      <formula>AK180&gt;AM180+#REF!</formula>
    </cfRule>
  </conditionalFormatting>
  <conditionalFormatting sqref="AK180:AM182">
    <cfRule type="expression" dxfId="12247" priority="1426">
      <formula>AK180&lt;AM180-#REF!</formula>
    </cfRule>
  </conditionalFormatting>
  <conditionalFormatting sqref="AK181:AM181">
    <cfRule type="expression" dxfId="12246" priority="1419">
      <formula>AK181&gt;AM181+#REF!</formula>
    </cfRule>
  </conditionalFormatting>
  <conditionalFormatting sqref="AK182:AM182">
    <cfRule type="expression" dxfId="12245" priority="1418">
      <formula>AK182&gt;AM182+#REF!</formula>
    </cfRule>
  </conditionalFormatting>
  <conditionalFormatting sqref="AK183:AM183">
    <cfRule type="expression" dxfId="12244" priority="1417">
      <formula>AK183&gt;AM183+#REF!</formula>
    </cfRule>
  </conditionalFormatting>
  <conditionalFormatting sqref="AK186:AM186">
    <cfRule type="expression" dxfId="12243" priority="1415">
      <formula>AK186&gt;AM186+#REF!</formula>
    </cfRule>
  </conditionalFormatting>
  <conditionalFormatting sqref="AK187:AM187">
    <cfRule type="expression" dxfId="12242" priority="1414">
      <formula>AK187&gt;AM187+#REF!</formula>
    </cfRule>
  </conditionalFormatting>
  <conditionalFormatting sqref="AK193:AM193">
    <cfRule type="expression" dxfId="12241" priority="1421">
      <formula>AK193&gt;AM193*#REF!</formula>
    </cfRule>
  </conditionalFormatting>
  <conditionalFormatting sqref="AK195:AM195">
    <cfRule type="expression" dxfId="12240" priority="1400">
      <formula>AK195&gt;AM195*#REF!</formula>
    </cfRule>
  </conditionalFormatting>
  <conditionalFormatting sqref="AK195:AM196">
    <cfRule type="expression" dxfId="12239" priority="1397">
      <formula>AK195&lt;AM195*#REF!</formula>
    </cfRule>
  </conditionalFormatting>
  <conditionalFormatting sqref="AK196:AM196">
    <cfRule type="expression" dxfId="12238" priority="1398">
      <formula>AK196&gt;AM196*#REF!</formula>
    </cfRule>
  </conditionalFormatting>
  <conditionalFormatting sqref="AK197:AM197">
    <cfRule type="expression" dxfId="12237" priority="1395">
      <formula>AK197&gt;AM197+#REF!</formula>
    </cfRule>
  </conditionalFormatting>
  <conditionalFormatting sqref="AK197:AM199">
    <cfRule type="expression" dxfId="12236" priority="1401">
      <formula>AK197&lt;AM197-#REF!</formula>
    </cfRule>
  </conditionalFormatting>
  <conditionalFormatting sqref="AK198:AM198">
    <cfRule type="expression" dxfId="12235" priority="1394">
      <formula>AK198&gt;AM198+#REF!</formula>
    </cfRule>
  </conditionalFormatting>
  <conditionalFormatting sqref="AK199:AM199">
    <cfRule type="expression" dxfId="12234" priority="1393">
      <formula>AK199&gt;AM199+#REF!</formula>
    </cfRule>
  </conditionalFormatting>
  <conditionalFormatting sqref="AK200:AM200">
    <cfRule type="expression" dxfId="12233" priority="1392">
      <formula>AK200&gt;AM200+#REF!</formula>
    </cfRule>
  </conditionalFormatting>
  <conditionalFormatting sqref="AK203:AM203">
    <cfRule type="expression" dxfId="12232" priority="1390">
      <formula>AK203&gt;AM203+#REF!</formula>
    </cfRule>
  </conditionalFormatting>
  <conditionalFormatting sqref="AK204:AM204">
    <cfRule type="expression" dxfId="12231" priority="1389">
      <formula>AK204&gt;AM204+#REF!</formula>
    </cfRule>
  </conditionalFormatting>
  <conditionalFormatting sqref="AK210:AM210">
    <cfRule type="expression" dxfId="12230" priority="1396">
      <formula>AK210&gt;AM210*#REF!</formula>
    </cfRule>
  </conditionalFormatting>
  <conditionalFormatting sqref="AK212:AM212">
    <cfRule type="expression" dxfId="12229" priority="1375">
      <formula>AK212&gt;AM212*#REF!</formula>
    </cfRule>
  </conditionalFormatting>
  <conditionalFormatting sqref="AK212:AM213">
    <cfRule type="expression" dxfId="12228" priority="1372">
      <formula>AK212&lt;AM212*#REF!</formula>
    </cfRule>
  </conditionalFormatting>
  <conditionalFormatting sqref="AK213:AM213">
    <cfRule type="expression" dxfId="12227" priority="1373">
      <formula>AK213&gt;AM213*#REF!</formula>
    </cfRule>
  </conditionalFormatting>
  <conditionalFormatting sqref="AK214:AM214">
    <cfRule type="expression" dxfId="12226" priority="1370">
      <formula>AK214&gt;AM214+#REF!</formula>
    </cfRule>
  </conditionalFormatting>
  <conditionalFormatting sqref="AK214:AM216">
    <cfRule type="expression" dxfId="12225" priority="1376">
      <formula>AK214&lt;AM214-#REF!</formula>
    </cfRule>
  </conditionalFormatting>
  <conditionalFormatting sqref="AK215:AM215">
    <cfRule type="expression" dxfId="12224" priority="1369">
      <formula>AK215&gt;AM215+#REF!</formula>
    </cfRule>
  </conditionalFormatting>
  <conditionalFormatting sqref="AK216:AM216">
    <cfRule type="expression" dxfId="12223" priority="1368">
      <formula>AK216&gt;AM216+#REF!</formula>
    </cfRule>
  </conditionalFormatting>
  <conditionalFormatting sqref="AK217:AM217">
    <cfRule type="expression" dxfId="12222" priority="1367">
      <formula>AK217&gt;AM217+#REF!</formula>
    </cfRule>
  </conditionalFormatting>
  <conditionalFormatting sqref="AK220:AM220">
    <cfRule type="expression" dxfId="12221" priority="1365">
      <formula>AK220&gt;AM220+#REF!</formula>
    </cfRule>
  </conditionalFormatting>
  <conditionalFormatting sqref="AK221:AM221">
    <cfRule type="expression" dxfId="12220" priority="1364">
      <formula>AK221&gt;AM221+#REF!</formula>
    </cfRule>
  </conditionalFormatting>
  <conditionalFormatting sqref="AK227:AM227">
    <cfRule type="expression" dxfId="12219" priority="1371">
      <formula>AK227&gt;AM227*#REF!</formula>
    </cfRule>
  </conditionalFormatting>
  <conditionalFormatting sqref="AK229:AM229">
    <cfRule type="expression" dxfId="12218" priority="1350">
      <formula>AK229&gt;AM229*#REF!</formula>
    </cfRule>
  </conditionalFormatting>
  <conditionalFormatting sqref="AK229:AM230">
    <cfRule type="expression" dxfId="12217" priority="1347">
      <formula>AK229&lt;AM229*#REF!</formula>
    </cfRule>
  </conditionalFormatting>
  <conditionalFormatting sqref="AK230:AM230">
    <cfRule type="expression" dxfId="12216" priority="1348">
      <formula>AK230&gt;AM230*#REF!</formula>
    </cfRule>
  </conditionalFormatting>
  <conditionalFormatting sqref="AK231:AM231">
    <cfRule type="expression" dxfId="12215" priority="1345">
      <formula>AK231&gt;AM231+#REF!</formula>
    </cfRule>
  </conditionalFormatting>
  <conditionalFormatting sqref="AK231:AM233">
    <cfRule type="expression" dxfId="12214" priority="1351">
      <formula>AK231&lt;AM231-#REF!</formula>
    </cfRule>
  </conditionalFormatting>
  <conditionalFormatting sqref="AK232:AM232">
    <cfRule type="expression" dxfId="12213" priority="1344">
      <formula>AK232&gt;AM232+#REF!</formula>
    </cfRule>
  </conditionalFormatting>
  <conditionalFormatting sqref="AK233:AM233">
    <cfRule type="expression" dxfId="12212" priority="1343">
      <formula>AK233&gt;AM233+#REF!</formula>
    </cfRule>
  </conditionalFormatting>
  <conditionalFormatting sqref="AK234:AM234">
    <cfRule type="expression" dxfId="12211" priority="1342">
      <formula>AK234&gt;AM234+#REF!</formula>
    </cfRule>
  </conditionalFormatting>
  <conditionalFormatting sqref="AK237:AM237">
    <cfRule type="expression" dxfId="12210" priority="1340">
      <formula>AK237&gt;AM237+#REF!</formula>
    </cfRule>
  </conditionalFormatting>
  <conditionalFormatting sqref="AK238:AM238">
    <cfRule type="expression" dxfId="12209" priority="1339">
      <formula>AK238&gt;AM238+#REF!</formula>
    </cfRule>
  </conditionalFormatting>
  <conditionalFormatting sqref="AK244:AM244">
    <cfRule type="expression" dxfId="12208" priority="1346">
      <formula>AK244&gt;AM244*#REF!</formula>
    </cfRule>
  </conditionalFormatting>
  <conditionalFormatting sqref="AK246:AM246">
    <cfRule type="expression" dxfId="12207" priority="1300">
      <formula>AK246&gt;AM246*#REF!</formula>
    </cfRule>
  </conditionalFormatting>
  <conditionalFormatting sqref="AK246:AM247">
    <cfRule type="expression" dxfId="12206" priority="1298">
      <formula>AK246&lt;AM246*#REF!</formula>
    </cfRule>
  </conditionalFormatting>
  <conditionalFormatting sqref="AK247:AM247">
    <cfRule type="expression" dxfId="12205" priority="1299">
      <formula>AK247&gt;AM247*#REF!</formula>
    </cfRule>
  </conditionalFormatting>
  <conditionalFormatting sqref="AK248:AM248">
    <cfRule type="expression" dxfId="12204" priority="1296">
      <formula>AK248&gt;AM248+#REF!</formula>
    </cfRule>
  </conditionalFormatting>
  <conditionalFormatting sqref="AK248:AM250">
    <cfRule type="expression" dxfId="12203" priority="1301">
      <formula>AK248&lt;AM248-#REF!</formula>
    </cfRule>
  </conditionalFormatting>
  <conditionalFormatting sqref="AK249:AM249">
    <cfRule type="expression" dxfId="12202" priority="1295">
      <formula>AK249&gt;AM249+#REF!</formula>
    </cfRule>
  </conditionalFormatting>
  <conditionalFormatting sqref="AK250:AM250">
    <cfRule type="expression" dxfId="12201" priority="1294">
      <formula>AK250&gt;AM250+#REF!</formula>
    </cfRule>
  </conditionalFormatting>
  <conditionalFormatting sqref="AK251:AM251">
    <cfRule type="expression" dxfId="12200" priority="1293">
      <formula>AK251&gt;AM251+#REF!</formula>
    </cfRule>
  </conditionalFormatting>
  <conditionalFormatting sqref="AK254:AM254">
    <cfRule type="expression" dxfId="12199" priority="1291">
      <formula>AK254&gt;AM254+#REF!</formula>
    </cfRule>
  </conditionalFormatting>
  <conditionalFormatting sqref="AK255:AM255">
    <cfRule type="expression" dxfId="12198" priority="1290">
      <formula>AK255&gt;AM255+#REF!</formula>
    </cfRule>
  </conditionalFormatting>
  <conditionalFormatting sqref="AK261:AM261">
    <cfRule type="expression" dxfId="12197" priority="1297">
      <formula>AK261&gt;AM261*#REF!</formula>
    </cfRule>
  </conditionalFormatting>
  <conditionalFormatting sqref="AK263:AM263">
    <cfRule type="expression" dxfId="12196" priority="1170">
      <formula>AK263&gt;AM263*#REF!</formula>
    </cfRule>
  </conditionalFormatting>
  <conditionalFormatting sqref="AK263:AM264">
    <cfRule type="expression" dxfId="12195" priority="1167">
      <formula>AK263&lt;AM263*#REF!</formula>
    </cfRule>
  </conditionalFormatting>
  <conditionalFormatting sqref="AK264:AM264">
    <cfRule type="expression" dxfId="12194" priority="1168">
      <formula>AK264&gt;AM264*#REF!</formula>
    </cfRule>
  </conditionalFormatting>
  <conditionalFormatting sqref="AK265:AM265">
    <cfRule type="expression" dxfId="12193" priority="1165">
      <formula>AK265&gt;AM265+#REF!</formula>
    </cfRule>
  </conditionalFormatting>
  <conditionalFormatting sqref="AK265:AM267">
    <cfRule type="expression" dxfId="12192" priority="1171">
      <formula>AK265&lt;AM265-#REF!</formula>
    </cfRule>
  </conditionalFormatting>
  <conditionalFormatting sqref="AK266:AM266">
    <cfRule type="expression" dxfId="12191" priority="1164">
      <formula>AK266&gt;AM266+#REF!</formula>
    </cfRule>
  </conditionalFormatting>
  <conditionalFormatting sqref="AK267:AM267">
    <cfRule type="expression" dxfId="12190" priority="1163">
      <formula>AK267&gt;AM267+#REF!</formula>
    </cfRule>
  </conditionalFormatting>
  <conditionalFormatting sqref="AK268:AM268">
    <cfRule type="expression" dxfId="12189" priority="1162">
      <formula>AK268&gt;AM268+#REF!</formula>
    </cfRule>
  </conditionalFormatting>
  <conditionalFormatting sqref="AK271:AM271">
    <cfRule type="expression" dxfId="12188" priority="1160">
      <formula>AK271&gt;AM271+#REF!</formula>
    </cfRule>
  </conditionalFormatting>
  <conditionalFormatting sqref="AK272:AM272">
    <cfRule type="expression" dxfId="12187" priority="1159">
      <formula>AK272&gt;AM272+#REF!</formula>
    </cfRule>
  </conditionalFormatting>
  <conditionalFormatting sqref="AK278:AM278">
    <cfRule type="expression" dxfId="12186" priority="1166">
      <formula>AK278&gt;AM278*#REF!</formula>
    </cfRule>
  </conditionalFormatting>
  <conditionalFormatting sqref="AK280:AM280">
    <cfRule type="expression" dxfId="12185" priority="1274">
      <formula>AK280&gt;AM280*#REF!</formula>
    </cfRule>
  </conditionalFormatting>
  <conditionalFormatting sqref="AK280:AM281">
    <cfRule type="expression" dxfId="12184" priority="1272">
      <formula>AK280&lt;AM280*#REF!</formula>
    </cfRule>
  </conditionalFormatting>
  <conditionalFormatting sqref="AK281:AM281">
    <cfRule type="expression" dxfId="12183" priority="1273">
      <formula>AK281&gt;AM281*#REF!</formula>
    </cfRule>
  </conditionalFormatting>
  <conditionalFormatting sqref="AK282:AM282">
    <cfRule type="expression" dxfId="12182" priority="1270">
      <formula>AK282&gt;AM282+#REF!</formula>
    </cfRule>
  </conditionalFormatting>
  <conditionalFormatting sqref="AK282:AM284">
    <cfRule type="expression" dxfId="12181" priority="1275">
      <formula>AK282&lt;AM282-#REF!</formula>
    </cfRule>
  </conditionalFormatting>
  <conditionalFormatting sqref="AK283:AM283">
    <cfRule type="expression" dxfId="12180" priority="1269">
      <formula>AK283&gt;AM283+#REF!</formula>
    </cfRule>
  </conditionalFormatting>
  <conditionalFormatting sqref="AK284:AM284">
    <cfRule type="expression" dxfId="12179" priority="1268">
      <formula>AK284&gt;AM284+#REF!</formula>
    </cfRule>
  </conditionalFormatting>
  <conditionalFormatting sqref="AK285:AM285">
    <cfRule type="expression" dxfId="12178" priority="1267">
      <formula>AK285&gt;AM285+#REF!</formula>
    </cfRule>
  </conditionalFormatting>
  <conditionalFormatting sqref="AK288:AM288">
    <cfRule type="expression" dxfId="12177" priority="1265">
      <formula>AK288&gt;AM288+#REF!</formula>
    </cfRule>
  </conditionalFormatting>
  <conditionalFormatting sqref="AK289:AM289">
    <cfRule type="expression" dxfId="12176" priority="1264">
      <formula>AK289&gt;AM289+#REF!</formula>
    </cfRule>
  </conditionalFormatting>
  <conditionalFormatting sqref="AK295:AM295">
    <cfRule type="expression" dxfId="12175" priority="1271">
      <formula>AK295&gt;AM295*#REF!</formula>
    </cfRule>
  </conditionalFormatting>
  <conditionalFormatting sqref="AK297:AM297">
    <cfRule type="expression" dxfId="12174" priority="1248">
      <formula>AK297&gt;AM297*#REF!</formula>
    </cfRule>
  </conditionalFormatting>
  <conditionalFormatting sqref="AK297:AM298">
    <cfRule type="expression" dxfId="12173" priority="1246">
      <formula>AK297&lt;AM297*#REF!</formula>
    </cfRule>
  </conditionalFormatting>
  <conditionalFormatting sqref="AK298:AM298">
    <cfRule type="expression" dxfId="12172" priority="1247">
      <formula>AK298&gt;AM298*#REF!</formula>
    </cfRule>
  </conditionalFormatting>
  <conditionalFormatting sqref="AK299:AM299">
    <cfRule type="expression" dxfId="12171" priority="1244">
      <formula>AK299&gt;AM299+#REF!</formula>
    </cfRule>
  </conditionalFormatting>
  <conditionalFormatting sqref="AK299:AM301">
    <cfRule type="expression" dxfId="12170" priority="1249">
      <formula>AK299&lt;AM299-#REF!</formula>
    </cfRule>
  </conditionalFormatting>
  <conditionalFormatting sqref="AK300:AM300">
    <cfRule type="expression" dxfId="12169" priority="1243">
      <formula>AK300&gt;AM300+#REF!</formula>
    </cfRule>
  </conditionalFormatting>
  <conditionalFormatting sqref="AK301:AM301">
    <cfRule type="expression" dxfId="12168" priority="1242">
      <formula>AK301&gt;AM301+#REF!</formula>
    </cfRule>
  </conditionalFormatting>
  <conditionalFormatting sqref="AK302:AM302">
    <cfRule type="expression" dxfId="12167" priority="1241">
      <formula>AK302&gt;AM302+#REF!</formula>
    </cfRule>
  </conditionalFormatting>
  <conditionalFormatting sqref="AK305:AM305">
    <cfRule type="expression" dxfId="12166" priority="1239">
      <formula>AK305&gt;AM305+#REF!</formula>
    </cfRule>
  </conditionalFormatting>
  <conditionalFormatting sqref="AK306:AM306">
    <cfRule type="expression" dxfId="12165" priority="1238">
      <formula>AK306&gt;AM306+#REF!</formula>
    </cfRule>
  </conditionalFormatting>
  <conditionalFormatting sqref="AK312:AM312">
    <cfRule type="expression" dxfId="12164" priority="1245">
      <formula>AK312&gt;AM312*#REF!</formula>
    </cfRule>
  </conditionalFormatting>
  <conditionalFormatting sqref="AK314:AM314">
    <cfRule type="expression" dxfId="12163" priority="1222">
      <formula>AK314&gt;AM314*#REF!</formula>
    </cfRule>
  </conditionalFormatting>
  <conditionalFormatting sqref="AK314:AM315">
    <cfRule type="expression" dxfId="12162" priority="1220">
      <formula>AK314&lt;AM314*#REF!</formula>
    </cfRule>
  </conditionalFormatting>
  <conditionalFormatting sqref="AK315:AM315">
    <cfRule type="expression" dxfId="12161" priority="1221">
      <formula>AK315&gt;AM315*#REF!</formula>
    </cfRule>
  </conditionalFormatting>
  <conditionalFormatting sqref="AK316:AM316">
    <cfRule type="expression" dxfId="12160" priority="1218">
      <formula>AK316&gt;AM316+#REF!</formula>
    </cfRule>
  </conditionalFormatting>
  <conditionalFormatting sqref="AK316:AM318">
    <cfRule type="expression" dxfId="12159" priority="1223">
      <formula>AK316&lt;AM316-#REF!</formula>
    </cfRule>
  </conditionalFormatting>
  <conditionalFormatting sqref="AK317:AM317">
    <cfRule type="expression" dxfId="12158" priority="1217">
      <formula>AK317&gt;AM317+#REF!</formula>
    </cfRule>
  </conditionalFormatting>
  <conditionalFormatting sqref="AK318:AM318">
    <cfRule type="expression" dxfId="12157" priority="1216">
      <formula>AK318&gt;AM318+#REF!</formula>
    </cfRule>
  </conditionalFormatting>
  <conditionalFormatting sqref="AK319:AM319">
    <cfRule type="expression" dxfId="12156" priority="1215">
      <formula>AK319&gt;AM319+#REF!</formula>
    </cfRule>
  </conditionalFormatting>
  <conditionalFormatting sqref="AK322:AM322">
    <cfRule type="expression" dxfId="12155" priority="1213">
      <formula>AK322&gt;AM322+#REF!</formula>
    </cfRule>
  </conditionalFormatting>
  <conditionalFormatting sqref="AK323:AM323">
    <cfRule type="expression" dxfId="12154" priority="1212">
      <formula>AK323&gt;AM323+#REF!</formula>
    </cfRule>
  </conditionalFormatting>
  <conditionalFormatting sqref="AK329:AM329">
    <cfRule type="expression" dxfId="12153" priority="1219">
      <formula>AK329&gt;AM329*#REF!</formula>
    </cfRule>
  </conditionalFormatting>
  <conditionalFormatting sqref="AK331:AM331">
    <cfRule type="expression" dxfId="12152" priority="1196">
      <formula>AK331&gt;AM331*#REF!</formula>
    </cfRule>
  </conditionalFormatting>
  <conditionalFormatting sqref="AK331:AM332">
    <cfRule type="expression" dxfId="12151" priority="1194">
      <formula>AK331&lt;AM331*#REF!</formula>
    </cfRule>
  </conditionalFormatting>
  <conditionalFormatting sqref="AK332:AM332">
    <cfRule type="expression" dxfId="12150" priority="1195">
      <formula>AK332&gt;AM332*#REF!</formula>
    </cfRule>
  </conditionalFormatting>
  <conditionalFormatting sqref="AK333:AM333">
    <cfRule type="expression" dxfId="12149" priority="1192">
      <formula>AK333&gt;AM333+#REF!</formula>
    </cfRule>
  </conditionalFormatting>
  <conditionalFormatting sqref="AK333:AM335">
    <cfRule type="expression" dxfId="12148" priority="1197">
      <formula>AK333&lt;AM333-#REF!</formula>
    </cfRule>
  </conditionalFormatting>
  <conditionalFormatting sqref="AK334:AM334">
    <cfRule type="expression" dxfId="12147" priority="1191">
      <formula>AK334&gt;AM334+#REF!</formula>
    </cfRule>
  </conditionalFormatting>
  <conditionalFormatting sqref="AK335:AM335">
    <cfRule type="expression" dxfId="12146" priority="1190">
      <formula>AK335&gt;AM335+#REF!</formula>
    </cfRule>
  </conditionalFormatting>
  <conditionalFormatting sqref="AK336:AM336">
    <cfRule type="expression" dxfId="12145" priority="1189">
      <formula>AK336&gt;AM336+#REF!</formula>
    </cfRule>
  </conditionalFormatting>
  <conditionalFormatting sqref="AK339:AM339">
    <cfRule type="expression" dxfId="12144" priority="1187">
      <formula>AK339&gt;AM339+#REF!</formula>
    </cfRule>
  </conditionalFormatting>
  <conditionalFormatting sqref="AK340:AM340">
    <cfRule type="expression" dxfId="12143" priority="1186">
      <formula>AK340&gt;AM340+#REF!</formula>
    </cfRule>
  </conditionalFormatting>
  <conditionalFormatting sqref="AK346:AM346">
    <cfRule type="expression" dxfId="12142" priority="1193">
      <formula>AK346&gt;AM346*#REF!</formula>
    </cfRule>
  </conditionalFormatting>
  <conditionalFormatting sqref="AK348:AM348">
    <cfRule type="expression" dxfId="12141" priority="1325">
      <formula>AK348&gt;AM348*#REF!</formula>
    </cfRule>
  </conditionalFormatting>
  <conditionalFormatting sqref="AK348:AM349">
    <cfRule type="expression" dxfId="12140" priority="1322">
      <formula>AK348&lt;AM348*#REF!</formula>
    </cfRule>
  </conditionalFormatting>
  <conditionalFormatting sqref="AK349:AM349">
    <cfRule type="expression" dxfId="12139" priority="1323">
      <formula>AK349&gt;AM349*#REF!</formula>
    </cfRule>
  </conditionalFormatting>
  <conditionalFormatting sqref="AK350:AM350">
    <cfRule type="expression" dxfId="12138" priority="1320">
      <formula>AK350&gt;AM350+#REF!</formula>
    </cfRule>
  </conditionalFormatting>
  <conditionalFormatting sqref="AK350:AM352">
    <cfRule type="expression" dxfId="12137" priority="1326">
      <formula>AK350&lt;AM350-#REF!</formula>
    </cfRule>
  </conditionalFormatting>
  <conditionalFormatting sqref="AK351:AM351">
    <cfRule type="expression" dxfId="12136" priority="1319">
      <formula>AK351&gt;AM351+#REF!</formula>
    </cfRule>
  </conditionalFormatting>
  <conditionalFormatting sqref="AK352:AM352">
    <cfRule type="expression" dxfId="12135" priority="1318">
      <formula>AK352&gt;AM352+#REF!</formula>
    </cfRule>
  </conditionalFormatting>
  <conditionalFormatting sqref="AK353:AM353">
    <cfRule type="expression" dxfId="12134" priority="1317">
      <formula>AK353&gt;AM353+#REF!</formula>
    </cfRule>
  </conditionalFormatting>
  <conditionalFormatting sqref="AK356:AM356">
    <cfRule type="expression" dxfId="12133" priority="1315">
      <formula>AK356&gt;AM356+#REF!</formula>
    </cfRule>
  </conditionalFormatting>
  <conditionalFormatting sqref="AK357:AM357">
    <cfRule type="expression" dxfId="12132" priority="1314">
      <formula>AK357&gt;AM357+#REF!</formula>
    </cfRule>
  </conditionalFormatting>
  <conditionalFormatting sqref="AK363:AM363">
    <cfRule type="expression" dxfId="12131" priority="1321">
      <formula>AK363&gt;AM363*#REF!</formula>
    </cfRule>
  </conditionalFormatting>
  <conditionalFormatting sqref="AL14:AL15">
    <cfRule type="expression" dxfId="12130" priority="1610">
      <formula>AL14&gt;AN14+#REF!</formula>
    </cfRule>
    <cfRule type="expression" dxfId="12129" priority="1611">
      <formula>AL14&lt;AN14-#REF!</formula>
    </cfRule>
  </conditionalFormatting>
  <conditionalFormatting sqref="AL18:AL19">
    <cfRule type="expression" dxfId="12128" priority="1608">
      <formula>AL18&gt;AN18+#REF!</formula>
    </cfRule>
  </conditionalFormatting>
  <conditionalFormatting sqref="AL18:AL22">
    <cfRule type="expression" dxfId="12127" priority="1609">
      <formula>AL18&lt;AN18-#REF!</formula>
    </cfRule>
  </conditionalFormatting>
  <conditionalFormatting sqref="AL20:AL22">
    <cfRule type="expression" dxfId="12126" priority="1607">
      <formula>AL20&gt;AN20+#REF!</formula>
    </cfRule>
  </conditionalFormatting>
  <conditionalFormatting sqref="AL31:AL32">
    <cfRule type="expression" dxfId="12125" priority="1585">
      <formula>AL31&gt;AN31+#REF!</formula>
    </cfRule>
    <cfRule type="expression" dxfId="12124" priority="1586">
      <formula>AL31&lt;AN31-#REF!</formula>
    </cfRule>
  </conditionalFormatting>
  <conditionalFormatting sqref="AL35:AL36">
    <cfRule type="expression" dxfId="12123" priority="1583">
      <formula>AL35&gt;AN35+#REF!</formula>
    </cfRule>
  </conditionalFormatting>
  <conditionalFormatting sqref="AL35:AL39">
    <cfRule type="expression" dxfId="12122" priority="1584">
      <formula>AL35&lt;AN35-#REF!</formula>
    </cfRule>
  </conditionalFormatting>
  <conditionalFormatting sqref="AL37:AL39">
    <cfRule type="expression" dxfId="12121" priority="1582">
      <formula>AL37&gt;AN37+#REF!</formula>
    </cfRule>
  </conditionalFormatting>
  <conditionalFormatting sqref="AL48:AL49">
    <cfRule type="expression" dxfId="12120" priority="1560">
      <formula>AL48&gt;AN48+#REF!</formula>
    </cfRule>
    <cfRule type="expression" dxfId="12119" priority="1561">
      <formula>AL48&lt;AN48-#REF!</formula>
    </cfRule>
  </conditionalFormatting>
  <conditionalFormatting sqref="AL52:AL53">
    <cfRule type="expression" dxfId="12118" priority="1558">
      <formula>AL52&gt;AN52+#REF!</formula>
    </cfRule>
  </conditionalFormatting>
  <conditionalFormatting sqref="AL52:AL56">
    <cfRule type="expression" dxfId="12117" priority="1559">
      <formula>AL52&lt;AN52-#REF!</formula>
    </cfRule>
  </conditionalFormatting>
  <conditionalFormatting sqref="AL54:AL56">
    <cfRule type="expression" dxfId="12116" priority="1557">
      <formula>AL54&gt;AN54+#REF!</formula>
    </cfRule>
  </conditionalFormatting>
  <conditionalFormatting sqref="AL65:AL66">
    <cfRule type="expression" dxfId="12115" priority="1535">
      <formula>AL65&gt;AN65+#REF!</formula>
    </cfRule>
    <cfRule type="expression" dxfId="12114" priority="1536">
      <formula>AL65&lt;AN65-#REF!</formula>
    </cfRule>
  </conditionalFormatting>
  <conditionalFormatting sqref="AL69:AL70">
    <cfRule type="expression" dxfId="12113" priority="1533">
      <formula>AL69&gt;AN69+#REF!</formula>
    </cfRule>
  </conditionalFormatting>
  <conditionalFormatting sqref="AL69:AL73">
    <cfRule type="expression" dxfId="12112" priority="1534">
      <formula>AL69&lt;AN69-#REF!</formula>
    </cfRule>
  </conditionalFormatting>
  <conditionalFormatting sqref="AL71:AL73">
    <cfRule type="expression" dxfId="12111" priority="1532">
      <formula>AL71&gt;AN71+#REF!</formula>
    </cfRule>
  </conditionalFormatting>
  <conditionalFormatting sqref="AL82:AL83">
    <cfRule type="expression" dxfId="12110" priority="1510">
      <formula>AL82&gt;AN82+#REF!</formula>
    </cfRule>
    <cfRule type="expression" dxfId="12109" priority="1511">
      <formula>AL82&lt;AN82-#REF!</formula>
    </cfRule>
  </conditionalFormatting>
  <conditionalFormatting sqref="AL86:AL87">
    <cfRule type="expression" dxfId="12108" priority="1508">
      <formula>AL86&gt;AN86+#REF!</formula>
    </cfRule>
  </conditionalFormatting>
  <conditionalFormatting sqref="AL86:AL90">
    <cfRule type="expression" dxfId="12107" priority="1509">
      <formula>AL86&lt;AN86-#REF!</formula>
    </cfRule>
  </conditionalFormatting>
  <conditionalFormatting sqref="AL88:AL90">
    <cfRule type="expression" dxfId="12106" priority="1507">
      <formula>AL88&gt;AN88+#REF!</formula>
    </cfRule>
  </conditionalFormatting>
  <conditionalFormatting sqref="AL99:AL100">
    <cfRule type="expression" dxfId="12105" priority="1485">
      <formula>AL99&gt;AN99+#REF!</formula>
    </cfRule>
    <cfRule type="expression" dxfId="12104" priority="1486">
      <formula>AL99&lt;AN99-#REF!</formula>
    </cfRule>
  </conditionalFormatting>
  <conditionalFormatting sqref="AL103:AL104">
    <cfRule type="expression" dxfId="12103" priority="1483">
      <formula>AL103&gt;AN103+#REF!</formula>
    </cfRule>
  </conditionalFormatting>
  <conditionalFormatting sqref="AL103:AL107">
    <cfRule type="expression" dxfId="12102" priority="1484">
      <formula>AL103&lt;AN103-#REF!</formula>
    </cfRule>
  </conditionalFormatting>
  <conditionalFormatting sqref="AL105:AL107">
    <cfRule type="expression" dxfId="12101" priority="1482">
      <formula>AL105&gt;AN105+#REF!</formula>
    </cfRule>
  </conditionalFormatting>
  <conditionalFormatting sqref="AL116:AL117">
    <cfRule type="expression" dxfId="12100" priority="1460">
      <formula>AL116&gt;AN116+#REF!</formula>
    </cfRule>
    <cfRule type="expression" dxfId="12099" priority="1461">
      <formula>AL116&lt;AN116-#REF!</formula>
    </cfRule>
  </conditionalFormatting>
  <conditionalFormatting sqref="AL120:AL121">
    <cfRule type="expression" dxfId="12098" priority="1458">
      <formula>AL120&gt;AN120+#REF!</formula>
    </cfRule>
  </conditionalFormatting>
  <conditionalFormatting sqref="AL120:AL124">
    <cfRule type="expression" dxfId="12097" priority="1459">
      <formula>AL120&lt;AN120-#REF!</formula>
    </cfRule>
  </conditionalFormatting>
  <conditionalFormatting sqref="AL122:AL124">
    <cfRule type="expression" dxfId="12096" priority="1457">
      <formula>AL122&gt;AN122+#REF!</formula>
    </cfRule>
  </conditionalFormatting>
  <conditionalFormatting sqref="AL167:AL168">
    <cfRule type="expression" dxfId="12095" priority="1435">
      <formula>AL167&gt;AN167+#REF!</formula>
    </cfRule>
    <cfRule type="expression" dxfId="12094" priority="1436">
      <formula>AL167&lt;AN167-#REF!</formula>
    </cfRule>
  </conditionalFormatting>
  <conditionalFormatting sqref="AL171:AL172">
    <cfRule type="expression" dxfId="12093" priority="1433">
      <formula>AL171&gt;AN171+#REF!</formula>
    </cfRule>
  </conditionalFormatting>
  <conditionalFormatting sqref="AL171:AL175">
    <cfRule type="expression" dxfId="12092" priority="1434">
      <formula>AL171&lt;AN171-#REF!</formula>
    </cfRule>
  </conditionalFormatting>
  <conditionalFormatting sqref="AL173:AL175">
    <cfRule type="expression" dxfId="12091" priority="1432">
      <formula>AL173&gt;AN173+#REF!</formula>
    </cfRule>
  </conditionalFormatting>
  <conditionalFormatting sqref="AL184:AL185">
    <cfRule type="expression" dxfId="12090" priority="1410">
      <formula>AL184&gt;AN184+#REF!</formula>
    </cfRule>
    <cfRule type="expression" dxfId="12089" priority="1411">
      <formula>AL184&lt;AN184-#REF!</formula>
    </cfRule>
  </conditionalFormatting>
  <conditionalFormatting sqref="AL188:AL189">
    <cfRule type="expression" dxfId="12088" priority="1408">
      <formula>AL188&gt;AN188+#REF!</formula>
    </cfRule>
  </conditionalFormatting>
  <conditionalFormatting sqref="AL188:AL192">
    <cfRule type="expression" dxfId="12087" priority="1409">
      <formula>AL188&lt;AN188-#REF!</formula>
    </cfRule>
  </conditionalFormatting>
  <conditionalFormatting sqref="AL190:AL192">
    <cfRule type="expression" dxfId="12086" priority="1407">
      <formula>AL190&gt;AN190+#REF!</formula>
    </cfRule>
  </conditionalFormatting>
  <conditionalFormatting sqref="AL201:AL202">
    <cfRule type="expression" dxfId="12085" priority="1385">
      <formula>AL201&gt;AN201+#REF!</formula>
    </cfRule>
    <cfRule type="expression" dxfId="12084" priority="1386">
      <formula>AL201&lt;AN201-#REF!</formula>
    </cfRule>
  </conditionalFormatting>
  <conditionalFormatting sqref="AL205:AL206">
    <cfRule type="expression" dxfId="12083" priority="1383">
      <formula>AL205&gt;AN205+#REF!</formula>
    </cfRule>
  </conditionalFormatting>
  <conditionalFormatting sqref="AL205:AL209">
    <cfRule type="expression" dxfId="12082" priority="1384">
      <formula>AL205&lt;AN205-#REF!</formula>
    </cfRule>
  </conditionalFormatting>
  <conditionalFormatting sqref="AL207:AL209">
    <cfRule type="expression" dxfId="12081" priority="1382">
      <formula>AL207&gt;AN207+#REF!</formula>
    </cfRule>
  </conditionalFormatting>
  <conditionalFormatting sqref="AL218:AL219">
    <cfRule type="expression" dxfId="12080" priority="1360">
      <formula>AL218&gt;AN218+#REF!</formula>
    </cfRule>
    <cfRule type="expression" dxfId="12079" priority="1361">
      <formula>AL218&lt;AN218-#REF!</formula>
    </cfRule>
  </conditionalFormatting>
  <conditionalFormatting sqref="AL222:AL223">
    <cfRule type="expression" dxfId="12078" priority="1358">
      <formula>AL222&gt;AN222+#REF!</formula>
    </cfRule>
  </conditionalFormatting>
  <conditionalFormatting sqref="AL222:AL226">
    <cfRule type="expression" dxfId="12077" priority="1359">
      <formula>AL222&lt;AN222-#REF!</formula>
    </cfRule>
  </conditionalFormatting>
  <conditionalFormatting sqref="AL224:AL226">
    <cfRule type="expression" dxfId="12076" priority="1357">
      <formula>AL224&gt;AN224+#REF!</formula>
    </cfRule>
  </conditionalFormatting>
  <conditionalFormatting sqref="AL235:AL236">
    <cfRule type="expression" dxfId="12075" priority="1335">
      <formula>AL235&gt;AN235+#REF!</formula>
    </cfRule>
    <cfRule type="expression" dxfId="12074" priority="1336">
      <formula>AL235&lt;AN235-#REF!</formula>
    </cfRule>
  </conditionalFormatting>
  <conditionalFormatting sqref="AL239:AL240">
    <cfRule type="expression" dxfId="12073" priority="1333">
      <formula>AL239&gt;AN239+#REF!</formula>
    </cfRule>
  </conditionalFormatting>
  <conditionalFormatting sqref="AL239:AL243">
    <cfRule type="expression" dxfId="12072" priority="1334">
      <formula>AL239&lt;AN239-#REF!</formula>
    </cfRule>
  </conditionalFormatting>
  <conditionalFormatting sqref="AL241:AL243">
    <cfRule type="expression" dxfId="12071" priority="1332">
      <formula>AL241&gt;AN241+#REF!</formula>
    </cfRule>
  </conditionalFormatting>
  <conditionalFormatting sqref="AL252:AL253">
    <cfRule type="expression" dxfId="12070" priority="1286">
      <formula>AL252&gt;AN252+#REF!</formula>
    </cfRule>
    <cfRule type="expression" dxfId="12069" priority="1287">
      <formula>AL252&lt;AN252-#REF!</formula>
    </cfRule>
  </conditionalFormatting>
  <conditionalFormatting sqref="AL256:AL257">
    <cfRule type="expression" dxfId="12068" priority="1284">
      <formula>AL256&gt;AN256+#REF!</formula>
    </cfRule>
  </conditionalFormatting>
  <conditionalFormatting sqref="AL256:AL259">
    <cfRule type="expression" dxfId="12067" priority="1285">
      <formula>AL256&lt;AN256-#REF!</formula>
    </cfRule>
  </conditionalFormatting>
  <conditionalFormatting sqref="AL258:AL259">
    <cfRule type="expression" dxfId="12066" priority="1283">
      <formula>AL258&gt;AN258+#REF!</formula>
    </cfRule>
  </conditionalFormatting>
  <conditionalFormatting sqref="AL260">
    <cfRule type="expression" dxfId="12065" priority="1277">
      <formula>AL260&gt;AN260+#REF!</formula>
    </cfRule>
  </conditionalFormatting>
  <conditionalFormatting sqref="AL269:AL270">
    <cfRule type="expression" dxfId="12064" priority="1155">
      <formula>AL269&gt;AN269+#REF!</formula>
    </cfRule>
    <cfRule type="expression" dxfId="12063" priority="1156">
      <formula>AL269&lt;AN269-#REF!</formula>
    </cfRule>
  </conditionalFormatting>
  <conditionalFormatting sqref="AL273:AL274">
    <cfRule type="expression" dxfId="12062" priority="1153">
      <formula>AL273&gt;AN273+#REF!</formula>
    </cfRule>
  </conditionalFormatting>
  <conditionalFormatting sqref="AL273:AL277">
    <cfRule type="expression" dxfId="12061" priority="1154">
      <formula>AL273&lt;AN273-#REF!</formula>
    </cfRule>
  </conditionalFormatting>
  <conditionalFormatting sqref="AL275:AL277">
    <cfRule type="expression" dxfId="12060" priority="1152">
      <formula>AL275&gt;AN275+#REF!</formula>
    </cfRule>
  </conditionalFormatting>
  <conditionalFormatting sqref="AL286:AL287">
    <cfRule type="expression" dxfId="12059" priority="1260">
      <formula>AL286&gt;AN286+#REF!</formula>
    </cfRule>
    <cfRule type="expression" dxfId="12058" priority="1261">
      <formula>AL286&lt;AN286-#REF!</formula>
    </cfRule>
  </conditionalFormatting>
  <conditionalFormatting sqref="AL290:AL291">
    <cfRule type="expression" dxfId="12057" priority="1258">
      <formula>AL290&gt;AN290+#REF!</formula>
    </cfRule>
  </conditionalFormatting>
  <conditionalFormatting sqref="AL290:AL293">
    <cfRule type="expression" dxfId="12056" priority="1259">
      <formula>AL290&lt;AN290-#REF!</formula>
    </cfRule>
  </conditionalFormatting>
  <conditionalFormatting sqref="AL292:AL293">
    <cfRule type="expression" dxfId="12055" priority="1257">
      <formula>AL292&gt;AN292+#REF!</formula>
    </cfRule>
  </conditionalFormatting>
  <conditionalFormatting sqref="AL294">
    <cfRule type="expression" dxfId="12054" priority="1251">
      <formula>AL294&gt;AN294+#REF!</formula>
    </cfRule>
  </conditionalFormatting>
  <conditionalFormatting sqref="AL303:AL304">
    <cfRule type="expression" dxfId="12053" priority="1234">
      <formula>AL303&gt;AN303+#REF!</formula>
    </cfRule>
    <cfRule type="expression" dxfId="12052" priority="1235">
      <formula>AL303&lt;AN303-#REF!</formula>
    </cfRule>
  </conditionalFormatting>
  <conditionalFormatting sqref="AL307:AL308">
    <cfRule type="expression" dxfId="12051" priority="1232">
      <formula>AL307&gt;AN307+#REF!</formula>
    </cfRule>
  </conditionalFormatting>
  <conditionalFormatting sqref="AL307:AL310">
    <cfRule type="expression" dxfId="12050" priority="1233">
      <formula>AL307&lt;AN307-#REF!</formula>
    </cfRule>
  </conditionalFormatting>
  <conditionalFormatting sqref="AL309:AL310">
    <cfRule type="expression" dxfId="12049" priority="1231">
      <formula>AL309&gt;AN309+#REF!</formula>
    </cfRule>
  </conditionalFormatting>
  <conditionalFormatting sqref="AL311">
    <cfRule type="expression" dxfId="12048" priority="1225">
      <formula>AL311&gt;AN311+#REF!</formula>
    </cfRule>
  </conditionalFormatting>
  <conditionalFormatting sqref="AL320:AL321">
    <cfRule type="expression" dxfId="12047" priority="1208">
      <formula>AL320&gt;AN320+#REF!</formula>
    </cfRule>
    <cfRule type="expression" dxfId="12046" priority="1209">
      <formula>AL320&lt;AN320-#REF!</formula>
    </cfRule>
  </conditionalFormatting>
  <conditionalFormatting sqref="AL324:AL325">
    <cfRule type="expression" dxfId="12045" priority="1206">
      <formula>AL324&gt;AN324+#REF!</formula>
    </cfRule>
  </conditionalFormatting>
  <conditionalFormatting sqref="AL324:AL327">
    <cfRule type="expression" dxfId="12044" priority="1207">
      <formula>AL324&lt;AN324-#REF!</formula>
    </cfRule>
  </conditionalFormatting>
  <conditionalFormatting sqref="AL326:AL327">
    <cfRule type="expression" dxfId="12043" priority="1205">
      <formula>AL326&gt;AN326+#REF!</formula>
    </cfRule>
  </conditionalFormatting>
  <conditionalFormatting sqref="AL328">
    <cfRule type="expression" dxfId="12042" priority="1199">
      <formula>AL328&gt;AN328+#REF!</formula>
    </cfRule>
  </conditionalFormatting>
  <conditionalFormatting sqref="AL337:AL338">
    <cfRule type="expression" dxfId="12041" priority="1182">
      <formula>AL337&gt;AN337+#REF!</formula>
    </cfRule>
    <cfRule type="expression" dxfId="12040" priority="1183">
      <formula>AL337&lt;AN337-#REF!</formula>
    </cfRule>
  </conditionalFormatting>
  <conditionalFormatting sqref="AL341:AL342">
    <cfRule type="expression" dxfId="12039" priority="1180">
      <formula>AL341&gt;AN341+#REF!</formula>
    </cfRule>
  </conditionalFormatting>
  <conditionalFormatting sqref="AL341:AL344">
    <cfRule type="expression" dxfId="12038" priority="1181">
      <formula>AL341&lt;AN341-#REF!</formula>
    </cfRule>
  </conditionalFormatting>
  <conditionalFormatting sqref="AL343:AL344">
    <cfRule type="expression" dxfId="12037" priority="1179">
      <formula>AL343&gt;AN343+#REF!</formula>
    </cfRule>
  </conditionalFormatting>
  <conditionalFormatting sqref="AL345">
    <cfRule type="expression" dxfId="12036" priority="1173">
      <formula>AL345&gt;AN345+#REF!</formula>
    </cfRule>
  </conditionalFormatting>
  <conditionalFormatting sqref="AL354:AL355">
    <cfRule type="expression" dxfId="12035" priority="1310">
      <formula>AL354&gt;AN354+#REF!</formula>
    </cfRule>
    <cfRule type="expression" dxfId="12034" priority="1311">
      <formula>AL354&lt;AN354-#REF!</formula>
    </cfRule>
  </conditionalFormatting>
  <conditionalFormatting sqref="AL358:AL359">
    <cfRule type="expression" dxfId="12033" priority="1308">
      <formula>AL358&gt;AN358+#REF!</formula>
    </cfRule>
  </conditionalFormatting>
  <conditionalFormatting sqref="AL358:AL362">
    <cfRule type="expression" dxfId="12032" priority="1309">
      <formula>AL358&lt;AN358-#REF!</formula>
    </cfRule>
  </conditionalFormatting>
  <conditionalFormatting sqref="AL360:AL362">
    <cfRule type="expression" dxfId="12031" priority="1307">
      <formula>AL360&gt;AN360+#REF!</formula>
    </cfRule>
  </conditionalFormatting>
  <conditionalFormatting sqref="AM14:AM15">
    <cfRule type="expression" dxfId="12030" priority="1605">
      <formula>AM14&gt;AO14+#REF!</formula>
    </cfRule>
    <cfRule type="expression" dxfId="12029" priority="1606">
      <formula>AM14&lt;AO14-#REF!</formula>
    </cfRule>
  </conditionalFormatting>
  <conditionalFormatting sqref="AM18:AM19">
    <cfRule type="expression" dxfId="12028" priority="1603">
      <formula>AM18&gt;AO18+#REF!</formula>
    </cfRule>
    <cfRule type="expression" dxfId="12027" priority="1604">
      <formula>AM18&lt;AO18-#REF!</formula>
    </cfRule>
  </conditionalFormatting>
  <conditionalFormatting sqref="AM20:AM22">
    <cfRule type="expression" dxfId="12026" priority="1602">
      <formula>AM20&gt;AO20+#REF!</formula>
    </cfRule>
  </conditionalFormatting>
  <conditionalFormatting sqref="AM31:AM32">
    <cfRule type="expression" dxfId="12025" priority="1580">
      <formula>AM31&gt;AO31+#REF!</formula>
    </cfRule>
    <cfRule type="expression" dxfId="12024" priority="1581">
      <formula>AM31&lt;AO31-#REF!</formula>
    </cfRule>
  </conditionalFormatting>
  <conditionalFormatting sqref="AM35:AM36">
    <cfRule type="expression" dxfId="12023" priority="1578">
      <formula>AM35&gt;AO35+#REF!</formula>
    </cfRule>
    <cfRule type="expression" dxfId="12022" priority="1579">
      <formula>AM35&lt;AO35-#REF!</formula>
    </cfRule>
  </conditionalFormatting>
  <conditionalFormatting sqref="AM37:AM39">
    <cfRule type="expression" dxfId="12021" priority="1577">
      <formula>AM37&gt;AO37+#REF!</formula>
    </cfRule>
  </conditionalFormatting>
  <conditionalFormatting sqref="AM48:AM49">
    <cfRule type="expression" dxfId="12020" priority="1555">
      <formula>AM48&gt;AO48+#REF!</formula>
    </cfRule>
    <cfRule type="expression" dxfId="12019" priority="1556">
      <formula>AM48&lt;AO48-#REF!</formula>
    </cfRule>
  </conditionalFormatting>
  <conditionalFormatting sqref="AM52:AM53">
    <cfRule type="expression" dxfId="12018" priority="1553">
      <formula>AM52&gt;AO52+#REF!</formula>
    </cfRule>
    <cfRule type="expression" dxfId="12017" priority="1554">
      <formula>AM52&lt;AO52-#REF!</formula>
    </cfRule>
  </conditionalFormatting>
  <conditionalFormatting sqref="AM54:AM56">
    <cfRule type="expression" dxfId="12016" priority="1552">
      <formula>AM54&gt;AO54+#REF!</formula>
    </cfRule>
  </conditionalFormatting>
  <conditionalFormatting sqref="AM65:AM66">
    <cfRule type="expression" dxfId="12015" priority="1530">
      <formula>AM65&gt;AO65+#REF!</formula>
    </cfRule>
    <cfRule type="expression" dxfId="12014" priority="1531">
      <formula>AM65&lt;AO65-#REF!</formula>
    </cfRule>
  </conditionalFormatting>
  <conditionalFormatting sqref="AM69:AM70">
    <cfRule type="expression" dxfId="12013" priority="1528">
      <formula>AM69&gt;AO69+#REF!</formula>
    </cfRule>
    <cfRule type="expression" dxfId="12012" priority="1529">
      <formula>AM69&lt;AO69-#REF!</formula>
    </cfRule>
  </conditionalFormatting>
  <conditionalFormatting sqref="AM71:AM73">
    <cfRule type="expression" dxfId="12011" priority="1527">
      <formula>AM71&gt;AO71+#REF!</formula>
    </cfRule>
  </conditionalFormatting>
  <conditionalFormatting sqref="AM82:AM83">
    <cfRule type="expression" dxfId="12010" priority="1505">
      <formula>AM82&gt;AO82+#REF!</formula>
    </cfRule>
    <cfRule type="expression" dxfId="12009" priority="1506">
      <formula>AM82&lt;AO82-#REF!</formula>
    </cfRule>
  </conditionalFormatting>
  <conditionalFormatting sqref="AM86:AM87">
    <cfRule type="expression" dxfId="12008" priority="1503">
      <formula>AM86&gt;AO86+#REF!</formula>
    </cfRule>
    <cfRule type="expression" dxfId="12007" priority="1504">
      <formula>AM86&lt;AO86-#REF!</formula>
    </cfRule>
  </conditionalFormatting>
  <conditionalFormatting sqref="AM88:AM90">
    <cfRule type="expression" dxfId="12006" priority="1502">
      <formula>AM88&gt;AO88+#REF!</formula>
    </cfRule>
  </conditionalFormatting>
  <conditionalFormatting sqref="AM99:AM100">
    <cfRule type="expression" dxfId="12005" priority="1480">
      <formula>AM99&gt;AO99+#REF!</formula>
    </cfRule>
    <cfRule type="expression" dxfId="12004" priority="1481">
      <formula>AM99&lt;AO99-#REF!</formula>
    </cfRule>
  </conditionalFormatting>
  <conditionalFormatting sqref="AM103:AM104">
    <cfRule type="expression" dxfId="12003" priority="1478">
      <formula>AM103&gt;AO103+#REF!</formula>
    </cfRule>
    <cfRule type="expression" dxfId="12002" priority="1479">
      <formula>AM103&lt;AO103-#REF!</formula>
    </cfRule>
  </conditionalFormatting>
  <conditionalFormatting sqref="AM105:AM107">
    <cfRule type="expression" dxfId="12001" priority="1477">
      <formula>AM105&gt;AO105+#REF!</formula>
    </cfRule>
  </conditionalFormatting>
  <conditionalFormatting sqref="AM116:AM117">
    <cfRule type="expression" dxfId="12000" priority="1455">
      <formula>AM116&gt;AO116+#REF!</formula>
    </cfRule>
    <cfRule type="expression" dxfId="11999" priority="1456">
      <formula>AM116&lt;AO116-#REF!</formula>
    </cfRule>
  </conditionalFormatting>
  <conditionalFormatting sqref="AM120:AM121">
    <cfRule type="expression" dxfId="11998" priority="1453">
      <formula>AM120&gt;AO120+#REF!</formula>
    </cfRule>
    <cfRule type="expression" dxfId="11997" priority="1454">
      <formula>AM120&lt;AO120-#REF!</formula>
    </cfRule>
  </conditionalFormatting>
  <conditionalFormatting sqref="AM122:AM124">
    <cfRule type="expression" dxfId="11996" priority="1452">
      <formula>AM122&gt;AO122+#REF!</formula>
    </cfRule>
  </conditionalFormatting>
  <conditionalFormatting sqref="AM167:AM168">
    <cfRule type="expression" dxfId="11995" priority="1430">
      <formula>AM167&gt;AO167+#REF!</formula>
    </cfRule>
    <cfRule type="expression" dxfId="11994" priority="1431">
      <formula>AM167&lt;AO167-#REF!</formula>
    </cfRule>
  </conditionalFormatting>
  <conditionalFormatting sqref="AM171:AM172">
    <cfRule type="expression" dxfId="11993" priority="1428">
      <formula>AM171&gt;AO171+#REF!</formula>
    </cfRule>
    <cfRule type="expression" dxfId="11992" priority="1429">
      <formula>AM171&lt;AO171-#REF!</formula>
    </cfRule>
  </conditionalFormatting>
  <conditionalFormatting sqref="AM173:AM175">
    <cfRule type="expression" dxfId="11991" priority="1427">
      <formula>AM173&gt;AO173+#REF!</formula>
    </cfRule>
  </conditionalFormatting>
  <conditionalFormatting sqref="AM184:AM185">
    <cfRule type="expression" dxfId="11990" priority="1405">
      <formula>AM184&gt;AO184+#REF!</formula>
    </cfRule>
    <cfRule type="expression" dxfId="11989" priority="1406">
      <formula>AM184&lt;AO184-#REF!</formula>
    </cfRule>
  </conditionalFormatting>
  <conditionalFormatting sqref="AM188:AM189">
    <cfRule type="expression" dxfId="11988" priority="1403">
      <formula>AM188&gt;AO188+#REF!</formula>
    </cfRule>
    <cfRule type="expression" dxfId="11987" priority="1404">
      <formula>AM188&lt;AO188-#REF!</formula>
    </cfRule>
  </conditionalFormatting>
  <conditionalFormatting sqref="AM190:AM192">
    <cfRule type="expression" dxfId="11986" priority="1402">
      <formula>AM190&gt;AO190+#REF!</formula>
    </cfRule>
  </conditionalFormatting>
  <conditionalFormatting sqref="AM201:AM202">
    <cfRule type="expression" dxfId="11985" priority="1380">
      <formula>AM201&gt;AO201+#REF!</formula>
    </cfRule>
    <cfRule type="expression" dxfId="11984" priority="1381">
      <formula>AM201&lt;AO201-#REF!</formula>
    </cfRule>
  </conditionalFormatting>
  <conditionalFormatting sqref="AM205:AM206">
    <cfRule type="expression" dxfId="11983" priority="1378">
      <formula>AM205&gt;AO205+#REF!</formula>
    </cfRule>
    <cfRule type="expression" dxfId="11982" priority="1379">
      <formula>AM205&lt;AO205-#REF!</formula>
    </cfRule>
  </conditionalFormatting>
  <conditionalFormatting sqref="AM207:AM209">
    <cfRule type="expression" dxfId="11981" priority="1377">
      <formula>AM207&gt;AO207+#REF!</formula>
    </cfRule>
  </conditionalFormatting>
  <conditionalFormatting sqref="AM218:AM219">
    <cfRule type="expression" dxfId="11980" priority="1355">
      <formula>AM218&gt;AO218+#REF!</formula>
    </cfRule>
    <cfRule type="expression" dxfId="11979" priority="1356">
      <formula>AM218&lt;AO218-#REF!</formula>
    </cfRule>
  </conditionalFormatting>
  <conditionalFormatting sqref="AM222:AM223">
    <cfRule type="expression" dxfId="11978" priority="1353">
      <formula>AM222&gt;AO222+#REF!</formula>
    </cfRule>
    <cfRule type="expression" dxfId="11977" priority="1354">
      <formula>AM222&lt;AO222-#REF!</formula>
    </cfRule>
  </conditionalFormatting>
  <conditionalFormatting sqref="AM224:AM226">
    <cfRule type="expression" dxfId="11976" priority="1352">
      <formula>AM224&gt;AO224+#REF!</formula>
    </cfRule>
  </conditionalFormatting>
  <conditionalFormatting sqref="AM235:AM236">
    <cfRule type="expression" dxfId="11975" priority="1330">
      <formula>AM235&gt;AO235+#REF!</formula>
    </cfRule>
    <cfRule type="expression" dxfId="11974" priority="1331">
      <formula>AM235&lt;AO235-#REF!</formula>
    </cfRule>
  </conditionalFormatting>
  <conditionalFormatting sqref="AM239:AM240">
    <cfRule type="expression" dxfId="11973" priority="1328">
      <formula>AM239&gt;AO239+#REF!</formula>
    </cfRule>
    <cfRule type="expression" dxfId="11972" priority="1329">
      <formula>AM239&lt;AO239-#REF!</formula>
    </cfRule>
  </conditionalFormatting>
  <conditionalFormatting sqref="AM241:AM243">
    <cfRule type="expression" dxfId="11971" priority="1327">
      <formula>AM241&gt;AO241+#REF!</formula>
    </cfRule>
  </conditionalFormatting>
  <conditionalFormatting sqref="AM252:AM253">
    <cfRule type="expression" dxfId="11970" priority="1281">
      <formula>AM252&gt;AO252+#REF!</formula>
    </cfRule>
    <cfRule type="expression" dxfId="11969" priority="1282">
      <formula>AM252&lt;AO252-#REF!</formula>
    </cfRule>
  </conditionalFormatting>
  <conditionalFormatting sqref="AM256:AM257">
    <cfRule type="expression" dxfId="11968" priority="1279">
      <formula>AM256&gt;AO256+#REF!</formula>
    </cfRule>
    <cfRule type="expression" dxfId="11967" priority="1280">
      <formula>AM256&lt;AO256-#REF!</formula>
    </cfRule>
  </conditionalFormatting>
  <conditionalFormatting sqref="AM258:AM259">
    <cfRule type="expression" dxfId="11966" priority="1278">
      <formula>AM258&gt;AO258+#REF!</formula>
    </cfRule>
  </conditionalFormatting>
  <conditionalFormatting sqref="AM260">
    <cfRule type="expression" dxfId="11965" priority="1276">
      <formula>AM260&gt;AO260+#REF!</formula>
    </cfRule>
  </conditionalFormatting>
  <conditionalFormatting sqref="AM269:AM270">
    <cfRule type="expression" dxfId="11964" priority="1150">
      <formula>AM269&gt;AO269+#REF!</formula>
    </cfRule>
    <cfRule type="expression" dxfId="11963" priority="1151">
      <formula>AM269&lt;AO269-#REF!</formula>
    </cfRule>
  </conditionalFormatting>
  <conditionalFormatting sqref="AM273:AM274">
    <cfRule type="expression" dxfId="11962" priority="1148">
      <formula>AM273&gt;AO273+#REF!</formula>
    </cfRule>
    <cfRule type="expression" dxfId="11961" priority="1149">
      <formula>AM273&lt;AO273-#REF!</formula>
    </cfRule>
  </conditionalFormatting>
  <conditionalFormatting sqref="AM275:AM277">
    <cfRule type="expression" dxfId="11960" priority="1147">
      <formula>AM275&gt;AO275+#REF!</formula>
    </cfRule>
  </conditionalFormatting>
  <conditionalFormatting sqref="AM286:AM287">
    <cfRule type="expression" dxfId="11959" priority="1255">
      <formula>AM286&gt;AO286+#REF!</formula>
    </cfRule>
    <cfRule type="expression" dxfId="11958" priority="1256">
      <formula>AM286&lt;AO286-#REF!</formula>
    </cfRule>
  </conditionalFormatting>
  <conditionalFormatting sqref="AM290:AM291">
    <cfRule type="expression" dxfId="11957" priority="1253">
      <formula>AM290&gt;AO290+#REF!</formula>
    </cfRule>
    <cfRule type="expression" dxfId="11956" priority="1254">
      <formula>AM290&lt;AO290-#REF!</formula>
    </cfRule>
  </conditionalFormatting>
  <conditionalFormatting sqref="AM292:AM293">
    <cfRule type="expression" dxfId="11955" priority="1252">
      <formula>AM292&gt;AO292+#REF!</formula>
    </cfRule>
  </conditionalFormatting>
  <conditionalFormatting sqref="AM294">
    <cfRule type="expression" dxfId="11954" priority="1250">
      <formula>AM294&gt;AO294+#REF!</formula>
    </cfRule>
  </conditionalFormatting>
  <conditionalFormatting sqref="AM303:AM304">
    <cfRule type="expression" dxfId="11953" priority="1229">
      <formula>AM303&gt;AO303+#REF!</formula>
    </cfRule>
    <cfRule type="expression" dxfId="11952" priority="1230">
      <formula>AM303&lt;AO303-#REF!</formula>
    </cfRule>
  </conditionalFormatting>
  <conditionalFormatting sqref="AM307:AM308">
    <cfRule type="expression" dxfId="11951" priority="1227">
      <formula>AM307&gt;AO307+#REF!</formula>
    </cfRule>
    <cfRule type="expression" dxfId="11950" priority="1228">
      <formula>AM307&lt;AO307-#REF!</formula>
    </cfRule>
  </conditionalFormatting>
  <conditionalFormatting sqref="AM309:AM310">
    <cfRule type="expression" dxfId="11949" priority="1226">
      <formula>AM309&gt;AO309+#REF!</formula>
    </cfRule>
  </conditionalFormatting>
  <conditionalFormatting sqref="AM311">
    <cfRule type="expression" dxfId="11948" priority="1224">
      <formula>AM311&gt;AO311+#REF!</formula>
    </cfRule>
  </conditionalFormatting>
  <conditionalFormatting sqref="AM320:AM321">
    <cfRule type="expression" dxfId="11947" priority="1203">
      <formula>AM320&gt;AO320+#REF!</formula>
    </cfRule>
    <cfRule type="expression" dxfId="11946" priority="1204">
      <formula>AM320&lt;AO320-#REF!</formula>
    </cfRule>
  </conditionalFormatting>
  <conditionalFormatting sqref="AM324:AM325">
    <cfRule type="expression" dxfId="11945" priority="1201">
      <formula>AM324&gt;AO324+#REF!</formula>
    </cfRule>
    <cfRule type="expression" dxfId="11944" priority="1202">
      <formula>AM324&lt;AO324-#REF!</formula>
    </cfRule>
  </conditionalFormatting>
  <conditionalFormatting sqref="AM326:AM327">
    <cfRule type="expression" dxfId="11943" priority="1200">
      <formula>AM326&gt;AO326+#REF!</formula>
    </cfRule>
  </conditionalFormatting>
  <conditionalFormatting sqref="AM328">
    <cfRule type="expression" dxfId="11942" priority="1198">
      <formula>AM328&gt;AO328+#REF!</formula>
    </cfRule>
  </conditionalFormatting>
  <conditionalFormatting sqref="AM337:AM338">
    <cfRule type="expression" dxfId="11941" priority="1177">
      <formula>AM337&gt;AO337+#REF!</formula>
    </cfRule>
    <cfRule type="expression" dxfId="11940" priority="1178">
      <formula>AM337&lt;AO337-#REF!</formula>
    </cfRule>
  </conditionalFormatting>
  <conditionalFormatting sqref="AM341:AM342">
    <cfRule type="expression" dxfId="11939" priority="1175">
      <formula>AM341&gt;AO341+#REF!</formula>
    </cfRule>
    <cfRule type="expression" dxfId="11938" priority="1176">
      <formula>AM341&lt;AO341-#REF!</formula>
    </cfRule>
  </conditionalFormatting>
  <conditionalFormatting sqref="AM343:AM344">
    <cfRule type="expression" dxfId="11937" priority="1174">
      <formula>AM343&gt;AO343+#REF!</formula>
    </cfRule>
  </conditionalFormatting>
  <conditionalFormatting sqref="AM345">
    <cfRule type="expression" dxfId="11936" priority="1172">
      <formula>AM345&gt;AO345+#REF!</formula>
    </cfRule>
  </conditionalFormatting>
  <conditionalFormatting sqref="AM354:AM355">
    <cfRule type="expression" dxfId="11935" priority="1305">
      <formula>AM354&gt;AO354+#REF!</formula>
    </cfRule>
    <cfRule type="expression" dxfId="11934" priority="1306">
      <formula>AM354&lt;AO354-#REF!</formula>
    </cfRule>
  </conditionalFormatting>
  <conditionalFormatting sqref="AM358:AM359">
    <cfRule type="expression" dxfId="11933" priority="1303">
      <formula>AM358&gt;AO358+#REF!</formula>
    </cfRule>
    <cfRule type="expression" dxfId="11932" priority="1304">
      <formula>AM358&lt;AO358-#REF!</formula>
    </cfRule>
  </conditionalFormatting>
  <conditionalFormatting sqref="AM360:AM362">
    <cfRule type="expression" dxfId="11931" priority="1302">
      <formula>AM360&gt;AO360+#REF!</formula>
    </cfRule>
  </conditionalFormatting>
  <conditionalFormatting sqref="AO14:AO15">
    <cfRule type="expression" dxfId="11930" priority="3316">
      <formula>AO14&gt;AQ14+#REF!</formula>
    </cfRule>
  </conditionalFormatting>
  <conditionalFormatting sqref="AO18:AO19">
    <cfRule type="expression" dxfId="11929" priority="3314">
      <formula>AO18&gt;AQ18+#REF!</formula>
    </cfRule>
  </conditionalFormatting>
  <conditionalFormatting sqref="AO20:AO22">
    <cfRule type="expression" dxfId="11928" priority="3313">
      <formula>AO20&gt;AQ20+#REF!</formula>
    </cfRule>
  </conditionalFormatting>
  <conditionalFormatting sqref="AO31:AO32">
    <cfRule type="expression" dxfId="11927" priority="3301">
      <formula>AO31&gt;AQ31+#REF!</formula>
    </cfRule>
  </conditionalFormatting>
  <conditionalFormatting sqref="AO35:AO36">
    <cfRule type="expression" dxfId="11926" priority="3299">
      <formula>AO35&gt;AQ35+#REF!</formula>
    </cfRule>
  </conditionalFormatting>
  <conditionalFormatting sqref="AO37:AO39">
    <cfRule type="expression" dxfId="11925" priority="3298">
      <formula>AO37&gt;AQ37+#REF!</formula>
    </cfRule>
  </conditionalFormatting>
  <conditionalFormatting sqref="AO48:AO49">
    <cfRule type="expression" dxfId="11924" priority="3286">
      <formula>AO48&gt;AQ48+#REF!</formula>
    </cfRule>
  </conditionalFormatting>
  <conditionalFormatting sqref="AO52:AO53">
    <cfRule type="expression" dxfId="11923" priority="3284">
      <formula>AO52&gt;AQ52+#REF!</formula>
    </cfRule>
  </conditionalFormatting>
  <conditionalFormatting sqref="AO54:AO56">
    <cfRule type="expression" dxfId="11922" priority="3283">
      <formula>AO54&gt;AQ54+#REF!</formula>
    </cfRule>
  </conditionalFormatting>
  <conditionalFormatting sqref="AO65:AO66">
    <cfRule type="expression" dxfId="11921" priority="3271">
      <formula>AO65&gt;AQ65+#REF!</formula>
    </cfRule>
  </conditionalFormatting>
  <conditionalFormatting sqref="AO69:AO70">
    <cfRule type="expression" dxfId="11920" priority="3269">
      <formula>AO69&gt;AQ69+#REF!</formula>
    </cfRule>
  </conditionalFormatting>
  <conditionalFormatting sqref="AO71:AO73">
    <cfRule type="expression" dxfId="11919" priority="3268">
      <formula>AO71&gt;AQ71+#REF!</formula>
    </cfRule>
  </conditionalFormatting>
  <conditionalFormatting sqref="AO82:AO83">
    <cfRule type="expression" dxfId="11918" priority="3256">
      <formula>AO82&gt;AQ82+#REF!</formula>
    </cfRule>
  </conditionalFormatting>
  <conditionalFormatting sqref="AO86:AO87">
    <cfRule type="expression" dxfId="11917" priority="3254">
      <formula>AO86&gt;AQ86+#REF!</formula>
    </cfRule>
  </conditionalFormatting>
  <conditionalFormatting sqref="AO88:AO90">
    <cfRule type="expression" dxfId="11916" priority="3253">
      <formula>AO88&gt;AQ88+#REF!</formula>
    </cfRule>
  </conditionalFormatting>
  <conditionalFormatting sqref="AO99:AO100">
    <cfRule type="expression" dxfId="11915" priority="3241">
      <formula>AO99&gt;AQ99+#REF!</formula>
    </cfRule>
  </conditionalFormatting>
  <conditionalFormatting sqref="AO103:AO104">
    <cfRule type="expression" dxfId="11914" priority="3239">
      <formula>AO103&gt;AQ103+#REF!</formula>
    </cfRule>
  </conditionalFormatting>
  <conditionalFormatting sqref="AO105:AO107">
    <cfRule type="expression" dxfId="11913" priority="3238">
      <formula>AO105&gt;AQ105+#REF!</formula>
    </cfRule>
  </conditionalFormatting>
  <conditionalFormatting sqref="AO116:AO117">
    <cfRule type="expression" dxfId="11912" priority="3226">
      <formula>AO116&gt;AQ116+#REF!</formula>
    </cfRule>
  </conditionalFormatting>
  <conditionalFormatting sqref="AO120:AO121">
    <cfRule type="expression" dxfId="11911" priority="3224">
      <formula>AO120&gt;AQ120+#REF!</formula>
    </cfRule>
  </conditionalFormatting>
  <conditionalFormatting sqref="AO122:AO124">
    <cfRule type="expression" dxfId="11910" priority="3223">
      <formula>AO122&gt;AQ122+#REF!</formula>
    </cfRule>
  </conditionalFormatting>
  <conditionalFormatting sqref="AO167:AO168">
    <cfRule type="expression" dxfId="11909" priority="3211">
      <formula>AO167&gt;AQ167+#REF!</formula>
    </cfRule>
  </conditionalFormatting>
  <conditionalFormatting sqref="AO171:AO172">
    <cfRule type="expression" dxfId="11908" priority="3209">
      <formula>AO171&gt;AQ171+#REF!</formula>
    </cfRule>
  </conditionalFormatting>
  <conditionalFormatting sqref="AO173:AO175">
    <cfRule type="expression" dxfId="11907" priority="3208">
      <formula>AO173&gt;AQ173+#REF!</formula>
    </cfRule>
  </conditionalFormatting>
  <conditionalFormatting sqref="AO184:AO185">
    <cfRule type="expression" dxfId="11906" priority="3196">
      <formula>AO184&gt;AQ184+#REF!</formula>
    </cfRule>
  </conditionalFormatting>
  <conditionalFormatting sqref="AO188:AO189">
    <cfRule type="expression" dxfId="11905" priority="3194">
      <formula>AO188&gt;AQ188+#REF!</formula>
    </cfRule>
  </conditionalFormatting>
  <conditionalFormatting sqref="AO190:AO192">
    <cfRule type="expression" dxfId="11904" priority="3193">
      <formula>AO190&gt;AQ190+#REF!</formula>
    </cfRule>
  </conditionalFormatting>
  <conditionalFormatting sqref="AO201:AO202">
    <cfRule type="expression" dxfId="11903" priority="3181">
      <formula>AO201&gt;AQ201+#REF!</formula>
    </cfRule>
  </conditionalFormatting>
  <conditionalFormatting sqref="AO205:AO206">
    <cfRule type="expression" dxfId="11902" priority="3179">
      <formula>AO205&gt;AQ205+#REF!</formula>
    </cfRule>
  </conditionalFormatting>
  <conditionalFormatting sqref="AO207:AO209">
    <cfRule type="expression" dxfId="11901" priority="3178">
      <formula>AO207&gt;AQ207+#REF!</formula>
    </cfRule>
  </conditionalFormatting>
  <conditionalFormatting sqref="AO218:AO219">
    <cfRule type="expression" dxfId="11900" priority="3166">
      <formula>AO218&gt;AQ218+#REF!</formula>
    </cfRule>
  </conditionalFormatting>
  <conditionalFormatting sqref="AO222:AO223">
    <cfRule type="expression" dxfId="11899" priority="3164">
      <formula>AO222&gt;AQ222+#REF!</formula>
    </cfRule>
  </conditionalFormatting>
  <conditionalFormatting sqref="AO224:AO226">
    <cfRule type="expression" dxfId="11898" priority="3163">
      <formula>AO224&gt;AQ224+#REF!</formula>
    </cfRule>
  </conditionalFormatting>
  <conditionalFormatting sqref="AO235:AO236">
    <cfRule type="expression" dxfId="11897" priority="3151">
      <formula>AO235&gt;AQ235+#REF!</formula>
    </cfRule>
  </conditionalFormatting>
  <conditionalFormatting sqref="AO239:AO240">
    <cfRule type="expression" dxfId="11896" priority="3149">
      <formula>AO239&gt;AQ239+#REF!</formula>
    </cfRule>
  </conditionalFormatting>
  <conditionalFormatting sqref="AO241:AO243">
    <cfRule type="expression" dxfId="11895" priority="3148">
      <formula>AO241&gt;AQ241+#REF!</formula>
    </cfRule>
  </conditionalFormatting>
  <conditionalFormatting sqref="AO269:AO270">
    <cfRule type="expression" dxfId="11894" priority="3136">
      <formula>AO269&gt;AQ269+#REF!</formula>
    </cfRule>
  </conditionalFormatting>
  <conditionalFormatting sqref="AO273:AO274">
    <cfRule type="expression" dxfId="11893" priority="3134">
      <formula>AO273&gt;AQ273+#REF!</formula>
    </cfRule>
  </conditionalFormatting>
  <conditionalFormatting sqref="AO275:AO277">
    <cfRule type="expression" dxfId="11892" priority="3133">
      <formula>AO275&gt;AQ275+#REF!</formula>
    </cfRule>
  </conditionalFormatting>
  <conditionalFormatting sqref="AO8:AQ9">
    <cfRule type="expression" dxfId="11891" priority="3319">
      <formula>AO8&lt;AQ8*#REF!</formula>
    </cfRule>
    <cfRule type="expression" dxfId="11890" priority="3320">
      <formula>AO8&gt;AQ8*#REF!</formula>
    </cfRule>
  </conditionalFormatting>
  <conditionalFormatting sqref="AO10:AQ12">
    <cfRule type="expression" dxfId="11889" priority="3321">
      <formula>AO10&lt;AQ10-#REF!</formula>
    </cfRule>
  </conditionalFormatting>
  <conditionalFormatting sqref="AO10:AQ13">
    <cfRule type="expression" dxfId="11888" priority="3317">
      <formula>AO10&gt;AQ10+#REF!</formula>
    </cfRule>
  </conditionalFormatting>
  <conditionalFormatting sqref="AO16:AQ17">
    <cfRule type="expression" dxfId="11887" priority="3315">
      <formula>AO16&gt;AQ16+#REF!</formula>
    </cfRule>
  </conditionalFormatting>
  <conditionalFormatting sqref="AO23:AQ23">
    <cfRule type="expression" dxfId="11886" priority="3318">
      <formula>AO23&gt;AQ23*#REF!</formula>
    </cfRule>
  </conditionalFormatting>
  <conditionalFormatting sqref="AO25:AQ26">
    <cfRule type="expression" dxfId="11885" priority="3304">
      <formula>AO25&lt;AQ25*#REF!</formula>
    </cfRule>
    <cfRule type="expression" dxfId="11884" priority="3305">
      <formula>AO25&gt;AQ25*#REF!</formula>
    </cfRule>
  </conditionalFormatting>
  <conditionalFormatting sqref="AO27:AQ29">
    <cfRule type="expression" dxfId="11883" priority="3306">
      <formula>AO27&lt;AQ27-#REF!</formula>
    </cfRule>
  </conditionalFormatting>
  <conditionalFormatting sqref="AO27:AQ30">
    <cfRule type="expression" dxfId="11882" priority="3302">
      <formula>AO27&gt;AQ27+#REF!</formula>
    </cfRule>
  </conditionalFormatting>
  <conditionalFormatting sqref="AO33:AQ34">
    <cfRule type="expression" dxfId="11881" priority="3300">
      <formula>AO33&gt;AQ33+#REF!</formula>
    </cfRule>
  </conditionalFormatting>
  <conditionalFormatting sqref="AO40:AQ40">
    <cfRule type="expression" dxfId="11880" priority="3303">
      <formula>AO40&gt;AQ40*#REF!</formula>
    </cfRule>
  </conditionalFormatting>
  <conditionalFormatting sqref="AO42:AQ43">
    <cfRule type="expression" dxfId="11879" priority="3289">
      <formula>AO42&lt;AQ42*#REF!</formula>
    </cfRule>
    <cfRule type="expression" dxfId="11878" priority="3290">
      <formula>AO42&gt;AQ42*#REF!</formula>
    </cfRule>
  </conditionalFormatting>
  <conditionalFormatting sqref="AO44:AQ46">
    <cfRule type="expression" dxfId="11877" priority="3291">
      <formula>AO44&lt;AQ44-#REF!</formula>
    </cfRule>
  </conditionalFormatting>
  <conditionalFormatting sqref="AO44:AQ47">
    <cfRule type="expression" dxfId="11876" priority="3287">
      <formula>AO44&gt;AQ44+#REF!</formula>
    </cfRule>
  </conditionalFormatting>
  <conditionalFormatting sqref="AO50:AQ51">
    <cfRule type="expression" dxfId="11875" priority="3285">
      <formula>AO50&gt;AQ50+#REF!</formula>
    </cfRule>
  </conditionalFormatting>
  <conditionalFormatting sqref="AO57:AQ57">
    <cfRule type="expression" dxfId="11874" priority="3288">
      <formula>AO57&gt;AQ57*#REF!</formula>
    </cfRule>
  </conditionalFormatting>
  <conditionalFormatting sqref="AO59:AQ60">
    <cfRule type="expression" dxfId="11873" priority="3274">
      <formula>AO59&lt;AQ59*#REF!</formula>
    </cfRule>
    <cfRule type="expression" dxfId="11872" priority="3275">
      <formula>AO59&gt;AQ59*#REF!</formula>
    </cfRule>
  </conditionalFormatting>
  <conditionalFormatting sqref="AO61:AQ63">
    <cfRule type="expression" dxfId="11871" priority="3276">
      <formula>AO61&lt;AQ61-#REF!</formula>
    </cfRule>
  </conditionalFormatting>
  <conditionalFormatting sqref="AO61:AQ64">
    <cfRule type="expression" dxfId="11870" priority="3272">
      <formula>AO61&gt;AQ61+#REF!</formula>
    </cfRule>
  </conditionalFormatting>
  <conditionalFormatting sqref="AO67:AQ68">
    <cfRule type="expression" dxfId="11869" priority="3270">
      <formula>AO67&gt;AQ67+#REF!</formula>
    </cfRule>
  </conditionalFormatting>
  <conditionalFormatting sqref="AO74:AQ74">
    <cfRule type="expression" dxfId="11868" priority="3273">
      <formula>AO74&gt;AQ74*#REF!</formula>
    </cfRule>
  </conditionalFormatting>
  <conditionalFormatting sqref="AO76:AQ77">
    <cfRule type="expression" dxfId="11867" priority="3259">
      <formula>AO76&lt;AQ76*#REF!</formula>
    </cfRule>
    <cfRule type="expression" dxfId="11866" priority="3260">
      <formula>AO76&gt;AQ76*#REF!</formula>
    </cfRule>
  </conditionalFormatting>
  <conditionalFormatting sqref="AO78:AQ80">
    <cfRule type="expression" dxfId="11865" priority="3261">
      <formula>AO78&lt;AQ78-#REF!</formula>
    </cfRule>
  </conditionalFormatting>
  <conditionalFormatting sqref="AO78:AQ81">
    <cfRule type="expression" dxfId="11864" priority="3257">
      <formula>AO78&gt;AQ78+#REF!</formula>
    </cfRule>
  </conditionalFormatting>
  <conditionalFormatting sqref="AO84:AQ85">
    <cfRule type="expression" dxfId="11863" priority="3255">
      <formula>AO84&gt;AQ84+#REF!</formula>
    </cfRule>
  </conditionalFormatting>
  <conditionalFormatting sqref="AO91:AQ91">
    <cfRule type="expression" dxfId="11862" priority="3258">
      <formula>AO91&gt;AQ91*#REF!</formula>
    </cfRule>
  </conditionalFormatting>
  <conditionalFormatting sqref="AO93:AQ94">
    <cfRule type="expression" dxfId="11861" priority="3244">
      <formula>AO93&lt;AQ93*#REF!</formula>
    </cfRule>
    <cfRule type="expression" dxfId="11860" priority="3245">
      <formula>AO93&gt;AQ93*#REF!</formula>
    </cfRule>
  </conditionalFormatting>
  <conditionalFormatting sqref="AO95:AQ97">
    <cfRule type="expression" dxfId="11859" priority="3246">
      <formula>AO95&lt;AQ95-#REF!</formula>
    </cfRule>
  </conditionalFormatting>
  <conditionalFormatting sqref="AO95:AQ98">
    <cfRule type="expression" dxfId="11858" priority="3242">
      <formula>AO95&gt;AQ95+#REF!</formula>
    </cfRule>
  </conditionalFormatting>
  <conditionalFormatting sqref="AO101:AQ102">
    <cfRule type="expression" dxfId="11857" priority="3240">
      <formula>AO101&gt;AQ101+#REF!</formula>
    </cfRule>
  </conditionalFormatting>
  <conditionalFormatting sqref="AO108:AQ108">
    <cfRule type="expression" dxfId="11856" priority="3243">
      <formula>AO108&gt;AQ108*#REF!</formula>
    </cfRule>
  </conditionalFormatting>
  <conditionalFormatting sqref="AO110:AQ111">
    <cfRule type="expression" dxfId="11855" priority="3229">
      <formula>AO110&lt;AQ110*#REF!</formula>
    </cfRule>
    <cfRule type="expression" dxfId="11854" priority="3230">
      <formula>AO110&gt;AQ110*#REF!</formula>
    </cfRule>
  </conditionalFormatting>
  <conditionalFormatting sqref="AO112:AQ114">
    <cfRule type="expression" dxfId="11853" priority="3231">
      <formula>AO112&lt;AQ112-#REF!</formula>
    </cfRule>
  </conditionalFormatting>
  <conditionalFormatting sqref="AO112:AQ115">
    <cfRule type="expression" dxfId="11852" priority="3227">
      <formula>AO112&gt;AQ112+#REF!</formula>
    </cfRule>
  </conditionalFormatting>
  <conditionalFormatting sqref="AO118:AQ119">
    <cfRule type="expression" dxfId="11851" priority="3225">
      <formula>AO118&gt;AQ118+#REF!</formula>
    </cfRule>
  </conditionalFormatting>
  <conditionalFormatting sqref="AO125:AQ125">
    <cfRule type="expression" dxfId="11850" priority="3228">
      <formula>AO125&gt;AQ125*#REF!</formula>
    </cfRule>
  </conditionalFormatting>
  <conditionalFormatting sqref="AO161:AQ162">
    <cfRule type="expression" dxfId="11849" priority="3214">
      <formula>AO161&lt;AQ161*#REF!</formula>
    </cfRule>
    <cfRule type="expression" dxfId="11848" priority="3215">
      <formula>AO161&gt;AQ161*#REF!</formula>
    </cfRule>
  </conditionalFormatting>
  <conditionalFormatting sqref="AO163:AQ165">
    <cfRule type="expression" dxfId="11847" priority="3216">
      <formula>AO163&lt;AQ163-#REF!</formula>
    </cfRule>
  </conditionalFormatting>
  <conditionalFormatting sqref="AO163:AQ166">
    <cfRule type="expression" dxfId="11846" priority="3212">
      <formula>AO163&gt;AQ163+#REF!</formula>
    </cfRule>
  </conditionalFormatting>
  <conditionalFormatting sqref="AO169:AQ170">
    <cfRule type="expression" dxfId="11845" priority="3210">
      <formula>AO169&gt;AQ169+#REF!</formula>
    </cfRule>
  </conditionalFormatting>
  <conditionalFormatting sqref="AO176:AQ176">
    <cfRule type="expression" dxfId="11844" priority="3213">
      <formula>AO176&gt;AQ176*#REF!</formula>
    </cfRule>
  </conditionalFormatting>
  <conditionalFormatting sqref="AO178:AQ179">
    <cfRule type="expression" dxfId="11843" priority="3199">
      <formula>AO178&lt;AQ178*#REF!</formula>
    </cfRule>
    <cfRule type="expression" dxfId="11842" priority="3200">
      <formula>AO178&gt;AQ178*#REF!</formula>
    </cfRule>
  </conditionalFormatting>
  <conditionalFormatting sqref="AO180:AQ182">
    <cfRule type="expression" dxfId="11841" priority="3201">
      <formula>AO180&lt;AQ180-#REF!</formula>
    </cfRule>
  </conditionalFormatting>
  <conditionalFormatting sqref="AO180:AQ183">
    <cfRule type="expression" dxfId="11840" priority="3197">
      <formula>AO180&gt;AQ180+#REF!</formula>
    </cfRule>
  </conditionalFormatting>
  <conditionalFormatting sqref="AO186:AQ187">
    <cfRule type="expression" dxfId="11839" priority="3195">
      <formula>AO186&gt;AQ186+#REF!</formula>
    </cfRule>
  </conditionalFormatting>
  <conditionalFormatting sqref="AO193:AQ193">
    <cfRule type="expression" dxfId="11838" priority="3198">
      <formula>AO193&gt;AQ193*#REF!</formula>
    </cfRule>
  </conditionalFormatting>
  <conditionalFormatting sqref="AO195:AQ196">
    <cfRule type="expression" dxfId="11837" priority="3184">
      <formula>AO195&lt;AQ195*#REF!</formula>
    </cfRule>
    <cfRule type="expression" dxfId="11836" priority="3185">
      <formula>AO195&gt;AQ195*#REF!</formula>
    </cfRule>
  </conditionalFormatting>
  <conditionalFormatting sqref="AO197:AQ199">
    <cfRule type="expression" dxfId="11835" priority="3186">
      <formula>AO197&lt;AQ197-#REF!</formula>
    </cfRule>
  </conditionalFormatting>
  <conditionalFormatting sqref="AO197:AQ200">
    <cfRule type="expression" dxfId="11834" priority="3182">
      <formula>AO197&gt;AQ197+#REF!</formula>
    </cfRule>
  </conditionalFormatting>
  <conditionalFormatting sqref="AO203:AQ204">
    <cfRule type="expression" dxfId="11833" priority="3180">
      <formula>AO203&gt;AQ203+#REF!</formula>
    </cfRule>
  </conditionalFormatting>
  <conditionalFormatting sqref="AO210:AQ210">
    <cfRule type="expression" dxfId="11832" priority="3183">
      <formula>AO210&gt;AQ210*#REF!</formula>
    </cfRule>
  </conditionalFormatting>
  <conditionalFormatting sqref="AO212:AQ213">
    <cfRule type="expression" dxfId="11831" priority="3169">
      <formula>AO212&lt;AQ212*#REF!</formula>
    </cfRule>
    <cfRule type="expression" dxfId="11830" priority="3170">
      <formula>AO212&gt;AQ212*#REF!</formula>
    </cfRule>
  </conditionalFormatting>
  <conditionalFormatting sqref="AO214:AQ216">
    <cfRule type="expression" dxfId="11829" priority="3171">
      <formula>AO214&lt;AQ214-#REF!</formula>
    </cfRule>
  </conditionalFormatting>
  <conditionalFormatting sqref="AO214:AQ217">
    <cfRule type="expression" dxfId="11828" priority="3167">
      <formula>AO214&gt;AQ214+#REF!</formula>
    </cfRule>
  </conditionalFormatting>
  <conditionalFormatting sqref="AO220:AQ221">
    <cfRule type="expression" dxfId="11827" priority="3165">
      <formula>AO220&gt;AQ220+#REF!</formula>
    </cfRule>
  </conditionalFormatting>
  <conditionalFormatting sqref="AO227:AQ227">
    <cfRule type="expression" dxfId="11826" priority="3168">
      <formula>AO227&gt;AQ227*#REF!</formula>
    </cfRule>
  </conditionalFormatting>
  <conditionalFormatting sqref="AO229:AQ230">
    <cfRule type="expression" dxfId="11825" priority="3154">
      <formula>AO229&lt;AQ229*#REF!</formula>
    </cfRule>
    <cfRule type="expression" dxfId="11824" priority="3155">
      <formula>AO229&gt;AQ229*#REF!</formula>
    </cfRule>
  </conditionalFormatting>
  <conditionalFormatting sqref="AO231:AQ233">
    <cfRule type="expression" dxfId="11823" priority="3156">
      <formula>AO231&lt;AQ231-#REF!</formula>
    </cfRule>
  </conditionalFormatting>
  <conditionalFormatting sqref="AO231:AQ234">
    <cfRule type="expression" dxfId="11822" priority="3152">
      <formula>AO231&gt;AQ231+#REF!</formula>
    </cfRule>
  </conditionalFormatting>
  <conditionalFormatting sqref="AO237:AQ238">
    <cfRule type="expression" dxfId="11821" priority="3150">
      <formula>AO237&gt;AQ237+#REF!</formula>
    </cfRule>
  </conditionalFormatting>
  <conditionalFormatting sqref="AO244:AQ244">
    <cfRule type="expression" dxfId="11820" priority="3153">
      <formula>AO244&gt;AQ244*#REF!</formula>
    </cfRule>
  </conditionalFormatting>
  <conditionalFormatting sqref="AO246:AQ247">
    <cfRule type="expression" dxfId="11819" priority="3109">
      <formula>AO246&lt;AQ246*#REF!</formula>
    </cfRule>
    <cfRule type="expression" dxfId="11818" priority="3110">
      <formula>AO246&gt;AQ246*#REF!</formula>
    </cfRule>
  </conditionalFormatting>
  <conditionalFormatting sqref="AO248:AQ250">
    <cfRule type="expression" dxfId="11817" priority="3111">
      <formula>AO248&lt;AQ248-#REF!</formula>
    </cfRule>
  </conditionalFormatting>
  <conditionalFormatting sqref="AO248:AQ260">
    <cfRule type="expression" dxfId="11816" priority="3103">
      <formula>AO248&gt;AQ248+#REF!</formula>
    </cfRule>
  </conditionalFormatting>
  <conditionalFormatting sqref="AO261:AQ261">
    <cfRule type="expression" dxfId="11815" priority="3108">
      <formula>AO261&gt;AQ261*#REF!</formula>
    </cfRule>
  </conditionalFormatting>
  <conditionalFormatting sqref="AO263:AQ264">
    <cfRule type="expression" dxfId="11814" priority="3139">
      <formula>AO263&lt;AQ263*#REF!</formula>
    </cfRule>
    <cfRule type="expression" dxfId="11813" priority="3140">
      <formula>AO263&gt;AQ263*#REF!</formula>
    </cfRule>
  </conditionalFormatting>
  <conditionalFormatting sqref="AO265:AQ267">
    <cfRule type="expression" dxfId="11812" priority="3141">
      <formula>AO265&lt;AQ265-#REF!</formula>
    </cfRule>
  </conditionalFormatting>
  <conditionalFormatting sqref="AO265:AQ268">
    <cfRule type="expression" dxfId="11811" priority="3137">
      <formula>AO265&gt;AQ265+#REF!</formula>
    </cfRule>
  </conditionalFormatting>
  <conditionalFormatting sqref="AO271:AQ272">
    <cfRule type="expression" dxfId="11810" priority="3135">
      <formula>AO271&gt;AQ271+#REF!</formula>
    </cfRule>
  </conditionalFormatting>
  <conditionalFormatting sqref="AO278:AQ278">
    <cfRule type="expression" dxfId="11809" priority="3138">
      <formula>AO278&gt;AQ278*#REF!</formula>
    </cfRule>
  </conditionalFormatting>
  <conditionalFormatting sqref="AO280:AQ281">
    <cfRule type="expression" dxfId="11808" priority="3100">
      <formula>AO280&lt;AQ280*#REF!</formula>
    </cfRule>
    <cfRule type="expression" dxfId="11807" priority="3101">
      <formula>AO280&gt;AQ280*#REF!</formula>
    </cfRule>
  </conditionalFormatting>
  <conditionalFormatting sqref="AO282:AQ284">
    <cfRule type="expression" dxfId="11806" priority="3102">
      <formula>AO282&lt;AQ282-#REF!</formula>
    </cfRule>
  </conditionalFormatting>
  <conditionalFormatting sqref="AO282:AQ294">
    <cfRule type="expression" dxfId="11805" priority="3094">
      <formula>AO282&gt;AQ282+#REF!</formula>
    </cfRule>
  </conditionalFormatting>
  <conditionalFormatting sqref="AO295:AQ295">
    <cfRule type="expression" dxfId="11804" priority="3099">
      <formula>AO295&gt;AQ295*#REF!</formula>
    </cfRule>
  </conditionalFormatting>
  <conditionalFormatting sqref="AO297:AQ298">
    <cfRule type="expression" dxfId="11803" priority="3091">
      <formula>AO297&lt;AQ297*#REF!</formula>
    </cfRule>
    <cfRule type="expression" dxfId="11802" priority="3092">
      <formula>AO297&gt;AQ297*#REF!</formula>
    </cfRule>
  </conditionalFormatting>
  <conditionalFormatting sqref="AO299:AQ301">
    <cfRule type="expression" dxfId="11801" priority="3093">
      <formula>AO299&lt;AQ299-#REF!</formula>
    </cfRule>
  </conditionalFormatting>
  <conditionalFormatting sqref="AO299:AQ311">
    <cfRule type="expression" dxfId="11800" priority="3085">
      <formula>AO299&gt;AQ299+#REF!</formula>
    </cfRule>
  </conditionalFormatting>
  <conditionalFormatting sqref="AO312:AQ312">
    <cfRule type="expression" dxfId="11799" priority="3090">
      <formula>AO312&gt;AQ312*#REF!</formula>
    </cfRule>
  </conditionalFormatting>
  <conditionalFormatting sqref="AO314:AQ315">
    <cfRule type="expression" dxfId="11798" priority="3082">
      <formula>AO314&lt;AQ314*#REF!</formula>
    </cfRule>
    <cfRule type="expression" dxfId="11797" priority="3083">
      <formula>AO314&gt;AQ314*#REF!</formula>
    </cfRule>
  </conditionalFormatting>
  <conditionalFormatting sqref="AO316:AQ318">
    <cfRule type="expression" dxfId="11796" priority="3084">
      <formula>AO316&lt;AQ316-#REF!</formula>
    </cfRule>
  </conditionalFormatting>
  <conditionalFormatting sqref="AO316:AQ328">
    <cfRule type="expression" dxfId="11795" priority="3076">
      <formula>AO316&gt;AQ316+#REF!</formula>
    </cfRule>
  </conditionalFormatting>
  <conditionalFormatting sqref="AO329:AQ329">
    <cfRule type="expression" dxfId="11794" priority="3081">
      <formula>AO329&gt;AQ329*#REF!</formula>
    </cfRule>
  </conditionalFormatting>
  <conditionalFormatting sqref="AO331:AQ332">
    <cfRule type="expression" dxfId="11793" priority="3073">
      <formula>AO331&lt;AQ331*#REF!</formula>
    </cfRule>
    <cfRule type="expression" dxfId="11792" priority="3074">
      <formula>AO331&gt;AQ331*#REF!</formula>
    </cfRule>
  </conditionalFormatting>
  <conditionalFormatting sqref="AO333:AQ335">
    <cfRule type="expression" dxfId="11791" priority="3075">
      <formula>AO333&lt;AQ333-#REF!</formula>
    </cfRule>
  </conditionalFormatting>
  <conditionalFormatting sqref="AO333:AQ345">
    <cfRule type="expression" dxfId="11790" priority="3067">
      <formula>AO333&gt;AQ333+#REF!</formula>
    </cfRule>
  </conditionalFormatting>
  <conditionalFormatting sqref="AO346:AQ346">
    <cfRule type="expression" dxfId="11789" priority="3072">
      <formula>AO346&gt;AQ346*#REF!</formula>
    </cfRule>
  </conditionalFormatting>
  <conditionalFormatting sqref="AO348:AQ348 AP349 AO349:AO363 AQ349:AQ363">
    <cfRule type="expression" dxfId="11788" priority="3124">
      <formula>AO348&lt;AQ348*#REF!</formula>
    </cfRule>
    <cfRule type="expression" dxfId="11787" priority="3125">
      <formula>AO348&gt;AQ348*#REF!</formula>
    </cfRule>
  </conditionalFormatting>
  <conditionalFormatting sqref="AP350:AP352">
    <cfRule type="expression" dxfId="11786" priority="3126">
      <formula>AP350&lt;AR350-#REF!</formula>
    </cfRule>
  </conditionalFormatting>
  <conditionalFormatting sqref="AP350:AP353">
    <cfRule type="expression" dxfId="11785" priority="3122">
      <formula>AP350&gt;AR350+#REF!</formula>
    </cfRule>
  </conditionalFormatting>
  <conditionalFormatting sqref="AP356:AP357">
    <cfRule type="expression" dxfId="11784" priority="3120">
      <formula>AP356&gt;AR356+#REF!</formula>
    </cfRule>
  </conditionalFormatting>
  <conditionalFormatting sqref="AP363">
    <cfRule type="expression" dxfId="11783" priority="3123">
      <formula>AP363&gt;AR363*#REF!</formula>
    </cfRule>
  </conditionalFormatting>
  <conditionalFormatting sqref="AP14:AP15">
    <cfRule type="expression" dxfId="11782" priority="3312">
      <formula>AP14&lt;AR14-#REF!</formula>
    </cfRule>
  </conditionalFormatting>
  <conditionalFormatting sqref="AP18:AP22">
    <cfRule type="expression" dxfId="11781" priority="3311">
      <formula>AP18&lt;AR18-#REF!</formula>
    </cfRule>
  </conditionalFormatting>
  <conditionalFormatting sqref="AP31:AP32">
    <cfRule type="expression" dxfId="11780" priority="3297">
      <formula>AP31&lt;AR31-#REF!</formula>
    </cfRule>
  </conditionalFormatting>
  <conditionalFormatting sqref="AP35:AP39">
    <cfRule type="expression" dxfId="11779" priority="3296">
      <formula>AP35&lt;AR35-#REF!</formula>
    </cfRule>
  </conditionalFormatting>
  <conditionalFormatting sqref="AP48:AP49">
    <cfRule type="expression" dxfId="11778" priority="3282">
      <formula>AP48&lt;AR48-#REF!</formula>
    </cfRule>
  </conditionalFormatting>
  <conditionalFormatting sqref="AP52:AP56">
    <cfRule type="expression" dxfId="11777" priority="3281">
      <formula>AP52&lt;AR52-#REF!</formula>
    </cfRule>
  </conditionalFormatting>
  <conditionalFormatting sqref="AP65:AP66">
    <cfRule type="expression" dxfId="11776" priority="3267">
      <formula>AP65&lt;AR65-#REF!</formula>
    </cfRule>
  </conditionalFormatting>
  <conditionalFormatting sqref="AP69:AP73">
    <cfRule type="expression" dxfId="11775" priority="3266">
      <formula>AP69&lt;AR69-#REF!</formula>
    </cfRule>
  </conditionalFormatting>
  <conditionalFormatting sqref="AP82:AP83">
    <cfRule type="expression" dxfId="11774" priority="3252">
      <formula>AP82&lt;AR82-#REF!</formula>
    </cfRule>
  </conditionalFormatting>
  <conditionalFormatting sqref="AP86:AP90">
    <cfRule type="expression" dxfId="11773" priority="3251">
      <formula>AP86&lt;AR86-#REF!</formula>
    </cfRule>
  </conditionalFormatting>
  <conditionalFormatting sqref="AP99:AP100">
    <cfRule type="expression" dxfId="11772" priority="3237">
      <formula>AP99&lt;AR99-#REF!</formula>
    </cfRule>
  </conditionalFormatting>
  <conditionalFormatting sqref="AP103:AP107">
    <cfRule type="expression" dxfId="11771" priority="3236">
      <formula>AP103&lt;AR103-#REF!</formula>
    </cfRule>
  </conditionalFormatting>
  <conditionalFormatting sqref="AP116:AP117">
    <cfRule type="expression" dxfId="11770" priority="3222">
      <formula>AP116&lt;AR116-#REF!</formula>
    </cfRule>
  </conditionalFormatting>
  <conditionalFormatting sqref="AP120:AP124">
    <cfRule type="expression" dxfId="11769" priority="3221">
      <formula>AP120&lt;AR120-#REF!</formula>
    </cfRule>
  </conditionalFormatting>
  <conditionalFormatting sqref="AP167:AP168">
    <cfRule type="expression" dxfId="11768" priority="3207">
      <formula>AP167&lt;AR167-#REF!</formula>
    </cfRule>
  </conditionalFormatting>
  <conditionalFormatting sqref="AP171:AP175">
    <cfRule type="expression" dxfId="11767" priority="3206">
      <formula>AP171&lt;AR171-#REF!</formula>
    </cfRule>
  </conditionalFormatting>
  <conditionalFormatting sqref="AP184:AP185">
    <cfRule type="expression" dxfId="11766" priority="3192">
      <formula>AP184&lt;AR184-#REF!</formula>
    </cfRule>
  </conditionalFormatting>
  <conditionalFormatting sqref="AP188:AP192">
    <cfRule type="expression" dxfId="11765" priority="3191">
      <formula>AP188&lt;AR188-#REF!</formula>
    </cfRule>
  </conditionalFormatting>
  <conditionalFormatting sqref="AP201:AP202">
    <cfRule type="expression" dxfId="11764" priority="3177">
      <formula>AP201&lt;AR201-#REF!</formula>
    </cfRule>
  </conditionalFormatting>
  <conditionalFormatting sqref="AP205:AP209">
    <cfRule type="expression" dxfId="11763" priority="3176">
      <formula>AP205&lt;AR205-#REF!</formula>
    </cfRule>
  </conditionalFormatting>
  <conditionalFormatting sqref="AP218:AP219">
    <cfRule type="expression" dxfId="11762" priority="3162">
      <formula>AP218&lt;AR218-#REF!</formula>
    </cfRule>
  </conditionalFormatting>
  <conditionalFormatting sqref="AP222:AP226">
    <cfRule type="expression" dxfId="11761" priority="3161">
      <formula>AP222&lt;AR222-#REF!</formula>
    </cfRule>
  </conditionalFormatting>
  <conditionalFormatting sqref="AP235:AP236">
    <cfRule type="expression" dxfId="11760" priority="3147">
      <formula>AP235&lt;AR235-#REF!</formula>
    </cfRule>
  </conditionalFormatting>
  <conditionalFormatting sqref="AP239:AP243">
    <cfRule type="expression" dxfId="11759" priority="3146">
      <formula>AP239&lt;AR239-#REF!</formula>
    </cfRule>
  </conditionalFormatting>
  <conditionalFormatting sqref="AP252:AP253">
    <cfRule type="expression" dxfId="11758" priority="3107">
      <formula>AP252&lt;AR252-#REF!</formula>
    </cfRule>
  </conditionalFormatting>
  <conditionalFormatting sqref="AP256:AP260">
    <cfRule type="expression" dxfId="11757" priority="3106">
      <formula>AP256&lt;AR256-#REF!</formula>
    </cfRule>
  </conditionalFormatting>
  <conditionalFormatting sqref="AP269:AP270">
    <cfRule type="expression" dxfId="11756" priority="3132">
      <formula>AP269&lt;AR269-#REF!</formula>
    </cfRule>
  </conditionalFormatting>
  <conditionalFormatting sqref="AP273:AP277">
    <cfRule type="expression" dxfId="11755" priority="3131">
      <formula>AP273&lt;AR273-#REF!</formula>
    </cfRule>
  </conditionalFormatting>
  <conditionalFormatting sqref="AP286:AP287">
    <cfRule type="expression" dxfId="11754" priority="3098">
      <formula>AP286&lt;AR286-#REF!</formula>
    </cfRule>
  </conditionalFormatting>
  <conditionalFormatting sqref="AP290:AP294">
    <cfRule type="expression" dxfId="11753" priority="3097">
      <formula>AP290&lt;AR290-#REF!</formula>
    </cfRule>
  </conditionalFormatting>
  <conditionalFormatting sqref="AP303:AP304">
    <cfRule type="expression" dxfId="11752" priority="3089">
      <formula>AP303&lt;AR303-#REF!</formula>
    </cfRule>
  </conditionalFormatting>
  <conditionalFormatting sqref="AP307:AP311">
    <cfRule type="expression" dxfId="11751" priority="3088">
      <formula>AP307&lt;AR307-#REF!</formula>
    </cfRule>
  </conditionalFormatting>
  <conditionalFormatting sqref="AP320:AP321">
    <cfRule type="expression" dxfId="11750" priority="3080">
      <formula>AP320&lt;AR320-#REF!</formula>
    </cfRule>
  </conditionalFormatting>
  <conditionalFormatting sqref="AP324:AP328">
    <cfRule type="expression" dxfId="11749" priority="3079">
      <formula>AP324&lt;AR324-#REF!</formula>
    </cfRule>
  </conditionalFormatting>
  <conditionalFormatting sqref="AP337:AP338">
    <cfRule type="expression" dxfId="11748" priority="3071">
      <formula>AP337&lt;AR337-#REF!</formula>
    </cfRule>
  </conditionalFormatting>
  <conditionalFormatting sqref="AP341:AP345">
    <cfRule type="expression" dxfId="11747" priority="3070">
      <formula>AP341&lt;AR341-#REF!</formula>
    </cfRule>
  </conditionalFormatting>
  <conditionalFormatting sqref="AP354:AP355">
    <cfRule type="expression" dxfId="11746" priority="3117">
      <formula>AP354&lt;AR354-#REF!</formula>
    </cfRule>
  </conditionalFormatting>
  <conditionalFormatting sqref="AP358:AP362">
    <cfRule type="expression" dxfId="11745" priority="3116">
      <formula>AP358&lt;AR358-#REF!</formula>
    </cfRule>
  </conditionalFormatting>
  <conditionalFormatting sqref="AP14:AQ15">
    <cfRule type="expression" dxfId="11744" priority="3309">
      <formula>AP14&gt;AR14+#REF!</formula>
    </cfRule>
  </conditionalFormatting>
  <conditionalFormatting sqref="AP18:AQ22">
    <cfRule type="expression" dxfId="11743" priority="3307">
      <formula>AP18&gt;AR18+#REF!</formula>
    </cfRule>
  </conditionalFormatting>
  <conditionalFormatting sqref="AP31:AQ32">
    <cfRule type="expression" dxfId="11742" priority="3294">
      <formula>AP31&gt;AR31+#REF!</formula>
    </cfRule>
  </conditionalFormatting>
  <conditionalFormatting sqref="AP35:AQ39">
    <cfRule type="expression" dxfId="11741" priority="3292">
      <formula>AP35&gt;AR35+#REF!</formula>
    </cfRule>
  </conditionalFormatting>
  <conditionalFormatting sqref="AP48:AQ49">
    <cfRule type="expression" dxfId="11740" priority="3279">
      <formula>AP48&gt;AR48+#REF!</formula>
    </cfRule>
  </conditionalFormatting>
  <conditionalFormatting sqref="AP52:AQ56">
    <cfRule type="expression" dxfId="11739" priority="3277">
      <formula>AP52&gt;AR52+#REF!</formula>
    </cfRule>
  </conditionalFormatting>
  <conditionalFormatting sqref="AP65:AQ66">
    <cfRule type="expression" dxfId="11738" priority="3264">
      <formula>AP65&gt;AR65+#REF!</formula>
    </cfRule>
  </conditionalFormatting>
  <conditionalFormatting sqref="AP69:AQ73">
    <cfRule type="expression" dxfId="11737" priority="3262">
      <formula>AP69&gt;AR69+#REF!</formula>
    </cfRule>
  </conditionalFormatting>
  <conditionalFormatting sqref="AP82:AQ83">
    <cfRule type="expression" dxfId="11736" priority="3249">
      <formula>AP82&gt;AR82+#REF!</formula>
    </cfRule>
  </conditionalFormatting>
  <conditionalFormatting sqref="AP86:AQ90">
    <cfRule type="expression" dxfId="11735" priority="3247">
      <formula>AP86&gt;AR86+#REF!</formula>
    </cfRule>
  </conditionalFormatting>
  <conditionalFormatting sqref="AP99:AQ100">
    <cfRule type="expression" dxfId="11734" priority="3234">
      <formula>AP99&gt;AR99+#REF!</formula>
    </cfRule>
  </conditionalFormatting>
  <conditionalFormatting sqref="AP103:AQ107">
    <cfRule type="expression" dxfId="11733" priority="3232">
      <formula>AP103&gt;AR103+#REF!</formula>
    </cfRule>
  </conditionalFormatting>
  <conditionalFormatting sqref="AP116:AQ117">
    <cfRule type="expression" dxfId="11732" priority="3219">
      <formula>AP116&gt;AR116+#REF!</formula>
    </cfRule>
  </conditionalFormatting>
  <conditionalFormatting sqref="AP120:AQ124">
    <cfRule type="expression" dxfId="11731" priority="3217">
      <formula>AP120&gt;AR120+#REF!</formula>
    </cfRule>
  </conditionalFormatting>
  <conditionalFormatting sqref="AP167:AQ168">
    <cfRule type="expression" dxfId="11730" priority="3204">
      <formula>AP167&gt;AR167+#REF!</formula>
    </cfRule>
  </conditionalFormatting>
  <conditionalFormatting sqref="AP171:AQ175">
    <cfRule type="expression" dxfId="11729" priority="3202">
      <formula>AP171&gt;AR171+#REF!</formula>
    </cfRule>
  </conditionalFormatting>
  <conditionalFormatting sqref="AP184:AQ185">
    <cfRule type="expression" dxfId="11728" priority="3189">
      <formula>AP184&gt;AR184+#REF!</formula>
    </cfRule>
  </conditionalFormatting>
  <conditionalFormatting sqref="AP188:AQ192">
    <cfRule type="expression" dxfId="11727" priority="3187">
      <formula>AP188&gt;AR188+#REF!</formula>
    </cfRule>
  </conditionalFormatting>
  <conditionalFormatting sqref="AP201:AQ202">
    <cfRule type="expression" dxfId="11726" priority="3174">
      <formula>AP201&gt;AR201+#REF!</formula>
    </cfRule>
  </conditionalFormatting>
  <conditionalFormatting sqref="AP205:AQ209">
    <cfRule type="expression" dxfId="11725" priority="3172">
      <formula>AP205&gt;AR205+#REF!</formula>
    </cfRule>
  </conditionalFormatting>
  <conditionalFormatting sqref="AP218:AQ219">
    <cfRule type="expression" dxfId="11724" priority="3159">
      <formula>AP218&gt;AR218+#REF!</formula>
    </cfRule>
  </conditionalFormatting>
  <conditionalFormatting sqref="AP222:AQ226">
    <cfRule type="expression" dxfId="11723" priority="3157">
      <formula>AP222&gt;AR222+#REF!</formula>
    </cfRule>
  </conditionalFormatting>
  <conditionalFormatting sqref="AP235:AQ236">
    <cfRule type="expression" dxfId="11722" priority="3144">
      <formula>AP235&gt;AR235+#REF!</formula>
    </cfRule>
  </conditionalFormatting>
  <conditionalFormatting sqref="AP239:AQ243">
    <cfRule type="expression" dxfId="11721" priority="3142">
      <formula>AP239&gt;AR239+#REF!</formula>
    </cfRule>
  </conditionalFormatting>
  <conditionalFormatting sqref="AP269:AQ270">
    <cfRule type="expression" dxfId="11720" priority="3129">
      <formula>AP269&gt;AR269+#REF!</formula>
    </cfRule>
  </conditionalFormatting>
  <conditionalFormatting sqref="AP273:AQ277">
    <cfRule type="expression" dxfId="11719" priority="3127">
      <formula>AP273&gt;AR273+#REF!</formula>
    </cfRule>
  </conditionalFormatting>
  <conditionalFormatting sqref="AP354:AP355">
    <cfRule type="expression" dxfId="11718" priority="3114">
      <formula>AP354&gt;AR354+#REF!</formula>
    </cfRule>
  </conditionalFormatting>
  <conditionalFormatting sqref="AP358:AP362">
    <cfRule type="expression" dxfId="11717" priority="3112">
      <formula>AP358&gt;AR358+#REF!</formula>
    </cfRule>
  </conditionalFormatting>
  <conditionalFormatting sqref="AQ14:AQ15">
    <cfRule type="expression" dxfId="11716" priority="3310">
      <formula>AQ14&lt;AS14-#REF!</formula>
    </cfRule>
  </conditionalFormatting>
  <conditionalFormatting sqref="AQ18:AQ19">
    <cfRule type="expression" dxfId="11715" priority="3308">
      <formula>AQ18&lt;AS18-#REF!</formula>
    </cfRule>
  </conditionalFormatting>
  <conditionalFormatting sqref="AQ31:AQ32">
    <cfRule type="expression" dxfId="11714" priority="3295">
      <formula>AQ31&lt;AS31-#REF!</formula>
    </cfRule>
  </conditionalFormatting>
  <conditionalFormatting sqref="AQ35:AQ36">
    <cfRule type="expression" dxfId="11713" priority="3293">
      <formula>AQ35&lt;AS35-#REF!</formula>
    </cfRule>
  </conditionalFormatting>
  <conditionalFormatting sqref="AQ48:AQ49">
    <cfRule type="expression" dxfId="11712" priority="3280">
      <formula>AQ48&lt;AS48-#REF!</formula>
    </cfRule>
  </conditionalFormatting>
  <conditionalFormatting sqref="AQ52:AQ53">
    <cfRule type="expression" dxfId="11711" priority="3278">
      <formula>AQ52&lt;AS52-#REF!</formula>
    </cfRule>
  </conditionalFormatting>
  <conditionalFormatting sqref="AQ65:AQ66">
    <cfRule type="expression" dxfId="11710" priority="3265">
      <formula>AQ65&lt;AS65-#REF!</formula>
    </cfRule>
  </conditionalFormatting>
  <conditionalFormatting sqref="AQ69:AQ70">
    <cfRule type="expression" dxfId="11709" priority="3263">
      <formula>AQ69&lt;AS69-#REF!</formula>
    </cfRule>
  </conditionalFormatting>
  <conditionalFormatting sqref="AQ82:AQ83">
    <cfRule type="expression" dxfId="11708" priority="3250">
      <formula>AQ82&lt;AS82-#REF!</formula>
    </cfRule>
  </conditionalFormatting>
  <conditionalFormatting sqref="AQ86:AQ87">
    <cfRule type="expression" dxfId="11707" priority="3248">
      <formula>AQ86&lt;AS86-#REF!</formula>
    </cfRule>
  </conditionalFormatting>
  <conditionalFormatting sqref="AQ99:AQ100">
    <cfRule type="expression" dxfId="11706" priority="3235">
      <formula>AQ99&lt;AS99-#REF!</formula>
    </cfRule>
  </conditionalFormatting>
  <conditionalFormatting sqref="AQ103:AQ104">
    <cfRule type="expression" dxfId="11705" priority="3233">
      <formula>AQ103&lt;AS103-#REF!</formula>
    </cfRule>
  </conditionalFormatting>
  <conditionalFormatting sqref="AQ116:AQ117">
    <cfRule type="expression" dxfId="11704" priority="3220">
      <formula>AQ116&lt;AS116-#REF!</formula>
    </cfRule>
  </conditionalFormatting>
  <conditionalFormatting sqref="AQ120:AQ121">
    <cfRule type="expression" dxfId="11703" priority="3218">
      <formula>AQ120&lt;AS120-#REF!</formula>
    </cfRule>
  </conditionalFormatting>
  <conditionalFormatting sqref="AQ167:AQ168">
    <cfRule type="expression" dxfId="11702" priority="3205">
      <formula>AQ167&lt;AS167-#REF!</formula>
    </cfRule>
  </conditionalFormatting>
  <conditionalFormatting sqref="AQ171:AQ172">
    <cfRule type="expression" dxfId="11701" priority="3203">
      <formula>AQ171&lt;AS171-#REF!</formula>
    </cfRule>
  </conditionalFormatting>
  <conditionalFormatting sqref="AQ184:AQ185">
    <cfRule type="expression" dxfId="11700" priority="3190">
      <formula>AQ184&lt;AS184-#REF!</formula>
    </cfRule>
  </conditionalFormatting>
  <conditionalFormatting sqref="AQ188:AQ189">
    <cfRule type="expression" dxfId="11699" priority="3188">
      <formula>AQ188&lt;AS188-#REF!</formula>
    </cfRule>
  </conditionalFormatting>
  <conditionalFormatting sqref="AQ201:AQ202">
    <cfRule type="expression" dxfId="11698" priority="3175">
      <formula>AQ201&lt;AS201-#REF!</formula>
    </cfRule>
  </conditionalFormatting>
  <conditionalFormatting sqref="AQ205:AQ206">
    <cfRule type="expression" dxfId="11697" priority="3173">
      <formula>AQ205&lt;AS205-#REF!</formula>
    </cfRule>
  </conditionalFormatting>
  <conditionalFormatting sqref="AQ218:AQ219">
    <cfRule type="expression" dxfId="11696" priority="3160">
      <formula>AQ218&lt;AS218-#REF!</formula>
    </cfRule>
  </conditionalFormatting>
  <conditionalFormatting sqref="AQ222:AQ223">
    <cfRule type="expression" dxfId="11695" priority="3158">
      <formula>AQ222&lt;AS222-#REF!</formula>
    </cfRule>
  </conditionalFormatting>
  <conditionalFormatting sqref="AQ235:AQ236">
    <cfRule type="expression" dxfId="11694" priority="3145">
      <formula>AQ235&lt;AS235-#REF!</formula>
    </cfRule>
  </conditionalFormatting>
  <conditionalFormatting sqref="AQ239:AQ240">
    <cfRule type="expression" dxfId="11693" priority="3143">
      <formula>AQ239&lt;AS239-#REF!</formula>
    </cfRule>
  </conditionalFormatting>
  <conditionalFormatting sqref="AQ252:AQ253">
    <cfRule type="expression" dxfId="11692" priority="3105">
      <formula>AQ252&lt;AS252-#REF!</formula>
    </cfRule>
  </conditionalFormatting>
  <conditionalFormatting sqref="AQ256:AQ257">
    <cfRule type="expression" dxfId="11691" priority="3104">
      <formula>AQ256&lt;AS256-#REF!</formula>
    </cfRule>
  </conditionalFormatting>
  <conditionalFormatting sqref="AQ269:AQ270">
    <cfRule type="expression" dxfId="11690" priority="3130">
      <formula>AQ269&lt;AS269-#REF!</formula>
    </cfRule>
  </conditionalFormatting>
  <conditionalFormatting sqref="AQ273:AQ274">
    <cfRule type="expression" dxfId="11689" priority="3128">
      <formula>AQ273&lt;AS273-#REF!</formula>
    </cfRule>
  </conditionalFormatting>
  <conditionalFormatting sqref="AQ286:AQ287">
    <cfRule type="expression" dxfId="11688" priority="3096">
      <formula>AQ286&lt;AS286-#REF!</formula>
    </cfRule>
  </conditionalFormatting>
  <conditionalFormatting sqref="AQ290:AQ291">
    <cfRule type="expression" dxfId="11687" priority="3095">
      <formula>AQ290&lt;AS290-#REF!</formula>
    </cfRule>
  </conditionalFormatting>
  <conditionalFormatting sqref="AQ303:AQ304">
    <cfRule type="expression" dxfId="11686" priority="3087">
      <formula>AQ303&lt;AS303-#REF!</formula>
    </cfRule>
  </conditionalFormatting>
  <conditionalFormatting sqref="AQ307:AQ308">
    <cfRule type="expression" dxfId="11685" priority="3086">
      <formula>AQ307&lt;AS307-#REF!</formula>
    </cfRule>
  </conditionalFormatting>
  <conditionalFormatting sqref="AQ320:AQ321">
    <cfRule type="expression" dxfId="11684" priority="3078">
      <formula>AQ320&lt;AS320-#REF!</formula>
    </cfRule>
  </conditionalFormatting>
  <conditionalFormatting sqref="AQ324:AQ325">
    <cfRule type="expression" dxfId="11683" priority="3077">
      <formula>AQ324&lt;AS324-#REF!</formula>
    </cfRule>
  </conditionalFormatting>
  <conditionalFormatting sqref="AQ337:AQ338">
    <cfRule type="expression" dxfId="11682" priority="3069">
      <formula>AQ337&lt;AS337-#REF!</formula>
    </cfRule>
  </conditionalFormatting>
  <conditionalFormatting sqref="AQ341:AQ342">
    <cfRule type="expression" dxfId="11681" priority="3068">
      <formula>AQ341&lt;AS341-#REF!</formula>
    </cfRule>
  </conditionalFormatting>
  <conditionalFormatting sqref="AS14:AS15">
    <cfRule type="expression" dxfId="11680" priority="1141">
      <formula>AS14&gt;AU14+#REF!</formula>
    </cfRule>
  </conditionalFormatting>
  <conditionalFormatting sqref="AS18:AS19">
    <cfRule type="expression" dxfId="11679" priority="1139">
      <formula>AS18&gt;AU18+#REF!</formula>
    </cfRule>
  </conditionalFormatting>
  <conditionalFormatting sqref="AS20:AS22">
    <cfRule type="expression" dxfId="11678" priority="1138">
      <formula>AS20&gt;AU20+#REF!</formula>
    </cfRule>
  </conditionalFormatting>
  <conditionalFormatting sqref="AS31:AS32">
    <cfRule type="expression" dxfId="11677" priority="886">
      <formula>AS31&gt;AU31+#REF!</formula>
    </cfRule>
  </conditionalFormatting>
  <conditionalFormatting sqref="AS35:AS36">
    <cfRule type="expression" dxfId="11676" priority="884">
      <formula>AS35&gt;AU35+#REF!</formula>
    </cfRule>
  </conditionalFormatting>
  <conditionalFormatting sqref="AS37:AS39">
    <cfRule type="expression" dxfId="11675" priority="883">
      <formula>AS37&gt;AU37+#REF!</formula>
    </cfRule>
  </conditionalFormatting>
  <conditionalFormatting sqref="AS48:AS49">
    <cfRule type="expression" dxfId="11674" priority="871">
      <formula>AS48&gt;AU48+#REF!</formula>
    </cfRule>
  </conditionalFormatting>
  <conditionalFormatting sqref="AS52:AS53">
    <cfRule type="expression" dxfId="11673" priority="869">
      <formula>AS52&gt;AU52+#REF!</formula>
    </cfRule>
  </conditionalFormatting>
  <conditionalFormatting sqref="AS54:AS56">
    <cfRule type="expression" dxfId="11672" priority="868">
      <formula>AS54&gt;AU54+#REF!</formula>
    </cfRule>
  </conditionalFormatting>
  <conditionalFormatting sqref="AS65:AS66">
    <cfRule type="expression" dxfId="11671" priority="856">
      <formula>AS65&gt;AU65+#REF!</formula>
    </cfRule>
  </conditionalFormatting>
  <conditionalFormatting sqref="AS69:AS70">
    <cfRule type="expression" dxfId="11670" priority="854">
      <formula>AS69&gt;AU69+#REF!</formula>
    </cfRule>
  </conditionalFormatting>
  <conditionalFormatting sqref="AS71:AS73">
    <cfRule type="expression" dxfId="11669" priority="853">
      <formula>AS71&gt;AU71+#REF!</formula>
    </cfRule>
  </conditionalFormatting>
  <conditionalFormatting sqref="AS82:AS83">
    <cfRule type="expression" dxfId="11668" priority="839">
      <formula>AS82&gt;AU82+#REF!</formula>
    </cfRule>
  </conditionalFormatting>
  <conditionalFormatting sqref="AS86:AS87">
    <cfRule type="expression" dxfId="11667" priority="837">
      <formula>AS86&gt;AU86+#REF!</formula>
    </cfRule>
  </conditionalFormatting>
  <conditionalFormatting sqref="AS88:AS90">
    <cfRule type="expression" dxfId="11666" priority="836">
      <formula>AS88&gt;AU88+#REF!</formula>
    </cfRule>
  </conditionalFormatting>
  <conditionalFormatting sqref="AS99:AS100">
    <cfRule type="expression" dxfId="11665" priority="824">
      <formula>AS99&gt;AU99+#REF!</formula>
    </cfRule>
  </conditionalFormatting>
  <conditionalFormatting sqref="AS103:AS104">
    <cfRule type="expression" dxfId="11664" priority="822">
      <formula>AS103&gt;AU103+#REF!</formula>
    </cfRule>
  </conditionalFormatting>
  <conditionalFormatting sqref="AS105:AS107">
    <cfRule type="expression" dxfId="11663" priority="821">
      <formula>AS105&gt;AU105+#REF!</formula>
    </cfRule>
  </conditionalFormatting>
  <conditionalFormatting sqref="AS116:AS117">
    <cfRule type="expression" dxfId="11662" priority="809">
      <formula>AS116&gt;AU116+#REF!</formula>
    </cfRule>
  </conditionalFormatting>
  <conditionalFormatting sqref="AS120:AS121">
    <cfRule type="expression" dxfId="11661" priority="807">
      <formula>AS120&gt;AU120+#REF!</formula>
    </cfRule>
  </conditionalFormatting>
  <conditionalFormatting sqref="AS122:AS124">
    <cfRule type="expression" dxfId="11660" priority="806">
      <formula>AS122&gt;AU122+#REF!</formula>
    </cfRule>
  </conditionalFormatting>
  <conditionalFormatting sqref="AS167:AS168">
    <cfRule type="expression" dxfId="11659" priority="794">
      <formula>AS167&gt;AU167+#REF!</formula>
    </cfRule>
  </conditionalFormatting>
  <conditionalFormatting sqref="AS171:AS172">
    <cfRule type="expression" dxfId="11658" priority="792">
      <formula>AS171&gt;AU171+#REF!</formula>
    </cfRule>
  </conditionalFormatting>
  <conditionalFormatting sqref="AS173:AS175">
    <cfRule type="expression" dxfId="11657" priority="791">
      <formula>AS173&gt;AU173+#REF!</formula>
    </cfRule>
  </conditionalFormatting>
  <conditionalFormatting sqref="AS184:AS185">
    <cfRule type="expression" dxfId="11656" priority="779">
      <formula>AS184&gt;AU184+#REF!</formula>
    </cfRule>
  </conditionalFormatting>
  <conditionalFormatting sqref="AS188:AS189">
    <cfRule type="expression" dxfId="11655" priority="777">
      <formula>AS188&gt;AU188+#REF!</formula>
    </cfRule>
  </conditionalFormatting>
  <conditionalFormatting sqref="AS190:AS192">
    <cfRule type="expression" dxfId="11654" priority="776">
      <formula>AS190&gt;AU190+#REF!</formula>
    </cfRule>
  </conditionalFormatting>
  <conditionalFormatting sqref="AS201:AS202">
    <cfRule type="expression" dxfId="11653" priority="764">
      <formula>AS201&gt;AU201+#REF!</formula>
    </cfRule>
  </conditionalFormatting>
  <conditionalFormatting sqref="AS205:AS206">
    <cfRule type="expression" dxfId="11652" priority="762">
      <formula>AS205&gt;AU205+#REF!</formula>
    </cfRule>
  </conditionalFormatting>
  <conditionalFormatting sqref="AS207:AS209">
    <cfRule type="expression" dxfId="11651" priority="761">
      <formula>AS207&gt;AU207+#REF!</formula>
    </cfRule>
  </conditionalFormatting>
  <conditionalFormatting sqref="AS218:AS219">
    <cfRule type="expression" dxfId="11650" priority="749">
      <formula>AS218&gt;AU218+#REF!</formula>
    </cfRule>
  </conditionalFormatting>
  <conditionalFormatting sqref="AS222:AS223">
    <cfRule type="expression" dxfId="11649" priority="747">
      <formula>AS222&gt;AU222+#REF!</formula>
    </cfRule>
  </conditionalFormatting>
  <conditionalFormatting sqref="AS224:AS226">
    <cfRule type="expression" dxfId="11648" priority="746">
      <formula>AS224&gt;AU224+#REF!</formula>
    </cfRule>
  </conditionalFormatting>
  <conditionalFormatting sqref="AS235:AS236">
    <cfRule type="expression" dxfId="11647" priority="734">
      <formula>AS235&gt;AU235+#REF!</formula>
    </cfRule>
  </conditionalFormatting>
  <conditionalFormatting sqref="AS239:AS240">
    <cfRule type="expression" dxfId="11646" priority="732">
      <formula>AS239&gt;AU239+#REF!</formula>
    </cfRule>
  </conditionalFormatting>
  <conditionalFormatting sqref="AS241:AS243">
    <cfRule type="expression" dxfId="11645" priority="731">
      <formula>AS241&gt;AU241+#REF!</formula>
    </cfRule>
  </conditionalFormatting>
  <conditionalFormatting sqref="AS269:AS270">
    <cfRule type="expression" dxfId="11644" priority="701">
      <formula>AS269&gt;AU269+#REF!</formula>
    </cfRule>
  </conditionalFormatting>
  <conditionalFormatting sqref="AS273:AS274">
    <cfRule type="expression" dxfId="11643" priority="699">
      <formula>AS273&gt;AU273+#REF!</formula>
    </cfRule>
  </conditionalFormatting>
  <conditionalFormatting sqref="AS275:AS277">
    <cfRule type="expression" dxfId="11642" priority="698">
      <formula>AS275&gt;AU275+#REF!</formula>
    </cfRule>
  </conditionalFormatting>
  <conditionalFormatting sqref="AS354:AS355">
    <cfRule type="expression" dxfId="11641" priority="686">
      <formula>AS354&gt;AU354+#REF!</formula>
    </cfRule>
  </conditionalFormatting>
  <conditionalFormatting sqref="AS358:AS359">
    <cfRule type="expression" dxfId="11640" priority="684">
      <formula>AS358&gt;AU358+#REF!</formula>
    </cfRule>
  </conditionalFormatting>
  <conditionalFormatting sqref="AS360:AS362">
    <cfRule type="expression" dxfId="11639" priority="683">
      <formula>AS360&gt;AU360+#REF!</formula>
    </cfRule>
  </conditionalFormatting>
  <conditionalFormatting sqref="AS8:AU9">
    <cfRule type="expression" dxfId="11638" priority="1144">
      <formula>AS8&lt;AU8*#REF!</formula>
    </cfRule>
    <cfRule type="expression" dxfId="11637" priority="1145">
      <formula>AS8&gt;AU8*#REF!</formula>
    </cfRule>
  </conditionalFormatting>
  <conditionalFormatting sqref="AS10:AU12">
    <cfRule type="expression" dxfId="11636" priority="1146">
      <formula>AS10&lt;AU10-#REF!</formula>
    </cfRule>
  </conditionalFormatting>
  <conditionalFormatting sqref="AS10:AU13">
    <cfRule type="expression" dxfId="11635" priority="1142">
      <formula>AS10&gt;AU10+#REF!</formula>
    </cfRule>
  </conditionalFormatting>
  <conditionalFormatting sqref="AS16:AU17">
    <cfRule type="expression" dxfId="11634" priority="1140">
      <formula>AS16&gt;AU16+#REF!</formula>
    </cfRule>
  </conditionalFormatting>
  <conditionalFormatting sqref="AS23:AU23">
    <cfRule type="expression" dxfId="11633" priority="1143">
      <formula>AS23&gt;AU23*#REF!</formula>
    </cfRule>
  </conditionalFormatting>
  <conditionalFormatting sqref="AS25:AU26">
    <cfRule type="expression" dxfId="11632" priority="889">
      <formula>AS25&lt;AU25*#REF!</formula>
    </cfRule>
    <cfRule type="expression" dxfId="11631" priority="890">
      <formula>AS25&gt;AU25*#REF!</formula>
    </cfRule>
  </conditionalFormatting>
  <conditionalFormatting sqref="AS27:AU29">
    <cfRule type="expression" dxfId="11630" priority="891">
      <formula>AS27&lt;AU27-#REF!</formula>
    </cfRule>
  </conditionalFormatting>
  <conditionalFormatting sqref="AS27:AU30">
    <cfRule type="expression" dxfId="11629" priority="887">
      <formula>AS27&gt;AU27+#REF!</formula>
    </cfRule>
  </conditionalFormatting>
  <conditionalFormatting sqref="AS33:AU34">
    <cfRule type="expression" dxfId="11628" priority="885">
      <formula>AS33&gt;AU33+#REF!</formula>
    </cfRule>
  </conditionalFormatting>
  <conditionalFormatting sqref="AS40:AU40">
    <cfRule type="expression" dxfId="11627" priority="888">
      <formula>AS40&gt;AU40*#REF!</formula>
    </cfRule>
  </conditionalFormatting>
  <conditionalFormatting sqref="AS42:AU43">
    <cfRule type="expression" dxfId="11626" priority="874">
      <formula>AS42&lt;AU42*#REF!</formula>
    </cfRule>
    <cfRule type="expression" dxfId="11625" priority="875">
      <formula>AS42&gt;AU42*#REF!</formula>
    </cfRule>
  </conditionalFormatting>
  <conditionalFormatting sqref="AS44:AU46">
    <cfRule type="expression" dxfId="11624" priority="876">
      <formula>AS44&lt;AU44-#REF!</formula>
    </cfRule>
  </conditionalFormatting>
  <conditionalFormatting sqref="AS44:AU47">
    <cfRule type="expression" dxfId="11623" priority="872">
      <formula>AS44&gt;AU44+#REF!</formula>
    </cfRule>
  </conditionalFormatting>
  <conditionalFormatting sqref="AS50:AU51">
    <cfRule type="expression" dxfId="11622" priority="870">
      <formula>AS50&gt;AU50+#REF!</formula>
    </cfRule>
  </conditionalFormatting>
  <conditionalFormatting sqref="AS57:AU57">
    <cfRule type="expression" dxfId="11621" priority="873">
      <formula>AS57&gt;AU57*#REF!</formula>
    </cfRule>
  </conditionalFormatting>
  <conditionalFormatting sqref="AS59:AU60">
    <cfRule type="expression" dxfId="11620" priority="859">
      <formula>AS59&lt;AU59*#REF!</formula>
    </cfRule>
    <cfRule type="expression" dxfId="11619" priority="860">
      <formula>AS59&gt;AU59*#REF!</formula>
    </cfRule>
  </conditionalFormatting>
  <conditionalFormatting sqref="AS61:AU63">
    <cfRule type="expression" dxfId="11618" priority="861">
      <formula>AS61&lt;AU61-#REF!</formula>
    </cfRule>
  </conditionalFormatting>
  <conditionalFormatting sqref="AS61:AU64">
    <cfRule type="expression" dxfId="11617" priority="857">
      <formula>AS61&gt;AU61+#REF!</formula>
    </cfRule>
  </conditionalFormatting>
  <conditionalFormatting sqref="AS67:AU68">
    <cfRule type="expression" dxfId="11616" priority="855">
      <formula>AS67&gt;AU67+#REF!</formula>
    </cfRule>
  </conditionalFormatting>
  <conditionalFormatting sqref="AS74:AU74">
    <cfRule type="expression" dxfId="11615" priority="858">
      <formula>AS74&gt;AU74*#REF!</formula>
    </cfRule>
  </conditionalFormatting>
  <conditionalFormatting sqref="AS76:AU77">
    <cfRule type="expression" dxfId="11614" priority="842">
      <formula>AS76&lt;AU76*#REF!</formula>
    </cfRule>
    <cfRule type="expression" dxfId="11613" priority="843">
      <formula>AS76&gt;AU76*#REF!</formula>
    </cfRule>
  </conditionalFormatting>
  <conditionalFormatting sqref="AS78:AU80">
    <cfRule type="expression" dxfId="11612" priority="844">
      <formula>AS78&lt;AU78-#REF!</formula>
    </cfRule>
  </conditionalFormatting>
  <conditionalFormatting sqref="AS78:AU81">
    <cfRule type="expression" dxfId="11611" priority="840">
      <formula>AS78&gt;AU78+#REF!</formula>
    </cfRule>
  </conditionalFormatting>
  <conditionalFormatting sqref="AS84:AU85">
    <cfRule type="expression" dxfId="11610" priority="838">
      <formula>AS84&gt;AU84+#REF!</formula>
    </cfRule>
  </conditionalFormatting>
  <conditionalFormatting sqref="AS91:AU91">
    <cfRule type="expression" dxfId="11609" priority="841">
      <formula>AS91&gt;AU91*#REF!</formula>
    </cfRule>
  </conditionalFormatting>
  <conditionalFormatting sqref="AS93:AU94">
    <cfRule type="expression" dxfId="11608" priority="827">
      <formula>AS93&lt;AU93*#REF!</formula>
    </cfRule>
    <cfRule type="expression" dxfId="11607" priority="828">
      <formula>AS93&gt;AU93*#REF!</formula>
    </cfRule>
  </conditionalFormatting>
  <conditionalFormatting sqref="AS95:AU97">
    <cfRule type="expression" dxfId="11606" priority="829">
      <formula>AS95&lt;AU95-#REF!</formula>
    </cfRule>
  </conditionalFormatting>
  <conditionalFormatting sqref="AS95:AU98">
    <cfRule type="expression" dxfId="11605" priority="825">
      <formula>AS95&gt;AU95+#REF!</formula>
    </cfRule>
  </conditionalFormatting>
  <conditionalFormatting sqref="AS101:AU102">
    <cfRule type="expression" dxfId="11604" priority="823">
      <formula>AS101&gt;AU101+#REF!</formula>
    </cfRule>
  </conditionalFormatting>
  <conditionalFormatting sqref="AS108:AU108">
    <cfRule type="expression" dxfId="11603" priority="826">
      <formula>AS108&gt;AU108*#REF!</formula>
    </cfRule>
  </conditionalFormatting>
  <conditionalFormatting sqref="AS110:AU111">
    <cfRule type="expression" dxfId="11602" priority="812">
      <formula>AS110&lt;AU110*#REF!</formula>
    </cfRule>
    <cfRule type="expression" dxfId="11601" priority="813">
      <formula>AS110&gt;AU110*#REF!</formula>
    </cfRule>
  </conditionalFormatting>
  <conditionalFormatting sqref="AS112:AU114">
    <cfRule type="expression" dxfId="11600" priority="814">
      <formula>AS112&lt;AU112-#REF!</formula>
    </cfRule>
  </conditionalFormatting>
  <conditionalFormatting sqref="AS112:AU115">
    <cfRule type="expression" dxfId="11599" priority="810">
      <formula>AS112&gt;AU112+#REF!</formula>
    </cfRule>
  </conditionalFormatting>
  <conditionalFormatting sqref="AS118:AU119">
    <cfRule type="expression" dxfId="11598" priority="808">
      <formula>AS118&gt;AU118+#REF!</formula>
    </cfRule>
  </conditionalFormatting>
  <conditionalFormatting sqref="AS125:AU125">
    <cfRule type="expression" dxfId="11597" priority="811">
      <formula>AS125&gt;AU125*#REF!</formula>
    </cfRule>
  </conditionalFormatting>
  <conditionalFormatting sqref="AS161:AU162">
    <cfRule type="expression" dxfId="11596" priority="797">
      <formula>AS161&lt;AU161*#REF!</formula>
    </cfRule>
    <cfRule type="expression" dxfId="11595" priority="798">
      <formula>AS161&gt;AU161*#REF!</formula>
    </cfRule>
  </conditionalFormatting>
  <conditionalFormatting sqref="AS163:AU165">
    <cfRule type="expression" dxfId="11594" priority="799">
      <formula>AS163&lt;AU163-#REF!</formula>
    </cfRule>
  </conditionalFormatting>
  <conditionalFormatting sqref="AS163:AU166">
    <cfRule type="expression" dxfId="11593" priority="795">
      <formula>AS163&gt;AU163+#REF!</formula>
    </cfRule>
  </conditionalFormatting>
  <conditionalFormatting sqref="AS169:AU170">
    <cfRule type="expression" dxfId="11592" priority="793">
      <formula>AS169&gt;AU169+#REF!</formula>
    </cfRule>
  </conditionalFormatting>
  <conditionalFormatting sqref="AS176:AU176">
    <cfRule type="expression" dxfId="11591" priority="796">
      <formula>AS176&gt;AU176*#REF!</formula>
    </cfRule>
  </conditionalFormatting>
  <conditionalFormatting sqref="AS178:AU179">
    <cfRule type="expression" dxfId="11590" priority="782">
      <formula>AS178&lt;AU178*#REF!</formula>
    </cfRule>
    <cfRule type="expression" dxfId="11589" priority="783">
      <formula>AS178&gt;AU178*#REF!</formula>
    </cfRule>
  </conditionalFormatting>
  <conditionalFormatting sqref="AS180:AU182">
    <cfRule type="expression" dxfId="11588" priority="784">
      <formula>AS180&lt;AU180-#REF!</formula>
    </cfRule>
  </conditionalFormatting>
  <conditionalFormatting sqref="AS180:AU183">
    <cfRule type="expression" dxfId="11587" priority="780">
      <formula>AS180&gt;AU180+#REF!</formula>
    </cfRule>
  </conditionalFormatting>
  <conditionalFormatting sqref="AS186:AU187">
    <cfRule type="expression" dxfId="11586" priority="778">
      <formula>AS186&gt;AU186+#REF!</formula>
    </cfRule>
  </conditionalFormatting>
  <conditionalFormatting sqref="AS193:AU193">
    <cfRule type="expression" dxfId="11585" priority="781">
      <formula>AS193&gt;AU193*#REF!</formula>
    </cfRule>
  </conditionalFormatting>
  <conditionalFormatting sqref="AS195:AU196">
    <cfRule type="expression" dxfId="11584" priority="767">
      <formula>AS195&lt;AU195*#REF!</formula>
    </cfRule>
    <cfRule type="expression" dxfId="11583" priority="768">
      <formula>AS195&gt;AU195*#REF!</formula>
    </cfRule>
  </conditionalFormatting>
  <conditionalFormatting sqref="AS197:AU199">
    <cfRule type="expression" dxfId="11582" priority="769">
      <formula>AS197&lt;AU197-#REF!</formula>
    </cfRule>
  </conditionalFormatting>
  <conditionalFormatting sqref="AS197:AU200">
    <cfRule type="expression" dxfId="11581" priority="765">
      <formula>AS197&gt;AU197+#REF!</formula>
    </cfRule>
  </conditionalFormatting>
  <conditionalFormatting sqref="AS203:AU204">
    <cfRule type="expression" dxfId="11580" priority="763">
      <formula>AS203&gt;AU203+#REF!</formula>
    </cfRule>
  </conditionalFormatting>
  <conditionalFormatting sqref="AS210:AU210">
    <cfRule type="expression" dxfId="11579" priority="766">
      <formula>AS210&gt;AU210*#REF!</formula>
    </cfRule>
  </conditionalFormatting>
  <conditionalFormatting sqref="AS212:AU213">
    <cfRule type="expression" dxfId="11578" priority="752">
      <formula>AS212&lt;AU212*#REF!</formula>
    </cfRule>
    <cfRule type="expression" dxfId="11577" priority="753">
      <formula>AS212&gt;AU212*#REF!</formula>
    </cfRule>
  </conditionalFormatting>
  <conditionalFormatting sqref="AS214:AU216">
    <cfRule type="expression" dxfId="11576" priority="754">
      <formula>AS214&lt;AU214-#REF!</formula>
    </cfRule>
  </conditionalFormatting>
  <conditionalFormatting sqref="AS214:AU217">
    <cfRule type="expression" dxfId="11575" priority="750">
      <formula>AS214&gt;AU214+#REF!</formula>
    </cfRule>
  </conditionalFormatting>
  <conditionalFormatting sqref="AS220:AU221">
    <cfRule type="expression" dxfId="11574" priority="748">
      <formula>AS220&gt;AU220+#REF!</formula>
    </cfRule>
  </conditionalFormatting>
  <conditionalFormatting sqref="AS227:AU227">
    <cfRule type="expression" dxfId="11573" priority="751">
      <formula>AS227&gt;AU227*#REF!</formula>
    </cfRule>
  </conditionalFormatting>
  <conditionalFormatting sqref="AS229:AU230">
    <cfRule type="expression" dxfId="11572" priority="737">
      <formula>AS229&lt;AU229*#REF!</formula>
    </cfRule>
    <cfRule type="expression" dxfId="11571" priority="738">
      <formula>AS229&gt;AU229*#REF!</formula>
    </cfRule>
  </conditionalFormatting>
  <conditionalFormatting sqref="AS231:AU233">
    <cfRule type="expression" dxfId="11570" priority="739">
      <formula>AS231&lt;AU231-#REF!</formula>
    </cfRule>
  </conditionalFormatting>
  <conditionalFormatting sqref="AS231:AU234">
    <cfRule type="expression" dxfId="11569" priority="735">
      <formula>AS231&gt;AU231+#REF!</formula>
    </cfRule>
  </conditionalFormatting>
  <conditionalFormatting sqref="AS237:AU238">
    <cfRule type="expression" dxfId="11568" priority="733">
      <formula>AS237&gt;AU237+#REF!</formula>
    </cfRule>
  </conditionalFormatting>
  <conditionalFormatting sqref="AS244:AU244">
    <cfRule type="expression" dxfId="11567" priority="736">
      <formula>AS244&gt;AU244*#REF!</formula>
    </cfRule>
  </conditionalFormatting>
  <conditionalFormatting sqref="AS246:AU247">
    <cfRule type="expression" dxfId="11566" priority="934">
      <formula>AS246&lt;AU246*#REF!</formula>
    </cfRule>
    <cfRule type="expression" dxfId="11565" priority="935">
      <formula>AS246&gt;AU246*#REF!</formula>
    </cfRule>
  </conditionalFormatting>
  <conditionalFormatting sqref="AS248:AU250">
    <cfRule type="expression" dxfId="11564" priority="936">
      <formula>AS248&lt;AU248-#REF!</formula>
    </cfRule>
  </conditionalFormatting>
  <conditionalFormatting sqref="AS248:AU260">
    <cfRule type="expression" dxfId="11563" priority="928">
      <formula>AS248&gt;AU248+#REF!</formula>
    </cfRule>
  </conditionalFormatting>
  <conditionalFormatting sqref="AS261:AU261">
    <cfRule type="expression" dxfId="11562" priority="933">
      <formula>AS261&gt;AU261*#REF!</formula>
    </cfRule>
  </conditionalFormatting>
  <conditionalFormatting sqref="AS263:AU264">
    <cfRule type="expression" dxfId="11561" priority="704">
      <formula>AS263&lt;AU263*#REF!</formula>
    </cfRule>
    <cfRule type="expression" dxfId="11560" priority="705">
      <formula>AS263&gt;AU263*#REF!</formula>
    </cfRule>
  </conditionalFormatting>
  <conditionalFormatting sqref="AS265:AU267">
    <cfRule type="expression" dxfId="11559" priority="706">
      <formula>AS265&lt;AU265-#REF!</formula>
    </cfRule>
  </conditionalFormatting>
  <conditionalFormatting sqref="AS265:AU268">
    <cfRule type="expression" dxfId="11558" priority="702">
      <formula>AS265&gt;AU265+#REF!</formula>
    </cfRule>
  </conditionalFormatting>
  <conditionalFormatting sqref="AS271:AU272">
    <cfRule type="expression" dxfId="11557" priority="700">
      <formula>AS271&gt;AU271+#REF!</formula>
    </cfRule>
  </conditionalFormatting>
  <conditionalFormatting sqref="AS278:AU278">
    <cfRule type="expression" dxfId="11556" priority="703">
      <formula>AS278&gt;AU278*#REF!</formula>
    </cfRule>
  </conditionalFormatting>
  <conditionalFormatting sqref="AS280:AU281">
    <cfRule type="expression" dxfId="11555" priority="925">
      <formula>AS280&lt;AU280*#REF!</formula>
    </cfRule>
    <cfRule type="expression" dxfId="11554" priority="926">
      <formula>AS280&gt;AU280*#REF!</formula>
    </cfRule>
  </conditionalFormatting>
  <conditionalFormatting sqref="AS282:AU284">
    <cfRule type="expression" dxfId="11553" priority="927">
      <formula>AS282&lt;AU282-#REF!</formula>
    </cfRule>
  </conditionalFormatting>
  <conditionalFormatting sqref="AS282:AU294">
    <cfRule type="expression" dxfId="11552" priority="919">
      <formula>AS282&gt;AU282+#REF!</formula>
    </cfRule>
  </conditionalFormatting>
  <conditionalFormatting sqref="AS295:AU295">
    <cfRule type="expression" dxfId="11551" priority="924">
      <formula>AS295&gt;AU295*#REF!</formula>
    </cfRule>
  </conditionalFormatting>
  <conditionalFormatting sqref="AS297:AU298">
    <cfRule type="expression" dxfId="11550" priority="722">
      <formula>AS297&lt;AU297*#REF!</formula>
    </cfRule>
    <cfRule type="expression" dxfId="11549" priority="723">
      <formula>AS297&gt;AU297*#REF!</formula>
    </cfRule>
  </conditionalFormatting>
  <conditionalFormatting sqref="AS299:AU301">
    <cfRule type="expression" dxfId="11548" priority="724">
      <formula>AS299&lt;AU299-#REF!</formula>
    </cfRule>
  </conditionalFormatting>
  <conditionalFormatting sqref="AS299:AU311">
    <cfRule type="expression" dxfId="11547" priority="716">
      <formula>AS299&gt;AU299+#REF!</formula>
    </cfRule>
  </conditionalFormatting>
  <conditionalFormatting sqref="AS312:AU312">
    <cfRule type="expression" dxfId="11546" priority="721">
      <formula>AS312&gt;AU312*#REF!</formula>
    </cfRule>
  </conditionalFormatting>
  <conditionalFormatting sqref="AS314:AU315">
    <cfRule type="expression" dxfId="11545" priority="713">
      <formula>AS314&lt;AU314*#REF!</formula>
    </cfRule>
    <cfRule type="expression" dxfId="11544" priority="714">
      <formula>AS314&gt;AU314*#REF!</formula>
    </cfRule>
  </conditionalFormatting>
  <conditionalFormatting sqref="AS316:AU318">
    <cfRule type="expression" dxfId="11543" priority="715">
      <formula>AS316&lt;AU316-#REF!</formula>
    </cfRule>
  </conditionalFormatting>
  <conditionalFormatting sqref="AS316:AU328">
    <cfRule type="expression" dxfId="11542" priority="707">
      <formula>AS316&gt;AU316+#REF!</formula>
    </cfRule>
  </conditionalFormatting>
  <conditionalFormatting sqref="AS329:AU329">
    <cfRule type="expression" dxfId="11541" priority="712">
      <formula>AS329&gt;AU329*#REF!</formula>
    </cfRule>
  </conditionalFormatting>
  <conditionalFormatting sqref="AS331:AU332">
    <cfRule type="expression" dxfId="11540" priority="898">
      <formula>AS331&lt;AU331*#REF!</formula>
    </cfRule>
    <cfRule type="expression" dxfId="11539" priority="899">
      <formula>AS331&gt;AU331*#REF!</formula>
    </cfRule>
  </conditionalFormatting>
  <conditionalFormatting sqref="AS333:AU335">
    <cfRule type="expression" dxfId="11538" priority="900">
      <formula>AS333&lt;AU333-#REF!</formula>
    </cfRule>
  </conditionalFormatting>
  <conditionalFormatting sqref="AS333:AU345">
    <cfRule type="expression" dxfId="11537" priority="892">
      <formula>AS333&gt;AU333+#REF!</formula>
    </cfRule>
  </conditionalFormatting>
  <conditionalFormatting sqref="AS346:AU346">
    <cfRule type="expression" dxfId="11536" priority="897">
      <formula>AS346&gt;AU346*#REF!</formula>
    </cfRule>
  </conditionalFormatting>
  <conditionalFormatting sqref="AS348:AU349">
    <cfRule type="expression" dxfId="11535" priority="689">
      <formula>AS348&lt;AU348*#REF!</formula>
    </cfRule>
    <cfRule type="expression" dxfId="11534" priority="690">
      <formula>AS348&gt;AU348*#REF!</formula>
    </cfRule>
  </conditionalFormatting>
  <conditionalFormatting sqref="AS350:AU352">
    <cfRule type="expression" dxfId="11533" priority="691">
      <formula>AS350&lt;AU350-#REF!</formula>
    </cfRule>
  </conditionalFormatting>
  <conditionalFormatting sqref="AS350:AU353">
    <cfRule type="expression" dxfId="11532" priority="687">
      <formula>AS350&gt;AU350+#REF!</formula>
    </cfRule>
  </conditionalFormatting>
  <conditionalFormatting sqref="AS356:AU357">
    <cfRule type="expression" dxfId="11531" priority="685">
      <formula>AS356&gt;AU356+#REF!</formula>
    </cfRule>
  </conditionalFormatting>
  <conditionalFormatting sqref="AS363:AU363">
    <cfRule type="expression" dxfId="11530" priority="688">
      <formula>AS363&gt;AU363*#REF!</formula>
    </cfRule>
  </conditionalFormatting>
  <conditionalFormatting sqref="AT14:AT15">
    <cfRule type="expression" dxfId="11529" priority="1137">
      <formula>AT14&lt;AV14-#REF!</formula>
    </cfRule>
  </conditionalFormatting>
  <conditionalFormatting sqref="AT18:AT22">
    <cfRule type="expression" dxfId="11528" priority="1136">
      <formula>AT18&lt;AV18-#REF!</formula>
    </cfRule>
  </conditionalFormatting>
  <conditionalFormatting sqref="AT31:AT32">
    <cfRule type="expression" dxfId="11527" priority="882">
      <formula>AT31&lt;AV31-#REF!</formula>
    </cfRule>
  </conditionalFormatting>
  <conditionalFormatting sqref="AT35:AT39">
    <cfRule type="expression" dxfId="11526" priority="881">
      <formula>AT35&lt;AV35-#REF!</formula>
    </cfRule>
  </conditionalFormatting>
  <conditionalFormatting sqref="AT48:AT49">
    <cfRule type="expression" dxfId="11525" priority="867">
      <formula>AT48&lt;AV48-#REF!</formula>
    </cfRule>
  </conditionalFormatting>
  <conditionalFormatting sqref="AT52:AT56">
    <cfRule type="expression" dxfId="11524" priority="866">
      <formula>AT52&lt;AV52-#REF!</formula>
    </cfRule>
  </conditionalFormatting>
  <conditionalFormatting sqref="AT65:AT66">
    <cfRule type="expression" dxfId="11523" priority="852">
      <formula>AT65&lt;AV65-#REF!</formula>
    </cfRule>
  </conditionalFormatting>
  <conditionalFormatting sqref="AT69:AT73">
    <cfRule type="expression" dxfId="11522" priority="851">
      <formula>AT69&lt;AV69-#REF!</formula>
    </cfRule>
  </conditionalFormatting>
  <conditionalFormatting sqref="AT82:AT83">
    <cfRule type="expression" dxfId="11521" priority="835">
      <formula>AT82&lt;AV82-#REF!</formula>
    </cfRule>
  </conditionalFormatting>
  <conditionalFormatting sqref="AT86:AT90">
    <cfRule type="expression" dxfId="11520" priority="834">
      <formula>AT86&lt;AV86-#REF!</formula>
    </cfRule>
  </conditionalFormatting>
  <conditionalFormatting sqref="AT99:AT100">
    <cfRule type="expression" dxfId="11519" priority="820">
      <formula>AT99&lt;AV99-#REF!</formula>
    </cfRule>
  </conditionalFormatting>
  <conditionalFormatting sqref="AT103:AT107">
    <cfRule type="expression" dxfId="11518" priority="819">
      <formula>AT103&lt;AV103-#REF!</formula>
    </cfRule>
  </conditionalFormatting>
  <conditionalFormatting sqref="AT116:AT117">
    <cfRule type="expression" dxfId="11517" priority="805">
      <formula>AT116&lt;AV116-#REF!</formula>
    </cfRule>
  </conditionalFormatting>
  <conditionalFormatting sqref="AT120:AT124">
    <cfRule type="expression" dxfId="11516" priority="804">
      <formula>AT120&lt;AV120-#REF!</formula>
    </cfRule>
  </conditionalFormatting>
  <conditionalFormatting sqref="AT167:AT168">
    <cfRule type="expression" dxfId="11515" priority="790">
      <formula>AT167&lt;AV167-#REF!</formula>
    </cfRule>
  </conditionalFormatting>
  <conditionalFormatting sqref="AT171:AT175">
    <cfRule type="expression" dxfId="11514" priority="789">
      <formula>AT171&lt;AV171-#REF!</formula>
    </cfRule>
  </conditionalFormatting>
  <conditionalFormatting sqref="AT184:AT185">
    <cfRule type="expression" dxfId="11513" priority="775">
      <formula>AT184&lt;AV184-#REF!</formula>
    </cfRule>
  </conditionalFormatting>
  <conditionalFormatting sqref="AT188:AT192">
    <cfRule type="expression" dxfId="11512" priority="774">
      <formula>AT188&lt;AV188-#REF!</formula>
    </cfRule>
  </conditionalFormatting>
  <conditionalFormatting sqref="AT201:AT202">
    <cfRule type="expression" dxfId="11511" priority="760">
      <formula>AT201&lt;AV201-#REF!</formula>
    </cfRule>
  </conditionalFormatting>
  <conditionalFormatting sqref="AT205:AT209">
    <cfRule type="expression" dxfId="11510" priority="759">
      <formula>AT205&lt;AV205-#REF!</formula>
    </cfRule>
  </conditionalFormatting>
  <conditionalFormatting sqref="AT218:AT219">
    <cfRule type="expression" dxfId="11509" priority="745">
      <formula>AT218&lt;AV218-#REF!</formula>
    </cfRule>
  </conditionalFormatting>
  <conditionalFormatting sqref="AT222:AT226">
    <cfRule type="expression" dxfId="11508" priority="744">
      <formula>AT222&lt;AV222-#REF!</formula>
    </cfRule>
  </conditionalFormatting>
  <conditionalFormatting sqref="AT235:AT236">
    <cfRule type="expression" dxfId="11507" priority="730">
      <formula>AT235&lt;AV235-#REF!</formula>
    </cfRule>
  </conditionalFormatting>
  <conditionalFormatting sqref="AT239:AT243">
    <cfRule type="expression" dxfId="11506" priority="729">
      <formula>AT239&lt;AV239-#REF!</formula>
    </cfRule>
  </conditionalFormatting>
  <conditionalFormatting sqref="AT252:AT253">
    <cfRule type="expression" dxfId="11505" priority="932">
      <formula>AT252&lt;AV252-#REF!</formula>
    </cfRule>
  </conditionalFormatting>
  <conditionalFormatting sqref="AT256:AT260">
    <cfRule type="expression" dxfId="11504" priority="931">
      <formula>AT256&lt;AV256-#REF!</formula>
    </cfRule>
  </conditionalFormatting>
  <conditionalFormatting sqref="AT269:AT270">
    <cfRule type="expression" dxfId="11503" priority="697">
      <formula>AT269&lt;AV269-#REF!</formula>
    </cfRule>
  </conditionalFormatting>
  <conditionalFormatting sqref="AT273:AT277">
    <cfRule type="expression" dxfId="11502" priority="696">
      <formula>AT273&lt;AV273-#REF!</formula>
    </cfRule>
  </conditionalFormatting>
  <conditionalFormatting sqref="AT286:AT287">
    <cfRule type="expression" dxfId="11501" priority="923">
      <formula>AT286&lt;AV286-#REF!</formula>
    </cfRule>
  </conditionalFormatting>
  <conditionalFormatting sqref="AT290:AT294">
    <cfRule type="expression" dxfId="11500" priority="922">
      <formula>AT290&lt;AV290-#REF!</formula>
    </cfRule>
  </conditionalFormatting>
  <conditionalFormatting sqref="AT303:AT304">
    <cfRule type="expression" dxfId="11499" priority="720">
      <formula>AT303&lt;AV303-#REF!</formula>
    </cfRule>
  </conditionalFormatting>
  <conditionalFormatting sqref="AT307:AT311">
    <cfRule type="expression" dxfId="11498" priority="719">
      <formula>AT307&lt;AV307-#REF!</formula>
    </cfRule>
  </conditionalFormatting>
  <conditionalFormatting sqref="AT320:AT321">
    <cfRule type="expression" dxfId="11497" priority="711">
      <formula>AT320&lt;AV320-#REF!</formula>
    </cfRule>
  </conditionalFormatting>
  <conditionalFormatting sqref="AT324:AT328">
    <cfRule type="expression" dxfId="11496" priority="710">
      <formula>AT324&lt;AV324-#REF!</formula>
    </cfRule>
  </conditionalFormatting>
  <conditionalFormatting sqref="AT337:AT338">
    <cfRule type="expression" dxfId="11495" priority="896">
      <formula>AT337&lt;AV337-#REF!</formula>
    </cfRule>
  </conditionalFormatting>
  <conditionalFormatting sqref="AT341:AT345">
    <cfRule type="expression" dxfId="11494" priority="895">
      <formula>AT341&lt;AV341-#REF!</formula>
    </cfRule>
  </conditionalFormatting>
  <conditionalFormatting sqref="AT354:AT355">
    <cfRule type="expression" dxfId="11493" priority="682">
      <formula>AT354&lt;AV354-#REF!</formula>
    </cfRule>
  </conditionalFormatting>
  <conditionalFormatting sqref="AT358:AT362">
    <cfRule type="expression" dxfId="11492" priority="681">
      <formula>AT358&lt;AV358-#REF!</formula>
    </cfRule>
  </conditionalFormatting>
  <conditionalFormatting sqref="AT14:AU15">
    <cfRule type="expression" dxfId="11491" priority="1134">
      <formula>AT14&gt;AV14+#REF!</formula>
    </cfRule>
  </conditionalFormatting>
  <conditionalFormatting sqref="AT18:AU22">
    <cfRule type="expression" dxfId="11490" priority="1132">
      <formula>AT18&gt;AV18+#REF!</formula>
    </cfRule>
  </conditionalFormatting>
  <conditionalFormatting sqref="AT31:AU32">
    <cfRule type="expression" dxfId="11489" priority="879">
      <formula>AT31&gt;AV31+#REF!</formula>
    </cfRule>
  </conditionalFormatting>
  <conditionalFormatting sqref="AT35:AU39">
    <cfRule type="expression" dxfId="11488" priority="877">
      <formula>AT35&gt;AV35+#REF!</formula>
    </cfRule>
  </conditionalFormatting>
  <conditionalFormatting sqref="AT48:AU49">
    <cfRule type="expression" dxfId="11487" priority="864">
      <formula>AT48&gt;AV48+#REF!</formula>
    </cfRule>
  </conditionalFormatting>
  <conditionalFormatting sqref="AT52:AU56">
    <cfRule type="expression" dxfId="11486" priority="862">
      <formula>AT52&gt;AV52+#REF!</formula>
    </cfRule>
  </conditionalFormatting>
  <conditionalFormatting sqref="AT65:AU66">
    <cfRule type="expression" dxfId="11485" priority="849">
      <formula>AT65&gt;AV65+#REF!</formula>
    </cfRule>
  </conditionalFormatting>
  <conditionalFormatting sqref="AT69:AU73">
    <cfRule type="expression" dxfId="11484" priority="847">
      <formula>AT69&gt;AV69+#REF!</formula>
    </cfRule>
  </conditionalFormatting>
  <conditionalFormatting sqref="AT82:AU83">
    <cfRule type="expression" dxfId="11483" priority="832">
      <formula>AT82&gt;AV82+#REF!</formula>
    </cfRule>
  </conditionalFormatting>
  <conditionalFormatting sqref="AT86:AU90">
    <cfRule type="expression" dxfId="11482" priority="830">
      <formula>AT86&gt;AV86+#REF!</formula>
    </cfRule>
  </conditionalFormatting>
  <conditionalFormatting sqref="AT99:AU100">
    <cfRule type="expression" dxfId="11481" priority="817">
      <formula>AT99&gt;AV99+#REF!</formula>
    </cfRule>
  </conditionalFormatting>
  <conditionalFormatting sqref="AT103:AU107">
    <cfRule type="expression" dxfId="11480" priority="815">
      <formula>AT103&gt;AV103+#REF!</formula>
    </cfRule>
  </conditionalFormatting>
  <conditionalFormatting sqref="AT116:AU117">
    <cfRule type="expression" dxfId="11479" priority="802">
      <formula>AT116&gt;AV116+#REF!</formula>
    </cfRule>
  </conditionalFormatting>
  <conditionalFormatting sqref="AT120:AU124">
    <cfRule type="expression" dxfId="11478" priority="800">
      <formula>AT120&gt;AV120+#REF!</formula>
    </cfRule>
  </conditionalFormatting>
  <conditionalFormatting sqref="AT167:AU168">
    <cfRule type="expression" dxfId="11477" priority="787">
      <formula>AT167&gt;AV167+#REF!</formula>
    </cfRule>
  </conditionalFormatting>
  <conditionalFormatting sqref="AT171:AU175">
    <cfRule type="expression" dxfId="11476" priority="785">
      <formula>AT171&gt;AV171+#REF!</formula>
    </cfRule>
  </conditionalFormatting>
  <conditionalFormatting sqref="AT184:AU185">
    <cfRule type="expression" dxfId="11475" priority="772">
      <formula>AT184&gt;AV184+#REF!</formula>
    </cfRule>
  </conditionalFormatting>
  <conditionalFormatting sqref="AT188:AU192">
    <cfRule type="expression" dxfId="11474" priority="770">
      <formula>AT188&gt;AV188+#REF!</formula>
    </cfRule>
  </conditionalFormatting>
  <conditionalFormatting sqref="AT201:AU202">
    <cfRule type="expression" dxfId="11473" priority="757">
      <formula>AT201&gt;AV201+#REF!</formula>
    </cfRule>
  </conditionalFormatting>
  <conditionalFormatting sqref="AT205:AU209">
    <cfRule type="expression" dxfId="11472" priority="755">
      <formula>AT205&gt;AV205+#REF!</formula>
    </cfRule>
  </conditionalFormatting>
  <conditionalFormatting sqref="AT218:AU219">
    <cfRule type="expression" dxfId="11471" priority="742">
      <formula>AT218&gt;AV218+#REF!</formula>
    </cfRule>
  </conditionalFormatting>
  <conditionalFormatting sqref="AT222:AU226">
    <cfRule type="expression" dxfId="11470" priority="740">
      <formula>AT222&gt;AV222+#REF!</formula>
    </cfRule>
  </conditionalFormatting>
  <conditionalFormatting sqref="AT235:AU236">
    <cfRule type="expression" dxfId="11469" priority="727">
      <formula>AT235&gt;AV235+#REF!</formula>
    </cfRule>
  </conditionalFormatting>
  <conditionalFormatting sqref="AT239:AU243">
    <cfRule type="expression" dxfId="11468" priority="725">
      <formula>AT239&gt;AV239+#REF!</formula>
    </cfRule>
  </conditionalFormatting>
  <conditionalFormatting sqref="AT269:AU270">
    <cfRule type="expression" dxfId="11467" priority="694">
      <formula>AT269&gt;AV269+#REF!</formula>
    </cfRule>
  </conditionalFormatting>
  <conditionalFormatting sqref="AT273:AU277">
    <cfRule type="expression" dxfId="11466" priority="692">
      <formula>AT273&gt;AV273+#REF!</formula>
    </cfRule>
  </conditionalFormatting>
  <conditionalFormatting sqref="AT354:AU355">
    <cfRule type="expression" dxfId="11465" priority="679">
      <formula>AT354&gt;AV354+#REF!</formula>
    </cfRule>
  </conditionalFormatting>
  <conditionalFormatting sqref="AT358:AU362">
    <cfRule type="expression" dxfId="11464" priority="677">
      <formula>AT358&gt;AV358+#REF!</formula>
    </cfRule>
  </conditionalFormatting>
  <conditionalFormatting sqref="AU14:AU15">
    <cfRule type="expression" dxfId="11463" priority="1135">
      <formula>AU14&lt;AW14-#REF!</formula>
    </cfRule>
  </conditionalFormatting>
  <conditionalFormatting sqref="AU18:AU19">
    <cfRule type="expression" dxfId="11462" priority="1133">
      <formula>AU18&lt;AW18-#REF!</formula>
    </cfRule>
  </conditionalFormatting>
  <conditionalFormatting sqref="AU31:AU32">
    <cfRule type="expression" dxfId="11461" priority="880">
      <formula>AU31&lt;AW31-#REF!</formula>
    </cfRule>
  </conditionalFormatting>
  <conditionalFormatting sqref="AU35:AU36">
    <cfRule type="expression" dxfId="11460" priority="878">
      <formula>AU35&lt;AW35-#REF!</formula>
    </cfRule>
  </conditionalFormatting>
  <conditionalFormatting sqref="AU48:AU49">
    <cfRule type="expression" dxfId="11459" priority="865">
      <formula>AU48&lt;AW48-#REF!</formula>
    </cfRule>
  </conditionalFormatting>
  <conditionalFormatting sqref="AU52:AU53">
    <cfRule type="expression" dxfId="11458" priority="863">
      <formula>AU52&lt;AW52-#REF!</formula>
    </cfRule>
  </conditionalFormatting>
  <conditionalFormatting sqref="AU65:AU66">
    <cfRule type="expression" dxfId="11457" priority="850">
      <formula>AU65&lt;AW65-#REF!</formula>
    </cfRule>
  </conditionalFormatting>
  <conditionalFormatting sqref="AU69:AU70">
    <cfRule type="expression" dxfId="11456" priority="848">
      <formula>AU69&lt;AW69-#REF!</formula>
    </cfRule>
  </conditionalFormatting>
  <conditionalFormatting sqref="AU82:AU83">
    <cfRule type="expression" dxfId="11455" priority="833">
      <formula>AU82&lt;AW82-#REF!</formula>
    </cfRule>
  </conditionalFormatting>
  <conditionalFormatting sqref="AU86:AU87">
    <cfRule type="expression" dxfId="11454" priority="831">
      <formula>AU86&lt;AW86-#REF!</formula>
    </cfRule>
  </conditionalFormatting>
  <conditionalFormatting sqref="AU99:AU100">
    <cfRule type="expression" dxfId="11453" priority="818">
      <formula>AU99&lt;AW99-#REF!</formula>
    </cfRule>
  </conditionalFormatting>
  <conditionalFormatting sqref="AU103:AU104">
    <cfRule type="expression" dxfId="11452" priority="816">
      <formula>AU103&lt;AW103-#REF!</formula>
    </cfRule>
  </conditionalFormatting>
  <conditionalFormatting sqref="AU116:AU117">
    <cfRule type="expression" dxfId="11451" priority="803">
      <formula>AU116&lt;AW116-#REF!</formula>
    </cfRule>
  </conditionalFormatting>
  <conditionalFormatting sqref="AU120:AU121">
    <cfRule type="expression" dxfId="11450" priority="801">
      <formula>AU120&lt;AW120-#REF!</formula>
    </cfRule>
  </conditionalFormatting>
  <conditionalFormatting sqref="AU167:AU168">
    <cfRule type="expression" dxfId="11449" priority="788">
      <formula>AU167&lt;AW167-#REF!</formula>
    </cfRule>
  </conditionalFormatting>
  <conditionalFormatting sqref="AU171:AU172">
    <cfRule type="expression" dxfId="11448" priority="786">
      <formula>AU171&lt;AW171-#REF!</formula>
    </cfRule>
  </conditionalFormatting>
  <conditionalFormatting sqref="AU184:AU185">
    <cfRule type="expression" dxfId="11447" priority="773">
      <formula>AU184&lt;AW184-#REF!</formula>
    </cfRule>
  </conditionalFormatting>
  <conditionalFormatting sqref="AU188:AU189">
    <cfRule type="expression" dxfId="11446" priority="771">
      <formula>AU188&lt;AW188-#REF!</formula>
    </cfRule>
  </conditionalFormatting>
  <conditionalFormatting sqref="AU201:AU202">
    <cfRule type="expression" dxfId="11445" priority="758">
      <formula>AU201&lt;AW201-#REF!</formula>
    </cfRule>
  </conditionalFormatting>
  <conditionalFormatting sqref="AU205:AU206">
    <cfRule type="expression" dxfId="11444" priority="756">
      <formula>AU205&lt;AW205-#REF!</formula>
    </cfRule>
  </conditionalFormatting>
  <conditionalFormatting sqref="AU218:AU219">
    <cfRule type="expression" dxfId="11443" priority="743">
      <formula>AU218&lt;AW218-#REF!</formula>
    </cfRule>
  </conditionalFormatting>
  <conditionalFormatting sqref="AU222:AU223">
    <cfRule type="expression" dxfId="11442" priority="741">
      <formula>AU222&lt;AW222-#REF!</formula>
    </cfRule>
  </conditionalFormatting>
  <conditionalFormatting sqref="AU235:AU236">
    <cfRule type="expression" dxfId="11441" priority="728">
      <formula>AU235&lt;AW235-#REF!</formula>
    </cfRule>
  </conditionalFormatting>
  <conditionalFormatting sqref="AU239:AU240">
    <cfRule type="expression" dxfId="11440" priority="726">
      <formula>AU239&lt;AW239-#REF!</formula>
    </cfRule>
  </conditionalFormatting>
  <conditionalFormatting sqref="AU252:AU253">
    <cfRule type="expression" dxfId="11439" priority="930">
      <formula>AU252&lt;AW252-#REF!</formula>
    </cfRule>
  </conditionalFormatting>
  <conditionalFormatting sqref="AU256:AU257">
    <cfRule type="expression" dxfId="11438" priority="929">
      <formula>AU256&lt;AW256-#REF!</formula>
    </cfRule>
  </conditionalFormatting>
  <conditionalFormatting sqref="AU269:AU270">
    <cfRule type="expression" dxfId="11437" priority="695">
      <formula>AU269&lt;AW269-#REF!</formula>
    </cfRule>
  </conditionalFormatting>
  <conditionalFormatting sqref="AU273:AU274">
    <cfRule type="expression" dxfId="11436" priority="693">
      <formula>AU273&lt;AW273-#REF!</formula>
    </cfRule>
  </conditionalFormatting>
  <conditionalFormatting sqref="AU286:AU287">
    <cfRule type="expression" dxfId="11435" priority="921">
      <formula>AU286&lt;AW286-#REF!</formula>
    </cfRule>
  </conditionalFormatting>
  <conditionalFormatting sqref="AU290:AU291">
    <cfRule type="expression" dxfId="11434" priority="920">
      <formula>AU290&lt;AW290-#REF!</formula>
    </cfRule>
  </conditionalFormatting>
  <conditionalFormatting sqref="AU303:AU304">
    <cfRule type="expression" dxfId="11433" priority="718">
      <formula>AU303&lt;AW303-#REF!</formula>
    </cfRule>
  </conditionalFormatting>
  <conditionalFormatting sqref="AU307:AU308">
    <cfRule type="expression" dxfId="11432" priority="717">
      <formula>AU307&lt;AW307-#REF!</formula>
    </cfRule>
  </conditionalFormatting>
  <conditionalFormatting sqref="AU320:AU321">
    <cfRule type="expression" dxfId="11431" priority="709">
      <formula>AU320&lt;AW320-#REF!</formula>
    </cfRule>
  </conditionalFormatting>
  <conditionalFormatting sqref="AU324:AU325">
    <cfRule type="expression" dxfId="11430" priority="708">
      <formula>AU324&lt;AW324-#REF!</formula>
    </cfRule>
  </conditionalFormatting>
  <conditionalFormatting sqref="AU337:AU338">
    <cfRule type="expression" dxfId="11429" priority="894">
      <formula>AU337&lt;AW337-#REF!</formula>
    </cfRule>
  </conditionalFormatting>
  <conditionalFormatting sqref="AU341:AU342">
    <cfRule type="expression" dxfId="11428" priority="893">
      <formula>AU341&lt;AW341-#REF!</formula>
    </cfRule>
  </conditionalFormatting>
  <conditionalFormatting sqref="AU354:AU355">
    <cfRule type="expression" dxfId="11427" priority="680">
      <formula>AU354&lt;AW354-#REF!</formula>
    </cfRule>
  </conditionalFormatting>
  <conditionalFormatting sqref="AU358:AU359">
    <cfRule type="expression" dxfId="11426" priority="678">
      <formula>AU358&lt;AW358-#REF!</formula>
    </cfRule>
  </conditionalFormatting>
  <conditionalFormatting sqref="E133:E134">
    <cfRule type="expression" dxfId="11425" priority="668">
      <formula>E133&gt;G133+#REF!</formula>
    </cfRule>
  </conditionalFormatting>
  <conditionalFormatting sqref="E137:E138">
    <cfRule type="expression" dxfId="11424" priority="665">
      <formula>E137&gt;G137+#REF!</formula>
    </cfRule>
  </conditionalFormatting>
  <conditionalFormatting sqref="E139:E141">
    <cfRule type="expression" dxfId="11423" priority="664">
      <formula>E139&gt;G139+#REF!</formula>
    </cfRule>
  </conditionalFormatting>
  <conditionalFormatting sqref="E127:G128">
    <cfRule type="expression" dxfId="11422" priority="674">
      <formula>E127&lt;G127*#REF!</formula>
    </cfRule>
    <cfRule type="expression" dxfId="11421" priority="675">
      <formula>E127&gt;G127*#REF!</formula>
    </cfRule>
  </conditionalFormatting>
  <conditionalFormatting sqref="E129:G129">
    <cfRule type="expression" dxfId="11420" priority="672">
      <formula>E129&gt;G129+#REF!</formula>
    </cfRule>
  </conditionalFormatting>
  <conditionalFormatting sqref="E129:G131">
    <cfRule type="expression" dxfId="11419" priority="676">
      <formula>E129&lt;G129-#REF!</formula>
    </cfRule>
  </conditionalFormatting>
  <conditionalFormatting sqref="E130:G130">
    <cfRule type="expression" dxfId="11418" priority="671">
      <formula>E130&gt;G130+#REF!</formula>
    </cfRule>
  </conditionalFormatting>
  <conditionalFormatting sqref="E131:G131">
    <cfRule type="expression" dxfId="11417" priority="670">
      <formula>E131&gt;G131+#REF!</formula>
    </cfRule>
  </conditionalFormatting>
  <conditionalFormatting sqref="E132:G132">
    <cfRule type="expression" dxfId="11416" priority="669">
      <formula>E132&gt;G132+#REF!</formula>
    </cfRule>
  </conditionalFormatting>
  <conditionalFormatting sqref="E135:G135">
    <cfRule type="expression" dxfId="11415" priority="667">
      <formula>E135&gt;G135+#REF!</formula>
    </cfRule>
  </conditionalFormatting>
  <conditionalFormatting sqref="E136:G136">
    <cfRule type="expression" dxfId="11414" priority="666">
      <formula>E136&gt;G136+#REF!</formula>
    </cfRule>
  </conditionalFormatting>
  <conditionalFormatting sqref="E142:G142">
    <cfRule type="expression" dxfId="11413" priority="673">
      <formula>E142&gt;G142*#REF!</formula>
    </cfRule>
  </conditionalFormatting>
  <conditionalFormatting sqref="F133:F134">
    <cfRule type="expression" dxfId="11412" priority="662">
      <formula>F133&gt;H133+#REF!</formula>
    </cfRule>
    <cfRule type="expression" dxfId="11411" priority="663">
      <formula>F133&lt;H133-#REF!</formula>
    </cfRule>
  </conditionalFormatting>
  <conditionalFormatting sqref="F137:F138">
    <cfRule type="expression" dxfId="11410" priority="660">
      <formula>F137&gt;H137+#REF!</formula>
    </cfRule>
  </conditionalFormatting>
  <conditionalFormatting sqref="F137:F141">
    <cfRule type="expression" dxfId="11409" priority="661">
      <formula>F137&lt;H137-#REF!</formula>
    </cfRule>
  </conditionalFormatting>
  <conditionalFormatting sqref="F139:F141">
    <cfRule type="expression" dxfId="11408" priority="659">
      <formula>F139&gt;H139+#REF!</formula>
    </cfRule>
  </conditionalFormatting>
  <conditionalFormatting sqref="G133:G134">
    <cfRule type="expression" dxfId="11407" priority="657">
      <formula>G133&gt;I133+#REF!</formula>
    </cfRule>
    <cfRule type="expression" dxfId="11406" priority="658">
      <formula>G133&lt;I133-#REF!</formula>
    </cfRule>
  </conditionalFormatting>
  <conditionalFormatting sqref="G137:G138">
    <cfRule type="expression" dxfId="11405" priority="655">
      <formula>G137&gt;I137+#REF!</formula>
    </cfRule>
    <cfRule type="expression" dxfId="11404" priority="656">
      <formula>G137&lt;I137-#REF!</formula>
    </cfRule>
  </conditionalFormatting>
  <conditionalFormatting sqref="G139:G141">
    <cfRule type="expression" dxfId="11403" priority="654">
      <formula>G139&gt;I139+#REF!</formula>
    </cfRule>
  </conditionalFormatting>
  <conditionalFormatting sqref="I133:I134">
    <cfRule type="expression" dxfId="11402" priority="645">
      <formula>I133&gt;K133+#REF!</formula>
    </cfRule>
  </conditionalFormatting>
  <conditionalFormatting sqref="I137:I138">
    <cfRule type="expression" dxfId="11401" priority="642">
      <formula>I137&gt;K137+#REF!</formula>
    </cfRule>
  </conditionalFormatting>
  <conditionalFormatting sqref="I139:I141">
    <cfRule type="expression" dxfId="11400" priority="641">
      <formula>I139&gt;K139+#REF!</formula>
    </cfRule>
  </conditionalFormatting>
  <conditionalFormatting sqref="I127:K128">
    <cfRule type="expression" dxfId="11399" priority="651">
      <formula>I127&lt;K127*#REF!</formula>
    </cfRule>
    <cfRule type="expression" dxfId="11398" priority="652">
      <formula>I127&gt;K127*#REF!</formula>
    </cfRule>
  </conditionalFormatting>
  <conditionalFormatting sqref="I129:K129">
    <cfRule type="expression" dxfId="11397" priority="649">
      <formula>I129&gt;K129+#REF!</formula>
    </cfRule>
  </conditionalFormatting>
  <conditionalFormatting sqref="I129:K131">
    <cfRule type="expression" dxfId="11396" priority="653">
      <formula>I129&lt;K129-#REF!</formula>
    </cfRule>
  </conditionalFormatting>
  <conditionalFormatting sqref="I130:K130">
    <cfRule type="expression" dxfId="11395" priority="648">
      <formula>I130&gt;K130+#REF!</formula>
    </cfRule>
  </conditionalFormatting>
  <conditionalFormatting sqref="I131:K131">
    <cfRule type="expression" dxfId="11394" priority="647">
      <formula>I131&gt;K131+#REF!</formula>
    </cfRule>
  </conditionalFormatting>
  <conditionalFormatting sqref="I132:K132">
    <cfRule type="expression" dxfId="11393" priority="646">
      <formula>I132&gt;K132+#REF!</formula>
    </cfRule>
  </conditionalFormatting>
  <conditionalFormatting sqref="I135:K135">
    <cfRule type="expression" dxfId="11392" priority="644">
      <formula>I135&gt;K135+#REF!</formula>
    </cfRule>
  </conditionalFormatting>
  <conditionalFormatting sqref="I136:K136">
    <cfRule type="expression" dxfId="11391" priority="643">
      <formula>I136&gt;K136+#REF!</formula>
    </cfRule>
  </conditionalFormatting>
  <conditionalFormatting sqref="I142:K142">
    <cfRule type="expression" dxfId="11390" priority="650">
      <formula>I142&gt;K142*#REF!</formula>
    </cfRule>
  </conditionalFormatting>
  <conditionalFormatting sqref="J133:J134">
    <cfRule type="expression" dxfId="11389" priority="639">
      <formula>J133&gt;L133+#REF!</formula>
    </cfRule>
    <cfRule type="expression" dxfId="11388" priority="640">
      <formula>J133&lt;L133-#REF!</formula>
    </cfRule>
  </conditionalFormatting>
  <conditionalFormatting sqref="J137:J138">
    <cfRule type="expression" dxfId="11387" priority="637">
      <formula>J137&gt;L137+#REF!</formula>
    </cfRule>
  </conditionalFormatting>
  <conditionalFormatting sqref="J137:J141">
    <cfRule type="expression" dxfId="11386" priority="638">
      <formula>J137&lt;L137-#REF!</formula>
    </cfRule>
  </conditionalFormatting>
  <conditionalFormatting sqref="J139:J141">
    <cfRule type="expression" dxfId="11385" priority="636">
      <formula>J139&gt;L139+#REF!</formula>
    </cfRule>
  </conditionalFormatting>
  <conditionalFormatting sqref="K133:K134">
    <cfRule type="expression" dxfId="11384" priority="634">
      <formula>K133&gt;M133+#REF!</formula>
    </cfRule>
    <cfRule type="expression" dxfId="11383" priority="635">
      <formula>K133&lt;M133-#REF!</formula>
    </cfRule>
  </conditionalFormatting>
  <conditionalFormatting sqref="K137:K138">
    <cfRule type="expression" dxfId="11382" priority="632">
      <formula>K137&gt;M137+#REF!</formula>
    </cfRule>
    <cfRule type="expression" dxfId="11381" priority="633">
      <formula>K137&lt;M137-#REF!</formula>
    </cfRule>
  </conditionalFormatting>
  <conditionalFormatting sqref="K139:K141">
    <cfRule type="expression" dxfId="11380" priority="631">
      <formula>K139&gt;M139+#REF!</formula>
    </cfRule>
  </conditionalFormatting>
  <conditionalFormatting sqref="Q133:Q134">
    <cfRule type="expression" dxfId="11379" priority="599">
      <formula>Q133&gt;S133+#REF!</formula>
    </cfRule>
  </conditionalFormatting>
  <conditionalFormatting sqref="Q137:Q138">
    <cfRule type="expression" dxfId="11378" priority="596">
      <formula>Q137&gt;S137+#REF!</formula>
    </cfRule>
  </conditionalFormatting>
  <conditionalFormatting sqref="Q139:Q141">
    <cfRule type="expression" dxfId="11377" priority="595">
      <formula>Q139&gt;S139+#REF!</formula>
    </cfRule>
  </conditionalFormatting>
  <conditionalFormatting sqref="Q127:S128">
    <cfRule type="expression" dxfId="11376" priority="605">
      <formula>Q127&lt;S127*#REF!</formula>
    </cfRule>
    <cfRule type="expression" dxfId="11375" priority="606">
      <formula>Q127&gt;S127*#REF!</formula>
    </cfRule>
  </conditionalFormatting>
  <conditionalFormatting sqref="Q129:S129">
    <cfRule type="expression" dxfId="11374" priority="603">
      <formula>Q129&gt;S129+#REF!</formula>
    </cfRule>
  </conditionalFormatting>
  <conditionalFormatting sqref="Q129:S131">
    <cfRule type="expression" dxfId="11373" priority="607">
      <formula>Q129&lt;S129-#REF!</formula>
    </cfRule>
  </conditionalFormatting>
  <conditionalFormatting sqref="Q130:S130">
    <cfRule type="expression" dxfId="11372" priority="602">
      <formula>Q130&gt;S130+#REF!</formula>
    </cfRule>
  </conditionalFormatting>
  <conditionalFormatting sqref="Q131:S131">
    <cfRule type="expression" dxfId="11371" priority="601">
      <formula>Q131&gt;S131+#REF!</formula>
    </cfRule>
  </conditionalFormatting>
  <conditionalFormatting sqref="Q132:S132">
    <cfRule type="expression" dxfId="11370" priority="600">
      <formula>Q132&gt;S132+#REF!</formula>
    </cfRule>
  </conditionalFormatting>
  <conditionalFormatting sqref="Q135:S135">
    <cfRule type="expression" dxfId="11369" priority="598">
      <formula>Q135&gt;S135+#REF!</formula>
    </cfRule>
  </conditionalFormatting>
  <conditionalFormatting sqref="Q136:S136">
    <cfRule type="expression" dxfId="11368" priority="597">
      <formula>Q136&gt;S136+#REF!</formula>
    </cfRule>
  </conditionalFormatting>
  <conditionalFormatting sqref="Q142:S142">
    <cfRule type="expression" dxfId="11367" priority="604">
      <formula>Q142&gt;S142*#REF!</formula>
    </cfRule>
  </conditionalFormatting>
  <conditionalFormatting sqref="R133:R134">
    <cfRule type="expression" dxfId="11366" priority="593">
      <formula>R133&gt;T133+#REF!</formula>
    </cfRule>
    <cfRule type="expression" dxfId="11365" priority="594">
      <formula>R133&lt;T133-#REF!</formula>
    </cfRule>
  </conditionalFormatting>
  <conditionalFormatting sqref="R137:R138">
    <cfRule type="expression" dxfId="11364" priority="591">
      <formula>R137&gt;T137+#REF!</formula>
    </cfRule>
  </conditionalFormatting>
  <conditionalFormatting sqref="R137:R141">
    <cfRule type="expression" dxfId="11363" priority="592">
      <formula>R137&lt;T137-#REF!</formula>
    </cfRule>
  </conditionalFormatting>
  <conditionalFormatting sqref="R139:R141">
    <cfRule type="expression" dxfId="11362" priority="590">
      <formula>R139&gt;T139+#REF!</formula>
    </cfRule>
  </conditionalFormatting>
  <conditionalFormatting sqref="S133:S134">
    <cfRule type="expression" dxfId="11361" priority="588">
      <formula>S133&gt;U133+#REF!</formula>
    </cfRule>
    <cfRule type="expression" dxfId="11360" priority="589">
      <formula>S133&lt;U133-#REF!</formula>
    </cfRule>
  </conditionalFormatting>
  <conditionalFormatting sqref="S137:S138">
    <cfRule type="expression" dxfId="11359" priority="586">
      <formula>S137&gt;U137+#REF!</formula>
    </cfRule>
    <cfRule type="expression" dxfId="11358" priority="587">
      <formula>S137&lt;U137-#REF!</formula>
    </cfRule>
  </conditionalFormatting>
  <conditionalFormatting sqref="S139:S141">
    <cfRule type="expression" dxfId="11357" priority="585">
      <formula>S139&gt;U139+#REF!</formula>
    </cfRule>
  </conditionalFormatting>
  <conditionalFormatting sqref="U133:U134">
    <cfRule type="expression" dxfId="11356" priority="579">
      <formula>U133&gt;W133+#REF!</formula>
    </cfRule>
  </conditionalFormatting>
  <conditionalFormatting sqref="U137:U138">
    <cfRule type="expression" dxfId="11355" priority="577">
      <formula>U137&gt;W137+#REF!</formula>
    </cfRule>
  </conditionalFormatting>
  <conditionalFormatting sqref="U139:U141">
    <cfRule type="expression" dxfId="11354" priority="576">
      <formula>U139&gt;W139+#REF!</formula>
    </cfRule>
  </conditionalFormatting>
  <conditionalFormatting sqref="U127:W128">
    <cfRule type="expression" dxfId="11353" priority="582">
      <formula>U127&lt;W127*#REF!</formula>
    </cfRule>
    <cfRule type="expression" dxfId="11352" priority="583">
      <formula>U127&gt;W127*#REF!</formula>
    </cfRule>
  </conditionalFormatting>
  <conditionalFormatting sqref="U129:W131">
    <cfRule type="expression" dxfId="11351" priority="584">
      <formula>U129&lt;W129-#REF!</formula>
    </cfRule>
  </conditionalFormatting>
  <conditionalFormatting sqref="U129:W132">
    <cfRule type="expression" dxfId="11350" priority="580">
      <formula>U129&gt;W129+#REF!</formula>
    </cfRule>
  </conditionalFormatting>
  <conditionalFormatting sqref="U135:W136">
    <cfRule type="expression" dxfId="11349" priority="578">
      <formula>U135&gt;W135+#REF!</formula>
    </cfRule>
  </conditionalFormatting>
  <conditionalFormatting sqref="U142:W142">
    <cfRule type="expression" dxfId="11348" priority="581">
      <formula>U142&gt;W142*#REF!</formula>
    </cfRule>
  </conditionalFormatting>
  <conditionalFormatting sqref="V133:V134">
    <cfRule type="expression" dxfId="11347" priority="575">
      <formula>V133&lt;X133-#REF!</formula>
    </cfRule>
  </conditionalFormatting>
  <conditionalFormatting sqref="V137:V141">
    <cfRule type="expression" dxfId="11346" priority="574">
      <formula>V137&lt;X137-#REF!</formula>
    </cfRule>
  </conditionalFormatting>
  <conditionalFormatting sqref="V133:W134">
    <cfRule type="expression" dxfId="11345" priority="572">
      <formula>V133&gt;X133+#REF!</formula>
    </cfRule>
  </conditionalFormatting>
  <conditionalFormatting sqref="V137:W141">
    <cfRule type="expression" dxfId="11344" priority="570">
      <formula>V137&gt;X137+#REF!</formula>
    </cfRule>
  </conditionalFormatting>
  <conditionalFormatting sqref="W133:W134">
    <cfRule type="expression" dxfId="11343" priority="573">
      <formula>W133&lt;Y133-#REF!</formula>
    </cfRule>
  </conditionalFormatting>
  <conditionalFormatting sqref="W137:W138">
    <cfRule type="expression" dxfId="11342" priority="571">
      <formula>W137&lt;Y137-#REF!</formula>
    </cfRule>
  </conditionalFormatting>
  <conditionalFormatting sqref="Y133:Y134">
    <cfRule type="expression" dxfId="11341" priority="546">
      <formula>Y133&gt;AA133+#REF!</formula>
    </cfRule>
  </conditionalFormatting>
  <conditionalFormatting sqref="Y137:Y138">
    <cfRule type="expression" dxfId="11340" priority="543">
      <formula>Y137&gt;AA137+#REF!</formula>
    </cfRule>
  </conditionalFormatting>
  <conditionalFormatting sqref="Y139:Y141">
    <cfRule type="expression" dxfId="11339" priority="542">
      <formula>Y139&gt;AA139+#REF!</formula>
    </cfRule>
  </conditionalFormatting>
  <conditionalFormatting sqref="Y127:AA128">
    <cfRule type="expression" dxfId="11338" priority="552">
      <formula>Y127&lt;AA127*#REF!</formula>
    </cfRule>
    <cfRule type="expression" dxfId="11337" priority="553">
      <formula>Y127&gt;AA127*#REF!</formula>
    </cfRule>
  </conditionalFormatting>
  <conditionalFormatting sqref="Y129:AA129">
    <cfRule type="expression" dxfId="11336" priority="550">
      <formula>Y129&gt;AA129+#REF!</formula>
    </cfRule>
  </conditionalFormatting>
  <conditionalFormatting sqref="Y129:AA131">
    <cfRule type="expression" dxfId="11335" priority="554">
      <formula>Y129&lt;AA129-#REF!</formula>
    </cfRule>
  </conditionalFormatting>
  <conditionalFormatting sqref="Y130:AA130">
    <cfRule type="expression" dxfId="11334" priority="549">
      <formula>Y130&gt;AA130+#REF!</formula>
    </cfRule>
  </conditionalFormatting>
  <conditionalFormatting sqref="Y131:AA131">
    <cfRule type="expression" dxfId="11333" priority="548">
      <formula>Y131&gt;AA131+#REF!</formula>
    </cfRule>
  </conditionalFormatting>
  <conditionalFormatting sqref="Y132:AA132">
    <cfRule type="expression" dxfId="11332" priority="547">
      <formula>Y132&gt;AA132+#REF!</formula>
    </cfRule>
  </conditionalFormatting>
  <conditionalFormatting sqref="Y135:AA135">
    <cfRule type="expression" dxfId="11331" priority="545">
      <formula>Y135&gt;AA135+#REF!</formula>
    </cfRule>
  </conditionalFormatting>
  <conditionalFormatting sqref="Y136:AA136">
    <cfRule type="expression" dxfId="11330" priority="544">
      <formula>Y136&gt;AA136+#REF!</formula>
    </cfRule>
  </conditionalFormatting>
  <conditionalFormatting sqref="Y142:AA142">
    <cfRule type="expression" dxfId="11329" priority="551">
      <formula>Y142&gt;AA142*#REF!</formula>
    </cfRule>
  </conditionalFormatting>
  <conditionalFormatting sqref="Z133:Z134">
    <cfRule type="expression" dxfId="11328" priority="540">
      <formula>Z133&gt;AB133+#REF!</formula>
    </cfRule>
    <cfRule type="expression" dxfId="11327" priority="541">
      <formula>Z133&lt;AB133-#REF!</formula>
    </cfRule>
  </conditionalFormatting>
  <conditionalFormatting sqref="Z137:Z138">
    <cfRule type="expression" dxfId="11326" priority="538">
      <formula>Z137&gt;AB137+#REF!</formula>
    </cfRule>
  </conditionalFormatting>
  <conditionalFormatting sqref="Z137:Z141">
    <cfRule type="expression" dxfId="11325" priority="539">
      <formula>Z137&lt;AB137-#REF!</formula>
    </cfRule>
  </conditionalFormatting>
  <conditionalFormatting sqref="Z139:Z141">
    <cfRule type="expression" dxfId="11324" priority="537">
      <formula>Z139&gt;AB139+#REF!</formula>
    </cfRule>
  </conditionalFormatting>
  <conditionalFormatting sqref="AA133:AA134">
    <cfRule type="expression" dxfId="11323" priority="535">
      <formula>AA133&gt;AC133+#REF!</formula>
    </cfRule>
    <cfRule type="expression" dxfId="11322" priority="536">
      <formula>AA133&lt;AC133-#REF!</formula>
    </cfRule>
  </conditionalFormatting>
  <conditionalFormatting sqref="AA137:AA138">
    <cfRule type="expression" dxfId="11321" priority="533">
      <formula>AA137&gt;AC137+#REF!</formula>
    </cfRule>
    <cfRule type="expression" dxfId="11320" priority="534">
      <formula>AA137&lt;AC137-#REF!</formula>
    </cfRule>
  </conditionalFormatting>
  <conditionalFormatting sqref="AA139:AA141">
    <cfRule type="expression" dxfId="11319" priority="532">
      <formula>AA139&gt;AC139+#REF!</formula>
    </cfRule>
  </conditionalFormatting>
  <conditionalFormatting sqref="AC133:AC134">
    <cfRule type="expression" dxfId="11318" priority="522">
      <formula>AC133&gt;AE133+#REF!</formula>
    </cfRule>
  </conditionalFormatting>
  <conditionalFormatting sqref="AC137:AC138">
    <cfRule type="expression" dxfId="11317" priority="519">
      <formula>AC137&gt;AE137+#REF!</formula>
    </cfRule>
  </conditionalFormatting>
  <conditionalFormatting sqref="AC139:AC141">
    <cfRule type="expression" dxfId="11316" priority="518">
      <formula>AC139&gt;AE139+#REF!</formula>
    </cfRule>
  </conditionalFormatting>
  <conditionalFormatting sqref="AC127:AE127">
    <cfRule type="expression" dxfId="11315" priority="530">
      <formula>AC127&gt;AE127*#REF!</formula>
    </cfRule>
  </conditionalFormatting>
  <conditionalFormatting sqref="AC127:AE128">
    <cfRule type="expression" dxfId="11314" priority="528">
      <formula>AC127&lt;AE127*#REF!</formula>
    </cfRule>
  </conditionalFormatting>
  <conditionalFormatting sqref="AC128:AE128">
    <cfRule type="expression" dxfId="11313" priority="529">
      <formula>AC128&gt;AE128*#REF!</formula>
    </cfRule>
  </conditionalFormatting>
  <conditionalFormatting sqref="AC129:AE129">
    <cfRule type="expression" dxfId="11312" priority="526">
      <formula>AC129&gt;AE129+#REF!</formula>
    </cfRule>
  </conditionalFormatting>
  <conditionalFormatting sqref="AC129:AE131">
    <cfRule type="expression" dxfId="11311" priority="531">
      <formula>AC129&lt;AE129-#REF!</formula>
    </cfRule>
  </conditionalFormatting>
  <conditionalFormatting sqref="AC130:AE130">
    <cfRule type="expression" dxfId="11310" priority="525">
      <formula>AC130&gt;AE130+#REF!</formula>
    </cfRule>
  </conditionalFormatting>
  <conditionalFormatting sqref="AC131:AE131">
    <cfRule type="expression" dxfId="11309" priority="524">
      <formula>AC131&gt;AE131+#REF!</formula>
    </cfRule>
  </conditionalFormatting>
  <conditionalFormatting sqref="AC132:AE132">
    <cfRule type="expression" dxfId="11308" priority="523">
      <formula>AC132&gt;AE132+#REF!</formula>
    </cfRule>
  </conditionalFormatting>
  <conditionalFormatting sqref="AC135:AE135">
    <cfRule type="expression" dxfId="11307" priority="521">
      <formula>AC135&gt;AE135+#REF!</formula>
    </cfRule>
  </conditionalFormatting>
  <conditionalFormatting sqref="AC136:AE136">
    <cfRule type="expression" dxfId="11306" priority="520">
      <formula>AC136&gt;AE136+#REF!</formula>
    </cfRule>
  </conditionalFormatting>
  <conditionalFormatting sqref="AC142:AE142">
    <cfRule type="expression" dxfId="11305" priority="527">
      <formula>AC142&gt;AE142*#REF!</formula>
    </cfRule>
  </conditionalFormatting>
  <conditionalFormatting sqref="AD133:AD134">
    <cfRule type="expression" dxfId="11304" priority="516">
      <formula>AD133&gt;AF133+#REF!</formula>
    </cfRule>
    <cfRule type="expression" dxfId="11303" priority="517">
      <formula>AD133&lt;AF133-#REF!</formula>
    </cfRule>
  </conditionalFormatting>
  <conditionalFormatting sqref="AD137:AD138">
    <cfRule type="expression" dxfId="11302" priority="514">
      <formula>AD137&gt;AF137+#REF!</formula>
    </cfRule>
  </conditionalFormatting>
  <conditionalFormatting sqref="AD137:AD141">
    <cfRule type="expression" dxfId="11301" priority="515">
      <formula>AD137&lt;AF137-#REF!</formula>
    </cfRule>
  </conditionalFormatting>
  <conditionalFormatting sqref="AD139:AD141">
    <cfRule type="expression" dxfId="11300" priority="513">
      <formula>AD139&gt;AF139+#REF!</formula>
    </cfRule>
  </conditionalFormatting>
  <conditionalFormatting sqref="AE133:AE134">
    <cfRule type="expression" dxfId="11299" priority="511">
      <formula>AE133&gt;AG133+#REF!</formula>
    </cfRule>
    <cfRule type="expression" dxfId="11298" priority="512">
      <formula>AE133&lt;AG133-#REF!</formula>
    </cfRule>
  </conditionalFormatting>
  <conditionalFormatting sqref="AE137:AE138">
    <cfRule type="expression" dxfId="11297" priority="509">
      <formula>AE137&gt;AG137+#REF!</formula>
    </cfRule>
    <cfRule type="expression" dxfId="11296" priority="510">
      <formula>AE137&lt;AG137-#REF!</formula>
    </cfRule>
  </conditionalFormatting>
  <conditionalFormatting sqref="AE139:AE141">
    <cfRule type="expression" dxfId="11295" priority="508">
      <formula>AE139&gt;AG139+#REF!</formula>
    </cfRule>
  </conditionalFormatting>
  <conditionalFormatting sqref="AK133:AK134">
    <cfRule type="expression" dxfId="11294" priority="474">
      <formula>AK133&gt;AM133+#REF!</formula>
    </cfRule>
  </conditionalFormatting>
  <conditionalFormatting sqref="AK137:AK138">
    <cfRule type="expression" dxfId="11293" priority="471">
      <formula>AK137&gt;AM137+#REF!</formula>
    </cfRule>
  </conditionalFormatting>
  <conditionalFormatting sqref="AK139:AK141">
    <cfRule type="expression" dxfId="11292" priority="470">
      <formula>AK139&gt;AM139+#REF!</formula>
    </cfRule>
  </conditionalFormatting>
  <conditionalFormatting sqref="AK127:AM127">
    <cfRule type="expression" dxfId="11291" priority="482">
      <formula>AK127&gt;AM127*#REF!</formula>
    </cfRule>
  </conditionalFormatting>
  <conditionalFormatting sqref="AK127:AM128">
    <cfRule type="expression" dxfId="11290" priority="480">
      <formula>AK127&lt;AM127*#REF!</formula>
    </cfRule>
  </conditionalFormatting>
  <conditionalFormatting sqref="AK128:AM128">
    <cfRule type="expression" dxfId="11289" priority="481">
      <formula>AK128&gt;AM128*#REF!</formula>
    </cfRule>
  </conditionalFormatting>
  <conditionalFormatting sqref="AK129:AM129">
    <cfRule type="expression" dxfId="11288" priority="478">
      <formula>AK129&gt;AM129+#REF!</formula>
    </cfRule>
  </conditionalFormatting>
  <conditionalFormatting sqref="AK129:AM131">
    <cfRule type="expression" dxfId="11287" priority="483">
      <formula>AK129&lt;AM129-#REF!</formula>
    </cfRule>
  </conditionalFormatting>
  <conditionalFormatting sqref="AK130:AM130">
    <cfRule type="expression" dxfId="11286" priority="477">
      <formula>AK130&gt;AM130+#REF!</formula>
    </cfRule>
  </conditionalFormatting>
  <conditionalFormatting sqref="AK131:AM131">
    <cfRule type="expression" dxfId="11285" priority="476">
      <formula>AK131&gt;AM131+#REF!</formula>
    </cfRule>
  </conditionalFormatting>
  <conditionalFormatting sqref="AK132:AM132">
    <cfRule type="expression" dxfId="11284" priority="475">
      <formula>AK132&gt;AM132+#REF!</formula>
    </cfRule>
  </conditionalFormatting>
  <conditionalFormatting sqref="AK135:AM135">
    <cfRule type="expression" dxfId="11283" priority="473">
      <formula>AK135&gt;AM135+#REF!</formula>
    </cfRule>
  </conditionalFormatting>
  <conditionalFormatting sqref="AK136:AM136">
    <cfRule type="expression" dxfId="11282" priority="472">
      <formula>AK136&gt;AM136+#REF!</formula>
    </cfRule>
  </conditionalFormatting>
  <conditionalFormatting sqref="AK142:AM142">
    <cfRule type="expression" dxfId="11281" priority="479">
      <formula>AK142&gt;AM142*#REF!</formula>
    </cfRule>
  </conditionalFormatting>
  <conditionalFormatting sqref="AL133:AL134">
    <cfRule type="expression" dxfId="11280" priority="468">
      <formula>AL133&gt;AN133+#REF!</formula>
    </cfRule>
    <cfRule type="expression" dxfId="11279" priority="469">
      <formula>AL133&lt;AN133-#REF!</formula>
    </cfRule>
  </conditionalFormatting>
  <conditionalFormatting sqref="AL137:AL138">
    <cfRule type="expression" dxfId="11278" priority="466">
      <formula>AL137&gt;AN137+#REF!</formula>
    </cfRule>
  </conditionalFormatting>
  <conditionalFormatting sqref="AL137:AL141">
    <cfRule type="expression" dxfId="11277" priority="467">
      <formula>AL137&lt;AN137-#REF!</formula>
    </cfRule>
  </conditionalFormatting>
  <conditionalFormatting sqref="AL139:AL141">
    <cfRule type="expression" dxfId="11276" priority="465">
      <formula>AL139&gt;AN139+#REF!</formula>
    </cfRule>
  </conditionalFormatting>
  <conditionalFormatting sqref="AM133:AM134">
    <cfRule type="expression" dxfId="11275" priority="463">
      <formula>AM133&gt;AO133+#REF!</formula>
    </cfRule>
    <cfRule type="expression" dxfId="11274" priority="464">
      <formula>AM133&lt;AO133-#REF!</formula>
    </cfRule>
  </conditionalFormatting>
  <conditionalFormatting sqref="AM137:AM138">
    <cfRule type="expression" dxfId="11273" priority="461">
      <formula>AM137&gt;AO137+#REF!</formula>
    </cfRule>
    <cfRule type="expression" dxfId="11272" priority="462">
      <formula>AM137&lt;AO137-#REF!</formula>
    </cfRule>
  </conditionalFormatting>
  <conditionalFormatting sqref="AM139:AM141">
    <cfRule type="expression" dxfId="11271" priority="460">
      <formula>AM139&gt;AO139+#REF!</formula>
    </cfRule>
  </conditionalFormatting>
  <conditionalFormatting sqref="AO133:AO134">
    <cfRule type="expression" dxfId="11270" priority="564">
      <formula>AO133&gt;AQ133+#REF!</formula>
    </cfRule>
  </conditionalFormatting>
  <conditionalFormatting sqref="AO137:AO138">
    <cfRule type="expression" dxfId="11269" priority="562">
      <formula>AO137&gt;AQ137+#REF!</formula>
    </cfRule>
  </conditionalFormatting>
  <conditionalFormatting sqref="AO139:AO141">
    <cfRule type="expression" dxfId="11268" priority="561">
      <formula>AO139&gt;AQ139+#REF!</formula>
    </cfRule>
  </conditionalFormatting>
  <conditionalFormatting sqref="AO127:AQ128">
    <cfRule type="expression" dxfId="11267" priority="567">
      <formula>AO127&lt;AQ127*#REF!</formula>
    </cfRule>
    <cfRule type="expression" dxfId="11266" priority="568">
      <formula>AO127&gt;AQ127*#REF!</formula>
    </cfRule>
  </conditionalFormatting>
  <conditionalFormatting sqref="AO129:AQ131">
    <cfRule type="expression" dxfId="11265" priority="569">
      <formula>AO129&lt;AQ129-#REF!</formula>
    </cfRule>
  </conditionalFormatting>
  <conditionalFormatting sqref="AO129:AQ132">
    <cfRule type="expression" dxfId="11264" priority="565">
      <formula>AO129&gt;AQ129+#REF!</formula>
    </cfRule>
  </conditionalFormatting>
  <conditionalFormatting sqref="AO135:AQ136">
    <cfRule type="expression" dxfId="11263" priority="563">
      <formula>AO135&gt;AQ135+#REF!</formula>
    </cfRule>
  </conditionalFormatting>
  <conditionalFormatting sqref="AO142:AQ142">
    <cfRule type="expression" dxfId="11262" priority="566">
      <formula>AO142&gt;AQ142*#REF!</formula>
    </cfRule>
  </conditionalFormatting>
  <conditionalFormatting sqref="AP133:AP134">
    <cfRule type="expression" dxfId="11261" priority="560">
      <formula>AP133&lt;AR133-#REF!</formula>
    </cfRule>
  </conditionalFormatting>
  <conditionalFormatting sqref="AP137:AP141">
    <cfRule type="expression" dxfId="11260" priority="559">
      <formula>AP137&lt;AR137-#REF!</formula>
    </cfRule>
  </conditionalFormatting>
  <conditionalFormatting sqref="AP133:AQ134">
    <cfRule type="expression" dxfId="11259" priority="557">
      <formula>AP133&gt;AR133+#REF!</formula>
    </cfRule>
  </conditionalFormatting>
  <conditionalFormatting sqref="AP137:AQ141">
    <cfRule type="expression" dxfId="11258" priority="555">
      <formula>AP137&gt;AR137+#REF!</formula>
    </cfRule>
  </conditionalFormatting>
  <conditionalFormatting sqref="AQ133:AQ134">
    <cfRule type="expression" dxfId="11257" priority="558">
      <formula>AQ133&lt;AS133-#REF!</formula>
    </cfRule>
  </conditionalFormatting>
  <conditionalFormatting sqref="AQ137:AQ138">
    <cfRule type="expression" dxfId="11256" priority="556">
      <formula>AQ137&lt;AS137-#REF!</formula>
    </cfRule>
  </conditionalFormatting>
  <conditionalFormatting sqref="AS133:AS134">
    <cfRule type="expression" dxfId="11255" priority="454">
      <formula>AS133&gt;AU133+#REF!</formula>
    </cfRule>
  </conditionalFormatting>
  <conditionalFormatting sqref="AS137:AS138">
    <cfRule type="expression" dxfId="11254" priority="452">
      <formula>AS137&gt;AU137+#REF!</formula>
    </cfRule>
  </conditionalFormatting>
  <conditionalFormatting sqref="AS139:AS141">
    <cfRule type="expression" dxfId="11253" priority="451">
      <formula>AS139&gt;AU139+#REF!</formula>
    </cfRule>
  </conditionalFormatting>
  <conditionalFormatting sqref="AS127:AU128">
    <cfRule type="expression" dxfId="11252" priority="457">
      <formula>AS127&lt;AU127*#REF!</formula>
    </cfRule>
    <cfRule type="expression" dxfId="11251" priority="458">
      <formula>AS127&gt;AU127*#REF!</formula>
    </cfRule>
  </conditionalFormatting>
  <conditionalFormatting sqref="AS129:AU131">
    <cfRule type="expression" dxfId="11250" priority="459">
      <formula>AS129&lt;AU129-#REF!</formula>
    </cfRule>
  </conditionalFormatting>
  <conditionalFormatting sqref="AS129:AU132">
    <cfRule type="expression" dxfId="11249" priority="455">
      <formula>AS129&gt;AU129+#REF!</formula>
    </cfRule>
  </conditionalFormatting>
  <conditionalFormatting sqref="AS135:AU136">
    <cfRule type="expression" dxfId="11248" priority="453">
      <formula>AS135&gt;AU135+#REF!</formula>
    </cfRule>
  </conditionalFormatting>
  <conditionalFormatting sqref="AS142:AU142">
    <cfRule type="expression" dxfId="11247" priority="456">
      <formula>AS142&gt;AU142*#REF!</formula>
    </cfRule>
  </conditionalFormatting>
  <conditionalFormatting sqref="AT133:AT134">
    <cfRule type="expression" dxfId="11246" priority="450">
      <formula>AT133&lt;AV133-#REF!</formula>
    </cfRule>
  </conditionalFormatting>
  <conditionalFormatting sqref="AT137:AT141">
    <cfRule type="expression" dxfId="11245" priority="449">
      <formula>AT137&lt;AV137-#REF!</formula>
    </cfRule>
  </conditionalFormatting>
  <conditionalFormatting sqref="AT133:AU134">
    <cfRule type="expression" dxfId="11244" priority="447">
      <formula>AT133&gt;AV133+#REF!</formula>
    </cfRule>
  </conditionalFormatting>
  <conditionalFormatting sqref="AT137:AU141">
    <cfRule type="expression" dxfId="11243" priority="445">
      <formula>AT137&gt;AV137+#REF!</formula>
    </cfRule>
  </conditionalFormatting>
  <conditionalFormatting sqref="AU133:AU134">
    <cfRule type="expression" dxfId="11242" priority="448">
      <formula>AU133&lt;AW133-#REF!</formula>
    </cfRule>
  </conditionalFormatting>
  <conditionalFormatting sqref="AU137:AU138">
    <cfRule type="expression" dxfId="11241" priority="446">
      <formula>AU137&lt;AW137-#REF!</formula>
    </cfRule>
  </conditionalFormatting>
  <conditionalFormatting sqref="E150:E151">
    <cfRule type="expression" dxfId="11240" priority="436">
      <formula>E150&gt;G150+#REF!</formula>
    </cfRule>
  </conditionalFormatting>
  <conditionalFormatting sqref="E154:E155">
    <cfRule type="expression" dxfId="11239" priority="433">
      <formula>E154&gt;G154+#REF!</formula>
    </cfRule>
  </conditionalFormatting>
  <conditionalFormatting sqref="E156:E158">
    <cfRule type="expression" dxfId="11238" priority="432">
      <formula>E156&gt;G156+#REF!</formula>
    </cfRule>
  </conditionalFormatting>
  <conditionalFormatting sqref="E144:G145">
    <cfRule type="expression" dxfId="11237" priority="442">
      <formula>E144&lt;G144*#REF!</formula>
    </cfRule>
    <cfRule type="expression" dxfId="11236" priority="443">
      <formula>E144&gt;G144*#REF!</formula>
    </cfRule>
  </conditionalFormatting>
  <conditionalFormatting sqref="E146:G146">
    <cfRule type="expression" dxfId="11235" priority="440">
      <formula>E146&gt;G146+#REF!</formula>
    </cfRule>
  </conditionalFormatting>
  <conditionalFormatting sqref="E146:G148">
    <cfRule type="expression" dxfId="11234" priority="444">
      <formula>E146&lt;G146-#REF!</formula>
    </cfRule>
  </conditionalFormatting>
  <conditionalFormatting sqref="E147:G147">
    <cfRule type="expression" dxfId="11233" priority="439">
      <formula>E147&gt;G147+#REF!</formula>
    </cfRule>
  </conditionalFormatting>
  <conditionalFormatting sqref="E148:G148">
    <cfRule type="expression" dxfId="11232" priority="438">
      <formula>E148&gt;G148+#REF!</formula>
    </cfRule>
  </conditionalFormatting>
  <conditionalFormatting sqref="E149:G149">
    <cfRule type="expression" dxfId="11231" priority="437">
      <formula>E149&gt;G149+#REF!</formula>
    </cfRule>
  </conditionalFormatting>
  <conditionalFormatting sqref="E152:G152">
    <cfRule type="expression" dxfId="11230" priority="435">
      <formula>E152&gt;G152+#REF!</formula>
    </cfRule>
  </conditionalFormatting>
  <conditionalFormatting sqref="E153:G153">
    <cfRule type="expression" dxfId="11229" priority="434">
      <formula>E153&gt;G153+#REF!</formula>
    </cfRule>
  </conditionalFormatting>
  <conditionalFormatting sqref="E159:G159">
    <cfRule type="expression" dxfId="11228" priority="441">
      <formula>E159&gt;G159*#REF!</formula>
    </cfRule>
  </conditionalFormatting>
  <conditionalFormatting sqref="F150:F151">
    <cfRule type="expression" dxfId="11227" priority="430">
      <formula>F150&gt;H150+#REF!</formula>
    </cfRule>
    <cfRule type="expression" dxfId="11226" priority="431">
      <formula>F150&lt;H150-#REF!</formula>
    </cfRule>
  </conditionalFormatting>
  <conditionalFormatting sqref="F154:F155">
    <cfRule type="expression" dxfId="11225" priority="428">
      <formula>F154&gt;H154+#REF!</formula>
    </cfRule>
  </conditionalFormatting>
  <conditionalFormatting sqref="F154:F158">
    <cfRule type="expression" dxfId="11224" priority="429">
      <formula>F154&lt;H154-#REF!</formula>
    </cfRule>
  </conditionalFormatting>
  <conditionalFormatting sqref="F156:F158">
    <cfRule type="expression" dxfId="11223" priority="427">
      <formula>F156&gt;H156+#REF!</formula>
    </cfRule>
  </conditionalFormatting>
  <conditionalFormatting sqref="G150:G151">
    <cfRule type="expression" dxfId="11222" priority="425">
      <formula>G150&gt;I150+#REF!</formula>
    </cfRule>
    <cfRule type="expression" dxfId="11221" priority="426">
      <formula>G150&lt;I150-#REF!</formula>
    </cfRule>
  </conditionalFormatting>
  <conditionalFormatting sqref="G154:G155">
    <cfRule type="expression" dxfId="11220" priority="423">
      <formula>G154&gt;I154+#REF!</formula>
    </cfRule>
    <cfRule type="expression" dxfId="11219" priority="424">
      <formula>G154&lt;I154-#REF!</formula>
    </cfRule>
  </conditionalFormatting>
  <conditionalFormatting sqref="G156:G158">
    <cfRule type="expression" dxfId="11218" priority="422">
      <formula>G156&gt;I156+#REF!</formula>
    </cfRule>
  </conditionalFormatting>
  <conditionalFormatting sqref="Q150:Q151">
    <cfRule type="expression" dxfId="11217" priority="367">
      <formula>Q150&gt;S150+#REF!</formula>
    </cfRule>
  </conditionalFormatting>
  <conditionalFormatting sqref="Q154:Q155">
    <cfRule type="expression" dxfId="11216" priority="364">
      <formula>Q154&gt;S154+#REF!</formula>
    </cfRule>
  </conditionalFormatting>
  <conditionalFormatting sqref="Q156:Q158">
    <cfRule type="expression" dxfId="11215" priority="363">
      <formula>Q156&gt;S156+#REF!</formula>
    </cfRule>
  </conditionalFormatting>
  <conditionalFormatting sqref="Q144:S145">
    <cfRule type="expression" dxfId="11214" priority="373">
      <formula>Q144&lt;S144*#REF!</formula>
    </cfRule>
    <cfRule type="expression" dxfId="11213" priority="374">
      <formula>Q144&gt;S144*#REF!</formula>
    </cfRule>
  </conditionalFormatting>
  <conditionalFormatting sqref="Q146:S146">
    <cfRule type="expression" dxfId="11212" priority="371">
      <formula>Q146&gt;S146+#REF!</formula>
    </cfRule>
  </conditionalFormatting>
  <conditionalFormatting sqref="Q146:S148">
    <cfRule type="expression" dxfId="11211" priority="375">
      <formula>Q146&lt;S146-#REF!</formula>
    </cfRule>
  </conditionalFormatting>
  <conditionalFormatting sqref="Q147:S147">
    <cfRule type="expression" dxfId="11210" priority="370">
      <formula>Q147&gt;S147+#REF!</formula>
    </cfRule>
  </conditionalFormatting>
  <conditionalFormatting sqref="Q148:S148">
    <cfRule type="expression" dxfId="11209" priority="369">
      <formula>Q148&gt;S148+#REF!</formula>
    </cfRule>
  </conditionalFormatting>
  <conditionalFormatting sqref="Q149:S149">
    <cfRule type="expression" dxfId="11208" priority="368">
      <formula>Q149&gt;S149+#REF!</formula>
    </cfRule>
  </conditionalFormatting>
  <conditionalFormatting sqref="Q152:S152">
    <cfRule type="expression" dxfId="11207" priority="366">
      <formula>Q152&gt;S152+#REF!</formula>
    </cfRule>
  </conditionalFormatting>
  <conditionalFormatting sqref="Q153:S153">
    <cfRule type="expression" dxfId="11206" priority="365">
      <formula>Q153&gt;S153+#REF!</formula>
    </cfRule>
  </conditionalFormatting>
  <conditionalFormatting sqref="Q159:S159">
    <cfRule type="expression" dxfId="11205" priority="372">
      <formula>Q159&gt;S159*#REF!</formula>
    </cfRule>
  </conditionalFormatting>
  <conditionalFormatting sqref="R150:R151">
    <cfRule type="expression" dxfId="11204" priority="361">
      <formula>R150&gt;T150+#REF!</formula>
    </cfRule>
    <cfRule type="expression" dxfId="11203" priority="362">
      <formula>R150&lt;T150-#REF!</formula>
    </cfRule>
  </conditionalFormatting>
  <conditionalFormatting sqref="R154:R155">
    <cfRule type="expression" dxfId="11202" priority="359">
      <formula>R154&gt;T154+#REF!</formula>
    </cfRule>
  </conditionalFormatting>
  <conditionalFormatting sqref="R154:R158">
    <cfRule type="expression" dxfId="11201" priority="360">
      <formula>R154&lt;T154-#REF!</formula>
    </cfRule>
  </conditionalFormatting>
  <conditionalFormatting sqref="R156:R158">
    <cfRule type="expression" dxfId="11200" priority="358">
      <formula>R156&gt;T156+#REF!</formula>
    </cfRule>
  </conditionalFormatting>
  <conditionalFormatting sqref="S150:S151">
    <cfRule type="expression" dxfId="11199" priority="356">
      <formula>S150&gt;U150+#REF!</formula>
    </cfRule>
    <cfRule type="expression" dxfId="11198" priority="357">
      <formula>S150&lt;U150-#REF!</formula>
    </cfRule>
  </conditionalFormatting>
  <conditionalFormatting sqref="S154:S155">
    <cfRule type="expression" dxfId="11197" priority="354">
      <formula>S154&gt;U154+#REF!</formula>
    </cfRule>
    <cfRule type="expression" dxfId="11196" priority="355">
      <formula>S154&lt;U154-#REF!</formula>
    </cfRule>
  </conditionalFormatting>
  <conditionalFormatting sqref="S156:S158">
    <cfRule type="expression" dxfId="11195" priority="353">
      <formula>S156&gt;U156+#REF!</formula>
    </cfRule>
  </conditionalFormatting>
  <conditionalFormatting sqref="Y150:Y151">
    <cfRule type="expression" dxfId="11194" priority="314">
      <formula>Y150&gt;AA150+#REF!</formula>
    </cfRule>
  </conditionalFormatting>
  <conditionalFormatting sqref="Y154:Y155">
    <cfRule type="expression" dxfId="11193" priority="311">
      <formula>Y154&gt;AA154+#REF!</formula>
    </cfRule>
  </conditionalFormatting>
  <conditionalFormatting sqref="Y156:Y158">
    <cfRule type="expression" dxfId="11192" priority="310">
      <formula>Y156&gt;AA156+#REF!</formula>
    </cfRule>
  </conditionalFormatting>
  <conditionalFormatting sqref="Y144:AA145">
    <cfRule type="expression" dxfId="11191" priority="320">
      <formula>Y144&lt;AA144*#REF!</formula>
    </cfRule>
    <cfRule type="expression" dxfId="11190" priority="321">
      <formula>Y144&gt;AA144*#REF!</formula>
    </cfRule>
  </conditionalFormatting>
  <conditionalFormatting sqref="Y146:AA146">
    <cfRule type="expression" dxfId="11189" priority="318">
      <formula>Y146&gt;AA146+#REF!</formula>
    </cfRule>
  </conditionalFormatting>
  <conditionalFormatting sqref="Y146:AA148">
    <cfRule type="expression" dxfId="11188" priority="322">
      <formula>Y146&lt;AA146-#REF!</formula>
    </cfRule>
  </conditionalFormatting>
  <conditionalFormatting sqref="Y147:AA147">
    <cfRule type="expression" dxfId="11187" priority="317">
      <formula>Y147&gt;AA147+#REF!</formula>
    </cfRule>
  </conditionalFormatting>
  <conditionalFormatting sqref="Y148:AA148">
    <cfRule type="expression" dxfId="11186" priority="316">
      <formula>Y148&gt;AA148+#REF!</formula>
    </cfRule>
  </conditionalFormatting>
  <conditionalFormatting sqref="Y149:AA149">
    <cfRule type="expression" dxfId="11185" priority="315">
      <formula>Y149&gt;AA149+#REF!</formula>
    </cfRule>
  </conditionalFormatting>
  <conditionalFormatting sqref="Y152:AA152">
    <cfRule type="expression" dxfId="11184" priority="313">
      <formula>Y152&gt;AA152+#REF!</formula>
    </cfRule>
  </conditionalFormatting>
  <conditionalFormatting sqref="Y153:AA153">
    <cfRule type="expression" dxfId="11183" priority="312">
      <formula>Y153&gt;AA153+#REF!</formula>
    </cfRule>
  </conditionalFormatting>
  <conditionalFormatting sqref="Y159:AA159">
    <cfRule type="expression" dxfId="11182" priority="319">
      <formula>Y159&gt;AA159*#REF!</formula>
    </cfRule>
  </conditionalFormatting>
  <conditionalFormatting sqref="Z150:Z151">
    <cfRule type="expression" dxfId="11181" priority="308">
      <formula>Z150&gt;AB150+#REF!</formula>
    </cfRule>
    <cfRule type="expression" dxfId="11180" priority="309">
      <formula>Z150&lt;AB150-#REF!</formula>
    </cfRule>
  </conditionalFormatting>
  <conditionalFormatting sqref="Z154:Z155">
    <cfRule type="expression" dxfId="11179" priority="306">
      <formula>Z154&gt;AB154+#REF!</formula>
    </cfRule>
  </conditionalFormatting>
  <conditionalFormatting sqref="Z154:Z158">
    <cfRule type="expression" dxfId="11178" priority="307">
      <formula>Z154&lt;AB154-#REF!</formula>
    </cfRule>
  </conditionalFormatting>
  <conditionalFormatting sqref="Z156:Z158">
    <cfRule type="expression" dxfId="11177" priority="305">
      <formula>Z156&gt;AB156+#REF!</formula>
    </cfRule>
  </conditionalFormatting>
  <conditionalFormatting sqref="AA150:AA151">
    <cfRule type="expression" dxfId="11176" priority="303">
      <formula>AA150&gt;AC150+#REF!</formula>
    </cfRule>
    <cfRule type="expression" dxfId="11175" priority="304">
      <formula>AA150&lt;AC150-#REF!</formula>
    </cfRule>
  </conditionalFormatting>
  <conditionalFormatting sqref="AA154:AA155">
    <cfRule type="expression" dxfId="11174" priority="301">
      <formula>AA154&gt;AC154+#REF!</formula>
    </cfRule>
    <cfRule type="expression" dxfId="11173" priority="302">
      <formula>AA154&lt;AC154-#REF!</formula>
    </cfRule>
  </conditionalFormatting>
  <conditionalFormatting sqref="AA156:AA158">
    <cfRule type="expression" dxfId="11172" priority="300">
      <formula>AA156&gt;AC156+#REF!</formula>
    </cfRule>
  </conditionalFormatting>
  <conditionalFormatting sqref="AC150:AC151">
    <cfRule type="expression" dxfId="11171" priority="290">
      <formula>AC150&gt;AE150+#REF!</formula>
    </cfRule>
  </conditionalFormatting>
  <conditionalFormatting sqref="AC154:AC155">
    <cfRule type="expression" dxfId="11170" priority="287">
      <formula>AC154&gt;AE154+#REF!</formula>
    </cfRule>
  </conditionalFormatting>
  <conditionalFormatting sqref="AC156:AC158">
    <cfRule type="expression" dxfId="11169" priority="286">
      <formula>AC156&gt;AE156+#REF!</formula>
    </cfRule>
  </conditionalFormatting>
  <conditionalFormatting sqref="AC144:AE144">
    <cfRule type="expression" dxfId="11168" priority="298">
      <formula>AC144&gt;AE144*#REF!</formula>
    </cfRule>
  </conditionalFormatting>
  <conditionalFormatting sqref="AC144:AE145">
    <cfRule type="expression" dxfId="11167" priority="296">
      <formula>AC144&lt;AE144*#REF!</formula>
    </cfRule>
  </conditionalFormatting>
  <conditionalFormatting sqref="AC145:AE145">
    <cfRule type="expression" dxfId="11166" priority="297">
      <formula>AC145&gt;AE145*#REF!</formula>
    </cfRule>
  </conditionalFormatting>
  <conditionalFormatting sqref="AC146:AE146">
    <cfRule type="expression" dxfId="11165" priority="294">
      <formula>AC146&gt;AE146+#REF!</formula>
    </cfRule>
  </conditionalFormatting>
  <conditionalFormatting sqref="AC146:AE148">
    <cfRule type="expression" dxfId="11164" priority="299">
      <formula>AC146&lt;AE146-#REF!</formula>
    </cfRule>
  </conditionalFormatting>
  <conditionalFormatting sqref="AC147:AE147">
    <cfRule type="expression" dxfId="11163" priority="293">
      <formula>AC147&gt;AE147+#REF!</formula>
    </cfRule>
  </conditionalFormatting>
  <conditionalFormatting sqref="AC148:AE148">
    <cfRule type="expression" dxfId="11162" priority="292">
      <formula>AC148&gt;AE148+#REF!</formula>
    </cfRule>
  </conditionalFormatting>
  <conditionalFormatting sqref="AC149:AE149">
    <cfRule type="expression" dxfId="11161" priority="291">
      <formula>AC149&gt;AE149+#REF!</formula>
    </cfRule>
  </conditionalFormatting>
  <conditionalFormatting sqref="AC152:AE152">
    <cfRule type="expression" dxfId="11160" priority="289">
      <formula>AC152&gt;AE152+#REF!</formula>
    </cfRule>
  </conditionalFormatting>
  <conditionalFormatting sqref="AC153:AE153">
    <cfRule type="expression" dxfId="11159" priority="288">
      <formula>AC153&gt;AE153+#REF!</formula>
    </cfRule>
  </conditionalFormatting>
  <conditionalFormatting sqref="AC159:AE159">
    <cfRule type="expression" dxfId="11158" priority="295">
      <formula>AC159&gt;AE159*#REF!</formula>
    </cfRule>
  </conditionalFormatting>
  <conditionalFormatting sqref="AD150:AD151">
    <cfRule type="expression" dxfId="11157" priority="284">
      <formula>AD150&gt;AF150+#REF!</formula>
    </cfRule>
    <cfRule type="expression" dxfId="11156" priority="285">
      <formula>AD150&lt;AF150-#REF!</formula>
    </cfRule>
  </conditionalFormatting>
  <conditionalFormatting sqref="AD154:AD155">
    <cfRule type="expression" dxfId="11155" priority="282">
      <formula>AD154&gt;AF154+#REF!</formula>
    </cfRule>
  </conditionalFormatting>
  <conditionalFormatting sqref="AD154:AD158">
    <cfRule type="expression" dxfId="11154" priority="283">
      <formula>AD154&lt;AF154-#REF!</formula>
    </cfRule>
  </conditionalFormatting>
  <conditionalFormatting sqref="AD156:AD158">
    <cfRule type="expression" dxfId="11153" priority="281">
      <formula>AD156&gt;AF156+#REF!</formula>
    </cfRule>
  </conditionalFormatting>
  <conditionalFormatting sqref="AE150:AE151">
    <cfRule type="expression" dxfId="11152" priority="279">
      <formula>AE150&gt;AG150+#REF!</formula>
    </cfRule>
    <cfRule type="expression" dxfId="11151" priority="280">
      <formula>AE150&lt;AG150-#REF!</formula>
    </cfRule>
  </conditionalFormatting>
  <conditionalFormatting sqref="AE154:AE155">
    <cfRule type="expression" dxfId="11150" priority="277">
      <formula>AE154&gt;AG154+#REF!</formula>
    </cfRule>
    <cfRule type="expression" dxfId="11149" priority="278">
      <formula>AE154&lt;AG154-#REF!</formula>
    </cfRule>
  </conditionalFormatting>
  <conditionalFormatting sqref="AE156:AE158">
    <cfRule type="expression" dxfId="11148" priority="276">
      <formula>AE156&gt;AG156+#REF!</formula>
    </cfRule>
  </conditionalFormatting>
  <conditionalFormatting sqref="AK150:AK151">
    <cfRule type="expression" dxfId="11147" priority="242">
      <formula>AK150&gt;AM150+#REF!</formula>
    </cfRule>
  </conditionalFormatting>
  <conditionalFormatting sqref="AK154:AK155">
    <cfRule type="expression" dxfId="11146" priority="239">
      <formula>AK154&gt;AM154+#REF!</formula>
    </cfRule>
  </conditionalFormatting>
  <conditionalFormatting sqref="AK156:AK158">
    <cfRule type="expression" dxfId="11145" priority="238">
      <formula>AK156&gt;AM156+#REF!</formula>
    </cfRule>
  </conditionalFormatting>
  <conditionalFormatting sqref="AK144:AM144">
    <cfRule type="expression" dxfId="11144" priority="250">
      <formula>AK144&gt;AM144*#REF!</formula>
    </cfRule>
  </conditionalFormatting>
  <conditionalFormatting sqref="AK144:AM145">
    <cfRule type="expression" dxfId="11143" priority="248">
      <formula>AK144&lt;AM144*#REF!</formula>
    </cfRule>
  </conditionalFormatting>
  <conditionalFormatting sqref="AK145:AM145">
    <cfRule type="expression" dxfId="11142" priority="249">
      <formula>AK145&gt;AM145*#REF!</formula>
    </cfRule>
  </conditionalFormatting>
  <conditionalFormatting sqref="AK146:AM146">
    <cfRule type="expression" dxfId="11141" priority="246">
      <formula>AK146&gt;AM146+#REF!</formula>
    </cfRule>
  </conditionalFormatting>
  <conditionalFormatting sqref="AK146:AM148">
    <cfRule type="expression" dxfId="11140" priority="251">
      <formula>AK146&lt;AM146-#REF!</formula>
    </cfRule>
  </conditionalFormatting>
  <conditionalFormatting sqref="AK147:AM147">
    <cfRule type="expression" dxfId="11139" priority="245">
      <formula>AK147&gt;AM147+#REF!</formula>
    </cfRule>
  </conditionalFormatting>
  <conditionalFormatting sqref="AK148:AM148">
    <cfRule type="expression" dxfId="11138" priority="244">
      <formula>AK148&gt;AM148+#REF!</formula>
    </cfRule>
  </conditionalFormatting>
  <conditionalFormatting sqref="AK149:AM149">
    <cfRule type="expression" dxfId="11137" priority="243">
      <formula>AK149&gt;AM149+#REF!</formula>
    </cfRule>
  </conditionalFormatting>
  <conditionalFormatting sqref="AK152:AM152">
    <cfRule type="expression" dxfId="11136" priority="241">
      <formula>AK152&gt;AM152+#REF!</formula>
    </cfRule>
  </conditionalFormatting>
  <conditionalFormatting sqref="AK153:AM153">
    <cfRule type="expression" dxfId="11135" priority="240">
      <formula>AK153&gt;AM153+#REF!</formula>
    </cfRule>
  </conditionalFormatting>
  <conditionalFormatting sqref="AK159:AM159">
    <cfRule type="expression" dxfId="11134" priority="247">
      <formula>AK159&gt;AM159*#REF!</formula>
    </cfRule>
  </conditionalFormatting>
  <conditionalFormatting sqref="AL150:AL151">
    <cfRule type="expression" dxfId="11133" priority="236">
      <formula>AL150&gt;AN150+#REF!</formula>
    </cfRule>
    <cfRule type="expression" dxfId="11132" priority="237">
      <formula>AL150&lt;AN150-#REF!</formula>
    </cfRule>
  </conditionalFormatting>
  <conditionalFormatting sqref="AL154:AL155">
    <cfRule type="expression" dxfId="11131" priority="234">
      <formula>AL154&gt;AN154+#REF!</formula>
    </cfRule>
  </conditionalFormatting>
  <conditionalFormatting sqref="AL154:AL158">
    <cfRule type="expression" dxfId="11130" priority="235">
      <formula>AL154&lt;AN154-#REF!</formula>
    </cfRule>
  </conditionalFormatting>
  <conditionalFormatting sqref="AL156:AL158">
    <cfRule type="expression" dxfId="11129" priority="233">
      <formula>AL156&gt;AN156+#REF!</formula>
    </cfRule>
  </conditionalFormatting>
  <conditionalFormatting sqref="AM150:AM151">
    <cfRule type="expression" dxfId="11128" priority="231">
      <formula>AM150&gt;AO150+#REF!</formula>
    </cfRule>
    <cfRule type="expression" dxfId="11127" priority="232">
      <formula>AM150&lt;AO150-#REF!</formula>
    </cfRule>
  </conditionalFormatting>
  <conditionalFormatting sqref="AM154:AM155">
    <cfRule type="expression" dxfId="11126" priority="229">
      <formula>AM154&gt;AO154+#REF!</formula>
    </cfRule>
    <cfRule type="expression" dxfId="11125" priority="230">
      <formula>AM154&lt;AO154-#REF!</formula>
    </cfRule>
  </conditionalFormatting>
  <conditionalFormatting sqref="AM156:AM158">
    <cfRule type="expression" dxfId="11124" priority="228">
      <formula>AM156&gt;AO156+#REF!</formula>
    </cfRule>
  </conditionalFormatting>
  <conditionalFormatting sqref="AO150:AO151">
    <cfRule type="expression" dxfId="11123" priority="332">
      <formula>AO150&gt;AQ150+#REF!</formula>
    </cfRule>
  </conditionalFormatting>
  <conditionalFormatting sqref="AO154:AO155">
    <cfRule type="expression" dxfId="11122" priority="330">
      <formula>AO154&gt;AQ154+#REF!</formula>
    </cfRule>
  </conditionalFormatting>
  <conditionalFormatting sqref="AO156:AO158">
    <cfRule type="expression" dxfId="11121" priority="329">
      <formula>AO156&gt;AQ156+#REF!</formula>
    </cfRule>
  </conditionalFormatting>
  <conditionalFormatting sqref="AO144:AQ145">
    <cfRule type="expression" dxfId="11120" priority="335">
      <formula>AO144&lt;AQ144*#REF!</formula>
    </cfRule>
    <cfRule type="expression" dxfId="11119" priority="336">
      <formula>AO144&gt;AQ144*#REF!</formula>
    </cfRule>
  </conditionalFormatting>
  <conditionalFormatting sqref="AO146:AQ148">
    <cfRule type="expression" dxfId="11118" priority="337">
      <formula>AO146&lt;AQ146-#REF!</formula>
    </cfRule>
  </conditionalFormatting>
  <conditionalFormatting sqref="AO146:AQ149">
    <cfRule type="expression" dxfId="11117" priority="333">
      <formula>AO146&gt;AQ146+#REF!</formula>
    </cfRule>
  </conditionalFormatting>
  <conditionalFormatting sqref="AO152:AQ153">
    <cfRule type="expression" dxfId="11116" priority="331">
      <formula>AO152&gt;AQ152+#REF!</formula>
    </cfRule>
  </conditionalFormatting>
  <conditionalFormatting sqref="AO159:AQ159">
    <cfRule type="expression" dxfId="11115" priority="334">
      <formula>AO159&gt;AQ159*#REF!</formula>
    </cfRule>
  </conditionalFormatting>
  <conditionalFormatting sqref="AP150:AP151">
    <cfRule type="expression" dxfId="11114" priority="328">
      <formula>AP150&lt;AR150-#REF!</formula>
    </cfRule>
  </conditionalFormatting>
  <conditionalFormatting sqref="AP154:AP158">
    <cfRule type="expression" dxfId="11113" priority="327">
      <formula>AP154&lt;AR154-#REF!</formula>
    </cfRule>
  </conditionalFormatting>
  <conditionalFormatting sqref="AP150:AQ151">
    <cfRule type="expression" dxfId="11112" priority="325">
      <formula>AP150&gt;AR150+#REF!</formula>
    </cfRule>
  </conditionalFormatting>
  <conditionalFormatting sqref="AP154:AQ158">
    <cfRule type="expression" dxfId="11111" priority="323">
      <formula>AP154&gt;AR154+#REF!</formula>
    </cfRule>
  </conditionalFormatting>
  <conditionalFormatting sqref="AQ150:AQ151">
    <cfRule type="expression" dxfId="11110" priority="326">
      <formula>AQ150&lt;AS150-#REF!</formula>
    </cfRule>
  </conditionalFormatting>
  <conditionalFormatting sqref="AQ154:AQ155">
    <cfRule type="expression" dxfId="11109" priority="324">
      <formula>AQ154&lt;AS154-#REF!</formula>
    </cfRule>
  </conditionalFormatting>
  <conditionalFormatting sqref="AS150:AS151">
    <cfRule type="expression" dxfId="11108" priority="222">
      <formula>AS150&gt;AU150+#REF!</formula>
    </cfRule>
  </conditionalFormatting>
  <conditionalFormatting sqref="AS154:AS155">
    <cfRule type="expression" dxfId="11107" priority="220">
      <formula>AS154&gt;AU154+#REF!</formula>
    </cfRule>
  </conditionalFormatting>
  <conditionalFormatting sqref="AS156:AS158">
    <cfRule type="expression" dxfId="11106" priority="219">
      <formula>AS156&gt;AU156+#REF!</formula>
    </cfRule>
  </conditionalFormatting>
  <conditionalFormatting sqref="AS144:AU145">
    <cfRule type="expression" dxfId="11105" priority="225">
      <formula>AS144&lt;AU144*#REF!</formula>
    </cfRule>
    <cfRule type="expression" dxfId="11104" priority="226">
      <formula>AS144&gt;AU144*#REF!</formula>
    </cfRule>
  </conditionalFormatting>
  <conditionalFormatting sqref="AS146:AU148">
    <cfRule type="expression" dxfId="11103" priority="227">
      <formula>AS146&lt;AU146-#REF!</formula>
    </cfRule>
  </conditionalFormatting>
  <conditionalFormatting sqref="AS146:AU149">
    <cfRule type="expression" dxfId="11102" priority="223">
      <formula>AS146&gt;AU146+#REF!</formula>
    </cfRule>
  </conditionalFormatting>
  <conditionalFormatting sqref="AS152:AU153">
    <cfRule type="expression" dxfId="11101" priority="221">
      <formula>AS152&gt;AU152+#REF!</formula>
    </cfRule>
  </conditionalFormatting>
  <conditionalFormatting sqref="AS159:AU159">
    <cfRule type="expression" dxfId="11100" priority="224">
      <formula>AS159&gt;AU159*#REF!</formula>
    </cfRule>
  </conditionalFormatting>
  <conditionalFormatting sqref="AT150:AT151">
    <cfRule type="expression" dxfId="11099" priority="218">
      <formula>AT150&lt;AV150-#REF!</formula>
    </cfRule>
  </conditionalFormatting>
  <conditionalFormatting sqref="AT154:AT158">
    <cfRule type="expression" dxfId="11098" priority="217">
      <formula>AT154&lt;AV154-#REF!</formula>
    </cfRule>
  </conditionalFormatting>
  <conditionalFormatting sqref="AT150:AU151">
    <cfRule type="expression" dxfId="11097" priority="215">
      <formula>AT150&gt;AV150+#REF!</formula>
    </cfRule>
  </conditionalFormatting>
  <conditionalFormatting sqref="AT154:AU158">
    <cfRule type="expression" dxfId="11096" priority="213">
      <formula>AT154&gt;AV154+#REF!</formula>
    </cfRule>
  </conditionalFormatting>
  <conditionalFormatting sqref="AU150:AU151">
    <cfRule type="expression" dxfId="11095" priority="216">
      <formula>AU150&lt;AW150-#REF!</formula>
    </cfRule>
  </conditionalFormatting>
  <conditionalFormatting sqref="AU154:AU155">
    <cfRule type="expression" dxfId="11094" priority="214">
      <formula>AU154&lt;AW154-#REF!</formula>
    </cfRule>
  </conditionalFormatting>
  <conditionalFormatting sqref="I286:I287">
    <cfRule type="expression" dxfId="11093" priority="204">
      <formula>I286&gt;K286+#REF!</formula>
    </cfRule>
  </conditionalFormatting>
  <conditionalFormatting sqref="I290:I291">
    <cfRule type="expression" dxfId="11092" priority="201">
      <formula>I290&gt;K290+#REF!</formula>
    </cfRule>
  </conditionalFormatting>
  <conditionalFormatting sqref="I292:I294">
    <cfRule type="expression" dxfId="11091" priority="200">
      <formula>I292&gt;K292+#REF!</formula>
    </cfRule>
  </conditionalFormatting>
  <conditionalFormatting sqref="I280:K281">
    <cfRule type="expression" dxfId="11090" priority="210">
      <formula>I280&lt;K280*#REF!</formula>
    </cfRule>
    <cfRule type="expression" dxfId="11089" priority="211">
      <formula>I280&gt;K280*#REF!</formula>
    </cfRule>
  </conditionalFormatting>
  <conditionalFormatting sqref="I282:K282">
    <cfRule type="expression" dxfId="11088" priority="208">
      <formula>I282&gt;K282+#REF!</formula>
    </cfRule>
  </conditionalFormatting>
  <conditionalFormatting sqref="I282:K284">
    <cfRule type="expression" dxfId="11087" priority="212">
      <formula>I282&lt;K282-#REF!</formula>
    </cfRule>
  </conditionalFormatting>
  <conditionalFormatting sqref="I283:K283">
    <cfRule type="expression" dxfId="11086" priority="207">
      <formula>I283&gt;K283+#REF!</formula>
    </cfRule>
  </conditionalFormatting>
  <conditionalFormatting sqref="I284:K284">
    <cfRule type="expression" dxfId="11085" priority="206">
      <formula>I284&gt;K284+#REF!</formula>
    </cfRule>
  </conditionalFormatting>
  <conditionalFormatting sqref="I285:K285">
    <cfRule type="expression" dxfId="11084" priority="205">
      <formula>I285&gt;K285+#REF!</formula>
    </cfRule>
  </conditionalFormatting>
  <conditionalFormatting sqref="I288:K288">
    <cfRule type="expression" dxfId="11083" priority="203">
      <formula>I288&gt;K288+#REF!</formula>
    </cfRule>
  </conditionalFormatting>
  <conditionalFormatting sqref="I289:K289">
    <cfRule type="expression" dxfId="11082" priority="202">
      <formula>I289&gt;K289+#REF!</formula>
    </cfRule>
  </conditionalFormatting>
  <conditionalFormatting sqref="I295:K295">
    <cfRule type="expression" dxfId="11081" priority="209">
      <formula>I295&gt;K295*#REF!</formula>
    </cfRule>
  </conditionalFormatting>
  <conditionalFormatting sqref="J286:J287">
    <cfRule type="expression" dxfId="11080" priority="198">
      <formula>J286&gt;L286+#REF!</formula>
    </cfRule>
    <cfRule type="expression" dxfId="11079" priority="199">
      <formula>J286&lt;L286-#REF!</formula>
    </cfRule>
  </conditionalFormatting>
  <conditionalFormatting sqref="J290:J291">
    <cfRule type="expression" dxfId="11078" priority="196">
      <formula>J290&gt;L290+#REF!</formula>
    </cfRule>
  </conditionalFormatting>
  <conditionalFormatting sqref="J290:J293">
    <cfRule type="expression" dxfId="11077" priority="197">
      <formula>J290&lt;L290-#REF!</formula>
    </cfRule>
  </conditionalFormatting>
  <conditionalFormatting sqref="J292:J293">
    <cfRule type="expression" dxfId="11076" priority="195">
      <formula>J292&gt;L292+#REF!</formula>
    </cfRule>
  </conditionalFormatting>
  <conditionalFormatting sqref="J294">
    <cfRule type="expression" dxfId="11075" priority="189">
      <formula>J294&gt;L294+#REF!</formula>
    </cfRule>
  </conditionalFormatting>
  <conditionalFormatting sqref="K286:K287">
    <cfRule type="expression" dxfId="11074" priority="193">
      <formula>K286&gt;M286+#REF!</formula>
    </cfRule>
    <cfRule type="expression" dxfId="11073" priority="194">
      <formula>K286&lt;M286-#REF!</formula>
    </cfRule>
  </conditionalFormatting>
  <conditionalFormatting sqref="K290:K291">
    <cfRule type="expression" dxfId="11072" priority="191">
      <formula>K290&gt;M290+#REF!</formula>
    </cfRule>
    <cfRule type="expression" dxfId="11071" priority="192">
      <formula>K290&lt;M290-#REF!</formula>
    </cfRule>
  </conditionalFormatting>
  <conditionalFormatting sqref="K292:K293">
    <cfRule type="expression" dxfId="11070" priority="190">
      <formula>K292&gt;M292+#REF!</formula>
    </cfRule>
  </conditionalFormatting>
  <conditionalFormatting sqref="K294">
    <cfRule type="expression" dxfId="11069" priority="188">
      <formula>K294&gt;M294+#REF!</formula>
    </cfRule>
  </conditionalFormatting>
  <conditionalFormatting sqref="U280:W281">
    <cfRule type="expression" dxfId="11068" priority="185">
      <formula>U280&lt;W280*#REF!</formula>
    </cfRule>
    <cfRule type="expression" dxfId="11067" priority="186">
      <formula>U280&gt;W280*#REF!</formula>
    </cfRule>
  </conditionalFormatting>
  <conditionalFormatting sqref="U282:W284">
    <cfRule type="expression" dxfId="11066" priority="187">
      <formula>U282&lt;W282-#REF!</formula>
    </cfRule>
  </conditionalFormatting>
  <conditionalFormatting sqref="U282:W294">
    <cfRule type="expression" dxfId="11065" priority="179">
      <formula>U282&gt;W282+#REF!</formula>
    </cfRule>
  </conditionalFormatting>
  <conditionalFormatting sqref="U295:W295">
    <cfRule type="expression" dxfId="11064" priority="184">
      <formula>U295&gt;W295*#REF!</formula>
    </cfRule>
  </conditionalFormatting>
  <conditionalFormatting sqref="V286:V287">
    <cfRule type="expression" dxfId="11063" priority="183">
      <formula>V286&lt;X286-#REF!</formula>
    </cfRule>
  </conditionalFormatting>
  <conditionalFormatting sqref="V290:V294">
    <cfRule type="expression" dxfId="11062" priority="182">
      <formula>V290&lt;X290-#REF!</formula>
    </cfRule>
  </conditionalFormatting>
  <conditionalFormatting sqref="W286:W287">
    <cfRule type="expression" dxfId="11061" priority="181">
      <formula>W286&lt;Y286-#REF!</formula>
    </cfRule>
  </conditionalFormatting>
  <conditionalFormatting sqref="W290:W291">
    <cfRule type="expression" dxfId="11060" priority="180">
      <formula>W290&lt;Y290-#REF!</formula>
    </cfRule>
  </conditionalFormatting>
  <conditionalFormatting sqref="I150:I151">
    <cfRule type="expression" dxfId="11059" priority="124">
      <formula>I150&gt;K150+#REF!</formula>
    </cfRule>
  </conditionalFormatting>
  <conditionalFormatting sqref="I154:I155">
    <cfRule type="expression" dxfId="11058" priority="121">
      <formula>I154&gt;K154+#REF!</formula>
    </cfRule>
  </conditionalFormatting>
  <conditionalFormatting sqref="I156:I158">
    <cfRule type="expression" dxfId="11057" priority="120">
      <formula>I156&gt;K156+#REF!</formula>
    </cfRule>
  </conditionalFormatting>
  <conditionalFormatting sqref="I144:K145">
    <cfRule type="expression" dxfId="11056" priority="130">
      <formula>I144&lt;K144*#REF!</formula>
    </cfRule>
    <cfRule type="expression" dxfId="11055" priority="131">
      <formula>I144&gt;K144*#REF!</formula>
    </cfRule>
  </conditionalFormatting>
  <conditionalFormatting sqref="I146:K146">
    <cfRule type="expression" dxfId="11054" priority="128">
      <formula>I146&gt;K146+#REF!</formula>
    </cfRule>
  </conditionalFormatting>
  <conditionalFormatting sqref="I146:K148">
    <cfRule type="expression" dxfId="11053" priority="132">
      <formula>I146&lt;K146-#REF!</formula>
    </cfRule>
  </conditionalFormatting>
  <conditionalFormatting sqref="I147:K147">
    <cfRule type="expression" dxfId="11052" priority="127">
      <formula>I147&gt;K147+#REF!</formula>
    </cfRule>
  </conditionalFormatting>
  <conditionalFormatting sqref="I148:K148">
    <cfRule type="expression" dxfId="11051" priority="126">
      <formula>I148&gt;K148+#REF!</formula>
    </cfRule>
  </conditionalFormatting>
  <conditionalFormatting sqref="I149:K149">
    <cfRule type="expression" dxfId="11050" priority="125">
      <formula>I149&gt;K149+#REF!</formula>
    </cfRule>
  </conditionalFormatting>
  <conditionalFormatting sqref="I152:K152">
    <cfRule type="expression" dxfId="11049" priority="123">
      <formula>I152&gt;K152+#REF!</formula>
    </cfRule>
  </conditionalFormatting>
  <conditionalFormatting sqref="I153:K153">
    <cfRule type="expression" dxfId="11048" priority="122">
      <formula>I153&gt;K153+#REF!</formula>
    </cfRule>
  </conditionalFormatting>
  <conditionalFormatting sqref="I159:K159">
    <cfRule type="expression" dxfId="11047" priority="129">
      <formula>I159&gt;K159*#REF!</formula>
    </cfRule>
  </conditionalFormatting>
  <conditionalFormatting sqref="J150:J151">
    <cfRule type="expression" dxfId="11046" priority="118">
      <formula>J150&gt;L150+#REF!</formula>
    </cfRule>
    <cfRule type="expression" dxfId="11045" priority="119">
      <formula>J150&lt;L150-#REF!</formula>
    </cfRule>
  </conditionalFormatting>
  <conditionalFormatting sqref="J154:J155">
    <cfRule type="expression" dxfId="11044" priority="116">
      <formula>J154&gt;L154+#REF!</formula>
    </cfRule>
  </conditionalFormatting>
  <conditionalFormatting sqref="J154:J158">
    <cfRule type="expression" dxfId="11043" priority="117">
      <formula>J154&lt;L154-#REF!</formula>
    </cfRule>
  </conditionalFormatting>
  <conditionalFormatting sqref="J156:J158">
    <cfRule type="expression" dxfId="11042" priority="115">
      <formula>J156&gt;L156+#REF!</formula>
    </cfRule>
  </conditionalFormatting>
  <conditionalFormatting sqref="K150:K151">
    <cfRule type="expression" dxfId="11041" priority="113">
      <formula>K150&gt;M150+#REF!</formula>
    </cfRule>
    <cfRule type="expression" dxfId="11040" priority="114">
      <formula>K150&lt;M150-#REF!</formula>
    </cfRule>
  </conditionalFormatting>
  <conditionalFormatting sqref="K154:K155">
    <cfRule type="expression" dxfId="11039" priority="111">
      <formula>K154&gt;M154+#REF!</formula>
    </cfRule>
    <cfRule type="expression" dxfId="11038" priority="112">
      <formula>K154&lt;M154-#REF!</formula>
    </cfRule>
  </conditionalFormatting>
  <conditionalFormatting sqref="K156:K158">
    <cfRule type="expression" dxfId="11037" priority="110">
      <formula>K156&gt;M156+#REF!</formula>
    </cfRule>
  </conditionalFormatting>
  <conditionalFormatting sqref="M133:M134">
    <cfRule type="expression" dxfId="11036" priority="101">
      <formula>M133&gt;O133+#REF!</formula>
    </cfRule>
  </conditionalFormatting>
  <conditionalFormatting sqref="M137:M138">
    <cfRule type="expression" dxfId="11035" priority="98">
      <formula>M137&gt;O137+#REF!</formula>
    </cfRule>
  </conditionalFormatting>
  <conditionalFormatting sqref="M139:M141">
    <cfRule type="expression" dxfId="11034" priority="97">
      <formula>M139&gt;O139+#REF!</formula>
    </cfRule>
  </conditionalFormatting>
  <conditionalFormatting sqref="M127:O128">
    <cfRule type="expression" dxfId="11033" priority="107">
      <formula>M127&lt;O127*#REF!</formula>
    </cfRule>
    <cfRule type="expression" dxfId="11032" priority="108">
      <formula>M127&gt;O127*#REF!</formula>
    </cfRule>
  </conditionalFormatting>
  <conditionalFormatting sqref="M129:O129">
    <cfRule type="expression" dxfId="11031" priority="105">
      <formula>M129&gt;O129+#REF!</formula>
    </cfRule>
  </conditionalFormatting>
  <conditionalFormatting sqref="M129:O131">
    <cfRule type="expression" dxfId="11030" priority="109">
      <formula>M129&lt;O129-#REF!</formula>
    </cfRule>
  </conditionalFormatting>
  <conditionalFormatting sqref="M130:O130">
    <cfRule type="expression" dxfId="11029" priority="104">
      <formula>M130&gt;O130+#REF!</formula>
    </cfRule>
  </conditionalFormatting>
  <conditionalFormatting sqref="M131:O131">
    <cfRule type="expression" dxfId="11028" priority="103">
      <formula>M131&gt;O131+#REF!</formula>
    </cfRule>
  </conditionalFormatting>
  <conditionalFormatting sqref="M132:O132">
    <cfRule type="expression" dxfId="11027" priority="102">
      <formula>M132&gt;O132+#REF!</formula>
    </cfRule>
  </conditionalFormatting>
  <conditionalFormatting sqref="M135:O135">
    <cfRule type="expression" dxfId="11026" priority="100">
      <formula>M135&gt;O135+#REF!</formula>
    </cfRule>
  </conditionalFormatting>
  <conditionalFormatting sqref="M136:O136">
    <cfRule type="expression" dxfId="11025" priority="99">
      <formula>M136&gt;O136+#REF!</formula>
    </cfRule>
  </conditionalFormatting>
  <conditionalFormatting sqref="M142:O142">
    <cfRule type="expression" dxfId="11024" priority="106">
      <formula>M142&gt;O142*#REF!</formula>
    </cfRule>
  </conditionalFormatting>
  <conditionalFormatting sqref="N133:N134">
    <cfRule type="expression" dxfId="11023" priority="95">
      <formula>N133&gt;P133+#REF!</formula>
    </cfRule>
    <cfRule type="expression" dxfId="11022" priority="96">
      <formula>N133&lt;P133-#REF!</formula>
    </cfRule>
  </conditionalFormatting>
  <conditionalFormatting sqref="N137:N138">
    <cfRule type="expression" dxfId="11021" priority="93">
      <formula>N137&gt;P137+#REF!</formula>
    </cfRule>
  </conditionalFormatting>
  <conditionalFormatting sqref="N137:N141">
    <cfRule type="expression" dxfId="11020" priority="94">
      <formula>N137&lt;P137-#REF!</formula>
    </cfRule>
  </conditionalFormatting>
  <conditionalFormatting sqref="N139:N141">
    <cfRule type="expression" dxfId="11019" priority="92">
      <formula>N139&gt;P139+#REF!</formula>
    </cfRule>
  </conditionalFormatting>
  <conditionalFormatting sqref="O133:O134">
    <cfRule type="expression" dxfId="11018" priority="90">
      <formula>O133&gt;Q133+#REF!</formula>
    </cfRule>
    <cfRule type="expression" dxfId="11017" priority="91">
      <formula>O133&lt;Q133-#REF!</formula>
    </cfRule>
  </conditionalFormatting>
  <conditionalFormatting sqref="O137:O138">
    <cfRule type="expression" dxfId="11016" priority="88">
      <formula>O137&gt;Q137+#REF!</formula>
    </cfRule>
    <cfRule type="expression" dxfId="11015" priority="89">
      <formula>O137&lt;Q137-#REF!</formula>
    </cfRule>
  </conditionalFormatting>
  <conditionalFormatting sqref="O139:O141">
    <cfRule type="expression" dxfId="11014" priority="87">
      <formula>O139&gt;Q139+#REF!</formula>
    </cfRule>
  </conditionalFormatting>
  <conditionalFormatting sqref="M150:M151">
    <cfRule type="expression" dxfId="11013" priority="78">
      <formula>M150&gt;O150+#REF!</formula>
    </cfRule>
  </conditionalFormatting>
  <conditionalFormatting sqref="M154:M155">
    <cfRule type="expression" dxfId="11012" priority="75">
      <formula>M154&gt;O154+#REF!</formula>
    </cfRule>
  </conditionalFormatting>
  <conditionalFormatting sqref="M156:M158">
    <cfRule type="expression" dxfId="11011" priority="74">
      <formula>M156&gt;O156+#REF!</formula>
    </cfRule>
  </conditionalFormatting>
  <conditionalFormatting sqref="M144:O145">
    <cfRule type="expression" dxfId="11010" priority="84">
      <formula>M144&lt;O144*#REF!</formula>
    </cfRule>
    <cfRule type="expression" dxfId="11009" priority="85">
      <formula>M144&gt;O144*#REF!</formula>
    </cfRule>
  </conditionalFormatting>
  <conditionalFormatting sqref="M146:O146">
    <cfRule type="expression" dxfId="11008" priority="82">
      <formula>M146&gt;O146+#REF!</formula>
    </cfRule>
  </conditionalFormatting>
  <conditionalFormatting sqref="M146:O148">
    <cfRule type="expression" dxfId="11007" priority="86">
      <formula>M146&lt;O146-#REF!</formula>
    </cfRule>
  </conditionalFormatting>
  <conditionalFormatting sqref="M147:O147">
    <cfRule type="expression" dxfId="11006" priority="81">
      <formula>M147&gt;O147+#REF!</formula>
    </cfRule>
  </conditionalFormatting>
  <conditionalFormatting sqref="M148:O148">
    <cfRule type="expression" dxfId="11005" priority="80">
      <formula>M148&gt;O148+#REF!</formula>
    </cfRule>
  </conditionalFormatting>
  <conditionalFormatting sqref="M149:O149">
    <cfRule type="expression" dxfId="11004" priority="79">
      <formula>M149&gt;O149+#REF!</formula>
    </cfRule>
  </conditionalFormatting>
  <conditionalFormatting sqref="M152:O152">
    <cfRule type="expression" dxfId="11003" priority="77">
      <formula>M152&gt;O152+#REF!</formula>
    </cfRule>
  </conditionalFormatting>
  <conditionalFormatting sqref="M153:O153">
    <cfRule type="expression" dxfId="11002" priority="76">
      <formula>M153&gt;O153+#REF!</formula>
    </cfRule>
  </conditionalFormatting>
  <conditionalFormatting sqref="M159:O159">
    <cfRule type="expression" dxfId="11001" priority="83">
      <formula>M159&gt;O159*#REF!</formula>
    </cfRule>
  </conditionalFormatting>
  <conditionalFormatting sqref="N150:N151">
    <cfRule type="expression" dxfId="11000" priority="72">
      <formula>N150&gt;P150+#REF!</formula>
    </cfRule>
    <cfRule type="expression" dxfId="10999" priority="73">
      <formula>N150&lt;P150-#REF!</formula>
    </cfRule>
  </conditionalFormatting>
  <conditionalFormatting sqref="N154:N155">
    <cfRule type="expression" dxfId="10998" priority="70">
      <formula>N154&gt;P154+#REF!</formula>
    </cfRule>
  </conditionalFormatting>
  <conditionalFormatting sqref="N154:N158">
    <cfRule type="expression" dxfId="10997" priority="71">
      <formula>N154&lt;P154-#REF!</formula>
    </cfRule>
  </conditionalFormatting>
  <conditionalFormatting sqref="N156:N158">
    <cfRule type="expression" dxfId="10996" priority="69">
      <formula>N156&gt;P156+#REF!</formula>
    </cfRule>
  </conditionalFormatting>
  <conditionalFormatting sqref="O150:O151">
    <cfRule type="expression" dxfId="10995" priority="67">
      <formula>O150&gt;Q150+#REF!</formula>
    </cfRule>
    <cfRule type="expression" dxfId="10994" priority="68">
      <formula>O150&lt;Q150-#REF!</formula>
    </cfRule>
  </conditionalFormatting>
  <conditionalFormatting sqref="O154:O155">
    <cfRule type="expression" dxfId="10993" priority="65">
      <formula>O154&gt;Q154+#REF!</formula>
    </cfRule>
    <cfRule type="expression" dxfId="10992" priority="66">
      <formula>O154&lt;Q154-#REF!</formula>
    </cfRule>
  </conditionalFormatting>
  <conditionalFormatting sqref="O156:O158">
    <cfRule type="expression" dxfId="10991" priority="64">
      <formula>O156&gt;Q156+#REF!</formula>
    </cfRule>
  </conditionalFormatting>
  <conditionalFormatting sqref="U150:U151">
    <cfRule type="expression" dxfId="10990" priority="58">
      <formula>U150&gt;W150+#REF!</formula>
    </cfRule>
  </conditionalFormatting>
  <conditionalFormatting sqref="U154:U155">
    <cfRule type="expression" dxfId="10989" priority="56">
      <formula>U154&gt;W154+#REF!</formula>
    </cfRule>
  </conditionalFormatting>
  <conditionalFormatting sqref="U156:U158">
    <cfRule type="expression" dxfId="10988" priority="55">
      <formula>U156&gt;W156+#REF!</formula>
    </cfRule>
  </conditionalFormatting>
  <conditionalFormatting sqref="U144:W145">
    <cfRule type="expression" dxfId="10987" priority="61">
      <formula>U144&lt;W144*#REF!</formula>
    </cfRule>
    <cfRule type="expression" dxfId="10986" priority="62">
      <formula>U144&gt;W144*#REF!</formula>
    </cfRule>
  </conditionalFormatting>
  <conditionalFormatting sqref="U146:W148">
    <cfRule type="expression" dxfId="10985" priority="63">
      <formula>U146&lt;W146-#REF!</formula>
    </cfRule>
  </conditionalFormatting>
  <conditionalFormatting sqref="U146:W149">
    <cfRule type="expression" dxfId="10984" priority="59">
      <formula>U146&gt;W146+#REF!</formula>
    </cfRule>
  </conditionalFormatting>
  <conditionalFormatting sqref="U152:W153">
    <cfRule type="expression" dxfId="10983" priority="57">
      <formula>U152&gt;W152+#REF!</formula>
    </cfRule>
  </conditionalFormatting>
  <conditionalFormatting sqref="U159:W159">
    <cfRule type="expression" dxfId="10982" priority="60">
      <formula>U159&gt;W159*#REF!</formula>
    </cfRule>
  </conditionalFormatting>
  <conditionalFormatting sqref="V150:V151">
    <cfRule type="expression" dxfId="10981" priority="54">
      <formula>V150&lt;X150-#REF!</formula>
    </cfRule>
  </conditionalFormatting>
  <conditionalFormatting sqref="V154:V158">
    <cfRule type="expression" dxfId="10980" priority="53">
      <formula>V154&lt;X154-#REF!</formula>
    </cfRule>
  </conditionalFormatting>
  <conditionalFormatting sqref="V150:W151">
    <cfRule type="expression" dxfId="10979" priority="51">
      <formula>V150&gt;X150+#REF!</formula>
    </cfRule>
  </conditionalFormatting>
  <conditionalFormatting sqref="V154:W158">
    <cfRule type="expression" dxfId="10978" priority="49">
      <formula>V154&gt;X154+#REF!</formula>
    </cfRule>
  </conditionalFormatting>
  <conditionalFormatting sqref="W150:W151">
    <cfRule type="expression" dxfId="10977" priority="52">
      <formula>W150&lt;Y150-#REF!</formula>
    </cfRule>
  </conditionalFormatting>
  <conditionalFormatting sqref="W154:W155">
    <cfRule type="expression" dxfId="10976" priority="50">
      <formula>W154&lt;Y154-#REF!</formula>
    </cfRule>
  </conditionalFormatting>
  <conditionalFormatting sqref="AG133:AG134">
    <cfRule type="expression" dxfId="10975" priority="39">
      <formula>AG133&gt;AI133+#REF!</formula>
    </cfRule>
  </conditionalFormatting>
  <conditionalFormatting sqref="AG137:AG138">
    <cfRule type="expression" dxfId="10974" priority="36">
      <formula>AG137&gt;AI137+#REF!</formula>
    </cfRule>
  </conditionalFormatting>
  <conditionalFormatting sqref="AG139:AG141">
    <cfRule type="expression" dxfId="10973" priority="35">
      <formula>AG139&gt;AI139+#REF!</formula>
    </cfRule>
  </conditionalFormatting>
  <conditionalFormatting sqref="AG127:AI127">
    <cfRule type="expression" dxfId="10972" priority="47">
      <formula>AG127&gt;AI127*#REF!</formula>
    </cfRule>
  </conditionalFormatting>
  <conditionalFormatting sqref="AG127:AI128">
    <cfRule type="expression" dxfId="10971" priority="45">
      <formula>AG127&lt;AI127*#REF!</formula>
    </cfRule>
  </conditionalFormatting>
  <conditionalFormatting sqref="AG128:AI128">
    <cfRule type="expression" dxfId="10970" priority="46">
      <formula>AG128&gt;AI128*#REF!</formula>
    </cfRule>
  </conditionalFormatting>
  <conditionalFormatting sqref="AG129:AI129">
    <cfRule type="expression" dxfId="10969" priority="43">
      <formula>AG129&gt;AI129+#REF!</formula>
    </cfRule>
  </conditionalFormatting>
  <conditionalFormatting sqref="AG129:AI131">
    <cfRule type="expression" dxfId="10968" priority="48">
      <formula>AG129&lt;AI129-#REF!</formula>
    </cfRule>
  </conditionalFormatting>
  <conditionalFormatting sqref="AG130:AI130">
    <cfRule type="expression" dxfId="10967" priority="42">
      <formula>AG130&gt;AI130+#REF!</formula>
    </cfRule>
  </conditionalFormatting>
  <conditionalFormatting sqref="AG131:AI131">
    <cfRule type="expression" dxfId="10966" priority="41">
      <formula>AG131&gt;AI131+#REF!</formula>
    </cfRule>
  </conditionalFormatting>
  <conditionalFormatting sqref="AG132:AI132">
    <cfRule type="expression" dxfId="10965" priority="40">
      <formula>AG132&gt;AI132+#REF!</formula>
    </cfRule>
  </conditionalFormatting>
  <conditionalFormatting sqref="AG135:AI135">
    <cfRule type="expression" dxfId="10964" priority="38">
      <formula>AG135&gt;AI135+#REF!</formula>
    </cfRule>
  </conditionalFormatting>
  <conditionalFormatting sqref="AG136:AI136">
    <cfRule type="expression" dxfId="10963" priority="37">
      <formula>AG136&gt;AI136+#REF!</formula>
    </cfRule>
  </conditionalFormatting>
  <conditionalFormatting sqref="AG142:AI142">
    <cfRule type="expression" dxfId="10962" priority="44">
      <formula>AG142&gt;AI142*#REF!</formula>
    </cfRule>
  </conditionalFormatting>
  <conditionalFormatting sqref="AH133:AH134">
    <cfRule type="expression" dxfId="10961" priority="33">
      <formula>AH133&gt;AJ133+#REF!</formula>
    </cfRule>
    <cfRule type="expression" dxfId="10960" priority="34">
      <formula>AH133&lt;AJ133-#REF!</formula>
    </cfRule>
  </conditionalFormatting>
  <conditionalFormatting sqref="AH137:AH138">
    <cfRule type="expression" dxfId="10959" priority="31">
      <formula>AH137&gt;AJ137+#REF!</formula>
    </cfRule>
  </conditionalFormatting>
  <conditionalFormatting sqref="AH137:AH141">
    <cfRule type="expression" dxfId="10958" priority="32">
      <formula>AH137&lt;AJ137-#REF!</formula>
    </cfRule>
  </conditionalFormatting>
  <conditionalFormatting sqref="AH139:AH141">
    <cfRule type="expression" dxfId="10957" priority="30">
      <formula>AH139&gt;AJ139+#REF!</formula>
    </cfRule>
  </conditionalFormatting>
  <conditionalFormatting sqref="AI133:AI134">
    <cfRule type="expression" dxfId="10956" priority="28">
      <formula>AI133&gt;AK133+#REF!</formula>
    </cfRule>
    <cfRule type="expression" dxfId="10955" priority="29">
      <formula>AI133&lt;AK133-#REF!</formula>
    </cfRule>
  </conditionalFormatting>
  <conditionalFormatting sqref="AI137:AI138">
    <cfRule type="expression" dxfId="10954" priority="26">
      <formula>AI137&gt;AK137+#REF!</formula>
    </cfRule>
    <cfRule type="expression" dxfId="10953" priority="27">
      <formula>AI137&lt;AK137-#REF!</formula>
    </cfRule>
  </conditionalFormatting>
  <conditionalFormatting sqref="AI139:AI141">
    <cfRule type="expression" dxfId="10952" priority="25">
      <formula>AI139&gt;AK139+#REF!</formula>
    </cfRule>
  </conditionalFormatting>
  <conditionalFormatting sqref="AG150:AG151">
    <cfRule type="expression" dxfId="10951" priority="15">
      <formula>AG150&gt;AI150+#REF!</formula>
    </cfRule>
  </conditionalFormatting>
  <conditionalFormatting sqref="AG154:AG155">
    <cfRule type="expression" dxfId="10950" priority="12">
      <formula>AG154&gt;AI154+#REF!</formula>
    </cfRule>
  </conditionalFormatting>
  <conditionalFormatting sqref="AG156:AG158">
    <cfRule type="expression" dxfId="10949" priority="11">
      <formula>AG156&gt;AI156+#REF!</formula>
    </cfRule>
  </conditionalFormatting>
  <conditionalFormatting sqref="AG144:AI144">
    <cfRule type="expression" dxfId="10948" priority="23">
      <formula>AG144&gt;AI144*#REF!</formula>
    </cfRule>
  </conditionalFormatting>
  <conditionalFormatting sqref="AG144:AI145">
    <cfRule type="expression" dxfId="10947" priority="21">
      <formula>AG144&lt;AI144*#REF!</formula>
    </cfRule>
  </conditionalFormatting>
  <conditionalFormatting sqref="AG145:AI145">
    <cfRule type="expression" dxfId="10946" priority="22">
      <formula>AG145&gt;AI145*#REF!</formula>
    </cfRule>
  </conditionalFormatting>
  <conditionalFormatting sqref="AG146:AI146">
    <cfRule type="expression" dxfId="10945" priority="19">
      <formula>AG146&gt;AI146+#REF!</formula>
    </cfRule>
  </conditionalFormatting>
  <conditionalFormatting sqref="AG146:AI148">
    <cfRule type="expression" dxfId="10944" priority="24">
      <formula>AG146&lt;AI146-#REF!</formula>
    </cfRule>
  </conditionalFormatting>
  <conditionalFormatting sqref="AG147:AI147">
    <cfRule type="expression" dxfId="10943" priority="18">
      <formula>AG147&gt;AI147+#REF!</formula>
    </cfRule>
  </conditionalFormatting>
  <conditionalFormatting sqref="AG148:AI148">
    <cfRule type="expression" dxfId="10942" priority="17">
      <formula>AG148&gt;AI148+#REF!</formula>
    </cfRule>
  </conditionalFormatting>
  <conditionalFormatting sqref="AG149:AI149">
    <cfRule type="expression" dxfId="10941" priority="16">
      <formula>AG149&gt;AI149+#REF!</formula>
    </cfRule>
  </conditionalFormatting>
  <conditionalFormatting sqref="AG152:AI152">
    <cfRule type="expression" dxfId="10940" priority="14">
      <formula>AG152&gt;AI152+#REF!</formula>
    </cfRule>
  </conditionalFormatting>
  <conditionalFormatting sqref="AG153:AI153">
    <cfRule type="expression" dxfId="10939" priority="13">
      <formula>AG153&gt;AI153+#REF!</formula>
    </cfRule>
  </conditionalFormatting>
  <conditionalFormatting sqref="AG159:AI159">
    <cfRule type="expression" dxfId="10938" priority="20">
      <formula>AG159&gt;AI159*#REF!</formula>
    </cfRule>
  </conditionalFormatting>
  <conditionalFormatting sqref="AH150:AH151">
    <cfRule type="expression" dxfId="10937" priority="9">
      <formula>AH150&gt;AJ150+#REF!</formula>
    </cfRule>
    <cfRule type="expression" dxfId="10936" priority="10">
      <formula>AH150&lt;AJ150-#REF!</formula>
    </cfRule>
  </conditionalFormatting>
  <conditionalFormatting sqref="AH154:AH155">
    <cfRule type="expression" dxfId="10935" priority="7">
      <formula>AH154&gt;AJ154+#REF!</formula>
    </cfRule>
  </conditionalFormatting>
  <conditionalFormatting sqref="AH154:AH158">
    <cfRule type="expression" dxfId="10934" priority="8">
      <formula>AH154&lt;AJ154-#REF!</formula>
    </cfRule>
  </conditionalFormatting>
  <conditionalFormatting sqref="AH156:AH158">
    <cfRule type="expression" dxfId="10933" priority="6">
      <formula>AH156&gt;AJ156+#REF!</formula>
    </cfRule>
  </conditionalFormatting>
  <conditionalFormatting sqref="AI150:AI151">
    <cfRule type="expression" dxfId="10932" priority="4">
      <formula>AI150&gt;AK150+#REF!</formula>
    </cfRule>
    <cfRule type="expression" dxfId="10931" priority="5">
      <formula>AI150&lt;AK150-#REF!</formula>
    </cfRule>
  </conditionalFormatting>
  <conditionalFormatting sqref="AI154:AI155">
    <cfRule type="expression" dxfId="10930" priority="2">
      <formula>AI154&gt;AK154+#REF!</formula>
    </cfRule>
    <cfRule type="expression" dxfId="10929" priority="3">
      <formula>AI154&lt;AK154-#REF!</formula>
    </cfRule>
  </conditionalFormatting>
  <conditionalFormatting sqref="AI156:AI158">
    <cfRule type="expression" dxfId="10928" priority="1">
      <formula>AI156&gt;AK156+#REF!</formula>
    </cfRule>
  </conditionalFormatting>
  <pageMargins left="0.70866141732283472" right="0.70866141732283472" top="0.74803149606299213" bottom="0.74803149606299213" header="0.31496062992125984" footer="0.31496062992125984"/>
  <pageSetup paperSize="9" scale="95" orientation="portrait" r:id="rId1"/>
  <customProperties>
    <customPr name="_pios_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1C7-9EC0-4983-81A0-CAF43A2FF8C2}">
  <sheetPr codeName="Sheet6"/>
  <dimension ref="A1:AA272"/>
  <sheetViews>
    <sheetView zoomScale="70" zoomScaleNormal="70" zoomScaleSheetLayoutView="55" workbookViewId="0">
      <pane xSplit="5" ySplit="6" topLeftCell="J7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2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0.54296875" style="3" customWidth="1" collapsed="1"/>
    <col min="11" max="12" width="10.54296875" style="3" customWidth="1"/>
    <col min="13" max="13" width="0.54296875" style="3" customWidth="1"/>
    <col min="14" max="14" width="13.7265625" style="3" bestFit="1" customWidth="1"/>
    <col min="15" max="16" width="10.54296875" style="3" customWidth="1"/>
    <col min="17" max="17" width="0.54296875" style="3" customWidth="1"/>
    <col min="18" max="19" width="9.26953125" style="1"/>
    <col min="20" max="20" width="11" style="1" bestFit="1" customWidth="1"/>
    <col min="21" max="16384" width="9.26953125" style="1"/>
  </cols>
  <sheetData>
    <row r="1" spans="2:17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s="10" customFormat="1" ht="40.15" customHeight="1" thickBot="1" x14ac:dyDescent="0.3">
      <c r="B3" s="206" t="e">
        <f>#REF!</f>
        <v>#REF!</v>
      </c>
      <c r="C3" s="206"/>
      <c r="D3" s="206"/>
      <c r="F3" s="207" t="s">
        <v>4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</row>
    <row r="4" spans="2:17" s="11" customFormat="1" ht="23" x14ac:dyDescent="0.25">
      <c r="E4" s="12"/>
      <c r="F4" s="205" t="s">
        <v>5</v>
      </c>
      <c r="G4" s="205"/>
      <c r="H4" s="205"/>
      <c r="I4" s="12"/>
      <c r="J4" s="30" t="s">
        <v>80</v>
      </c>
      <c r="K4" s="30"/>
      <c r="L4" s="30"/>
      <c r="M4" s="12"/>
      <c r="N4" s="30" t="s">
        <v>81</v>
      </c>
      <c r="O4" s="30"/>
      <c r="P4" s="30"/>
      <c r="Q4" s="12"/>
    </row>
    <row r="6" spans="2:17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N6" s="5" t="s">
        <v>15</v>
      </c>
      <c r="O6" s="5" t="s">
        <v>16</v>
      </c>
      <c r="P6" s="5" t="s">
        <v>17</v>
      </c>
    </row>
    <row r="7" spans="2:17" ht="16.5" customHeight="1" x14ac:dyDescent="0.25"/>
    <row r="8" spans="2:17" ht="19.5" customHeight="1" x14ac:dyDescent="0.25">
      <c r="B8" s="202" t="s">
        <v>18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>
        <f>+[3]H7!$C$29/1000</f>
        <v>180.34337815000001</v>
      </c>
      <c r="K8" s="19">
        <f>+[3]H7!$C$30/1000</f>
        <v>174.84891252</v>
      </c>
      <c r="L8" s="19">
        <f>+[3]H7!$C$31/1000</f>
        <v>178.54797669159686</v>
      </c>
      <c r="M8" s="6"/>
      <c r="N8" s="19">
        <f>+[3]H7!$EA$29/1000</f>
        <v>40.019099860000011</v>
      </c>
      <c r="O8" s="19">
        <f>+[3]H7!$EA$30/1000</f>
        <v>39.425420450000004</v>
      </c>
      <c r="P8" s="19">
        <f>+[3]H7!$EA$31/1000</f>
        <v>40.867303600904471</v>
      </c>
      <c r="Q8" s="6"/>
    </row>
    <row r="9" spans="2:17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>
        <f>+[3]H7!$N$29/1000</f>
        <v>142.41661263000003</v>
      </c>
      <c r="K9" s="19">
        <f>+[3]H7!$N$30/1000</f>
        <v>134.93703178999999</v>
      </c>
      <c r="L9" s="19">
        <f>+[3]H7!$N$31/1000</f>
        <v>140.31230339348721</v>
      </c>
      <c r="M9" s="6"/>
      <c r="N9" s="19">
        <f>+[3]H7!$EL$29/1000</f>
        <v>49.735999140000004</v>
      </c>
      <c r="O9" s="19">
        <f>+[3]H7!$EL$30/1000</f>
        <v>48.043855259999987</v>
      </c>
      <c r="P9" s="19">
        <f>+[3]H7!$EL$31/1000</f>
        <v>46.770767797829059</v>
      </c>
      <c r="Q9" s="6"/>
    </row>
    <row r="10" spans="2:17" ht="19.5" customHeight="1" x14ac:dyDescent="0.25">
      <c r="B10" s="202"/>
      <c r="C10" s="9"/>
      <c r="D10" s="14" t="s">
        <v>82</v>
      </c>
      <c r="E10" s="6"/>
      <c r="F10" s="20" t="str">
        <f>IFERROR((F24*F23+F38*F37)/F9,"n/a")</f>
        <v>n/a</v>
      </c>
      <c r="G10" s="20" t="str">
        <f>IFERROR((G24*G23+G38*G37)/G9,"n/a")</f>
        <v>n/a</v>
      </c>
      <c r="H10" s="20" t="str">
        <f>IFERROR((H24*H23+H38*H37)/H9,"n/a")</f>
        <v>n/a</v>
      </c>
      <c r="I10" s="6"/>
      <c r="J10" s="20">
        <f>-(SUM([3]H7!$O$29,[3]H7!$R$29:$V$29,[3]H7!$Y$29:$AB$29)/1000)/J9</f>
        <v>0.61571916413780392</v>
      </c>
      <c r="K10" s="20">
        <f>-(SUM([3]H7!$O$30,[3]H7!$R$30:$V$30,[3]H7!$Y$30:$AB$30)/1000)/K9</f>
        <v>0.60540653525544574</v>
      </c>
      <c r="L10" s="20">
        <f>-(SUM([3]H7!$O$31,[3]H7!$R$31:$V$31,[3]H7!$Y$31:$AB$31)/1000)/L9</f>
        <v>0.58929370995262387</v>
      </c>
      <c r="M10" s="6"/>
      <c r="N10" s="20">
        <f>-(SUM([3]H7!$EM$29,[3]H7!$EP$29:$ET$29,[3]H7!$EW$29:$EZ$29)/1000)/N9</f>
        <v>0.64084157501969852</v>
      </c>
      <c r="O10" s="20">
        <f>-(SUM([3]H7!$EM$30,[3]H7!$EP$30:$ET$30,[3]H7!$EW$30:$EZ$30)/1000)/O9</f>
        <v>0.63314618291260416</v>
      </c>
      <c r="P10" s="20">
        <f>-(SUM([3]H7!$EM$31,[3]H7!$EP$31:$ET$31,[3]H7!$EW$31:$EZ$31)/1000)/P9</f>
        <v>0.58929370995262387</v>
      </c>
      <c r="Q10" s="6"/>
    </row>
    <row r="11" spans="2:17" ht="19.5" customHeight="1" x14ac:dyDescent="0.25">
      <c r="B11" s="202"/>
      <c r="C11" s="9"/>
      <c r="D11" s="14" t="s">
        <v>83</v>
      </c>
      <c r="E11" s="6"/>
      <c r="F11" s="20">
        <f>IFERROR((F25*F23+F39*F37)/F9,"n/a")</f>
        <v>0</v>
      </c>
      <c r="G11" s="20">
        <f>IFERROR((G25*G23+G39*G37)/G9,"n/a")</f>
        <v>0</v>
      </c>
      <c r="H11" s="20">
        <f>IFERROR((H25*H23+H39*H37)/H9,"n/a")</f>
        <v>0</v>
      </c>
      <c r="I11" s="6"/>
      <c r="J11" s="20">
        <f>-(SUM([3]H7!$Q$29,[3]H7!$X$29)/1000)/J9</f>
        <v>8.2690076632522411E-2</v>
      </c>
      <c r="K11" s="20">
        <f>-(SUM([3]H7!$Q$30,[3]H7!$X$30)/1000)/K9</f>
        <v>8.1964389312895819E-2</v>
      </c>
      <c r="L11" s="20">
        <f>-(SUM([3]H7!$Q$31,[3]H7!$X$31)/1000)/L9</f>
        <v>7.6636097169281436E-2</v>
      </c>
      <c r="M11" s="6"/>
      <c r="N11" s="20">
        <f>-(SUM([3]H7!$EO$29,[3]H7!$EV$29)/1000)/N9</f>
        <v>9.4740454347370301E-2</v>
      </c>
      <c r="O11" s="20">
        <f>-(SUM([3]H7!$EO$30,[3]H7!$EV$30)/1000)/O9</f>
        <v>7.3070798975788873E-2</v>
      </c>
      <c r="P11" s="20">
        <f>-(SUM([3]H7!$EO$31,[3]H7!$EV$31)/1000)/P9</f>
        <v>7.6636097169281478E-2</v>
      </c>
      <c r="Q11" s="6"/>
    </row>
    <row r="12" spans="2:17" ht="19.5" customHeight="1" x14ac:dyDescent="0.25">
      <c r="B12" s="202"/>
      <c r="C12" s="9"/>
      <c r="D12" s="14" t="s">
        <v>84</v>
      </c>
      <c r="E12" s="6"/>
      <c r="F12" s="20" t="str">
        <f>IFERROR((F26*F23+F40*F37)/F9,"n/a")</f>
        <v>n/a</v>
      </c>
      <c r="G12" s="20" t="str">
        <f>IFERROR((G26*G23+G40*G37)/G9,"n/a")</f>
        <v>n/a</v>
      </c>
      <c r="H12" s="20" t="str">
        <f>IFERROR((H26*H23+H40*H37)/H9,"n/a")</f>
        <v>n/a</v>
      </c>
      <c r="I12" s="6"/>
      <c r="J12" s="20">
        <f>-(SUM([3]H7!$P$29,[3]H7!$W$29)/1000)/J9</f>
        <v>1.859378587299854E-4</v>
      </c>
      <c r="K12" s="20">
        <f>-(SUM([3]H7!$P$30,[3]H7!$W$30)/1000)/K9</f>
        <v>0</v>
      </c>
      <c r="L12" s="20">
        <f>-(SUM([3]H7!$P$31,[3]H7!$W$31)/1000)/L9</f>
        <v>1.2650351801454279E-2</v>
      </c>
      <c r="M12" s="6"/>
      <c r="N12" s="20">
        <f>-(SUM([3]H7!$EN$29,[3]H7!$EU$29)/1000)/N9</f>
        <v>5.3242400791950791E-4</v>
      </c>
      <c r="O12" s="20">
        <f>-(SUM([3]H7!$EN$30,[3]H7!$EU$30)/1000)/O9</f>
        <v>0</v>
      </c>
      <c r="P12" s="20">
        <f>-(SUM([3]H7!$EN$31,[3]H7!$EU$31)/1000)/P9</f>
        <v>1.2650351801454287E-2</v>
      </c>
      <c r="Q12" s="6"/>
    </row>
    <row r="13" spans="2:17" ht="19.5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>
        <f>+J10+J11+J12</f>
        <v>0.69859517862905629</v>
      </c>
      <c r="K13" s="20">
        <f>+K10+K11+K12</f>
        <v>0.68737092456834159</v>
      </c>
      <c r="L13" s="20">
        <f>+L10+L11+L12</f>
        <v>0.67858015892335954</v>
      </c>
      <c r="M13" s="7"/>
      <c r="N13" s="20">
        <f>+N10+N11+N12</f>
        <v>0.73611445337498838</v>
      </c>
      <c r="O13" s="20">
        <f>+O10+O11+O12</f>
        <v>0.70621698188839299</v>
      </c>
      <c r="P13" s="20">
        <f>+P10+P11+P12</f>
        <v>0.67858015892335954</v>
      </c>
      <c r="Q13" s="7"/>
    </row>
    <row r="14" spans="2:17" ht="20.149999999999999" customHeight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>
        <f>-(SUM([3]H7!$AC$29:$AK$29)/1000)/J9</f>
        <v>-1.5206905992256511E-2</v>
      </c>
      <c r="K14" s="20">
        <f>-(SUM([3]H7!$AC$30:$AK$30)/1000)/K9</f>
        <v>-1.3449608205584541E-2</v>
      </c>
      <c r="L14" s="20">
        <f>-(SUM([3]H7!$AC$31:$AK$31)/1000)/L9</f>
        <v>-1.4827807905091219E-2</v>
      </c>
      <c r="M14" s="7"/>
      <c r="N14" s="20">
        <f>-(SUM([3]H7!$FA$29:$FI$29)/1000)/N9</f>
        <v>-0.13450522228716619</v>
      </c>
      <c r="O14" s="20">
        <f>-(SUM([3]H7!$FA$30:$FI$30)/1000)/O9</f>
        <v>-4.9515254284362334E-2</v>
      </c>
      <c r="P14" s="20">
        <f>-(SUM([3]H7!$FA$31:$FI$31)/1000)/P9</f>
        <v>-1.4827807905091091E-2</v>
      </c>
      <c r="Q14" s="7"/>
    </row>
    <row r="15" spans="2:17" ht="20.149999999999999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>
        <f>-(SUM([3]H7!$AL$29:$AN$29)/1000)/J9</f>
        <v>0.15126394752814171</v>
      </c>
      <c r="K15" s="20">
        <f>-(SUM([3]H7!$AL$30:$AN$30)/1000)/K9</f>
        <v>0.15081542101556852</v>
      </c>
      <c r="L15" s="20">
        <f>-(SUM([3]H7!$AL$31:$AN$31)/1000)/L9</f>
        <v>0.15237898000094885</v>
      </c>
      <c r="M15" s="7"/>
      <c r="N15" s="20">
        <f>-(SUM([3]H7!$FJ$29:$FL$29)/1000)/N9</f>
        <v>0.15107960631993847</v>
      </c>
      <c r="O15" s="20">
        <f>-(SUM([3]H7!$FJ$30:$FL$30)/1000)/O9</f>
        <v>0.14839300492056312</v>
      </c>
      <c r="P15" s="20">
        <f>-(SUM([3]H7!$FJ$31:$FL$31)/1000)/P9</f>
        <v>0.15237898000094885</v>
      </c>
      <c r="Q15" s="7"/>
    </row>
    <row r="16" spans="2:17" ht="20.149999999999999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>
        <f>-(SUM([3]H7!$AO$29:$AR$29)/1000)/J9</f>
        <v>0.10551297059030462</v>
      </c>
      <c r="K16" s="20">
        <f>-(SUM([3]H7!$AO$30:$AR$30)/1000)/K9</f>
        <v>0.10571302822341412</v>
      </c>
      <c r="L16" s="20">
        <f>-(SUM([3]H7!$AO$31:$AR$31)/1000)/L9</f>
        <v>0.12131031793422416</v>
      </c>
      <c r="M16" s="7"/>
      <c r="N16" s="20">
        <f>-(SUM([3]H7!$FM$29:$FP$29)/1000)/N9</f>
        <v>0.10306738838342357</v>
      </c>
      <c r="O16" s="20">
        <f>-(SUM([3]H7!$FM$30:$FP$30)/1000)/O9</f>
        <v>9.8405577662628224E-2</v>
      </c>
      <c r="P16" s="20">
        <f>-(SUM([3]H7!$FM$31:$FP$31)/1000)/P9</f>
        <v>0.12131031793422417</v>
      </c>
      <c r="Q16" s="7"/>
    </row>
    <row r="17" spans="2:20" ht="20.149999999999999" customHeight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>
        <f>+J15+J16</f>
        <v>0.25677691811844633</v>
      </c>
      <c r="K17" s="20">
        <f>+K15+K16</f>
        <v>0.25652844923898266</v>
      </c>
      <c r="L17" s="20">
        <f>+L15+L16</f>
        <v>0.27368929793517299</v>
      </c>
      <c r="M17" s="7"/>
      <c r="N17" s="20">
        <f>+N15+N16</f>
        <v>0.25414699470336205</v>
      </c>
      <c r="O17" s="20">
        <f>+O15+O16</f>
        <v>0.24679858258319134</v>
      </c>
      <c r="P17" s="20">
        <f>+P15+P16</f>
        <v>0.27368929793517305</v>
      </c>
      <c r="Q17" s="7"/>
    </row>
    <row r="18" spans="2:20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>
        <f>-(SUM([3]H7!$AT$29:$BJ$29)/1000/J9)</f>
        <v>3.803014613239785E-2</v>
      </c>
      <c r="K18" s="20">
        <f>-(SUM([3]H7!$AT$30:$BJ$30)/1000/K9)</f>
        <v>1.9572149653552001E-2</v>
      </c>
      <c r="L18" s="20">
        <f>-(SUM([3]H7!$AT$31:$BJ$31)/1000/L9)</f>
        <v>3.8264715683412345E-2</v>
      </c>
      <c r="M18" s="7"/>
      <c r="N18" s="20">
        <f>-(SUM([3]H7!$FR$29:$GH$29)/1000/N9)</f>
        <v>7.6299642223292705E-2</v>
      </c>
      <c r="O18" s="20">
        <f>-(SUM([3]H7!$FR$30:$GH$30)/1000/O9)</f>
        <v>2.239281868987936E-2</v>
      </c>
      <c r="P18" s="20">
        <f>-(SUM([3]H7!$FR$31:$GH$31)/1000/P9)</f>
        <v>3.8264715683412366E-2</v>
      </c>
      <c r="Q18" s="7"/>
    </row>
    <row r="19" spans="2:20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>
        <f>+J13+J14+J17+J18</f>
        <v>0.97819533688764404</v>
      </c>
      <c r="K19" s="20">
        <f>+K13+K14+K17+K18</f>
        <v>0.95002191525529178</v>
      </c>
      <c r="L19" s="20">
        <f>+L13+L14+L17+L18</f>
        <v>0.97570636463685378</v>
      </c>
      <c r="M19" s="8"/>
      <c r="N19" s="20">
        <f>+N13+N14+N17+N18</f>
        <v>0.93205586801447682</v>
      </c>
      <c r="O19" s="20">
        <f>+O13+O14+O17+O18</f>
        <v>0.9258931288771014</v>
      </c>
      <c r="P19" s="20">
        <f>+P13+P14+P17+P18</f>
        <v>0.9757063646368539</v>
      </c>
      <c r="Q19" s="8"/>
    </row>
    <row r="20" spans="2:20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>
        <f>+[3]H7!$BK$29/1000</f>
        <v>3.1053462600000143</v>
      </c>
      <c r="K20" s="19">
        <f>+[3]H7!$BK$30/1000</f>
        <v>6.7438944100000393</v>
      </c>
      <c r="L20" s="19">
        <f>+[3]H7!$BK$31/1000</f>
        <v>3.4086959356045252</v>
      </c>
      <c r="M20" s="6"/>
      <c r="N20" s="19">
        <f>+[3]H7!$GI$29/1000</f>
        <v>3.3792692900000274</v>
      </c>
      <c r="O20" s="19">
        <f>+[3]H7!$GI$30/1000</f>
        <v>3.56037979000001</v>
      </c>
      <c r="P20" s="19">
        <f>+[3]H7!$GI$31/1000</f>
        <v>1.1362319785348289</v>
      </c>
      <c r="Q20" s="6"/>
      <c r="T20" s="34"/>
    </row>
    <row r="21" spans="2:20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6"/>
      <c r="O21" s="8"/>
      <c r="P21" s="8"/>
      <c r="Q21" s="8"/>
    </row>
    <row r="22" spans="2:20" ht="19.5" customHeight="1" outlineLevel="1" x14ac:dyDescent="0.25">
      <c r="B22" s="202" t="s">
        <v>91</v>
      </c>
      <c r="C22" s="9"/>
      <c r="D22" s="14" t="s">
        <v>19</v>
      </c>
      <c r="E22" s="6"/>
      <c r="F22" s="19">
        <v>174.58809877999997</v>
      </c>
      <c r="G22" s="19">
        <v>185.33950579999998</v>
      </c>
      <c r="H22" s="19">
        <v>204.63270105388938</v>
      </c>
      <c r="I22" s="6"/>
      <c r="J22" s="19">
        <f>+[3]H7!$C$21/1000</f>
        <v>101.85246305000003</v>
      </c>
      <c r="K22" s="19">
        <f>+[3]H7!$C$22/1000</f>
        <v>96.395390019999994</v>
      </c>
      <c r="L22" s="19">
        <f>+[3]H7!$C$23/1000</f>
        <v>96.048208255777382</v>
      </c>
      <c r="M22" s="6"/>
      <c r="N22" s="19">
        <f>+[3]H7!$EA$21/1000</f>
        <v>22.801633620000022</v>
      </c>
      <c r="O22" s="19">
        <f>+[3]H7!$EA$22/1000</f>
        <v>21.440386469999996</v>
      </c>
      <c r="P22" s="19">
        <f>+[3]H7!$EA$23/1000</f>
        <v>22.311565357631334</v>
      </c>
      <c r="Q22" s="6"/>
    </row>
    <row r="23" spans="2:20" ht="20.149999999999999" customHeight="1" outlineLevel="1" x14ac:dyDescent="0.25">
      <c r="B23" s="202"/>
      <c r="C23" s="9"/>
      <c r="D23" s="14" t="s">
        <v>20</v>
      </c>
      <c r="E23" s="6"/>
      <c r="F23" s="19">
        <v>160.90258041999999</v>
      </c>
      <c r="G23" s="19">
        <v>173.06633202</v>
      </c>
      <c r="H23" s="19">
        <v>181.1039563404037</v>
      </c>
      <c r="I23" s="6"/>
      <c r="J23" s="19">
        <f>+[3]H7!$N$21/1000</f>
        <v>81.039047040000014</v>
      </c>
      <c r="K23" s="19">
        <f>+[3]H7!$N$22/1000</f>
        <v>74.587587539999973</v>
      </c>
      <c r="L23" s="19">
        <f>+[3]H7!$N$23/1000</f>
        <v>75.901373670891957</v>
      </c>
      <c r="M23" s="6"/>
      <c r="N23" s="19">
        <f>+[3]H7!$EL$21/1000</f>
        <v>28.380427890000007</v>
      </c>
      <c r="O23" s="19">
        <f>+[3]H7!$EL$22/1000</f>
        <v>26.452295069999984</v>
      </c>
      <c r="P23" s="19">
        <f>+[3]H7!$EL$23/1000</f>
        <v>25.300457890297317</v>
      </c>
      <c r="Q23" s="6"/>
    </row>
    <row r="24" spans="2:20" ht="19.5" customHeight="1" outlineLevel="1" x14ac:dyDescent="0.25">
      <c r="B24" s="202"/>
      <c r="C24" s="9"/>
      <c r="D24" s="14" t="s">
        <v>92</v>
      </c>
      <c r="E24" s="6"/>
      <c r="F24" s="20">
        <f>F27-F25-F26</f>
        <v>0.84420093000022511</v>
      </c>
      <c r="G24" s="20">
        <f>G27-G25-G26</f>
        <v>0.70110498335388471</v>
      </c>
      <c r="H24" s="20">
        <f>H27-H25-H26</f>
        <v>0.78019367284740149</v>
      </c>
      <c r="I24" s="6"/>
      <c r="J24" s="20">
        <f>-(SUM([3]H7!$O$21,[3]H7!$R$21:$V$21,[3]H7!$Y$21:$AB$21)/1000)/J23</f>
        <v>0.65065073756179526</v>
      </c>
      <c r="K24" s="20">
        <f>-(SUM([3]H7!$O$22,[3]H7!$R$22:$V$22,[3]H7!$Y$22:$AB$22)/1000)/K23</f>
        <v>0.60325089250953223</v>
      </c>
      <c r="L24" s="20">
        <f>-(SUM([3]H7!$O$23,[3]H7!$R$23:$V$23,[3]H7!$Y$23:$AB$23)/1000)/L23</f>
        <v>0.60796850884552767</v>
      </c>
      <c r="M24" s="6"/>
      <c r="N24" s="20">
        <f>-(SUM([3]H7!$EM$21,[3]H7!$EP$21:$ET$21,[3]H7!$EW$21:$EZ$21)/1000)/N23</f>
        <v>0.68798306212063143</v>
      </c>
      <c r="O24" s="20">
        <f>-(SUM([3]H7!$EM$22,[3]H7!$EP$22:$ET$22,[3]H7!$EW$22:$EZ$22)/1000)/O23</f>
        <v>0.63383568782618482</v>
      </c>
      <c r="P24" s="20">
        <f>-(SUM([3]H7!$EM$23,[3]H7!$EP$23:$ET$23,[3]H7!$EW$23:$EZ$23)/1000)/P23</f>
        <v>0.60796850884552778</v>
      </c>
      <c r="Q24" s="6"/>
    </row>
    <row r="25" spans="2:20" ht="19.5" customHeight="1" outlineLevel="1" x14ac:dyDescent="0.25">
      <c r="B25" s="202"/>
      <c r="C25" s="9"/>
      <c r="D25" s="14" t="s">
        <v>93</v>
      </c>
      <c r="E25" s="6"/>
      <c r="F25" s="20">
        <f>IFERROR(SUM(INDEX(LL_TOT_BR_YTD,2,Month),INDEX(LL_IBNR_TOT_BR_YTD,2,Month))/F23,0)</f>
        <v>0</v>
      </c>
      <c r="G25" s="20">
        <f>IFERROR(SUM(INDEX(LL_TOT_BR_YTD_PREV,2,Month),INDEX(LL_IBNR_TOT_BR_YTD_PREV,2,Month))/G23,0)</f>
        <v>0</v>
      </c>
      <c r="H25" s="20">
        <f>IFERROR(SUM(INDEX(LL_TOT_BR_YTD_PLAN,2,Month),INDEX(LL_IBNR_TOT_BR_YTD_PLAN,2,Month))/H23,0)</f>
        <v>0</v>
      </c>
      <c r="I25" s="6"/>
      <c r="J25" s="20">
        <f>-(SUM([3]H7!$Q$21,[3]H7!$X$21)/1000)/J23</f>
        <v>0.1453181033373484</v>
      </c>
      <c r="K25" s="20">
        <f>-(SUM([3]H7!$Q$22,[3]H7!$X$22)/1000)/K23</f>
        <v>0.14828246590534738</v>
      </c>
      <c r="L25" s="20">
        <f>-(SUM([3]H7!$Q$23,[3]H7!$X$23)/1000)/L23</f>
        <v>0.14167052316515236</v>
      </c>
      <c r="M25" s="6"/>
      <c r="N25" s="20">
        <f>-(SUM([3]H7!$EO$21,[3]H7!$EV$21)/1000)/N23</f>
        <v>0.16603030702029412</v>
      </c>
      <c r="O25" s="20">
        <f>-(SUM([3]H7!$EO$22,[3]H7!$EV$22)/1000)/O23</f>
        <v>0.13271449151899081</v>
      </c>
      <c r="P25" s="20">
        <f>-(SUM([3]H7!$EO$23,[3]H7!$EV$23)/1000)/P23</f>
        <v>0.14167052316515241</v>
      </c>
      <c r="Q25" s="6"/>
    </row>
    <row r="26" spans="2:20" ht="19.5" customHeight="1" outlineLevel="1" x14ac:dyDescent="0.25">
      <c r="B26" s="202"/>
      <c r="C26" s="9"/>
      <c r="D26" s="14" t="s">
        <v>94</v>
      </c>
      <c r="E26" s="6"/>
      <c r="F26" s="20">
        <f>0</f>
        <v>0</v>
      </c>
      <c r="G26" s="20">
        <f>0</f>
        <v>0</v>
      </c>
      <c r="H26" s="20">
        <f>0</f>
        <v>0</v>
      </c>
      <c r="I26" s="6"/>
      <c r="J26" s="20">
        <f>-(SUM([3]H7!$P$21,[3]H7!$W$21)/1000)/J23</f>
        <v>0</v>
      </c>
      <c r="K26" s="20">
        <f>-(SUM([3]H7!$P$22,[3]H7!$W$22)/1000)/K23</f>
        <v>0</v>
      </c>
      <c r="L26" s="20">
        <f>-(SUM([3]H7!$P$23,[3]H7!$W$23)/1000)/L23</f>
        <v>0</v>
      </c>
      <c r="M26" s="6"/>
      <c r="N26" s="20">
        <f>-(SUM([3]H7!$EN$21,[3]H7!$EU$21)/1000)/N23</f>
        <v>0</v>
      </c>
      <c r="O26" s="20">
        <f>-(SUM([3]H7!$EN$22,[3]H7!$EU$22)/1000)/O23</f>
        <v>0</v>
      </c>
      <c r="P26" s="20">
        <f>-(SUM([3]H7!$EN$23,[3]H7!$EU$23)/1000)/P23</f>
        <v>0</v>
      </c>
      <c r="Q26" s="6"/>
    </row>
    <row r="27" spans="2:20" ht="19.5" customHeight="1" outlineLevel="2" x14ac:dyDescent="0.25">
      <c r="B27" s="202"/>
      <c r="C27" s="9"/>
      <c r="D27" s="14" t="s">
        <v>95</v>
      </c>
      <c r="E27" s="7"/>
      <c r="F27" s="20">
        <v>0.84420093000022511</v>
      </c>
      <c r="G27" s="20">
        <v>0.70110498335388471</v>
      </c>
      <c r="H27" s="20">
        <v>0.78019367284740149</v>
      </c>
      <c r="I27" s="7"/>
      <c r="J27" s="20">
        <f>+J24+J25+J26</f>
        <v>0.79596884089914366</v>
      </c>
      <c r="K27" s="20">
        <f>+K24+K25+K26</f>
        <v>0.75153335841487956</v>
      </c>
      <c r="L27" s="20">
        <f>+L24+L25+L26</f>
        <v>0.74963903201068005</v>
      </c>
      <c r="M27" s="7"/>
      <c r="N27" s="20">
        <f>+N24+N25+N26</f>
        <v>0.85401336914092552</v>
      </c>
      <c r="O27" s="20">
        <f>+O24+O25+O26</f>
        <v>0.76655017934517566</v>
      </c>
      <c r="P27" s="20">
        <f>+P24+P25+P26</f>
        <v>0.74963903201068016</v>
      </c>
      <c r="Q27" s="7"/>
    </row>
    <row r="28" spans="2:20" ht="20.149999999999999" customHeight="1" outlineLevel="1" x14ac:dyDescent="0.25">
      <c r="B28" s="202"/>
      <c r="C28" s="9"/>
      <c r="D28" s="14" t="s">
        <v>96</v>
      </c>
      <c r="E28" s="7"/>
      <c r="F28" s="20">
        <v>-5.5435126252899945E-2</v>
      </c>
      <c r="G28" s="20">
        <v>7.5310574551806638E-3</v>
      </c>
      <c r="H28" s="20">
        <v>-2.1166480350811253E-2</v>
      </c>
      <c r="I28" s="7"/>
      <c r="J28" s="20">
        <f>-(SUM([3]H7!$AC$21:$AK$21)/1000)/J23</f>
        <v>-2.8752862170873108E-2</v>
      </c>
      <c r="K28" s="20">
        <f>-(SUM([3]H7!$AC$22:$AK$22)/1000)/K23</f>
        <v>-3.378368282321399E-3</v>
      </c>
      <c r="L28" s="20">
        <f>-(SUM([3]H7!$AC$23:$AK$23)/1000)/L23</f>
        <v>-1.9845323634328001E-2</v>
      </c>
      <c r="M28" s="7"/>
      <c r="N28" s="20">
        <f>-(SUM([3]H7!$FA$21:$FI$21)/1000)/N23</f>
        <v>-0.18775777837647004</v>
      </c>
      <c r="O28" s="20">
        <f>-(SUM([3]H7!$FA$22:$FI$22)/1000)/O23</f>
        <v>-8.3880706159082108E-2</v>
      </c>
      <c r="P28" s="20">
        <f>-(SUM([3]H7!$FA$23:$FI$23)/1000)/P23</f>
        <v>-1.9845323634327838E-2</v>
      </c>
      <c r="Q28" s="7"/>
    </row>
    <row r="29" spans="2:20" ht="19.5" customHeight="1" outlineLevel="2" x14ac:dyDescent="0.25">
      <c r="B29" s="202"/>
      <c r="C29" s="9"/>
      <c r="D29" s="15" t="s">
        <v>87</v>
      </c>
      <c r="E29" s="7"/>
      <c r="F29" s="20">
        <v>8.2992445149998054E-2</v>
      </c>
      <c r="G29" s="20">
        <v>8.0171038110385201E-2</v>
      </c>
      <c r="H29" s="20">
        <v>8.2820650937018431E-2</v>
      </c>
      <c r="I29" s="7"/>
      <c r="J29" s="20">
        <f>-(SUM([3]H7!$AL$21:$AN$21)/1000)/J23</f>
        <v>0.13179262182992227</v>
      </c>
      <c r="K29" s="20">
        <f>-(SUM([3]H7!$AL$22:$AN$22)/1000)/K23</f>
        <v>0.13351862754187166</v>
      </c>
      <c r="L29" s="20">
        <f>-(SUM([3]H7!$AL$23:$AN$23)/1000)/L23</f>
        <v>0.13384560864118927</v>
      </c>
      <c r="M29" s="7"/>
      <c r="N29" s="20">
        <f>-(SUM([3]H7!$FJ$21:$FL$21)/1000)/N23</f>
        <v>0.13346745210049049</v>
      </c>
      <c r="O29" s="20">
        <f>-(SUM([3]H7!$FJ$22:$FL$22)/1000)/O23</f>
        <v>0.13182614441477286</v>
      </c>
      <c r="P29" s="20">
        <f>-(SUM([3]H7!$FJ$23:$FL$23)/1000)/P23</f>
        <v>0.13384560864118925</v>
      </c>
      <c r="Q29" s="7"/>
    </row>
    <row r="30" spans="2:20" ht="20.149999999999999" customHeight="1" outlineLevel="2" x14ac:dyDescent="0.25">
      <c r="B30" s="202"/>
      <c r="C30" s="9"/>
      <c r="D30" s="15" t="s">
        <v>88</v>
      </c>
      <c r="E30" s="7"/>
      <c r="F30" s="20">
        <v>0.12293509736367968</v>
      </c>
      <c r="G30" s="20">
        <v>0.12278302216253326</v>
      </c>
      <c r="H30" s="20">
        <v>0.10688355881031411</v>
      </c>
      <c r="I30" s="7"/>
      <c r="J30" s="20">
        <f>-(SUM([3]H7!$AO$21:$AR$21)/1000)/J23</f>
        <v>9.6205651531807532E-2</v>
      </c>
      <c r="K30" s="20">
        <f>-(SUM([3]H7!$AO$22:$AR$22)/1000)/K23</f>
        <v>9.8043069513118114E-2</v>
      </c>
      <c r="L30" s="20">
        <f>-(SUM([3]H7!$AO$23:$AR$23)/1000)/L23</f>
        <v>0.11576017130073844</v>
      </c>
      <c r="M30" s="7"/>
      <c r="N30" s="20">
        <f>-(SUM([3]H7!$FM$21:$FP$21)/1000)/N23</f>
        <v>9.3023024185277706E-2</v>
      </c>
      <c r="O30" s="20">
        <f>-(SUM([3]H7!$FM$22:$FP$22)/1000)/O23</f>
        <v>9.1241004367036235E-2</v>
      </c>
      <c r="P30" s="20">
        <f>-(SUM([3]H7!$FM$23:$FP$23)/1000)/P23</f>
        <v>0.11576017130073844</v>
      </c>
      <c r="Q30" s="7"/>
    </row>
    <row r="31" spans="2:20" ht="20.149999999999999" customHeight="1" outlineLevel="1" x14ac:dyDescent="0.25">
      <c r="B31" s="202"/>
      <c r="C31" s="9"/>
      <c r="D31" s="14" t="s">
        <v>97</v>
      </c>
      <c r="E31" s="7"/>
      <c r="F31" s="20">
        <v>0.20592754251367776</v>
      </c>
      <c r="G31" s="20">
        <v>0.20295406027291846</v>
      </c>
      <c r="H31" s="20">
        <v>0.18970420974733251</v>
      </c>
      <c r="I31" s="7"/>
      <c r="J31" s="20">
        <f>+J29+J30</f>
        <v>0.22799827336172979</v>
      </c>
      <c r="K31" s="20">
        <f>+K29+K30</f>
        <v>0.23156169705498977</v>
      </c>
      <c r="L31" s="20">
        <f>+L29+L30</f>
        <v>0.24960577994192773</v>
      </c>
      <c r="M31" s="7"/>
      <c r="N31" s="20">
        <f>+N29+N30</f>
        <v>0.22649047628576818</v>
      </c>
      <c r="O31" s="20">
        <f>+O29+O30</f>
        <v>0.22306714878180911</v>
      </c>
      <c r="P31" s="20">
        <f>+P29+P30</f>
        <v>0.24960577994192767</v>
      </c>
      <c r="Q31" s="7"/>
    </row>
    <row r="32" spans="2:20" ht="20.149999999999999" customHeight="1" outlineLevel="1" x14ac:dyDescent="0.25">
      <c r="B32" s="202"/>
      <c r="C32" s="9"/>
      <c r="D32" s="14" t="s">
        <v>90</v>
      </c>
      <c r="E32" s="7"/>
      <c r="F32" s="20"/>
      <c r="G32" s="20"/>
      <c r="H32" s="20"/>
      <c r="I32" s="7"/>
      <c r="J32" s="20">
        <f>-(SUM([3]H7!$AT$21:$BJ$21)/1000/J23)</f>
        <v>4.6370800092764744E-2</v>
      </c>
      <c r="K32" s="20">
        <f>-(SUM([3]H7!$AT$22:$BJ$22)/1000/K23)</f>
        <v>9.6068168127265308E-3</v>
      </c>
      <c r="L32" s="20">
        <f>-(SUM([3]H7!$AT$23:$BJ$23)/1000/L23)</f>
        <v>4.3504423791625516E-2</v>
      </c>
      <c r="M32" s="7"/>
      <c r="N32" s="20">
        <f>-(SUM([3]H7!$FR$21:$GH$21)/1000/N23)</f>
        <v>0.11993054731917203</v>
      </c>
      <c r="O32" s="20">
        <f>-(SUM([3]H7!$FR$22:$GH$22)/1000/O23)</f>
        <v>1.4472003619608315E-2</v>
      </c>
      <c r="P32" s="20">
        <f>-(SUM([3]H7!$FR$23:$GH$23)/1000/P23)</f>
        <v>4.3504423791625522E-2</v>
      </c>
      <c r="Q32" s="7"/>
    </row>
    <row r="33" spans="2:20" ht="20.149999999999999" customHeight="1" outlineLevel="1" x14ac:dyDescent="0.25">
      <c r="B33" s="202"/>
      <c r="C33" s="9"/>
      <c r="D33" s="14" t="s">
        <v>79</v>
      </c>
      <c r="E33" s="8"/>
      <c r="F33" s="20">
        <v>0.99469334626100292</v>
      </c>
      <c r="G33" s="20">
        <v>0.91159010108198379</v>
      </c>
      <c r="H33" s="20">
        <v>0.94873140224392272</v>
      </c>
      <c r="I33" s="8"/>
      <c r="J33" s="20">
        <f>+J27+J28+J31+J32</f>
        <v>1.041585052182765</v>
      </c>
      <c r="K33" s="20">
        <f>+K27+K28+K31+K32</f>
        <v>0.98932350400027447</v>
      </c>
      <c r="L33" s="20">
        <f>+L27+L28+L31+L32</f>
        <v>1.0229039121099053</v>
      </c>
      <c r="M33" s="8"/>
      <c r="N33" s="20">
        <f>+N27+N28+N31+N32</f>
        <v>1.0126766143693957</v>
      </c>
      <c r="O33" s="20">
        <f>+O27+O28+O31+O32</f>
        <v>0.92020862558751104</v>
      </c>
      <c r="P33" s="20">
        <f>+P27+P28+P31+P32</f>
        <v>1.0229039121099055</v>
      </c>
      <c r="Q33" s="8"/>
    </row>
    <row r="34" spans="2:20" ht="19.5" customHeight="1" outlineLevel="1" x14ac:dyDescent="0.25">
      <c r="B34" s="202"/>
      <c r="C34" s="9"/>
      <c r="D34" s="14" t="s">
        <v>34</v>
      </c>
      <c r="E34" s="6"/>
      <c r="F34" s="19">
        <v>0.85385428000004637</v>
      </c>
      <c r="G34" s="19">
        <v>15.300776920000013</v>
      </c>
      <c r="H34" s="19">
        <v>9.284945889650345</v>
      </c>
      <c r="I34" s="6"/>
      <c r="J34" s="19">
        <f>+[3]H7!$BK$21/1000</f>
        <v>-3.3700129999999704</v>
      </c>
      <c r="K34" s="19">
        <f>+[3]H7!$BK$22/1000</f>
        <v>0.79633408000002104</v>
      </c>
      <c r="L34" s="19">
        <f>+[3]H7!$BK$23/1000</f>
        <v>-1.7384383915791795</v>
      </c>
      <c r="M34" s="6"/>
      <c r="N34" s="19">
        <f>+[3]H7!$GI$21/1000</f>
        <v>-0.35976773999997069</v>
      </c>
      <c r="O34" s="19">
        <f>+[3]H7!$GI$22/1000</f>
        <v>2.1106649800000046</v>
      </c>
      <c r="P34" s="19">
        <f>+[3]H7!$GI$23/1000</f>
        <v>-0.57947946385973503</v>
      </c>
      <c r="Q34" s="6"/>
      <c r="T34" s="34"/>
    </row>
    <row r="35" spans="2:20" ht="7.5" customHeight="1" outlineLevel="2" x14ac:dyDescent="0.25">
      <c r="E35" s="8"/>
      <c r="F35" s="8"/>
      <c r="G35" s="8"/>
      <c r="H35" s="8"/>
      <c r="I35" s="8"/>
      <c r="J35" s="8"/>
      <c r="K35" s="8"/>
      <c r="L35" s="8"/>
      <c r="M35" s="8"/>
      <c r="N35" s="6"/>
      <c r="O35" s="8"/>
      <c r="P35" s="8"/>
      <c r="Q35" s="8"/>
    </row>
    <row r="36" spans="2:20" ht="19.5" customHeight="1" outlineLevel="1" x14ac:dyDescent="0.25">
      <c r="B36" s="202" t="s">
        <v>98</v>
      </c>
      <c r="C36" s="9"/>
      <c r="D36" s="14" t="s">
        <v>19</v>
      </c>
      <c r="E36" s="6"/>
      <c r="F36" s="19">
        <v>134.18965857000001</v>
      </c>
      <c r="G36" s="19">
        <v>133.70934485999999</v>
      </c>
      <c r="H36" s="19">
        <v>147.07866387770241</v>
      </c>
      <c r="I36" s="6"/>
      <c r="J36" s="19">
        <f>+[3]H7!$C$25/1000</f>
        <v>78.490915099999981</v>
      </c>
      <c r="K36" s="19">
        <f>+[3]H7!$C$26/1000</f>
        <v>78.45352250000002</v>
      </c>
      <c r="L36" s="19">
        <f>+[3]H7!$C$27/1000</f>
        <v>82.499768435819476</v>
      </c>
      <c r="M36" s="6"/>
      <c r="N36" s="19">
        <f>+[3]H7!$EA$25/1000</f>
        <v>17.217466239999986</v>
      </c>
      <c r="O36" s="19">
        <f>+[3]H7!$EA$26/1000</f>
        <v>17.985033980000008</v>
      </c>
      <c r="P36" s="19">
        <f>+[3]H7!$EA$27/1000</f>
        <v>18.55573824327314</v>
      </c>
      <c r="Q36" s="6"/>
    </row>
    <row r="37" spans="2:20" ht="20.149999999999999" customHeight="1" outlineLevel="1" x14ac:dyDescent="0.25">
      <c r="B37" s="202"/>
      <c r="C37" s="9"/>
      <c r="D37" s="14" t="s">
        <v>20</v>
      </c>
      <c r="E37" s="6"/>
      <c r="F37" s="19">
        <v>131.07974526000004</v>
      </c>
      <c r="G37" s="19">
        <v>131.50071958000001</v>
      </c>
      <c r="H37" s="19">
        <v>138.49363431363389</v>
      </c>
      <c r="I37" s="6"/>
      <c r="J37" s="19">
        <f>+[3]H7!$N$29/1000</f>
        <v>142.41661263000003</v>
      </c>
      <c r="K37" s="19">
        <f>+[3]H7!$N$30/1000</f>
        <v>134.93703178999999</v>
      </c>
      <c r="L37" s="19">
        <f>+[3]H7!$N$31/1000</f>
        <v>140.31230339348721</v>
      </c>
      <c r="M37" s="6"/>
      <c r="N37" s="19">
        <f>+[3]H7!$EL$25/1000</f>
        <v>21.355571250000001</v>
      </c>
      <c r="O37" s="19">
        <f>+[3]H7!$EL$26/1000</f>
        <v>21.591560190000003</v>
      </c>
      <c r="P37" s="19">
        <f>+[3]H7!$EL$27/1000</f>
        <v>21.470309907531743</v>
      </c>
      <c r="Q37" s="6"/>
    </row>
    <row r="38" spans="2:20" ht="19.5" customHeight="1" outlineLevel="1" x14ac:dyDescent="0.25">
      <c r="B38" s="202"/>
      <c r="C38" s="9"/>
      <c r="D38" s="14" t="s">
        <v>92</v>
      </c>
      <c r="E38" s="6"/>
      <c r="F38" s="20" t="e">
        <f>F41-F39-F40</f>
        <v>#REF!</v>
      </c>
      <c r="G38" s="20" t="e">
        <f>G41-G39-G40</f>
        <v>#REF!</v>
      </c>
      <c r="H38" s="20" t="e">
        <f>H41-H39-H40</f>
        <v>#REF!</v>
      </c>
      <c r="I38" s="6"/>
      <c r="J38" s="20">
        <f>-(SUM([3]H7!$O$25,[3]H7!$R$25:$V$25,[3]H7!$Y$25:$AB$25)/1000)/J37</f>
        <v>0.24548064523081897</v>
      </c>
      <c r="K38" s="20">
        <f>-(SUM([3]H7!$O$26,[3]H7!$R$26:$V$26,[3]H7!$Y$26:$AB$26)/1000)/K37</f>
        <v>0.27195449353821893</v>
      </c>
      <c r="L38" s="20">
        <f>-(SUM([3]H7!$O$27,[3]H7!$R$27:$V$27,[3]H7!$Y$27:$AB$27)/1000)/L37</f>
        <v>0.26041560123388902</v>
      </c>
      <c r="M38" s="6"/>
      <c r="N38" s="20">
        <f>-(SUM([3]H7!$EM$25,[3]H7!$EP$25:$ET$25,[3]H7!$EW$25:$EZ$25)/1000)/N37</f>
        <v>0.57819302492318014</v>
      </c>
      <c r="O38" s="20">
        <f>-(SUM([3]H7!$EM$26,[3]H7!$EP$26:$ET$26,[3]H7!$EW$26:$EZ$26)/1000)/O37</f>
        <v>0.63230145528450565</v>
      </c>
      <c r="P38" s="20">
        <f>-(SUM([3]H7!$EM$27,[3]H7!$EP$27:$ET$27,[3]H7!$EW$27:$EZ$27)/1000)/P37</f>
        <v>0.56728746202073288</v>
      </c>
      <c r="Q38" s="6"/>
    </row>
    <row r="39" spans="2:20" ht="19.5" customHeight="1" outlineLevel="1" x14ac:dyDescent="0.25">
      <c r="B39" s="202"/>
      <c r="C39" s="9"/>
      <c r="D39" s="14" t="s">
        <v>93</v>
      </c>
      <c r="E39" s="6"/>
      <c r="F39" s="20">
        <f>0</f>
        <v>0</v>
      </c>
      <c r="G39" s="20">
        <f>0</f>
        <v>0</v>
      </c>
      <c r="H39" s="20">
        <f>0</f>
        <v>0</v>
      </c>
      <c r="I39" s="6"/>
      <c r="J39" s="20">
        <f>-(SUM([3]H7!$Q$25,[3]H7!$X$25)/1000)/J37</f>
        <v>0</v>
      </c>
      <c r="K39" s="20">
        <f>-(SUM([3]H7!$Q$26,[3]H7!$X$26)/1000)/K37</f>
        <v>0</v>
      </c>
      <c r="L39" s="20">
        <f>-(SUM([3]H7!$Q$27,[3]H7!$X$27)/1000)/L37</f>
        <v>0</v>
      </c>
      <c r="M39" s="6"/>
      <c r="N39" s="20">
        <f>-(SUM([3]H7!$EO$25,[3]H7!$EV$25)/1000)/N37</f>
        <v>0</v>
      </c>
      <c r="O39" s="20">
        <f>-(SUM([3]H7!$EO$26,[3]H7!$EV$26)/1000)/O37</f>
        <v>0</v>
      </c>
      <c r="P39" s="20">
        <f>-(SUM([3]H7!$EO$27,[3]H7!$EV$27)/1000)/P37</f>
        <v>0</v>
      </c>
      <c r="Q39" s="6"/>
    </row>
    <row r="40" spans="2:20" ht="19.5" customHeight="1" outlineLevel="1" x14ac:dyDescent="0.25">
      <c r="B40" s="202"/>
      <c r="C40" s="9"/>
      <c r="D40" s="14" t="s">
        <v>94</v>
      </c>
      <c r="E40" s="6"/>
      <c r="F40" s="20" t="e">
        <f>INDEX(NatCat_TOT_BR_YTD,2,Month)/F37</f>
        <v>#REF!</v>
      </c>
      <c r="G40" s="20" t="e">
        <f>INDEX(NatCat_TOT_BR_YTD_PREV,2,Month)/G37</f>
        <v>#REF!</v>
      </c>
      <c r="H40" s="20" t="e">
        <f>INDEX(NatCat_TOT_BR_YTD_PLAN,2,Month)/H37</f>
        <v>#REF!</v>
      </c>
      <c r="I40" s="6"/>
      <c r="J40" s="20">
        <f>-(SUM([3]H7!$P$25,[3]H7!$W$25)/1000)/J37</f>
        <v>1.859378587299854E-4</v>
      </c>
      <c r="K40" s="20">
        <f>-(SUM([3]H7!$P$26,[3]H7!$W$26)/1000)/K37</f>
        <v>0</v>
      </c>
      <c r="L40" s="20">
        <f>-(SUM([3]H7!$P$27,[3]H7!$W$27)/1000)/L37</f>
        <v>1.2650351801454279E-2</v>
      </c>
      <c r="M40" s="6"/>
      <c r="N40" s="20">
        <f>-(SUM([3]H7!$EN$25,[3]H7!$EU$25)/1000)/N37</f>
        <v>1.2399874341923773E-3</v>
      </c>
      <c r="O40" s="20">
        <f>-(SUM([3]H7!$EN$26,[3]H7!$EU$26)/1000)/O37</f>
        <v>0</v>
      </c>
      <c r="P40" s="20">
        <f>-(SUM([3]H7!$EN$27,[3]H7!$EU$27)/1000)/P37</f>
        <v>2.7557434858409356E-2</v>
      </c>
      <c r="Q40" s="6"/>
    </row>
    <row r="41" spans="2:20" ht="19.5" customHeight="1" outlineLevel="2" x14ac:dyDescent="0.25">
      <c r="B41" s="202"/>
      <c r="C41" s="9"/>
      <c r="D41" s="14" t="s">
        <v>95</v>
      </c>
      <c r="E41" s="7"/>
      <c r="F41" s="20">
        <v>0.47729705246148252</v>
      </c>
      <c r="G41" s="20">
        <v>0.40903539251948479</v>
      </c>
      <c r="H41" s="20">
        <v>0.55951837348520128</v>
      </c>
      <c r="I41" s="7"/>
      <c r="J41" s="20">
        <f>+J38+J39+J40</f>
        <v>0.24566658308954895</v>
      </c>
      <c r="K41" s="20">
        <f>+K38+K39+K40</f>
        <v>0.27195449353821893</v>
      </c>
      <c r="L41" s="20">
        <f>+L38+L39+L40</f>
        <v>0.27306595303534331</v>
      </c>
      <c r="M41" s="7"/>
      <c r="N41" s="20">
        <f>+N38+N39+N40</f>
        <v>0.57943301235737255</v>
      </c>
      <c r="O41" s="20">
        <f>+O38+O39+O40</f>
        <v>0.63230145528450565</v>
      </c>
      <c r="P41" s="20">
        <f>+P38+P39+P40</f>
        <v>0.59484489687914222</v>
      </c>
      <c r="Q41" s="7"/>
    </row>
    <row r="42" spans="2:20" ht="20.149999999999999" customHeight="1" outlineLevel="1" x14ac:dyDescent="0.25">
      <c r="B42" s="202"/>
      <c r="C42" s="9"/>
      <c r="D42" s="14" t="s">
        <v>96</v>
      </c>
      <c r="E42" s="7"/>
      <c r="F42" s="20">
        <v>-6.5176954555824203E-3</v>
      </c>
      <c r="G42" s="20">
        <v>1.0271172920679748E-2</v>
      </c>
      <c r="H42" s="20">
        <v>-1.3839384576522607E-2</v>
      </c>
      <c r="I42" s="7"/>
      <c r="J42" s="20">
        <f>-(SUM([3]H7!$AC$25:$AK$25)/1000)/J37</f>
        <v>1.1542790336341218E-3</v>
      </c>
      <c r="K42" s="20">
        <f>-(SUM([3]H7!$AC$26:$AK$26)/1000)/K37</f>
        <v>-1.1582186515205491E-2</v>
      </c>
      <c r="L42" s="20">
        <f>-(SUM([3]H7!$AC$27:$AK$27)/1000)/L37</f>
        <v>-4.0925602585271245E-3</v>
      </c>
      <c r="M42" s="7"/>
      <c r="N42" s="20">
        <f>-(SUM([3]H7!$FA$25:$FI$25)/1000)/N37</f>
        <v>-6.3735383805291257E-2</v>
      </c>
      <c r="O42" s="20">
        <f>-(SUM([3]H7!$FA$26:$FI$26)/1000)/O37</f>
        <v>-7.4133836828582048E-3</v>
      </c>
      <c r="P42" s="20">
        <f>-(SUM([3]H7!$FA$27:$FI$27)/1000)/P37</f>
        <v>-8.9152036637835455E-3</v>
      </c>
      <c r="Q42" s="7"/>
    </row>
    <row r="43" spans="2:20" ht="20.149999999999999" customHeight="1" outlineLevel="2" x14ac:dyDescent="0.25">
      <c r="B43" s="202"/>
      <c r="C43" s="9"/>
      <c r="D43" s="15" t="s">
        <v>87</v>
      </c>
      <c r="E43" s="7"/>
      <c r="F43" s="20">
        <v>0.14250764702775406</v>
      </c>
      <c r="G43" s="20">
        <v>0.14258208046225504</v>
      </c>
      <c r="H43" s="20">
        <v>0.14342599004580675</v>
      </c>
      <c r="I43" s="7"/>
      <c r="J43" s="20">
        <f>-(SUM([3]H7!$AL$25:$AN$25)/1000)/J37</f>
        <v>7.6270249231527462E-2</v>
      </c>
      <c r="K43" s="20">
        <f>-(SUM([3]H7!$AL$26:$AN$26)/1000)/K37</f>
        <v>7.7011868440773845E-2</v>
      </c>
      <c r="L43" s="20">
        <f>-(SUM([3]H7!$AL$27:$AN$27)/1000)/L37</f>
        <v>7.9975738731413684E-2</v>
      </c>
      <c r="M43" s="7"/>
      <c r="N43" s="20">
        <f>-(SUM([3]H7!$FJ$25:$FL$25)/1000)/N37</f>
        <v>0.17448523040562539</v>
      </c>
      <c r="O43" s="20">
        <f>-(SUM([3]H7!$FJ$26:$FL$26)/1000)/O37</f>
        <v>0.1686894299415608</v>
      </c>
      <c r="P43" s="20">
        <f>-(SUM([3]H7!$FJ$27:$FL$27)/1000)/P37</f>
        <v>0.17421857075079406</v>
      </c>
      <c r="Q43" s="7"/>
    </row>
    <row r="44" spans="2:20" ht="20.149999999999999" customHeight="1" outlineLevel="2" x14ac:dyDescent="0.25">
      <c r="B44" s="202"/>
      <c r="C44" s="9"/>
      <c r="D44" s="15" t="s">
        <v>88</v>
      </c>
      <c r="E44" s="7"/>
      <c r="F44" s="20">
        <v>0.1612418402864387</v>
      </c>
      <c r="G44" s="20">
        <v>0.15005832449453124</v>
      </c>
      <c r="H44" s="20">
        <v>0.14611723939708512</v>
      </c>
      <c r="I44" s="7"/>
      <c r="J44" s="20">
        <f>-(SUM([3]H7!$AO$25:$AR$25)/1000)/J37</f>
        <v>5.0769256524761074E-2</v>
      </c>
      <c r="K44" s="20">
        <f>-(SUM([3]H7!$AO$26:$AR$26)/1000)/K37</f>
        <v>5.1518890906233718E-2</v>
      </c>
      <c r="L44" s="20">
        <f>-(SUM([3]H7!$AO$27:$AR$27)/1000)/L37</f>
        <v>5.8690320930371659E-2</v>
      </c>
      <c r="M44" s="7"/>
      <c r="N44" s="20">
        <f>-(SUM([3]H7!$FM$25:$FP$25)/1000)/N37</f>
        <v>0.11641581865903025</v>
      </c>
      <c r="O44" s="20">
        <f>-(SUM([3]H7!$FM$26:$FP$26)/1000)/O37</f>
        <v>0.10718305391714257</v>
      </c>
      <c r="P44" s="20">
        <f>-(SUM([3]H7!$FM$27:$FP$27)/1000)/P37</f>
        <v>0.12785057058033161</v>
      </c>
      <c r="Q44" s="7"/>
    </row>
    <row r="45" spans="2:20" ht="20.149999999999999" customHeight="1" outlineLevel="1" x14ac:dyDescent="0.25">
      <c r="B45" s="202"/>
      <c r="C45" s="9"/>
      <c r="D45" s="14" t="s">
        <v>97</v>
      </c>
      <c r="E45" s="7"/>
      <c r="F45" s="20">
        <v>0.30374948731419277</v>
      </c>
      <c r="G45" s="20">
        <v>0.29264040495678634</v>
      </c>
      <c r="H45" s="20">
        <v>0.2895432294428919</v>
      </c>
      <c r="I45" s="7"/>
      <c r="J45" s="20">
        <f>+J43+J44</f>
        <v>0.12703950575628853</v>
      </c>
      <c r="K45" s="20">
        <f>+K43+K44</f>
        <v>0.12853075934700756</v>
      </c>
      <c r="L45" s="20">
        <f>+L43+L44</f>
        <v>0.13866605966178536</v>
      </c>
      <c r="M45" s="7"/>
      <c r="N45" s="20">
        <f>+N43+N44</f>
        <v>0.29090104906465564</v>
      </c>
      <c r="O45" s="20">
        <f>+O43+O44</f>
        <v>0.27587248385870339</v>
      </c>
      <c r="P45" s="20">
        <f>+P43+P44</f>
        <v>0.30206914133112567</v>
      </c>
      <c r="Q45" s="7"/>
    </row>
    <row r="46" spans="2:20" ht="20.149999999999999" customHeight="1" outlineLevel="1" x14ac:dyDescent="0.25">
      <c r="B46" s="202"/>
      <c r="C46" s="9"/>
      <c r="D46" s="14" t="s">
        <v>90</v>
      </c>
      <c r="E46" s="7"/>
      <c r="F46" s="20"/>
      <c r="G46" s="20"/>
      <c r="H46" s="20"/>
      <c r="I46" s="7"/>
      <c r="J46" s="20">
        <f>-(SUM([3]H7!$AT$25:$BJ$25)/1000/J37)</f>
        <v>1.1643860286919107E-2</v>
      </c>
      <c r="K46" s="20">
        <f>-(SUM([3]H7!$AT$26:$BJ$26)/1000/K37)</f>
        <v>1.4261900269119592E-2</v>
      </c>
      <c r="L46" s="20">
        <f>-(SUM([3]H7!$AT$27:$BJ$27)/1000/L37)</f>
        <v>1.4731173387517858E-2</v>
      </c>
      <c r="M46" s="7"/>
      <c r="N46" s="20">
        <f>-(SUM([3]H7!$FR$25:$GH$25)/1000/N37)</f>
        <v>1.8316470462011129E-2</v>
      </c>
      <c r="O46" s="20">
        <f>-(SUM([3]H7!$FR$26:$GH$26)/1000/O37)</f>
        <v>3.2096783368205491E-2</v>
      </c>
      <c r="P46" s="20">
        <f>-(SUM([3]H7!$FR$27:$GH$27)/1000/P37)</f>
        <v>3.2090281549939856E-2</v>
      </c>
      <c r="Q46" s="7"/>
    </row>
    <row r="47" spans="2:20" ht="20.149999999999999" customHeight="1" outlineLevel="1" x14ac:dyDescent="0.25">
      <c r="B47" s="202"/>
      <c r="C47" s="9"/>
      <c r="D47" s="14" t="s">
        <v>79</v>
      </c>
      <c r="E47" s="8"/>
      <c r="F47" s="20">
        <v>0.77452884432009284</v>
      </c>
      <c r="G47" s="20">
        <v>0.71194697039695087</v>
      </c>
      <c r="H47" s="20">
        <v>0.83522221835157051</v>
      </c>
      <c r="I47" s="8"/>
      <c r="J47" s="20">
        <f>+J41+J42+J45+J46</f>
        <v>0.38550422816639074</v>
      </c>
      <c r="K47" s="20">
        <f>+K41+K42+K45+K46</f>
        <v>0.40316496663914064</v>
      </c>
      <c r="L47" s="20">
        <f>+L41+L42+L45+L46</f>
        <v>0.42237062582611939</v>
      </c>
      <c r="M47" s="8"/>
      <c r="N47" s="20">
        <f>+N41+N42+N45+N46</f>
        <v>0.82491514807874811</v>
      </c>
      <c r="O47" s="20">
        <f>+O41+O42+O45+O46</f>
        <v>0.93285733882855637</v>
      </c>
      <c r="P47" s="20">
        <f>+P41+P42+P45+P46</f>
        <v>0.9200891160964243</v>
      </c>
      <c r="Q47" s="8"/>
    </row>
    <row r="48" spans="2:20" ht="19.5" customHeight="1" outlineLevel="1" x14ac:dyDescent="0.25">
      <c r="B48" s="202"/>
      <c r="C48" s="9"/>
      <c r="D48" s="14" t="s">
        <v>34</v>
      </c>
      <c r="E48" s="6"/>
      <c r="F48" s="19">
        <v>29.55470165000002</v>
      </c>
      <c r="G48" s="19">
        <v>37.879180670000004</v>
      </c>
      <c r="H48" s="19">
        <v>22.820673834629417</v>
      </c>
      <c r="I48" s="6"/>
      <c r="J48" s="19">
        <f>+[3]H7!$BK$25/1000</f>
        <v>6.4753592599999843</v>
      </c>
      <c r="K48" s="19">
        <f>+[3]H7!$BK$26/1000</f>
        <v>5.9475603300000186</v>
      </c>
      <c r="L48" s="19">
        <f>+[3]H7!$BK$27/1000</f>
        <v>5.1471343271837053</v>
      </c>
      <c r="M48" s="6"/>
      <c r="N48" s="19">
        <f>+[3]H7!$GI$25/1000</f>
        <v>3.7390370299999982</v>
      </c>
      <c r="O48" s="19">
        <f>+[3]H7!$GI$26/1000</f>
        <v>1.4497148100000055</v>
      </c>
      <c r="P48" s="19">
        <f>+[3]H7!$GI$27/1000</f>
        <v>1.7157114423945639</v>
      </c>
      <c r="Q48" s="6"/>
      <c r="T48" s="34"/>
    </row>
    <row r="49" spans="2:20" ht="7.5" customHeight="1" outlineLevel="1" x14ac:dyDescent="0.25">
      <c r="E49" s="8"/>
      <c r="F49" s="8"/>
      <c r="G49" s="8"/>
      <c r="H49" s="8"/>
      <c r="I49" s="8"/>
      <c r="J49" s="8"/>
      <c r="K49" s="8"/>
      <c r="L49" s="8"/>
      <c r="M49" s="8"/>
      <c r="N49" s="6"/>
      <c r="O49" s="8"/>
      <c r="P49" s="8"/>
      <c r="Q49" s="8"/>
    </row>
    <row r="50" spans="2:20" ht="19.5" customHeight="1" x14ac:dyDescent="0.25">
      <c r="B50" s="204" t="s">
        <v>99</v>
      </c>
      <c r="C50" s="9"/>
      <c r="D50" s="14" t="s">
        <v>19</v>
      </c>
      <c r="E50" s="6"/>
      <c r="F50" s="19">
        <v>229.38382952000003</v>
      </c>
      <c r="G50" s="19">
        <v>212.12458179999999</v>
      </c>
      <c r="H50" s="19">
        <v>203.05293351311161</v>
      </c>
      <c r="I50" s="6"/>
      <c r="J50" s="19">
        <f t="shared" ref="J50:L51" si="0">J64+J78</f>
        <v>43.333704319999988</v>
      </c>
      <c r="K50" s="19">
        <f t="shared" si="0"/>
        <v>43.663379540000001</v>
      </c>
      <c r="L50" s="19">
        <f t="shared" si="0"/>
        <v>44.260160450183761</v>
      </c>
      <c r="M50" s="6"/>
      <c r="N50" s="19">
        <f t="shared" ref="N50:P51" si="1">N64+N78</f>
        <v>8.0849100999999948</v>
      </c>
      <c r="O50" s="19">
        <f t="shared" si="1"/>
        <v>8.0957654599999938</v>
      </c>
      <c r="P50" s="19">
        <f t="shared" si="1"/>
        <v>8.9432278112629362</v>
      </c>
      <c r="Q50" s="6"/>
    </row>
    <row r="51" spans="2:20" ht="20.149999999999999" customHeight="1" x14ac:dyDescent="0.25">
      <c r="B51" s="204"/>
      <c r="C51" s="9"/>
      <c r="D51" s="14" t="s">
        <v>20</v>
      </c>
      <c r="E51" s="6"/>
      <c r="F51" s="19">
        <v>211.42561673000003</v>
      </c>
      <c r="G51" s="19">
        <v>196.68713613999998</v>
      </c>
      <c r="H51" s="19">
        <v>187.22452828540679</v>
      </c>
      <c r="I51" s="6"/>
      <c r="J51" s="19">
        <f t="shared" si="0"/>
        <v>30.827392329999995</v>
      </c>
      <c r="K51" s="19">
        <f t="shared" si="0"/>
        <v>31.259586589999991</v>
      </c>
      <c r="L51" s="19">
        <f t="shared" si="0"/>
        <v>33.429349732577855</v>
      </c>
      <c r="M51" s="6"/>
      <c r="N51" s="19">
        <f t="shared" si="1"/>
        <v>10.537896100000006</v>
      </c>
      <c r="O51" s="19">
        <f t="shared" si="1"/>
        <v>10.711576389999982</v>
      </c>
      <c r="P51" s="19">
        <f t="shared" si="1"/>
        <v>11.14311657752595</v>
      </c>
      <c r="Q51" s="6"/>
    </row>
    <row r="52" spans="2:20" ht="19.5" customHeight="1" x14ac:dyDescent="0.25">
      <c r="B52" s="204"/>
      <c r="C52" s="9"/>
      <c r="D52" s="14" t="s">
        <v>92</v>
      </c>
      <c r="E52" s="6"/>
      <c r="F52" s="20" t="str">
        <f>IFERROR((F66*F65+F80*F79)/F51,"n/a")</f>
        <v>n/a</v>
      </c>
      <c r="G52" s="20" t="str">
        <f>IFERROR((G66*G65+G80*G79)/G51,"n/a")</f>
        <v>n/a</v>
      </c>
      <c r="H52" s="20" t="str">
        <f>IFERROR((H66*H65+H80*H79)/H51,"n/a")</f>
        <v>n/a</v>
      </c>
      <c r="I52" s="6"/>
      <c r="J52" s="20">
        <f>(-(SUM([3]H7!$O$33,[3]H7!$R$33:$V$33,[3]H7!$Y$33:$AB$33)/1000)-(SUM([3]H7!$O$37,[3]H7!$R$37:$V$37,[3]H7!$Y$37:$AB$37)/1000))/J51</f>
        <v>0.38002856398177237</v>
      </c>
      <c r="K52" s="20">
        <f>(-(SUM([3]H7!$O$34,[3]H7!$R$34:$V$34,[3]H7!$Y$34:$AB$34)/1000)-(SUM([3]H7!$O$38,[3]H7!$R$38:$V$38,[3]H7!$Y$38:$AB$38)/1000))/K51</f>
        <v>0.39995705916841012</v>
      </c>
      <c r="L52" s="20">
        <f>(-(SUM([3]H7!$O$35,[3]H7!$R$35:$V$35,[3]H7!$Y$35:$AB$35)/1000)-(SUM([3]H7!$O$39,[3]H7!$R$39:$V$39,[3]H7!$Y$39:$AB$39)/1000))/L51</f>
        <v>0.32284600398179458</v>
      </c>
      <c r="M52" s="6"/>
      <c r="N52" s="20">
        <f>(-(SUM([3]H7!$EM$33,[3]H7!$EP$33:$ET$33,[3]H7!$EW$33:$EZ$33)/1000)-(SUM([3]H7!$EM$37,[3]H7!$EP$37:$ET$37,[3]H7!$EW$37:$EZ$37)/1000))/N51</f>
        <v>0.41954792017478726</v>
      </c>
      <c r="O52" s="20">
        <f>(-(SUM([3]H7!$EM$34,[3]H7!$EP$34:$ET$34,[3]H7!$EW$34:$EZ$34)/1000)-(SUM([3]H7!$EM$38,[3]H7!$EP$38:$ET$38,[3]H7!$EW$38:$EZ$38)/1000))/O51</f>
        <v>0.4528338567240775</v>
      </c>
      <c r="P52" s="20">
        <f>(-(SUM([3]H7!$EM$35,[3]H7!$EP$35:$ET$35,[3]H7!$EW$35:$EZ$35)/1000)-(SUM([3]H7!$EM$39,[3]H7!$EP$39:$ET$39,[3]H7!$EW$39:$EZ$39)/1000))/P51</f>
        <v>0.32284600398179447</v>
      </c>
      <c r="Q52" s="6"/>
    </row>
    <row r="53" spans="2:20" ht="19.5" customHeight="1" x14ac:dyDescent="0.25">
      <c r="B53" s="204"/>
      <c r="C53" s="9"/>
      <c r="D53" s="14" t="s">
        <v>93</v>
      </c>
      <c r="E53" s="6"/>
      <c r="F53" s="20">
        <f>IFERROR((F67*F65+F81*F79)/F51,"n/a")</f>
        <v>0</v>
      </c>
      <c r="G53" s="20">
        <f>IFERROR((G67*G65+G81*G79)/G51,"n/a")</f>
        <v>0</v>
      </c>
      <c r="H53" s="20">
        <f>IFERROR((H67*H65+H81*H79)/H51,"n/a")</f>
        <v>0</v>
      </c>
      <c r="I53" s="6"/>
      <c r="J53" s="20">
        <f>(-(SUM([3]H7!$Q$33,[3]H7!$X$33)/1000)-(SUM([3]H7!$Q$37,[3]H7!$X$37)/1000))/J51</f>
        <v>7.1739191166527008E-2</v>
      </c>
      <c r="K53" s="20">
        <f>(-(SUM([3]H7!$Q$34,[3]H7!$X$34)/1000)-(SUM([3]H7!$Q$38,[3]H7!$X$38)/1000))/K51</f>
        <v>0.10277580182941687</v>
      </c>
      <c r="L53" s="20">
        <f>(-(SUM([3]H7!$Q$35,[3]H7!$X$35)/1000)-(SUM([3]H7!$Q$39,[3]H7!$X$39)/1000))/L51</f>
        <v>8.8098642122860213E-2</v>
      </c>
      <c r="M53" s="6"/>
      <c r="N53" s="20">
        <f>(-(SUM([3]H7!$EO$33,[3]H7!$EV$33)/1000)-(SUM([3]H7!$EO$37,[3]H7!$EV$37)/1000))/N51</f>
        <v>9.8021055476813376E-2</v>
      </c>
      <c r="O53" s="20">
        <f>(-(SUM([3]H7!$EO$34,[3]H7!$EV$34)/1000)-(SUM([3]H7!$EO$38,[3]H7!$EV$38)/1000))/O51</f>
        <v>0.10052415092954768</v>
      </c>
      <c r="P53" s="20">
        <f>(-(SUM([3]H7!$EO$35,[3]H7!$EV$35)/1000)-(SUM([3]H7!$EO$39,[3]H7!$EV$39)/1000))/P51</f>
        <v>8.8098642122860227E-2</v>
      </c>
      <c r="Q53" s="6"/>
    </row>
    <row r="54" spans="2:20" ht="19.5" customHeight="1" x14ac:dyDescent="0.25">
      <c r="B54" s="204"/>
      <c r="C54" s="9"/>
      <c r="D54" s="14" t="s">
        <v>94</v>
      </c>
      <c r="E54" s="6"/>
      <c r="F54" s="20" t="str">
        <f>IFERROR((F68*F65+F82*F79)/F51,"n/a")</f>
        <v>n/a</v>
      </c>
      <c r="G54" s="20" t="str">
        <f>IFERROR((G68*G65+G82*G79)/G51,"n/a")</f>
        <v>n/a</v>
      </c>
      <c r="H54" s="20" t="str">
        <f>IFERROR((H68*H65+H82*H79)/H51,"n/a")</f>
        <v>n/a</v>
      </c>
      <c r="I54" s="6"/>
      <c r="J54" s="20">
        <f>(-(SUM([3]H7!$P$33,[3]H7!$W$33)/1000)-(SUM([3]H7!$P$37,[3]H7!$W$37)/1000))/J51</f>
        <v>5.3452889636611059E-3</v>
      </c>
      <c r="K54" s="20">
        <f>(-(SUM([3]H7!$P$34,[3]H7!$W$34)/1000)-(SUM([3]H7!$P$38,[3]H7!$W$38)/1000))/K51</f>
        <v>0</v>
      </c>
      <c r="L54" s="20">
        <f>(-(SUM([3]H7!$P$35,[3]H7!$W$35)/1000)-(SUM([3]H7!$P$39,[3]H7!$W$39)/1000))/L51</f>
        <v>0.12279419978156861</v>
      </c>
      <c r="M54" s="6"/>
      <c r="N54" s="20">
        <f>(-(SUM([3]H7!$EN$33,[3]H7!$EU$33)/1000)-(SUM([3]H7!$EN$37,[3]H7!$EU$37)/1000))/N51</f>
        <v>1.5637022650090458E-2</v>
      </c>
      <c r="O54" s="20">
        <f>(-(SUM([3]H7!$EN$34,[3]H7!$EU$34)/1000)-(SUM([3]H7!$EN$38,[3]H7!$EU$38)/1000))/O51</f>
        <v>0</v>
      </c>
      <c r="P54" s="20">
        <f>(-(SUM([3]H7!$EN$35,[3]H7!$EU$35)/1000)-(SUM([3]H7!$EN$39,[3]H7!$EU$39)/1000))/P51</f>
        <v>0.12279419978156865</v>
      </c>
      <c r="Q54" s="6"/>
    </row>
    <row r="55" spans="2:20" ht="19.5" customHeight="1" outlineLevel="1" x14ac:dyDescent="0.25">
      <c r="B55" s="204"/>
      <c r="C55" s="9"/>
      <c r="D55" s="14" t="s">
        <v>95</v>
      </c>
      <c r="E55" s="7"/>
      <c r="F55" s="20">
        <v>0.58127654633707238</v>
      </c>
      <c r="G55" s="20">
        <v>0.52862258732565415</v>
      </c>
      <c r="H55" s="20">
        <v>0.63822529577194531</v>
      </c>
      <c r="I55" s="7"/>
      <c r="J55" s="20">
        <f>+J52+J53+J54</f>
        <v>0.45711304411196046</v>
      </c>
      <c r="K55" s="20">
        <f>+K52+K53+K54</f>
        <v>0.50273286099782699</v>
      </c>
      <c r="L55" s="20">
        <f>+L52+L53+L54</f>
        <v>0.53373884588622345</v>
      </c>
      <c r="M55" s="7"/>
      <c r="N55" s="20">
        <f>+N52+N53+N54</f>
        <v>0.53320599830169113</v>
      </c>
      <c r="O55" s="20">
        <f>+O52+O53+O54</f>
        <v>0.55335800765362519</v>
      </c>
      <c r="P55" s="20">
        <f>+P52+P53+P54</f>
        <v>0.53373884588622333</v>
      </c>
      <c r="Q55" s="7"/>
    </row>
    <row r="56" spans="2:20" ht="20.149999999999999" customHeight="1" x14ac:dyDescent="0.25">
      <c r="B56" s="204"/>
      <c r="C56" s="9"/>
      <c r="D56" s="14" t="s">
        <v>96</v>
      </c>
      <c r="E56" s="7"/>
      <c r="F56" s="20">
        <v>-5.0410234222519779E-2</v>
      </c>
      <c r="G56" s="20">
        <v>-9.0336924359673568E-2</v>
      </c>
      <c r="H56" s="20">
        <v>-2.670590251069002E-3</v>
      </c>
      <c r="I56" s="7"/>
      <c r="J56" s="20">
        <f>(-(SUM([3]H7!$AC$33:$AK$33)/1000)-(SUM([3]H7!$AC$37:$AK$37)/1000))/J51</f>
        <v>2.8244828193030578E-3</v>
      </c>
      <c r="K56" s="20">
        <f>(-(SUM([3]H7!$AC$34:$AK$34)/1000)-(SUM([3]H7!$AC$38:$AK$38)/1000))/K51</f>
        <v>-0.22860510677022355</v>
      </c>
      <c r="L56" s="20">
        <f>(-(SUM([3]H7!$AC$35:$AK$35)/1000)-(SUM([3]H7!$AC$39:$AK$39)/1000))/L51</f>
        <v>-2.4255534834761158E-2</v>
      </c>
      <c r="M56" s="7"/>
      <c r="N56" s="20">
        <f>(-(SUM([3]H7!$FA$33:$FI$33)/1000)-(SUM([3]H7!$FA$37:$FI$37)/1000))/N51</f>
        <v>0.11596697276223852</v>
      </c>
      <c r="O56" s="20">
        <f>(-(SUM([3]H7!$FA$34:$FI$34)/1000)-(SUM([3]H7!$FA$38:$FI$38)/1000))/O51</f>
        <v>7.4392951232083171E-2</v>
      </c>
      <c r="P56" s="20">
        <f>(-(SUM([3]H7!$FA$35:$FI$35)/1000)-(SUM([3]H7!$FA$39:$FI$39)/1000))/P51</f>
        <v>-2.4255534834761169E-2</v>
      </c>
      <c r="Q56" s="7"/>
    </row>
    <row r="57" spans="2:20" ht="20.149999999999999" customHeight="1" outlineLevel="1" x14ac:dyDescent="0.25">
      <c r="B57" s="204"/>
      <c r="C57" s="9"/>
      <c r="D57" s="15" t="s">
        <v>87</v>
      </c>
      <c r="E57" s="7"/>
      <c r="F57" s="20">
        <v>0.15730436554654667</v>
      </c>
      <c r="G57" s="20">
        <v>0.16042032742568968</v>
      </c>
      <c r="H57" s="20">
        <v>0.16278191221801697</v>
      </c>
      <c r="I57" s="7"/>
      <c r="J57" s="20">
        <f>(-(SUM([3]H7!$AL$33:$AN$33)/1000)-(SUM([3]H7!$AL$37:$AN$37)/1000))/J51</f>
        <v>0.24692637796003977</v>
      </c>
      <c r="K57" s="20">
        <f>(-(SUM([3]H7!$AL$34:$AN$34)/1000)-(SUM([3]H7!$AL$38:$AN$38)/1000))/K51</f>
        <v>0.25370626374620886</v>
      </c>
      <c r="L57" s="20">
        <f>(-(SUM([3]H7!$AL$35:$AN$35)/1000)-(SUM([3]H7!$AL$39:$AN$39)/1000))/L51</f>
        <v>0.26207296793517326</v>
      </c>
      <c r="M57" s="7"/>
      <c r="N57" s="20">
        <f>(-(SUM([3]H7!$FJ$33:$FL$33)/1000)-(SUM([3]H7!$FJ$37:$FL$37)/1000))/N51</f>
        <v>0.22855718135235789</v>
      </c>
      <c r="O57" s="20">
        <f>(-(SUM([3]H7!$FJ$34:$FL$34)/1000)-(SUM([3]H7!$FJ$38:$FL$38)/1000))/O51</f>
        <v>0.2547665712908202</v>
      </c>
      <c r="P57" s="20">
        <f>(-(SUM([3]H7!$FJ$35:$FL$35)/1000)-(SUM([3]H7!$FJ$39:$FL$39)/1000))/P51</f>
        <v>0.26207296793517337</v>
      </c>
      <c r="Q57" s="7"/>
    </row>
    <row r="58" spans="2:20" ht="20.149999999999999" customHeight="1" outlineLevel="1" x14ac:dyDescent="0.25">
      <c r="B58" s="204"/>
      <c r="C58" s="9"/>
      <c r="D58" s="15" t="s">
        <v>88</v>
      </c>
      <c r="E58" s="7"/>
      <c r="F58" s="20">
        <v>9.6659400436315324E-2</v>
      </c>
      <c r="G58" s="20">
        <v>0.1077703100771784</v>
      </c>
      <c r="H58" s="20">
        <v>0.10810289803432095</v>
      </c>
      <c r="I58" s="7"/>
      <c r="J58" s="20">
        <f>(-(SUM([3]H7!$AO$33:$AR$33)/1000)-(SUM([3]H7!$AO$37:$AR$37)/1000))/J51</f>
        <v>0.16944009678420957</v>
      </c>
      <c r="K58" s="20">
        <f>(-(SUM([3]H7!$AO$34:$AR$34)/1000)-(SUM([3]H7!$AO$38:$AR$38)/1000))/K51</f>
        <v>0.188831858444613</v>
      </c>
      <c r="L58" s="20">
        <f>(-(SUM([3]H7!$AO$35:$AR$35)/1000)-(SUM([3]H7!$AO$39:$AR$39)/1000))/L51</f>
        <v>0.17960977398649705</v>
      </c>
      <c r="M58" s="7"/>
      <c r="N58" s="20">
        <f>(-(SUM([3]H7!$FM$33:$FP$33)/1000)-(SUM([3]H7!$FM$37:$FP$37)/1000))/N51</f>
        <v>0.15669989761998118</v>
      </c>
      <c r="O58" s="20">
        <f>(-(SUM([3]H7!$FM$34:$FP$34)/1000)-(SUM([3]H7!$FM$38:$FP$38)/1000))/O51</f>
        <v>0.18675410762766395</v>
      </c>
      <c r="P58" s="20">
        <f>(-(SUM([3]H7!$FM$35:$FP$35)/1000)-(SUM([3]H7!$FM$39:$FP$39)/1000))/P51</f>
        <v>0.17960977398649711</v>
      </c>
      <c r="Q58" s="7"/>
    </row>
    <row r="59" spans="2:20" ht="20.149999999999999" customHeight="1" x14ac:dyDescent="0.25">
      <c r="B59" s="204"/>
      <c r="C59" s="9"/>
      <c r="D59" s="14" t="s">
        <v>97</v>
      </c>
      <c r="E59" s="7"/>
      <c r="F59" s="20">
        <v>0.25396376598286197</v>
      </c>
      <c r="G59" s="20">
        <v>0.26819063750286803</v>
      </c>
      <c r="H59" s="20">
        <v>0.2708848102523379</v>
      </c>
      <c r="I59" s="7"/>
      <c r="J59" s="20">
        <f>+J57+J58</f>
        <v>0.41636647474424937</v>
      </c>
      <c r="K59" s="20">
        <f>+K57+K58</f>
        <v>0.44253812219082189</v>
      </c>
      <c r="L59" s="20">
        <f>+L57+L58</f>
        <v>0.44168274192167034</v>
      </c>
      <c r="M59" s="7"/>
      <c r="N59" s="20">
        <f>+N57+N58</f>
        <v>0.38525707897233907</v>
      </c>
      <c r="O59" s="20">
        <f>+O57+O58</f>
        <v>0.44152067891848412</v>
      </c>
      <c r="P59" s="20">
        <f>+P57+P58</f>
        <v>0.44168274192167045</v>
      </c>
      <c r="Q59" s="7"/>
    </row>
    <row r="60" spans="2:20" ht="20.149999999999999" customHeight="1" x14ac:dyDescent="0.25">
      <c r="B60" s="204"/>
      <c r="C60" s="9"/>
      <c r="D60" s="14" t="s">
        <v>90</v>
      </c>
      <c r="E60" s="7"/>
      <c r="F60" s="20"/>
      <c r="G60" s="20"/>
      <c r="H60" s="20"/>
      <c r="I60" s="7"/>
      <c r="J60" s="20">
        <f>(-(SUM([3]H7!$AT$33:$BJ$33)/1000)-(SUM([3]H7!$AT$37:$BJ$37)/1000))/J51</f>
        <v>9.8045241311528156E-2</v>
      </c>
      <c r="K60" s="20">
        <f>(-(SUM([3]H7!$AT$34:$BJ$34)/1000)-(SUM([3]H7!$AT$38:$BJ$38)/1000))/K51</f>
        <v>0.13259797304312368</v>
      </c>
      <c r="L60" s="20">
        <f>(-(SUM([3]H7!$AT$35:$BJ$35)/1000)-(SUM([3]H7!$AT$39:$BJ$39)/1000))/L51</f>
        <v>4.3823239474758989E-2</v>
      </c>
      <c r="M60" s="7"/>
      <c r="N60" s="20">
        <f>(-(SUM([3]H7!$FR$33:$GH$33)/1000)-(SUM([3]H7!$FR$37:$GH$37)/1000))/N51</f>
        <v>8.7322774989212579E-2</v>
      </c>
      <c r="O60" s="20">
        <f>(-(SUM([3]H7!$FR$34:$GH$34)/1000)-(SUM([3]H7!$FR$38:$GH$38)/1000))/O51</f>
        <v>0.19853097364691547</v>
      </c>
      <c r="P60" s="20">
        <f>(-(SUM([3]H7!$FR$35:$GH$35)/1000)-(SUM([3]H7!$FR$39:$GH$39)/1000))/P51</f>
        <v>4.3823239474758982E-2</v>
      </c>
      <c r="Q60" s="7"/>
    </row>
    <row r="61" spans="2:20" ht="20.149999999999999" customHeight="1" x14ac:dyDescent="0.25">
      <c r="B61" s="204"/>
      <c r="C61" s="9"/>
      <c r="D61" s="14" t="s">
        <v>79</v>
      </c>
      <c r="E61" s="8"/>
      <c r="F61" s="20">
        <v>0.78483007809741478</v>
      </c>
      <c r="G61" s="20">
        <v>0.70647630046884868</v>
      </c>
      <c r="H61" s="20">
        <v>0.90643951577321424</v>
      </c>
      <c r="I61" s="8"/>
      <c r="J61" s="29">
        <f>+J55+J56+J59+J60</f>
        <v>0.97434924298704095</v>
      </c>
      <c r="K61" s="20">
        <f>+K55+K56+K59+K60</f>
        <v>0.84926384946154898</v>
      </c>
      <c r="L61" s="20">
        <f>+L55+L56+L59+L60</f>
        <v>0.99498929244789158</v>
      </c>
      <c r="M61" s="8"/>
      <c r="N61" s="20">
        <f>+N55+N56+N59+N60</f>
        <v>1.1217528250254813</v>
      </c>
      <c r="O61" s="20">
        <f>+O55+O56+O59+O60</f>
        <v>1.2678026114511081</v>
      </c>
      <c r="P61" s="20">
        <f>+P55+P56+P59+P60</f>
        <v>0.99498929244789158</v>
      </c>
      <c r="Q61" s="8"/>
    </row>
    <row r="62" spans="2:20" ht="19.5" customHeight="1" x14ac:dyDescent="0.25">
      <c r="B62" s="204"/>
      <c r="C62" s="9"/>
      <c r="D62" s="14" t="s">
        <v>34</v>
      </c>
      <c r="E62" s="6"/>
      <c r="F62" s="19">
        <v>45.460953930000031</v>
      </c>
      <c r="G62" s="19">
        <v>57.734353569999982</v>
      </c>
      <c r="H62" s="19">
        <v>17.516817525514227</v>
      </c>
      <c r="I62" s="6"/>
      <c r="J62" s="19">
        <f>+J76+J90</f>
        <v>0.79074594999998538</v>
      </c>
      <c r="K62" s="19">
        <f>+K76+K90</f>
        <v>4.7119497499999881</v>
      </c>
      <c r="L62" s="19">
        <f>+L76+L90</f>
        <v>0.16750469516710131</v>
      </c>
      <c r="M62" s="6"/>
      <c r="N62" s="19">
        <f>+N76+N90</f>
        <v>-1.2830186200000009</v>
      </c>
      <c r="O62" s="19">
        <f>+O76+O90</f>
        <v>-2.8685881300000267</v>
      </c>
      <c r="P62" s="19">
        <f>+P76+P90</f>
        <v>5.5834898389033924E-2</v>
      </c>
      <c r="Q62" s="6"/>
      <c r="T62" s="34"/>
    </row>
    <row r="63" spans="2:20" ht="7.5" customHeight="1" x14ac:dyDescent="0.25">
      <c r="E63" s="8"/>
      <c r="F63" s="8"/>
      <c r="G63" s="8"/>
      <c r="H63" s="8"/>
      <c r="I63" s="8"/>
      <c r="J63" s="8"/>
      <c r="K63" s="8"/>
      <c r="L63" s="8"/>
      <c r="M63" s="8"/>
      <c r="N63" s="6"/>
      <c r="O63" s="8"/>
      <c r="P63" s="8"/>
      <c r="Q63" s="8"/>
    </row>
    <row r="64" spans="2:20" ht="19.5" customHeight="1" outlineLevel="1" x14ac:dyDescent="0.25">
      <c r="B64" s="204" t="s">
        <v>100</v>
      </c>
      <c r="C64" s="9"/>
      <c r="D64" s="14" t="s">
        <v>19</v>
      </c>
      <c r="E64" s="6"/>
      <c r="F64" s="19">
        <v>208.45630805000005</v>
      </c>
      <c r="G64" s="19">
        <v>192.14014261</v>
      </c>
      <c r="H64" s="19">
        <v>184.88788181612301</v>
      </c>
      <c r="I64" s="6"/>
      <c r="J64" s="19">
        <f>+[3]H7!$C$33/1000</f>
        <v>43.331240889999989</v>
      </c>
      <c r="K64" s="19">
        <f>+[3]H7!$C$34/1000</f>
        <v>43.659695800000001</v>
      </c>
      <c r="L64" s="19">
        <f>+[3]H7!$C$35/1000</f>
        <v>44.260160450183761</v>
      </c>
      <c r="M64" s="6"/>
      <c r="N64" s="19">
        <f>+[3]H7!$EA$33/1000</f>
        <v>8.0848075599999945</v>
      </c>
      <c r="O64" s="19">
        <f>+[3]H7!$EA$34/1000</f>
        <v>8.0956165599999945</v>
      </c>
      <c r="P64" s="19">
        <f>+[3]H7!$EA$35/1000</f>
        <v>8.9432278112629362</v>
      </c>
      <c r="Q64" s="6"/>
    </row>
    <row r="65" spans="2:20" ht="20.149999999999999" customHeight="1" outlineLevel="1" x14ac:dyDescent="0.25">
      <c r="B65" s="204"/>
      <c r="C65" s="9"/>
      <c r="D65" s="14" t="s">
        <v>20</v>
      </c>
      <c r="E65" s="6"/>
      <c r="F65" s="19">
        <v>191.27992135000002</v>
      </c>
      <c r="G65" s="19">
        <v>178.36638785999997</v>
      </c>
      <c r="H65" s="19">
        <v>170.14364820475578</v>
      </c>
      <c r="I65" s="6"/>
      <c r="J65" s="19">
        <f>+[3]H7!$N$33/1000</f>
        <v>30.825907399999995</v>
      </c>
      <c r="K65" s="19">
        <f>+[3]H7!$N$34/1000</f>
        <v>31.25747286999999</v>
      </c>
      <c r="L65" s="19">
        <f>+[3]H7!$N$35/1000</f>
        <v>33.429349732577855</v>
      </c>
      <c r="M65" s="6"/>
      <c r="N65" s="19">
        <f>+[3]H7!$EL$33/1000</f>
        <v>10.537427740000007</v>
      </c>
      <c r="O65" s="19">
        <f>+[3]H7!$EL$34/1000</f>
        <v>10.711009409999981</v>
      </c>
      <c r="P65" s="19">
        <f>+[3]H7!$EL$35/1000</f>
        <v>11.14311657752595</v>
      </c>
      <c r="Q65" s="6"/>
    </row>
    <row r="66" spans="2:20" ht="19.5" customHeight="1" outlineLevel="1" x14ac:dyDescent="0.25">
      <c r="B66" s="204"/>
      <c r="C66" s="9"/>
      <c r="D66" s="14" t="s">
        <v>92</v>
      </c>
      <c r="E66" s="6"/>
      <c r="F66" s="20" t="e">
        <f>F69-F67-F68</f>
        <v>#REF!</v>
      </c>
      <c r="G66" s="20" t="e">
        <f>G69-G67-G68</f>
        <v>#REF!</v>
      </c>
      <c r="H66" s="20" t="e">
        <f>H69-H67-H68</f>
        <v>#REF!</v>
      </c>
      <c r="I66" s="6"/>
      <c r="J66" s="20">
        <f>-(SUM([3]H7!$O$33,[3]H7!$R$33:$V$33,[3]H7!$Y$33:$AB$33)/1000)/J65</f>
        <v>0.38069566991797954</v>
      </c>
      <c r="K66" s="20">
        <f>-(SUM([3]H7!$O$34,[3]H7!$R$34:$V$34,[3]H7!$Y$34:$AB$34)/1000)/K65</f>
        <v>0.39998395696781325</v>
      </c>
      <c r="L66" s="20">
        <f>-(SUM([3]H7!$O$35,[3]H7!$R$35:$V$35,[3]H7!$Y$35:$AB$35)/1000)/L65</f>
        <v>0.32284600398179458</v>
      </c>
      <c r="M66" s="6"/>
      <c r="N66" s="20">
        <f>-(SUM([3]H7!$EM$33,[3]H7!$EP$33:$ET$33,[3]H7!$EW$33:$EZ$33)/1000)/N65</f>
        <v>0.42146456434661167</v>
      </c>
      <c r="O66" s="20">
        <f>-(SUM([3]H7!$EM$34,[3]H7!$EP$34:$ET$34,[3]H7!$EW$34:$EZ$34)/1000)/O65</f>
        <v>0.45286056548038001</v>
      </c>
      <c r="P66" s="20">
        <f>-(SUM([3]H7!$EM$35,[3]H7!$EP$35:$ET$35,[3]H7!$EW$35:$EZ$35)/1000)/P65</f>
        <v>0.32284600398179447</v>
      </c>
      <c r="Q66" s="6"/>
    </row>
    <row r="67" spans="2:20" ht="19.5" customHeight="1" outlineLevel="1" x14ac:dyDescent="0.25">
      <c r="B67" s="204"/>
      <c r="C67" s="9"/>
      <c r="D67" s="14" t="s">
        <v>93</v>
      </c>
      <c r="E67" s="6"/>
      <c r="F67" s="20">
        <f>IFERROR(SUM(INDEX(LL_TOT_BR_YTD,1,Month),INDEX(LL_IBNR_TOT_BR_YTD,1,Month))/F65,0)</f>
        <v>0</v>
      </c>
      <c r="G67" s="20">
        <f>IFERROR(SUM(INDEX(LL_TOT_BR_YTD_PREV,1,Month),INDEX(LL_IBNR_TOT_BR_YTD_PREV,1,Month))/G65,0)</f>
        <v>0</v>
      </c>
      <c r="H67" s="20">
        <f>IFERROR(SUM(INDEX(LL_TOT_BR_YTD_PLAN,1,Month),INDEX(LL_IBNR_TOT_BR_YTD_PLAN,1,Month))/H65,0)</f>
        <v>0</v>
      </c>
      <c r="I67" s="6"/>
      <c r="J67" s="20">
        <f>-(SUM([3]H7!$Q$33,[3]H7!$X$33)/1000)/J65</f>
        <v>7.1742646950512745E-2</v>
      </c>
      <c r="K67" s="20">
        <f>-(SUM([3]H7!$Q$34,[3]H7!$X$34)/1000)/K65</f>
        <v>0.10278275182402284</v>
      </c>
      <c r="L67" s="20">
        <f>-(SUM([3]H7!$Q$35,[3]H7!$X$35)/1000)/L65</f>
        <v>8.8098642122860213E-2</v>
      </c>
      <c r="M67" s="6"/>
      <c r="N67" s="20">
        <f>-(SUM([3]H7!$EO$33,[3]H7!$EV$33)/1000)/N65</f>
        <v>9.8025412246100507E-2</v>
      </c>
      <c r="O67" s="20">
        <f>-(SUM([3]H7!$EO$34,[3]H7!$EV$34)/1000)/O65</f>
        <v>0.10052947210712417</v>
      </c>
      <c r="P67" s="20">
        <f>-(SUM([3]H7!$EO$35,[3]H7!$EV$35)/1000)/P65</f>
        <v>8.8098642122860227E-2</v>
      </c>
      <c r="Q67" s="6"/>
    </row>
    <row r="68" spans="2:20" ht="19.5" customHeight="1" outlineLevel="1" x14ac:dyDescent="0.25">
      <c r="B68" s="204"/>
      <c r="C68" s="9"/>
      <c r="D68" s="14" t="s">
        <v>94</v>
      </c>
      <c r="E68" s="6"/>
      <c r="F68" s="20" t="e">
        <f>INDEX(NatCat_TOT_BR_YTD,1,Month)/F65</f>
        <v>#REF!</v>
      </c>
      <c r="G68" s="20" t="e">
        <f>INDEX(NatCat_TOT_BR_YTD_PREV,1,Month)/G65</f>
        <v>#REF!</v>
      </c>
      <c r="H68" s="20" t="e">
        <f>INDEX(NatCat_TOT_BR_YTD_PLAN,1,Month)/H65</f>
        <v>#REF!</v>
      </c>
      <c r="I68" s="6"/>
      <c r="J68" s="20">
        <f>-(SUM([3]H7!$P$33,[3]H7!$W$33)/1000)/J65</f>
        <v>5.3455464542140306E-3</v>
      </c>
      <c r="K68" s="20">
        <f>-(SUM([3]H7!$P$34,[3]H7!$W$34)/1000)/K65</f>
        <v>0</v>
      </c>
      <c r="L68" s="20">
        <f>-(SUM([3]H7!$P$35,[3]H7!$W$35)/1000)/L65</f>
        <v>0.12279419978156861</v>
      </c>
      <c r="M68" s="6"/>
      <c r="N68" s="20">
        <f>-(SUM([3]H7!$EN$33,[3]H7!$EU$33)/1000)/N65</f>
        <v>1.5637717673212714E-2</v>
      </c>
      <c r="O68" s="20">
        <f>-(SUM([3]H7!$EN$34,[3]H7!$EU$34)/1000)/O65</f>
        <v>0</v>
      </c>
      <c r="P68" s="20">
        <f>-(SUM([3]H7!$EN$35,[3]H7!$EU$35)/1000)/P65</f>
        <v>0.12279419978156865</v>
      </c>
      <c r="Q68" s="6"/>
    </row>
    <row r="69" spans="2:20" ht="19.5" customHeight="1" outlineLevel="2" x14ac:dyDescent="0.25">
      <c r="B69" s="204"/>
      <c r="C69" s="9"/>
      <c r="D69" s="14" t="s">
        <v>95</v>
      </c>
      <c r="E69" s="7"/>
      <c r="F69" s="20">
        <v>0.57724464214915872</v>
      </c>
      <c r="G69" s="20">
        <v>0.51933459976050433</v>
      </c>
      <c r="H69" s="20">
        <v>0.6506701480974969</v>
      </c>
      <c r="I69" s="7"/>
      <c r="J69" s="20">
        <f>+J66+J67+J68</f>
        <v>0.45778386332270632</v>
      </c>
      <c r="K69" s="20">
        <f>+K66+K67+K68</f>
        <v>0.50276670879183605</v>
      </c>
      <c r="L69" s="20">
        <f>+L66+L67+L68</f>
        <v>0.53373884588622345</v>
      </c>
      <c r="M69" s="7"/>
      <c r="N69" s="20">
        <f>+N66+N67+N68</f>
        <v>0.53512769426592488</v>
      </c>
      <c r="O69" s="20">
        <f>+O66+O67+O68</f>
        <v>0.55339003758750416</v>
      </c>
      <c r="P69" s="20">
        <f>+P66+P67+P68</f>
        <v>0.53373884588622333</v>
      </c>
      <c r="Q69" s="7"/>
    </row>
    <row r="70" spans="2:20" ht="20.149999999999999" customHeight="1" outlineLevel="1" x14ac:dyDescent="0.25">
      <c r="B70" s="204"/>
      <c r="C70" s="9"/>
      <c r="D70" s="14" t="s">
        <v>96</v>
      </c>
      <c r="E70" s="7"/>
      <c r="F70" s="20">
        <v>-5.2351025655626104E-2</v>
      </c>
      <c r="G70" s="20">
        <v>-9.3800548302475445E-2</v>
      </c>
      <c r="H70" s="20">
        <v>-2.9386933057782183E-3</v>
      </c>
      <c r="I70" s="7"/>
      <c r="J70" s="20">
        <f>-(SUM([3]H7!$AC$33:$AK$33)/1000)/J65</f>
        <v>2.8232628766022916E-3</v>
      </c>
      <c r="K70" s="20">
        <f>-(SUM([3]H7!$AC$34:$AK$34)/1000)/K65</f>
        <v>-0.22862044189306846</v>
      </c>
      <c r="L70" s="20">
        <f>-(SUM([3]H7!$AC$35:$AK$35)/1000)/L65</f>
        <v>-2.4255534834761158E-2</v>
      </c>
      <c r="M70" s="7"/>
      <c r="N70" s="20">
        <f>-(SUM([3]H7!$FA$33:$FI$33)/1000)/N65</f>
        <v>0.11597212717873399</v>
      </c>
      <c r="O70" s="20">
        <f>-(SUM([3]H7!$FA$34:$FI$34)/1000)/O65</f>
        <v>7.4395357103883217E-2</v>
      </c>
      <c r="P70" s="20">
        <f>-(SUM([3]H7!$FA$35:$FI$35)/1000)/P65</f>
        <v>-2.4255534834761169E-2</v>
      </c>
      <c r="Q70" s="7"/>
    </row>
    <row r="71" spans="2:20" ht="20.149999999999999" customHeight="1" outlineLevel="2" x14ac:dyDescent="0.25">
      <c r="B71" s="204"/>
      <c r="C71" s="9"/>
      <c r="D71" s="15" t="s">
        <v>87</v>
      </c>
      <c r="E71" s="7"/>
      <c r="F71" s="20">
        <v>0.1593842372206726</v>
      </c>
      <c r="G71" s="20">
        <v>0.16249233029683222</v>
      </c>
      <c r="H71" s="20">
        <v>0.16586500507764584</v>
      </c>
      <c r="I71" s="7"/>
      <c r="J71" s="20">
        <f>-(SUM([3]H7!$AL$33:$AN$33)/1000)/J65</f>
        <v>0.24689275586417972</v>
      </c>
      <c r="K71" s="20">
        <f>-(SUM([3]H7!$AL$34:$AN$34)/1000)/K65</f>
        <v>0.25369849037319164</v>
      </c>
      <c r="L71" s="20">
        <f>-(SUM([3]H7!$AL$35:$AN$35)/1000)/L65</f>
        <v>0.26207296793517326</v>
      </c>
      <c r="M71" s="7"/>
      <c r="N71" s="20">
        <f>-(SUM([3]H7!$FJ$33:$FL$33)/1000)/N65</f>
        <v>0.22846968343718432</v>
      </c>
      <c r="O71" s="20">
        <f>-(SUM([3]H7!$FJ$34:$FL$34)/1000)/O65</f>
        <v>0.25476061270680944</v>
      </c>
      <c r="P71" s="20">
        <f>-(SUM([3]H7!$FJ$35:$FL$35)/1000)/P65</f>
        <v>0.26207296793517337</v>
      </c>
      <c r="Q71" s="7"/>
    </row>
    <row r="72" spans="2:20" ht="20.149999999999999" customHeight="1" outlineLevel="2" x14ac:dyDescent="0.25">
      <c r="B72" s="204"/>
      <c r="C72" s="9"/>
      <c r="D72" s="15" t="s">
        <v>88</v>
      </c>
      <c r="E72" s="7"/>
      <c r="F72" s="20">
        <v>9.5952978914166626E-2</v>
      </c>
      <c r="G72" s="20">
        <v>0.10808077408133257</v>
      </c>
      <c r="H72" s="20">
        <v>0.10585752916389896</v>
      </c>
      <c r="I72" s="7"/>
      <c r="J72" s="20">
        <f>-(SUM([3]H7!$AO$33:$AR$33)/1000)/J65</f>
        <v>0.16944824955907056</v>
      </c>
      <c r="K72" s="20">
        <f>-(SUM([3]H7!$AO$34:$AR$34)/1000)/K65</f>
        <v>0.18882886260663986</v>
      </c>
      <c r="L72" s="20">
        <f>-(SUM([3]H7!$AO$35:$AR$35)/1000)/L65</f>
        <v>0.17960977398649705</v>
      </c>
      <c r="M72" s="7"/>
      <c r="N72" s="20">
        <f>-(SUM([3]H7!$FM$33:$FP$33)/1000)/N65</f>
        <v>0.15670686250418822</v>
      </c>
      <c r="O72" s="20">
        <f>-(SUM([3]H7!$FM$34:$FP$34)/1000)/O65</f>
        <v>0.18674878094426059</v>
      </c>
      <c r="P72" s="20">
        <f>-(SUM([3]H7!$FM$35:$FP$35)/1000)/P65</f>
        <v>0.17960977398649711</v>
      </c>
      <c r="Q72" s="7"/>
    </row>
    <row r="73" spans="2:20" ht="20.149999999999999" customHeight="1" outlineLevel="1" x14ac:dyDescent="0.25">
      <c r="B73" s="204"/>
      <c r="C73" s="9"/>
      <c r="D73" s="14" t="s">
        <v>97</v>
      </c>
      <c r="E73" s="7"/>
      <c r="F73" s="20">
        <v>0.25533721613483923</v>
      </c>
      <c r="G73" s="20">
        <v>0.27057310437816473</v>
      </c>
      <c r="H73" s="20">
        <v>0.27172253424154474</v>
      </c>
      <c r="I73" s="7"/>
      <c r="J73" s="20">
        <f>+J71+J72</f>
        <v>0.41634100542325025</v>
      </c>
      <c r="K73" s="20">
        <f>+K71+K72</f>
        <v>0.44252735297983148</v>
      </c>
      <c r="L73" s="20">
        <f>+L71+L72</f>
        <v>0.44168274192167034</v>
      </c>
      <c r="M73" s="7"/>
      <c r="N73" s="20">
        <f>+N71+N72</f>
        <v>0.38517654594137252</v>
      </c>
      <c r="O73" s="20">
        <f>+O71+O72</f>
        <v>0.44150939365107</v>
      </c>
      <c r="P73" s="20">
        <f>+P71+P72</f>
        <v>0.44168274192167045</v>
      </c>
      <c r="Q73" s="7"/>
    </row>
    <row r="74" spans="2:20" ht="20.149999999999999" customHeight="1" outlineLevel="1" x14ac:dyDescent="0.25">
      <c r="B74" s="204"/>
      <c r="C74" s="9"/>
      <c r="D74" s="14" t="s">
        <v>90</v>
      </c>
      <c r="E74" s="7"/>
      <c r="F74" s="20"/>
      <c r="G74" s="20"/>
      <c r="H74" s="20"/>
      <c r="I74" s="7"/>
      <c r="J74" s="20">
        <f>-(SUM([3]H7!$AT$33:$BJ$33)/1000/J65)</f>
        <v>9.7999487599836302E-2</v>
      </c>
      <c r="K74" s="20">
        <f>-(SUM([3]H7!$AT$34:$BJ$34)/1000/K65)</f>
        <v>0.13674087178372749</v>
      </c>
      <c r="L74" s="20">
        <f>-(SUM([3]H7!$AT$35:$BJ$35)/1000/L65)</f>
        <v>4.3823239474758989E-2</v>
      </c>
      <c r="M74" s="7"/>
      <c r="N74" s="20">
        <f>-(SUM([3]H7!$FR$33:$GH$33)/1000/N65)</f>
        <v>8.7287059298970876E-2</v>
      </c>
      <c r="O74" s="20">
        <f>-(SUM([3]H7!$FR$34:$GH$34)/1000/O65)</f>
        <v>0.19810949358506932</v>
      </c>
      <c r="P74" s="20">
        <f>-(SUM([3]H7!$FR$35:$GH$35)/1000/P65)</f>
        <v>4.3823239474758982E-2</v>
      </c>
      <c r="Q74" s="7"/>
    </row>
    <row r="75" spans="2:20" ht="20.149999999999999" customHeight="1" outlineLevel="1" x14ac:dyDescent="0.25">
      <c r="B75" s="204"/>
      <c r="C75" s="9"/>
      <c r="D75" s="14" t="s">
        <v>79</v>
      </c>
      <c r="E75" s="8"/>
      <c r="F75" s="20">
        <v>0.7802308326283719</v>
      </c>
      <c r="G75" s="20">
        <v>0.69610715583619387</v>
      </c>
      <c r="H75" s="20">
        <v>0.91945398903326336</v>
      </c>
      <c r="I75" s="8"/>
      <c r="J75" s="20">
        <f>+J69+J70+J73+J74</f>
        <v>0.97494761922239526</v>
      </c>
      <c r="K75" s="20">
        <f>+K69+K70+K73+K74</f>
        <v>0.85341449166232652</v>
      </c>
      <c r="L75" s="20">
        <f>+L69+L70+L73+L74</f>
        <v>0.99498929244789158</v>
      </c>
      <c r="M75" s="8"/>
      <c r="N75" s="20">
        <f>+N69+N70+N73+N74</f>
        <v>1.1235634266850023</v>
      </c>
      <c r="O75" s="20">
        <f>+O69+O70+O73+O74</f>
        <v>1.2674042819275266</v>
      </c>
      <c r="P75" s="20">
        <f>+P69+P70+P73+P74</f>
        <v>0.99498929244789158</v>
      </c>
      <c r="Q75" s="8"/>
    </row>
    <row r="76" spans="2:20" ht="19.5" customHeight="1" outlineLevel="1" x14ac:dyDescent="0.25">
      <c r="B76" s="204"/>
      <c r="C76" s="9"/>
      <c r="D76" s="14" t="s">
        <v>34</v>
      </c>
      <c r="E76" s="6"/>
      <c r="F76" s="19">
        <v>42.037429050000036</v>
      </c>
      <c r="G76" s="19">
        <v>54.204268909999989</v>
      </c>
      <c r="H76" s="19">
        <v>13.704392154220848</v>
      </c>
      <c r="I76" s="6"/>
      <c r="J76" s="19">
        <f>+[3]H7!$BK$33/1000</f>
        <v>0.77226236999998532</v>
      </c>
      <c r="K76" s="19">
        <f>+[3]H7!$BK$34/1000</f>
        <v>4.5818925499999876</v>
      </c>
      <c r="L76" s="19">
        <f>+[3]H7!$BK$35/1000</f>
        <v>0.16750469516710131</v>
      </c>
      <c r="M76" s="6"/>
      <c r="N76" s="19">
        <f>+[3]H7!$GI$33/1000</f>
        <v>-1.3020406800000008</v>
      </c>
      <c r="O76" s="19">
        <f>+[3]H7!$GI$34/1000</f>
        <v>-2.8641697800000268</v>
      </c>
      <c r="P76" s="19">
        <f>+[3]H7!$GI$35/1000</f>
        <v>5.5834898389033924E-2</v>
      </c>
      <c r="Q76" s="6"/>
      <c r="T76" s="34"/>
    </row>
    <row r="77" spans="2:20" ht="7.5" customHeight="1" outlineLevel="2" x14ac:dyDescent="0.25">
      <c r="E77" s="8"/>
      <c r="F77" s="8"/>
      <c r="G77" s="8"/>
      <c r="H77" s="8"/>
      <c r="I77" s="8"/>
      <c r="J77" s="8"/>
      <c r="K77" s="8"/>
      <c r="L77" s="8"/>
      <c r="M77" s="8"/>
      <c r="N77" s="6"/>
      <c r="O77" s="8"/>
      <c r="P77" s="8"/>
      <c r="Q77" s="8"/>
    </row>
    <row r="78" spans="2:20" ht="19.5" customHeight="1" outlineLevel="1" x14ac:dyDescent="0.25">
      <c r="B78" s="204" t="s">
        <v>101</v>
      </c>
      <c r="C78" s="9"/>
      <c r="D78" s="14" t="s">
        <v>19</v>
      </c>
      <c r="E78" s="6"/>
      <c r="F78" s="19">
        <v>20.927521469999995</v>
      </c>
      <c r="G78" s="19">
        <v>19.98443919</v>
      </c>
      <c r="H78" s="19">
        <v>18.16505169698857</v>
      </c>
      <c r="I78" s="6"/>
      <c r="J78" s="19">
        <f>+[3]H7!$C$37/1000</f>
        <v>2.46343E-3</v>
      </c>
      <c r="K78" s="19">
        <f>+[3]H7!$C$38/1000</f>
        <v>3.6837400000000005E-3</v>
      </c>
      <c r="L78" s="19">
        <f>+[3]H7!$C$39/1000</f>
        <v>0</v>
      </c>
      <c r="M78" s="6"/>
      <c r="N78" s="19">
        <f>+[3]H7!$EA$37/1000</f>
        <v>1.0253999999999986E-4</v>
      </c>
      <c r="O78" s="19">
        <f>+[3]H7!$EA$38/1000</f>
        <v>1.4890000000000026E-4</v>
      </c>
      <c r="P78" s="19">
        <f>+[3]H7!$EA$39/1000</f>
        <v>0</v>
      </c>
      <c r="Q78" s="6"/>
    </row>
    <row r="79" spans="2:20" ht="20.149999999999999" customHeight="1" outlineLevel="1" x14ac:dyDescent="0.25">
      <c r="B79" s="204"/>
      <c r="C79" s="9"/>
      <c r="D79" s="14" t="s">
        <v>20</v>
      </c>
      <c r="E79" s="6"/>
      <c r="F79" s="19">
        <v>20.145695379999996</v>
      </c>
      <c r="G79" s="19">
        <v>18.32074828</v>
      </c>
      <c r="H79" s="19">
        <v>17.080880080651021</v>
      </c>
      <c r="I79" s="6"/>
      <c r="J79" s="19">
        <f>+[3]H7!$N$37/1000</f>
        <v>1.4849299999999998E-3</v>
      </c>
      <c r="K79" s="19">
        <f>+[3]H7!$N$38/1000</f>
        <v>2.1137199999999991E-3</v>
      </c>
      <c r="L79" s="19">
        <f>+[3]H7!$N$39/1000</f>
        <v>0</v>
      </c>
      <c r="M79" s="6"/>
      <c r="N79" s="19">
        <f>+[3]H7!$EL$37/1000</f>
        <v>4.6835999999999991E-4</v>
      </c>
      <c r="O79" s="19">
        <f>+[3]H7!$EL$38/1000</f>
        <v>5.6698000000000024E-4</v>
      </c>
      <c r="P79" s="19">
        <f>+[3]H7!$EL$39/1000</f>
        <v>0</v>
      </c>
      <c r="Q79" s="6"/>
    </row>
    <row r="80" spans="2:20" ht="19.5" customHeight="1" outlineLevel="1" x14ac:dyDescent="0.25">
      <c r="B80" s="204"/>
      <c r="C80" s="9"/>
      <c r="D80" s="14" t="s">
        <v>82</v>
      </c>
      <c r="E80" s="6"/>
      <c r="F80" s="20">
        <f>F83-F81-F82</f>
        <v>0.61955878487029936</v>
      </c>
      <c r="G80" s="20">
        <f>G83-G81-G82</f>
        <v>0.61904819479349349</v>
      </c>
      <c r="H80" s="20">
        <f>H83-H81-H82</f>
        <v>0.51426139191916054</v>
      </c>
      <c r="I80" s="6"/>
      <c r="J80" s="20">
        <f>-(SUM([3]H7!$O$37,[3]H7!$R$37:$V$37,[3]H7!$Y$37:$AB$37)/1000)/J79</f>
        <v>-13.46853387028345</v>
      </c>
      <c r="K80" s="20">
        <f>-(SUM([3]H7!$O$38,[3]H7!$R$38:$V$38,[3]H7!$Y$38:$AB$38)/1000)/K79</f>
        <v>2.1951819540904183E-3</v>
      </c>
      <c r="L80" s="20" t="e">
        <f>-(SUM([3]H7!$O$39,[3]H7!$R$39:$V$39,[3]H7!$Y$39:$AB$39)/1000)/L79</f>
        <v>#DIV/0!</v>
      </c>
      <c r="M80" s="6"/>
      <c r="N80" s="20">
        <f>-(SUM([3]H7!$EM$37,[3]H7!$EP$37:$ET$37,[3]H7!$EW$37:$EZ$37)/1000)/N79</f>
        <v>-42.702194892817502</v>
      </c>
      <c r="O80" s="20">
        <f>-(SUM([3]H7!$EM$38,[3]H7!$EP$38:$ET$38,[3]H7!$EW$38:$EZ$38)/1000)/O79</f>
        <v>-5.1730219760838102E-2</v>
      </c>
      <c r="P80" s="20" t="e">
        <f>-(SUM([3]H7!$EM$39,[3]H7!$EP$39:$ET$39,[3]H7!$EW$39:$EZ$39)/1000)/P79</f>
        <v>#DIV/0!</v>
      </c>
      <c r="Q80" s="6"/>
    </row>
    <row r="81" spans="2:20" ht="19.5" customHeight="1" outlineLevel="1" x14ac:dyDescent="0.25">
      <c r="B81" s="204"/>
      <c r="C81" s="9"/>
      <c r="D81" s="14" t="s">
        <v>83</v>
      </c>
      <c r="E81" s="6"/>
      <c r="F81" s="20">
        <f>IFERROR(SUM(INDEX(LL_TOT_BR_YTD,7,Month),INDEX(LL_IBNR_TOT_BR_YTD,7,Month))/F79,0)</f>
        <v>0</v>
      </c>
      <c r="G81" s="20">
        <f>IFERROR(SUM(INDEX(LL_TOT_BR_YTD_PREV,7,Month),INDEX(LL_IBNR_TOT_BR_YTD_PREV,7,Month))/G79,0)</f>
        <v>0</v>
      </c>
      <c r="H81" s="20">
        <f>IFERROR(SUM(INDEX(LL_TOT_BR_YTD_PLAN,7,Month),INDEX(LL_IBNR_TOT_BR_YTD_PLAN,7,Month))/H79,0)</f>
        <v>0</v>
      </c>
      <c r="I81" s="6"/>
      <c r="J81" s="20">
        <f>-(SUM([3]H7!$Q$37,[3]H7!$X$37)/1000)/J79</f>
        <v>0</v>
      </c>
      <c r="K81" s="20">
        <f>-(SUM([3]H7!$Q$38,[3]H7!$X$38)/1000)/K79</f>
        <v>0</v>
      </c>
      <c r="L81" s="20" t="e">
        <f>-(SUM([3]H7!$Q$39,[3]H7!$X$39)/1000)/L79</f>
        <v>#DIV/0!</v>
      </c>
      <c r="M81" s="6"/>
      <c r="N81" s="20">
        <f>-(SUM([3]H7!$EO$37,[3]H7!$EV$37)/1000)/N79</f>
        <v>0</v>
      </c>
      <c r="O81" s="20">
        <f>-(SUM([3]H7!$EO$38,[3]H7!$EV$38)/1000)/O79</f>
        <v>0</v>
      </c>
      <c r="P81" s="20" t="e">
        <f>-(SUM([3]H7!$EO$39,[3]H7!$EV$39)/1000)/P79</f>
        <v>#DIV/0!</v>
      </c>
      <c r="Q81" s="6"/>
    </row>
    <row r="82" spans="2:20" ht="19.5" customHeight="1" outlineLevel="1" x14ac:dyDescent="0.25">
      <c r="B82" s="204"/>
      <c r="C82" s="9"/>
      <c r="D82" s="14" t="s">
        <v>84</v>
      </c>
      <c r="E82" s="6"/>
      <c r="F82" s="20">
        <f>0</f>
        <v>0</v>
      </c>
      <c r="G82" s="20">
        <f>0</f>
        <v>0</v>
      </c>
      <c r="H82" s="20">
        <f>0</f>
        <v>0</v>
      </c>
      <c r="I82" s="6"/>
      <c r="J82" s="20">
        <f>-(SUM([3]H7!$P$37,[3]H7!$W$37)/1000)/J79</f>
        <v>0</v>
      </c>
      <c r="K82" s="20">
        <f>-(SUM([3]H7!$P$38,[3]H7!$W$38)/1000)/K79</f>
        <v>0</v>
      </c>
      <c r="L82" s="20" t="e">
        <f>-(SUM([3]H7!$P$39,[3]H7!$W$39)/1000)/L79</f>
        <v>#DIV/0!</v>
      </c>
      <c r="M82" s="6"/>
      <c r="N82" s="20">
        <f>-(SUM([3]H7!$EN$37,[3]H7!$EU$37)/1000)/N79</f>
        <v>0</v>
      </c>
      <c r="O82" s="20">
        <f>-(SUM([3]H7!$EN$38,[3]H7!$EU$38)/1000)/O79</f>
        <v>0</v>
      </c>
      <c r="P82" s="20" t="e">
        <f>-(SUM([3]H7!$EN$39,[3]H7!$EU$39)/1000)/P79</f>
        <v>#DIV/0!</v>
      </c>
      <c r="Q82" s="6"/>
    </row>
    <row r="83" spans="2:20" ht="19.5" customHeight="1" outlineLevel="2" x14ac:dyDescent="0.25">
      <c r="B83" s="204"/>
      <c r="C83" s="9"/>
      <c r="D83" s="14" t="s">
        <v>85</v>
      </c>
      <c r="E83" s="7"/>
      <c r="F83" s="20">
        <v>0.61955878487029936</v>
      </c>
      <c r="G83" s="20">
        <v>0.61904819479349349</v>
      </c>
      <c r="H83" s="20">
        <v>0.51426139191916054</v>
      </c>
      <c r="I83" s="7"/>
      <c r="J83" s="20">
        <f>+J80+J81+J82</f>
        <v>-13.46853387028345</v>
      </c>
      <c r="K83" s="20">
        <f>+K80+K81+K82</f>
        <v>2.1951819540904183E-3</v>
      </c>
      <c r="L83" s="20" t="e">
        <f>+L80+L81+L82</f>
        <v>#DIV/0!</v>
      </c>
      <c r="M83" s="7"/>
      <c r="N83" s="20">
        <f>+N80+N81+N82</f>
        <v>-42.702194892817502</v>
      </c>
      <c r="O83" s="20">
        <f>+O80+O81+O82</f>
        <v>-5.1730219760838102E-2</v>
      </c>
      <c r="P83" s="20" t="e">
        <f>+P80+P81+P82</f>
        <v>#DIV/0!</v>
      </c>
      <c r="Q83" s="7"/>
    </row>
    <row r="84" spans="2:20" ht="20.149999999999999" customHeight="1" outlineLevel="1" x14ac:dyDescent="0.25">
      <c r="B84" s="204"/>
      <c r="C84" s="9"/>
      <c r="D84" s="14" t="s">
        <v>86</v>
      </c>
      <c r="E84" s="7"/>
      <c r="F84" s="20">
        <v>-3.1982752535792677E-2</v>
      </c>
      <c r="G84" s="20">
        <v>-5.6615916781757085E-2</v>
      </c>
      <c r="H84" s="20">
        <v>0</v>
      </c>
      <c r="I84" s="7"/>
      <c r="J84" s="20">
        <f>-(SUM([3]H7!$AC$37:$AK$37)/1000)/J79</f>
        <v>2.8149475059430416E-2</v>
      </c>
      <c r="K84" s="20">
        <f>-(SUM([3]H7!$AC$38:$AK$38)/1000)/K79</f>
        <v>-1.8308952936055877E-3</v>
      </c>
      <c r="L84" s="20" t="e">
        <f>-(SUM([3]H7!$AC$39:$AK$39)/1000)/L79</f>
        <v>#DIV/0!</v>
      </c>
      <c r="M84" s="7"/>
      <c r="N84" s="20">
        <f>-(SUM([3]H7!$FA$37:$FI$37)/1000)/N79</f>
        <v>0</v>
      </c>
      <c r="O84" s="20">
        <f>-(SUM([3]H7!$FA$38:$FI$38)/1000)/O79</f>
        <v>2.89428198525521E-2</v>
      </c>
      <c r="P84" s="20" t="e">
        <f>-(SUM([3]H7!$FA$39:$FI$39)/1000)/P79</f>
        <v>#DIV/0!</v>
      </c>
      <c r="Q84" s="7"/>
    </row>
    <row r="85" spans="2:20" ht="20.149999999999999" customHeight="1" outlineLevel="2" x14ac:dyDescent="0.25">
      <c r="B85" s="204"/>
      <c r="C85" s="9"/>
      <c r="D85" s="15" t="s">
        <v>87</v>
      </c>
      <c r="E85" s="7"/>
      <c r="F85" s="20">
        <v>0.13755634083254961</v>
      </c>
      <c r="G85" s="20">
        <v>0.14024780706173212</v>
      </c>
      <c r="H85" s="20">
        <v>0.13207104343289405</v>
      </c>
      <c r="I85" s="7"/>
      <c r="J85" s="20">
        <f>-(SUM([3]H7!$AL$37:$AN$37)/1000)/J79</f>
        <v>0.94489302526045027</v>
      </c>
      <c r="K85" s="20">
        <f>-(SUM([3]H7!$AL$38:$AN$38)/1000)/K79</f>
        <v>0.36865810041065056</v>
      </c>
      <c r="L85" s="20" t="e">
        <f>-(SUM([3]H7!$AL$39:$AN$39)/1000)/L79</f>
        <v>#DIV/0!</v>
      </c>
      <c r="M85" s="7"/>
      <c r="N85" s="20">
        <f>-(SUM([3]H7!$FJ$37:$FL$37)/1000)/N79</f>
        <v>2.1971346827226923</v>
      </c>
      <c r="O85" s="20">
        <f>-(SUM([3]H7!$FJ$38:$FL$38)/1000)/O79</f>
        <v>0.3673321810293122</v>
      </c>
      <c r="P85" s="20" t="e">
        <f>-(SUM([3]H7!$FJ$39:$FL$39)/1000)/P79</f>
        <v>#DIV/0!</v>
      </c>
      <c r="Q85" s="7"/>
    </row>
    <row r="86" spans="2:20" ht="20.149999999999999" customHeight="1" outlineLevel="2" x14ac:dyDescent="0.25">
      <c r="B86" s="204"/>
      <c r="C86" s="9"/>
      <c r="D86" s="15" t="s">
        <v>88</v>
      </c>
      <c r="E86" s="7"/>
      <c r="F86" s="20">
        <v>0.10336675159236923</v>
      </c>
      <c r="G86" s="20">
        <v>0.10474770739003897</v>
      </c>
      <c r="H86" s="20">
        <v>0.13046914903398416</v>
      </c>
      <c r="I86" s="7"/>
      <c r="J86" s="20">
        <f>-(SUM([3]H7!$AO$37:$AR$37)/1000)/J79</f>
        <v>1.9529540113001961E-4</v>
      </c>
      <c r="K86" s="20">
        <f>-(SUM([3]H7!$AO$38:$AR$38)/1000)/K79</f>
        <v>0.23313400071911142</v>
      </c>
      <c r="L86" s="20" t="e">
        <f>-(SUM([3]H7!$AO$39:$AR$39)/1000)/L79</f>
        <v>#DIV/0!</v>
      </c>
      <c r="M86" s="7"/>
      <c r="N86" s="20">
        <f>-(SUM([3]H7!$FM$37:$FP$37)/1000)/N79</f>
        <v>0</v>
      </c>
      <c r="O86" s="20">
        <f>-(SUM([3]H7!$FM$38:$FP$38)/1000)/O79</f>
        <v>0.28738227097957592</v>
      </c>
      <c r="P86" s="20" t="e">
        <f>-(SUM([3]H7!$FM$39:$FP$39)/1000)/P79</f>
        <v>#DIV/0!</v>
      </c>
      <c r="Q86" s="7"/>
    </row>
    <row r="87" spans="2:20" ht="20.149999999999999" customHeight="1" outlineLevel="1" x14ac:dyDescent="0.25">
      <c r="B87" s="204"/>
      <c r="C87" s="9"/>
      <c r="D87" s="14" t="s">
        <v>89</v>
      </c>
      <c r="E87" s="7"/>
      <c r="F87" s="20">
        <v>0.2409230924249188</v>
      </c>
      <c r="G87" s="20">
        <v>0.24499551445177109</v>
      </c>
      <c r="H87" s="20">
        <v>0.26254019246687821</v>
      </c>
      <c r="I87" s="7"/>
      <c r="J87" s="20">
        <f>+J85+J86</f>
        <v>0.94508832066158033</v>
      </c>
      <c r="K87" s="20">
        <f>+K85+K86</f>
        <v>0.601792101129762</v>
      </c>
      <c r="L87" s="20" t="e">
        <f>+L85+L86</f>
        <v>#DIV/0!</v>
      </c>
      <c r="M87" s="7"/>
      <c r="N87" s="20">
        <f>+N85+N86</f>
        <v>2.1971346827226923</v>
      </c>
      <c r="O87" s="20">
        <f>+O85+O86</f>
        <v>0.65471445200888811</v>
      </c>
      <c r="P87" s="20" t="e">
        <f>+P85+P86</f>
        <v>#DIV/0!</v>
      </c>
      <c r="Q87" s="7"/>
    </row>
    <row r="88" spans="2:20" ht="20.149999999999999" customHeight="1" outlineLevel="1" x14ac:dyDescent="0.25">
      <c r="B88" s="204"/>
      <c r="C88" s="9"/>
      <c r="D88" s="14" t="s">
        <v>90</v>
      </c>
      <c r="E88" s="7"/>
      <c r="F88" s="20"/>
      <c r="G88" s="20"/>
      <c r="H88" s="20"/>
      <c r="I88" s="7"/>
      <c r="J88" s="20">
        <f>-(SUM([3]H7!$AT$37:$BJ$37)/1000/J79)</f>
        <v>1.0478541076010186</v>
      </c>
      <c r="K88" s="20">
        <f>-(SUM([3]H7!$AT$38:$BJ$38)/1000/K79)</f>
        <v>-61.132160361826593</v>
      </c>
      <c r="L88" s="20" t="e">
        <f>-(SUM([3]H7!$AT$39:$BJ$39)/1000/L79)</f>
        <v>#DIV/0!</v>
      </c>
      <c r="M88" s="7"/>
      <c r="N88" s="20">
        <f>-(SUM([3]H7!$FR$37:$GH$37)/1000/N79)</f>
        <v>0.89087454095139607</v>
      </c>
      <c r="O88" s="20">
        <f>-(SUM([3]H7!$FR$38:$GH$38)/1000/O79)</f>
        <v>8.1608522346466756</v>
      </c>
      <c r="P88" s="20" t="e">
        <f>-(SUM([3]H7!$FR$39:$GH$39)/1000/P79)</f>
        <v>#DIV/0!</v>
      </c>
      <c r="Q88" s="7"/>
    </row>
    <row r="89" spans="2:20" ht="20.149999999999999" customHeight="1" outlineLevel="1" x14ac:dyDescent="0.25">
      <c r="B89" s="204"/>
      <c r="C89" s="9"/>
      <c r="D89" s="14" t="s">
        <v>79</v>
      </c>
      <c r="E89" s="8"/>
      <c r="F89" s="20">
        <v>0.82849912475942544</v>
      </c>
      <c r="G89" s="20">
        <v>0.80742779246350749</v>
      </c>
      <c r="H89" s="20">
        <v>0.77680158438603875</v>
      </c>
      <c r="I89" s="8"/>
      <c r="J89" s="20">
        <f>+J83+J84+J87+J88</f>
        <v>-11.447441966961419</v>
      </c>
      <c r="K89" s="20">
        <f>+K83+K84+K87+K88</f>
        <v>-60.530003974036347</v>
      </c>
      <c r="L89" s="20" t="e">
        <f>+L83+L84+L87+L88</f>
        <v>#DIV/0!</v>
      </c>
      <c r="M89" s="8"/>
      <c r="N89" s="20">
        <f>+N83+N84+N87+N88</f>
        <v>-39.614185669143417</v>
      </c>
      <c r="O89" s="20">
        <f>+O83+O84+O87+O88</f>
        <v>8.7927792867472778</v>
      </c>
      <c r="P89" s="20" t="e">
        <f>+P83+P84+P87+P88</f>
        <v>#DIV/0!</v>
      </c>
      <c r="Q89" s="8"/>
    </row>
    <row r="90" spans="2:20" ht="19.5" customHeight="1" outlineLevel="1" x14ac:dyDescent="0.25">
      <c r="B90" s="204"/>
      <c r="C90" s="9"/>
      <c r="D90" s="14" t="s">
        <v>34</v>
      </c>
      <c r="E90" s="6"/>
      <c r="F90" s="19">
        <v>3.4235248799999982</v>
      </c>
      <c r="G90" s="19">
        <v>3.5300846599999987</v>
      </c>
      <c r="H90" s="19">
        <v>3.8124253712933789</v>
      </c>
      <c r="I90" s="6"/>
      <c r="J90" s="19">
        <f>+[3]H7!$BK$37/1000</f>
        <v>1.848358000000002E-2</v>
      </c>
      <c r="K90" s="19">
        <f>+[3]H7!$BK$38/1000</f>
        <v>0.13005720000000004</v>
      </c>
      <c r="L90" s="19">
        <f>+[3]H7!$BK$39/1000</f>
        <v>0</v>
      </c>
      <c r="M90" s="6"/>
      <c r="N90" s="19">
        <f>+[3]H7!$GI$37/1000</f>
        <v>1.9022060000000004E-2</v>
      </c>
      <c r="O90" s="19">
        <f>+[3]H7!$GI$38/1000</f>
        <v>-4.4183499999999737E-3</v>
      </c>
      <c r="P90" s="19">
        <f>+[3]H7!$GI$39/1000</f>
        <v>0</v>
      </c>
      <c r="Q90" s="6"/>
      <c r="T90" s="34"/>
    </row>
    <row r="91" spans="2:20" ht="7.5" customHeight="1" outlineLevel="1" x14ac:dyDescent="0.25">
      <c r="C91" s="9"/>
      <c r="D91" s="9"/>
      <c r="E91" s="8"/>
      <c r="F91" s="8"/>
      <c r="G91" s="8"/>
      <c r="H91" s="8"/>
      <c r="I91" s="8"/>
      <c r="J91" s="8"/>
      <c r="K91" s="8"/>
      <c r="L91" s="8"/>
      <c r="M91" s="8"/>
      <c r="N91" s="6"/>
      <c r="O91" s="8"/>
      <c r="P91" s="8"/>
      <c r="Q91" s="8"/>
    </row>
    <row r="92" spans="2:20" ht="19.5" customHeight="1" x14ac:dyDescent="0.25">
      <c r="B92" s="204" t="s">
        <v>102</v>
      </c>
      <c r="C92" s="9"/>
      <c r="D92" s="14" t="s">
        <v>19</v>
      </c>
      <c r="E92" s="6"/>
      <c r="F92" s="19">
        <v>73.936491399999994</v>
      </c>
      <c r="G92" s="19">
        <v>67.736238929999985</v>
      </c>
      <c r="H92" s="19">
        <v>64.262486641781877</v>
      </c>
      <c r="I92" s="6"/>
      <c r="J92" s="19">
        <f>+[3]H7!$C$41/1000</f>
        <v>15.225425700000001</v>
      </c>
      <c r="K92" s="19">
        <f>+[3]H7!$C$42/1000</f>
        <v>14.99043245</v>
      </c>
      <c r="L92" s="19">
        <f>+[3]H7!$C$43/1000</f>
        <v>14.889058310682595</v>
      </c>
      <c r="M92" s="6"/>
      <c r="N92" s="19">
        <f>+[3]H7!$EA$41/1000</f>
        <v>1.9000503899999985</v>
      </c>
      <c r="O92" s="19">
        <f>+[3]H7!$EA$42/1000</f>
        <v>1.8431941700000007</v>
      </c>
      <c r="P92" s="19">
        <f>+[3]H7!$EA$43/1000</f>
        <v>2.1472041328704581</v>
      </c>
      <c r="Q92" s="6"/>
    </row>
    <row r="93" spans="2:20" ht="20.149999999999999" customHeight="1" x14ac:dyDescent="0.25">
      <c r="B93" s="204"/>
      <c r="C93" s="9"/>
      <c r="D93" s="14" t="s">
        <v>20</v>
      </c>
      <c r="E93" s="6"/>
      <c r="F93" s="19">
        <v>71.393375890000002</v>
      </c>
      <c r="G93" s="19">
        <v>64.477333239999979</v>
      </c>
      <c r="H93" s="19">
        <v>61.30179304965408</v>
      </c>
      <c r="I93" s="6"/>
      <c r="J93" s="19">
        <f>+[3]H7!$N$41/1000</f>
        <v>9.0615410000000001</v>
      </c>
      <c r="K93" s="19">
        <f>+[3]H7!$N$42/1000</f>
        <v>9.0983808800000006</v>
      </c>
      <c r="L93" s="19">
        <f>+[3]H7!$N$43/1000</f>
        <v>9.1681115444682977</v>
      </c>
      <c r="M93" s="6"/>
      <c r="N93" s="19">
        <f>+[3]H7!$EL$41/1000</f>
        <v>2.8740704699999986</v>
      </c>
      <c r="O93" s="19">
        <f>+[3]H7!$EL$42/1000</f>
        <v>2.7687233299999998</v>
      </c>
      <c r="P93" s="19">
        <f>+[3]H7!$EL$43/1000</f>
        <v>3.0560371814894332</v>
      </c>
      <c r="Q93" s="6"/>
    </row>
    <row r="94" spans="2:20" ht="19.5" customHeight="1" x14ac:dyDescent="0.25">
      <c r="B94" s="204"/>
      <c r="C94" s="9"/>
      <c r="D94" s="14" t="s">
        <v>92</v>
      </c>
      <c r="E94" s="6"/>
      <c r="F94" s="20">
        <f>F97-F95-F96</f>
        <v>0.60213230266957196</v>
      </c>
      <c r="G94" s="20">
        <f>G97-G95-G96</f>
        <v>0.49213122930950809</v>
      </c>
      <c r="H94" s="20">
        <f>H97-H95-H96</f>
        <v>0.56878005443336044</v>
      </c>
      <c r="I94" s="6"/>
      <c r="J94" s="20">
        <f>-(SUM([3]H7!$O$41,[3]H7!$R$41:$V$41,[3]H7!$Y$41:$AB$41)/1000)/J93</f>
        <v>0.35016883895182893</v>
      </c>
      <c r="K94" s="20">
        <f>-(SUM([3]H7!$O$42,[3]H7!$R$42:$V$42,[3]H7!$Y$42:$AB$42)/1000)/K93</f>
        <v>0.42469201773884124</v>
      </c>
      <c r="L94" s="20">
        <f>-(SUM([3]H7!$O$43,[3]H7!$R$43:$V$43,[3]H7!$Y$43:$AB$43)/1000)/L93</f>
        <v>0.36935432412386771</v>
      </c>
      <c r="M94" s="6"/>
      <c r="N94" s="20">
        <f>-(SUM([3]H7!$EM$41,[3]H7!$EP$41:$ET$41,[3]H7!$EW$41:$EZ$41)/1000)/N93</f>
        <v>0.40873008598001259</v>
      </c>
      <c r="O94" s="20">
        <f>-(SUM([3]H7!$EM$42,[3]H7!$EP$42:$ET$42,[3]H7!$EW$42:$EZ$42)/1000)/O93</f>
        <v>0.6138243142034413</v>
      </c>
      <c r="P94" s="20">
        <f>-(SUM([3]H7!$EM$43,[3]H7!$EP$43:$ET$43,[3]H7!$EW$43:$EZ$43)/1000)/P93</f>
        <v>0.36935432412386765</v>
      </c>
      <c r="Q94" s="6"/>
    </row>
    <row r="95" spans="2:20" ht="19.5" customHeight="1" x14ac:dyDescent="0.25">
      <c r="B95" s="204"/>
      <c r="C95" s="9"/>
      <c r="D95" s="14" t="s">
        <v>93</v>
      </c>
      <c r="E95" s="6"/>
      <c r="F95" s="20">
        <f>IFERROR(SUM(INDEX(LL_TOT_BR_YTD,4,Month),INDEX(LL_IBNR_TOT_BR_YTD,4,Month))/F93,0)</f>
        <v>0</v>
      </c>
      <c r="G95" s="20">
        <f>IFERROR(SUM(INDEX(LL_TOT_BR_YTD_PREV,4,Month),INDEX(LL_IBNR_TOT_BR_YTD_PREV,4,Month))/G93,0)</f>
        <v>0</v>
      </c>
      <c r="H95" s="20">
        <f>IFERROR(SUM(INDEX(LL_TOT_BR_YTD_PLAN,4,Month),INDEX(LL_IBNR_TOT_BR_YTD_PLAN,4,Month))/H93,0)</f>
        <v>0</v>
      </c>
      <c r="I95" s="6"/>
      <c r="J95" s="20">
        <f>-(SUM([3]H7!$Q$41,[3]H7!$X$41)/1000)/J93</f>
        <v>6.71136519622441E-2</v>
      </c>
      <c r="K95" s="20">
        <f>-(SUM([3]H7!$Q$42,[3]H7!$X$42)/1000)/K93</f>
        <v>5.4616487534461799E-2</v>
      </c>
      <c r="L95" s="20">
        <f>-(SUM([3]H7!$Q$43,[3]H7!$X$43)/1000)/L93</f>
        <v>8.5156108191433696E-2</v>
      </c>
      <c r="M95" s="6"/>
      <c r="N95" s="20">
        <f>-(SUM([3]H7!$EO$41,[3]H7!$EV$41)/1000)/N93</f>
        <v>9.7271950219190481E-2</v>
      </c>
      <c r="O95" s="20">
        <f>-(SUM([3]H7!$EO$42,[3]H7!$EV$42)/1000)/O93</f>
        <v>7.5053646022364251E-2</v>
      </c>
      <c r="P95" s="20">
        <f>-(SUM([3]H7!$EO$43,[3]H7!$EV$43)/1000)/P93</f>
        <v>8.515610819143371E-2</v>
      </c>
      <c r="Q95" s="6"/>
    </row>
    <row r="96" spans="2:20" ht="19.5" customHeight="1" x14ac:dyDescent="0.25">
      <c r="B96" s="204"/>
      <c r="C96" s="9"/>
      <c r="D96" s="14" t="s">
        <v>94</v>
      </c>
      <c r="E96" s="6"/>
      <c r="F96" s="20">
        <f>0</f>
        <v>0</v>
      </c>
      <c r="G96" s="20">
        <f>0</f>
        <v>0</v>
      </c>
      <c r="H96" s="20">
        <f>0</f>
        <v>0</v>
      </c>
      <c r="I96" s="6"/>
      <c r="J96" s="20">
        <f>-(SUM([3]H7!$P$41,[3]H7!$W$41)/1000)/J93</f>
        <v>2.2538219492688935E-4</v>
      </c>
      <c r="K96" s="20">
        <f>-(SUM([3]H7!$P$42,[3]H7!$W$42)/1000)/K93</f>
        <v>0</v>
      </c>
      <c r="L96" s="20">
        <f>-(SUM([3]H7!$P$43,[3]H7!$W$43)/1000)/L93</f>
        <v>0</v>
      </c>
      <c r="M96" s="6"/>
      <c r="N96" s="20">
        <f>-(SUM([3]H7!$EN$41,[3]H7!$EU$41)/1000)/N93</f>
        <v>7.1059844263317621E-4</v>
      </c>
      <c r="O96" s="20">
        <f>-(SUM([3]H7!$EN$42,[3]H7!$EU$42)/1000)/O93</f>
        <v>0</v>
      </c>
      <c r="P96" s="20">
        <f>-(SUM([3]H7!$EN$43,[3]H7!$EU$43)/1000)/P93</f>
        <v>0</v>
      </c>
      <c r="Q96" s="6"/>
    </row>
    <row r="97" spans="2:20" ht="19.5" customHeight="1" outlineLevel="1" x14ac:dyDescent="0.25">
      <c r="B97" s="204"/>
      <c r="C97" s="9"/>
      <c r="D97" s="14" t="s">
        <v>95</v>
      </c>
      <c r="E97" s="7"/>
      <c r="F97" s="20">
        <v>0.60213230266957196</v>
      </c>
      <c r="G97" s="20">
        <v>0.49213122930950809</v>
      </c>
      <c r="H97" s="20">
        <v>0.56878005443336044</v>
      </c>
      <c r="I97" s="7"/>
      <c r="J97" s="20">
        <f>+J94+J95+J96</f>
        <v>0.41750787310899995</v>
      </c>
      <c r="K97" s="20">
        <f>+K94+K95+K96</f>
        <v>0.47930850527330304</v>
      </c>
      <c r="L97" s="20">
        <f>+L94+L95+L96</f>
        <v>0.45451043231530142</v>
      </c>
      <c r="M97" s="7"/>
      <c r="N97" s="20">
        <f>+N94+N95+N96</f>
        <v>0.50671263464183625</v>
      </c>
      <c r="O97" s="20">
        <f>+O94+O95+O96</f>
        <v>0.6888779602258055</v>
      </c>
      <c r="P97" s="20">
        <f>+P94+P95+P96</f>
        <v>0.45451043231530136</v>
      </c>
      <c r="Q97" s="7"/>
    </row>
    <row r="98" spans="2:20" ht="20.149999999999999" customHeight="1" x14ac:dyDescent="0.25">
      <c r="B98" s="204"/>
      <c r="C98" s="9"/>
      <c r="D98" s="14" t="s">
        <v>96</v>
      </c>
      <c r="E98" s="7"/>
      <c r="F98" s="20">
        <v>-1.8108815753326363E-2</v>
      </c>
      <c r="G98" s="20">
        <v>0.34234992238025652</v>
      </c>
      <c r="H98" s="20">
        <v>-1.6312736548994677E-2</v>
      </c>
      <c r="I98" s="7"/>
      <c r="J98" s="20">
        <f>-(SUM([3]H7!$AC$41:$AK$41)/1000)/J93</f>
        <v>0.22154765949853331</v>
      </c>
      <c r="K98" s="20">
        <f>-(SUM([3]H7!$AC$42:$AK$42)/1000)/K93</f>
        <v>-3.2444923321345923E-2</v>
      </c>
      <c r="L98" s="20">
        <f>-(SUM([3]H7!$AC$43:$AK$43)/1000)/L93</f>
        <v>-9.4775853250706737E-3</v>
      </c>
      <c r="M98" s="7"/>
      <c r="N98" s="20">
        <f>-(SUM([3]H7!$FA$41:$FI$41)/1000)/N93</f>
        <v>0.68212577612962999</v>
      </c>
      <c r="O98" s="20">
        <f>-(SUM([3]H7!$FA$42:$FI$42)/1000)/O93</f>
        <v>-1.3151369588090991</v>
      </c>
      <c r="P98" s="20">
        <f>-(SUM([3]H7!$FA$43:$FI$43)/1000)/P93</f>
        <v>-9.4775853250706182E-3</v>
      </c>
      <c r="Q98" s="7"/>
    </row>
    <row r="99" spans="2:20" ht="20.149999999999999" customHeight="1" outlineLevel="1" x14ac:dyDescent="0.25">
      <c r="B99" s="204"/>
      <c r="C99" s="9"/>
      <c r="D99" s="15" t="s">
        <v>87</v>
      </c>
      <c r="E99" s="7"/>
      <c r="F99" s="20">
        <v>0.19134969189646484</v>
      </c>
      <c r="G99" s="20">
        <v>0.18797536918727567</v>
      </c>
      <c r="H99" s="20">
        <v>0.19462740988730837</v>
      </c>
      <c r="I99" s="7"/>
      <c r="J99" s="20">
        <f>-(SUM([3]H7!$AL$41:$AN$41)/1000)/J93</f>
        <v>0.2308378928043254</v>
      </c>
      <c r="K99" s="20">
        <f>-(SUM([3]H7!$AL$42:$AN$42)/1000)/K93</f>
        <v>0.22964419247306789</v>
      </c>
      <c r="L99" s="20">
        <f>-(SUM([3]H7!$AL$43:$AN$43)/1000)/L93</f>
        <v>0.23545520011857352</v>
      </c>
      <c r="M99" s="7"/>
      <c r="N99" s="20">
        <f>-(SUM([3]H7!$FJ$41:$FL$41)/1000)/N93</f>
        <v>0.23265486597480683</v>
      </c>
      <c r="O99" s="20">
        <f>-(SUM([3]H7!$FJ$42:$FL$42)/1000)/O93</f>
        <v>0.23303312144229313</v>
      </c>
      <c r="P99" s="20">
        <f>-(SUM([3]H7!$FJ$43:$FL$43)/1000)/P93</f>
        <v>0.23545520011857346</v>
      </c>
      <c r="Q99" s="7"/>
    </row>
    <row r="100" spans="2:20" ht="20.149999999999999" customHeight="1" outlineLevel="1" x14ac:dyDescent="0.25">
      <c r="B100" s="204"/>
      <c r="C100" s="9"/>
      <c r="D100" s="15" t="s">
        <v>88</v>
      </c>
      <c r="E100" s="7"/>
      <c r="F100" s="20">
        <v>0.11007667226870506</v>
      </c>
      <c r="G100" s="20">
        <v>0.13582996240556058</v>
      </c>
      <c r="H100" s="20">
        <v>0.13760084462076994</v>
      </c>
      <c r="I100" s="7"/>
      <c r="J100" s="20">
        <f>-(SUM([3]H7!$AO$41:$AR$41)/1000)/J93</f>
        <v>0.21306364116213791</v>
      </c>
      <c r="K100" s="20">
        <f>-(SUM([3]H7!$AO$42:$AR$42)/1000)/K93</f>
        <v>0.22858327074124418</v>
      </c>
      <c r="L100" s="20">
        <f>-(SUM([3]H7!$AO$43:$AR$43)/1000)/L93</f>
        <v>0.23578549635500401</v>
      </c>
      <c r="M100" s="7"/>
      <c r="N100" s="20">
        <f>-(SUM([3]H7!$FM$41:$FP$41)/1000)/N93</f>
        <v>0.19922451309970843</v>
      </c>
      <c r="O100" s="20">
        <f>-(SUM([3]H7!$FM$42:$FP$42)/1000)/O93</f>
        <v>0.25506734542522885</v>
      </c>
      <c r="P100" s="20">
        <f>-(SUM([3]H7!$FM$43:$FP$43)/1000)/P93</f>
        <v>0.23578549635500398</v>
      </c>
      <c r="Q100" s="7"/>
    </row>
    <row r="101" spans="2:20" ht="20.149999999999999" customHeight="1" x14ac:dyDescent="0.25">
      <c r="B101" s="204"/>
      <c r="C101" s="9"/>
      <c r="D101" s="14" t="s">
        <v>97</v>
      </c>
      <c r="E101" s="7"/>
      <c r="F101" s="20">
        <v>0.30142636416516988</v>
      </c>
      <c r="G101" s="20">
        <v>0.32380533159283631</v>
      </c>
      <c r="H101" s="20">
        <v>0.3322282545080783</v>
      </c>
      <c r="I101" s="7"/>
      <c r="J101" s="20">
        <f>+J99+J100</f>
        <v>0.44390153396646331</v>
      </c>
      <c r="K101" s="20">
        <f>+K99+K100</f>
        <v>0.45822746321431207</v>
      </c>
      <c r="L101" s="20">
        <f>+L99+L100</f>
        <v>0.47124069647357752</v>
      </c>
      <c r="M101" s="7"/>
      <c r="N101" s="20">
        <f>+N99+N100</f>
        <v>0.43187937907451524</v>
      </c>
      <c r="O101" s="20">
        <f>+O99+O100</f>
        <v>0.48810046686752195</v>
      </c>
      <c r="P101" s="20">
        <f>+P99+P100</f>
        <v>0.47124069647357747</v>
      </c>
      <c r="Q101" s="7"/>
    </row>
    <row r="102" spans="2:20" ht="20.149999999999999" customHeight="1" x14ac:dyDescent="0.25">
      <c r="B102" s="204"/>
      <c r="C102" s="9"/>
      <c r="D102" s="14" t="s">
        <v>90</v>
      </c>
      <c r="E102" s="7"/>
      <c r="F102" s="20"/>
      <c r="G102" s="20"/>
      <c r="H102" s="20"/>
      <c r="I102" s="7"/>
      <c r="J102" s="20">
        <f>-(SUM([3]H7!$AT$41:$BJ$41)/1000/J93)</f>
        <v>2.9926679137687449E-2</v>
      </c>
      <c r="K102" s="20">
        <f>-(SUM([3]H7!$AT$42:$BJ$42)/1000/K93)</f>
        <v>0.11121131367716428</v>
      </c>
      <c r="L102" s="20">
        <f>-(SUM([3]H7!$AT$43:$BJ$43)/1000/L93)</f>
        <v>2.6105345724463349E-2</v>
      </c>
      <c r="M102" s="7"/>
      <c r="N102" s="20">
        <f>-(SUM([3]H7!$FR$41:$GH$41)/1000/N93)</f>
        <v>3.1479297722300036E-2</v>
      </c>
      <c r="O102" s="20">
        <f>-(SUM([3]H7!$FR$42:$GH$42)/1000/O93)</f>
        <v>0.47086992256463461</v>
      </c>
      <c r="P102" s="20">
        <f>-(SUM([3]H7!$FR$43:$GH$43)/1000/P93)</f>
        <v>2.6105345724463339E-2</v>
      </c>
      <c r="Q102" s="7"/>
    </row>
    <row r="103" spans="2:20" ht="20.149999999999999" customHeight="1" x14ac:dyDescent="0.25">
      <c r="B103" s="204"/>
      <c r="C103" s="9"/>
      <c r="D103" s="14" t="s">
        <v>79</v>
      </c>
      <c r="E103" s="8"/>
      <c r="F103" s="20">
        <v>0.88544985108141538</v>
      </c>
      <c r="G103" s="20">
        <v>1.1582864832826012</v>
      </c>
      <c r="H103" s="20">
        <v>0.88469557239244401</v>
      </c>
      <c r="I103" s="8"/>
      <c r="J103" s="20">
        <f>+J97+J98+J101+J102</f>
        <v>1.112883745711684</v>
      </c>
      <c r="K103" s="20">
        <f>+K97+K98+K101+K102</f>
        <v>1.0163023588434335</v>
      </c>
      <c r="L103" s="20">
        <f>+L97+L98+L101+L102</f>
        <v>0.94237888918827162</v>
      </c>
      <c r="M103" s="8"/>
      <c r="N103" s="20">
        <f>+N97+N98+N101+N102</f>
        <v>1.6521970875682814</v>
      </c>
      <c r="O103" s="20">
        <f>+O97+O98+O101+O102</f>
        <v>0.33271139084886298</v>
      </c>
      <c r="P103" s="20">
        <f>+P97+P98+P101+P102</f>
        <v>0.94237888918827162</v>
      </c>
      <c r="Q103" s="8"/>
    </row>
    <row r="104" spans="2:20" ht="19.5" customHeight="1" x14ac:dyDescent="0.25">
      <c r="B104" s="204"/>
      <c r="C104" s="9"/>
      <c r="D104" s="14" t="s">
        <v>34</v>
      </c>
      <c r="E104" s="6"/>
      <c r="F104" s="19">
        <v>8.1781218399999922</v>
      </c>
      <c r="G104" s="19">
        <v>-10.205890329999947</v>
      </c>
      <c r="H104" s="19">
        <v>7.0683681589072158</v>
      </c>
      <c r="I104" s="6"/>
      <c r="J104" s="19">
        <f>+[3]H7!$BK$41/1000</f>
        <v>-1.0229006899999973</v>
      </c>
      <c r="K104" s="19">
        <f>+[3]H7!$BK$42/1000</f>
        <v>-0.14832506999999401</v>
      </c>
      <c r="L104" s="19">
        <f>+[3]H7!$BK$43/1000</f>
        <v>0.52827677123809369</v>
      </c>
      <c r="M104" s="6"/>
      <c r="N104" s="19">
        <f>+[3]H7!$GI$41/1000</f>
        <v>-1.8744603900000019</v>
      </c>
      <c r="O104" s="19">
        <f>+[3]H7!$GI$42/1000</f>
        <v>1.8475375400000043</v>
      </c>
      <c r="P104" s="19">
        <f>+[3]H7!$GI$43/1000</f>
        <v>0.17609225707936513</v>
      </c>
      <c r="Q104" s="6"/>
      <c r="T104" s="34"/>
    </row>
    <row r="105" spans="2:20" ht="7.5" customHeight="1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6"/>
      <c r="O105" s="8"/>
      <c r="P105" s="8"/>
      <c r="Q105" s="8"/>
    </row>
    <row r="106" spans="2:20" ht="19.5" customHeight="1" x14ac:dyDescent="0.25">
      <c r="B106" s="204" t="s">
        <v>103</v>
      </c>
      <c r="C106" s="9"/>
      <c r="D106" s="14" t="s">
        <v>19</v>
      </c>
      <c r="E106" s="6"/>
      <c r="F106" s="19">
        <v>51.071887840000002</v>
      </c>
      <c r="G106" s="19">
        <v>47.642331730000009</v>
      </c>
      <c r="H106" s="19">
        <v>48.731214913514791</v>
      </c>
      <c r="I106" s="6"/>
      <c r="J106" s="19">
        <f t="shared" ref="J106:L107" si="2">+J120+J148+J162+J134</f>
        <v>4.6768595699999986</v>
      </c>
      <c r="K106" s="19">
        <f t="shared" si="2"/>
        <v>6.5604669799999984</v>
      </c>
      <c r="L106" s="19">
        <f t="shared" si="2"/>
        <v>4.4585227121009297</v>
      </c>
      <c r="M106" s="6"/>
      <c r="N106" s="19">
        <f t="shared" ref="N106:P107" si="3">+N120+N148+N162+N134</f>
        <v>1.0476322499999993</v>
      </c>
      <c r="O106" s="19">
        <f t="shared" si="3"/>
        <v>1.0318751700000002</v>
      </c>
      <c r="P106" s="19">
        <f t="shared" si="3"/>
        <v>0.97589510706399474</v>
      </c>
      <c r="Q106" s="6"/>
    </row>
    <row r="107" spans="2:20" ht="20.149999999999999" customHeight="1" x14ac:dyDescent="0.25">
      <c r="B107" s="204"/>
      <c r="C107" s="9"/>
      <c r="D107" s="14" t="s">
        <v>20</v>
      </c>
      <c r="E107" s="6"/>
      <c r="F107" s="19">
        <v>45.131933990000007</v>
      </c>
      <c r="G107" s="19">
        <v>38.28320678</v>
      </c>
      <c r="H107" s="19">
        <v>41.985683385669191</v>
      </c>
      <c r="I107" s="6"/>
      <c r="J107" s="19">
        <f t="shared" si="2"/>
        <v>3.0111888499999995</v>
      </c>
      <c r="K107" s="19">
        <f t="shared" si="2"/>
        <v>5.0207757099999997</v>
      </c>
      <c r="L107" s="19">
        <f t="shared" si="2"/>
        <v>3.6184595626374989</v>
      </c>
      <c r="M107" s="6"/>
      <c r="N107" s="19">
        <f t="shared" si="3"/>
        <v>1.2503489500000002</v>
      </c>
      <c r="O107" s="19">
        <f t="shared" si="3"/>
        <v>1.7254643100000007</v>
      </c>
      <c r="P107" s="19">
        <f t="shared" si="3"/>
        <v>1.2061531875458329</v>
      </c>
      <c r="Q107" s="6"/>
    </row>
    <row r="108" spans="2:20" ht="19.5" customHeight="1" x14ac:dyDescent="0.25">
      <c r="B108" s="204"/>
      <c r="C108" s="9"/>
      <c r="D108" s="14" t="s">
        <v>92</v>
      </c>
      <c r="E108" s="6"/>
      <c r="F108" s="29">
        <f>F111-F109-F110</f>
        <v>0.6596895124546821</v>
      </c>
      <c r="G108" s="20">
        <f>G111-G109-G110</f>
        <v>0.4657630109846298</v>
      </c>
      <c r="H108" s="20">
        <f>H111-H109-H110</f>
        <v>0.54568289348748922</v>
      </c>
      <c r="I108" s="6"/>
      <c r="J108" s="20">
        <f>(-(SUM([3]H7!$O$49,[3]H7!$R$49:$V$49,[3]H7!$Y$49:$AB$49)/1000)-(SUM([3]H7!$O$45,[3]H7!$R$45:$V$45,[3]H7!$Y$45:$AB$45)/1000)-(SUM([3]H7!$O$53,[3]H7!$R$53:$V$53,[3]H7!$Y$53:$AB$53)/1000)-(SUM([3]H7!$O$57,[3]H7!$R$57:$V$57,[3]H7!$Y$57:$AB$57)/1000))/J107</f>
        <v>0.28573914917358978</v>
      </c>
      <c r="K108" s="20">
        <f>(-(SUM([3]H7!$O$50,[3]H7!$R$50:$V$50,[3]H7!$Y$50:$AB$50)/1000)-(SUM([3]H7!$O$46,[3]H7!$R$46:$V$46,[3]H7!$Y$46:$AB$46)/1000)-(SUM([3]H7!$O$54,[3]H7!$R$54:$V$54,[3]H7!$Y$54:$AB$54)/1000)-(SUM([3]H7!$O$58,[3]H7!$R$58:$V$58,[3]H7!$Y$58:$AB$58)/1000))/K107</f>
        <v>0.20478894684582516</v>
      </c>
      <c r="L108" s="20">
        <f>(-(SUM([3]H7!$O$51,[3]H7!$R$51:$V$51,[3]H7!$Y$51:$AB$51)/1000)-(SUM([3]H7!$O$47,[3]H7!$R$47:$V$47,[3]H7!$Y$47:$AB$47)/1000)-(SUM([3]H7!$O$55,[3]H7!$R$55:$V$55,[3]H7!$Y$55:$AB$55)/1000)-(SUM([3]H7!$O$59,[3]H7!$R$59:$V$59,[3]H7!$Y$59:$AB$59)/1000))/L107</f>
        <v>0.26531639410454977</v>
      </c>
      <c r="M108" s="6"/>
      <c r="N108" s="20">
        <f>(-(SUM([3]H7!$EM$49,[3]H7!$EP$49:$ET$49,[3]H7!$EW$49:$EZ$49)/1000)-(SUM([3]H7!$EM$45,[3]H7!$EP$45:$ET$45,[3]H7!$EW$45:$EZ$45)/1000)-(SUM([3]H7!$EM$53,[3]H7!$EP$53:$ET$53,[3]H7!$EW$53:$EZ$53)/1000)-(SUM([3]H7!$EM$57,[3]H7!$EP$57:$ET$57,[3]H7!$EW$57:$EZ$57)/1000))/N107</f>
        <v>0.23878566059498824</v>
      </c>
      <c r="O108" s="20">
        <f>(-(SUM([3]H7!$EM$50,[3]H7!$EP$50:$ET$50,[3]H7!$EW$50:$EZ$50)/1000)-(SUM([3]H7!$EM$46,[3]H7!$EP$46:$ET$46,[3]H7!$EW$46:$EZ$46)/1000)-(SUM([3]H7!$EM$54,[3]H7!$EP$54:$ET$54,[3]H7!$EW$54:$EZ$54)/1000)-(SUM([3]H7!$EM$58,[3]H7!$EP$58:$ET$58,[3]H7!$EW$58:$EZ$58)/1000))/O107</f>
        <v>0.216354385214725</v>
      </c>
      <c r="P108" s="20">
        <f>(-(SUM([3]H7!$EM$51,[3]H7!$EP$51:$ET$51,[3]H7!$EW$51:$EZ$51)/1000)-(SUM([3]H7!$EM$47,[3]H7!$EP$47:$ET$47,[3]H7!$EW$47:$EZ$47)/1000)-(SUM([3]H7!$EM$55,[3]H7!$EP$55:$ET$55,[3]H7!$EW$55:$EZ$55)/1000)-(SUM([3]H7!$EM$59,[3]H7!$EP$59:$ET$59,[3]H7!$EW$59:$EZ$59)/1000))/P107</f>
        <v>0.26531639410454977</v>
      </c>
      <c r="Q108" s="6"/>
    </row>
    <row r="109" spans="2:20" ht="19.5" customHeight="1" x14ac:dyDescent="0.25">
      <c r="B109" s="204"/>
      <c r="C109" s="9"/>
      <c r="D109" s="14" t="s">
        <v>93</v>
      </c>
      <c r="E109" s="6"/>
      <c r="F109" s="20">
        <f>IFERROR((F123*F121+F137*F135+F151*F149+F165*F163)/F107,"n/a")</f>
        <v>0</v>
      </c>
      <c r="G109" s="20">
        <f>IFERROR((G123*G121+G137*G135+G151*G149+G165*G163)/G107,"n/a")</f>
        <v>0</v>
      </c>
      <c r="H109" s="20">
        <f>IFERROR((H123*H121+H137*H135+H151*H149+H165*H163)/H107,"n/a")</f>
        <v>0</v>
      </c>
      <c r="I109" s="6"/>
      <c r="J109" s="20">
        <f>(-(SUM([3]H7!$Q$49,[3]H7!$X$49)/1000)-(SUM([3]H7!$Q$45,[3]H7!$X$45)/1000)-(SUM([3]H7!$Q$53,[3]H7!$X$53)/1000)-(SUM([3]H7!$Q$57,[3]H7!$X$57)/1000))/J107</f>
        <v>0</v>
      </c>
      <c r="K109" s="20">
        <f>(-(SUM([3]H7!$Q$50,[3]H7!$X$50)/1000)-(SUM([3]H7!$Q$46,[3]H7!$X$46)/1000)-(SUM([3]H7!$Q$54,[3]H7!$X$54)/1000)-(SUM([3]H7!$Q$58,[3]H7!$X$58)/1000))/K107</f>
        <v>0</v>
      </c>
      <c r="L109" s="20">
        <f>(-(SUM([3]H7!$Q$51,[3]H7!$X$51)/1000)-(SUM([3]H7!$Q$47,[3]H7!$X$47)/1000)-(SUM([3]H7!$Q$55,[3]H7!$X$55)/1000)-(SUM([3]H7!$Q$59,[3]H7!$X$59)/1000))/L107</f>
        <v>0</v>
      </c>
      <c r="M109" s="6"/>
      <c r="N109" s="20">
        <f>(-(SUM([3]H7!$EO$49,[3]H7!$EV$49)/1000)-(SUM([3]H7!$EO$45,[3]H7!$EV$45)/1000)-(SUM([3]H7!$EO$53,[3]H7!$EV$53)/1000)-(SUM([3]H7!$EO$57,[3]H7!$EV$57)/1000))/N107</f>
        <v>0</v>
      </c>
      <c r="O109" s="20">
        <f>(-(SUM([3]H7!$EO$50,[3]H7!$EV$50)/1000)-(SUM([3]H7!$EO$46,[3]H7!$EV$46)/1000)-(SUM([3]H7!$EO$54,[3]H7!$EV$54)/1000)-(SUM([3]H7!$EO$58,[3]H7!$EV$58)/1000))/O107</f>
        <v>0</v>
      </c>
      <c r="P109" s="20">
        <f>(-(SUM([3]H7!$EO$51,[3]H7!$EV$51)/1000)-(SUM([3]H7!$EO$47,[3]H7!$EV$47)/1000)-(SUM([3]H7!$EO$55,[3]H7!$EV$55)/1000)-(SUM([3]H7!$EO$59,[3]H7!$EV$59)/1000))/P107</f>
        <v>0</v>
      </c>
      <c r="Q109" s="6"/>
    </row>
    <row r="110" spans="2:20" ht="19.5" customHeight="1" x14ac:dyDescent="0.25">
      <c r="B110" s="204"/>
      <c r="C110" s="9"/>
      <c r="D110" s="14" t="s">
        <v>94</v>
      </c>
      <c r="E110" s="6"/>
      <c r="F110" s="20">
        <f>IFERROR((F124*F121+F138*F135+F152*F149+F166*F163)/F107,"n/a")</f>
        <v>0</v>
      </c>
      <c r="G110" s="20">
        <f>IFERROR((G124*G121+G138*G135+G152*G149+G166*G163)/G107,"n/a")</f>
        <v>0</v>
      </c>
      <c r="H110" s="20">
        <f>IFERROR((H124*H121+H138*H135+H152*H149+H166*H163)/H107,"n/a")</f>
        <v>0</v>
      </c>
      <c r="I110" s="6"/>
      <c r="J110" s="20">
        <f>(-(SUM([3]H7!$P$49,[3]H7!$W$49)/1000)-(SUM([3]H7!$P$45,[3]H7!$W$45)/1000)-(SUM([3]H7!$P$53,[3]H7!$W$53)/1000)-(SUM([3]H7!$P$57,[3]H7!$W$57)/1000))/J107</f>
        <v>0</v>
      </c>
      <c r="K110" s="20">
        <f>(-(SUM([3]H7!$P$50,[3]H7!$W$50)/1000)-(SUM([3]H7!$P$46,[3]H7!$W$46)/1000)-(SUM([3]H7!$P$54,[3]H7!$W$54)/1000)-(SUM([3]H7!$P$58,[3]H7!$W$58)/1000))/K107</f>
        <v>0</v>
      </c>
      <c r="L110" s="20">
        <f>(-(SUM([3]H7!$P$51,[3]H7!$W$51)/1000)-(SUM([3]H7!$P$47,[3]H7!$W$47)/1000)-(SUM([3]H7!$P$55,[3]H7!$W$55)/1000)-(SUM([3]H7!$P$59,[3]H7!$W$59)/1000))/L107</f>
        <v>0</v>
      </c>
      <c r="M110" s="6"/>
      <c r="N110" s="20">
        <f>(-(SUM([3]H7!$EN$49,[3]H7!$EU$49)/1000)-(SUM([3]H7!$EN$45,[3]H7!$EU$45)/1000)-(SUM([3]H7!$EN$53,[3]H7!$EU$53)/1000)-(SUM([3]H7!$EN$57,[3]H7!$EU$57)/1000))/N107</f>
        <v>0</v>
      </c>
      <c r="O110" s="20">
        <f>(-(SUM([3]H7!$EN$50,[3]H7!$EU$50)/1000)-(SUM([3]H7!$EN$46,[3]H7!$EU$46)/1000)-(SUM([3]H7!$EN$54,[3]H7!$EU$54)/1000)-(SUM([3]H7!$EN$58,[3]H7!$EU$58)/1000))/O107</f>
        <v>0</v>
      </c>
      <c r="P110" s="20">
        <f>(-(SUM([3]H7!$EN$51,[3]H7!$EU$51)/1000)-(SUM([3]H7!$EN$47,[3]H7!$EU$47)/1000)-(SUM([3]H7!$EN$55,[3]H7!$EU$55)/1000)-(SUM([3]H7!$EN$59,[3]H7!$EU$59)/1000))/P107</f>
        <v>0</v>
      </c>
      <c r="Q110" s="6"/>
    </row>
    <row r="111" spans="2:20" ht="19.5" customHeight="1" outlineLevel="1" x14ac:dyDescent="0.25">
      <c r="B111" s="204"/>
      <c r="C111" s="9"/>
      <c r="D111" s="14" t="s">
        <v>95</v>
      </c>
      <c r="E111" s="7"/>
      <c r="F111" s="20">
        <v>0.6596895124546821</v>
      </c>
      <c r="G111" s="20">
        <v>0.4657630109846298</v>
      </c>
      <c r="H111" s="20">
        <v>0.54568289348748922</v>
      </c>
      <c r="I111" s="7"/>
      <c r="J111" s="20">
        <f>+J108+J109+J110</f>
        <v>0.28573914917358978</v>
      </c>
      <c r="K111" s="20">
        <f>+K108+K109+K110</f>
        <v>0.20478894684582516</v>
      </c>
      <c r="L111" s="20">
        <f>+L108+L109+L110</f>
        <v>0.26531639410454977</v>
      </c>
      <c r="M111" s="7"/>
      <c r="N111" s="20">
        <f>+N108+N109+N110</f>
        <v>0.23878566059498824</v>
      </c>
      <c r="O111" s="20">
        <f>+O108+O109+O110</f>
        <v>0.216354385214725</v>
      </c>
      <c r="P111" s="20">
        <f>+P108+P109+P110</f>
        <v>0.26531639410454977</v>
      </c>
      <c r="Q111" s="7"/>
    </row>
    <row r="112" spans="2:20" ht="20.149999999999999" customHeight="1" x14ac:dyDescent="0.25">
      <c r="B112" s="204"/>
      <c r="C112" s="9"/>
      <c r="D112" s="14" t="s">
        <v>96</v>
      </c>
      <c r="E112" s="7"/>
      <c r="F112" s="29">
        <v>-1.1782969462771764E-2</v>
      </c>
      <c r="G112" s="20">
        <v>-3.3686937392970469E-2</v>
      </c>
      <c r="H112" s="20">
        <v>0</v>
      </c>
      <c r="I112" s="7"/>
      <c r="J112" s="20">
        <f>(-(SUM([3]H7!$AC$49:$AK$49)/1000)-(SUM([3]H7!$AC$45:$AK$45)/1000)-(SUM([3]H7!$AC$53:$AK$53)/1000)-(SUM([3]H7!$AC$57:$AK$57)/1000))/J107</f>
        <v>-0.56459907521243646</v>
      </c>
      <c r="K112" s="20">
        <f>(-(SUM([3]H7!$AC$50:$AK$50)/1000)-(SUM([3]H7!$AC$46:$AK$46)/1000)-(SUM([3]H7!$AC$54:$AK$54)/1000)-(SUM([3]H7!$AC$58:$AK$58)/1000))/K107</f>
        <v>-0.191992663221357</v>
      </c>
      <c r="L112" s="20">
        <f>(-(SUM([3]H7!$AC$51:$AK$51)/1000)-(SUM([3]H7!$AC$47:$AK$47)/1000)-(SUM([3]H7!$AC$55:$AK$55)/1000)-(SUM([3]H7!$AC$59:$AK$59)/1000))/L107</f>
        <v>-4.1182977403763947E-3</v>
      </c>
      <c r="M112" s="7"/>
      <c r="N112" s="20">
        <f>(-(SUM([3]H7!$FA$49:$FI$49)/1000)-(SUM([3]H7!$FA$45:$FI$45)/1000)-(SUM([3]H7!$FA$53:$FI$53)/1000)-(SUM([3]H7!$FA$57:$FI$57)/1000))/N107</f>
        <v>-1.3064882567382485</v>
      </c>
      <c r="O112" s="20">
        <f>(-(SUM([3]H7!$FA$50:$FI$50)/1000)-(SUM([3]H7!$FA$46:$FI$46)/1000)-(SUM([3]H7!$FA$54:$FI$54)/1000)-(SUM([3]H7!$FA$58:$FI$58)/1000))/O107</f>
        <v>-0.54143890695716546</v>
      </c>
      <c r="P112" s="20">
        <f>(-(SUM([3]H7!$FA$51:$FI$51)/1000)-(SUM([3]H7!$FA$47:$FI$47)/1000)-(SUM([3]H7!$FA$55:$FI$55)/1000)-(SUM([3]H7!$FA$59:$FI$59)/1000))/P107</f>
        <v>-4.1182977403764033E-3</v>
      </c>
      <c r="Q112" s="7"/>
    </row>
    <row r="113" spans="2:20" ht="20.149999999999999" customHeight="1" outlineLevel="1" x14ac:dyDescent="0.25">
      <c r="B113" s="204"/>
      <c r="C113" s="9"/>
      <c r="D113" s="15" t="s">
        <v>87</v>
      </c>
      <c r="E113" s="7"/>
      <c r="F113" s="20">
        <v>-5.7148291065290515E-3</v>
      </c>
      <c r="G113" s="20">
        <v>0.11587391138606176</v>
      </c>
      <c r="H113" s="20">
        <v>0.1448214404409871</v>
      </c>
      <c r="I113" s="7"/>
      <c r="J113" s="20">
        <f>(-(SUM([3]H7!$AL$49:$AN$49)/1000)-(SUM([3]H7!$AL$45:$AN$45)/1000)-(SUM([3]H7!$AL$53:$AN$53)/1000)-(SUM([3]H7!$AL$57:$AN$57)/1000))/J107</f>
        <v>0.21692366123101181</v>
      </c>
      <c r="K113" s="20">
        <f>(-(SUM([3]H7!$AL$50:$AN$50)/1000)-(SUM([3]H7!$AL$46:$AN$46)/1000)-(SUM([3]H7!$AL$54:$AN$54)/1000)-(SUM([3]H7!$AL$58:$AN$58)/1000))/K107</f>
        <v>0.19485411548089254</v>
      </c>
      <c r="L113" s="20">
        <f>(-(SUM([3]H7!$AL$51:$AN$51)/1000)-(SUM([3]H7!$AL$47:$AN$47)/1000)-(SUM([3]H7!$AL$55:$AN$55)/1000)-(SUM([3]H7!$AL$59:$AN$59)/1000))/L107</f>
        <v>0.2053956944701367</v>
      </c>
      <c r="M113" s="7"/>
      <c r="N113" s="20">
        <f>(-(SUM([3]H7!$FJ$49:$FL$49)/1000)-(SUM([3]H7!$FJ$45:$FL$45)/1000)-(SUM([3]H7!$FJ$53:$FL$53)/1000)-(SUM([3]H7!$FJ$57:$FL$57)/1000))/N107</f>
        <v>0.21395844735983494</v>
      </c>
      <c r="O113" s="20">
        <f>(-(SUM([3]H7!$FJ$50:$FL$50)/1000)-(SUM([3]H7!$FJ$46:$FL$46)/1000)-(SUM([3]H7!$FJ$54:$FL$54)/1000)-(SUM([3]H7!$FJ$58:$FL$58)/1000))/O107</f>
        <v>0.18688103725541555</v>
      </c>
      <c r="P113" s="20">
        <f>(-(SUM([3]H7!$FJ$51:$FL$51)/1000)-(SUM([3]H7!$FJ$47:$FL$47)/1000)-(SUM([3]H7!$FJ$55:$FL$55)/1000)-(SUM([3]H7!$FJ$59:$FL$59)/1000))/P107</f>
        <v>0.2053956944701367</v>
      </c>
      <c r="Q113" s="7"/>
    </row>
    <row r="114" spans="2:20" ht="20.149999999999999" customHeight="1" outlineLevel="1" x14ac:dyDescent="0.25">
      <c r="B114" s="204"/>
      <c r="C114" s="9"/>
      <c r="D114" s="15" t="s">
        <v>88</v>
      </c>
      <c r="E114" s="7"/>
      <c r="F114" s="20">
        <v>0.11242637355457143</v>
      </c>
      <c r="G114" s="20">
        <v>0.14681821724862304</v>
      </c>
      <c r="H114" s="20">
        <v>0.13151486945869179</v>
      </c>
      <c r="I114" s="7"/>
      <c r="J114" s="20">
        <f>(-(SUM([3]H7!$AO$49:$AR$49)/1000)-(SUM([3]H7!$AO$45:$AR$45)/1000)-(SUM([3]H7!$AO$53:$AR$53)/1000)-(SUM([3]H7!$AO$57:$AR$57)/1000))/J107</f>
        <v>0.2176630270134004</v>
      </c>
      <c r="K114" s="20">
        <f>(-(SUM([3]H7!$AO$50:$AR$50)/1000)-(SUM([3]H7!$AO$46:$AR$46)/1000)-(SUM([3]H7!$AO$54:$AR$54)/1000)-(SUM([3]H7!$AO$58:$AR$58)/1000))/K107</f>
        <v>0.12557657549693652</v>
      </c>
      <c r="L114" s="20">
        <f>(-(SUM([3]H7!$AO$51:$AR$51)/1000)-(SUM([3]H7!$AO$47:$AR$47)/1000)-(SUM([3]H7!$AO$55:$AR$55)/1000)-(SUM([3]H7!$AO$59:$AR$59)/1000))/L107</f>
        <v>0.17986796189902235</v>
      </c>
      <c r="M114" s="7"/>
      <c r="N114" s="20">
        <f>(-(SUM([3]H7!$FM$49:$FP$49)/1000)-(SUM([3]H7!$FM$45:$FP$45)/1000)-(SUM([3]H7!$FM$53:$FP$53)/1000)-(SUM([3]H7!$FM$57:$FP$57)/1000))/N107</f>
        <v>0.16127938524681446</v>
      </c>
      <c r="O114" s="20">
        <f>(-(SUM([3]H7!$FM$50:$FP$50)/1000)-(SUM([3]H7!$FM$46:$FP$46)/1000)-(SUM([3]H7!$FM$54:$FP$54)/1000)-(SUM([3]H7!$FM$58:$FP$58)/1000))/O107</f>
        <v>0.12001895304342743</v>
      </c>
      <c r="P114" s="20">
        <f>(-(SUM([3]H7!$FM$51:$FP$51)/1000)-(SUM([3]H7!$FM$47:$FP$47)/1000)-(SUM([3]H7!$FM$55:$FP$55)/1000)-(SUM([3]H7!$FM$59:$FP$59)/1000))/P107</f>
        <v>0.17986796189902235</v>
      </c>
      <c r="Q114" s="7"/>
    </row>
    <row r="115" spans="2:20" ht="20.149999999999999" customHeight="1" x14ac:dyDescent="0.25">
      <c r="B115" s="204"/>
      <c r="C115" s="9"/>
      <c r="D115" s="14" t="s">
        <v>97</v>
      </c>
      <c r="E115" s="7"/>
      <c r="F115" s="20">
        <v>1.451905429413257E-4</v>
      </c>
      <c r="G115" s="20">
        <v>0.2649351713999753</v>
      </c>
      <c r="H115" s="20">
        <v>0.27633630989967889</v>
      </c>
      <c r="I115" s="7"/>
      <c r="J115" s="20">
        <f>+J113+J114</f>
        <v>0.43458668824441221</v>
      </c>
      <c r="K115" s="20">
        <f>+K113+K114</f>
        <v>0.32043069097782906</v>
      </c>
      <c r="L115" s="20">
        <f>+L113+L114</f>
        <v>0.38526365636915905</v>
      </c>
      <c r="M115" s="7"/>
      <c r="N115" s="20">
        <f>+N113+N114</f>
        <v>0.37523783260664939</v>
      </c>
      <c r="O115" s="20">
        <f>+O113+O114</f>
        <v>0.30689999029884296</v>
      </c>
      <c r="P115" s="20">
        <f>+P113+P114</f>
        <v>0.38526365636915905</v>
      </c>
      <c r="Q115" s="7"/>
    </row>
    <row r="116" spans="2:20" ht="20.149999999999999" customHeight="1" x14ac:dyDescent="0.25">
      <c r="B116" s="204"/>
      <c r="C116" s="9"/>
      <c r="D116" s="14" t="s">
        <v>90</v>
      </c>
      <c r="E116" s="7"/>
      <c r="F116" s="20"/>
      <c r="G116" s="20"/>
      <c r="H116" s="20"/>
      <c r="I116" s="7"/>
      <c r="J116" s="20">
        <f>(-(SUM([3]H7!$AT$49:$BJ$49)/1000)-(SUM([3]H7!$AT$45:$BJ$45)/1000)-(SUM([3]H7!$AT$53:$BJ$53)/1000)-(SUM([3]H7!$AT$57:$BJ$57)/1000))/J107</f>
        <v>0.38888183316698993</v>
      </c>
      <c r="K116" s="20">
        <f>(-(SUM([3]H7!$AT$50:$BJ$50)/1000)-(SUM([3]H7!$AT$46:$BJ$46)/1000)-(SUM([3]H7!$AT$54:$BJ$54)/1000)-(SUM([3]H7!$AT$58:$BJ$58)/1000))/K107</f>
        <v>0.24305959686058154</v>
      </c>
      <c r="L116" s="20">
        <f>(-(SUM([3]H7!$AT$51:$BJ$51)/1000)-(SUM([3]H7!$AT$47:$BJ$47)/1000)-(SUM([3]H7!$AT$55:$BJ$55)/1000)-(SUM([3]H7!$AT$59:$BJ$59)/1000))/L107</f>
        <v>0.15215134623284524</v>
      </c>
      <c r="M116" s="7"/>
      <c r="N116" s="20">
        <f>(-(SUM([3]H7!$FR$49:$GH$49)/1000)-(SUM([3]H7!$FR$45:$GH$45)/1000)-(SUM([3]H7!$FR$53:$GH$53)/1000)-(SUM([3]H7!$FR$57:$GH$57)/1000))/N107</f>
        <v>0.21371134833999733</v>
      </c>
      <c r="O116" s="20">
        <f>(-(SUM([3]H7!$FR$50:$GH$50)/1000)-(SUM([3]H7!$FR$46:$GH$46)/1000)-(SUM([3]H7!$FR$54:$GH$54)/1000)-(SUM([3]H7!$FR$58:$GH$58)/1000))/O107</f>
        <v>0.14054186377230823</v>
      </c>
      <c r="P116" s="20">
        <f>(-(SUM([3]H7!$FR$51:$GH$51)/1000)-(SUM([3]H7!$FR$47:$GH$47)/1000)-(SUM([3]H7!$FR$55:$GH$55)/1000)-(SUM([3]H7!$FR$59:$GH$59)/1000))/P107</f>
        <v>0.15215134623284526</v>
      </c>
      <c r="Q116" s="7"/>
    </row>
    <row r="117" spans="2:20" ht="20.149999999999999" customHeight="1" x14ac:dyDescent="0.25">
      <c r="B117" s="204"/>
      <c r="C117" s="9"/>
      <c r="D117" s="14" t="s">
        <v>79</v>
      </c>
      <c r="E117" s="8"/>
      <c r="F117" s="29">
        <v>7.1749404772184005E-3</v>
      </c>
      <c r="G117" s="20">
        <v>0.69787692012147562</v>
      </c>
      <c r="H117" s="20">
        <v>0.82201920338716805</v>
      </c>
      <c r="I117" s="8"/>
      <c r="J117" s="20">
        <f>+J111+J112+J115+J116</f>
        <v>0.54460859537255546</v>
      </c>
      <c r="K117" s="20">
        <f>+K111+K112+K115+K116</f>
        <v>0.57628657146287876</v>
      </c>
      <c r="L117" s="20">
        <f>+L111+L112+L115+L116</f>
        <v>0.7986130989661776</v>
      </c>
      <c r="M117" s="8"/>
      <c r="N117" s="20">
        <f>+N111+N112+N115+N116</f>
        <v>-0.47875341519661346</v>
      </c>
      <c r="O117" s="20">
        <f>+O111+O112+O115+O116</f>
        <v>0.12235733232871074</v>
      </c>
      <c r="P117" s="20">
        <f>+P111+P112+P115+P116</f>
        <v>0.79861309896617771</v>
      </c>
      <c r="Q117" s="8"/>
    </row>
    <row r="118" spans="2:20" ht="19.5" customHeight="1" x14ac:dyDescent="0.25">
      <c r="B118" s="204"/>
      <c r="C118" s="9"/>
      <c r="D118" s="14" t="s">
        <v>34</v>
      </c>
      <c r="E118" s="6"/>
      <c r="F118" s="19">
        <v>5.1917347400000144</v>
      </c>
      <c r="G118" s="19">
        <v>11.483272660000011</v>
      </c>
      <c r="H118" s="19">
        <v>7.4726453753155475</v>
      </c>
      <c r="I118" s="6"/>
      <c r="J118" s="19">
        <f>+J132+J160+J174+J146</f>
        <v>1.3712695199999998</v>
      </c>
      <c r="K118" s="19">
        <f>+K132+K160+K174+K146</f>
        <v>2.1273700899999999</v>
      </c>
      <c r="L118" s="19">
        <f>+L132+L160+L174+L146</f>
        <v>0.72871035783576621</v>
      </c>
      <c r="M118" s="6"/>
      <c r="N118" s="19">
        <f>+N132+N160+N174+N146</f>
        <v>1.8489577800000003</v>
      </c>
      <c r="O118" s="19">
        <f>+O132+O160+O174+O146</f>
        <v>1.5143411000000013</v>
      </c>
      <c r="P118" s="19">
        <f>+P132+P160+P174+P146</f>
        <v>0.24290345261192181</v>
      </c>
      <c r="Q118" s="6"/>
      <c r="T118" s="34"/>
    </row>
    <row r="119" spans="2:20" ht="7.5" customHeight="1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6"/>
      <c r="O119" s="8"/>
      <c r="P119" s="8"/>
      <c r="Q119" s="8"/>
    </row>
    <row r="120" spans="2:20" ht="19.5" customHeight="1" outlineLevel="1" x14ac:dyDescent="0.25">
      <c r="B120" s="204" t="s">
        <v>104</v>
      </c>
      <c r="C120" s="9"/>
      <c r="D120" s="14" t="s">
        <v>19</v>
      </c>
      <c r="E120" s="6"/>
      <c r="F120" s="19">
        <v>2.5782758100000001</v>
      </c>
      <c r="G120" s="19">
        <v>2.733616</v>
      </c>
      <c r="H120" s="19">
        <v>2.7646412205329307</v>
      </c>
      <c r="I120" s="6"/>
      <c r="J120" s="19">
        <f>+[3]H7!$C$49/1000</f>
        <v>0.11475907999999999</v>
      </c>
      <c r="K120" s="19">
        <f>+[3]H7!$C$50/1000</f>
        <v>0.12415521999999998</v>
      </c>
      <c r="L120" s="19">
        <f>+[3]H7!$C$51/1000</f>
        <v>1.686E-2</v>
      </c>
      <c r="M120" s="6"/>
      <c r="N120" s="19">
        <f>+[3]H7!$EA$49/1000</f>
        <v>3.1185370000000007E-2</v>
      </c>
      <c r="O120" s="19">
        <f>+[3]H7!$EA$50/1000</f>
        <v>3.4855339999999985E-2</v>
      </c>
      <c r="P120" s="19">
        <f>+[3]H7!$EA$51/1000</f>
        <v>4.8899999999999985E-3</v>
      </c>
      <c r="Q120" s="6"/>
    </row>
    <row r="121" spans="2:20" ht="20.149999999999999" customHeight="1" outlineLevel="1" x14ac:dyDescent="0.25">
      <c r="B121" s="204"/>
      <c r="C121" s="9"/>
      <c r="D121" s="14" t="s">
        <v>20</v>
      </c>
      <c r="E121" s="6"/>
      <c r="F121" s="19">
        <v>2.3170537099999997</v>
      </c>
      <c r="G121" s="19">
        <v>2.45186583</v>
      </c>
      <c r="H121" s="19">
        <v>2.2151859576361677</v>
      </c>
      <c r="I121" s="6"/>
      <c r="J121" s="19">
        <f>+[3]H7!$N$49/1000</f>
        <v>0.10629093000000006</v>
      </c>
      <c r="K121" s="19">
        <f>+[3]H7!$N$50/1000</f>
        <v>0.11464580999999997</v>
      </c>
      <c r="L121" s="19">
        <f>+[3]H7!$N$51/1000</f>
        <v>1.6100000000000021E-2</v>
      </c>
      <c r="M121" s="6"/>
      <c r="N121" s="19">
        <f>+[3]H7!$EL$49/1000</f>
        <v>3.4457720000000081E-2</v>
      </c>
      <c r="O121" s="19">
        <f>+[3]H7!$EL$50/1000</f>
        <v>3.7234619999999989E-2</v>
      </c>
      <c r="P121" s="19">
        <f>+[3]H7!$EL$51/1000</f>
        <v>5.3666666666666724E-3</v>
      </c>
      <c r="Q121" s="6"/>
    </row>
    <row r="122" spans="2:20" ht="19.5" customHeight="1" outlineLevel="1" x14ac:dyDescent="0.25">
      <c r="B122" s="204"/>
      <c r="C122" s="9"/>
      <c r="D122" s="14" t="s">
        <v>92</v>
      </c>
      <c r="E122" s="6"/>
      <c r="F122" s="20">
        <f>F125-F123-F124</f>
        <v>0.27694958784533319</v>
      </c>
      <c r="G122" s="20">
        <f>G125-G123-G124</f>
        <v>0.22719697105122597</v>
      </c>
      <c r="H122" s="20">
        <f>H125-H123-H124</f>
        <v>0.19726891102097802</v>
      </c>
      <c r="I122" s="6"/>
      <c r="J122" s="20">
        <f>-(SUM([3]H7!$O$49,[3]H7!$R$49:$V$49,[3]H7!$Y$49:$AB$49)/1000)/J121</f>
        <v>2.6204023240741222E-2</v>
      </c>
      <c r="K122" s="20">
        <f>-(SUM([3]H7!$O$50,[3]H7!$R$50:$V$50,[3]H7!$Y$50:$AB$50)/1000)/K121</f>
        <v>4.6007089138277286E-2</v>
      </c>
      <c r="L122" s="20">
        <f>-(SUM([3]H7!$O$51,[3]H7!$R$51:$V$51,[3]H7!$Y$51:$AB$51)/1000)/L121</f>
        <v>8.1382315814840808E-4</v>
      </c>
      <c r="M122" s="6"/>
      <c r="N122" s="20">
        <f>-(SUM([3]H7!$EM$49,[3]H7!$EP$49:$ET$49,[3]H7!$EW$49:$EZ$49)/1000)/N121</f>
        <v>-6.3782803969618274E-2</v>
      </c>
      <c r="O122" s="20">
        <f>-(SUM([3]H7!$EM$50,[3]H7!$EP$50:$ET$50,[3]H7!$EW$50:$EZ$50)/1000)/O121</f>
        <v>-0.17129166351100139</v>
      </c>
      <c r="P122" s="20">
        <f>-(SUM([3]H7!$EM$51,[3]H7!$EP$51:$ET$51,[3]H7!$EW$51:$EZ$51)/1000)/P121</f>
        <v>8.1382315814840841E-4</v>
      </c>
      <c r="Q122" s="6"/>
    </row>
    <row r="123" spans="2:20" ht="19.5" customHeight="1" outlineLevel="1" x14ac:dyDescent="0.25">
      <c r="B123" s="204"/>
      <c r="C123" s="9"/>
      <c r="D123" s="14" t="s">
        <v>93</v>
      </c>
      <c r="E123" s="6"/>
      <c r="F123" s="20">
        <f>IFERROR(SUM(INDEX(LL_TOT_BR_YTD,5,Month),INDEX(LL_IBNR_TOT_BR_YTD,5,Month))/F121,0)</f>
        <v>0</v>
      </c>
      <c r="G123" s="20">
        <f>IFERROR(SUM(INDEX(LL_TOT_BR_YTD_PREV,5,Month),INDEX(LL_IBNR_TOT_BR_YTD_PREV,5,Month))/G121,0)</f>
        <v>0</v>
      </c>
      <c r="H123" s="20">
        <f>IFERROR(SUM(INDEX(LL_TOT_BR_YTD_PLAN,5,Month),INDEX(LL_IBNR_TOT_BR_YTD_PLAN,5,Month))/H121,0)</f>
        <v>0</v>
      </c>
      <c r="I123" s="6"/>
      <c r="J123" s="20">
        <f>-(SUM([3]H7!$Q$49,[3]H7!$X$49)/1000)/J121</f>
        <v>0</v>
      </c>
      <c r="K123" s="20">
        <f>-(SUM([3]H7!$Q$50,[3]H7!$X$50)/1000)/K121</f>
        <v>0</v>
      </c>
      <c r="L123" s="20">
        <f>-(SUM([3]H7!$Q$51,[3]H7!$X$51)/1000)/L121</f>
        <v>0</v>
      </c>
      <c r="M123" s="6"/>
      <c r="N123" s="20">
        <f>-(SUM([3]H7!$EO$49,[3]H7!$EV$49)/1000)/N121</f>
        <v>0</v>
      </c>
      <c r="O123" s="20">
        <f>-(SUM([3]H7!$EO$50,[3]H7!$EV$50)/1000)/O121</f>
        <v>0</v>
      </c>
      <c r="P123" s="20">
        <f>-(SUM([3]H7!$EO$51,[3]H7!$EV$51)/1000)/P121</f>
        <v>0</v>
      </c>
      <c r="Q123" s="6"/>
    </row>
    <row r="124" spans="2:20" ht="19.5" customHeight="1" outlineLevel="1" x14ac:dyDescent="0.25">
      <c r="B124" s="204"/>
      <c r="C124" s="9"/>
      <c r="D124" s="14" t="s">
        <v>94</v>
      </c>
      <c r="E124" s="6"/>
      <c r="F124" s="20">
        <f>0</f>
        <v>0</v>
      </c>
      <c r="G124" s="20">
        <f>0</f>
        <v>0</v>
      </c>
      <c r="H124" s="20">
        <f>0</f>
        <v>0</v>
      </c>
      <c r="I124" s="6"/>
      <c r="J124" s="20">
        <f>-(SUM([3]H7!$P$49,[3]H7!$W$49)/1000)/J121</f>
        <v>0</v>
      </c>
      <c r="K124" s="20">
        <f>-(SUM([3]H7!$P$50,[3]H7!$W$50)/1000)/K121</f>
        <v>0</v>
      </c>
      <c r="L124" s="20">
        <f>-(SUM([3]H7!$P$51,[3]H7!$W$51)/1000)/L121</f>
        <v>0</v>
      </c>
      <c r="M124" s="6"/>
      <c r="N124" s="20">
        <f>-(SUM([3]H7!$EN$49,[3]H7!$EU$49)/1000)/N121</f>
        <v>0</v>
      </c>
      <c r="O124" s="20">
        <f>-(SUM([3]H7!$EN$50,[3]H7!$EU$50)/1000)/O121</f>
        <v>0</v>
      </c>
      <c r="P124" s="20">
        <f>-(SUM([3]H7!$EN$51,[3]H7!$EU$51)/1000)/P121</f>
        <v>0</v>
      </c>
      <c r="Q124" s="6"/>
    </row>
    <row r="125" spans="2:20" ht="19.5" customHeight="1" outlineLevel="2" x14ac:dyDescent="0.25">
      <c r="B125" s="204"/>
      <c r="C125" s="9"/>
      <c r="D125" s="14" t="s">
        <v>95</v>
      </c>
      <c r="E125" s="7"/>
      <c r="F125" s="20">
        <v>0.27694958784533319</v>
      </c>
      <c r="G125" s="20">
        <v>0.22719697105122597</v>
      </c>
      <c r="H125" s="20">
        <v>0.19726891102097802</v>
      </c>
      <c r="I125" s="7"/>
      <c r="J125" s="20">
        <f>+J122+J123+J124</f>
        <v>2.6204023240741222E-2</v>
      </c>
      <c r="K125" s="20">
        <f>+K122+K123+K124</f>
        <v>4.6007089138277286E-2</v>
      </c>
      <c r="L125" s="20">
        <f>+L122+L123+L124</f>
        <v>8.1382315814840808E-4</v>
      </c>
      <c r="M125" s="7"/>
      <c r="N125" s="20">
        <f>+N122+N123+N124</f>
        <v>-6.3782803969618274E-2</v>
      </c>
      <c r="O125" s="20">
        <f>+O122+O123+O124</f>
        <v>-0.17129166351100139</v>
      </c>
      <c r="P125" s="20">
        <f>+P122+P123+P124</f>
        <v>8.1382315814840841E-4</v>
      </c>
      <c r="Q125" s="7"/>
    </row>
    <row r="126" spans="2:20" ht="20.149999999999999" customHeight="1" outlineLevel="1" x14ac:dyDescent="0.25">
      <c r="B126" s="204"/>
      <c r="C126" s="9"/>
      <c r="D126" s="14" t="s">
        <v>96</v>
      </c>
      <c r="E126" s="7"/>
      <c r="F126" s="20">
        <v>7.8264970387760285E-2</v>
      </c>
      <c r="G126" s="20">
        <v>-6.9985089681681309E-2</v>
      </c>
      <c r="H126" s="20">
        <v>0</v>
      </c>
      <c r="I126" s="7"/>
      <c r="J126" s="20">
        <f>-(SUM([3]H7!$AC$49:$AK$49)/1000)/J121</f>
        <v>2.1563768423138252</v>
      </c>
      <c r="K126" s="20">
        <f>-(SUM([3]H7!$AC$50:$AK$50)/1000)/K121</f>
        <v>2.9190204160099711</v>
      </c>
      <c r="L126" s="20">
        <f>-(SUM([3]H7!$AC$51:$AK$51)/1000)/L121</f>
        <v>5.872539790502868E-5</v>
      </c>
      <c r="M126" s="7"/>
      <c r="N126" s="20">
        <f>-(SUM([3]H7!$FA$49:$FI$49)/1000)/N121</f>
        <v>0.9130665058512264</v>
      </c>
      <c r="O126" s="20">
        <f>-(SUM([3]H7!$FA$50:$FI$50)/1000)/O121</f>
        <v>0.89263137370543955</v>
      </c>
      <c r="P126" s="20">
        <f>-(SUM([3]H7!$FA$51:$FI$51)/1000)/P121</f>
        <v>5.8725397905028687E-5</v>
      </c>
      <c r="Q126" s="7"/>
    </row>
    <row r="127" spans="2:20" ht="20.149999999999999" customHeight="1" outlineLevel="2" x14ac:dyDescent="0.25">
      <c r="B127" s="204"/>
      <c r="C127" s="9"/>
      <c r="D127" s="15" t="s">
        <v>87</v>
      </c>
      <c r="E127" s="7"/>
      <c r="F127" s="20">
        <v>0.18303060398198542</v>
      </c>
      <c r="G127" s="20">
        <v>0.18614404769448578</v>
      </c>
      <c r="H127" s="20">
        <v>0.20438203736246632</v>
      </c>
      <c r="I127" s="7"/>
      <c r="J127" s="20">
        <f>-(SUM([3]H7!$AL$49:$AN$49)/1000)/J121</f>
        <v>0.26749300246032259</v>
      </c>
      <c r="K127" s="20">
        <f>-(SUM([3]H7!$AL$50:$AN$50)/1000)/K121</f>
        <v>0.24915764474951127</v>
      </c>
      <c r="L127" s="20">
        <f>-(SUM([3]H7!$AL$51:$AN$51)/1000)/L121</f>
        <v>0.25988731019807038</v>
      </c>
      <c r="M127" s="7"/>
      <c r="N127" s="20">
        <f>-(SUM([3]H7!$FJ$49:$FL$49)/1000)/N121</f>
        <v>0.26862282240380297</v>
      </c>
      <c r="O127" s="20">
        <f>-(SUM([3]H7!$FJ$50:$FL$50)/1000)/O121</f>
        <v>0.25558015631689007</v>
      </c>
      <c r="P127" s="20">
        <f>-(SUM([3]H7!$FJ$51:$FL$51)/1000)/P121</f>
        <v>0.25988731019807038</v>
      </c>
      <c r="Q127" s="7"/>
    </row>
    <row r="128" spans="2:20" ht="20.149999999999999" customHeight="1" outlineLevel="2" x14ac:dyDescent="0.25">
      <c r="B128" s="204"/>
      <c r="C128" s="9"/>
      <c r="D128" s="15" t="s">
        <v>88</v>
      </c>
      <c r="E128" s="7"/>
      <c r="F128" s="20">
        <v>6.9275062251362332E-2</v>
      </c>
      <c r="G128" s="20">
        <v>3.175185160927016E-2</v>
      </c>
      <c r="H128" s="20">
        <v>8.4249843678186484E-2</v>
      </c>
      <c r="I128" s="7"/>
      <c r="J128" s="20">
        <f>-(SUM([3]H7!$AO$49:$AR$49)/1000)/J121</f>
        <v>2.5445350793336728E-2</v>
      </c>
      <c r="K128" s="20">
        <f>-(SUM([3]H7!$AO$50:$AR$50)/1000)/K121</f>
        <v>8.30263225494242E-2</v>
      </c>
      <c r="L128" s="20">
        <f>-(SUM([3]H7!$AO$51:$AR$51)/1000)/L121</f>
        <v>0.17338782987484386</v>
      </c>
      <c r="M128" s="7"/>
      <c r="N128" s="20">
        <f>-(SUM([3]H7!$FM$49:$FP$49)/1000)/N121</f>
        <v>2.7843107437172214E-2</v>
      </c>
      <c r="O128" s="20">
        <f>-(SUM([3]H7!$FM$50:$FP$50)/1000)/O121</f>
        <v>8.2476200911947045E-2</v>
      </c>
      <c r="P128" s="20">
        <f>-(SUM([3]H7!$FM$51:$FP$51)/1000)/P121</f>
        <v>0.17338782987484391</v>
      </c>
      <c r="Q128" s="7"/>
    </row>
    <row r="129" spans="2:20" ht="20.149999999999999" customHeight="1" outlineLevel="1" x14ac:dyDescent="0.25">
      <c r="B129" s="204"/>
      <c r="C129" s="9"/>
      <c r="D129" s="14" t="s">
        <v>97</v>
      </c>
      <c r="E129" s="7"/>
      <c r="F129" s="20">
        <v>0.25230566623334771</v>
      </c>
      <c r="G129" s="20">
        <v>0.21789589930375597</v>
      </c>
      <c r="H129" s="20">
        <v>0.28863188104065279</v>
      </c>
      <c r="I129" s="7"/>
      <c r="J129" s="20">
        <f>+J127+J128</f>
        <v>0.2929383532536593</v>
      </c>
      <c r="K129" s="20">
        <f>+K127+K128</f>
        <v>0.33218396729893546</v>
      </c>
      <c r="L129" s="20">
        <f>+L127+L128</f>
        <v>0.43327514007291423</v>
      </c>
      <c r="M129" s="7"/>
      <c r="N129" s="20">
        <f>+N127+N128</f>
        <v>0.2964659298409752</v>
      </c>
      <c r="O129" s="20">
        <f>+O127+O128</f>
        <v>0.33805635722883709</v>
      </c>
      <c r="P129" s="20">
        <f>+P127+P128</f>
        <v>0.43327514007291429</v>
      </c>
      <c r="Q129" s="7"/>
    </row>
    <row r="130" spans="2:20" ht="20.149999999999999" customHeight="1" outlineLevel="1" x14ac:dyDescent="0.25">
      <c r="B130" s="204"/>
      <c r="C130" s="9"/>
      <c r="D130" s="14" t="s">
        <v>90</v>
      </c>
      <c r="E130" s="7"/>
      <c r="F130" s="20"/>
      <c r="G130" s="20"/>
      <c r="H130" s="20"/>
      <c r="I130" s="7"/>
      <c r="J130" s="20">
        <f>-(SUM([3]H7!$AT$49:$BJ$49)/1000/J121)</f>
        <v>2.2291836189597736E-2</v>
      </c>
      <c r="K130" s="20">
        <f>-(SUM([3]H7!$AT$50:$BJ$50)/1000/K121)</f>
        <v>6.0946230830415907E-2</v>
      </c>
      <c r="L130" s="20">
        <f>-(SUM([3]H7!$AT$51:$BJ$51)/1000/L121)</f>
        <v>7.9327228100372099E-2</v>
      </c>
      <c r="M130" s="7"/>
      <c r="N130" s="20">
        <f>-(SUM([3]H7!$FR$49:$GH$49)/1000/N121)</f>
        <v>0.99635379241574684</v>
      </c>
      <c r="O130" s="20">
        <f>-(SUM([3]H7!$FR$50:$GH$50)/1000/O121)</f>
        <v>8.1470147942962784E-2</v>
      </c>
      <c r="P130" s="20">
        <f>-(SUM([3]H7!$FR$51:$GH$51)/1000/P121)</f>
        <v>7.9327228100372113E-2</v>
      </c>
      <c r="Q130" s="7"/>
    </row>
    <row r="131" spans="2:20" ht="20.149999999999999" customHeight="1" outlineLevel="1" x14ac:dyDescent="0.25">
      <c r="B131" s="204"/>
      <c r="C131" s="9"/>
      <c r="D131" s="14" t="s">
        <v>79</v>
      </c>
      <c r="E131" s="8"/>
      <c r="F131" s="20">
        <v>0.60752022446644127</v>
      </c>
      <c r="G131" s="20">
        <v>0.37510778067330053</v>
      </c>
      <c r="H131" s="20">
        <v>0.48590079206163078</v>
      </c>
      <c r="I131" s="8"/>
      <c r="J131" s="20">
        <f>+J125+J126+J129+J130</f>
        <v>2.4978110549978232</v>
      </c>
      <c r="K131" s="20">
        <f>+K125+K126+K129+K130</f>
        <v>3.3581577032775995</v>
      </c>
      <c r="L131" s="20">
        <f>+L125+L126+L129+L130</f>
        <v>0.51347491672933976</v>
      </c>
      <c r="M131" s="8"/>
      <c r="N131" s="20">
        <f>+N125+N126+N129+N130</f>
        <v>2.1421034241383303</v>
      </c>
      <c r="O131" s="20">
        <f>+O125+O126+O129+O130</f>
        <v>1.1408662153662379</v>
      </c>
      <c r="P131" s="20">
        <f>+P125+P126+P129+P130</f>
        <v>0.51347491672933987</v>
      </c>
      <c r="Q131" s="8"/>
    </row>
    <row r="132" spans="2:20" ht="19.5" customHeight="1" outlineLevel="1" x14ac:dyDescent="0.25">
      <c r="B132" s="204"/>
      <c r="C132" s="9"/>
      <c r="D132" s="14" t="s">
        <v>34</v>
      </c>
      <c r="E132" s="6"/>
      <c r="F132" s="19">
        <v>0.9093967199999996</v>
      </c>
      <c r="G132" s="19">
        <v>1.5321518799999998</v>
      </c>
      <c r="H132" s="19">
        <v>1.1388253462569518</v>
      </c>
      <c r="I132" s="6"/>
      <c r="J132" s="19">
        <f>+[3]H7!$BK$49/1000</f>
        <v>-0.15920372999999996</v>
      </c>
      <c r="K132" s="19">
        <f>+[3]H7!$BK$50/1000</f>
        <v>-0.27035289999999995</v>
      </c>
      <c r="L132" s="19">
        <f>+[3]H7!$BK$51/1000</f>
        <v>7.8330538406576403E-3</v>
      </c>
      <c r="M132" s="6"/>
      <c r="N132" s="19">
        <f>+[3]H7!$GI$49/1000</f>
        <v>-3.9354279999999908E-2</v>
      </c>
      <c r="O132" s="19">
        <f>+[3]H7!$GI$50/1000</f>
        <v>-5.2451000000000242E-3</v>
      </c>
      <c r="P132" s="19">
        <f>+[3]H7!$GI$51/1000</f>
        <v>2.6110179468858794E-3</v>
      </c>
      <c r="Q132" s="6"/>
      <c r="T132" s="34"/>
    </row>
    <row r="133" spans="2:20" ht="7.5" customHeight="1" outlineLevel="1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6"/>
      <c r="O133" s="8"/>
      <c r="P133" s="8"/>
      <c r="Q133" s="8"/>
    </row>
    <row r="134" spans="2:20" ht="19.5" customHeight="1" outlineLevel="1" x14ac:dyDescent="0.25">
      <c r="B134" s="204" t="s">
        <v>105</v>
      </c>
      <c r="C134" s="9"/>
      <c r="D134" s="14" t="s">
        <v>19</v>
      </c>
      <c r="E134" s="6"/>
      <c r="F134" s="19">
        <v>3.9291138499999994</v>
      </c>
      <c r="G134" s="19">
        <v>4.1917961400000001</v>
      </c>
      <c r="H134" s="19">
        <v>4.4139901662291425</v>
      </c>
      <c r="I134" s="6"/>
      <c r="J134" s="19">
        <f>+[3]H7!$C$57/1000</f>
        <v>2.8682131999999996</v>
      </c>
      <c r="K134" s="19">
        <f>+[3]H7!$C$58/1000</f>
        <v>2.86855335</v>
      </c>
      <c r="L134" s="19">
        <f>+[3]H7!$C$59/1000</f>
        <v>2.8176535234986497</v>
      </c>
      <c r="M134" s="6"/>
      <c r="N134" s="19">
        <f>+[3]H7!$EA$57/1000</f>
        <v>0.62296833999999945</v>
      </c>
      <c r="O134" s="19">
        <f>+[3]H7!$EA$58/1000</f>
        <v>0.64037103000000029</v>
      </c>
      <c r="P134" s="19">
        <f>+[3]H7!$EA$59/1000</f>
        <v>0.63011742582418451</v>
      </c>
      <c r="Q134" s="6"/>
    </row>
    <row r="135" spans="2:20" ht="20.149999999999999" customHeight="1" outlineLevel="1" x14ac:dyDescent="0.25">
      <c r="B135" s="204"/>
      <c r="C135" s="9"/>
      <c r="D135" s="14" t="s">
        <v>20</v>
      </c>
      <c r="E135" s="6"/>
      <c r="F135" s="19">
        <v>3.9370871899999997</v>
      </c>
      <c r="G135" s="19">
        <v>4.2753675999999992</v>
      </c>
      <c r="H135" s="19">
        <v>4.4615854579151879</v>
      </c>
      <c r="I135" s="6"/>
      <c r="J135" s="19">
        <f>+[3]H7!$N$57/1000</f>
        <v>2.1585074099999995</v>
      </c>
      <c r="K135" s="19">
        <f>+[3]H7!$N$58/1000</f>
        <v>2.1361802500000002</v>
      </c>
      <c r="L135" s="19">
        <f>+[3]H7!$N$59/1000</f>
        <v>2.1259487444049929</v>
      </c>
      <c r="M135" s="6"/>
      <c r="N135" s="19">
        <f>+[3]H7!$EL$57/1000</f>
        <v>0.74912169999999967</v>
      </c>
      <c r="O135" s="19">
        <f>+[3]H7!$EL$58/1000</f>
        <v>0.75528142000000076</v>
      </c>
      <c r="P135" s="19">
        <f>+[3]H7!$EL$59/1000</f>
        <v>0.70864958146833079</v>
      </c>
      <c r="Q135" s="6"/>
    </row>
    <row r="136" spans="2:20" ht="19.5" customHeight="1" outlineLevel="1" x14ac:dyDescent="0.25">
      <c r="B136" s="204"/>
      <c r="C136" s="9"/>
      <c r="D136" s="14" t="s">
        <v>92</v>
      </c>
      <c r="E136" s="6"/>
      <c r="F136" s="20">
        <f>F139-F137-F138</f>
        <v>0.49361970822901691</v>
      </c>
      <c r="G136" s="20">
        <f>G139-G137-G138</f>
        <v>0.20816248876470886</v>
      </c>
      <c r="H136" s="20">
        <f>H139-H137-H138</f>
        <v>0.28562485264551746</v>
      </c>
      <c r="I136" s="6"/>
      <c r="J136" s="20">
        <f>-(SUM([3]H7!$O$57,[3]H7!$R$57:$V$57,[3]H7!$Y$57:$AB$57)/1000)/J135</f>
        <v>0.27518679678750796</v>
      </c>
      <c r="K136" s="20">
        <f>-(SUM([3]H7!$O$58,[3]H7!$R$58:$V$58,[3]H7!$Y$58:$AB$58)/1000)/K135</f>
        <v>0.28286025020594585</v>
      </c>
      <c r="L136" s="20">
        <f>-(SUM([3]H7!$O$59,[3]H7!$R$59:$V$59,[3]H7!$Y$59:$AB$59)/1000)/L135</f>
        <v>0.31682395183840772</v>
      </c>
      <c r="M136" s="6"/>
      <c r="N136" s="20">
        <f>-(SUM([3]H7!$EM$57,[3]H7!$EP$57:$ET$57,[3]H7!$EW$57:$EZ$57)/1000)/N135</f>
        <v>0.2689138093316481</v>
      </c>
      <c r="O136" s="20">
        <f>-(SUM([3]H7!$EM$58,[3]H7!$EP$58:$ET$58,[3]H7!$EW$58:$EZ$58)/1000)/O135</f>
        <v>0.26647331004117597</v>
      </c>
      <c r="P136" s="20">
        <f>-(SUM([3]H7!$EM$59,[3]H7!$EP$59:$ET$59,[3]H7!$EW$59:$EZ$59)/1000)/P135</f>
        <v>0.31682395183840789</v>
      </c>
      <c r="Q136" s="6"/>
    </row>
    <row r="137" spans="2:20" ht="19.5" customHeight="1" outlineLevel="1" x14ac:dyDescent="0.25">
      <c r="B137" s="204"/>
      <c r="C137" s="9"/>
      <c r="D137" s="14" t="s">
        <v>93</v>
      </c>
      <c r="E137" s="6"/>
      <c r="F137" s="20">
        <f>IFERROR(SUM(INDEX(LL_TOT_BR_YTD,6,Month),INDEX(LL_IBNR_TOT_BR_YTD,6,Month))/F135,0)</f>
        <v>0</v>
      </c>
      <c r="G137" s="20">
        <f>IFERROR(SUM(INDEX(LL_TOT_BR_YTD_PREV,6,Month),INDEX(LL_IBNR_TOT_BR_YTD_PREV,6,Month))/G135,0)</f>
        <v>0</v>
      </c>
      <c r="H137" s="20">
        <f>IFERROR(SUM(INDEX(LL_TOT_BR_YTD_PLAN,6,Month),INDEX(LL_IBNR_TOT_BR_YTD_PLAN,6,Month))/H135,0)</f>
        <v>0</v>
      </c>
      <c r="I137" s="6"/>
      <c r="J137" s="20">
        <f>-(SUM([3]H7!$Q$57,[3]H7!$X$57)/1000)/J135</f>
        <v>0</v>
      </c>
      <c r="K137" s="20">
        <f>-(SUM([3]H7!$Q$58,[3]H7!$X$58)/1000)/K135</f>
        <v>0</v>
      </c>
      <c r="L137" s="20">
        <f>-(SUM([3]H7!$Q$59,[3]H7!$X$59)/1000)/L135</f>
        <v>0</v>
      </c>
      <c r="M137" s="6"/>
      <c r="N137" s="20">
        <f>-(SUM([3]H7!$EO$57,[3]H7!$EV$57)/1000)/N135</f>
        <v>0</v>
      </c>
      <c r="O137" s="20">
        <f>-(SUM([3]H7!$EO$58,[3]H7!$EV$58)/1000)/O135</f>
        <v>0</v>
      </c>
      <c r="P137" s="20">
        <f>-(SUM([3]H7!$EO$59,[3]H7!$EV$59)/1000)/P135</f>
        <v>0</v>
      </c>
      <c r="Q137" s="6"/>
    </row>
    <row r="138" spans="2:20" ht="19.5" customHeight="1" outlineLevel="1" x14ac:dyDescent="0.25">
      <c r="B138" s="204"/>
      <c r="C138" s="9"/>
      <c r="D138" s="14" t="s">
        <v>94</v>
      </c>
      <c r="E138" s="6"/>
      <c r="F138" s="20">
        <f>0</f>
        <v>0</v>
      </c>
      <c r="G138" s="20">
        <f>0</f>
        <v>0</v>
      </c>
      <c r="H138" s="20">
        <f>0</f>
        <v>0</v>
      </c>
      <c r="I138" s="6"/>
      <c r="J138" s="20">
        <f>-(SUM([3]H7!$P$57,[3]H7!$W$57)/1000)/J135</f>
        <v>0</v>
      </c>
      <c r="K138" s="20">
        <f>-(SUM([3]H7!$P$58,[3]H7!$W$58)/1000)/K135</f>
        <v>0</v>
      </c>
      <c r="L138" s="20">
        <f>-(SUM([3]H7!$P$59,[3]H7!$W$59)/1000)/L135</f>
        <v>0</v>
      </c>
      <c r="M138" s="6"/>
      <c r="N138" s="20">
        <f>-(SUM([3]H7!$EN$57,[3]H7!$EU$57)/1000)/N135</f>
        <v>0</v>
      </c>
      <c r="O138" s="20">
        <f>-(SUM([3]H7!$EN$58,[3]H7!$EU$58)/1000)/O135</f>
        <v>0</v>
      </c>
      <c r="P138" s="20">
        <f>-(SUM([3]H7!$EN$59,[3]H7!$EU$59)/1000)/P135</f>
        <v>0</v>
      </c>
      <c r="Q138" s="6"/>
    </row>
    <row r="139" spans="2:20" ht="19.5" customHeight="1" outlineLevel="2" x14ac:dyDescent="0.25">
      <c r="B139" s="204"/>
      <c r="C139" s="9"/>
      <c r="D139" s="14" t="s">
        <v>95</v>
      </c>
      <c r="E139" s="7"/>
      <c r="F139" s="20">
        <v>0.49361970822901691</v>
      </c>
      <c r="G139" s="20">
        <v>0.20816248876470886</v>
      </c>
      <c r="H139" s="20">
        <v>0.28562485264551746</v>
      </c>
      <c r="I139" s="7"/>
      <c r="J139" s="20">
        <f>+J136+J137+J138</f>
        <v>0.27518679678750796</v>
      </c>
      <c r="K139" s="20">
        <f>+K136+K137+K138</f>
        <v>0.28286025020594585</v>
      </c>
      <c r="L139" s="20">
        <f>+L136+L137+L138</f>
        <v>0.31682395183840772</v>
      </c>
      <c r="M139" s="7"/>
      <c r="N139" s="20">
        <f>+N136+N137+N138</f>
        <v>0.2689138093316481</v>
      </c>
      <c r="O139" s="20">
        <f>+O136+O137+O138</f>
        <v>0.26647331004117597</v>
      </c>
      <c r="P139" s="20">
        <f>+P136+P137+P138</f>
        <v>0.31682395183840789</v>
      </c>
      <c r="Q139" s="7"/>
    </row>
    <row r="140" spans="2:20" ht="20.149999999999999" customHeight="1" outlineLevel="1" x14ac:dyDescent="0.25">
      <c r="B140" s="204"/>
      <c r="C140" s="9"/>
      <c r="D140" s="14" t="s">
        <v>96</v>
      </c>
      <c r="E140" s="7"/>
      <c r="F140" s="20">
        <v>-0.24777656498889986</v>
      </c>
      <c r="G140" s="20">
        <v>-0.21788168577597833</v>
      </c>
      <c r="H140" s="20">
        <v>0</v>
      </c>
      <c r="I140" s="7"/>
      <c r="J140" s="20">
        <f>-(SUM([3]H7!$AC$57:$AK$57)/1000)/J135</f>
        <v>-7.7837949140976082E-2</v>
      </c>
      <c r="K140" s="20">
        <f>-(SUM([3]H7!$AC$58:$AK$58)/1000)/K135</f>
        <v>-0.18824632425096147</v>
      </c>
      <c r="L140" s="20">
        <f>-(SUM([3]H7!$AC$59:$AK$59)/1000)/L135</f>
        <v>-3.5482378935860941E-3</v>
      </c>
      <c r="M140" s="7"/>
      <c r="N140" s="20">
        <f>-(SUM([3]H7!$FA$57:$FI$57)/1000)/N135</f>
        <v>-0.12018483779070883</v>
      </c>
      <c r="O140" s="20">
        <f>-(SUM([3]H7!$FA$58:$FI$58)/1000)/O135</f>
        <v>-0.40718715151234575</v>
      </c>
      <c r="P140" s="20">
        <f>-(SUM([3]H7!$FA$59:$FI$59)/1000)/P135</f>
        <v>-3.5482378935860954E-3</v>
      </c>
      <c r="Q140" s="7"/>
    </row>
    <row r="141" spans="2:20" ht="20.149999999999999" customHeight="1" outlineLevel="2" x14ac:dyDescent="0.25">
      <c r="B141" s="204"/>
      <c r="C141" s="9"/>
      <c r="D141" s="15" t="s">
        <v>87</v>
      </c>
      <c r="E141" s="7"/>
      <c r="F141" s="20">
        <v>0.1658069858493533</v>
      </c>
      <c r="G141" s="20">
        <v>0.21963125229278538</v>
      </c>
      <c r="H141" s="20">
        <v>0.16717916113669204</v>
      </c>
      <c r="I141" s="7"/>
      <c r="J141" s="20">
        <f>-(SUM([3]H7!$AL$57:$AN$57)/1000)/J135</f>
        <v>0.18535154808664758</v>
      </c>
      <c r="K141" s="20">
        <f>-(SUM([3]H7!$AL$58:$AN$58)/1000)/K135</f>
        <v>0.18496704105376874</v>
      </c>
      <c r="L141" s="20">
        <f>-(SUM([3]H7!$AL$59:$AN$59)/1000)/L135</f>
        <v>0.17894599571316191</v>
      </c>
      <c r="M141" s="7"/>
      <c r="N141" s="20">
        <f>-(SUM([3]H7!$FJ$57:$FL$57)/1000)/N135</f>
        <v>0.18501115372842636</v>
      </c>
      <c r="O141" s="20">
        <f>-(SUM([3]H7!$FJ$58:$FL$58)/1000)/O135</f>
        <v>0.18446385189774675</v>
      </c>
      <c r="P141" s="20">
        <f>-(SUM([3]H7!$FJ$59:$FL$59)/1000)/P135</f>
        <v>0.17894599571316194</v>
      </c>
      <c r="Q141" s="7"/>
    </row>
    <row r="142" spans="2:20" ht="20.149999999999999" customHeight="1" outlineLevel="2" x14ac:dyDescent="0.25">
      <c r="B142" s="204"/>
      <c r="C142" s="9"/>
      <c r="D142" s="15" t="s">
        <v>88</v>
      </c>
      <c r="E142" s="7"/>
      <c r="F142" s="20">
        <v>0.16807597293774948</v>
      </c>
      <c r="G142" s="20">
        <v>0.18193374529946854</v>
      </c>
      <c r="H142" s="20">
        <v>0.15908397356614867</v>
      </c>
      <c r="I142" s="7"/>
      <c r="J142" s="20">
        <f>-(SUM([3]H7!$AO$57:$AR$57)/1000)/J135</f>
        <v>0.10997501741261109</v>
      </c>
      <c r="K142" s="20">
        <f>-(SUM([3]H7!$AO$58:$AR$58)/1000)/K135</f>
        <v>0.12758445360591644</v>
      </c>
      <c r="L142" s="20">
        <f>-(SUM([3]H7!$AO$59:$AR$59)/1000)/L135</f>
        <v>0.10898265084973213</v>
      </c>
      <c r="M142" s="7"/>
      <c r="N142" s="20">
        <f>-(SUM([3]H7!$FM$57:$FP$57)/1000)/N135</f>
        <v>0.10371982282718553</v>
      </c>
      <c r="O142" s="20">
        <f>-(SUM([3]H7!$FM$58:$FP$58)/1000)/O135</f>
        <v>0.11429069710201516</v>
      </c>
      <c r="P142" s="20">
        <f>-(SUM([3]H7!$FM$59:$FP$59)/1000)/P135</f>
        <v>0.10898265084973216</v>
      </c>
      <c r="Q142" s="7"/>
    </row>
    <row r="143" spans="2:20" ht="20.149999999999999" customHeight="1" outlineLevel="1" x14ac:dyDescent="0.25">
      <c r="B143" s="204"/>
      <c r="C143" s="9"/>
      <c r="D143" s="14" t="s">
        <v>97</v>
      </c>
      <c r="E143" s="7"/>
      <c r="F143" s="20">
        <v>0.33388295878710278</v>
      </c>
      <c r="G143" s="20" t="e">
        <v>#VALUE!</v>
      </c>
      <c r="H143" s="20">
        <v>0.32626313470284068</v>
      </c>
      <c r="I143" s="7"/>
      <c r="J143" s="20">
        <f>+J141+J142</f>
        <v>0.29532656549925868</v>
      </c>
      <c r="K143" s="20">
        <f>+K141+K142</f>
        <v>0.31255149465968518</v>
      </c>
      <c r="L143" s="20">
        <f>+L141+L142</f>
        <v>0.28792864656289407</v>
      </c>
      <c r="M143" s="7"/>
      <c r="N143" s="20">
        <f>+N141+N142</f>
        <v>0.28873097655561186</v>
      </c>
      <c r="O143" s="20">
        <f>+O141+O142</f>
        <v>0.29875454899976189</v>
      </c>
      <c r="P143" s="20">
        <f>+P141+P142</f>
        <v>0.28792864656289407</v>
      </c>
      <c r="Q143" s="7"/>
    </row>
    <row r="144" spans="2:20" ht="20.149999999999999" customHeight="1" outlineLevel="1" x14ac:dyDescent="0.25">
      <c r="B144" s="204"/>
      <c r="C144" s="9"/>
      <c r="D144" s="14" t="s">
        <v>90</v>
      </c>
      <c r="E144" s="7"/>
      <c r="F144" s="20"/>
      <c r="G144" s="20"/>
      <c r="H144" s="20"/>
      <c r="I144" s="7"/>
      <c r="J144" s="20">
        <f>-(SUM([3]H7!$AT$57:$BJ$57)/1000/J135)</f>
        <v>0.48384144300899123</v>
      </c>
      <c r="K144" s="20">
        <f>-(SUM([3]H7!$AT$58:$BJ$58)/1000/K135)</f>
        <v>0.49766737146830176</v>
      </c>
      <c r="L144" s="20">
        <f>-(SUM([3]H7!$AT$59:$BJ$59)/1000/L135)</f>
        <v>0.24158649506034111</v>
      </c>
      <c r="M144" s="7"/>
      <c r="N144" s="20">
        <f>-(SUM([3]H7!$FR$57:$GH$57)/1000/N135)</f>
        <v>0.2529269943722095</v>
      </c>
      <c r="O144" s="20">
        <f>-(SUM([3]H7!$FR$58:$GH$58)/1000/O135)</f>
        <v>0.25935101117673426</v>
      </c>
      <c r="P144" s="20">
        <f>-(SUM([3]H7!$FR$59:$GH$59)/1000/P135)</f>
        <v>0.24158649506034116</v>
      </c>
      <c r="Q144" s="7"/>
    </row>
    <row r="145" spans="2:20" ht="20.149999999999999" customHeight="1" outlineLevel="1" x14ac:dyDescent="0.25">
      <c r="B145" s="204"/>
      <c r="C145" s="9"/>
      <c r="D145" s="14" t="s">
        <v>79</v>
      </c>
      <c r="E145" s="8"/>
      <c r="F145" s="20">
        <v>0.57972610202721986</v>
      </c>
      <c r="G145" s="20" t="e">
        <v>#VALUE!</v>
      </c>
      <c r="H145" s="20">
        <v>0.61188798734835825</v>
      </c>
      <c r="I145" s="8"/>
      <c r="J145" s="20">
        <f>+J139+J140+J143+J144</f>
        <v>0.97651685615478179</v>
      </c>
      <c r="K145" s="20">
        <f>+K139+K140+K143+K144</f>
        <v>0.90483279208297129</v>
      </c>
      <c r="L145" s="20">
        <f>+L139+L140+L143+L144</f>
        <v>0.84279085556805688</v>
      </c>
      <c r="M145" s="8"/>
      <c r="N145" s="20">
        <f>+N139+N140+N143+N144</f>
        <v>0.69038694246876064</v>
      </c>
      <c r="O145" s="20">
        <f>+O139+O140+O143+O144</f>
        <v>0.41739171870532638</v>
      </c>
      <c r="P145" s="20">
        <f>+P139+P140+P143+P144</f>
        <v>0.842790855568057</v>
      </c>
      <c r="Q145" s="8"/>
    </row>
    <row r="146" spans="2:20" ht="19.5" customHeight="1" outlineLevel="1" x14ac:dyDescent="0.25">
      <c r="B146" s="204"/>
      <c r="C146" s="9"/>
      <c r="D146" s="14" t="s">
        <v>34</v>
      </c>
      <c r="E146" s="6"/>
      <c r="F146" s="19">
        <v>1.6546549799999999</v>
      </c>
      <c r="G146" s="19">
        <v>2.3881635999999977</v>
      </c>
      <c r="H146" s="19">
        <v>1.7315949116887599</v>
      </c>
      <c r="I146" s="6"/>
      <c r="J146" s="19">
        <f>+[3]H7!$BK$57/1000</f>
        <v>5.0688539999999366E-2</v>
      </c>
      <c r="K146" s="19">
        <f>+[3]H7!$BK$58/1000</f>
        <v>0.20329431000000062</v>
      </c>
      <c r="L146" s="19">
        <f>+[3]H7!$BK$59/1000</f>
        <v>0.33421858321407294</v>
      </c>
      <c r="M146" s="6"/>
      <c r="N146" s="19">
        <f>+[3]H7!$GI$57/1000</f>
        <v>0.23193785999999966</v>
      </c>
      <c r="O146" s="19">
        <f>+[3]H7!$GI$58/1000</f>
        <v>0.44003321000000084</v>
      </c>
      <c r="P146" s="19">
        <f>+[3]H7!$GI$59/1000</f>
        <v>0.11140619440469067</v>
      </c>
      <c r="Q146" s="6"/>
      <c r="T146" s="34"/>
    </row>
    <row r="147" spans="2:20" ht="7.5" customHeight="1" outlineLevel="1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6"/>
      <c r="O147" s="8"/>
      <c r="P147" s="8"/>
      <c r="Q147" s="8"/>
    </row>
    <row r="148" spans="2:20" ht="19.5" customHeight="1" outlineLevel="1" x14ac:dyDescent="0.25">
      <c r="B148" s="204" t="s">
        <v>106</v>
      </c>
      <c r="C148" s="9"/>
      <c r="D148" s="14" t="s">
        <v>19</v>
      </c>
      <c r="E148" s="6"/>
      <c r="F148" s="19">
        <v>39.956381669999999</v>
      </c>
      <c r="G148" s="19">
        <v>35.901614680000009</v>
      </c>
      <c r="H148" s="19">
        <v>36.922681321660534</v>
      </c>
      <c r="I148" s="6"/>
      <c r="J148" s="19">
        <f>+[3]H7!$C$45/1000</f>
        <v>0</v>
      </c>
      <c r="K148" s="19">
        <f>+[3]H7!$C$46/1000</f>
        <v>0</v>
      </c>
      <c r="L148" s="19">
        <f>+[3]H7!$C$47/1000</f>
        <v>0</v>
      </c>
      <c r="M148" s="6"/>
      <c r="N148" s="19">
        <f>+[3]H7!$EA$45/1000</f>
        <v>0</v>
      </c>
      <c r="O148" s="19">
        <f>+[3]H7!$EA$46/1000</f>
        <v>0</v>
      </c>
      <c r="P148" s="19">
        <f>+[3]H7!$EA$47/1000</f>
        <v>0</v>
      </c>
      <c r="Q148" s="6"/>
    </row>
    <row r="149" spans="2:20" ht="20.149999999999999" customHeight="1" outlineLevel="1" x14ac:dyDescent="0.25">
      <c r="B149" s="204"/>
      <c r="C149" s="9"/>
      <c r="D149" s="14" t="s">
        <v>20</v>
      </c>
      <c r="E149" s="6"/>
      <c r="F149" s="19">
        <v>38.89488166000001</v>
      </c>
      <c r="G149" s="19">
        <v>34.339636540000008</v>
      </c>
      <c r="H149" s="19">
        <v>34.780579715753724</v>
      </c>
      <c r="I149" s="6"/>
      <c r="J149" s="19">
        <f>+[3]H7!$N$45/1000</f>
        <v>0</v>
      </c>
      <c r="K149" s="19">
        <f>+[3]H7!$N$46/1000</f>
        <v>0</v>
      </c>
      <c r="L149" s="19">
        <f>+[3]H7!$N$47/1000</f>
        <v>0</v>
      </c>
      <c r="M149" s="6"/>
      <c r="N149" s="19">
        <f>+[3]H7!$EL$45/1000</f>
        <v>0</v>
      </c>
      <c r="O149" s="19">
        <f>+[3]H7!$EL$46/1000</f>
        <v>0</v>
      </c>
      <c r="P149" s="19">
        <f>+[3]H7!$EL$47/1000</f>
        <v>0</v>
      </c>
      <c r="Q149" s="6"/>
    </row>
    <row r="150" spans="2:20" ht="19.5" customHeight="1" outlineLevel="1" x14ac:dyDescent="0.25">
      <c r="B150" s="204"/>
      <c r="C150" s="9"/>
      <c r="D150" s="14" t="s">
        <v>92</v>
      </c>
      <c r="E150" s="6"/>
      <c r="F150" s="20">
        <f>F153-F151-F152</f>
        <v>0.69867287237299669</v>
      </c>
      <c r="G150" s="20">
        <f>G153-G151-G152</f>
        <v>0.47692328662020228</v>
      </c>
      <c r="H150" s="20">
        <f>H153-H151-H152</f>
        <v>0.60636957427339333</v>
      </c>
      <c r="I150" s="6"/>
      <c r="J150" s="20" t="e">
        <f>-(SUM([3]H7!$O$45,[3]H7!$R$45:$V$45,[3]H7!$Y$45:$AB$45)/1000)/J149</f>
        <v>#DIV/0!</v>
      </c>
      <c r="K150" s="20" t="e">
        <f>-(SUM([3]H7!$O$46,[3]H7!$R$46:$V$46,[3]H7!$Y$46:$AB$46)/1000)/K149</f>
        <v>#DIV/0!</v>
      </c>
      <c r="L150" s="20" t="e">
        <f>-(SUM([3]H7!$O$47,[3]H7!$R$47:$V$47,[3]H7!$Y$47:$AB$47)/1000)/L149</f>
        <v>#DIV/0!</v>
      </c>
      <c r="M150" s="6"/>
      <c r="N150" s="20" t="e">
        <f>-(SUM([3]H7!$EM$45,[3]H7!$EP$45:$ET$45,[3]H7!$EW$45:$EZ$45)/1000)/N149</f>
        <v>#DIV/0!</v>
      </c>
      <c r="O150" s="20" t="e">
        <f>-(SUM([3]H7!$EM$46,[3]H7!$EP$46:$ET$46,[3]H7!$EW$46:$EZ$46)/1000)/O149</f>
        <v>#DIV/0!</v>
      </c>
      <c r="P150" s="20" t="e">
        <f>-(SUM([3]H7!$EM$47,[3]H7!$EP$47:$ET$47,[3]H7!$EW$47:$EZ$47)/1000)/P149</f>
        <v>#DIV/0!</v>
      </c>
      <c r="Q150" s="6"/>
    </row>
    <row r="151" spans="2:20" ht="19.5" customHeight="1" outlineLevel="1" x14ac:dyDescent="0.25">
      <c r="B151" s="204"/>
      <c r="C151" s="9"/>
      <c r="D151" s="14" t="s">
        <v>93</v>
      </c>
      <c r="E151" s="6"/>
      <c r="F151" s="20">
        <f>IFERROR(SUM(INDEX(LL_TOT_BR_YTD,8,Month),INDEX(LL_IBNR_TOT_BR_YTD,8,Month))/F149,0)</f>
        <v>0</v>
      </c>
      <c r="G151" s="20">
        <f>IFERROR(SUM(INDEX(LL_TOT_BR_YTD_PREV,8,Month),INDEX(LL_IBNR_TOT_BR_YTD_PREV,8,Month))/G149,0)</f>
        <v>0</v>
      </c>
      <c r="H151" s="20">
        <f>IFERROR(SUM(INDEX(LL_TOT_BR_YTD_PLAN,8,Month),INDEX(LL_IBNR_TOT_BR_YTD_PLAN,8,Month))/H149,0)</f>
        <v>0</v>
      </c>
      <c r="I151" s="6"/>
      <c r="J151" s="20" t="e">
        <f>-(SUM([3]H7!$Q$45,[3]H7!$X$45)/1000)/J149</f>
        <v>#DIV/0!</v>
      </c>
      <c r="K151" s="20" t="e">
        <f>-(SUM([3]H7!$Q$46,[3]H7!$X$46)/1000)/K149</f>
        <v>#DIV/0!</v>
      </c>
      <c r="L151" s="20" t="e">
        <f>-(SUM([3]H7!$Q$47,[3]H7!$X$47)/1000)/L149</f>
        <v>#DIV/0!</v>
      </c>
      <c r="M151" s="6"/>
      <c r="N151" s="20" t="e">
        <f>-(SUM([3]H7!$EO$45,[3]H7!$EV$45)/1000)/N149</f>
        <v>#DIV/0!</v>
      </c>
      <c r="O151" s="20" t="e">
        <f>-(SUM([3]H7!$EO$46,[3]H7!$EV$46)/1000)/O149</f>
        <v>#DIV/0!</v>
      </c>
      <c r="P151" s="20" t="e">
        <f>-(SUM([3]H7!$EO$47,[3]H7!$EV$47)/1000)/P149</f>
        <v>#DIV/0!</v>
      </c>
      <c r="Q151" s="6"/>
    </row>
    <row r="152" spans="2:20" ht="19.5" customHeight="1" outlineLevel="1" x14ac:dyDescent="0.25">
      <c r="B152" s="204"/>
      <c r="C152" s="9"/>
      <c r="D152" s="14" t="s">
        <v>94</v>
      </c>
      <c r="E152" s="6"/>
      <c r="F152" s="20">
        <f>0</f>
        <v>0</v>
      </c>
      <c r="G152" s="20">
        <f>0</f>
        <v>0</v>
      </c>
      <c r="H152" s="20">
        <f>0</f>
        <v>0</v>
      </c>
      <c r="I152" s="6"/>
      <c r="J152" s="20" t="e">
        <f>-(SUM([3]H7!$P$45,[3]H7!$W$45)/1000)/J149</f>
        <v>#DIV/0!</v>
      </c>
      <c r="K152" s="20" t="e">
        <f>-(SUM([3]H7!$P$46,[3]H7!$W$46)/1000)/K149</f>
        <v>#DIV/0!</v>
      </c>
      <c r="L152" s="20" t="e">
        <f>-(SUM([3]H7!$P$47,[3]H7!$W$47)/1000)/L149</f>
        <v>#DIV/0!</v>
      </c>
      <c r="M152" s="6"/>
      <c r="N152" s="20" t="e">
        <f>-(SUM([3]H7!$EN$45,[3]H7!$EU$45)/1000)/N149</f>
        <v>#DIV/0!</v>
      </c>
      <c r="O152" s="20" t="e">
        <f>-(SUM([3]H7!$EN$46,[3]H7!$EU$46)/1000)/O149</f>
        <v>#DIV/0!</v>
      </c>
      <c r="P152" s="20" t="e">
        <f>-(SUM([3]H7!$EN$47,[3]H7!$EU$47)/1000)/P149</f>
        <v>#DIV/0!</v>
      </c>
      <c r="Q152" s="6"/>
    </row>
    <row r="153" spans="2:20" ht="19.5" customHeight="1" outlineLevel="2" x14ac:dyDescent="0.25">
      <c r="B153" s="204"/>
      <c r="C153" s="9"/>
      <c r="D153" s="14" t="s">
        <v>95</v>
      </c>
      <c r="E153" s="7"/>
      <c r="F153" s="20">
        <v>0.69867287237299669</v>
      </c>
      <c r="G153" s="20">
        <v>0.47692328662020228</v>
      </c>
      <c r="H153" s="20">
        <v>0.60636957427339333</v>
      </c>
      <c r="I153" s="7"/>
      <c r="J153" s="20" t="e">
        <f>+J150+J151+J152</f>
        <v>#DIV/0!</v>
      </c>
      <c r="K153" s="20" t="e">
        <f>+K150+K151+K152</f>
        <v>#DIV/0!</v>
      </c>
      <c r="L153" s="20" t="e">
        <f>+L150+L151+L152</f>
        <v>#DIV/0!</v>
      </c>
      <c r="M153" s="7"/>
      <c r="N153" s="20" t="e">
        <f>+N150+N151+N152</f>
        <v>#DIV/0!</v>
      </c>
      <c r="O153" s="20" t="e">
        <f>+O150+O151+O152</f>
        <v>#DIV/0!</v>
      </c>
      <c r="P153" s="20" t="e">
        <f>+P150+P151+P152</f>
        <v>#DIV/0!</v>
      </c>
      <c r="Q153" s="7"/>
    </row>
    <row r="154" spans="2:20" ht="20.149999999999999" customHeight="1" outlineLevel="1" x14ac:dyDescent="0.25">
      <c r="B154" s="204"/>
      <c r="C154" s="9"/>
      <c r="D154" s="14" t="s">
        <v>96</v>
      </c>
      <c r="E154" s="7"/>
      <c r="F154" s="20">
        <v>5.6663226777895473E-3</v>
      </c>
      <c r="G154" s="20">
        <v>-2.030074194838988E-3</v>
      </c>
      <c r="H154" s="20">
        <v>0</v>
      </c>
      <c r="I154" s="7"/>
      <c r="J154" s="20" t="e">
        <f>-(SUM([3]H7!$AC$45:$AK$45)/1000)/J149</f>
        <v>#DIV/0!</v>
      </c>
      <c r="K154" s="20" t="e">
        <f>-(SUM([3]H7!$AC$46:$AK$46)/1000)/K149</f>
        <v>#DIV/0!</v>
      </c>
      <c r="L154" s="20" t="e">
        <f>-(SUM([3]H7!$AC$47:$AK$47)/1000)/L149</f>
        <v>#DIV/0!</v>
      </c>
      <c r="M154" s="7"/>
      <c r="N154" s="20" t="e">
        <f>-(SUM([3]H7!$FA$45:$FI$45)/1000)/N149</f>
        <v>#DIV/0!</v>
      </c>
      <c r="O154" s="20" t="e">
        <f>-(SUM([3]H7!$FA$46:$FI$46)/1000)/O149</f>
        <v>#DIV/0!</v>
      </c>
      <c r="P154" s="20" t="e">
        <f>-(SUM([3]H7!$FA$47:$FI$47)/1000)/P149</f>
        <v>#DIV/0!</v>
      </c>
      <c r="Q154" s="7"/>
    </row>
    <row r="155" spans="2:20" ht="20.149999999999999" customHeight="1" outlineLevel="2" x14ac:dyDescent="0.25">
      <c r="B155" s="204"/>
      <c r="C155" s="9"/>
      <c r="D155" s="15" t="s">
        <v>87</v>
      </c>
      <c r="E155" s="7"/>
      <c r="F155" s="20">
        <v>0.14842470046481682</v>
      </c>
      <c r="G155" s="20">
        <v>0.14479700052177655</v>
      </c>
      <c r="H155" s="20">
        <v>0.14035990349661451</v>
      </c>
      <c r="I155" s="7"/>
      <c r="J155" s="20" t="e">
        <f>-(SUM([3]H7!$AL$45:$AN$45)/1000)/J149</f>
        <v>#DIV/0!</v>
      </c>
      <c r="K155" s="20" t="e">
        <f>-(SUM([3]H7!$AL$46:$AN$46)/1000)/K149</f>
        <v>#DIV/0!</v>
      </c>
      <c r="L155" s="20" t="e">
        <f>-(SUM([3]H7!$AL$47:$AN$47)/1000)/L149</f>
        <v>#DIV/0!</v>
      </c>
      <c r="M155" s="7"/>
      <c r="N155" s="20" t="e">
        <f>-(SUM([3]H7!$FJ$45:$FL$45)/1000)/N149</f>
        <v>#DIV/0!</v>
      </c>
      <c r="O155" s="20" t="e">
        <f>-(SUM([3]H7!$FJ$46:$FL$46)/1000)/O149</f>
        <v>#DIV/0!</v>
      </c>
      <c r="P155" s="20" t="e">
        <f>-(SUM([3]H7!$FJ$47:$FL$47)/1000)/P149</f>
        <v>#DIV/0!</v>
      </c>
      <c r="Q155" s="7"/>
    </row>
    <row r="156" spans="2:20" ht="20.149999999999999" customHeight="1" outlineLevel="2" x14ac:dyDescent="0.25">
      <c r="B156" s="204"/>
      <c r="C156" s="9"/>
      <c r="D156" s="15" t="s">
        <v>88</v>
      </c>
      <c r="E156" s="7"/>
      <c r="F156" s="20">
        <v>0.10688467614687169</v>
      </c>
      <c r="G156" s="20">
        <v>0.1200591187154131</v>
      </c>
      <c r="H156" s="20">
        <v>0.12893493499093631</v>
      </c>
      <c r="I156" s="7"/>
      <c r="J156" s="20" t="e">
        <f>-(SUM([3]H7!$AO$45:$AR$45)/1000)/J149</f>
        <v>#DIV/0!</v>
      </c>
      <c r="K156" s="20" t="e">
        <f>-(SUM([3]H7!$AO$46:$AR$46)/1000)/K149</f>
        <v>#DIV/0!</v>
      </c>
      <c r="L156" s="20" t="e">
        <f>-(SUM([3]H7!$AO$47:$AR$47)/1000)/L149</f>
        <v>#DIV/0!</v>
      </c>
      <c r="M156" s="7"/>
      <c r="N156" s="20" t="e">
        <f>-(SUM([3]H7!$FM$45:$FP$45)/1000)/N149</f>
        <v>#DIV/0!</v>
      </c>
      <c r="O156" s="20" t="e">
        <f>-(SUM([3]H7!$FM$46:$FP$46)/1000)/O149</f>
        <v>#DIV/0!</v>
      </c>
      <c r="P156" s="20" t="e">
        <f>-(SUM([3]H7!$FM$47:$FP$47)/1000)/P149</f>
        <v>#DIV/0!</v>
      </c>
      <c r="Q156" s="7"/>
    </row>
    <row r="157" spans="2:20" ht="20.149999999999999" customHeight="1" outlineLevel="1" x14ac:dyDescent="0.25">
      <c r="B157" s="204"/>
      <c r="C157" s="9"/>
      <c r="D157" s="14" t="s">
        <v>97</v>
      </c>
      <c r="E157" s="7"/>
      <c r="F157" s="20">
        <v>0.25530937661168845</v>
      </c>
      <c r="G157" s="20">
        <v>0.2648561192371896</v>
      </c>
      <c r="H157" s="20">
        <v>0.26929483848755081</v>
      </c>
      <c r="I157" s="7"/>
      <c r="J157" s="20" t="e">
        <f>+J155+J156</f>
        <v>#DIV/0!</v>
      </c>
      <c r="K157" s="20" t="e">
        <f>+K155+K156</f>
        <v>#DIV/0!</v>
      </c>
      <c r="L157" s="20" t="e">
        <f>+L155+L156</f>
        <v>#DIV/0!</v>
      </c>
      <c r="M157" s="7"/>
      <c r="N157" s="20" t="e">
        <f>+N155+N156</f>
        <v>#DIV/0!</v>
      </c>
      <c r="O157" s="20" t="e">
        <f>+O155+O156</f>
        <v>#DIV/0!</v>
      </c>
      <c r="P157" s="20" t="e">
        <f>+P155+P156</f>
        <v>#DIV/0!</v>
      </c>
      <c r="Q157" s="7"/>
    </row>
    <row r="158" spans="2:20" ht="20.149999999999999" customHeight="1" outlineLevel="1" x14ac:dyDescent="0.25">
      <c r="B158" s="204"/>
      <c r="C158" s="9"/>
      <c r="D158" s="14" t="s">
        <v>90</v>
      </c>
      <c r="E158" s="7"/>
      <c r="F158" s="20"/>
      <c r="G158" s="20"/>
      <c r="H158" s="20"/>
      <c r="I158" s="7"/>
      <c r="J158" s="20" t="e">
        <f>-(SUM([3]H7!$AT$45:$BJ$45)/1000/J149)</f>
        <v>#DIV/0!</v>
      </c>
      <c r="K158" s="20" t="e">
        <f>-(SUM([3]H7!$AT$46:$BJ$46)/1000/K149)</f>
        <v>#DIV/0!</v>
      </c>
      <c r="L158" s="20" t="e">
        <f>-(SUM([3]H7!$AT$47:$BJ$47)/1000/L149)</f>
        <v>#DIV/0!</v>
      </c>
      <c r="M158" s="7"/>
      <c r="N158" s="20" t="e">
        <f>-(SUM([3]H7!$FR$45:$GH$45)/1000/N149)</f>
        <v>#DIV/0!</v>
      </c>
      <c r="O158" s="20" t="e">
        <f>-(SUM([3]H7!$FR$46:$GH$46)/1000/O149)</f>
        <v>#DIV/0!</v>
      </c>
      <c r="P158" s="20" t="e">
        <f>-(SUM([3]H7!$FR$47:$GH$47)/1000/P149)</f>
        <v>#DIV/0!</v>
      </c>
      <c r="Q158" s="7"/>
    </row>
    <row r="159" spans="2:20" ht="20.149999999999999" customHeight="1" outlineLevel="1" x14ac:dyDescent="0.25">
      <c r="B159" s="204"/>
      <c r="C159" s="9"/>
      <c r="D159" s="14" t="s">
        <v>79</v>
      </c>
      <c r="E159" s="8"/>
      <c r="F159" s="20">
        <v>0.95964857166247464</v>
      </c>
      <c r="G159" s="20">
        <v>0.73974933166255308</v>
      </c>
      <c r="H159" s="20">
        <v>0.8756644127609442</v>
      </c>
      <c r="I159" s="8"/>
      <c r="J159" s="20" t="e">
        <f>+J153+J154+J157+J158</f>
        <v>#DIV/0!</v>
      </c>
      <c r="K159" s="20" t="e">
        <f>+K153+K154+K157+K158</f>
        <v>#DIV/0!</v>
      </c>
      <c r="L159" s="20" t="e">
        <f>+L153+L154+L157+L158</f>
        <v>#DIV/0!</v>
      </c>
      <c r="M159" s="8"/>
      <c r="N159" s="20" t="e">
        <f>+N153+N154+N157+N158</f>
        <v>#DIV/0!</v>
      </c>
      <c r="O159" s="20" t="e">
        <f>+O153+O154+O157+O158</f>
        <v>#DIV/0!</v>
      </c>
      <c r="P159" s="20" t="e">
        <f>+P153+P154+P157+P158</f>
        <v>#DIV/0!</v>
      </c>
      <c r="Q159" s="8"/>
    </row>
    <row r="160" spans="2:20" ht="19.5" customHeight="1" outlineLevel="1" x14ac:dyDescent="0.25">
      <c r="B160" s="204"/>
      <c r="C160" s="9"/>
      <c r="D160" s="14" t="s">
        <v>34</v>
      </c>
      <c r="E160" s="6"/>
      <c r="F160" s="19">
        <v>1.5694640300000162</v>
      </c>
      <c r="G160" s="19">
        <v>8.946853150000015</v>
      </c>
      <c r="H160" s="19">
        <v>4.3244638034730354</v>
      </c>
      <c r="I160" s="6"/>
      <c r="J160" s="19">
        <f>+[3]H7!$BK$45/1000</f>
        <v>-8.5186120000000004E-2</v>
      </c>
      <c r="K160" s="19">
        <f>+[3]H7!$BK$46/1000</f>
        <v>-8.5440189999999999E-2</v>
      </c>
      <c r="L160" s="19">
        <f>+[3]H7!$BK$47/1000</f>
        <v>-8.8812571213669877E-3</v>
      </c>
      <c r="M160" s="6"/>
      <c r="N160" s="19">
        <f>+[3]H7!$GI$45/1000</f>
        <v>-3.3312930000000011E-2</v>
      </c>
      <c r="O160" s="19">
        <f>+[3]H7!$GI$46/1000</f>
        <v>1.2281429999999987E-2</v>
      </c>
      <c r="P160" s="19">
        <f>+[3]H7!$GI$47/1000</f>
        <v>-2.9604190404556628E-3</v>
      </c>
      <c r="Q160" s="6"/>
      <c r="T160" s="34"/>
    </row>
    <row r="161" spans="2:20" ht="7.5" customHeight="1" outlineLevel="1" x14ac:dyDescent="0.25">
      <c r="D161" s="21"/>
      <c r="E161" s="22"/>
      <c r="F161" s="8"/>
      <c r="G161" s="8"/>
      <c r="H161" s="8"/>
      <c r="I161" s="8"/>
      <c r="J161" s="8"/>
      <c r="K161" s="8"/>
      <c r="L161" s="8"/>
      <c r="M161" s="8"/>
      <c r="N161" s="6"/>
      <c r="O161" s="8"/>
      <c r="P161" s="8"/>
      <c r="Q161" s="8"/>
    </row>
    <row r="162" spans="2:20" ht="19.5" customHeight="1" outlineLevel="1" x14ac:dyDescent="0.25">
      <c r="B162" s="204" t="s">
        <v>107</v>
      </c>
      <c r="C162" s="9"/>
      <c r="D162" s="14" t="s">
        <v>19</v>
      </c>
      <c r="E162" s="6"/>
      <c r="F162" s="19">
        <v>4.6081165099999994</v>
      </c>
      <c r="G162" s="19">
        <v>4.81530491</v>
      </c>
      <c r="H162" s="19">
        <v>4.6299022050921828</v>
      </c>
      <c r="I162" s="6"/>
      <c r="J162" s="19">
        <f>+[3]H7!$C$53/1000</f>
        <v>1.6938872899999993</v>
      </c>
      <c r="K162" s="19">
        <f>+[3]H7!$C$54/1000</f>
        <v>3.5677584099999984</v>
      </c>
      <c r="L162" s="19">
        <f>+[3]H7!$C$55/1000</f>
        <v>1.6240091886022801</v>
      </c>
      <c r="M162" s="6"/>
      <c r="N162" s="19">
        <f>+[3]H7!$EA$53/1000</f>
        <v>0.39347853999999982</v>
      </c>
      <c r="O162" s="19">
        <f>+[3]H7!$EA$54/1000</f>
        <v>0.35664879999999993</v>
      </c>
      <c r="P162" s="19">
        <f>+[3]H7!$EA$55/1000</f>
        <v>0.34088768123981028</v>
      </c>
      <c r="Q162" s="6"/>
    </row>
    <row r="163" spans="2:20" ht="20.149999999999999" customHeight="1" outlineLevel="1" x14ac:dyDescent="0.25">
      <c r="B163" s="204"/>
      <c r="C163" s="9"/>
      <c r="D163" s="14" t="s">
        <v>20</v>
      </c>
      <c r="E163" s="6"/>
      <c r="F163" s="19">
        <v>-1.7088570000000278E-2</v>
      </c>
      <c r="G163" s="19">
        <v>-2.7836631900000022</v>
      </c>
      <c r="H163" s="19">
        <v>0.52833225436411024</v>
      </c>
      <c r="I163" s="6"/>
      <c r="J163" s="19">
        <f>+[3]H7!$N$53/1000</f>
        <v>0.7463905099999999</v>
      </c>
      <c r="K163" s="19">
        <f>+[3]H7!$N$54/1000</f>
        <v>2.7699496499999996</v>
      </c>
      <c r="L163" s="19">
        <f>+[3]H7!$N$55/1000</f>
        <v>1.4764108182325062</v>
      </c>
      <c r="M163" s="6"/>
      <c r="N163" s="19">
        <f>+[3]H7!$EL$53/1000</f>
        <v>0.46676953000000049</v>
      </c>
      <c r="O163" s="19">
        <f>+[3]H7!$EL$54/1000</f>
        <v>0.93294826999999991</v>
      </c>
      <c r="P163" s="19">
        <f>+[3]H7!$EL$55/1000</f>
        <v>0.49213693941083536</v>
      </c>
      <c r="Q163" s="6"/>
    </row>
    <row r="164" spans="2:20" ht="19.5" customHeight="1" outlineLevel="1" x14ac:dyDescent="0.25">
      <c r="B164" s="204"/>
      <c r="C164" s="9"/>
      <c r="D164" s="14" t="s">
        <v>92</v>
      </c>
      <c r="E164" s="6"/>
      <c r="F164" s="20">
        <f>F167-F165-F166</f>
        <v>-0.76858040198798272</v>
      </c>
      <c r="G164" s="20">
        <f>G167-G165-G166</f>
        <v>-2.335659724695354E-3</v>
      </c>
      <c r="H164" s="20">
        <f>H167-H165-H166</f>
        <v>0.20755285761585987</v>
      </c>
      <c r="I164" s="6"/>
      <c r="J164" s="20">
        <f>-(SUM([3]Retail!$O$53,[3]Retail!$R$53:$V$53,[3]Retail!$Y$53:$AB$53)/1000)/J163</f>
        <v>0.30269534107554502</v>
      </c>
      <c r="K164" s="20">
        <f>-(SUM([3]Retail!$O$54,[3]Retail!$R$54:$V$54,[3]Retail!$Y$54:$AB$54)/1000)/K163</f>
        <v>7.658082160446493E-2</v>
      </c>
      <c r="L164" s="20">
        <f>-(SUM([3]Retail!$O$55,[3]Retail!$R$55:$V$55,[3]Retail!$Y$55:$AB$55)/1000)/L163</f>
        <v>0.1586915821708163</v>
      </c>
      <c r="M164" s="6"/>
      <c r="N164" s="20">
        <f>-(SUM([3]H7!$EM$53,[3]H7!$EP$53:$ET$53,[3]H7!$EW$53:$EZ$53)/1000)/N163</f>
        <v>0.21276890117484723</v>
      </c>
      <c r="O164" s="20">
        <f>-(SUM([3]H7!$EM$54,[3]H7!$EP$54:$ET$54,[3]H7!$EW$54:$EZ$54)/1000)/O163</f>
        <v>0.19125112906849598</v>
      </c>
      <c r="P164" s="20">
        <f>-(SUM([3]H7!$EM$55,[3]H7!$EP$55:$ET$55,[3]H7!$EW$55:$EZ$55)/1000)/P163</f>
        <v>0.19403275475448087</v>
      </c>
      <c r="Q164" s="6"/>
    </row>
    <row r="165" spans="2:20" ht="19.5" customHeight="1" outlineLevel="1" x14ac:dyDescent="0.25">
      <c r="B165" s="204"/>
      <c r="C165" s="9"/>
      <c r="D165" s="14" t="s">
        <v>93</v>
      </c>
      <c r="E165" s="6"/>
      <c r="F165" s="20">
        <f>0</f>
        <v>0</v>
      </c>
      <c r="G165" s="20">
        <f>0</f>
        <v>0</v>
      </c>
      <c r="H165" s="20">
        <f>0</f>
        <v>0</v>
      </c>
      <c r="I165" s="6"/>
      <c r="J165" s="20">
        <f>-(SUM([3]Retail!$Q$53,[3]Retail!$X$53)/1000)/J163</f>
        <v>0</v>
      </c>
      <c r="K165" s="20">
        <f>-(SUM([3]Retail!$Q$54,[3]Retail!$X$54)/1000)/K163</f>
        <v>0</v>
      </c>
      <c r="L165" s="20">
        <f>-(SUM([3]Retail!$Q$55,[3]Retail!$X$55)/1000)/L163</f>
        <v>0</v>
      </c>
      <c r="M165" s="6"/>
      <c r="N165" s="20">
        <f>-(SUM([3]H7!$EO$53,[3]H7!$EV$53)/1000)/N163</f>
        <v>0</v>
      </c>
      <c r="O165" s="20">
        <f>-(SUM([3]H7!$EO$54,[3]H7!$EV$54)/1000)/O163</f>
        <v>0</v>
      </c>
      <c r="P165" s="20">
        <f>-(SUM([3]H7!$EO$55,[3]H7!$EV$55)/1000)/P163</f>
        <v>0</v>
      </c>
      <c r="Q165" s="6"/>
    </row>
    <row r="166" spans="2:20" ht="19.5" customHeight="1" outlineLevel="1" x14ac:dyDescent="0.25">
      <c r="B166" s="204"/>
      <c r="C166" s="9"/>
      <c r="D166" s="14" t="s">
        <v>94</v>
      </c>
      <c r="E166" s="6"/>
      <c r="F166" s="20">
        <f>0</f>
        <v>0</v>
      </c>
      <c r="G166" s="20">
        <f>0</f>
        <v>0</v>
      </c>
      <c r="H166" s="20">
        <f>0</f>
        <v>0</v>
      </c>
      <c r="I166" s="6"/>
      <c r="J166" s="20">
        <f>-(SUM([3]Retail!$P$53,[3]Retail!$W$53)/1000)/J163</f>
        <v>0</v>
      </c>
      <c r="K166" s="20">
        <f>-(SUM([3]Retail!$P$54,[3]Retail!$W$54)/1000)/K163</f>
        <v>0</v>
      </c>
      <c r="L166" s="20">
        <f>-(SUM([3]Retail!$P$55,[3]Retail!$W$55)/1000)/L163</f>
        <v>0</v>
      </c>
      <c r="M166" s="6"/>
      <c r="N166" s="20">
        <f>-(SUM([3]H7!$EN$53,[3]H7!$EU$53)/1000)/N163</f>
        <v>0</v>
      </c>
      <c r="O166" s="20">
        <f>-(SUM([3]H7!$EN$54,[3]H7!$EU$54)/1000)/O163</f>
        <v>0</v>
      </c>
      <c r="P166" s="20">
        <f>-(SUM([3]H7!$EN$55,[3]H7!$EU$55)/1000)/P163</f>
        <v>0</v>
      </c>
      <c r="Q166" s="6"/>
    </row>
    <row r="167" spans="2:20" ht="19.5" customHeight="1" outlineLevel="2" x14ac:dyDescent="0.25">
      <c r="B167" s="204"/>
      <c r="C167" s="9"/>
      <c r="D167" s="14" t="s">
        <v>95</v>
      </c>
      <c r="E167" s="7"/>
      <c r="F167" s="20">
        <v>-0.76858040198798272</v>
      </c>
      <c r="G167" s="20">
        <v>-2.335659724695354E-3</v>
      </c>
      <c r="H167" s="20">
        <v>0.20755285761585987</v>
      </c>
      <c r="I167" s="7"/>
      <c r="J167" s="20">
        <f>+J164+J165+J166</f>
        <v>0.30269534107554502</v>
      </c>
      <c r="K167" s="20">
        <f>+K164+K165+K166</f>
        <v>7.658082160446493E-2</v>
      </c>
      <c r="L167" s="20">
        <f>+L164+L165+L166</f>
        <v>0.1586915821708163</v>
      </c>
      <c r="M167" s="7"/>
      <c r="N167" s="20">
        <f>+N164+N165+N166</f>
        <v>0.21276890117484723</v>
      </c>
      <c r="O167" s="20">
        <f>+O164+O165+O166</f>
        <v>0.19125112906849598</v>
      </c>
      <c r="P167" s="20">
        <f>+P164+P165+P166</f>
        <v>0.19403275475448087</v>
      </c>
      <c r="Q167" s="7"/>
    </row>
    <row r="168" spans="2:20" ht="20.149999999999999" customHeight="1" outlineLevel="1" x14ac:dyDescent="0.25">
      <c r="B168" s="204"/>
      <c r="C168" s="9"/>
      <c r="D168" s="14" t="s">
        <v>96</v>
      </c>
      <c r="E168" s="7"/>
      <c r="F168" s="20">
        <v>-2.4574701101379057</v>
      </c>
      <c r="G168" s="20">
        <v>4.1963995651356077E-2</v>
      </c>
      <c r="H168" s="20">
        <v>0</v>
      </c>
      <c r="I168" s="7"/>
      <c r="J168" s="20">
        <f>-(SUM([3]Retail!$AC$53:$AK$53)/1000)/J163</f>
        <v>-2.3267147916979813</v>
      </c>
      <c r="K168" s="20">
        <f>-(SUM([3]Retail!$AC$54:$AK$54)/1000)/K163</f>
        <v>-0.16514753255533005</v>
      </c>
      <c r="L168" s="20">
        <f>-(SUM([3]Retail!$AC$55:$AK$55)/1000)/L163</f>
        <v>-2.6239887567289615E-3</v>
      </c>
      <c r="M168" s="7"/>
      <c r="N168" s="20">
        <f>-(SUM([3]H7!$FA$53:$FI$53)/1000)/N163</f>
        <v>-3.3739858726425398</v>
      </c>
      <c r="O168" s="20">
        <f>-(SUM([3]H7!$FA$54:$FI$54)/1000)/O163</f>
        <v>-0.6534855785733974</v>
      </c>
      <c r="P168" s="20">
        <f>-(SUM([3]H7!$FA$55:$FI$55)/1000)/P163</f>
        <v>-4.9847016384305066E-3</v>
      </c>
      <c r="Q168" s="7"/>
    </row>
    <row r="169" spans="2:20" ht="20.149999999999999" customHeight="1" outlineLevel="2" x14ac:dyDescent="0.25">
      <c r="B169" s="204"/>
      <c r="C169" s="9"/>
      <c r="D169" s="15" t="s">
        <v>87</v>
      </c>
      <c r="E169" s="7"/>
      <c r="F169" s="20" t="e">
        <v>#VALUE!</v>
      </c>
      <c r="G169" s="20">
        <v>0.69392591637496137</v>
      </c>
      <c r="H169" s="20">
        <v>0</v>
      </c>
      <c r="I169" s="7"/>
      <c r="J169" s="20">
        <f>-(SUM([3]Retail!$AL$53:$AN$53)/1000)/J163</f>
        <v>0.3732344614081442</v>
      </c>
      <c r="K169" s="20">
        <f>-(SUM([3]Retail!$AL$54:$AN$54)/1000)/K163</f>
        <v>9.1739602559201688E-2</v>
      </c>
      <c r="L169" s="20">
        <f>-(SUM([3]Retail!$AL$55:$AN$55)/1000)/L163</f>
        <v>0.20159294539464012</v>
      </c>
      <c r="M169" s="7"/>
      <c r="N169" s="20">
        <f>-(SUM([3]H7!$FJ$53:$FL$53)/1000)/N163</f>
        <v>0.25638074533271221</v>
      </c>
      <c r="O169" s="20">
        <f>-(SUM([3]H7!$FJ$54:$FL$54)/1000)/O163</f>
        <v>0.18609607368691516</v>
      </c>
      <c r="P169" s="20">
        <f>-(SUM([3]H7!$FJ$55:$FL$55)/1000)/P163</f>
        <v>0.242887555248648</v>
      </c>
      <c r="Q169" s="7"/>
    </row>
    <row r="170" spans="2:20" ht="20.149999999999999" customHeight="1" outlineLevel="2" x14ac:dyDescent="0.25">
      <c r="B170" s="204"/>
      <c r="C170" s="9"/>
      <c r="D170" s="15" t="s">
        <v>88</v>
      </c>
      <c r="E170" s="7"/>
      <c r="F170" s="20">
        <v>-5.5305411745979018</v>
      </c>
      <c r="G170" s="20">
        <v>-0.23070346739757674</v>
      </c>
      <c r="H170" s="20">
        <v>0.26671487523132692</v>
      </c>
      <c r="I170" s="7"/>
      <c r="J170" s="20">
        <f>-(SUM([3]Retail!$AO$53:$AR$53)/1000)/J163</f>
        <v>0.49215643162451245</v>
      </c>
      <c r="K170" s="20">
        <f>-(SUM([3]Retail!$AO$54:$AR$54)/1000)/K163</f>
        <v>9.5819102704628595E-2</v>
      </c>
      <c r="L170" s="20">
        <f>-(SUM([3]Retail!$AO$55:$AR$55)/1000)/L163</f>
        <v>0.24593065263505437</v>
      </c>
      <c r="M170" s="7"/>
      <c r="N170" s="20">
        <f>-(SUM([3]H7!$FM$53:$FP$53)/1000)/N163</f>
        <v>0.26350762441584363</v>
      </c>
      <c r="O170" s="20">
        <f>-(SUM([3]H7!$FM$54:$FP$54)/1000)/O163</f>
        <v>0.12615470094606643</v>
      </c>
      <c r="P170" s="20">
        <f>-(SUM([3]H7!$FM$55:$FP$55)/1000)/P163</f>
        <v>0.28200949749689863</v>
      </c>
      <c r="Q170" s="7"/>
    </row>
    <row r="171" spans="2:20" ht="20.149999999999999" customHeight="1" outlineLevel="1" x14ac:dyDescent="0.25">
      <c r="B171" s="204"/>
      <c r="C171" s="9"/>
      <c r="D171" s="14" t="s">
        <v>97</v>
      </c>
      <c r="E171" s="7"/>
      <c r="F171" s="20" t="e">
        <v>#VALUE!</v>
      </c>
      <c r="G171" s="20">
        <v>0.46322244897738468</v>
      </c>
      <c r="H171" s="20">
        <v>0.26671487523132692</v>
      </c>
      <c r="I171" s="7"/>
      <c r="J171" s="20">
        <f>+J169+J170</f>
        <v>0.86539089303265659</v>
      </c>
      <c r="K171" s="20">
        <f>+K169+K170</f>
        <v>0.18755870526383028</v>
      </c>
      <c r="L171" s="20">
        <f>+L169+L170</f>
        <v>0.44752359802969449</v>
      </c>
      <c r="M171" s="7"/>
      <c r="N171" s="20">
        <f>+N169+N170</f>
        <v>0.5198883697485559</v>
      </c>
      <c r="O171" s="20">
        <f>+O169+O170</f>
        <v>0.31225077463298156</v>
      </c>
      <c r="P171" s="20">
        <f>+P169+P170</f>
        <v>0.52489705274554666</v>
      </c>
      <c r="Q171" s="7"/>
    </row>
    <row r="172" spans="2:20" ht="20.149999999999999" customHeight="1" outlineLevel="1" x14ac:dyDescent="0.25">
      <c r="B172" s="204"/>
      <c r="C172" s="9"/>
      <c r="D172" s="14" t="s">
        <v>90</v>
      </c>
      <c r="E172" s="7"/>
      <c r="F172" s="20"/>
      <c r="G172" s="20"/>
      <c r="H172" s="20"/>
      <c r="I172" s="7"/>
      <c r="J172" s="20">
        <f>-(SUM([3]Retail!$AT$53:$BJ$53)/1000/J163)</f>
        <v>3.7424926530751315E-2</v>
      </c>
      <c r="K172" s="20">
        <f>-(SUM([3]Retail!$AT$54:$BJ$54)/1000/K163)</f>
        <v>5.6880528496249033E-3</v>
      </c>
      <c r="L172" s="20">
        <f>-(SUM([3]Retail!$AT$55:$BJ$55)/1000/L163)</f>
        <v>1.4004079586195865E-2</v>
      </c>
      <c r="M172" s="7"/>
      <c r="N172" s="20">
        <f>-(SUM([3]H7!$FR$53:$GH$53)/1000/N163)</f>
        <v>2.1368382807678107E-2</v>
      </c>
      <c r="O172" s="20">
        <f>-(SUM([3]H7!$FR$54:$GH$54)/1000/O163)</f>
        <v>6.0064637881798123E-3</v>
      </c>
      <c r="P172" s="20">
        <f>-(SUM([3]H7!$FR$55:$GH$55)/1000/P163)</f>
        <v>1.8148446273217485E-2</v>
      </c>
      <c r="Q172" s="7"/>
    </row>
    <row r="173" spans="2:20" ht="20.149999999999999" customHeight="1" outlineLevel="1" x14ac:dyDescent="0.25">
      <c r="B173" s="204"/>
      <c r="C173" s="9"/>
      <c r="D173" s="14" t="s">
        <v>79</v>
      </c>
      <c r="E173" s="8"/>
      <c r="F173" s="20" t="e">
        <v>#VALUE!</v>
      </c>
      <c r="G173" s="20">
        <v>0.50285078490404533</v>
      </c>
      <c r="H173" s="20">
        <v>0.47426773284718676</v>
      </c>
      <c r="I173" s="8"/>
      <c r="J173" s="20">
        <f>+J167+J168+J171+J172</f>
        <v>-1.1212036310590283</v>
      </c>
      <c r="K173" s="20">
        <f>+K167+K168+K171+K172</f>
        <v>0.10468004716259006</v>
      </c>
      <c r="L173" s="20">
        <f>+L167+L168+L171+L172</f>
        <v>0.61759527102997769</v>
      </c>
      <c r="M173" s="8"/>
      <c r="N173" s="20">
        <f>+N167+N168+N171+N172</f>
        <v>-2.6199602189114581</v>
      </c>
      <c r="O173" s="20">
        <f>+O167+O168+O171+O172</f>
        <v>-0.14397721108374006</v>
      </c>
      <c r="P173" s="20">
        <f>+P167+P168+P171+P172</f>
        <v>0.73209355213481442</v>
      </c>
      <c r="Q173" s="8"/>
    </row>
    <row r="174" spans="2:20" ht="19.5" customHeight="1" outlineLevel="1" x14ac:dyDescent="0.25">
      <c r="B174" s="204"/>
      <c r="C174" s="9"/>
      <c r="D174" s="14" t="s">
        <v>34</v>
      </c>
      <c r="E174" s="6"/>
      <c r="F174" s="19">
        <v>1.0582190099999995</v>
      </c>
      <c r="G174" s="19">
        <v>-1.3838959700000022</v>
      </c>
      <c r="H174" s="19">
        <v>0.27776131389680048</v>
      </c>
      <c r="I174" s="6"/>
      <c r="J174" s="19">
        <f>+[3]H7!$BK$53/1000</f>
        <v>1.5649708300000003</v>
      </c>
      <c r="K174" s="19">
        <f>+[3]H7!$BK$54/1000</f>
        <v>2.2798688699999992</v>
      </c>
      <c r="L174" s="19">
        <f>+[3]H7!$BK$55/1000</f>
        <v>0.39553997790240264</v>
      </c>
      <c r="M174" s="6"/>
      <c r="N174" s="19">
        <f>+[3]H7!$GI$53/1000</f>
        <v>1.6896871300000005</v>
      </c>
      <c r="O174" s="19">
        <f>+[3]H7!$GI$54/1000</f>
        <v>1.0672715600000005</v>
      </c>
      <c r="P174" s="19">
        <f>+[3]H7!$GI$55/1000</f>
        <v>0.13184665930080092</v>
      </c>
      <c r="Q174" s="6"/>
      <c r="T174" s="34"/>
    </row>
    <row r="175" spans="2:20" ht="7.5" customHeight="1" outlineLevel="1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2:20" ht="19.5" customHeight="1" x14ac:dyDescent="0.25">
      <c r="B176" s="224" t="s">
        <v>46</v>
      </c>
      <c r="C176" s="9"/>
      <c r="D176" s="17" t="s">
        <v>19</v>
      </c>
      <c r="E176" s="6"/>
      <c r="F176" s="23">
        <v>0</v>
      </c>
      <c r="G176" s="23">
        <v>0</v>
      </c>
      <c r="H176" s="23">
        <v>0</v>
      </c>
      <c r="I176" s="6"/>
      <c r="J176" s="23">
        <f>+[2]H7!$C$65/1000</f>
        <v>56.4342221</v>
      </c>
      <c r="K176" s="23">
        <f>+[2]H7!$C$66/1000</f>
        <v>61.658945810000013</v>
      </c>
      <c r="L176" s="23">
        <f>+[2]H7!$C$67/1000</f>
        <v>59.823618164564145</v>
      </c>
      <c r="M176" s="6"/>
      <c r="N176" s="23">
        <f>+[2]H7!$EA$65/1000</f>
        <v>14.182691410000006</v>
      </c>
      <c r="O176" s="23">
        <f>+[2]H7!$EA$66/1000</f>
        <v>15.648008320000001</v>
      </c>
      <c r="P176" s="23">
        <f>+[2]H7!$EA$67/1000</f>
        <v>15.832290652101854</v>
      </c>
      <c r="Q176" s="6"/>
    </row>
    <row r="177" spans="2:20" ht="20.149999999999999" customHeight="1" x14ac:dyDescent="0.25">
      <c r="B177" s="224"/>
      <c r="C177" s="9"/>
      <c r="D177" s="17" t="s">
        <v>20</v>
      </c>
      <c r="E177" s="6"/>
      <c r="F177" s="23">
        <v>0</v>
      </c>
      <c r="G177" s="23">
        <v>0</v>
      </c>
      <c r="H177" s="23">
        <v>0</v>
      </c>
      <c r="I177" s="6"/>
      <c r="J177" s="23">
        <f>+[2]H7!$N$65/1000</f>
        <v>47.208069029999997</v>
      </c>
      <c r="K177" s="23">
        <f>+[2]H7!$N$66/1000</f>
        <v>50.34853506000001</v>
      </c>
      <c r="L177" s="23">
        <f>+[2]H7!$N$67/1000</f>
        <v>49.50051920200238</v>
      </c>
      <c r="M177" s="6"/>
      <c r="N177" s="23">
        <f>+[2]H7!$EL$65/1000</f>
        <v>16.094248800000013</v>
      </c>
      <c r="O177" s="23">
        <f>+[2]H7!$EL$66/1000</f>
        <v>17.95464617999999</v>
      </c>
      <c r="P177" s="23">
        <f>+[2]H7!$EL$67/1000</f>
        <v>16.500173067334128</v>
      </c>
      <c r="Q177" s="6"/>
    </row>
    <row r="178" spans="2:20" ht="19.5" customHeight="1" x14ac:dyDescent="0.25">
      <c r="B178" s="224"/>
      <c r="C178" s="9"/>
      <c r="D178" s="17" t="s">
        <v>92</v>
      </c>
      <c r="E178" s="6"/>
      <c r="F178" s="24">
        <f>0</f>
        <v>0</v>
      </c>
      <c r="G178" s="24">
        <f>0</f>
        <v>0</v>
      </c>
      <c r="H178" s="24">
        <f>0</f>
        <v>0</v>
      </c>
      <c r="I178" s="6"/>
      <c r="J178" s="24">
        <f>-(SUM([2]H7!$O$65,[2]H7!$R$65:$V$65,[2]H7!$Y$65:$AB$65)/1000)/J177</f>
        <v>0.56515272211264633</v>
      </c>
      <c r="K178" s="24">
        <f>-(SUM([2]H7!$O$66,[2]H7!$R$66:$V$66,[2]H7!$Y$66:$AB$66)/1000)/K177</f>
        <v>0.56990224851241178</v>
      </c>
      <c r="L178" s="24">
        <f>-(SUM([2]H7!$O$67,[2]H7!$R$67:$V$67,[2]H7!$Y$67:$AB$67)/1000)/L177</f>
        <v>0.47840462541764217</v>
      </c>
      <c r="M178" s="6"/>
      <c r="N178" s="24">
        <f>-(SUM([2]H7!$EM$65,[2]H7!$EP$65:$ET$65,[2]H7!$EW$65:$EZ$65)/1000)/N177</f>
        <v>0.61836886758189968</v>
      </c>
      <c r="O178" s="24">
        <f>-(SUM([2]H7!$EM$66,[2]H7!$EP$66:$ET$66,[2]H7!$EW$66:$EZ$66)/1000)/O177</f>
        <v>0.65503565876661118</v>
      </c>
      <c r="P178" s="24">
        <f>-(SUM([2]H7!$EM$67,[2]H7!$EP$67:$ET$67,[2]H7!$EW$67:$EZ$67)/1000)/P177</f>
        <v>0.47840462541764223</v>
      </c>
      <c r="Q178" s="6"/>
    </row>
    <row r="179" spans="2:20" ht="19.5" customHeight="1" x14ac:dyDescent="0.25">
      <c r="B179" s="224"/>
      <c r="C179" s="9"/>
      <c r="D179" s="17" t="s">
        <v>93</v>
      </c>
      <c r="E179" s="6"/>
      <c r="F179" s="24">
        <f>0</f>
        <v>0</v>
      </c>
      <c r="G179" s="24">
        <f>0</f>
        <v>0</v>
      </c>
      <c r="H179" s="24">
        <f>0</f>
        <v>0</v>
      </c>
      <c r="I179" s="6"/>
      <c r="J179" s="24">
        <f>-(SUM([2]H7!$Q$65,[2]H7!$X$65)/1000)/J177</f>
        <v>5.8602140245467955E-2</v>
      </c>
      <c r="K179" s="24">
        <f>-(SUM([2]H7!$Q$66,[2]H7!$X$66)/1000)/K177</f>
        <v>4.5613144399597939E-2</v>
      </c>
      <c r="L179" s="24">
        <f>-(SUM([2]H7!$Q$67,[2]H7!$X$67)/1000)/L177</f>
        <v>5.7838679099789445E-2</v>
      </c>
      <c r="M179" s="6"/>
      <c r="N179" s="24">
        <f>-(SUM([2]H7!$EO$65,[2]H7!$EV$65)/1000)/N177</f>
        <v>6.3111137250633498E-2</v>
      </c>
      <c r="O179" s="24">
        <f>-(SUM([2]H7!$EO$66,[2]H7!$EV$66)/1000)/O177</f>
        <v>4.4664390683207898E-2</v>
      </c>
      <c r="P179" s="24">
        <f>-(SUM([2]H7!$EO$67,[2]H7!$EV$67)/1000)/P177</f>
        <v>5.7838679099789438E-2</v>
      </c>
      <c r="Q179" s="6"/>
    </row>
    <row r="180" spans="2:20" ht="19.5" customHeight="1" x14ac:dyDescent="0.25">
      <c r="B180" s="224"/>
      <c r="C180" s="9"/>
      <c r="D180" s="17" t="s">
        <v>94</v>
      </c>
      <c r="E180" s="6"/>
      <c r="F180" s="24">
        <f>0</f>
        <v>0</v>
      </c>
      <c r="G180" s="24">
        <f>0</f>
        <v>0</v>
      </c>
      <c r="H180" s="24">
        <f>0</f>
        <v>0</v>
      </c>
      <c r="I180" s="6"/>
      <c r="J180" s="24">
        <f>-(SUM([2]H7!$P$65,[2]H7!$W$65)/1000)/J177</f>
        <v>3.8911362776407133E-3</v>
      </c>
      <c r="K180" s="24">
        <f>-(SUM([2]H7!$P$66,[2]H7!$W$66)/1000)/K177</f>
        <v>0</v>
      </c>
      <c r="L180" s="24">
        <f>-(SUM([2]H7!$P$67,[2]H7!$W$67)/1000)/L177</f>
        <v>4.7873919491832888E-2</v>
      </c>
      <c r="M180" s="6"/>
      <c r="N180" s="24">
        <f>-(SUM([2]H7!$EN$65,[2]H7!$EU$65)/1000)/N177</f>
        <v>1.1413582098966923E-2</v>
      </c>
      <c r="O180" s="24">
        <f>-(SUM([2]H7!$EN$66,[2]H7!$EU$66)/1000)/O177</f>
        <v>0</v>
      </c>
      <c r="P180" s="24">
        <f>-(SUM([2]H7!$EN$67,[2]H7!$EU$67)/1000)/P177</f>
        <v>4.7873919491832888E-2</v>
      </c>
      <c r="Q180" s="6"/>
    </row>
    <row r="181" spans="2:20" ht="19.5" customHeight="1" outlineLevel="1" x14ac:dyDescent="0.25">
      <c r="B181" s="224"/>
      <c r="C181" s="9"/>
      <c r="D181" s="17" t="s">
        <v>95</v>
      </c>
      <c r="E181" s="7"/>
      <c r="F181" s="24">
        <v>0</v>
      </c>
      <c r="G181" s="24">
        <v>0</v>
      </c>
      <c r="H181" s="24">
        <v>0</v>
      </c>
      <c r="I181" s="7"/>
      <c r="J181" s="24">
        <f>+J178+J179+J180</f>
        <v>0.62764599863575499</v>
      </c>
      <c r="K181" s="24">
        <f>+K178+K179+K180</f>
        <v>0.61551539291200974</v>
      </c>
      <c r="L181" s="24">
        <f>+L178+L179+L180</f>
        <v>0.58411722400926447</v>
      </c>
      <c r="M181" s="7"/>
      <c r="N181" s="24">
        <f>+N178+N179+N180</f>
        <v>0.69289358693150005</v>
      </c>
      <c r="O181" s="24">
        <f>+O178+O179+O180</f>
        <v>0.69970004944981912</v>
      </c>
      <c r="P181" s="24">
        <f>+P178+P179+P180</f>
        <v>0.58411722400926447</v>
      </c>
      <c r="Q181" s="7"/>
    </row>
    <row r="182" spans="2:20" ht="20.149999999999999" customHeight="1" x14ac:dyDescent="0.25">
      <c r="B182" s="224"/>
      <c r="C182" s="9"/>
      <c r="D182" s="17" t="s">
        <v>96</v>
      </c>
      <c r="E182" s="7"/>
      <c r="F182" s="24">
        <v>0</v>
      </c>
      <c r="G182" s="24">
        <v>0</v>
      </c>
      <c r="H182" s="24">
        <v>0</v>
      </c>
      <c r="I182" s="7"/>
      <c r="J182" s="24">
        <f>-(SUM([2]H7!$AC$65:$AK$65)/1000)/J177</f>
        <v>-0.15057135350066667</v>
      </c>
      <c r="K182" s="24">
        <f>-(SUM([2]H7!$AC$66:$AK$66)/1000)/K177</f>
        <v>-9.7126312695541187E-2</v>
      </c>
      <c r="L182" s="24">
        <f>-(SUM([2]H7!$AC$67:$AK$67)/1000)/L177</f>
        <v>-7.9455663728920673E-3</v>
      </c>
      <c r="M182" s="7"/>
      <c r="N182" s="24">
        <f>-(SUM([2]H7!$FA$65:$FI$65)/1000)/N177</f>
        <v>-0.43537444941201531</v>
      </c>
      <c r="O182" s="24">
        <f>-(SUM([2]H7!$FA$66:$FI$66)/1000)/O177</f>
        <v>-0.1216695766711007</v>
      </c>
      <c r="P182" s="24">
        <f>-(SUM([2]H7!$FA$67:$FI$67)/1000)/P177</f>
        <v>-7.9455663728920291E-3</v>
      </c>
      <c r="Q182" s="7"/>
    </row>
    <row r="183" spans="2:20" ht="20.149999999999999" customHeight="1" outlineLevel="1" x14ac:dyDescent="0.25">
      <c r="B183" s="224"/>
      <c r="C183" s="9"/>
      <c r="D183" s="18" t="s">
        <v>87</v>
      </c>
      <c r="E183" s="7"/>
      <c r="F183" s="24">
        <v>0</v>
      </c>
      <c r="G183" s="24">
        <v>0</v>
      </c>
      <c r="H183" s="24">
        <v>0</v>
      </c>
      <c r="I183" s="7"/>
      <c r="J183" s="24">
        <f>-(SUM([2]H7!$AL$65:$AN$65)/1000)/J177</f>
        <v>0.19660311151684512</v>
      </c>
      <c r="K183" s="24">
        <f>-(SUM([2]H7!$AL$66:$AN$66)/1000)/K177</f>
        <v>0.20011323364211489</v>
      </c>
      <c r="L183" s="24">
        <f>-(SUM([2]H7!$AL$67:$AN$67)/1000)/L177</f>
        <v>0.20314141370221553</v>
      </c>
      <c r="M183" s="7"/>
      <c r="N183" s="24">
        <f>-(SUM([2]H7!$FJ$65:$FL$65)/1000)/N177</f>
        <v>0.1836203451757252</v>
      </c>
      <c r="O183" s="24">
        <f>-(SUM([2]H7!$FJ$66:$FL$66)/1000)/O177</f>
        <v>0.19714742103595165</v>
      </c>
      <c r="P183" s="24">
        <f>-(SUM([2]H7!$FJ$67:$FL$67)/1000)/P177</f>
        <v>0.20314141370221547</v>
      </c>
      <c r="Q183" s="7"/>
    </row>
    <row r="184" spans="2:20" ht="20.149999999999999" customHeight="1" outlineLevel="1" x14ac:dyDescent="0.25">
      <c r="B184" s="224"/>
      <c r="C184" s="9"/>
      <c r="D184" s="18" t="s">
        <v>88</v>
      </c>
      <c r="E184" s="7"/>
      <c r="F184" s="24">
        <v>0</v>
      </c>
      <c r="G184" s="24">
        <v>0</v>
      </c>
      <c r="H184" s="24">
        <v>0</v>
      </c>
      <c r="I184" s="7"/>
      <c r="J184" s="24">
        <f>-(SUM([2]H7!$AO$65:$AR$65)/1000)/J177</f>
        <v>0.19354292407498627</v>
      </c>
      <c r="K184" s="24">
        <f>-(SUM([2]H7!$AO$66:$AR$66)/1000)/K177</f>
        <v>0.16348689887780815</v>
      </c>
      <c r="L184" s="24">
        <f>-(SUM([2]H7!$AO$67:$AR$67)/1000)/L177</f>
        <v>0.19036694459364301</v>
      </c>
      <c r="M184" s="7"/>
      <c r="N184" s="24">
        <f>-(SUM([2]H7!$FM$65:$FP$65)/1000)/N177</f>
        <v>0.1764374811951458</v>
      </c>
      <c r="O184" s="24">
        <f>-(SUM([2]H7!$FM$66:$FP$66)/1000)/O177</f>
        <v>0.15777574403863867</v>
      </c>
      <c r="P184" s="24">
        <f>-(SUM([2]H7!$FM$67:$FP$67)/1000)/P177</f>
        <v>0.19036694459364295</v>
      </c>
      <c r="Q184" s="7"/>
    </row>
    <row r="185" spans="2:20" ht="20.149999999999999" customHeight="1" x14ac:dyDescent="0.25">
      <c r="B185" s="224"/>
      <c r="C185" s="9"/>
      <c r="D185" s="17" t="s">
        <v>97</v>
      </c>
      <c r="E185" s="7"/>
      <c r="F185" s="24">
        <v>0</v>
      </c>
      <c r="G185" s="24">
        <v>0</v>
      </c>
      <c r="H185" s="24">
        <v>0</v>
      </c>
      <c r="I185" s="7"/>
      <c r="J185" s="24">
        <f>+J183+J184</f>
        <v>0.39014603559183136</v>
      </c>
      <c r="K185" s="24">
        <f>+K183+K184</f>
        <v>0.36360013251992307</v>
      </c>
      <c r="L185" s="24">
        <f>+L183+L184</f>
        <v>0.39350835829585851</v>
      </c>
      <c r="M185" s="7"/>
      <c r="N185" s="24">
        <f>+N183+N184</f>
        <v>0.36005782637087103</v>
      </c>
      <c r="O185" s="24">
        <f>+O183+O184</f>
        <v>0.35492316507459032</v>
      </c>
      <c r="P185" s="24">
        <f>+P183+P184</f>
        <v>0.3935083582958584</v>
      </c>
      <c r="Q185" s="7"/>
    </row>
    <row r="186" spans="2:20" ht="20.149999999999999" customHeight="1" x14ac:dyDescent="0.25">
      <c r="B186" s="224"/>
      <c r="C186" s="9"/>
      <c r="D186" s="17" t="s">
        <v>90</v>
      </c>
      <c r="E186" s="7"/>
      <c r="F186" s="24"/>
      <c r="G186" s="24"/>
      <c r="H186" s="24"/>
      <c r="I186" s="7"/>
      <c r="J186" s="24">
        <f>-(SUM([2]H7!$AT$65:$BJ$65)/1000/J177)</f>
        <v>0.10316089579739386</v>
      </c>
      <c r="K186" s="24">
        <f>-(SUM([2]H7!$AT$66:$BJ$66)/1000/K177)</f>
        <v>9.2679462757738904E-2</v>
      </c>
      <c r="L186" s="24">
        <f>-(SUM([2]H7!$AT$67:$BJ$67)/1000/L177)</f>
        <v>5.98789088147169E-2</v>
      </c>
      <c r="M186" s="7"/>
      <c r="N186" s="24">
        <f>-(SUM([2]H7!$FR$65:$GH$65)/1000/N177)</f>
        <v>0.19916088907485924</v>
      </c>
      <c r="O186" s="24">
        <f>-(SUM([2]H7!$FR$66:$GH$66)/1000/O177)</f>
        <v>0.18668074805804896</v>
      </c>
      <c r="P186" s="24">
        <f>-(SUM([2]H7!$FR$67:$GH$67)/1000/P177)</f>
        <v>5.98789088147169E-2</v>
      </c>
      <c r="Q186" s="7"/>
    </row>
    <row r="187" spans="2:20" ht="20.149999999999999" customHeight="1" x14ac:dyDescent="0.25">
      <c r="B187" s="224"/>
      <c r="C187" s="9"/>
      <c r="D187" s="17" t="s">
        <v>79</v>
      </c>
      <c r="E187" s="8"/>
      <c r="F187" s="24">
        <v>0</v>
      </c>
      <c r="G187" s="24">
        <v>0</v>
      </c>
      <c r="H187" s="24">
        <v>0</v>
      </c>
      <c r="I187" s="8"/>
      <c r="J187" s="24">
        <f>+J181+J182+J185+J186</f>
        <v>0.97038157652431356</v>
      </c>
      <c r="K187" s="24">
        <f>+K181+K182+K185+K186</f>
        <v>0.9746686754941305</v>
      </c>
      <c r="L187" s="24">
        <f>+L181+L182+L185+L186</f>
        <v>1.0295589247469477</v>
      </c>
      <c r="M187" s="8"/>
      <c r="N187" s="24">
        <f>+N181+N182+N185+N186</f>
        <v>0.81673785296521495</v>
      </c>
      <c r="O187" s="24">
        <f>+O181+O182+O185+O186</f>
        <v>1.1196343859113578</v>
      </c>
      <c r="P187" s="24">
        <f>+P181+P182+P185+P186</f>
        <v>1.0295589247469477</v>
      </c>
      <c r="Q187" s="8"/>
    </row>
    <row r="188" spans="2:20" ht="19.5" customHeight="1" x14ac:dyDescent="0.25">
      <c r="B188" s="224"/>
      <c r="C188" s="9"/>
      <c r="D188" s="17" t="s">
        <v>34</v>
      </c>
      <c r="E188" s="6"/>
      <c r="F188" s="23">
        <v>0</v>
      </c>
      <c r="G188" s="23">
        <v>0</v>
      </c>
      <c r="H188" s="23">
        <v>0</v>
      </c>
      <c r="I188" s="6"/>
      <c r="J188" s="23">
        <f>+[2]H7!$BK$65/1000</f>
        <v>1.3982285799999792</v>
      </c>
      <c r="K188" s="23">
        <f>+[2]H7!$BK$66/1000</f>
        <v>1.275395080000016</v>
      </c>
      <c r="L188" s="23">
        <f>+[2]H7!$BK$67/1000</f>
        <v>-1.4631821220268235</v>
      </c>
      <c r="M188" s="6"/>
      <c r="N188" s="23">
        <f>+[2]H7!$GI$65/1000</f>
        <v>2.9494665900000134</v>
      </c>
      <c r="O188" s="23">
        <f>+[2]H7!$GI$66/1000</f>
        <v>-2.1479930700000072</v>
      </c>
      <c r="P188" s="23">
        <f>+[2]H7!$GI$67/1000</f>
        <v>-0.48772737400894367</v>
      </c>
      <c r="Q188" s="6"/>
      <c r="T188" s="34"/>
    </row>
    <row r="189" spans="2:20" ht="7.5" customHeight="1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2:20" ht="19.5" customHeight="1" x14ac:dyDescent="0.25">
      <c r="B190" s="225" t="s">
        <v>108</v>
      </c>
      <c r="C190" s="9"/>
      <c r="D190" s="16" t="s">
        <v>19</v>
      </c>
      <c r="E190" s="6"/>
      <c r="F190" s="25">
        <v>663.1699661099999</v>
      </c>
      <c r="G190" s="25">
        <v>646.55200311999999</v>
      </c>
      <c r="H190" s="25">
        <v>667.75800000000004</v>
      </c>
      <c r="I190" s="6"/>
      <c r="J190" s="25">
        <f t="shared" ref="J190:L191" si="4">+J8+J50+J92+J106+J176</f>
        <v>300.01358984000001</v>
      </c>
      <c r="K190" s="25">
        <f t="shared" si="4"/>
        <v>301.72213730000004</v>
      </c>
      <c r="L190" s="25">
        <f t="shared" si="4"/>
        <v>301.97933632912827</v>
      </c>
      <c r="M190" s="6"/>
      <c r="N190" s="25">
        <f t="shared" ref="N190:P191" si="5">+N8+N50+N92+N106+N176</f>
        <v>65.234384010000014</v>
      </c>
      <c r="O190" s="25">
        <f t="shared" si="5"/>
        <v>66.044263569999998</v>
      </c>
      <c r="P190" s="25">
        <f t="shared" si="5"/>
        <v>68.765921304203715</v>
      </c>
      <c r="Q190" s="6"/>
    </row>
    <row r="191" spans="2:20" ht="20.149999999999999" customHeight="1" x14ac:dyDescent="0.25">
      <c r="B191" s="225"/>
      <c r="C191" s="9"/>
      <c r="D191" s="16" t="s">
        <v>20</v>
      </c>
      <c r="E191" s="6"/>
      <c r="F191" s="25">
        <v>619.93325228999993</v>
      </c>
      <c r="G191" s="25">
        <v>604.01472775999991</v>
      </c>
      <c r="H191" s="25">
        <v>610.10959537476765</v>
      </c>
      <c r="I191" s="6"/>
      <c r="J191" s="25">
        <f t="shared" si="4"/>
        <v>232.52480384000003</v>
      </c>
      <c r="K191" s="25">
        <f t="shared" si="4"/>
        <v>230.66431003000002</v>
      </c>
      <c r="L191" s="25">
        <f t="shared" si="4"/>
        <v>236.02874343517325</v>
      </c>
      <c r="M191" s="6"/>
      <c r="N191" s="25">
        <f t="shared" si="5"/>
        <v>80.492563460000028</v>
      </c>
      <c r="O191" s="25">
        <f t="shared" si="5"/>
        <v>81.204265469999967</v>
      </c>
      <c r="P191" s="25">
        <f t="shared" si="5"/>
        <v>78.676247811724394</v>
      </c>
      <c r="Q191" s="6"/>
    </row>
    <row r="192" spans="2:20" ht="19.5" customHeight="1" x14ac:dyDescent="0.25">
      <c r="B192" s="225"/>
      <c r="C192" s="9"/>
      <c r="D192" s="16" t="s">
        <v>92</v>
      </c>
      <c r="E192" s="6"/>
      <c r="F192" s="26" t="str">
        <f>IFERROR(F195-F193-F194,"n/a")</f>
        <v>n/a</v>
      </c>
      <c r="G192" s="26" t="str">
        <f>IFERROR(G195-G193-G194,"n/a")</f>
        <v>n/a</v>
      </c>
      <c r="H192" s="26" t="str">
        <f>IFERROR(H195-H193-H194,"n/a")</f>
        <v>n/a</v>
      </c>
      <c r="I192" s="6"/>
      <c r="J192" s="26">
        <f>-(SUM([3]H7!$O$61,[3]H7!$R$61:$V$61,[3]H7!$Y$61:$AB$61,[2]H7!$O$65,[2]H7!$R$65:$V$65,[2]H7!$Y$65:$AB$65)/1000)/J191</f>
        <v>0.11766972097657748</v>
      </c>
      <c r="K192" s="26">
        <f>-(SUM([3]H7!$O$62,[3]H7!$R$62:$V$62,[3]H7!$Y$62:$AB$62,[2]H7!$O$66,[2]H7!$R$66:$V$66,[2]H7!$Y$66:$AB$66)/1000)/K191</f>
        <v>0.12736605856440911</v>
      </c>
      <c r="L192" s="26">
        <f>-(SUM([3]H7!$O$63,[3]H7!$R$63:$V$63,[3]H7!$Y$63:$AB$63,[2]H7!$O$67,[2]H7!$R$67:$V$67,[2]H7!$Y$67:$AB$67)/1000)/L191</f>
        <v>0.10114340311420071</v>
      </c>
      <c r="M192" s="6"/>
      <c r="N192" s="26">
        <f>(-SUM([3]H7!$EM$61,[3]H7!$EP$61:$ET$61,[3]H7!$EW$61:$EZ$61)-SUM([2]H7!$EM$65,[2]H7!$EP$65:$ET$65,[2]H7!$EW$65:$EZ$65))/1000/N191</f>
        <v>0.12668989328566918</v>
      </c>
      <c r="O192" s="26">
        <f>(-(SUM([3]H7!$EM$66,[3]H7!$EP$66:$ET$66,[3]H7!$EW$66:$EZ$66)/1000)-(SUM([3]H7!$EM$62,[3]H7!$EP$62:$ET$62,[3]H7!$EW$62:$EZ$62)/1000))/O191</f>
        <v>0.46536507520987519</v>
      </c>
      <c r="P192" s="26">
        <f>(-(SUM([3]H7!$EM$67,[3]H7!$EP$67:$ET$67,[3]H7!$EW$67:$EZ$67)/1000)-(SUM([3]H7!$EM$63,[3]H7!$EP$63:$ET$63,[3]H7!$EW$63:$EZ$63)/1000))/P191</f>
        <v>0.41608048514202212</v>
      </c>
      <c r="Q192" s="6"/>
      <c r="T192" s="35"/>
    </row>
    <row r="193" spans="2:20" ht="19.5" customHeight="1" x14ac:dyDescent="0.25">
      <c r="B193" s="225"/>
      <c r="C193" s="9"/>
      <c r="D193" s="16" t="s">
        <v>93</v>
      </c>
      <c r="E193" s="6"/>
      <c r="F193" s="26">
        <f>(F179*F177+F109*F107+F95*F93+F53*F51+F11*F9)/F191</f>
        <v>0</v>
      </c>
      <c r="G193" s="26">
        <f>(G179*G177+G109*G107+G95*G93+G53*G51+G11*G9)/G191</f>
        <v>0</v>
      </c>
      <c r="H193" s="26">
        <f>(H179*H177+H109*H107+H95*H93+H53*H51+H11*H9)/H191</f>
        <v>0</v>
      </c>
      <c r="I193" s="6"/>
      <c r="J193" s="26">
        <f>-(SUM([3]H7!$Q$61,[3]H7!$X$61,[2]H7!$Q$65,[2]H7!$X$65)/1000)/J191</f>
        <v>1.1897629140319209E-2</v>
      </c>
      <c r="K193" s="26">
        <f>-(SUM([3]H7!$Q$62,[3]H7!$X$62,[2]H7!$Q$66,[2]H7!$X$66)/1000)/K191</f>
        <v>9.956265014302872E-3</v>
      </c>
      <c r="L193" s="26">
        <f>-(SUM([3]H7!$Q$63,[3]H7!$X$63,[2]H7!$Q$67,[2]H7!$X$67)/1000)/L191</f>
        <v>1.2130067735516857E-2</v>
      </c>
      <c r="M193" s="6"/>
      <c r="N193" s="26">
        <f>-([2]H7!$EO$65+[2]H7!$EV$65+[3]H7!$EO$61+[3]H7!$EV$61)/1000/N191</f>
        <v>1.2618884295657938E-2</v>
      </c>
      <c r="O193" s="26">
        <f>(-(SUM([3]H7!$EO$66,[3]H7!$EV$66)/1000)-(SUM([3]H7!$EO$62,[3]H7!$EV$62))/1000)/O191</f>
        <v>5.9050811733064694E-2</v>
      </c>
      <c r="P193" s="26">
        <f>(-(SUM([3]H7!$EO$67,[3]H7!$EV$67)/1000)-(SUM([3]H7!$EO$63,[3]H7!$EV$63)/1000))/P191</f>
        <v>6.1343326762945134E-2</v>
      </c>
      <c r="Q193" s="6"/>
      <c r="T193" s="35"/>
    </row>
    <row r="194" spans="2:20" ht="19.5" customHeight="1" x14ac:dyDescent="0.25">
      <c r="B194" s="225"/>
      <c r="C194" s="9"/>
      <c r="D194" s="16" t="s">
        <v>94</v>
      </c>
      <c r="E194" s="6"/>
      <c r="F194" s="26" t="e">
        <f>(F180*F177+F110*F107+F96*F93+F54*F51+F12*F9)/F191</f>
        <v>#VALUE!</v>
      </c>
      <c r="G194" s="26" t="e">
        <f>(G180*G177+G110*G107+G96*G93+G54*G51+G12*G9)/G191</f>
        <v>#VALUE!</v>
      </c>
      <c r="H194" s="26" t="e">
        <f>(H180*H177+H110*H107+H96*H93+H54*H51+H12*H9)/H191</f>
        <v>#VALUE!</v>
      </c>
      <c r="I194" s="6"/>
      <c r="J194" s="26">
        <f>-(SUM([3]H7!$P$61,[3]H7!$W$61,[2]H7!$P$65,[2]H7!$W$65)/1000)/J191</f>
        <v>7.8999326939073098E-4</v>
      </c>
      <c r="K194" s="26">
        <f>-(SUM([3]H7!$P$62,[3]H7!$W$62)/1000)/K191</f>
        <v>0</v>
      </c>
      <c r="L194" s="26">
        <f>-(SUM([3]H7!$P$63,[3]H7!$W$63)/1000)/L191</f>
        <v>0</v>
      </c>
      <c r="M194" s="6"/>
      <c r="N194" s="26">
        <f>-([3]H7!$EN$61+[3]H7!$EU$61+[2]H7!$EN$65+[2]H7!$EU$65)/1000/N191%</f>
        <v>0.2282111813860723</v>
      </c>
      <c r="O194" s="26">
        <f>(-(SUM([3]H7!$EN$66,[3]H7!$EU$66)/1000)-(SUM([3]H7!$EN$62,[3]H7!$EU$62)/1000))/O191</f>
        <v>0</v>
      </c>
      <c r="P194" s="26">
        <f>(-(SUM([3]H7!$EN$67,[3]H7!$EU$67)/1000)-(SUM([3]H7!$EN$63,[3]H7!$EU$63)/1000))/P191</f>
        <v>2.4911924556532048E-2</v>
      </c>
      <c r="Q194" s="6"/>
      <c r="T194" s="35"/>
    </row>
    <row r="195" spans="2:20" ht="19.5" customHeight="1" outlineLevel="1" x14ac:dyDescent="0.25">
      <c r="B195" s="225"/>
      <c r="C195" s="9"/>
      <c r="D195" s="16" t="s">
        <v>95</v>
      </c>
      <c r="E195" s="7"/>
      <c r="F195" s="26">
        <v>0.63569160649838707</v>
      </c>
      <c r="G195" s="26">
        <v>0.54412843744530481</v>
      </c>
      <c r="H195" s="26">
        <v>0.64915456698178076</v>
      </c>
      <c r="I195" s="7"/>
      <c r="J195" s="26">
        <f>+J192+J193+J194</f>
        <v>0.13035734338628741</v>
      </c>
      <c r="K195" s="26">
        <f>+K192+K193+K194</f>
        <v>0.13732232357871199</v>
      </c>
      <c r="L195" s="26">
        <f>+L192+L193+L194</f>
        <v>0.11327347084971756</v>
      </c>
      <c r="M195" s="7"/>
      <c r="N195" s="26">
        <f>+N192+N193+N194</f>
        <v>0.36751995896739942</v>
      </c>
      <c r="O195" s="26">
        <f>+O192+O193+O194</f>
        <v>0.52441588694293984</v>
      </c>
      <c r="P195" s="26">
        <f>+P192+P193+P194</f>
        <v>0.50233573646149932</v>
      </c>
      <c r="Q195" s="7"/>
      <c r="T195" s="35"/>
    </row>
    <row r="196" spans="2:20" ht="20.149999999999999" customHeight="1" x14ac:dyDescent="0.25">
      <c r="B196" s="225"/>
      <c r="C196" s="9"/>
      <c r="D196" s="16" t="s">
        <v>96</v>
      </c>
      <c r="E196" s="7"/>
      <c r="F196" s="26">
        <v>-3.5901680040206309E-2</v>
      </c>
      <c r="G196" s="26">
        <v>9.3873443136520355E-3</v>
      </c>
      <c r="H196" s="26">
        <v>-1.1883110927876153E-2</v>
      </c>
      <c r="I196" s="7"/>
      <c r="J196" s="26">
        <f>-(SUM([3]H7!$AC$61:$AK$61,[2]H7!$AC$65:$AK$65)/1000)/J191</f>
        <v>-3.2189574300857518E-2</v>
      </c>
      <c r="K196" s="26">
        <f>-(SUM([3]H7!$AC$62:$AK$62,[2]H7!$AC$66:$AK$66)/1000)/K191</f>
        <v>-2.3335260445362889E-2</v>
      </c>
      <c r="L196" s="26">
        <f>-(SUM([3]H7!$AC$63:$AK$63,[2]H7!$AC$67:$AK$67)/1000)/L191</f>
        <v>-1.7216231017475631E-3</v>
      </c>
      <c r="M196" s="7"/>
      <c r="N196" s="26">
        <f>+(-SUM([2]H7!$FA$65:$FI$65)-SUM([3]H7!$FA$61:$FI$61))/1000/N191</f>
        <v>-8.1106298139507566E-2</v>
      </c>
      <c r="O196" s="26">
        <f>(-(SUM([3]H7!$FA$66:$FI$66)/1000)-(SUM([3]H7!$FA$62:$FI$62)/1000))/O191</f>
        <v>-7.9568927846371207E-2</v>
      </c>
      <c r="P196" s="26">
        <f>(-(SUM([3]H7!$FA$67:$FI$67)/1000)-(SUM([3]H7!$FA$63:$FI$63)/1000))/P191</f>
        <v>-1.2791873569450456E-2</v>
      </c>
      <c r="Q196" s="7"/>
      <c r="T196" s="35"/>
    </row>
    <row r="197" spans="2:20" ht="20.149999999999999" customHeight="1" outlineLevel="1" x14ac:dyDescent="0.25">
      <c r="B197" s="225"/>
      <c r="C197" s="9"/>
      <c r="D197" s="13" t="s">
        <v>87</v>
      </c>
      <c r="E197" s="7"/>
      <c r="F197" s="26">
        <v>0.13643040047871993</v>
      </c>
      <c r="G197" s="26">
        <v>0.13366121748289339</v>
      </c>
      <c r="H197" s="26">
        <v>0.13661633561685846</v>
      </c>
      <c r="I197" s="7"/>
      <c r="J197" s="26">
        <f>-(SUM([3]H7!$AL$61:$AN$61,[2]H7!$AL$65:$AN$65)/1000)/J191</f>
        <v>4.1436649040804588E-2</v>
      </c>
      <c r="K197" s="26">
        <f>-(SUM([3]H7!$AL$62:$AN$62,[2]H7!$AL$66:$AN$66)/1000)/K191</f>
        <v>4.5045608913874137E-2</v>
      </c>
      <c r="L197" s="26">
        <f>-(SUM([3]H7!$AL$63:$AN$63,[2]H7!$AL$67:$AN$67)/1000)/L191</f>
        <v>4.2972249326699075E-2</v>
      </c>
      <c r="M197" s="7"/>
      <c r="N197" s="26">
        <f>+(-SUM([3]H7!$FJ$61:$FL$61)-SUM([2]H7!$FJ$65:$FL$65))/1000/N191</f>
        <v>3.8169916051025002E-2</v>
      </c>
      <c r="O197" s="26">
        <f>(-(SUM([3]H7!$FJ$66:$FL$66)/1000)-(SUM([3]H7!$FJ$62:$FL$62)/1000))/O191</f>
        <v>0.13591123958971513</v>
      </c>
      <c r="P197" s="26">
        <f>(-(SUM([3]H7!$FJ$67:$FL$67)/1000)-(SUM([3]H7!$FJ$63:$FL$63)/1000))/P191</f>
        <v>0.14073553401138675</v>
      </c>
      <c r="Q197" s="7"/>
      <c r="T197" s="35"/>
    </row>
    <row r="198" spans="2:20" ht="20.149999999999999" customHeight="1" outlineLevel="1" x14ac:dyDescent="0.25">
      <c r="B198" s="225"/>
      <c r="C198" s="9"/>
      <c r="D198" s="13" t="s">
        <v>88</v>
      </c>
      <c r="E198" s="7"/>
      <c r="F198" s="26">
        <v>0.11982971375642451</v>
      </c>
      <c r="G198" s="26">
        <v>0.12707969296486946</v>
      </c>
      <c r="H198" s="26">
        <v>0.12094511823519646</v>
      </c>
      <c r="I198" s="7"/>
      <c r="J198" s="26">
        <f>-(SUM([3]H7!$AO$61:$AR$61,[2]H7!$AO$65:$AR$65)/1000)/J191</f>
        <v>3.9684562281577185E-2</v>
      </c>
      <c r="K198" s="26">
        <f>-(SUM([3]H7!$AO$62:$AR$62,[2]H7!$AO$66:$AR$66)/1000)/K191</f>
        <v>3.6354800180874773E-2</v>
      </c>
      <c r="L198" s="26">
        <f>-(SUM([3]H7!$AO$63:$AR$63,[2]H7!$AO$67:$AR$67)/1000)/L191</f>
        <v>4.0362066919780101E-2</v>
      </c>
      <c r="M198" s="7"/>
      <c r="N198" s="26">
        <f>+(-SUM([2]H7!$FM$65:$FP$65)-SUM([3]H7!$FM$61:$FP$61))/1000/N191</f>
        <v>3.5674841706675085E-2</v>
      </c>
      <c r="O198" s="26">
        <f>(-(SUM([3]H7!$FM$66:$FP$66)/1000)-(SUM([3]H7!$FM$62:$FP$62)/1000))/O191</f>
        <v>9.5317566204198109E-2</v>
      </c>
      <c r="P198" s="26">
        <f>(-(SUM([3]H7!$FM$67:$FP$67)/1000)-(SUM([3]H7!$FM$63:$FP$63)/1000))/P191</f>
        <v>0.11034593103384668</v>
      </c>
      <c r="Q198" s="7"/>
      <c r="T198" s="35"/>
    </row>
    <row r="199" spans="2:20" ht="20.149999999999999" customHeight="1" x14ac:dyDescent="0.25">
      <c r="B199" s="225"/>
      <c r="C199" s="9"/>
      <c r="D199" s="16" t="s">
        <v>97</v>
      </c>
      <c r="E199" s="7"/>
      <c r="F199" s="26">
        <v>0.25626011423514444</v>
      </c>
      <c r="G199" s="26">
        <v>0.26074091044776282</v>
      </c>
      <c r="H199" s="26">
        <v>0.25756145385205492</v>
      </c>
      <c r="I199" s="7"/>
      <c r="J199" s="26">
        <f>+J197+J198</f>
        <v>8.1121211322381773E-2</v>
      </c>
      <c r="K199" s="26">
        <f>+K197+K198</f>
        <v>8.140040909474891E-2</v>
      </c>
      <c r="L199" s="26">
        <f>+L197+L198</f>
        <v>8.3334316246479176E-2</v>
      </c>
      <c r="M199" s="7"/>
      <c r="N199" s="26">
        <f>+N197+N198</f>
        <v>7.384475775770008E-2</v>
      </c>
      <c r="O199" s="26">
        <f>+O197+O198</f>
        <v>0.23122880579391325</v>
      </c>
      <c r="P199" s="26">
        <f>+P197+P198</f>
        <v>0.25108146504523343</v>
      </c>
      <c r="Q199" s="7"/>
      <c r="T199" s="35"/>
    </row>
    <row r="200" spans="2:20" ht="20.149999999999999" customHeight="1" x14ac:dyDescent="0.25">
      <c r="B200" s="225"/>
      <c r="C200" s="9"/>
      <c r="D200" s="16" t="s">
        <v>90</v>
      </c>
      <c r="E200" s="7"/>
      <c r="F200" s="26"/>
      <c r="G200" s="26"/>
      <c r="H200" s="26"/>
      <c r="I200" s="7"/>
      <c r="J200" s="26">
        <f>-(SUM([3]H7!$AT$61:$BJ$61,[2]H7!$AT$65:$BJ$65)/1000)/J191</f>
        <v>2.0944116969779551E-2</v>
      </c>
      <c r="K200" s="26">
        <f>-(SUM([3]H7!$AT$62:$BJ$62,[2]H7!$AT$66:$BJ$66)/1000)/K191</f>
        <v>2.0229723355958667E-2</v>
      </c>
      <c r="L200" s="26">
        <f>-(SUM([3]H7!$AT$63:$BJ$63,[2]H7!$AT$67:$BJ$67)/1000)/L191</f>
        <v>1.2557949648161959E-2</v>
      </c>
      <c r="M200" s="7"/>
      <c r="N200" s="26">
        <f>+(-SUM([3]H7!$FR$60:$GH$61)-SUM([2]H7!$FR$65:$GH$65))/1000/N191</f>
        <v>3.9821627765561883E-2</v>
      </c>
      <c r="O200" s="26">
        <f>(-(SUM([3]H7!$FR$66:$GH$66)/1000)-(SUM([3]H7!$FR$62:$GH$62)/1000))/O191</f>
        <v>5.8477538248952195E-2</v>
      </c>
      <c r="P200" s="26">
        <f>(-(SUM([3]H7!$FR$67:$GH$67)/1000)-(SUM([3]H7!$FR$63:$GH$63)/1000))/P191</f>
        <v>3.2300654993741698E-2</v>
      </c>
      <c r="Q200" s="7"/>
      <c r="T200" s="35"/>
    </row>
    <row r="201" spans="2:20" ht="20.149999999999999" customHeight="1" x14ac:dyDescent="0.25">
      <c r="B201" s="225"/>
      <c r="C201" s="9"/>
      <c r="D201" s="16" t="s">
        <v>79</v>
      </c>
      <c r="E201" s="8"/>
      <c r="F201" s="26">
        <v>0.85605004069332524</v>
      </c>
      <c r="G201" s="26">
        <v>0.81425669220671981</v>
      </c>
      <c r="H201" s="26">
        <v>0.89483290990595954</v>
      </c>
      <c r="I201" s="8"/>
      <c r="J201" s="33">
        <f>+J195+J196+J199+J200</f>
        <v>0.20023309737759121</v>
      </c>
      <c r="K201" s="26">
        <f>+K195+K196+K199+K200</f>
        <v>0.21561719558405668</v>
      </c>
      <c r="L201" s="26">
        <f>+L195+L196+L199+L200</f>
        <v>0.20744411364261114</v>
      </c>
      <c r="M201" s="8"/>
      <c r="N201" s="26">
        <f>+N195+N196+N199+N200</f>
        <v>0.4000800463511538</v>
      </c>
      <c r="O201" s="26">
        <f>+O195+O196+O199+O200</f>
        <v>0.73455330313943401</v>
      </c>
      <c r="P201" s="26">
        <f>+P195+P196+P199+P200</f>
        <v>0.77292598293102399</v>
      </c>
      <c r="Q201" s="8"/>
      <c r="T201" s="35"/>
    </row>
    <row r="202" spans="2:20" ht="19.5" customHeight="1" x14ac:dyDescent="0.25">
      <c r="B202" s="225"/>
      <c r="C202" s="9"/>
      <c r="D202" s="16" t="s">
        <v>34</v>
      </c>
      <c r="E202" s="6"/>
      <c r="F202" s="25">
        <v>89.239366440000083</v>
      </c>
      <c r="G202" s="25">
        <v>112.19169349000006</v>
      </c>
      <c r="H202" s="25">
        <v>64.163450784016746</v>
      </c>
      <c r="I202" s="6"/>
      <c r="J202" s="25">
        <f t="shared" ref="J202:P202" si="6">+J20+J62+J104+J118+J188</f>
        <v>5.6426896199999819</v>
      </c>
      <c r="K202" s="25">
        <f t="shared" si="6"/>
        <v>14.710284260000048</v>
      </c>
      <c r="L202" s="25">
        <f t="shared" si="6"/>
        <v>3.3700056378186622</v>
      </c>
      <c r="M202" s="6"/>
      <c r="N202" s="25">
        <f>+N20+N62+N104+N118+N188</f>
        <v>5.0202146500000389</v>
      </c>
      <c r="O202" s="25">
        <f t="shared" si="6"/>
        <v>1.9056772299999816</v>
      </c>
      <c r="P202" s="25">
        <f t="shared" si="6"/>
        <v>1.1233352126062062</v>
      </c>
      <c r="Q202" s="6"/>
      <c r="T202" s="34"/>
    </row>
    <row r="203" spans="2:20" ht="7.5" customHeight="1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2:20" ht="19.5" customHeight="1" x14ac:dyDescent="0.25">
      <c r="B204" s="224" t="s">
        <v>48</v>
      </c>
      <c r="C204" s="9"/>
      <c r="D204" s="17" t="s">
        <v>19</v>
      </c>
      <c r="E204" s="6"/>
      <c r="F204" s="23">
        <v>104.56900124000002</v>
      </c>
      <c r="G204" s="23">
        <v>86.957286909999993</v>
      </c>
      <c r="H204" s="23">
        <v>93.39937754566202</v>
      </c>
      <c r="I204" s="6"/>
      <c r="J204" s="23">
        <f>+[1]H7!$C$65/1000</f>
        <v>188.85842228000004</v>
      </c>
      <c r="K204" s="23">
        <f>+[1]H7!$C$66/1000</f>
        <v>179.94997616000006</v>
      </c>
      <c r="L204" s="23">
        <f>+[1]H7!$C$67/1000</f>
        <v>182.88040999999998</v>
      </c>
      <c r="M204" s="6"/>
      <c r="N204" s="23">
        <f>+[1]H7!$EA$65/1000</f>
        <v>37.30305906000001</v>
      </c>
      <c r="O204" s="23">
        <f>+[1]H7!$EA$66/1000</f>
        <v>35.124147579999999</v>
      </c>
      <c r="P204" s="23">
        <f>+[1]H7!$EA$67/1000</f>
        <v>37.205829999999985</v>
      </c>
      <c r="Q204" s="6"/>
    </row>
    <row r="205" spans="2:20" ht="20.149999999999999" customHeight="1" x14ac:dyDescent="0.25">
      <c r="B205" s="224"/>
      <c r="C205" s="9"/>
      <c r="D205" s="17" t="s">
        <v>20</v>
      </c>
      <c r="E205" s="6"/>
      <c r="F205" s="23">
        <v>96.613065600000027</v>
      </c>
      <c r="G205" s="23">
        <v>80.999779810000007</v>
      </c>
      <c r="H205" s="23">
        <v>83.735445436524415</v>
      </c>
      <c r="I205" s="6"/>
      <c r="J205" s="23">
        <f>+[1]H7!$N$65/1000</f>
        <v>139.52331497</v>
      </c>
      <c r="K205" s="23">
        <f>+[1]H7!$N$66/1000</f>
        <v>131.25388270999994</v>
      </c>
      <c r="L205" s="23">
        <f>+[1]H7!$N$67/1000</f>
        <v>137.43770115359374</v>
      </c>
      <c r="M205" s="6"/>
      <c r="N205" s="23">
        <f>+[1]H7!$EL$65/1000</f>
        <v>48.776336550000025</v>
      </c>
      <c r="O205" s="23">
        <f>+[1]H7!$EL$66/1000</f>
        <v>45.726016439999988</v>
      </c>
      <c r="P205" s="23">
        <f>+[1]H7!$EL$67/1000</f>
        <v>45.812567051197924</v>
      </c>
      <c r="Q205" s="6"/>
    </row>
    <row r="206" spans="2:20" ht="19.5" customHeight="1" x14ac:dyDescent="0.25">
      <c r="B206" s="224"/>
      <c r="C206" s="9"/>
      <c r="D206" s="17" t="s">
        <v>92</v>
      </c>
      <c r="E206" s="6"/>
      <c r="F206" s="24">
        <f t="shared" ref="F206:H208" si="7">N206</f>
        <v>0.57529048583513032</v>
      </c>
      <c r="G206" s="24">
        <f t="shared" si="7"/>
        <v>0.5643388123090024</v>
      </c>
      <c r="H206" s="24">
        <f t="shared" si="7"/>
        <v>0.5408574438326379</v>
      </c>
      <c r="I206" s="6"/>
      <c r="J206" s="24">
        <f>-(SUM([1]H7!$O$65,[1]H7!$R$65:$V$65,[1]H7!$Y$65:$AB$65)/1000)/J205</f>
        <v>0.55502553480830497</v>
      </c>
      <c r="K206" s="24">
        <f>-(SUM([1]H7!$O$66,[1]H7!$R$66:$V$66,[1]H7!$Y$66:$AB$66)/1000)/K205</f>
        <v>0.54152896808486517</v>
      </c>
      <c r="L206" s="24">
        <f>-(SUM([1]H7!$O$67,[1]H7!$R$67:$V$67,[1]H7!$Y$67:$AB$67)/1000)/L205</f>
        <v>0.54085744383263812</v>
      </c>
      <c r="M206" s="6"/>
      <c r="N206" s="24">
        <f>-(SUM([1]H7!$EM$65,[1]H7!$EP$65:$ET$65,[1]H7!$EW$65:$EZ$65)/1000)/N205</f>
        <v>0.57529048583513032</v>
      </c>
      <c r="O206" s="24">
        <f>-(SUM([1]H7!$EM$66,[1]H7!$EP$66:$ET$66,[1]H7!$EW$66:$EZ$66)/1000)/O205</f>
        <v>0.5643388123090024</v>
      </c>
      <c r="P206" s="24">
        <f>-(SUM([1]H7!$EM$67,[1]H7!$EP$67:$ET$67,[1]H7!$EW$67:$EZ$67)/1000)/P205</f>
        <v>0.5408574438326379</v>
      </c>
      <c r="Q206" s="6"/>
    </row>
    <row r="207" spans="2:20" ht="19.5" customHeight="1" x14ac:dyDescent="0.25">
      <c r="B207" s="224"/>
      <c r="C207" s="9"/>
      <c r="D207" s="17" t="s">
        <v>93</v>
      </c>
      <c r="E207" s="6"/>
      <c r="F207" s="24">
        <f t="shared" si="7"/>
        <v>0.10268887134970076</v>
      </c>
      <c r="G207" s="24">
        <f t="shared" si="7"/>
        <v>8.7329812905707183E-2</v>
      </c>
      <c r="H207" s="24">
        <f t="shared" si="7"/>
        <v>8.4516428833543919E-2</v>
      </c>
      <c r="I207" s="6"/>
      <c r="J207" s="24">
        <f>-(SUM([1]H7!$Q$65,[1]H7!$X$65)/1000)/J205</f>
        <v>8.4786059111996839E-2</v>
      </c>
      <c r="K207" s="24">
        <f>-(SUM([1]H7!$Q$66,[1]H7!$X$66)/1000)/K205</f>
        <v>9.5030538003059786E-2</v>
      </c>
      <c r="L207" s="24">
        <f>-(SUM([1]H7!$Q$67,[1]H7!$X$67)/1000)/L205</f>
        <v>8.4516428833543947E-2</v>
      </c>
      <c r="M207" s="6"/>
      <c r="N207" s="24">
        <f>-(SUM([1]H7!$EO$65,[1]H7!$EV$65)/1000)/N205</f>
        <v>0.10268887134970076</v>
      </c>
      <c r="O207" s="24">
        <f>-(SUM([1]H7!$EO$66,[1]H7!$EV$66)/1000)/O205</f>
        <v>8.7329812905707183E-2</v>
      </c>
      <c r="P207" s="24">
        <f>-(SUM([1]H7!$EO$67,[1]H7!$EV$67)/1000)/P205</f>
        <v>8.4516428833543919E-2</v>
      </c>
      <c r="Q207" s="6"/>
    </row>
    <row r="208" spans="2:20" ht="19.5" customHeight="1" x14ac:dyDescent="0.25">
      <c r="B208" s="224"/>
      <c r="C208" s="9"/>
      <c r="D208" s="17" t="s">
        <v>94</v>
      </c>
      <c r="E208" s="6"/>
      <c r="F208" s="24">
        <f t="shared" si="7"/>
        <v>1.9704718885863099E-4</v>
      </c>
      <c r="G208" s="24">
        <f t="shared" si="7"/>
        <v>0</v>
      </c>
      <c r="H208" s="24">
        <f t="shared" si="7"/>
        <v>2.5539908984847839E-2</v>
      </c>
      <c r="I208" s="6"/>
      <c r="J208" s="24">
        <f>-(SUM([1]H7!$P$65,[1]H7!$W$65)/1000)/J205</f>
        <v>6.8886264650940869E-5</v>
      </c>
      <c r="K208" s="24">
        <f>-(SUM([1]H7!$P$66,[1]H7!$W$66)/1000)/K205</f>
        <v>0</v>
      </c>
      <c r="L208" s="24">
        <f>-(SUM([1]H7!$P$67,[1]H7!$W$67)/1000)/L205</f>
        <v>2.5539908984847849E-2</v>
      </c>
      <c r="M208" s="6"/>
      <c r="N208" s="24">
        <f>-(SUM([1]H7!$EN$65,[1]H7!$EU$65)/1000)/N205</f>
        <v>1.9704718885863099E-4</v>
      </c>
      <c r="O208" s="24">
        <f>-(SUM([1]H7!$EN$66,[1]H7!$EU$66)/1000)/O205</f>
        <v>0</v>
      </c>
      <c r="P208" s="24">
        <f>-(SUM([1]H7!$EN$67,[1]H7!$EU$67)/1000)/P205</f>
        <v>2.5539908984847839E-2</v>
      </c>
      <c r="Q208" s="6"/>
    </row>
    <row r="209" spans="2:17" ht="19.5" customHeight="1" outlineLevel="1" x14ac:dyDescent="0.25">
      <c r="B209" s="224"/>
      <c r="C209" s="9"/>
      <c r="D209" s="17" t="s">
        <v>95</v>
      </c>
      <c r="E209" s="7"/>
      <c r="F209" s="24">
        <v>0.79243570416214992</v>
      </c>
      <c r="G209" s="24">
        <v>0.8148559316435503</v>
      </c>
      <c r="H209" s="24">
        <v>0.75170059448810467</v>
      </c>
      <c r="I209" s="7"/>
      <c r="J209" s="24">
        <f>+J206+J207+J208</f>
        <v>0.6398804801849528</v>
      </c>
      <c r="K209" s="24">
        <f>+K206+K207+K208</f>
        <v>0.636559506087925</v>
      </c>
      <c r="L209" s="24">
        <f>+L206+L207+L208</f>
        <v>0.65091378165102987</v>
      </c>
      <c r="M209" s="7"/>
      <c r="N209" s="24">
        <f>+N206+N207+N208</f>
        <v>0.67817640437368965</v>
      </c>
      <c r="O209" s="24">
        <f>+O206+O207+O208</f>
        <v>0.65166862521470958</v>
      </c>
      <c r="P209" s="24">
        <f>+P206+P207+P208</f>
        <v>0.65091378165102964</v>
      </c>
      <c r="Q209" s="7"/>
    </row>
    <row r="210" spans="2:17" ht="20.149999999999999" customHeight="1" x14ac:dyDescent="0.25">
      <c r="B210" s="224"/>
      <c r="C210" s="9"/>
      <c r="D210" s="17" t="s">
        <v>96</v>
      </c>
      <c r="E210" s="7"/>
      <c r="F210" s="24">
        <v>-1.0319356743400948E-2</v>
      </c>
      <c r="G210" s="24">
        <v>1.8135499546365962E-2</v>
      </c>
      <c r="H210" s="24">
        <v>0</v>
      </c>
      <c r="I210" s="7"/>
      <c r="J210" s="24">
        <f>-(SUM([1]H7!$AC$65:$AK$65)/1000)/J205</f>
        <v>3.5551731343729596E-2</v>
      </c>
      <c r="K210" s="24">
        <f>-(SUM([1]H7!$AC$66:$AK$66)/1000)/K205</f>
        <v>-4.4359650318797191E-2</v>
      </c>
      <c r="L210" s="24">
        <f>-(SUM([1]H7!$AC$67:$AK$67)/1000)/L205</f>
        <v>-1.9011503288202676E-2</v>
      </c>
      <c r="M210" s="7"/>
      <c r="N210" s="24">
        <f>-(SUM([1]H7!$FA$65:$FI$65)/1000)/N205</f>
        <v>4.807255640440232E-2</v>
      </c>
      <c r="O210" s="24">
        <f>-(SUM([1]H7!$FA$66:$FI$66)/1000)/O205</f>
        <v>-9.0208927021065866E-2</v>
      </c>
      <c r="P210" s="24">
        <f>-(SUM([1]H7!$FA$67:$FI$67)/1000)/P205</f>
        <v>-1.9011503288202669E-2</v>
      </c>
      <c r="Q210" s="7"/>
    </row>
    <row r="211" spans="2:17" ht="20.149999999999999" customHeight="1" outlineLevel="1" x14ac:dyDescent="0.25">
      <c r="B211" s="224"/>
      <c r="C211" s="9"/>
      <c r="D211" s="18" t="s">
        <v>87</v>
      </c>
      <c r="E211" s="7"/>
      <c r="F211" s="24">
        <v>5.3524374761171015E-2</v>
      </c>
      <c r="G211" s="24">
        <v>5.8053249663519033E-2</v>
      </c>
      <c r="H211" s="24">
        <v>5.3861513322713016E-2</v>
      </c>
      <c r="I211" s="7"/>
      <c r="J211" s="24">
        <f>-(SUM([1]H7!$AL$65:$AN$65)/1000)/J205</f>
        <v>0.16464690983682131</v>
      </c>
      <c r="K211" s="24">
        <f>-(SUM([1]H7!$AL$66:$AN$66)/1000)/K205</f>
        <v>0.1644800508317093</v>
      </c>
      <c r="L211" s="24">
        <f>-(SUM([1]H7!$AL$67:$AN$67)/1000)/L205</f>
        <v>0.16789385332074572</v>
      </c>
      <c r="M211" s="7"/>
      <c r="N211" s="24">
        <f>-(SUM([1]H7!$FJ$65:$FL$65)/1000)/N205</f>
        <v>0.16443890864534397</v>
      </c>
      <c r="O211" s="24">
        <f>-(SUM([1]H7!$FJ$66:$FL$66)/1000)/O205</f>
        <v>0.16164903036543646</v>
      </c>
      <c r="P211" s="24">
        <f>-(SUM([1]H7!$FJ$67:$FL$67)/1000)/P205</f>
        <v>0.16789385332074566</v>
      </c>
      <c r="Q211" s="7"/>
    </row>
    <row r="212" spans="2:17" ht="19.5" customHeight="1" outlineLevel="1" x14ac:dyDescent="0.25">
      <c r="B212" s="224"/>
      <c r="C212" s="9"/>
      <c r="D212" s="18" t="s">
        <v>88</v>
      </c>
      <c r="E212" s="7"/>
      <c r="F212" s="24">
        <v>9.9075295256959517E-2</v>
      </c>
      <c r="G212" s="24">
        <v>0.11209148693116676</v>
      </c>
      <c r="H212" s="24">
        <v>0.11658092181995375</v>
      </c>
      <c r="I212" s="7"/>
      <c r="J212" s="24">
        <f>-(SUM([1]H7!$AO$65:$AR$65)/1000)/J205</f>
        <v>9.8839217108374872E-2</v>
      </c>
      <c r="K212" s="24">
        <f>-(SUM([1]H7!$AO$66:$AR$66)/1000)/K205</f>
        <v>0.11276421264201095</v>
      </c>
      <c r="L212" s="24">
        <f>-(SUM([1]H7!$AO$67:$AR$67)/1000)/L205</f>
        <v>0.12018684370397822</v>
      </c>
      <c r="M212" s="7"/>
      <c r="N212" s="24">
        <f>-(SUM([1]H7!$FM$65:$FP$65)/1000)/N205</f>
        <v>9.7260063701934532E-2</v>
      </c>
      <c r="O212" s="24">
        <f>-(SUM([1]H7!$FM$66:$FP$66)/1000)/O205</f>
        <v>0.10624248443715953</v>
      </c>
      <c r="P212" s="24">
        <f>-(SUM([1]H7!$FM$67:$FP$67)/1000)/P205</f>
        <v>0.1201868437039782</v>
      </c>
      <c r="Q212" s="7"/>
    </row>
    <row r="213" spans="2:17" ht="20.149999999999999" customHeight="1" x14ac:dyDescent="0.25">
      <c r="B213" s="224"/>
      <c r="C213" s="9"/>
      <c r="D213" s="17" t="s">
        <v>97</v>
      </c>
      <c r="E213" s="7"/>
      <c r="F213" s="24">
        <v>0.15259967001813052</v>
      </c>
      <c r="G213" s="24">
        <v>0.17014473659468576</v>
      </c>
      <c r="H213" s="24">
        <v>0.17044243514266674</v>
      </c>
      <c r="I213" s="7"/>
      <c r="J213" s="24">
        <f>+J211+J212</f>
        <v>0.26348612694519619</v>
      </c>
      <c r="K213" s="24">
        <f>+K211+K212</f>
        <v>0.27724426347372022</v>
      </c>
      <c r="L213" s="24">
        <f>+L211+L212</f>
        <v>0.28808069702472394</v>
      </c>
      <c r="M213" s="7"/>
      <c r="N213" s="24">
        <f>+N211+N212</f>
        <v>0.26169897234727851</v>
      </c>
      <c r="O213" s="24">
        <f>+O211+O212</f>
        <v>0.26789151480259599</v>
      </c>
      <c r="P213" s="24">
        <f>+P211+P212</f>
        <v>0.28808069702472383</v>
      </c>
      <c r="Q213" s="7"/>
    </row>
    <row r="214" spans="2:17" ht="20.149999999999999" customHeight="1" x14ac:dyDescent="0.25">
      <c r="B214" s="224"/>
      <c r="C214" s="9"/>
      <c r="D214" s="17" t="s">
        <v>90</v>
      </c>
      <c r="E214" s="7"/>
      <c r="F214" s="24"/>
      <c r="G214" s="24"/>
      <c r="H214" s="24"/>
      <c r="I214" s="7"/>
      <c r="J214" s="24">
        <f>-(SUM([1]H7!$AT$65:$BJ$65)/1000/J205)</f>
        <v>3.5913391902116114E-2</v>
      </c>
      <c r="K214" s="24">
        <f>-(SUM([1]H7!$AT$66:$BJ$66)/1000/K205)</f>
        <v>3.3156207954741473E-2</v>
      </c>
      <c r="L214" s="24">
        <f>-(SUM([1]H7!$AT$67:$BJ$67)/1000/L205)</f>
        <v>3.3905150447186561E-2</v>
      </c>
      <c r="M214" s="7"/>
      <c r="N214" s="24">
        <f>-(SUM([1]H7!$FR$65:$GH$65)/1000/N205)</f>
        <v>3.8284544967533175E-2</v>
      </c>
      <c r="O214" s="24">
        <f>-(SUM([1]H7!$FR$66:$GH$66)/1000/O205)</f>
        <v>3.0548008961875865E-2</v>
      </c>
      <c r="P214" s="24">
        <f>-(SUM([1]H7!$FR$67:$GH$67)/1000/P205)</f>
        <v>3.390515044718654E-2</v>
      </c>
      <c r="Q214" s="7"/>
    </row>
    <row r="215" spans="2:17" ht="20.149999999999999" customHeight="1" x14ac:dyDescent="0.25">
      <c r="B215" s="224"/>
      <c r="C215" s="9"/>
      <c r="D215" s="17" t="s">
        <v>79</v>
      </c>
      <c r="E215" s="8"/>
      <c r="F215" s="24">
        <v>0.93471601743687949</v>
      </c>
      <c r="G215" s="24">
        <v>1.003136167784602</v>
      </c>
      <c r="H215" s="24">
        <v>0.92214302963077155</v>
      </c>
      <c r="I215" s="8"/>
      <c r="J215" s="24">
        <f>+J209+J210+J213+J214</f>
        <v>0.97483173037599469</v>
      </c>
      <c r="K215" s="24">
        <f>+K209+K210+K213+K214</f>
        <v>0.90260032719758954</v>
      </c>
      <c r="L215" s="24">
        <f>+L209+L210+L213+L214</f>
        <v>0.9538881258347377</v>
      </c>
      <c r="M215" s="8"/>
      <c r="N215" s="24">
        <f>+N209+N210+N213+N214</f>
        <v>1.0262324780929035</v>
      </c>
      <c r="O215" s="24">
        <f>+O209+O210+O213+O214</f>
        <v>0.85989922195811552</v>
      </c>
      <c r="P215" s="24">
        <f>+P209+P210+P213+P214</f>
        <v>0.95388812583473737</v>
      </c>
      <c r="Q215" s="8"/>
    </row>
    <row r="216" spans="2:17" ht="19.5" customHeight="1" x14ac:dyDescent="0.25">
      <c r="B216" s="224"/>
      <c r="C216" s="9"/>
      <c r="D216" s="17" t="s">
        <v>34</v>
      </c>
      <c r="E216" s="6"/>
      <c r="F216" s="23">
        <v>6.3072856900000263</v>
      </c>
      <c r="G216" s="23">
        <v>-0.25402889999998773</v>
      </c>
      <c r="H216" s="23">
        <v>6.5193880942056417</v>
      </c>
      <c r="I216" s="6"/>
      <c r="J216" s="23">
        <f>+[1]H7!$BK$65/1000</f>
        <v>3.5115604100000244</v>
      </c>
      <c r="K216" s="23">
        <f>+[1]H7!$BK$66/1000</f>
        <v>12.784085229999985</v>
      </c>
      <c r="L216" s="23">
        <f>+[1]H7!$BK$67/1000</f>
        <v>6.3375099811574342</v>
      </c>
      <c r="M216" s="6"/>
      <c r="N216" s="23">
        <f>+[1]H7!$GI$65/1000</f>
        <v>-1.2795241799999775</v>
      </c>
      <c r="O216" s="23">
        <f>+[1]H7!$GI$66/1000</f>
        <v>6.406250479999982</v>
      </c>
      <c r="P216" s="23">
        <f>+[1]H7!$GI$67/1000</f>
        <v>2.112503327052492</v>
      </c>
      <c r="Q216" s="6"/>
    </row>
    <row r="217" spans="2:17" ht="7.5" customHeight="1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2:17" ht="19.5" customHeight="1" x14ac:dyDescent="0.25">
      <c r="B218" s="224" t="s">
        <v>49</v>
      </c>
      <c r="C218" s="9"/>
      <c r="D218" s="17" t="s">
        <v>19</v>
      </c>
      <c r="E218" s="6"/>
      <c r="F218" s="23">
        <v>0</v>
      </c>
      <c r="G218" s="23">
        <v>0</v>
      </c>
      <c r="H218" s="23">
        <v>0</v>
      </c>
      <c r="I218" s="6"/>
      <c r="J218" s="23">
        <f t="shared" ref="J218:L219" si="8">+J232+J246</f>
        <v>81.169258869999993</v>
      </c>
      <c r="K218" s="23">
        <f t="shared" si="8"/>
        <v>87.322458720000043</v>
      </c>
      <c r="L218" s="23">
        <f t="shared" si="8"/>
        <v>74.17660902431291</v>
      </c>
      <c r="M218" s="6"/>
      <c r="N218" s="23">
        <f t="shared" ref="N218:P219" si="9">+N232+N246</f>
        <v>17.00458738</v>
      </c>
      <c r="O218" s="23">
        <f t="shared" si="9"/>
        <v>15.232166550000015</v>
      </c>
      <c r="P218" s="23">
        <f t="shared" si="9"/>
        <v>16.079361149766186</v>
      </c>
      <c r="Q218" s="6"/>
    </row>
    <row r="219" spans="2:17" ht="20.149999999999999" customHeight="1" x14ac:dyDescent="0.25">
      <c r="B219" s="224"/>
      <c r="C219" s="9"/>
      <c r="D219" s="17" t="s">
        <v>20</v>
      </c>
      <c r="E219" s="6"/>
      <c r="F219" s="23">
        <v>0</v>
      </c>
      <c r="G219" s="23">
        <v>0</v>
      </c>
      <c r="H219" s="23">
        <v>0</v>
      </c>
      <c r="I219" s="6"/>
      <c r="J219" s="23">
        <f t="shared" si="8"/>
        <v>51.58129128000003</v>
      </c>
      <c r="K219" s="23">
        <f t="shared" si="8"/>
        <v>55.497027350000032</v>
      </c>
      <c r="L219" s="23">
        <f t="shared" si="8"/>
        <v>51.510870823104682</v>
      </c>
      <c r="M219" s="6"/>
      <c r="N219" s="23">
        <f t="shared" si="9"/>
        <v>19.821546490000014</v>
      </c>
      <c r="O219" s="23">
        <f t="shared" si="9"/>
        <v>22.230544980000015</v>
      </c>
      <c r="P219" s="23">
        <f t="shared" si="9"/>
        <v>17.170290274368224</v>
      </c>
      <c r="Q219" s="6"/>
    </row>
    <row r="220" spans="2:17" ht="19.5" customHeight="1" x14ac:dyDescent="0.25">
      <c r="B220" s="224"/>
      <c r="C220" s="9"/>
      <c r="D220" s="17" t="s">
        <v>92</v>
      </c>
      <c r="E220" s="6"/>
      <c r="F220" s="24">
        <f>0</f>
        <v>0</v>
      </c>
      <c r="G220" s="24">
        <f>0</f>
        <v>0</v>
      </c>
      <c r="H220" s="24">
        <f>0</f>
        <v>0</v>
      </c>
      <c r="I220" s="6"/>
      <c r="J220" s="24">
        <f>(-(SUM([3]H7!$O$69,[3]H7!$R$69:$V$69,[3]H7!$Y$69:$AB$69)/1000)-(SUM([3]H7!$O$73,[3]H7!$R$73:$V$73,[3]H7!$Y$73:$AB$73)/1000))/J219</f>
        <v>0.79571096130961327</v>
      </c>
      <c r="K220" s="24">
        <f>(-(SUM([3]H7!$O$70,[3]H7!$R$70:$V$70,[3]H7!$Y$70:$AB$70)/1000)-(SUM([3]H7!$O$74,[3]H7!$R$74:$V$74,[3]H7!$Y$74:$AB$74)/1000))/K219</f>
        <v>0.72667272655280279</v>
      </c>
      <c r="L220" s="24">
        <f>(-(SUM([3]H7!$O$71,[3]H7!$R$71:$V$71,[3]H7!$Y$71:$AB$71)/1000)-(SUM([3]H7!$O$75,[3]H7!$R$75:$V$75,[3]H7!$Y$75:$AB$75)/1000))/L219</f>
        <v>0.79793913996114774</v>
      </c>
      <c r="M220" s="6"/>
      <c r="N220" s="24">
        <f>(-(SUM([3]H7!$EM$69,[3]H7!$EP$69:$ET$69,[3]H7!$EW$69:$EZ$69)/1000)-(SUM([3]H7!$EM$73,[3]H7!$EP$73:$ET$73,[3]H7!$EW$73:$EZ$73)/1000))/N219</f>
        <v>0.77683611153995247</v>
      </c>
      <c r="O220" s="24">
        <f>(-(SUM([3]H7!$EM$70,[3]H7!$EP$70:$ET$70,[3]H7!$EW$70:$EZ$70)/1000)-(SUM([3]H7!$EM$74,[3]H7!$EP$74:$ET$74,[3]H7!$EW$74:$EZ$74)/1000))/O219</f>
        <v>0.76639081746883853</v>
      </c>
      <c r="P220" s="24">
        <f>(-(SUM([3]H7!$EM$71,[3]H7!$EP$71:$ET$71,[3]H7!$EW$71:$EZ$71)/1000)-(SUM([3]H7!$EM$75,[3]H7!$EP$75:$ET$75,[3]H7!$EW$75:$EZ$75)/1000))/P219</f>
        <v>0.79793913996114796</v>
      </c>
      <c r="Q220" s="6"/>
    </row>
    <row r="221" spans="2:17" ht="19.5" customHeight="1" x14ac:dyDescent="0.25">
      <c r="B221" s="224"/>
      <c r="C221" s="9"/>
      <c r="D221" s="17" t="s">
        <v>93</v>
      </c>
      <c r="E221" s="6"/>
      <c r="F221" s="24">
        <f>0</f>
        <v>0</v>
      </c>
      <c r="G221" s="24">
        <f>0</f>
        <v>0</v>
      </c>
      <c r="H221" s="24">
        <f>0</f>
        <v>0</v>
      </c>
      <c r="I221" s="6"/>
      <c r="J221" s="24">
        <f>(-(SUM([3]H7!$Q$69,[3]H7!$X$69)/1000)-(SUM([3]H7!$Q$73,[3]H7!$X$73)/1000))/J219</f>
        <v>0</v>
      </c>
      <c r="K221" s="24">
        <f>(-(SUM([3]H7!$Q$70,[3]H7!$X$70)/1000)-(SUM([3]H7!$Q$74,[3]H7!$X$74)/1000))/K219</f>
        <v>1.7705038394277155E-2</v>
      </c>
      <c r="L221" s="24">
        <f>(-(SUM([3]H7!$Q$71,[3]H7!$X$71)/1000)-(SUM([3]H7!$Q$75,[3]H7!$X$75)/1000))/L219</f>
        <v>6.2882561401670384E-3</v>
      </c>
      <c r="M221" s="6"/>
      <c r="N221" s="24">
        <f>(-(SUM([3]H7!$EO$69,[3]H7!$EV$69)/1000)-(SUM([3]H7!$EO$73,[3]H7!$EV$73)/1000))/N219</f>
        <v>0</v>
      </c>
      <c r="O221" s="24">
        <f>(-(SUM([3]H7!$EO$70,[3]H7!$EV$70)/1000)-(SUM([3]H7!$EO$74,[3]H7!$EV$74)/1000))/O219</f>
        <v>3.0704465437715937E-2</v>
      </c>
      <c r="P221" s="24">
        <f>(-(SUM([3]H7!$EO$71,[3]H7!$EV$71)/1000)-(SUM([3]H7!$EO$75,[3]H7!$EV$75)/1000))/P219</f>
        <v>6.2882561401670384E-3</v>
      </c>
      <c r="Q221" s="6"/>
    </row>
    <row r="222" spans="2:17" ht="19.5" customHeight="1" x14ac:dyDescent="0.25">
      <c r="B222" s="224"/>
      <c r="C222" s="9"/>
      <c r="D222" s="17" t="s">
        <v>94</v>
      </c>
      <c r="E222" s="6"/>
      <c r="F222" s="24">
        <f>0</f>
        <v>0</v>
      </c>
      <c r="G222" s="24">
        <f>0</f>
        <v>0</v>
      </c>
      <c r="H222" s="24">
        <f>0</f>
        <v>0</v>
      </c>
      <c r="I222" s="6"/>
      <c r="J222" s="24">
        <f>(-(SUM([3]H7!$P$69,[3]H7!$W$69)/1000)-(SUM([3]H7!$P$73,[3]H7!$W$73)/1000))/J219</f>
        <v>0</v>
      </c>
      <c r="K222" s="24">
        <f>(-(SUM([3]H7!$P$70,[3]H7!$W$70)/1000)-(SUM([3]H7!$P$74,[3]H7!$W$74)/1000))/K219</f>
        <v>0</v>
      </c>
      <c r="L222" s="24">
        <f>(-(SUM([3]H7!$P$71,[3]H7!$W$71)/1000)-(SUM([3]H7!$P$75,[3]H7!$W$75)/1000))/L219</f>
        <v>0</v>
      </c>
      <c r="M222" s="6"/>
      <c r="N222" s="24">
        <f>(-(SUM([3]H7!$EN$69,[3]H7!$EU$69)/1000)-(SUM([3]H7!$EN$73,[3]H7!$EU$73)/1000))/N219</f>
        <v>0</v>
      </c>
      <c r="O222" s="24">
        <f>(-(SUM([3]H7!$EN$70,[3]H7!$EU$70)/1000)-(SUM([3]H7!$EN$74,[3]H7!$EU$74)/1000))/O219</f>
        <v>0</v>
      </c>
      <c r="P222" s="24">
        <f>(-(SUM([3]H7!$EN$71,[3]H7!$EU$71)/1000)-(SUM([3]H7!$EN$75,[3]H7!$EU$75)/1000))/P219</f>
        <v>0</v>
      </c>
      <c r="Q222" s="6"/>
    </row>
    <row r="223" spans="2:17" ht="19.5" customHeight="1" outlineLevel="1" x14ac:dyDescent="0.25">
      <c r="B223" s="224"/>
      <c r="C223" s="9"/>
      <c r="D223" s="17" t="s">
        <v>95</v>
      </c>
      <c r="E223" s="7"/>
      <c r="F223" s="24">
        <v>0</v>
      </c>
      <c r="G223" s="24">
        <v>0</v>
      </c>
      <c r="H223" s="24">
        <v>0</v>
      </c>
      <c r="I223" s="7"/>
      <c r="J223" s="24">
        <f>+J220+J221+J222</f>
        <v>0.79571096130961327</v>
      </c>
      <c r="K223" s="24">
        <f>+K220+K221+K222</f>
        <v>0.74437776494707997</v>
      </c>
      <c r="L223" s="24">
        <f>+L220+L221+L222</f>
        <v>0.80422739610131477</v>
      </c>
      <c r="M223" s="7"/>
      <c r="N223" s="24">
        <f>+N220+N221+N222</f>
        <v>0.77683611153995247</v>
      </c>
      <c r="O223" s="24">
        <f>+O220+O221+O222</f>
        <v>0.79709528290655451</v>
      </c>
      <c r="P223" s="24">
        <f>+P220+P221+P222</f>
        <v>0.804227396101315</v>
      </c>
      <c r="Q223" s="7"/>
    </row>
    <row r="224" spans="2:17" ht="20.149999999999999" customHeight="1" x14ac:dyDescent="0.25">
      <c r="B224" s="224"/>
      <c r="C224" s="9"/>
      <c r="D224" s="17" t="s">
        <v>96</v>
      </c>
      <c r="E224" s="7"/>
      <c r="F224" s="24">
        <v>0</v>
      </c>
      <c r="G224" s="24">
        <v>0</v>
      </c>
      <c r="H224" s="24">
        <v>0</v>
      </c>
      <c r="I224" s="7"/>
      <c r="J224" s="24">
        <f>(-(SUM([3]H7!$AC$69:$AK$69)/1000)-(SUM([3]H7!$AC$73:$AK$73)/1000))/J219</f>
        <v>-4.9096436656714077E-3</v>
      </c>
      <c r="K224" s="24">
        <f>(-(SUM([3]H7!$AC$70:$AK$70)/1000)-(SUM([3]H7!$AC$74:$AK$74)/1000))/K219</f>
        <v>5.5109058737720158E-2</v>
      </c>
      <c r="L224" s="24">
        <f>(-(SUM([3]H7!$AC$71:$AK$71)/1000)-(SUM([3]H7!$AC$75:$AK$75)/1000))/L219</f>
        <v>-2.7105874176303259E-2</v>
      </c>
      <c r="M224" s="7"/>
      <c r="N224" s="24">
        <f>(-(SUM([3]H7!$FA$69:$FI$69)/1000)-(SUM([3]H7!$FA$73:$FI$73)/1000))/N219</f>
        <v>2.441854979601003E-2</v>
      </c>
      <c r="O224" s="24">
        <f>(-(SUM([3]H7!$FA$70:$FI$70)/1000)-(SUM([3]H7!$FA$74:$FI$74)/1000))/O219</f>
        <v>0.17209389528875177</v>
      </c>
      <c r="P224" s="24">
        <f>(-(SUM([3]H7!$FA$71:$FI$71)/1000)-(SUM([3]H7!$FA$75:$FI$75)/1000))/P219</f>
        <v>-2.7105874176303304E-2</v>
      </c>
      <c r="Q224" s="7"/>
    </row>
    <row r="225" spans="2:17" ht="20.149999999999999" customHeight="1" outlineLevel="1" x14ac:dyDescent="0.25">
      <c r="B225" s="224"/>
      <c r="C225" s="9"/>
      <c r="D225" s="18" t="s">
        <v>87</v>
      </c>
      <c r="E225" s="7"/>
      <c r="F225" s="24">
        <v>0</v>
      </c>
      <c r="G225" s="24">
        <v>0</v>
      </c>
      <c r="H225" s="24">
        <v>0</v>
      </c>
      <c r="I225" s="7"/>
      <c r="J225" s="24">
        <f>(-(SUM([3]H7!$AL$69:$AN$69)/1000)-(SUM([3]H7!$AL$73:$AN$73)/1000))/J219</f>
        <v>4.7084070207092335E-2</v>
      </c>
      <c r="K225" s="24">
        <f>(-(SUM([3]H7!$AL$70:$AN$70)/1000)-(SUM([3]H7!$AL$74:$AN$74)/1000))/K219</f>
        <v>5.4059705415915371E-2</v>
      </c>
      <c r="L225" s="24">
        <f>(-(SUM([3]H7!$AL$71:$AN$71)/1000)-(SUM([3]H7!$AL$75:$AN$75)/1000))/L219</f>
        <v>4.9509368151583313E-2</v>
      </c>
      <c r="M225" s="7"/>
      <c r="N225" s="24">
        <f>(-(SUM([3]H7!$FJ$69:$FL$69)/1000)-(SUM([3]H7!$FJ$73:$FL$73)/1000))/N219</f>
        <v>5.0048708384105342E-2</v>
      </c>
      <c r="O225" s="24">
        <f>(-(SUM([3]H7!$FJ$70:$FL$70)/1000)-(SUM([3]H7!$FJ$74:$FL$74)/1000))/O219</f>
        <v>8.5595403608499349E-2</v>
      </c>
      <c r="P225" s="24">
        <f>(-(SUM([3]H7!$FJ$71:$FL$71)/1000)-(SUM([3]H7!$FJ$75:$FL$75)/1000))/P219</f>
        <v>4.9509368151583327E-2</v>
      </c>
      <c r="Q225" s="7"/>
    </row>
    <row r="226" spans="2:17" ht="19.5" customHeight="1" outlineLevel="1" x14ac:dyDescent="0.25">
      <c r="B226" s="224"/>
      <c r="C226" s="9"/>
      <c r="D226" s="18" t="s">
        <v>88</v>
      </c>
      <c r="E226" s="7"/>
      <c r="F226" s="24">
        <v>0</v>
      </c>
      <c r="G226" s="24">
        <v>0</v>
      </c>
      <c r="H226" s="24">
        <v>0</v>
      </c>
      <c r="I226" s="7"/>
      <c r="J226" s="24">
        <f>(-(SUM([3]H7!$AO$69:$AR$69)/1000)-(SUM([3]H7!$AO$73:$AR$73)/1000))/J219</f>
        <v>0.10625259147254132</v>
      </c>
      <c r="K226" s="24">
        <f>(-(SUM([3]H7!$AO$70:$AR$70)/1000)-(SUM([3]H7!$AO$74:$AR$74)/1000))/K219</f>
        <v>0.10619380481106068</v>
      </c>
      <c r="L226" s="24">
        <f>(-(SUM([3]H7!$AO$71:$AR$71)/1000)-(SUM([3]H7!$AO$75:$AR$75)/1000))/L219</f>
        <v>0.11544535652841942</v>
      </c>
      <c r="M226" s="7"/>
      <c r="N226" s="24">
        <f>(-(SUM([3]H7!$FM$69:$FP$69)/1000)-(SUM([3]H7!$FM$73:$FP$73)/1000))/N219</f>
        <v>8.9006784656790863E-2</v>
      </c>
      <c r="O226" s="24">
        <f>(-(SUM([3]H7!$FM$70:$FP$70)/1000)-(SUM([3]H7!$FM$74:$FP$74)/1000))/O219</f>
        <v>9.6935173291464602E-2</v>
      </c>
      <c r="P226" s="24">
        <f>(-(SUM([3]H7!$FM$71:$FP$71)/1000)-(SUM([3]H7!$FM$75:$FP$75)/1000))/P219</f>
        <v>0.11544535652841945</v>
      </c>
      <c r="Q226" s="7"/>
    </row>
    <row r="227" spans="2:17" ht="20.149999999999999" customHeight="1" x14ac:dyDescent="0.25">
      <c r="B227" s="224"/>
      <c r="C227" s="9"/>
      <c r="D227" s="17" t="s">
        <v>97</v>
      </c>
      <c r="E227" s="7"/>
      <c r="F227" s="24">
        <v>0</v>
      </c>
      <c r="G227" s="24">
        <v>0</v>
      </c>
      <c r="H227" s="24">
        <v>0</v>
      </c>
      <c r="I227" s="7"/>
      <c r="J227" s="24">
        <f>+J225+J226</f>
        <v>0.15333666167963367</v>
      </c>
      <c r="K227" s="24">
        <f>+K225+K226</f>
        <v>0.16025351022697604</v>
      </c>
      <c r="L227" s="24">
        <f>+L225+L226</f>
        <v>0.16495472468000272</v>
      </c>
      <c r="M227" s="7"/>
      <c r="N227" s="24">
        <f>+N225+N226</f>
        <v>0.13905549304089621</v>
      </c>
      <c r="O227" s="24">
        <f>+O225+O226</f>
        <v>0.18253057689996394</v>
      </c>
      <c r="P227" s="24">
        <f>+P225+P226</f>
        <v>0.16495472468000277</v>
      </c>
      <c r="Q227" s="7"/>
    </row>
    <row r="228" spans="2:17" ht="20.149999999999999" customHeight="1" x14ac:dyDescent="0.25">
      <c r="B228" s="224"/>
      <c r="C228" s="9"/>
      <c r="D228" s="17" t="s">
        <v>90</v>
      </c>
      <c r="E228" s="7"/>
      <c r="F228" s="24"/>
      <c r="G228" s="24"/>
      <c r="H228" s="24"/>
      <c r="I228" s="7"/>
      <c r="J228" s="24">
        <f>(-(SUM([3]H7!$AT$69:$BJ$69)/1000)-(SUM([3]H7!$AT$73:$BJ$73)/1000))/J219</f>
        <v>1.2231631553679798E-2</v>
      </c>
      <c r="K228" s="24">
        <f>(-(SUM([3]H7!$AT$70:$BJ$70)/1000)-(SUM([3]H7!$AT$74:$BJ$74)/1000))/K219</f>
        <v>1.5383197276782288E-2</v>
      </c>
      <c r="L228" s="24">
        <f>(-(SUM([3]H7!$AT$71:$BJ$71)/1000)-(SUM([3]H7!$AT$75:$BJ$75)/1000))/L219</f>
        <v>2.1642642839208654E-2</v>
      </c>
      <c r="M228" s="7"/>
      <c r="N228" s="24">
        <f>(-(SUM([3]H7!$FR$69:$GH$69)/1000)-(SUM([3]H7!$FR$73:$GH$73)/1000))/N219</f>
        <v>-2.4321600751143188E-2</v>
      </c>
      <c r="O228" s="24">
        <f>(-(SUM([3]H7!$FR$70:$GH$70)/1000)-(SUM([3]H7!$FR$74:$GH$74)/1000))/O219</f>
        <v>2.8212970512610843E-2</v>
      </c>
      <c r="P228" s="24">
        <f>(-(SUM([3]H7!$FR$71:$GH$71)/1000)-(SUM([3]H7!$FR$75:$GH$75)/1000))/P219</f>
        <v>2.1642642839208675E-2</v>
      </c>
      <c r="Q228" s="7"/>
    </row>
    <row r="229" spans="2:17" ht="20.149999999999999" customHeight="1" x14ac:dyDescent="0.25">
      <c r="B229" s="224"/>
      <c r="C229" s="9"/>
      <c r="D229" s="17" t="s">
        <v>79</v>
      </c>
      <c r="E229" s="8"/>
      <c r="F229" s="24">
        <v>0</v>
      </c>
      <c r="G229" s="24">
        <v>0</v>
      </c>
      <c r="H229" s="24">
        <v>0</v>
      </c>
      <c r="I229" s="8"/>
      <c r="J229" s="24">
        <f>+J223+J224+J227+J228</f>
        <v>0.95636961087725536</v>
      </c>
      <c r="K229" s="24">
        <f>+K223+K224+K227+K228</f>
        <v>0.97512353118855855</v>
      </c>
      <c r="L229" s="24">
        <f>+L223+L224+L227+L228</f>
        <v>0.9637188894442229</v>
      </c>
      <c r="M229" s="8"/>
      <c r="N229" s="24">
        <f>+N223+N224+N227+N228</f>
        <v>0.91598855362571541</v>
      </c>
      <c r="O229" s="24">
        <f>+O223+O224+O227+O228</f>
        <v>1.1799327256078811</v>
      </c>
      <c r="P229" s="24">
        <f>+P223+P224+P227+P228</f>
        <v>0.96371888944422324</v>
      </c>
      <c r="Q229" s="8"/>
    </row>
    <row r="230" spans="2:17" ht="19.5" customHeight="1" x14ac:dyDescent="0.25">
      <c r="B230" s="224"/>
      <c r="C230" s="9"/>
      <c r="D230" s="17" t="s">
        <v>34</v>
      </c>
      <c r="E230" s="6"/>
      <c r="F230" s="23">
        <v>0</v>
      </c>
      <c r="G230" s="23">
        <v>0</v>
      </c>
      <c r="H230" s="23">
        <v>0</v>
      </c>
      <c r="I230" s="6"/>
      <c r="J230" s="23">
        <f>+J244+J258</f>
        <v>2.2505118100000256</v>
      </c>
      <c r="K230" s="23">
        <f>+K244+K258</f>
        <v>1.3805700699999917</v>
      </c>
      <c r="L230" s="23">
        <f>+L244+L258</f>
        <v>1.8688715991574105</v>
      </c>
      <c r="M230" s="6"/>
      <c r="N230" s="23">
        <f>+N244+N258</f>
        <v>1.665236790000024</v>
      </c>
      <c r="O230" s="23">
        <f>+O244+O258</f>
        <v>-4.0000025499999996</v>
      </c>
      <c r="P230" s="23">
        <f>+P244+P258</f>
        <v>0.62295719971913177</v>
      </c>
      <c r="Q230" s="6"/>
    </row>
    <row r="231" spans="2:17" ht="7.5" customHeight="1" outlineLevel="1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2:17" ht="19.5" customHeight="1" outlineLevel="1" x14ac:dyDescent="0.25">
      <c r="B232" s="224" t="s">
        <v>50</v>
      </c>
      <c r="C232" s="9"/>
      <c r="D232" s="17" t="s">
        <v>19</v>
      </c>
      <c r="E232" s="6"/>
      <c r="F232" s="23"/>
      <c r="G232" s="23"/>
      <c r="H232" s="23"/>
      <c r="I232" s="6"/>
      <c r="J232" s="23">
        <f>+[3]H7!$C$69/1000</f>
        <v>64.406278970000002</v>
      </c>
      <c r="K232" s="23">
        <f>+[3]H7!$C$70/1000</f>
        <v>71.44761111000004</v>
      </c>
      <c r="L232" s="23">
        <f>+[3]H7!$C$71/1000</f>
        <v>56.759920000000001</v>
      </c>
      <c r="M232" s="6"/>
      <c r="N232" s="23">
        <f>+[3]H7!$EA$69/1000</f>
        <v>9.9054457100000004</v>
      </c>
      <c r="O232" s="23">
        <f>+[3]H7!$EA$70/1000</f>
        <v>8.4835909500000124</v>
      </c>
      <c r="P232" s="23">
        <f>+[3]H7!$EA$71/1000</f>
        <v>9.171739999999998</v>
      </c>
      <c r="Q232" s="6"/>
    </row>
    <row r="233" spans="2:17" ht="20.149999999999999" customHeight="1" outlineLevel="1" x14ac:dyDescent="0.25">
      <c r="B233" s="224"/>
      <c r="C233" s="9"/>
      <c r="D233" s="17" t="s">
        <v>20</v>
      </c>
      <c r="E233" s="6"/>
      <c r="F233" s="23"/>
      <c r="G233" s="23"/>
      <c r="H233" s="23"/>
      <c r="I233" s="6"/>
      <c r="J233" s="23">
        <f>+[3]H7!$N$69/1000</f>
        <v>34.75387793000003</v>
      </c>
      <c r="K233" s="23">
        <f>+[3]H7!$N$70/1000</f>
        <v>39.821462900000029</v>
      </c>
      <c r="L233" s="23">
        <f>+[3]H7!$N$71/1000</f>
        <v>34.257234375000003</v>
      </c>
      <c r="M233" s="6"/>
      <c r="N233" s="23">
        <f>+[3]H7!$EL$69/1000</f>
        <v>12.607068770000016</v>
      </c>
      <c r="O233" s="23">
        <f>+[3]H7!$EL$70/1000</f>
        <v>14.882346070000013</v>
      </c>
      <c r="P233" s="23">
        <f>+[3]H7!$EL$71/1000</f>
        <v>11.419078124999999</v>
      </c>
      <c r="Q233" s="6"/>
    </row>
    <row r="234" spans="2:17" ht="19.5" customHeight="1" outlineLevel="1" x14ac:dyDescent="0.25">
      <c r="B234" s="224"/>
      <c r="C234" s="9"/>
      <c r="D234" s="17" t="s">
        <v>92</v>
      </c>
      <c r="E234" s="6"/>
      <c r="F234" s="24"/>
      <c r="G234" s="24"/>
      <c r="H234" s="24"/>
      <c r="I234" s="6"/>
      <c r="J234" s="24">
        <f>-(SUM([3]H7!$O$69,[3]H7!$R$69:$V$69,[3]H7!$Y$69:$AB$69)/1000)/J233</f>
        <v>0.8174273373814539</v>
      </c>
      <c r="K234" s="24">
        <f>-(SUM([3]H7!$O$70,[3]H7!$R$70:$V$70,[3]H7!$Y$70:$AB$70)/1000)/K233</f>
        <v>0.69684339647903726</v>
      </c>
      <c r="L234" s="24">
        <f>-(SUM([3]H7!$O$71,[3]H7!$R$71:$V$71,[3]H7!$Y$71:$AB$71)/1000)/L233</f>
        <v>0.81009954856045419</v>
      </c>
      <c r="M234" s="6"/>
      <c r="N234" s="24">
        <f>-(SUM([3]H7!$EM$69,[3]H7!$EP$69:$ET$69,[3]H7!$EW$69:$EZ$69)/1000)/N233</f>
        <v>0.82895779666632163</v>
      </c>
      <c r="O234" s="24">
        <f>-(SUM([3]H7!$EM$70,[3]H7!$EP$70:$ET$70,[3]H7!$EW$70:$EZ$70)/1000)/O233</f>
        <v>0.71044579868448032</v>
      </c>
      <c r="P234" s="24">
        <f>-(SUM([3]H7!$EM$71,[3]H7!$EP$71:$ET$71,[3]H7!$EW$71:$EZ$71)/1000)/P233</f>
        <v>0.81009954856045452</v>
      </c>
      <c r="Q234" s="6"/>
    </row>
    <row r="235" spans="2:17" ht="19.5" customHeight="1" outlineLevel="1" x14ac:dyDescent="0.25">
      <c r="B235" s="224"/>
      <c r="C235" s="9"/>
      <c r="D235" s="17" t="s">
        <v>93</v>
      </c>
      <c r="E235" s="6"/>
      <c r="F235" s="24"/>
      <c r="G235" s="24"/>
      <c r="H235" s="24"/>
      <c r="I235" s="6"/>
      <c r="J235" s="24">
        <f>-(SUM([3]H7!$Q$69,[3]H7!$X$69)/1000)/J233</f>
        <v>0</v>
      </c>
      <c r="K235" s="24">
        <f>-(SUM([3]H7!$Q$70,[3]H7!$X$70)/1000)/K233</f>
        <v>2.4674558101179134E-2</v>
      </c>
      <c r="L235" s="24">
        <f>-(SUM([3]H7!$Q$71,[3]H7!$X$71)/1000)/L233</f>
        <v>9.45533273915195E-3</v>
      </c>
      <c r="M235" s="6"/>
      <c r="N235" s="24">
        <f>-(SUM([3]H7!$EO$69,[3]H7!$EV$69)/1000)/N233</f>
        <v>0</v>
      </c>
      <c r="O235" s="24">
        <f>-(SUM([3]H7!$EO$70,[3]H7!$EV$70)/1000)/O233</f>
        <v>4.5864878883306294E-2</v>
      </c>
      <c r="P235" s="24">
        <f>-(SUM([3]H7!$EO$71,[3]H7!$EV$71)/1000)/P233</f>
        <v>9.4553327391519518E-3</v>
      </c>
      <c r="Q235" s="6"/>
    </row>
    <row r="236" spans="2:17" ht="19.5" customHeight="1" outlineLevel="1" x14ac:dyDescent="0.25">
      <c r="B236" s="224"/>
      <c r="C236" s="9"/>
      <c r="D236" s="17" t="s">
        <v>94</v>
      </c>
      <c r="E236" s="6"/>
      <c r="F236" s="24"/>
      <c r="G236" s="24"/>
      <c r="H236" s="24"/>
      <c r="I236" s="6"/>
      <c r="J236" s="24">
        <f>-(SUM([3]H7!$P$69,[3]H7!$W$69)/1000)/J233</f>
        <v>0</v>
      </c>
      <c r="K236" s="24">
        <f>-(SUM([3]H7!$P$70,[3]H7!$W$70)/1000)/K233</f>
        <v>0</v>
      </c>
      <c r="L236" s="24">
        <f>-(SUM([3]H7!$P$71,[3]H7!$W$71)/1000)/L233</f>
        <v>0</v>
      </c>
      <c r="M236" s="6"/>
      <c r="N236" s="24">
        <f>-(SUM([3]H7!$EN$69,[3]H7!$EU$69)/1000)/N233</f>
        <v>0</v>
      </c>
      <c r="O236" s="24">
        <f>-(SUM([3]H7!$EN$70,[3]H7!$EU$70)/1000)/O233</f>
        <v>0</v>
      </c>
      <c r="P236" s="24">
        <f>-(SUM([3]H7!$EN$71,[3]H7!$EU$71)/1000)/P233</f>
        <v>0</v>
      </c>
      <c r="Q236" s="6"/>
    </row>
    <row r="237" spans="2:17" ht="19.5" customHeight="1" outlineLevel="2" x14ac:dyDescent="0.25">
      <c r="B237" s="224"/>
      <c r="C237" s="9"/>
      <c r="D237" s="17" t="s">
        <v>95</v>
      </c>
      <c r="E237" s="7"/>
      <c r="F237" s="24"/>
      <c r="G237" s="24"/>
      <c r="H237" s="24"/>
      <c r="I237" s="7"/>
      <c r="J237" s="24">
        <f>+J234+J235+J236</f>
        <v>0.8174273373814539</v>
      </c>
      <c r="K237" s="24">
        <f>+K234+K235+K236</f>
        <v>0.72151795458021639</v>
      </c>
      <c r="L237" s="24">
        <f>+L234+L235+L236</f>
        <v>0.81955488129960619</v>
      </c>
      <c r="M237" s="7"/>
      <c r="N237" s="24">
        <f>+N234+N235+N236</f>
        <v>0.82895779666632163</v>
      </c>
      <c r="O237" s="24">
        <f>+O234+O235+O236</f>
        <v>0.75631067756778658</v>
      </c>
      <c r="P237" s="24">
        <f>+P234+P235+P236</f>
        <v>0.81955488129960652</v>
      </c>
      <c r="Q237" s="7"/>
    </row>
    <row r="238" spans="2:17" ht="20.149999999999999" customHeight="1" outlineLevel="1" x14ac:dyDescent="0.25">
      <c r="B238" s="224"/>
      <c r="C238" s="9"/>
      <c r="D238" s="17" t="s">
        <v>96</v>
      </c>
      <c r="E238" s="7"/>
      <c r="F238" s="24"/>
      <c r="G238" s="24"/>
      <c r="H238" s="24"/>
      <c r="I238" s="7"/>
      <c r="J238" s="24">
        <f>-(SUM([3]H7!$AC$69:$AK$69)/1000)/J233</f>
        <v>1.404540986715731E-2</v>
      </c>
      <c r="K238" s="24">
        <f>-(SUM([3]H7!$AC$70:$AK$70)/1000)/K233</f>
        <v>3.2180524939981796E-2</v>
      </c>
      <c r="L238" s="24">
        <f>-(SUM([3]H7!$AC$71:$AK$71)/1000)/L233</f>
        <v>-1.6955713113417283E-2</v>
      </c>
      <c r="M238" s="7"/>
      <c r="N238" s="24">
        <f>-(SUM([3]H7!$FA$69:$FI$69)/1000)/N233</f>
        <v>5.7684063065517509E-2</v>
      </c>
      <c r="O238" s="24">
        <f>-(SUM([3]H7!$FA$70:$FI$70)/1000)/O233</f>
        <v>0.1659456847988757</v>
      </c>
      <c r="P238" s="24">
        <f>-(SUM([3]H7!$FA$71:$FI$71)/1000)/P233</f>
        <v>-1.6955713113417242E-2</v>
      </c>
      <c r="Q238" s="7"/>
    </row>
    <row r="239" spans="2:17" ht="20.149999999999999" customHeight="1" outlineLevel="2" x14ac:dyDescent="0.25">
      <c r="B239" s="224"/>
      <c r="C239" s="9"/>
      <c r="D239" s="18" t="s">
        <v>87</v>
      </c>
      <c r="E239" s="7"/>
      <c r="F239" s="24"/>
      <c r="G239" s="24"/>
      <c r="H239" s="24"/>
      <c r="I239" s="7"/>
      <c r="J239" s="24">
        <f>-(SUM([3]H7!$AL$69:$AN$69)/1000)/J233</f>
        <v>3.7733476035144736E-2</v>
      </c>
      <c r="K239" s="24">
        <f>-(SUM([3]H7!$AL$70:$AN$70)/1000)/K233</f>
        <v>4.6750610962612307E-2</v>
      </c>
      <c r="L239" s="24">
        <f>-(SUM([3]H7!$AL$71:$AN$71)/1000)/L233</f>
        <v>3.7777349036220903E-2</v>
      </c>
      <c r="M239" s="7"/>
      <c r="N239" s="24">
        <f>-(SUM([3]H7!$FJ$69:$FL$69)/1000)/N233</f>
        <v>3.8724801847812643E-2</v>
      </c>
      <c r="O239" s="24">
        <f>-(SUM([3]H7!$FJ$70:$FL$70)/1000)/O233</f>
        <v>8.9426404529242318E-2</v>
      </c>
      <c r="P239" s="24">
        <f>-(SUM([3]H7!$FJ$71:$FL$71)/1000)/P233</f>
        <v>3.7777349036220917E-2</v>
      </c>
      <c r="Q239" s="7"/>
    </row>
    <row r="240" spans="2:17" ht="19.5" customHeight="1" outlineLevel="2" x14ac:dyDescent="0.25">
      <c r="B240" s="224"/>
      <c r="C240" s="9"/>
      <c r="D240" s="18" t="s">
        <v>88</v>
      </c>
      <c r="E240" s="7"/>
      <c r="F240" s="24"/>
      <c r="G240" s="24"/>
      <c r="H240" s="24"/>
      <c r="I240" s="7"/>
      <c r="J240" s="24">
        <f>-(SUM([3]H7!$AO$69:$AR$69)/1000)/J233</f>
        <v>9.2989002450582003E-2</v>
      </c>
      <c r="K240" s="24">
        <f>-(SUM([3]H7!$AO$70:$AR$70)/1000)/K233</f>
        <v>0.11170310018921974</v>
      </c>
      <c r="L240" s="24">
        <f>-(SUM([3]H7!$AO$71:$AR$71)/1000)/L233</f>
        <v>0.10439096789051788</v>
      </c>
      <c r="M240" s="7"/>
      <c r="N240" s="24">
        <f>-(SUM([3]H7!$FM$69:$FP$69)/1000)/N233</f>
        <v>8.255132172171048E-2</v>
      </c>
      <c r="O240" s="24">
        <f>-(SUM([3]H7!$FM$70:$FP$70)/1000)/O233</f>
        <v>0.11123958898773267</v>
      </c>
      <c r="P240" s="24">
        <f>-(SUM([3]H7!$FM$71:$FP$71)/1000)/P233</f>
        <v>0.1043909678905179</v>
      </c>
      <c r="Q240" s="7"/>
    </row>
    <row r="241" spans="2:17" ht="20.149999999999999" customHeight="1" outlineLevel="1" x14ac:dyDescent="0.25">
      <c r="B241" s="224"/>
      <c r="C241" s="9"/>
      <c r="D241" s="17" t="s">
        <v>97</v>
      </c>
      <c r="E241" s="7"/>
      <c r="F241" s="24"/>
      <c r="G241" s="24"/>
      <c r="H241" s="24"/>
      <c r="I241" s="7"/>
      <c r="J241" s="24">
        <f>+J239+J240</f>
        <v>0.13072247848572674</v>
      </c>
      <c r="K241" s="24">
        <f>+K239+K240</f>
        <v>0.15845371115183204</v>
      </c>
      <c r="L241" s="24">
        <f>+L239+L240</f>
        <v>0.14216831692673879</v>
      </c>
      <c r="M241" s="7"/>
      <c r="N241" s="24">
        <f>+N239+N240</f>
        <v>0.12127612356952312</v>
      </c>
      <c r="O241" s="24">
        <f>+O239+O240</f>
        <v>0.20066599351697501</v>
      </c>
      <c r="P241" s="24">
        <f>+P239+P240</f>
        <v>0.14216831692673881</v>
      </c>
      <c r="Q241" s="7"/>
    </row>
    <row r="242" spans="2:17" ht="20.149999999999999" customHeight="1" outlineLevel="1" x14ac:dyDescent="0.25">
      <c r="B242" s="224"/>
      <c r="C242" s="9"/>
      <c r="D242" s="17" t="s">
        <v>90</v>
      </c>
      <c r="E242" s="7"/>
      <c r="F242" s="24"/>
      <c r="G242" s="24"/>
      <c r="H242" s="24"/>
      <c r="I242" s="7"/>
      <c r="J242" s="24">
        <f>-(SUM([3]H7!$AT$69:$BJ$69)/1000/J233)</f>
        <v>-1.1403124589383271E-3</v>
      </c>
      <c r="K242" s="24">
        <f>-(SUM([3]H7!$AT$70:$BJ$70)/1000/K233)</f>
        <v>2.4943412613804321E-2</v>
      </c>
      <c r="L242" s="24">
        <f>-(SUM([3]H7!$AT$71:$BJ$71)/1000/L233)</f>
        <v>2.3184376792808058E-2</v>
      </c>
      <c r="M242" s="7"/>
      <c r="N242" s="24">
        <f>-(SUM([3]H7!$FR$69:$GH$69)/1000/N233)</f>
        <v>-3.7755986636059252E-2</v>
      </c>
      <c r="O242" s="24">
        <f>-(SUM([3]H7!$FR$70:$GH$70)/1000/O233)</f>
        <v>3.0853772506044107E-2</v>
      </c>
      <c r="P242" s="24">
        <f>-(SUM([3]H7!$FR$71:$GH$71)/1000/P233)</f>
        <v>2.3184376792808086E-2</v>
      </c>
      <c r="Q242" s="7"/>
    </row>
    <row r="243" spans="2:17" ht="20.149999999999999" customHeight="1" outlineLevel="1" x14ac:dyDescent="0.25">
      <c r="B243" s="224"/>
      <c r="C243" s="9"/>
      <c r="D243" s="17" t="s">
        <v>79</v>
      </c>
      <c r="E243" s="8"/>
      <c r="F243" s="24"/>
      <c r="G243" s="24"/>
      <c r="H243" s="24"/>
      <c r="I243" s="8"/>
      <c r="J243" s="24">
        <f>+J237+J238+J241+J242</f>
        <v>0.9610549132753996</v>
      </c>
      <c r="K243" s="24">
        <f>+K237+K238+K241+K242</f>
        <v>0.93709560328583452</v>
      </c>
      <c r="L243" s="24">
        <f>+L237+L238+L241+L242</f>
        <v>0.96795186190573579</v>
      </c>
      <c r="M243" s="8"/>
      <c r="N243" s="24">
        <f>+N237+N238+N241+N242</f>
        <v>0.97016199666530301</v>
      </c>
      <c r="O243" s="24">
        <f>+O237+O238+O241+O242</f>
        <v>1.1537761283896812</v>
      </c>
      <c r="P243" s="24">
        <f>+P237+P238+P241+P242</f>
        <v>0.96795186190573612</v>
      </c>
      <c r="Q243" s="8"/>
    </row>
    <row r="244" spans="2:17" ht="19.5" customHeight="1" outlineLevel="1" x14ac:dyDescent="0.25">
      <c r="B244" s="224"/>
      <c r="C244" s="9"/>
      <c r="D244" s="17" t="s">
        <v>34</v>
      </c>
      <c r="E244" s="6"/>
      <c r="F244" s="23"/>
      <c r="G244" s="23"/>
      <c r="H244" s="23"/>
      <c r="I244" s="6"/>
      <c r="J244" s="23">
        <f>+[3]H7!$BK$69/1000</f>
        <v>1.353492790000018</v>
      </c>
      <c r="K244" s="23">
        <f>+[3]H7!$BK$70/1000</f>
        <v>2.5049451000000253</v>
      </c>
      <c r="L244" s="23">
        <f>+[3]H7!$BK$71/1000</f>
        <v>1.097880577977576</v>
      </c>
      <c r="M244" s="6"/>
      <c r="N244" s="23">
        <f>+[3]H7!$GI$69/1000</f>
        <v>0.37616976000001939</v>
      </c>
      <c r="O244" s="23">
        <f>+[3]H7!$GI$70/1000</f>
        <v>-2.2885495599999914</v>
      </c>
      <c r="P244" s="23">
        <f>+[3]H7!$GI$71/1000</f>
        <v>0.36596019265918767</v>
      </c>
      <c r="Q244" s="6"/>
    </row>
    <row r="245" spans="2:17" ht="7.5" customHeight="1" outlineLevel="1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2:17" ht="19.5" customHeight="1" outlineLevel="1" x14ac:dyDescent="0.25">
      <c r="B246" s="224" t="s">
        <v>51</v>
      </c>
      <c r="C246" s="9"/>
      <c r="D246" s="17" t="s">
        <v>19</v>
      </c>
      <c r="E246" s="6"/>
      <c r="F246" s="23"/>
      <c r="G246" s="23"/>
      <c r="H246" s="23"/>
      <c r="I246" s="6"/>
      <c r="J246" s="23">
        <f>+[3]H7!$C$73/1000</f>
        <v>16.762979899999998</v>
      </c>
      <c r="K246" s="23">
        <f>+[3]H7!$C$74/1000</f>
        <v>15.874847610000003</v>
      </c>
      <c r="L246" s="23">
        <f>+[3]H7!$C$75/1000</f>
        <v>17.416689024312909</v>
      </c>
      <c r="M246" s="6"/>
      <c r="N246" s="23">
        <f>+[3]H7!$EA$73/1000</f>
        <v>7.099141669999999</v>
      </c>
      <c r="O246" s="23">
        <f>+[3]H7!$EA$74/1000</f>
        <v>6.7485756000000023</v>
      </c>
      <c r="P246" s="23">
        <f>+[3]H7!$EA$75/1000</f>
        <v>6.9076211497661877</v>
      </c>
      <c r="Q246" s="6"/>
    </row>
    <row r="247" spans="2:17" ht="20.149999999999999" customHeight="1" outlineLevel="1" x14ac:dyDescent="0.25">
      <c r="B247" s="224"/>
      <c r="C247" s="9"/>
      <c r="D247" s="17" t="s">
        <v>20</v>
      </c>
      <c r="E247" s="6"/>
      <c r="F247" s="23"/>
      <c r="G247" s="23"/>
      <c r="H247" s="23"/>
      <c r="I247" s="6"/>
      <c r="J247" s="23">
        <f>+[3]H7!$N$73/1000</f>
        <v>16.82741335</v>
      </c>
      <c r="K247" s="23">
        <f>+[3]H7!$N$74/1000</f>
        <v>15.675564450000001</v>
      </c>
      <c r="L247" s="23">
        <f>+[3]H7!$N$75/1000</f>
        <v>17.253636448104675</v>
      </c>
      <c r="M247" s="6"/>
      <c r="N247" s="23">
        <f>+[3]H7!$EL$73/1000</f>
        <v>7.214477719999997</v>
      </c>
      <c r="O247" s="23">
        <f>+[3]H7!$EL$74/1000</f>
        <v>7.3481989100000016</v>
      </c>
      <c r="P247" s="23">
        <f>+[3]H7!$EL$75/1000</f>
        <v>5.7512121493682242</v>
      </c>
      <c r="Q247" s="6"/>
    </row>
    <row r="248" spans="2:17" ht="19.5" customHeight="1" outlineLevel="1" x14ac:dyDescent="0.25">
      <c r="B248" s="224"/>
      <c r="C248" s="9"/>
      <c r="D248" s="17" t="s">
        <v>92</v>
      </c>
      <c r="E248" s="6"/>
      <c r="F248" s="24"/>
      <c r="G248" s="24"/>
      <c r="H248" s="24"/>
      <c r="I248" s="6"/>
      <c r="J248" s="24">
        <f>-(SUM([3]H7!$O$73,[3]H7!$R$73:$V$73,[3]H7!$Y$73:$AB$73)/1000)/J247</f>
        <v>0.75085984442166198</v>
      </c>
      <c r="K248" s="24">
        <f>-(SUM([3]H7!$O$74,[3]H7!$R$74:$V$74,[3]H7!$Y$74:$AB$74)/1000)/K247</f>
        <v>0.80244974655442136</v>
      </c>
      <c r="L248" s="24">
        <f>-(SUM([3]H7!$O$75,[3]H7!$R$75:$V$75,[3]H7!$Y$75:$AB$75)/1000)/L247</f>
        <v>0.77379455057356006</v>
      </c>
      <c r="M248" s="6"/>
      <c r="N248" s="24">
        <f>-(SUM([3]H7!$EM$73,[3]H7!$EP$73:$ET$73,[3]H7!$EW$73:$EZ$73)/1000)/N247</f>
        <v>0.68575513599340643</v>
      </c>
      <c r="O248" s="24">
        <f>-(SUM([3]H7!$EM$74,[3]H7!$EP$74:$ET$74,[3]H7!$EW$74:$EZ$74)/1000)/O247</f>
        <v>0.87969655954781412</v>
      </c>
      <c r="P248" s="24">
        <f>-(SUM([3]H7!$EM$75,[3]H7!$EP$75:$ET$75,[3]H7!$EW$75:$EZ$75)/1000)/P247</f>
        <v>0.77379455057356017</v>
      </c>
      <c r="Q248" s="6"/>
    </row>
    <row r="249" spans="2:17" ht="19.5" customHeight="1" outlineLevel="1" x14ac:dyDescent="0.25">
      <c r="B249" s="224"/>
      <c r="C249" s="9"/>
      <c r="D249" s="17" t="s">
        <v>93</v>
      </c>
      <c r="E249" s="6"/>
      <c r="F249" s="24"/>
      <c r="G249" s="24"/>
      <c r="H249" s="24"/>
      <c r="I249" s="6"/>
      <c r="J249" s="24">
        <f>-(SUM([3]H7!$Q$73,[3]H7!$X$73)/1000)/J247</f>
        <v>0</v>
      </c>
      <c r="K249" s="24">
        <f>-(SUM([3]H7!$Q$74,[3]H7!$X$74)/1000)/K247</f>
        <v>0</v>
      </c>
      <c r="L249" s="24">
        <f>-(SUM([3]H7!$Q$75,[3]H7!$X$75)/1000)/L247</f>
        <v>0</v>
      </c>
      <c r="M249" s="6"/>
      <c r="N249" s="24">
        <f>-(SUM([3]H7!$EO$73,[3]H7!$EV$73)/1000)/N247</f>
        <v>0</v>
      </c>
      <c r="O249" s="24">
        <f>-(SUM([3]H7!$EO$74,[3]H7!$EV$74)/1000)/O247</f>
        <v>0</v>
      </c>
      <c r="P249" s="24">
        <f>-(SUM([3]H7!$EO$75,[3]H7!$EV$75)/1000)/P247</f>
        <v>0</v>
      </c>
      <c r="Q249" s="6"/>
    </row>
    <row r="250" spans="2:17" ht="19.5" customHeight="1" outlineLevel="1" x14ac:dyDescent="0.25">
      <c r="B250" s="224"/>
      <c r="C250" s="9"/>
      <c r="D250" s="17" t="s">
        <v>94</v>
      </c>
      <c r="E250" s="6"/>
      <c r="F250" s="24"/>
      <c r="G250" s="24"/>
      <c r="H250" s="24"/>
      <c r="I250" s="6"/>
      <c r="J250" s="24">
        <f>-(SUM([3]H7!$P$73,[3]H7!$W$73)/1000)/J247</f>
        <v>0</v>
      </c>
      <c r="K250" s="24">
        <f>-(SUM([3]H7!$P$74,[3]H7!$W$74)/1000)/K247</f>
        <v>0</v>
      </c>
      <c r="L250" s="24">
        <f>-(SUM([3]H7!$P$75,[3]H7!$W$75)/1000)/L247</f>
        <v>0</v>
      </c>
      <c r="M250" s="6"/>
      <c r="N250" s="24">
        <f>-(SUM([3]H7!$EN$73,[3]H7!$EU$73)/1000)/N247</f>
        <v>0</v>
      </c>
      <c r="O250" s="24">
        <f>-(SUM([3]H7!$EN$74,[3]H7!$EU$74)/1000)/O247</f>
        <v>0</v>
      </c>
      <c r="P250" s="24">
        <f>-(SUM([3]H7!$EN$75,[3]H7!$EU$75)/1000)/P247</f>
        <v>0</v>
      </c>
      <c r="Q250" s="6"/>
    </row>
    <row r="251" spans="2:17" ht="19.5" customHeight="1" outlineLevel="2" x14ac:dyDescent="0.25">
      <c r="B251" s="224"/>
      <c r="C251" s="9"/>
      <c r="D251" s="17" t="s">
        <v>95</v>
      </c>
      <c r="E251" s="7"/>
      <c r="F251" s="24"/>
      <c r="G251" s="24"/>
      <c r="H251" s="24"/>
      <c r="I251" s="7"/>
      <c r="J251" s="24">
        <f>+J248+J249+J250</f>
        <v>0.75085984442166198</v>
      </c>
      <c r="K251" s="24">
        <f>+K248+K249+K250</f>
        <v>0.80244974655442136</v>
      </c>
      <c r="L251" s="24">
        <f>+L248+L249+L250</f>
        <v>0.77379455057356006</v>
      </c>
      <c r="M251" s="7"/>
      <c r="N251" s="24">
        <f>+N248+N249+N250</f>
        <v>0.68575513599340643</v>
      </c>
      <c r="O251" s="24">
        <f>+O248+O249+O250</f>
        <v>0.87969655954781412</v>
      </c>
      <c r="P251" s="24">
        <f>+P248+P249+P250</f>
        <v>0.77379455057356017</v>
      </c>
      <c r="Q251" s="7"/>
    </row>
    <row r="252" spans="2:17" ht="20.149999999999999" customHeight="1" outlineLevel="1" x14ac:dyDescent="0.25">
      <c r="B252" s="224"/>
      <c r="C252" s="9"/>
      <c r="D252" s="17" t="s">
        <v>96</v>
      </c>
      <c r="E252" s="7"/>
      <c r="F252" s="24"/>
      <c r="G252" s="24"/>
      <c r="H252" s="24"/>
      <c r="I252" s="7"/>
      <c r="J252" s="24">
        <f>-(SUM([3]H7!$AC$73:$AK$73)/1000)/J247</f>
        <v>-4.4057764825751251E-2</v>
      </c>
      <c r="K252" s="24">
        <f>-(SUM([3]H7!$AC$74:$AK$74)/1000)/K247</f>
        <v>0.11335562210010261</v>
      </c>
      <c r="L252" s="24">
        <f>-(SUM([3]H7!$AC$75:$AK$75)/1000)/L247</f>
        <v>-4.725910086107446E-2</v>
      </c>
      <c r="M252" s="7"/>
      <c r="N252" s="24">
        <f>-(SUM([3]H7!$FA$73:$FI$73)/1000)/N247</f>
        <v>-3.3711869304934819E-2</v>
      </c>
      <c r="O252" s="24">
        <f>-(SUM([3]H7!$FA$74:$FI$74)/1000)/O247</f>
        <v>0.18454589847241901</v>
      </c>
      <c r="P252" s="24">
        <f>-(SUM([3]H7!$FA$75:$FI$75)/1000)/P247</f>
        <v>-4.7259100861074675E-2</v>
      </c>
      <c r="Q252" s="7"/>
    </row>
    <row r="253" spans="2:17" ht="20.149999999999999" customHeight="1" outlineLevel="2" x14ac:dyDescent="0.25">
      <c r="B253" s="224"/>
      <c r="C253" s="9"/>
      <c r="D253" s="18" t="s">
        <v>87</v>
      </c>
      <c r="E253" s="7"/>
      <c r="F253" s="24"/>
      <c r="G253" s="24"/>
      <c r="H253" s="24"/>
      <c r="I253" s="7"/>
      <c r="J253" s="24">
        <f>-(SUM([3]H7!$AL$73:$AN$73)/1000)/J247</f>
        <v>6.6395975231689414E-2</v>
      </c>
      <c r="K253" s="24">
        <f>-(SUM([3]H7!$AL$74:$AN$74)/1000)/K247</f>
        <v>7.2627383443280069E-2</v>
      </c>
      <c r="L253" s="24">
        <f>-(SUM([3]H7!$AL$75:$AN$75)/1000)/L247</f>
        <v>7.2803386762431019E-2</v>
      </c>
      <c r="M253" s="7"/>
      <c r="N253" s="24">
        <f>-(SUM([3]H7!$FJ$73:$FL$73)/1000)/N247</f>
        <v>6.9836872404950762E-2</v>
      </c>
      <c r="O253" s="24">
        <f>-(SUM([3]H7!$FJ$74:$FL$74)/1000)/O247</f>
        <v>7.7836457206082857E-2</v>
      </c>
      <c r="P253" s="24">
        <f>-(SUM([3]H7!$FJ$75:$FL$75)/1000)/P247</f>
        <v>7.2803386762431019E-2</v>
      </c>
      <c r="Q253" s="7"/>
    </row>
    <row r="254" spans="2:17" ht="19.5" customHeight="1" outlineLevel="2" x14ac:dyDescent="0.25">
      <c r="B254" s="224"/>
      <c r="C254" s="9"/>
      <c r="D254" s="18" t="s">
        <v>88</v>
      </c>
      <c r="E254" s="7"/>
      <c r="F254" s="24"/>
      <c r="G254" s="24"/>
      <c r="H254" s="24"/>
      <c r="I254" s="7"/>
      <c r="J254" s="24">
        <f>-(SUM([3]H7!$AO$73:$AR$73)/1000)/J247</f>
        <v>0.13364605618367367</v>
      </c>
      <c r="K254" s="24">
        <f>-(SUM([3]H7!$AO$74:$AR$74)/1000)/K247</f>
        <v>9.2198251272540291E-2</v>
      </c>
      <c r="L254" s="24">
        <f>-(SUM([3]H7!$AO$75:$AR$75)/1000)/L247</f>
        <v>0.13739393435895147</v>
      </c>
      <c r="M254" s="7"/>
      <c r="N254" s="24">
        <f>-(SUM([3]H7!$FM$73:$FP$73)/1000)/N247</f>
        <v>0.10028749939780816</v>
      </c>
      <c r="O254" s="24">
        <f>-(SUM([3]H7!$FM$74:$FP$74)/1000)/O247</f>
        <v>6.7964364617342662E-2</v>
      </c>
      <c r="P254" s="24">
        <f>-(SUM([3]H7!$FM$75:$FP$75)/1000)/P247</f>
        <v>0.13739393435895153</v>
      </c>
      <c r="Q254" s="7"/>
    </row>
    <row r="255" spans="2:17" ht="20.149999999999999" customHeight="1" outlineLevel="1" x14ac:dyDescent="0.25">
      <c r="B255" s="224"/>
      <c r="C255" s="9"/>
      <c r="D255" s="17" t="s">
        <v>97</v>
      </c>
      <c r="E255" s="7"/>
      <c r="F255" s="24"/>
      <c r="G255" s="24"/>
      <c r="H255" s="24"/>
      <c r="I255" s="7"/>
      <c r="J255" s="24">
        <f>+J253+J254</f>
        <v>0.20004203141536309</v>
      </c>
      <c r="K255" s="24">
        <f>+K253+K254</f>
        <v>0.16482563471582035</v>
      </c>
      <c r="L255" s="24">
        <f>+L253+L254</f>
        <v>0.21019732112138251</v>
      </c>
      <c r="M255" s="7"/>
      <c r="N255" s="24">
        <f>+N253+N254</f>
        <v>0.17012437180275891</v>
      </c>
      <c r="O255" s="24">
        <f>+O253+O254</f>
        <v>0.14580082182342552</v>
      </c>
      <c r="P255" s="24">
        <f>+P253+P254</f>
        <v>0.21019732112138256</v>
      </c>
      <c r="Q255" s="7"/>
    </row>
    <row r="256" spans="2:17" ht="20.149999999999999" customHeight="1" outlineLevel="1" x14ac:dyDescent="0.25">
      <c r="B256" s="224"/>
      <c r="C256" s="9"/>
      <c r="D256" s="17" t="s">
        <v>90</v>
      </c>
      <c r="E256" s="7"/>
      <c r="F256" s="24"/>
      <c r="G256" s="24"/>
      <c r="H256" s="24"/>
      <c r="I256" s="7"/>
      <c r="J256" s="24">
        <f>-(SUM([3]H7!$AT$73:$BJ$73)/1000/J247)</f>
        <v>3.9848883250972009E-2</v>
      </c>
      <c r="K256" s="24">
        <f>-(SUM([3]H7!$AT$74:$BJ$74)/1000/K247)</f>
        <v>-8.9031218266573346E-3</v>
      </c>
      <c r="L256" s="24">
        <f>-(SUM([3]H7!$AT$75:$BJ$75)/1000/L247)</f>
        <v>1.8581517635185243E-2</v>
      </c>
      <c r="M256" s="7"/>
      <c r="N256" s="24">
        <f>-(SUM([3]H7!$FR$73:$GH$73)/1000/N247)</f>
        <v>-8.4544165727957782E-4</v>
      </c>
      <c r="O256" s="24">
        <f>-(SUM([3]H7!$FR$74:$GH$74)/1000/O247)</f>
        <v>2.286454028501651E-2</v>
      </c>
      <c r="P256" s="24">
        <f>-(SUM([3]H7!$FR$75:$GH$75)/1000/P247)</f>
        <v>1.8581517635185261E-2</v>
      </c>
      <c r="Q256" s="7"/>
    </row>
    <row r="257" spans="2:27" ht="20.149999999999999" customHeight="1" outlineLevel="1" x14ac:dyDescent="0.25">
      <c r="B257" s="224"/>
      <c r="C257" s="9"/>
      <c r="D257" s="17" t="s">
        <v>79</v>
      </c>
      <c r="E257" s="8"/>
      <c r="F257" s="24"/>
      <c r="G257" s="24"/>
      <c r="H257" s="24"/>
      <c r="I257" s="8"/>
      <c r="J257" s="24">
        <f>+J251+J252+J255+J256</f>
        <v>0.94669299426224574</v>
      </c>
      <c r="K257" s="24">
        <f>+K251+K252+K255+K256</f>
        <v>1.071727881543687</v>
      </c>
      <c r="L257" s="24">
        <f>+L251+L252+L255+L256</f>
        <v>0.95531428846905342</v>
      </c>
      <c r="M257" s="8"/>
      <c r="N257" s="24">
        <f>+N251+N252+N255+N256</f>
        <v>0.8213221968339508</v>
      </c>
      <c r="O257" s="24">
        <f>+O251+O252+O255+O256</f>
        <v>1.2329078201286752</v>
      </c>
      <c r="P257" s="24">
        <f>+P251+P252+P255+P256</f>
        <v>0.95531428846905331</v>
      </c>
      <c r="Q257" s="8"/>
    </row>
    <row r="258" spans="2:27" ht="19.5" customHeight="1" outlineLevel="1" x14ac:dyDescent="0.25">
      <c r="B258" s="224"/>
      <c r="C258" s="9"/>
      <c r="D258" s="17" t="s">
        <v>34</v>
      </c>
      <c r="E258" s="6"/>
      <c r="F258" s="23"/>
      <c r="G258" s="23"/>
      <c r="H258" s="23"/>
      <c r="I258" s="6"/>
      <c r="J258" s="23">
        <f>+[3]H7!$BK$73/1000</f>
        <v>0.89701902000000788</v>
      </c>
      <c r="K258" s="23">
        <f>+[3]H7!$BK$74/1000</f>
        <v>-1.1243750300000337</v>
      </c>
      <c r="L258" s="23">
        <f>+[3]H7!$BK$75/1000</f>
        <v>0.77099102117983453</v>
      </c>
      <c r="M258" s="6"/>
      <c r="N258" s="23">
        <f>+[3]H7!$GI$73/1000</f>
        <v>1.2890670300000047</v>
      </c>
      <c r="O258" s="23">
        <f>+[3]H7!$GI$74/1000</f>
        <v>-1.7114529900000077</v>
      </c>
      <c r="P258" s="23">
        <f>+[3]H7!$GI$75/1000</f>
        <v>0.2569970070599441</v>
      </c>
      <c r="Q258" s="6"/>
    </row>
    <row r="259" spans="2:27" ht="7.5" customHeight="1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spans="2:27" ht="19.5" customHeight="1" x14ac:dyDescent="0.25">
      <c r="B260" s="225" t="s">
        <v>109</v>
      </c>
      <c r="C260" s="9"/>
      <c r="D260" s="16" t="s">
        <v>19</v>
      </c>
      <c r="E260" s="6"/>
      <c r="F260" s="25">
        <v>767.73896734999994</v>
      </c>
      <c r="G260" s="25">
        <v>733.50929002999999</v>
      </c>
      <c r="H260" s="25">
        <v>761.15737754566203</v>
      </c>
      <c r="I260" s="6"/>
      <c r="J260" s="25">
        <f>+[3]H7!$C$81/1000</f>
        <v>102.6077701</v>
      </c>
      <c r="K260" s="25">
        <f>+[3]H7!$C$82/1000</f>
        <v>107.54890328000005</v>
      </c>
      <c r="L260" s="25">
        <f>+[3]H7!$C$83/1000</f>
        <v>93.01209078537299</v>
      </c>
      <c r="M260" s="6"/>
      <c r="N260" s="25">
        <f>+[3]H7!$EA$81/1000</f>
        <v>24.364283519999997</v>
      </c>
      <c r="O260" s="25">
        <f>+[3]H7!$EA$82/1000</f>
        <v>21.810470100000014</v>
      </c>
      <c r="P260" s="25">
        <f>+[3]H7!$EA$83/1000</f>
        <v>23.341923947617929</v>
      </c>
      <c r="Q260" s="6"/>
    </row>
    <row r="261" spans="2:27" ht="20.149999999999999" customHeight="1" x14ac:dyDescent="0.25">
      <c r="B261" s="225"/>
      <c r="C261" s="9"/>
      <c r="D261" s="16" t="s">
        <v>20</v>
      </c>
      <c r="E261" s="6"/>
      <c r="F261" s="25">
        <v>716.54631788999995</v>
      </c>
      <c r="G261" s="25">
        <v>685.01450756999998</v>
      </c>
      <c r="H261" s="25">
        <v>693.84504081129205</v>
      </c>
      <c r="I261" s="6"/>
      <c r="J261" s="25">
        <f>+[3]H7!$N$81/1000</f>
        <v>68.491931330000043</v>
      </c>
      <c r="K261" s="25">
        <f>+[3]H7!$N$82/1000</f>
        <v>73.193852050000032</v>
      </c>
      <c r="L261" s="25">
        <f>+[3]H7!$N$83/1000</f>
        <v>66.869058234190732</v>
      </c>
      <c r="M261" s="6"/>
      <c r="N261" s="25">
        <f>+[3]H7!$EL$81/1000</f>
        <v>27.311857790000015</v>
      </c>
      <c r="O261" s="25">
        <f>+[3]H7!$EL$82/1000</f>
        <v>30.471508020000016</v>
      </c>
      <c r="P261" s="25">
        <f>+[3]H7!$EL$83/1000</f>
        <v>22.289686078063568</v>
      </c>
      <c r="Q261" s="6"/>
    </row>
    <row r="262" spans="2:27" ht="19.5" customHeight="1" x14ac:dyDescent="0.25">
      <c r="B262" s="225"/>
      <c r="C262" s="9"/>
      <c r="D262" s="16" t="s">
        <v>92</v>
      </c>
      <c r="E262" s="6"/>
      <c r="F262" s="26" t="e">
        <f>F265-F264-F263</f>
        <v>#VALUE!</v>
      </c>
      <c r="G262" s="26" t="e">
        <f>G265-G264-G263</f>
        <v>#VALUE!</v>
      </c>
      <c r="H262" s="26" t="e">
        <f>H265-H264-H263</f>
        <v>#VALUE!</v>
      </c>
      <c r="I262" s="6"/>
      <c r="J262" s="26">
        <f>-(SUM([3]H7!$O$81,[3]H7!$R$81:$V$81,[3]H7!$Y$81:$AB$81)/1000)/J261</f>
        <v>0.79787869430488101</v>
      </c>
      <c r="K262" s="26">
        <f>-(SUM([3]H7!$O$82,[3]H7!$R$82:$V$82,[3]H7!$Y$82:$AB$82)/1000)/K261</f>
        <v>0.72990581221910122</v>
      </c>
      <c r="L262" s="26">
        <f>-(SUM([3]H7!$O$83,[3]H7!$R$83:$V$83,[3]H7!$Y$83:$AB$83)/1000)/L261</f>
        <v>0.80268984729293635</v>
      </c>
      <c r="M262" s="6"/>
      <c r="N262" s="26">
        <f>-(SUM([3]H7!$EM$81,[3]H7!$EP$81:$ET$81,[3]H7!$EW$81:$EZ$81)/1000)/N261</f>
        <v>0.80229676642586223</v>
      </c>
      <c r="O262" s="26">
        <f>-(SUM([3]H7!$EM$82,[3]H7!$EP$82:$ET$82,[3]H7!$EW$82:$EZ$82)/1000)/O261</f>
        <v>0.75080424358991038</v>
      </c>
      <c r="P262" s="26">
        <f>-(SUM([3]H7!$EM$83,[3]H7!$EP$83:$ET$83,[3]H7!$EW$83:$EZ$83)/1000)/P261</f>
        <v>0.80268984729293669</v>
      </c>
      <c r="Q262" s="6"/>
    </row>
    <row r="263" spans="2:27" ht="19.5" customHeight="1" x14ac:dyDescent="0.25">
      <c r="B263" s="225"/>
      <c r="C263" s="9"/>
      <c r="D263" s="16" t="s">
        <v>93</v>
      </c>
      <c r="E263" s="6"/>
      <c r="F263" s="26">
        <f>(F193*F191+F207*F205+F221*F219)/F261</f>
        <v>1.3845701828896469E-2</v>
      </c>
      <c r="G263" s="26">
        <f>(G193*G191+G207*G205+G221*G219)/G261</f>
        <v>1.0326344242407063E-2</v>
      </c>
      <c r="H263" s="26">
        <f>(H193*H191+H207*H205+H221*H219)/H261</f>
        <v>1.0199713767221235E-2</v>
      </c>
      <c r="I263" s="6"/>
      <c r="J263" s="26">
        <f>-(SUM([3]H7!$Q$81,[3]H7!$X$81)/1000)/J261</f>
        <v>0</v>
      </c>
      <c r="K263" s="26">
        <f>-(SUM([3]H7!$Q$82,[3]H7!$X$82)/1000)/K261</f>
        <v>1.3424310546311788E-2</v>
      </c>
      <c r="L263" s="26">
        <f>-(SUM([3]H7!$Q$83,[3]H7!$X$83)/1000)/L261</f>
        <v>4.8439974824278191E-3</v>
      </c>
      <c r="M263" s="6"/>
      <c r="N263" s="26">
        <f>-(SUM([3]H7!$EO$81,[3]H7!$EV$81)/1000)/N261</f>
        <v>0</v>
      </c>
      <c r="O263" s="26">
        <f>-(SUM([3]H7!$EO$82,[3]H7!$EV$82)/1000)/O261</f>
        <v>2.2400499494543875E-2</v>
      </c>
      <c r="P263" s="26">
        <f>-(SUM([3]H7!$EO$83,[3]H7!$EV$83)/1000)/P261</f>
        <v>4.8439974824278208E-3</v>
      </c>
      <c r="Q263" s="6"/>
    </row>
    <row r="264" spans="2:27" ht="19.5" customHeight="1" x14ac:dyDescent="0.25">
      <c r="B264" s="225"/>
      <c r="C264" s="9"/>
      <c r="D264" s="16" t="s">
        <v>94</v>
      </c>
      <c r="E264" s="6"/>
      <c r="F264" s="26" t="e">
        <f>(F194*F191+F208*F205+F219*F222)/F261</f>
        <v>#VALUE!</v>
      </c>
      <c r="G264" s="26" t="e">
        <f>(G194*G191+G208*G205+G219*G222)/G261</f>
        <v>#VALUE!</v>
      </c>
      <c r="H264" s="26" t="e">
        <f>(H194*H191+H208*H205+H219*H222)/H261</f>
        <v>#VALUE!</v>
      </c>
      <c r="I264" s="6"/>
      <c r="J264" s="26">
        <f>-(SUM([3]H7!$P$81,[3]H7!$W$81)/1000)/J261</f>
        <v>0</v>
      </c>
      <c r="K264" s="26">
        <f>-(SUM([3]H7!$P$82,[3]H7!$W$82)/1000)/K261</f>
        <v>0</v>
      </c>
      <c r="L264" s="26">
        <f>-(SUM([3]H7!$P$83,[3]H7!$W$83)/1000)/L261</f>
        <v>0</v>
      </c>
      <c r="M264" s="6"/>
      <c r="N264" s="26">
        <f>-(SUM([3]H7!$EN$81,[3]H7!$EU$81)/1000)/N261</f>
        <v>0</v>
      </c>
      <c r="O264" s="26">
        <f>-(SUM([3]H7!$EN$82,[3]H7!$EU$82)/1000)/O261</f>
        <v>0</v>
      </c>
      <c r="P264" s="26">
        <f>-(SUM([3]H7!$EN$83,[3]H7!$EU$83)/1000)/P261</f>
        <v>0</v>
      </c>
      <c r="Q264" s="6"/>
    </row>
    <row r="265" spans="2:27" ht="19.5" customHeight="1" outlineLevel="1" x14ac:dyDescent="0.25">
      <c r="B265" s="225"/>
      <c r="C265" s="9"/>
      <c r="D265" s="16" t="s">
        <v>95</v>
      </c>
      <c r="E265" s="7"/>
      <c r="F265" s="26">
        <v>0.65682565940175663</v>
      </c>
      <c r="G265" s="26">
        <v>0.57614070459620159</v>
      </c>
      <c r="H265" s="26">
        <v>0.6615301505572545</v>
      </c>
      <c r="I265" s="7"/>
      <c r="J265" s="26">
        <f>+J262+J263+J264</f>
        <v>0.79787869430488101</v>
      </c>
      <c r="K265" s="26">
        <f>+K262+K263+K264</f>
        <v>0.74333012276541299</v>
      </c>
      <c r="L265" s="26">
        <f>+L262+L263+L264</f>
        <v>0.80753384477536416</v>
      </c>
      <c r="M265" s="7"/>
      <c r="N265" s="26">
        <f>+N262+N263+N264</f>
        <v>0.80229676642586223</v>
      </c>
      <c r="O265" s="26">
        <f>+O262+O263+O264</f>
        <v>0.7732047430844543</v>
      </c>
      <c r="P265" s="26">
        <f>+P262+P263+P264</f>
        <v>0.8075338447753645</v>
      </c>
      <c r="Q265" s="7"/>
    </row>
    <row r="266" spans="2:27" ht="20.149999999999999" customHeight="1" x14ac:dyDescent="0.25">
      <c r="B266" s="225"/>
      <c r="C266" s="9"/>
      <c r="D266" s="16" t="s">
        <v>96</v>
      </c>
      <c r="E266" s="7"/>
      <c r="F266" s="26">
        <v>-3.2452375205101303E-2</v>
      </c>
      <c r="G266" s="26">
        <v>1.0421772985983643E-2</v>
      </c>
      <c r="H266" s="26">
        <v>-1.04490189791121E-2</v>
      </c>
      <c r="I266" s="7"/>
      <c r="J266" s="26">
        <f>-(SUM([3]H7!$AC$81:$AK$81)/1000)/J261</f>
        <v>-3.1734820259740108E-2</v>
      </c>
      <c r="K266" s="26">
        <f>-(SUM([3]H7!$AC$82:$AK$82)/1000)/K261</f>
        <v>2.152202617952002E-2</v>
      </c>
      <c r="L266" s="26">
        <f>-(SUM([3]H7!$AC$83:$AK$83)/1000)/L261</f>
        <v>-3.2163431793359454E-2</v>
      </c>
      <c r="M266" s="7"/>
      <c r="N266" s="26">
        <f>-(SUM([3]H7!$FA$81:$FI$81)/1000)/N261</f>
        <v>-3.9408348134931633E-3</v>
      </c>
      <c r="O266" s="26">
        <f>-(SUM([3]H7!$FA$82:$FI$82)/1000)/O261</f>
        <v>0.12583775366428379</v>
      </c>
      <c r="P266" s="26">
        <f>-(SUM([3]H7!$FA$83:$FI$83)/1000)/P261</f>
        <v>-3.2163431793359509E-2</v>
      </c>
      <c r="Q266" s="7"/>
    </row>
    <row r="267" spans="2:27" ht="20.149999999999999" customHeight="1" outlineLevel="1" x14ac:dyDescent="0.25">
      <c r="B267" s="225"/>
      <c r="C267" s="9"/>
      <c r="D267" s="13" t="s">
        <v>87</v>
      </c>
      <c r="E267" s="7"/>
      <c r="F267" s="26">
        <v>0.12525205080151947</v>
      </c>
      <c r="G267" s="26">
        <v>0.12472092690864583</v>
      </c>
      <c r="H267" s="26">
        <v>0.12662921817818915</v>
      </c>
      <c r="I267" s="7"/>
      <c r="J267" s="26">
        <f>-(SUM([3]H7!$AL$81:$AN$81)/1000)/J261</f>
        <v>6.6386238374452344E-2</v>
      </c>
      <c r="K267" s="26">
        <f>-(SUM([3]H7!$AL$82:$AN$82)/1000)/K261</f>
        <v>6.9752929064484173E-2</v>
      </c>
      <c r="L267" s="26">
        <f>-(SUM([3]H7!$AL$83:$AN$83)/1000)/L261</f>
        <v>6.2288896781806949E-2</v>
      </c>
      <c r="M267" s="7"/>
      <c r="N267" s="26">
        <f>-(SUM([3]H7!$FJ$81:$FL$81)/1000)/N261</f>
        <v>6.4514048203822172E-2</v>
      </c>
      <c r="O267" s="26">
        <f>-(SUM([3]H7!$FJ$82:$FL$82)/1000)/O261</f>
        <v>8.9870346364301787E-2</v>
      </c>
      <c r="P267" s="26">
        <f>-(SUM([3]H7!$FJ$83:$FL$83)/1000)/P261</f>
        <v>6.2288896781806984E-2</v>
      </c>
      <c r="Q267" s="7"/>
    </row>
    <row r="268" spans="2:27" ht="20.149999999999999" customHeight="1" outlineLevel="1" x14ac:dyDescent="0.25">
      <c r="B268" s="225"/>
      <c r="C268" s="9"/>
      <c r="D268" s="13" t="s">
        <v>88</v>
      </c>
      <c r="E268" s="7"/>
      <c r="F268" s="26">
        <v>0.11703136290887124</v>
      </c>
      <c r="G268" s="26">
        <v>0.12530740730513432</v>
      </c>
      <c r="H268" s="26">
        <v>0.12041843301110733</v>
      </c>
      <c r="I268" s="7"/>
      <c r="J268" s="26">
        <f>-(SUM([3]H7!$AO$81:$AR$81)/1000)/J261</f>
        <v>9.8462137058268825E-2</v>
      </c>
      <c r="K268" s="26">
        <f>-(SUM([3]H7!$AO$82:$AR$82)/1000)/K261</f>
        <v>9.4975354695790964E-2</v>
      </c>
      <c r="L268" s="26">
        <f>-(SUM([3]H7!$AO$83:$AR$83)/1000)/L261</f>
        <v>0.10891543037044139</v>
      </c>
      <c r="M268" s="7"/>
      <c r="N268" s="26">
        <f>-(SUM([3]H7!$FM$81:$FP$81)/1000)/N261</f>
        <v>8.0281196792215681E-2</v>
      </c>
      <c r="O268" s="26">
        <f>-(SUM([3]H7!$FM$82:$FP$82)/1000)/O261</f>
        <v>8.2333045294421855E-2</v>
      </c>
      <c r="P268" s="26">
        <f>-(SUM([3]H7!$FM$83:$FP$83)/1000)/P261</f>
        <v>0.10891543037044144</v>
      </c>
      <c r="Q268" s="7"/>
    </row>
    <row r="269" spans="2:27" ht="20.149999999999999" customHeight="1" x14ac:dyDescent="0.25">
      <c r="B269" s="225"/>
      <c r="C269" s="9"/>
      <c r="D269" s="16" t="s">
        <v>97</v>
      </c>
      <c r="E269" s="7"/>
      <c r="F269" s="26">
        <v>0.24228341371039072</v>
      </c>
      <c r="G269" s="26">
        <v>0.25002833421378012</v>
      </c>
      <c r="H269" s="26">
        <v>0.24704765118929647</v>
      </c>
      <c r="I269" s="7"/>
      <c r="J269" s="26">
        <f>+J267+J268</f>
        <v>0.16484837543272118</v>
      </c>
      <c r="K269" s="26">
        <f>+K267+K268</f>
        <v>0.16472828376027515</v>
      </c>
      <c r="L269" s="26">
        <f>+L267+L268</f>
        <v>0.17120432715224834</v>
      </c>
      <c r="M269" s="7"/>
      <c r="N269" s="26">
        <f>+N267+N268</f>
        <v>0.14479524499603785</v>
      </c>
      <c r="O269" s="26">
        <f>+O267+O268</f>
        <v>0.17220339165872364</v>
      </c>
      <c r="P269" s="26">
        <f>+P267+P268</f>
        <v>0.17120432715224843</v>
      </c>
      <c r="Q269" s="7"/>
    </row>
    <row r="270" spans="2:27" ht="20.149999999999999" customHeight="1" x14ac:dyDescent="0.25">
      <c r="B270" s="225"/>
      <c r="C270" s="9"/>
      <c r="D270" s="16" t="s">
        <v>90</v>
      </c>
      <c r="E270" s="7"/>
      <c r="F270" s="26"/>
      <c r="G270" s="26"/>
      <c r="H270" s="26"/>
      <c r="I270" s="7"/>
      <c r="J270" s="26">
        <f>-(SUM([3]H7!$AT$81:$BJ$81)/1000/J261)</f>
        <v>8.0939256527746777E-4</v>
      </c>
      <c r="K270" s="26">
        <f>-(SUM([3]H7!$AT$82:$BJ$82)/1000/K261)</f>
        <v>1.3348919924757978E-2</v>
      </c>
      <c r="L270" s="26">
        <f>-(SUM([3]H7!$AT$83:$BJ$83)/1000/L261)</f>
        <v>1.83341315133894E-2</v>
      </c>
      <c r="M270" s="7"/>
      <c r="N270" s="26">
        <f>-(SUM([3]H7!$FR$81:$GH$81)/1000/N261)</f>
        <v>-3.8578255939286051E-2</v>
      </c>
      <c r="O270" s="26">
        <f>-(SUM([3]H7!$FR$82:$GH$82)/1000/O261)</f>
        <v>2.4366130797093651E-2</v>
      </c>
      <c r="P270" s="26">
        <f>-(SUM([3]H7!$FR$83:$GH$83)/1000/P261)</f>
        <v>1.8334131513389407E-2</v>
      </c>
      <c r="Q270" s="7"/>
    </row>
    <row r="271" spans="2:27" ht="20.149999999999999" customHeight="1" x14ac:dyDescent="0.25">
      <c r="B271" s="225"/>
      <c r="C271" s="9"/>
      <c r="D271" s="16" t="s">
        <v>79</v>
      </c>
      <c r="E271" s="8"/>
      <c r="F271" s="26">
        <v>0.86665669790704614</v>
      </c>
      <c r="G271" s="26">
        <v>0.83659081179596551</v>
      </c>
      <c r="H271" s="26">
        <v>0.8981287827674389</v>
      </c>
      <c r="I271" s="8"/>
      <c r="J271" s="26">
        <f>+J265+J266+J269+J270</f>
        <v>0.93180164204313964</v>
      </c>
      <c r="K271" s="26">
        <f>+K265+K266+K269+K270</f>
        <v>0.94292935262996613</v>
      </c>
      <c r="L271" s="26">
        <f>+L265+L266+L269+L270</f>
        <v>0.96490887164764239</v>
      </c>
      <c r="M271" s="8"/>
      <c r="N271" s="26">
        <f>+N265+N266+N269+N270</f>
        <v>0.90457292066912076</v>
      </c>
      <c r="O271" s="26">
        <f>+O265+O266+O269+O270</f>
        <v>1.0956120192045553</v>
      </c>
      <c r="P271" s="26">
        <f>+P265+P266+P269+P270</f>
        <v>0.96490887164764272</v>
      </c>
      <c r="Q271" s="8"/>
    </row>
    <row r="272" spans="2:27" ht="19.5" customHeight="1" x14ac:dyDescent="0.25">
      <c r="B272" s="225"/>
      <c r="C272" s="9"/>
      <c r="D272" s="16" t="s">
        <v>34</v>
      </c>
      <c r="E272" s="6"/>
      <c r="F272" s="25">
        <v>95.546652130000155</v>
      </c>
      <c r="G272" s="25">
        <v>111.93766459000008</v>
      </c>
      <c r="H272" s="25">
        <v>70.68283887822237</v>
      </c>
      <c r="I272" s="6"/>
      <c r="J272" s="25">
        <f>+[3]H7!$BK$81/1000</f>
        <v>4.6710372500000208</v>
      </c>
      <c r="K272" s="25">
        <f>+[3]H7!$BK$82/1000</f>
        <v>4.177220519999989</v>
      </c>
      <c r="L272" s="25">
        <f>+[3]H7!$BK$83/1000</f>
        <v>2.3465107052972498</v>
      </c>
      <c r="M272" s="6"/>
      <c r="N272" s="25">
        <f>+[3]H7!$GI$81/1000</f>
        <v>2.6062908200000194</v>
      </c>
      <c r="O272" s="25">
        <f>+[3]H7!$GI$82/1000</f>
        <v>-2.913442410000004</v>
      </c>
      <c r="P272" s="25">
        <f>+[3]H7!$GI$83/1000</f>
        <v>0.78217023509907924</v>
      </c>
      <c r="Q272" s="6"/>
      <c r="S272" s="36"/>
      <c r="T272" s="36"/>
      <c r="U272" s="36"/>
      <c r="V272" s="36"/>
      <c r="W272" s="36"/>
      <c r="X272" s="36"/>
      <c r="Y272" s="36"/>
      <c r="Z272" s="36"/>
      <c r="AA272" s="36"/>
    </row>
  </sheetData>
  <mergeCells count="22">
    <mergeCell ref="B8:B20"/>
    <mergeCell ref="B3:D3"/>
    <mergeCell ref="F3:Q3"/>
    <mergeCell ref="F4:H4"/>
    <mergeCell ref="B64:B76"/>
    <mergeCell ref="B78:B90"/>
    <mergeCell ref="B92:B104"/>
    <mergeCell ref="B22:B34"/>
    <mergeCell ref="B36:B48"/>
    <mergeCell ref="B50:B62"/>
    <mergeCell ref="B148:B160"/>
    <mergeCell ref="B162:B174"/>
    <mergeCell ref="B176:B188"/>
    <mergeCell ref="B106:B118"/>
    <mergeCell ref="B120:B132"/>
    <mergeCell ref="B134:B146"/>
    <mergeCell ref="B232:B244"/>
    <mergeCell ref="B246:B258"/>
    <mergeCell ref="B260:B272"/>
    <mergeCell ref="B190:B202"/>
    <mergeCell ref="B204:B216"/>
    <mergeCell ref="B218:B230"/>
  </mergeCells>
  <conditionalFormatting sqref="N8">
    <cfRule type="expression" dxfId="10927" priority="7319">
      <formula>N8&lt;P8*#REF!</formula>
    </cfRule>
    <cfRule type="expression" dxfId="10926" priority="7320">
      <formula>N8&gt;P8*#REF!</formula>
    </cfRule>
  </conditionalFormatting>
  <conditionalFormatting sqref="N9">
    <cfRule type="expression" dxfId="10925" priority="7317">
      <formula>N9&lt;P9*#REF!</formula>
    </cfRule>
    <cfRule type="expression" dxfId="10924" priority="7318">
      <formula>N9&gt;P9*#REF!</formula>
    </cfRule>
  </conditionalFormatting>
  <conditionalFormatting sqref="N20">
    <cfRule type="expression" dxfId="10923" priority="7315">
      <formula>N20&lt;P20*#REF!</formula>
    </cfRule>
    <cfRule type="expression" dxfId="10922" priority="7316">
      <formula>N20&gt;P20*#REF!</formula>
    </cfRule>
  </conditionalFormatting>
  <conditionalFormatting sqref="N10">
    <cfRule type="expression" dxfId="10921" priority="7313">
      <formula>N10&gt;P10+#REF!</formula>
    </cfRule>
    <cfRule type="expression" dxfId="10920" priority="7314">
      <formula>N10&lt;P10-#REF!</formula>
    </cfRule>
  </conditionalFormatting>
  <conditionalFormatting sqref="N11">
    <cfRule type="expression" dxfId="10919" priority="7311">
      <formula>N11&gt;P11+#REF!</formula>
    </cfRule>
    <cfRule type="expression" dxfId="10918" priority="7312">
      <formula>N11&lt;P11-#REF!</formula>
    </cfRule>
  </conditionalFormatting>
  <conditionalFormatting sqref="N12">
    <cfRule type="expression" dxfId="10917" priority="7309">
      <formula>N12&gt;P12+#REF!</formula>
    </cfRule>
    <cfRule type="expression" dxfId="10916" priority="7310">
      <formula>N12&lt;P12-#REF!</formula>
    </cfRule>
  </conditionalFormatting>
  <conditionalFormatting sqref="N13">
    <cfRule type="expression" dxfId="10915" priority="7307">
      <formula>N13&gt;P13+#REF!</formula>
    </cfRule>
    <cfRule type="expression" dxfId="10914" priority="7308">
      <formula>N13&lt;P13-#REF!</formula>
    </cfRule>
  </conditionalFormatting>
  <conditionalFormatting sqref="N14">
    <cfRule type="expression" dxfId="10913" priority="7305">
      <formula>N14&gt;P14+#REF!</formula>
    </cfRule>
    <cfRule type="expression" dxfId="10912" priority="7306">
      <formula>N14&lt;P14-#REF!</formula>
    </cfRule>
  </conditionalFormatting>
  <conditionalFormatting sqref="N15">
    <cfRule type="expression" dxfId="10911" priority="7303">
      <formula>N15&gt;P15+#REF!</formula>
    </cfRule>
    <cfRule type="expression" dxfId="10910" priority="7304">
      <formula>N15&lt;P15-#REF!</formula>
    </cfRule>
  </conditionalFormatting>
  <conditionalFormatting sqref="N16">
    <cfRule type="expression" dxfId="10909" priority="7301">
      <formula>N16&gt;P16+#REF!</formula>
    </cfRule>
    <cfRule type="expression" dxfId="10908" priority="7302">
      <formula>N16&lt;P16-#REF!</formula>
    </cfRule>
  </conditionalFormatting>
  <conditionalFormatting sqref="N17:N18">
    <cfRule type="expression" dxfId="10907" priority="7299">
      <formula>N17&gt;P17+#REF!</formula>
    </cfRule>
    <cfRule type="expression" dxfId="10906" priority="7300">
      <formula>N17&lt;P17-#REF!</formula>
    </cfRule>
  </conditionalFormatting>
  <conditionalFormatting sqref="N19">
    <cfRule type="expression" dxfId="10905" priority="7297">
      <formula>N19&gt;P19+#REF!</formula>
    </cfRule>
    <cfRule type="expression" dxfId="10904" priority="7298">
      <formula>N19&lt;P19-#REF!</formula>
    </cfRule>
  </conditionalFormatting>
  <conditionalFormatting sqref="N22">
    <cfRule type="expression" dxfId="10903" priority="7205">
      <formula>N22&lt;P22*#REF!</formula>
    </cfRule>
    <cfRule type="expression" dxfId="10902" priority="7206">
      <formula>N22&gt;P22*#REF!</formula>
    </cfRule>
  </conditionalFormatting>
  <conditionalFormatting sqref="N23">
    <cfRule type="expression" dxfId="10901" priority="7203">
      <formula>N23&lt;P23*#REF!</formula>
    </cfRule>
    <cfRule type="expression" dxfId="10900" priority="7204">
      <formula>N23&gt;P23*#REF!</formula>
    </cfRule>
  </conditionalFormatting>
  <conditionalFormatting sqref="N34">
    <cfRule type="expression" dxfId="10899" priority="7201">
      <formula>N34&lt;P34*#REF!</formula>
    </cfRule>
    <cfRule type="expression" dxfId="10898" priority="7202">
      <formula>N34&gt;P34*#REF!</formula>
    </cfRule>
  </conditionalFormatting>
  <conditionalFormatting sqref="N24">
    <cfRule type="expression" dxfId="10897" priority="7199">
      <formula>N24&gt;P24+#REF!</formula>
    </cfRule>
    <cfRule type="expression" dxfId="10896" priority="7200">
      <formula>N24&lt;P24-#REF!</formula>
    </cfRule>
  </conditionalFormatting>
  <conditionalFormatting sqref="N25">
    <cfRule type="expression" dxfId="10895" priority="7197">
      <formula>N25&gt;P25+#REF!</formula>
    </cfRule>
    <cfRule type="expression" dxfId="10894" priority="7198">
      <formula>N25&lt;P25-#REF!</formula>
    </cfRule>
  </conditionalFormatting>
  <conditionalFormatting sqref="N26">
    <cfRule type="expression" dxfId="10893" priority="7195">
      <formula>N26&gt;P26+#REF!</formula>
    </cfRule>
    <cfRule type="expression" dxfId="10892" priority="7196">
      <formula>N26&lt;P26-#REF!</formula>
    </cfRule>
  </conditionalFormatting>
  <conditionalFormatting sqref="N27">
    <cfRule type="expression" dxfId="10891" priority="7193">
      <formula>N27&gt;P27+#REF!</formula>
    </cfRule>
    <cfRule type="expression" dxfId="10890" priority="7194">
      <formula>N27&lt;P27-#REF!</formula>
    </cfRule>
  </conditionalFormatting>
  <conditionalFormatting sqref="N28">
    <cfRule type="expression" dxfId="10889" priority="7191">
      <formula>N28&gt;P28+#REF!</formula>
    </cfRule>
    <cfRule type="expression" dxfId="10888" priority="7192">
      <formula>N28&lt;P28-#REF!</formula>
    </cfRule>
  </conditionalFormatting>
  <conditionalFormatting sqref="N29">
    <cfRule type="expression" dxfId="10887" priority="7189">
      <formula>N29&gt;P29+#REF!</formula>
    </cfRule>
    <cfRule type="expression" dxfId="10886" priority="7190">
      <formula>N29&lt;P29-#REF!</formula>
    </cfRule>
  </conditionalFormatting>
  <conditionalFormatting sqref="N30">
    <cfRule type="expression" dxfId="10885" priority="7187">
      <formula>N30&gt;P30+#REF!</formula>
    </cfRule>
    <cfRule type="expression" dxfId="10884" priority="7188">
      <formula>N30&lt;P30-#REF!</formula>
    </cfRule>
  </conditionalFormatting>
  <conditionalFormatting sqref="N31:N32">
    <cfRule type="expression" dxfId="10883" priority="7185">
      <formula>N31&gt;P31+#REF!</formula>
    </cfRule>
    <cfRule type="expression" dxfId="10882" priority="7186">
      <formula>N31&lt;P31-#REF!</formula>
    </cfRule>
  </conditionalFormatting>
  <conditionalFormatting sqref="N33">
    <cfRule type="expression" dxfId="10881" priority="7183">
      <formula>N33&gt;P33+#REF!</formula>
    </cfRule>
    <cfRule type="expression" dxfId="10880" priority="7184">
      <formula>N33&lt;P33-#REF!</formula>
    </cfRule>
  </conditionalFormatting>
  <conditionalFormatting sqref="N36">
    <cfRule type="expression" dxfId="10879" priority="7087">
      <formula>N36&lt;P36*#REF!</formula>
    </cfRule>
    <cfRule type="expression" dxfId="10878" priority="7088">
      <formula>N36&gt;P36*#REF!</formula>
    </cfRule>
  </conditionalFormatting>
  <conditionalFormatting sqref="N37">
    <cfRule type="expression" dxfId="10877" priority="7085">
      <formula>N37&lt;P37*#REF!</formula>
    </cfRule>
    <cfRule type="expression" dxfId="10876" priority="7086">
      <formula>N37&gt;P37*#REF!</formula>
    </cfRule>
  </conditionalFormatting>
  <conditionalFormatting sqref="N48">
    <cfRule type="expression" dxfId="10875" priority="7083">
      <formula>N48&lt;P48*#REF!</formula>
    </cfRule>
    <cfRule type="expression" dxfId="10874" priority="7084">
      <formula>N48&gt;P48*#REF!</formula>
    </cfRule>
  </conditionalFormatting>
  <conditionalFormatting sqref="N38">
    <cfRule type="expression" dxfId="10873" priority="7081">
      <formula>N38&gt;P38+#REF!</formula>
    </cfRule>
    <cfRule type="expression" dxfId="10872" priority="7082">
      <formula>N38&lt;P38-#REF!</formula>
    </cfRule>
  </conditionalFormatting>
  <conditionalFormatting sqref="N39">
    <cfRule type="expression" dxfId="10871" priority="7079">
      <formula>N39&gt;P39+#REF!</formula>
    </cfRule>
    <cfRule type="expression" dxfId="10870" priority="7080">
      <formula>N39&lt;P39-#REF!</formula>
    </cfRule>
  </conditionalFormatting>
  <conditionalFormatting sqref="N40">
    <cfRule type="expression" dxfId="10869" priority="7077">
      <formula>N40&gt;P40+#REF!</formula>
    </cfRule>
    <cfRule type="expression" dxfId="10868" priority="7078">
      <formula>N40&lt;P40-#REF!</formula>
    </cfRule>
  </conditionalFormatting>
  <conditionalFormatting sqref="N41">
    <cfRule type="expression" dxfId="10867" priority="7075">
      <formula>N41&gt;P41+#REF!</formula>
    </cfRule>
    <cfRule type="expression" dxfId="10866" priority="7076">
      <formula>N41&lt;P41-#REF!</formula>
    </cfRule>
  </conditionalFormatting>
  <conditionalFormatting sqref="N42">
    <cfRule type="expression" dxfId="10865" priority="7073">
      <formula>N42&gt;P42+#REF!</formula>
    </cfRule>
    <cfRule type="expression" dxfId="10864" priority="7074">
      <formula>N42&lt;P42-#REF!</formula>
    </cfRule>
  </conditionalFormatting>
  <conditionalFormatting sqref="N43">
    <cfRule type="expression" dxfId="10863" priority="7071">
      <formula>N43&gt;P43+#REF!</formula>
    </cfRule>
    <cfRule type="expression" dxfId="10862" priority="7072">
      <formula>N43&lt;P43-#REF!</formula>
    </cfRule>
  </conditionalFormatting>
  <conditionalFormatting sqref="N44">
    <cfRule type="expression" dxfId="10861" priority="7069">
      <formula>N44&gt;P44+#REF!</formula>
    </cfRule>
    <cfRule type="expression" dxfId="10860" priority="7070">
      <formula>N44&lt;P44-#REF!</formula>
    </cfRule>
  </conditionalFormatting>
  <conditionalFormatting sqref="N45:N46">
    <cfRule type="expression" dxfId="10859" priority="7067">
      <formula>N45&gt;P45+#REF!</formula>
    </cfRule>
    <cfRule type="expression" dxfId="10858" priority="7068">
      <formula>N45&lt;P45-#REF!</formula>
    </cfRule>
  </conditionalFormatting>
  <conditionalFormatting sqref="N47">
    <cfRule type="expression" dxfId="10857" priority="7065">
      <formula>N47&gt;P47+#REF!</formula>
    </cfRule>
    <cfRule type="expression" dxfId="10856" priority="7066">
      <formula>N47&lt;P47-#REF!</formula>
    </cfRule>
  </conditionalFormatting>
  <conditionalFormatting sqref="N50">
    <cfRule type="expression" dxfId="10855" priority="6971">
      <formula>N50&lt;P50*#REF!</formula>
    </cfRule>
    <cfRule type="expression" dxfId="10854" priority="6972">
      <formula>N50&gt;P50*#REF!</formula>
    </cfRule>
  </conditionalFormatting>
  <conditionalFormatting sqref="N51">
    <cfRule type="expression" dxfId="10853" priority="6969">
      <formula>N51&lt;P51*#REF!</formula>
    </cfRule>
    <cfRule type="expression" dxfId="10852" priority="6970">
      <formula>N51&gt;P51*#REF!</formula>
    </cfRule>
  </conditionalFormatting>
  <conditionalFormatting sqref="N62">
    <cfRule type="expression" dxfId="10851" priority="6967">
      <formula>N62&lt;P62*#REF!</formula>
    </cfRule>
    <cfRule type="expression" dxfId="10850" priority="6968">
      <formula>N62&gt;P62*#REF!</formula>
    </cfRule>
  </conditionalFormatting>
  <conditionalFormatting sqref="N52">
    <cfRule type="expression" dxfId="10849" priority="6965">
      <formula>N52&gt;P52+#REF!</formula>
    </cfRule>
    <cfRule type="expression" dxfId="10848" priority="6966">
      <formula>N52&lt;P52-#REF!</formula>
    </cfRule>
  </conditionalFormatting>
  <conditionalFormatting sqref="N53">
    <cfRule type="expression" dxfId="10847" priority="6963">
      <formula>N53&gt;P53+#REF!</formula>
    </cfRule>
    <cfRule type="expression" dxfId="10846" priority="6964">
      <formula>N53&lt;P53-#REF!</formula>
    </cfRule>
  </conditionalFormatting>
  <conditionalFormatting sqref="N54">
    <cfRule type="expression" dxfId="10845" priority="6961">
      <formula>N54&gt;P54+#REF!</formula>
    </cfRule>
    <cfRule type="expression" dxfId="10844" priority="6962">
      <formula>N54&lt;P54-#REF!</formula>
    </cfRule>
  </conditionalFormatting>
  <conditionalFormatting sqref="N55">
    <cfRule type="expression" dxfId="10843" priority="6959">
      <formula>N55&gt;P55+#REF!</formula>
    </cfRule>
    <cfRule type="expression" dxfId="10842" priority="6960">
      <formula>N55&lt;P55-#REF!</formula>
    </cfRule>
  </conditionalFormatting>
  <conditionalFormatting sqref="N56">
    <cfRule type="expression" dxfId="10841" priority="6957">
      <formula>N56&gt;P56+#REF!</formula>
    </cfRule>
    <cfRule type="expression" dxfId="10840" priority="6958">
      <formula>N56&lt;P56-#REF!</formula>
    </cfRule>
  </conditionalFormatting>
  <conditionalFormatting sqref="N57">
    <cfRule type="expression" dxfId="10839" priority="6955">
      <formula>N57&gt;P57+#REF!</formula>
    </cfRule>
    <cfRule type="expression" dxfId="10838" priority="6956">
      <formula>N57&lt;P57-#REF!</formula>
    </cfRule>
  </conditionalFormatting>
  <conditionalFormatting sqref="N58">
    <cfRule type="expression" dxfId="10837" priority="6953">
      <formula>N58&gt;P58+#REF!</formula>
    </cfRule>
    <cfRule type="expression" dxfId="10836" priority="6954">
      <formula>N58&lt;P58-#REF!</formula>
    </cfRule>
  </conditionalFormatting>
  <conditionalFormatting sqref="N59:N60">
    <cfRule type="expression" dxfId="10835" priority="6951">
      <formula>N59&gt;P59+#REF!</formula>
    </cfRule>
    <cfRule type="expression" dxfId="10834" priority="6952">
      <formula>N59&lt;P59-#REF!</formula>
    </cfRule>
  </conditionalFormatting>
  <conditionalFormatting sqref="N61">
    <cfRule type="expression" dxfId="10833" priority="6949">
      <formula>N61&gt;P61+#REF!</formula>
    </cfRule>
    <cfRule type="expression" dxfId="10832" priority="6950">
      <formula>N61&lt;P61-#REF!</formula>
    </cfRule>
  </conditionalFormatting>
  <conditionalFormatting sqref="N64">
    <cfRule type="expression" dxfId="10831" priority="6855">
      <formula>N64&lt;P64*#REF!</formula>
    </cfRule>
    <cfRule type="expression" dxfId="10830" priority="6856">
      <formula>N64&gt;P64*#REF!</formula>
    </cfRule>
  </conditionalFormatting>
  <conditionalFormatting sqref="N65">
    <cfRule type="expression" dxfId="10829" priority="6853">
      <formula>N65&lt;P65*#REF!</formula>
    </cfRule>
    <cfRule type="expression" dxfId="10828" priority="6854">
      <formula>N65&gt;P65*#REF!</formula>
    </cfRule>
  </conditionalFormatting>
  <conditionalFormatting sqref="N76">
    <cfRule type="expression" dxfId="10827" priority="6851">
      <formula>N76&lt;P76*#REF!</formula>
    </cfRule>
    <cfRule type="expression" dxfId="10826" priority="6852">
      <formula>N76&gt;P76*#REF!</formula>
    </cfRule>
  </conditionalFormatting>
  <conditionalFormatting sqref="N66">
    <cfRule type="expression" dxfId="10825" priority="6849">
      <formula>N66&gt;P66+#REF!</formula>
    </cfRule>
    <cfRule type="expression" dxfId="10824" priority="6850">
      <formula>N66&lt;P66-#REF!</formula>
    </cfRule>
  </conditionalFormatting>
  <conditionalFormatting sqref="N67">
    <cfRule type="expression" dxfId="10823" priority="6847">
      <formula>N67&gt;P67+#REF!</formula>
    </cfRule>
    <cfRule type="expression" dxfId="10822" priority="6848">
      <formula>N67&lt;P67-#REF!</formula>
    </cfRule>
  </conditionalFormatting>
  <conditionalFormatting sqref="N68">
    <cfRule type="expression" dxfId="10821" priority="6845">
      <formula>N68&gt;P68+#REF!</formula>
    </cfRule>
    <cfRule type="expression" dxfId="10820" priority="6846">
      <formula>N68&lt;P68-#REF!</formula>
    </cfRule>
  </conditionalFormatting>
  <conditionalFormatting sqref="N69">
    <cfRule type="expression" dxfId="10819" priority="6843">
      <formula>N69&gt;P69+#REF!</formula>
    </cfRule>
    <cfRule type="expression" dxfId="10818" priority="6844">
      <formula>N69&lt;P69-#REF!</formula>
    </cfRule>
  </conditionalFormatting>
  <conditionalFormatting sqref="N70">
    <cfRule type="expression" dxfId="10817" priority="6841">
      <formula>N70&gt;P70+#REF!</formula>
    </cfRule>
    <cfRule type="expression" dxfId="10816" priority="6842">
      <formula>N70&lt;P70-#REF!</formula>
    </cfRule>
  </conditionalFormatting>
  <conditionalFormatting sqref="N71">
    <cfRule type="expression" dxfId="10815" priority="6839">
      <formula>N71&gt;P71+#REF!</formula>
    </cfRule>
    <cfRule type="expression" dxfId="10814" priority="6840">
      <formula>N71&lt;P71-#REF!</formula>
    </cfRule>
  </conditionalFormatting>
  <conditionalFormatting sqref="N72">
    <cfRule type="expression" dxfId="10813" priority="6837">
      <formula>N72&gt;P72+#REF!</formula>
    </cfRule>
    <cfRule type="expression" dxfId="10812" priority="6838">
      <formula>N72&lt;P72-#REF!</formula>
    </cfRule>
  </conditionalFormatting>
  <conditionalFormatting sqref="N73:N74">
    <cfRule type="expression" dxfId="10811" priority="6835">
      <formula>N73&gt;P73+#REF!</formula>
    </cfRule>
    <cfRule type="expression" dxfId="10810" priority="6836">
      <formula>N73&lt;P73-#REF!</formula>
    </cfRule>
  </conditionalFormatting>
  <conditionalFormatting sqref="N75">
    <cfRule type="expression" dxfId="10809" priority="6833">
      <formula>N75&gt;P75+#REF!</formula>
    </cfRule>
    <cfRule type="expression" dxfId="10808" priority="6834">
      <formula>N75&lt;P75-#REF!</formula>
    </cfRule>
  </conditionalFormatting>
  <conditionalFormatting sqref="N78">
    <cfRule type="expression" dxfId="10807" priority="6740">
      <formula>N78&lt;P78*#REF!</formula>
    </cfRule>
    <cfRule type="expression" dxfId="10806" priority="6741">
      <formula>N78&gt;P78*#REF!</formula>
    </cfRule>
  </conditionalFormatting>
  <conditionalFormatting sqref="N79">
    <cfRule type="expression" dxfId="10805" priority="6738">
      <formula>N79&lt;P79*#REF!</formula>
    </cfRule>
    <cfRule type="expression" dxfId="10804" priority="6739">
      <formula>N79&gt;P79*#REF!</formula>
    </cfRule>
  </conditionalFormatting>
  <conditionalFormatting sqref="N90">
    <cfRule type="expression" dxfId="10803" priority="6736">
      <formula>N90&lt;P90*#REF!</formula>
    </cfRule>
    <cfRule type="expression" dxfId="10802" priority="6737">
      <formula>N90&gt;P90*#REF!</formula>
    </cfRule>
  </conditionalFormatting>
  <conditionalFormatting sqref="N80">
    <cfRule type="expression" dxfId="10801" priority="6734">
      <formula>N80&gt;P80+#REF!</formula>
    </cfRule>
    <cfRule type="expression" dxfId="10800" priority="6735">
      <formula>N80&lt;P80-#REF!</formula>
    </cfRule>
  </conditionalFormatting>
  <conditionalFormatting sqref="N81">
    <cfRule type="expression" dxfId="10799" priority="6732">
      <formula>N81&gt;P81+#REF!</formula>
    </cfRule>
    <cfRule type="expression" dxfId="10798" priority="6733">
      <formula>N81&lt;P81-#REF!</formula>
    </cfRule>
  </conditionalFormatting>
  <conditionalFormatting sqref="N82">
    <cfRule type="expression" dxfId="10797" priority="6730">
      <formula>N82&gt;P82+#REF!</formula>
    </cfRule>
    <cfRule type="expression" dxfId="10796" priority="6731">
      <formula>N82&lt;P82-#REF!</formula>
    </cfRule>
  </conditionalFormatting>
  <conditionalFormatting sqref="N83">
    <cfRule type="expression" dxfId="10795" priority="6728">
      <formula>N83&gt;P83+#REF!</formula>
    </cfRule>
    <cfRule type="expression" dxfId="10794" priority="6729">
      <formula>N83&lt;P83-#REF!</formula>
    </cfRule>
  </conditionalFormatting>
  <conditionalFormatting sqref="N84">
    <cfRule type="expression" dxfId="10793" priority="6726">
      <formula>N84&gt;P84+#REF!</formula>
    </cfRule>
    <cfRule type="expression" dxfId="10792" priority="6727">
      <formula>N84&lt;P84-#REF!</formula>
    </cfRule>
  </conditionalFormatting>
  <conditionalFormatting sqref="N85">
    <cfRule type="expression" dxfId="10791" priority="6724">
      <formula>N85&gt;P85+#REF!</formula>
    </cfRule>
    <cfRule type="expression" dxfId="10790" priority="6725">
      <formula>N85&lt;P85-#REF!</formula>
    </cfRule>
  </conditionalFormatting>
  <conditionalFormatting sqref="N86">
    <cfRule type="expression" dxfId="10789" priority="6722">
      <formula>N86&gt;P86+#REF!</formula>
    </cfRule>
    <cfRule type="expression" dxfId="10788" priority="6723">
      <formula>N86&lt;P86-#REF!</formula>
    </cfRule>
  </conditionalFormatting>
  <conditionalFormatting sqref="N87:N88">
    <cfRule type="expression" dxfId="10787" priority="6720">
      <formula>N87&gt;P87+#REF!</formula>
    </cfRule>
    <cfRule type="expression" dxfId="10786" priority="6721">
      <formula>N87&lt;P87-#REF!</formula>
    </cfRule>
  </conditionalFormatting>
  <conditionalFormatting sqref="N89">
    <cfRule type="expression" dxfId="10785" priority="6718">
      <formula>N89&gt;P89+#REF!</formula>
    </cfRule>
    <cfRule type="expression" dxfId="10784" priority="6719">
      <formula>N89&lt;P89-#REF!</formula>
    </cfRule>
  </conditionalFormatting>
  <conditionalFormatting sqref="N92">
    <cfRule type="expression" dxfId="10783" priority="6625">
      <formula>N92&lt;P92*#REF!</formula>
    </cfRule>
    <cfRule type="expression" dxfId="10782" priority="6626">
      <formula>N92&gt;P92*#REF!</formula>
    </cfRule>
  </conditionalFormatting>
  <conditionalFormatting sqref="N93">
    <cfRule type="expression" dxfId="10781" priority="6623">
      <formula>N93&lt;P93*#REF!</formula>
    </cfRule>
    <cfRule type="expression" dxfId="10780" priority="6624">
      <formula>N93&gt;P93*#REF!</formula>
    </cfRule>
  </conditionalFormatting>
  <conditionalFormatting sqref="N104">
    <cfRule type="expression" dxfId="10779" priority="6621">
      <formula>N104&lt;P104*#REF!</formula>
    </cfRule>
    <cfRule type="expression" dxfId="10778" priority="6622">
      <formula>N104&gt;P104*#REF!</formula>
    </cfRule>
  </conditionalFormatting>
  <conditionalFormatting sqref="N94">
    <cfRule type="expression" dxfId="10777" priority="6619">
      <formula>N94&gt;P94+#REF!</formula>
    </cfRule>
    <cfRule type="expression" dxfId="10776" priority="6620">
      <formula>N94&lt;P94-#REF!</formula>
    </cfRule>
  </conditionalFormatting>
  <conditionalFormatting sqref="N95">
    <cfRule type="expression" dxfId="10775" priority="6617">
      <formula>N95&gt;P95+#REF!</formula>
    </cfRule>
    <cfRule type="expression" dxfId="10774" priority="6618">
      <formula>N95&lt;P95-#REF!</formula>
    </cfRule>
  </conditionalFormatting>
  <conditionalFormatting sqref="N97">
    <cfRule type="expression" dxfId="10773" priority="6615">
      <formula>N97&gt;P97+#REF!</formula>
    </cfRule>
    <cfRule type="expression" dxfId="10772" priority="6616">
      <formula>N97&lt;P97-#REF!</formula>
    </cfRule>
  </conditionalFormatting>
  <conditionalFormatting sqref="N98">
    <cfRule type="expression" dxfId="10771" priority="6613">
      <formula>N98&gt;P98+#REF!</formula>
    </cfRule>
    <cfRule type="expression" dxfId="10770" priority="6614">
      <formula>N98&lt;P98-#REF!</formula>
    </cfRule>
  </conditionalFormatting>
  <conditionalFormatting sqref="N99">
    <cfRule type="expression" dxfId="10769" priority="6611">
      <formula>N99&gt;P99+#REF!</formula>
    </cfRule>
    <cfRule type="expression" dxfId="10768" priority="6612">
      <formula>N99&lt;P99-#REF!</formula>
    </cfRule>
  </conditionalFormatting>
  <conditionalFormatting sqref="N100">
    <cfRule type="expression" dxfId="10767" priority="6609">
      <formula>N100&gt;P100+#REF!</formula>
    </cfRule>
    <cfRule type="expression" dxfId="10766" priority="6610">
      <formula>N100&lt;P100-#REF!</formula>
    </cfRule>
  </conditionalFormatting>
  <conditionalFormatting sqref="N101:N102">
    <cfRule type="expression" dxfId="10765" priority="6607">
      <formula>N101&gt;P101+#REF!</formula>
    </cfRule>
    <cfRule type="expression" dxfId="10764" priority="6608">
      <formula>N101&lt;P101-#REF!</formula>
    </cfRule>
  </conditionalFormatting>
  <conditionalFormatting sqref="N103">
    <cfRule type="expression" dxfId="10763" priority="6606">
      <formula>N103&lt;P103-#REF!</formula>
    </cfRule>
    <cfRule type="expression" dxfId="10762" priority="7323">
      <formula>N103&gt;P103+#REF!</formula>
    </cfRule>
  </conditionalFormatting>
  <conditionalFormatting sqref="N106">
    <cfRule type="expression" dxfId="10761" priority="6517">
      <formula>N106&lt;P106*#REF!</formula>
    </cfRule>
    <cfRule type="expression" dxfId="10760" priority="6518">
      <formula>N106&gt;P106*#REF!</formula>
    </cfRule>
  </conditionalFormatting>
  <conditionalFormatting sqref="N107">
    <cfRule type="expression" dxfId="10759" priority="6515">
      <formula>N107&lt;P107*#REF!</formula>
    </cfRule>
    <cfRule type="expression" dxfId="10758" priority="6516">
      <formula>N107&gt;P107*#REF!</formula>
    </cfRule>
  </conditionalFormatting>
  <conditionalFormatting sqref="N118">
    <cfRule type="expression" dxfId="10757" priority="6513">
      <formula>N118&lt;P118*#REF!</formula>
    </cfRule>
    <cfRule type="expression" dxfId="10756" priority="6514">
      <formula>N118&gt;P118*#REF!</formula>
    </cfRule>
  </conditionalFormatting>
  <conditionalFormatting sqref="N108">
    <cfRule type="expression" dxfId="10755" priority="6511">
      <formula>N108&gt;P108+#REF!</formula>
    </cfRule>
    <cfRule type="expression" dxfId="10754" priority="6512">
      <formula>N108&lt;P108-#REF!</formula>
    </cfRule>
  </conditionalFormatting>
  <conditionalFormatting sqref="N109">
    <cfRule type="expression" dxfId="10753" priority="6509">
      <formula>N109&gt;P109+#REF!</formula>
    </cfRule>
    <cfRule type="expression" dxfId="10752" priority="6510">
      <formula>N109&lt;P109-#REF!</formula>
    </cfRule>
  </conditionalFormatting>
  <conditionalFormatting sqref="N110">
    <cfRule type="expression" dxfId="10751" priority="6507">
      <formula>N110&gt;P110+#REF!</formula>
    </cfRule>
    <cfRule type="expression" dxfId="10750" priority="6508">
      <formula>N110&lt;P110-#REF!</formula>
    </cfRule>
  </conditionalFormatting>
  <conditionalFormatting sqref="N111">
    <cfRule type="expression" dxfId="10749" priority="6505">
      <formula>N111&gt;P111+#REF!</formula>
    </cfRule>
    <cfRule type="expression" dxfId="10748" priority="6506">
      <formula>N111&lt;P111-#REF!</formula>
    </cfRule>
  </conditionalFormatting>
  <conditionalFormatting sqref="N112">
    <cfRule type="expression" dxfId="10747" priority="6503">
      <formula>N112&gt;P112+#REF!</formula>
    </cfRule>
    <cfRule type="expression" dxfId="10746" priority="6504">
      <formula>N112&lt;P112-#REF!</formula>
    </cfRule>
  </conditionalFormatting>
  <conditionalFormatting sqref="N113">
    <cfRule type="expression" dxfId="10745" priority="6501">
      <formula>N113&gt;P113+#REF!</formula>
    </cfRule>
    <cfRule type="expression" dxfId="10744" priority="6502">
      <formula>N113&lt;P113-#REF!</formula>
    </cfRule>
  </conditionalFormatting>
  <conditionalFormatting sqref="N114">
    <cfRule type="expression" dxfId="10743" priority="6499">
      <formula>N114&gt;P114+#REF!</formula>
    </cfRule>
    <cfRule type="expression" dxfId="10742" priority="6500">
      <formula>N114&lt;P114-#REF!</formula>
    </cfRule>
  </conditionalFormatting>
  <conditionalFormatting sqref="N115:N116">
    <cfRule type="expression" dxfId="10741" priority="6497">
      <formula>N115&gt;P115+#REF!</formula>
    </cfRule>
    <cfRule type="expression" dxfId="10740" priority="6498">
      <formula>N115&lt;P115-#REF!</formula>
    </cfRule>
  </conditionalFormatting>
  <conditionalFormatting sqref="N117">
    <cfRule type="expression" dxfId="10739" priority="6496">
      <formula>N117&lt;P117-#REF!</formula>
    </cfRule>
    <cfRule type="expression" dxfId="10738" priority="7325">
      <formula>N117&gt;P117+#REF!</formula>
    </cfRule>
  </conditionalFormatting>
  <conditionalFormatting sqref="N120">
    <cfRule type="expression" dxfId="10737" priority="6403">
      <formula>N120&lt;P120*#REF!</formula>
    </cfRule>
    <cfRule type="expression" dxfId="10736" priority="6404">
      <formula>N120&gt;P120*#REF!</formula>
    </cfRule>
  </conditionalFormatting>
  <conditionalFormatting sqref="N121">
    <cfRule type="expression" dxfId="10735" priority="6401">
      <formula>N121&lt;P121*#REF!</formula>
    </cfRule>
    <cfRule type="expression" dxfId="10734" priority="6402">
      <formula>N121&gt;P121*#REF!</formula>
    </cfRule>
  </conditionalFormatting>
  <conditionalFormatting sqref="N132">
    <cfRule type="expression" dxfId="10733" priority="6399">
      <formula>N132&lt;P132*#REF!</formula>
    </cfRule>
    <cfRule type="expression" dxfId="10732" priority="6400">
      <formula>N132&gt;P132*#REF!</formula>
    </cfRule>
  </conditionalFormatting>
  <conditionalFormatting sqref="N122">
    <cfRule type="expression" dxfId="10731" priority="6397">
      <formula>N122&gt;P122+#REF!</formula>
    </cfRule>
    <cfRule type="expression" dxfId="10730" priority="6398">
      <formula>N122&lt;P122-#REF!</formula>
    </cfRule>
  </conditionalFormatting>
  <conditionalFormatting sqref="N123">
    <cfRule type="expression" dxfId="10729" priority="6395">
      <formula>N123&gt;P123+#REF!</formula>
    </cfRule>
    <cfRule type="expression" dxfId="10728" priority="6396">
      <formula>N123&lt;P123-#REF!</formula>
    </cfRule>
  </conditionalFormatting>
  <conditionalFormatting sqref="N124">
    <cfRule type="expression" dxfId="10727" priority="6393">
      <formula>N124&gt;P124+#REF!</formula>
    </cfRule>
    <cfRule type="expression" dxfId="10726" priority="6394">
      <formula>N124&lt;P124-#REF!</formula>
    </cfRule>
  </conditionalFormatting>
  <conditionalFormatting sqref="N125">
    <cfRule type="expression" dxfId="10725" priority="6391">
      <formula>N125&gt;P125+#REF!</formula>
    </cfRule>
    <cfRule type="expression" dxfId="10724" priority="6392">
      <formula>N125&lt;P125-#REF!</formula>
    </cfRule>
  </conditionalFormatting>
  <conditionalFormatting sqref="N126">
    <cfRule type="expression" dxfId="10723" priority="6389">
      <formula>N126&gt;P126+#REF!</formula>
    </cfRule>
    <cfRule type="expression" dxfId="10722" priority="6390">
      <formula>N126&lt;P126-#REF!</formula>
    </cfRule>
  </conditionalFormatting>
  <conditionalFormatting sqref="N127">
    <cfRule type="expression" dxfId="10721" priority="6387">
      <formula>N127&gt;P127+#REF!</formula>
    </cfRule>
    <cfRule type="expression" dxfId="10720" priority="6388">
      <formula>N127&lt;P127-#REF!</formula>
    </cfRule>
  </conditionalFormatting>
  <conditionalFormatting sqref="N128">
    <cfRule type="expression" dxfId="10719" priority="6385">
      <formula>N128&gt;P128+#REF!</formula>
    </cfRule>
    <cfRule type="expression" dxfId="10718" priority="6386">
      <formula>N128&lt;P128-#REF!</formula>
    </cfRule>
  </conditionalFormatting>
  <conditionalFormatting sqref="N129:N130">
    <cfRule type="expression" dxfId="10717" priority="6383">
      <formula>N129&gt;P129+#REF!</formula>
    </cfRule>
    <cfRule type="expression" dxfId="10716" priority="6384">
      <formula>N129&lt;P129-#REF!</formula>
    </cfRule>
  </conditionalFormatting>
  <conditionalFormatting sqref="N131">
    <cfRule type="expression" dxfId="10715" priority="6382">
      <formula>N131&lt;P131-#REF!</formula>
    </cfRule>
    <cfRule type="expression" dxfId="10714" priority="7327">
      <formula>N131&gt;P131+#REF!</formula>
    </cfRule>
  </conditionalFormatting>
  <conditionalFormatting sqref="N148">
    <cfRule type="expression" dxfId="10713" priority="6173">
      <formula>N148&lt;P148*#REF!</formula>
    </cfRule>
    <cfRule type="expression" dxfId="10712" priority="6174">
      <formula>N148&gt;P148*#REF!</formula>
    </cfRule>
  </conditionalFormatting>
  <conditionalFormatting sqref="N149">
    <cfRule type="expression" dxfId="10711" priority="6171">
      <formula>N149&lt;P149*#REF!</formula>
    </cfRule>
    <cfRule type="expression" dxfId="10710" priority="6172">
      <formula>N149&gt;P149*#REF!</formula>
    </cfRule>
  </conditionalFormatting>
  <conditionalFormatting sqref="N160">
    <cfRule type="expression" dxfId="10709" priority="6169">
      <formula>N160&lt;P160*#REF!</formula>
    </cfRule>
    <cfRule type="expression" dxfId="10708" priority="6170">
      <formula>N160&gt;P160*#REF!</formula>
    </cfRule>
  </conditionalFormatting>
  <conditionalFormatting sqref="N150">
    <cfRule type="expression" dxfId="10707" priority="6167">
      <formula>N150&gt;P150+#REF!</formula>
    </cfRule>
    <cfRule type="expression" dxfId="10706" priority="6168">
      <formula>N150&lt;P150-#REF!</formula>
    </cfRule>
  </conditionalFormatting>
  <conditionalFormatting sqref="N151">
    <cfRule type="expression" dxfId="10705" priority="6165">
      <formula>N151&gt;P151+#REF!</formula>
    </cfRule>
    <cfRule type="expression" dxfId="10704" priority="6166">
      <formula>N151&lt;P151-#REF!</formula>
    </cfRule>
  </conditionalFormatting>
  <conditionalFormatting sqref="N152">
    <cfRule type="expression" dxfId="10703" priority="6163">
      <formula>N152&gt;P152+#REF!</formula>
    </cfRule>
    <cfRule type="expression" dxfId="10702" priority="6164">
      <formula>N152&lt;P152-#REF!</formula>
    </cfRule>
  </conditionalFormatting>
  <conditionalFormatting sqref="N153">
    <cfRule type="expression" dxfId="10701" priority="6161">
      <formula>N153&gt;P153+#REF!</formula>
    </cfRule>
    <cfRule type="expression" dxfId="10700" priority="6162">
      <formula>N153&lt;P153-#REF!</formula>
    </cfRule>
  </conditionalFormatting>
  <conditionalFormatting sqref="N154">
    <cfRule type="expression" dxfId="10699" priority="6159">
      <formula>N154&gt;P154+#REF!</formula>
    </cfRule>
    <cfRule type="expression" dxfId="10698" priority="6160">
      <formula>N154&lt;P154-#REF!</formula>
    </cfRule>
  </conditionalFormatting>
  <conditionalFormatting sqref="N155">
    <cfRule type="expression" dxfId="10697" priority="6157">
      <formula>N155&gt;P155+#REF!</formula>
    </cfRule>
    <cfRule type="expression" dxfId="10696" priority="6158">
      <formula>N155&lt;P155-#REF!</formula>
    </cfRule>
  </conditionalFormatting>
  <conditionalFormatting sqref="N156">
    <cfRule type="expression" dxfId="10695" priority="6155">
      <formula>N156&gt;P156+#REF!</formula>
    </cfRule>
    <cfRule type="expression" dxfId="10694" priority="6156">
      <formula>N156&lt;P156-#REF!</formula>
    </cfRule>
  </conditionalFormatting>
  <conditionalFormatting sqref="N157:N158">
    <cfRule type="expression" dxfId="10693" priority="6153">
      <formula>N157&gt;P157+#REF!</formula>
    </cfRule>
    <cfRule type="expression" dxfId="10692" priority="6154">
      <formula>N157&lt;P157-#REF!</formula>
    </cfRule>
  </conditionalFormatting>
  <conditionalFormatting sqref="N159">
    <cfRule type="expression" dxfId="10691" priority="6151">
      <formula>N159&gt;P159+#REF!</formula>
    </cfRule>
    <cfRule type="expression" dxfId="10690" priority="6152">
      <formula>N159&lt;P159-#REF!</formula>
    </cfRule>
  </conditionalFormatting>
  <conditionalFormatting sqref="N162">
    <cfRule type="expression" dxfId="10689" priority="6057">
      <formula>N162&lt;P162*#REF!</formula>
    </cfRule>
    <cfRule type="expression" dxfId="10688" priority="6058">
      <formula>N162&gt;P162*#REF!</formula>
    </cfRule>
  </conditionalFormatting>
  <conditionalFormatting sqref="N163">
    <cfRule type="expression" dxfId="10687" priority="6055">
      <formula>N163&lt;P163*#REF!</formula>
    </cfRule>
    <cfRule type="expression" dxfId="10686" priority="6056">
      <formula>N163&gt;P163*#REF!</formula>
    </cfRule>
  </conditionalFormatting>
  <conditionalFormatting sqref="N174">
    <cfRule type="expression" dxfId="10685" priority="6053">
      <formula>N174&lt;P174*#REF!</formula>
    </cfRule>
    <cfRule type="expression" dxfId="10684" priority="6054">
      <formula>N174&gt;P174*#REF!</formula>
    </cfRule>
  </conditionalFormatting>
  <conditionalFormatting sqref="N164">
    <cfRule type="expression" dxfId="10683" priority="6051">
      <formula>N164&gt;P164+#REF!</formula>
    </cfRule>
    <cfRule type="expression" dxfId="10682" priority="6052">
      <formula>N164&lt;P164-#REF!</formula>
    </cfRule>
  </conditionalFormatting>
  <conditionalFormatting sqref="N165">
    <cfRule type="expression" dxfId="10681" priority="6049">
      <formula>N165&gt;P165+#REF!</formula>
    </cfRule>
    <cfRule type="expression" dxfId="10680" priority="6050">
      <formula>N165&lt;P165-#REF!</formula>
    </cfRule>
  </conditionalFormatting>
  <conditionalFormatting sqref="N166">
    <cfRule type="expression" dxfId="10679" priority="6047">
      <formula>N166&gt;P166+#REF!</formula>
    </cfRule>
    <cfRule type="expression" dxfId="10678" priority="6048">
      <formula>N166&lt;P166-#REF!</formula>
    </cfRule>
  </conditionalFormatting>
  <conditionalFormatting sqref="N167">
    <cfRule type="expression" dxfId="10677" priority="6045">
      <formula>N167&gt;P167+#REF!</formula>
    </cfRule>
    <cfRule type="expression" dxfId="10676" priority="6046">
      <formula>N167&lt;P167-#REF!</formula>
    </cfRule>
  </conditionalFormatting>
  <conditionalFormatting sqref="N168">
    <cfRule type="expression" dxfId="10675" priority="6043">
      <formula>N168&gt;P168+#REF!</formula>
    </cfRule>
    <cfRule type="expression" dxfId="10674" priority="6044">
      <formula>N168&lt;P168-#REF!</formula>
    </cfRule>
  </conditionalFormatting>
  <conditionalFormatting sqref="N169">
    <cfRule type="expression" dxfId="10673" priority="6041">
      <formula>N169&gt;P169+#REF!</formula>
    </cfRule>
    <cfRule type="expression" dxfId="10672" priority="6042">
      <formula>N169&lt;P169-#REF!</formula>
    </cfRule>
  </conditionalFormatting>
  <conditionalFormatting sqref="N170">
    <cfRule type="expression" dxfId="10671" priority="6039">
      <formula>N170&gt;P170+#REF!</formula>
    </cfRule>
    <cfRule type="expression" dxfId="10670" priority="6040">
      <formula>N170&lt;P170-#REF!</formula>
    </cfRule>
  </conditionalFormatting>
  <conditionalFormatting sqref="N171:N172">
    <cfRule type="expression" dxfId="10669" priority="6037">
      <formula>N171&gt;P171+#REF!</formula>
    </cfRule>
    <cfRule type="expression" dxfId="10668" priority="6038">
      <formula>N171&lt;P171-#REF!</formula>
    </cfRule>
  </conditionalFormatting>
  <conditionalFormatting sqref="N173">
    <cfRule type="expression" dxfId="10667" priority="6035">
      <formula>N173&gt;P173+#REF!</formula>
    </cfRule>
    <cfRule type="expression" dxfId="10666" priority="6036">
      <formula>N173&lt;P173-#REF!</formula>
    </cfRule>
  </conditionalFormatting>
  <conditionalFormatting sqref="N190">
    <cfRule type="expression" dxfId="10665" priority="5917">
      <formula>N190&lt;P190*#REF!</formula>
    </cfRule>
    <cfRule type="expression" dxfId="10664" priority="5918">
      <formula>N190&gt;P190*#REF!</formula>
    </cfRule>
  </conditionalFormatting>
  <conditionalFormatting sqref="N191">
    <cfRule type="expression" dxfId="10663" priority="5915">
      <formula>N191&lt;P191*#REF!</formula>
    </cfRule>
    <cfRule type="expression" dxfId="10662" priority="5916">
      <formula>N191&gt;P191*#REF!</formula>
    </cfRule>
  </conditionalFormatting>
  <conditionalFormatting sqref="N202">
    <cfRule type="expression" dxfId="10661" priority="5913">
      <formula>N202&lt;P202*#REF!</formula>
    </cfRule>
    <cfRule type="expression" dxfId="10660" priority="5914">
      <formula>N202&gt;P202*#REF!</formula>
    </cfRule>
  </conditionalFormatting>
  <conditionalFormatting sqref="N192">
    <cfRule type="expression" dxfId="10659" priority="5911">
      <formula>N192&gt;P192+#REF!</formula>
    </cfRule>
    <cfRule type="expression" dxfId="10658" priority="5912">
      <formula>N192&lt;P192-#REF!</formula>
    </cfRule>
  </conditionalFormatting>
  <conditionalFormatting sqref="N193">
    <cfRule type="expression" dxfId="10657" priority="5909">
      <formula>N193&gt;P193+#REF!</formula>
    </cfRule>
    <cfRule type="expression" dxfId="10656" priority="5910">
      <formula>N193&lt;P193-#REF!</formula>
    </cfRule>
  </conditionalFormatting>
  <conditionalFormatting sqref="N194">
    <cfRule type="expression" dxfId="10655" priority="5907">
      <formula>N194&gt;P194+#REF!</formula>
    </cfRule>
    <cfRule type="expression" dxfId="10654" priority="5908">
      <formula>N194&lt;P194-#REF!</formula>
    </cfRule>
  </conditionalFormatting>
  <conditionalFormatting sqref="N195">
    <cfRule type="expression" dxfId="10653" priority="5905">
      <formula>N195&gt;P195+#REF!</formula>
    </cfRule>
    <cfRule type="expression" dxfId="10652" priority="5906">
      <formula>N195&lt;P195-#REF!</formula>
    </cfRule>
  </conditionalFormatting>
  <conditionalFormatting sqref="N196">
    <cfRule type="expression" dxfId="10651" priority="5903">
      <formula>N196&gt;P196+#REF!</formula>
    </cfRule>
    <cfRule type="expression" dxfId="10650" priority="5904">
      <formula>N196&lt;P196-#REF!</formula>
    </cfRule>
  </conditionalFormatting>
  <conditionalFormatting sqref="N197">
    <cfRule type="expression" dxfId="10649" priority="5901">
      <formula>N197&gt;P197+#REF!</formula>
    </cfRule>
    <cfRule type="expression" dxfId="10648" priority="5902">
      <formula>N197&lt;P197-#REF!</formula>
    </cfRule>
  </conditionalFormatting>
  <conditionalFormatting sqref="N198">
    <cfRule type="expression" dxfId="10647" priority="5899">
      <formula>N198&gt;P198+#REF!</formula>
    </cfRule>
    <cfRule type="expression" dxfId="10646" priority="5900">
      <formula>N198&lt;P198-#REF!</formula>
    </cfRule>
  </conditionalFormatting>
  <conditionalFormatting sqref="N199:N200">
    <cfRule type="expression" dxfId="10645" priority="5897">
      <formula>N199&gt;P199+#REF!</formula>
    </cfRule>
    <cfRule type="expression" dxfId="10644" priority="5898">
      <formula>N199&lt;P199-#REF!</formula>
    </cfRule>
  </conditionalFormatting>
  <conditionalFormatting sqref="N201">
    <cfRule type="expression" dxfId="10643" priority="5895">
      <formula>N201&gt;P201+#REF!</formula>
    </cfRule>
    <cfRule type="expression" dxfId="10642" priority="5896">
      <formula>N201&lt;P201-#REF!</formula>
    </cfRule>
  </conditionalFormatting>
  <conditionalFormatting sqref="N176">
    <cfRule type="expression" dxfId="10641" priority="5821">
      <formula>N176&lt;P176*#REF!</formula>
    </cfRule>
    <cfRule type="expression" dxfId="10640" priority="5822">
      <formula>N176&gt;P176*#REF!</formula>
    </cfRule>
  </conditionalFormatting>
  <conditionalFormatting sqref="N177">
    <cfRule type="expression" dxfId="10639" priority="5819">
      <formula>N177&lt;P177*#REF!</formula>
    </cfRule>
    <cfRule type="expression" dxfId="10638" priority="5820">
      <formula>N177&gt;P177*#REF!</formula>
    </cfRule>
  </conditionalFormatting>
  <conditionalFormatting sqref="N188">
    <cfRule type="expression" dxfId="10637" priority="5817">
      <formula>N188&lt;P188*#REF!</formula>
    </cfRule>
    <cfRule type="expression" dxfId="10636" priority="5818">
      <formula>N188&gt;P188*#REF!</formula>
    </cfRule>
  </conditionalFormatting>
  <conditionalFormatting sqref="N178">
    <cfRule type="expression" dxfId="10635" priority="5815">
      <formula>N178&gt;P178+#REF!</formula>
    </cfRule>
    <cfRule type="expression" dxfId="10634" priority="5816">
      <formula>N178&lt;P178-#REF!</formula>
    </cfRule>
  </conditionalFormatting>
  <conditionalFormatting sqref="N179">
    <cfRule type="expression" dxfId="10633" priority="5813">
      <formula>N179&gt;P179+#REF!</formula>
    </cfRule>
    <cfRule type="expression" dxfId="10632" priority="5814">
      <formula>N179&lt;P179-#REF!</formula>
    </cfRule>
  </conditionalFormatting>
  <conditionalFormatting sqref="N180">
    <cfRule type="expression" dxfId="10631" priority="5811">
      <formula>N180&gt;P180+#REF!</formula>
    </cfRule>
    <cfRule type="expression" dxfId="10630" priority="5812">
      <formula>N180&lt;P180-#REF!</formula>
    </cfRule>
  </conditionalFormatting>
  <conditionalFormatting sqref="N181">
    <cfRule type="expression" dxfId="10629" priority="5809">
      <formula>N181&gt;P181+#REF!</formula>
    </cfRule>
    <cfRule type="expression" dxfId="10628" priority="5810">
      <formula>N181&lt;P181-#REF!</formula>
    </cfRule>
  </conditionalFormatting>
  <conditionalFormatting sqref="N182">
    <cfRule type="expression" dxfId="10627" priority="5807">
      <formula>N182&gt;P182+#REF!</formula>
    </cfRule>
    <cfRule type="expression" dxfId="10626" priority="5808">
      <formula>N182&lt;P182-#REF!</formula>
    </cfRule>
  </conditionalFormatting>
  <conditionalFormatting sqref="N183">
    <cfRule type="expression" dxfId="10625" priority="5805">
      <formula>N183&gt;P183+#REF!</formula>
    </cfRule>
    <cfRule type="expression" dxfId="10624" priority="5806">
      <formula>N183&lt;P183-#REF!</formula>
    </cfRule>
  </conditionalFormatting>
  <conditionalFormatting sqref="N184">
    <cfRule type="expression" dxfId="10623" priority="5803">
      <formula>N184&gt;P184+#REF!</formula>
    </cfRule>
    <cfRule type="expression" dxfId="10622" priority="5804">
      <formula>N184&lt;P184-#REF!</formula>
    </cfRule>
  </conditionalFormatting>
  <conditionalFormatting sqref="N185:N186">
    <cfRule type="expression" dxfId="10621" priority="5801">
      <formula>N185&gt;P185+#REF!</formula>
    </cfRule>
    <cfRule type="expression" dxfId="10620" priority="5802">
      <formula>N185&lt;P185-#REF!</formula>
    </cfRule>
  </conditionalFormatting>
  <conditionalFormatting sqref="N187">
    <cfRule type="expression" dxfId="10619" priority="5799">
      <formula>N187&gt;P187+#REF!</formula>
    </cfRule>
    <cfRule type="expression" dxfId="10618" priority="5800">
      <formula>N187&lt;P187-#REF!</formula>
    </cfRule>
  </conditionalFormatting>
  <conditionalFormatting sqref="N204">
    <cfRule type="expression" dxfId="10617" priority="5701">
      <formula>N204&lt;P204*#REF!</formula>
    </cfRule>
    <cfRule type="expression" dxfId="10616" priority="5702">
      <formula>N204&gt;P204*#REF!</formula>
    </cfRule>
  </conditionalFormatting>
  <conditionalFormatting sqref="N205">
    <cfRule type="expression" dxfId="10615" priority="5699">
      <formula>N205&lt;P205*#REF!</formula>
    </cfRule>
    <cfRule type="expression" dxfId="10614" priority="5700">
      <formula>N205&gt;P205*#REF!</formula>
    </cfRule>
  </conditionalFormatting>
  <conditionalFormatting sqref="N216">
    <cfRule type="expression" dxfId="10613" priority="5697">
      <formula>N216&lt;P216*#REF!</formula>
    </cfRule>
    <cfRule type="expression" dxfId="10612" priority="5698">
      <formula>N216&gt;P216*#REF!</formula>
    </cfRule>
  </conditionalFormatting>
  <conditionalFormatting sqref="N206">
    <cfRule type="expression" dxfId="10611" priority="5695">
      <formula>N206&gt;P206+#REF!</formula>
    </cfRule>
    <cfRule type="expression" dxfId="10610" priority="5696">
      <formula>N206&lt;P206-#REF!</formula>
    </cfRule>
  </conditionalFormatting>
  <conditionalFormatting sqref="N207">
    <cfRule type="expression" dxfId="10609" priority="5693">
      <formula>N207&gt;P207+#REF!</formula>
    </cfRule>
    <cfRule type="expression" dxfId="10608" priority="5694">
      <formula>N207&lt;P207-#REF!</formula>
    </cfRule>
  </conditionalFormatting>
  <conditionalFormatting sqref="N208">
    <cfRule type="expression" dxfId="10607" priority="5691">
      <formula>N208&gt;P208+#REF!</formula>
    </cfRule>
    <cfRule type="expression" dxfId="10606" priority="5692">
      <formula>N208&lt;P208-#REF!</formula>
    </cfRule>
  </conditionalFormatting>
  <conditionalFormatting sqref="N209">
    <cfRule type="expression" dxfId="10605" priority="5689">
      <formula>N209&gt;P209+#REF!</formula>
    </cfRule>
    <cfRule type="expression" dxfId="10604" priority="5690">
      <formula>N209&lt;P209-#REF!</formula>
    </cfRule>
  </conditionalFormatting>
  <conditionalFormatting sqref="N210">
    <cfRule type="expression" dxfId="10603" priority="5687">
      <formula>N210&gt;P210+#REF!</formula>
    </cfRule>
    <cfRule type="expression" dxfId="10602" priority="5688">
      <formula>N210&lt;P210-#REF!</formula>
    </cfRule>
  </conditionalFormatting>
  <conditionalFormatting sqref="N211">
    <cfRule type="expression" dxfId="10601" priority="5685">
      <formula>N211&gt;P211+#REF!</formula>
    </cfRule>
    <cfRule type="expression" dxfId="10600" priority="5686">
      <formula>N211&lt;P211-#REF!</formula>
    </cfRule>
  </conditionalFormatting>
  <conditionalFormatting sqref="N212">
    <cfRule type="expression" dxfId="10599" priority="5683">
      <formula>N212&gt;P212+#REF!</formula>
    </cfRule>
    <cfRule type="expression" dxfId="10598" priority="5684">
      <formula>N212&lt;P212-#REF!</formula>
    </cfRule>
  </conditionalFormatting>
  <conditionalFormatting sqref="N213:N214">
    <cfRule type="expression" dxfId="10597" priority="5681">
      <formula>N213&gt;P213+#REF!</formula>
    </cfRule>
    <cfRule type="expression" dxfId="10596" priority="5682">
      <formula>N213&lt;P213-#REF!</formula>
    </cfRule>
  </conditionalFormatting>
  <conditionalFormatting sqref="N215">
    <cfRule type="expression" dxfId="10595" priority="5679">
      <formula>N215&gt;P215+#REF!</formula>
    </cfRule>
    <cfRule type="expression" dxfId="10594" priority="5680">
      <formula>N215&lt;P215-#REF!</formula>
    </cfRule>
  </conditionalFormatting>
  <conditionalFormatting sqref="N272">
    <cfRule type="expression" dxfId="10593" priority="5577">
      <formula>N272&lt;P272*#REF!</formula>
    </cfRule>
    <cfRule type="expression" dxfId="10592" priority="5578">
      <formula>N272&gt;P272*#REF!</formula>
    </cfRule>
  </conditionalFormatting>
  <conditionalFormatting sqref="N260">
    <cfRule type="expression" dxfId="10591" priority="5581">
      <formula>N260&lt;P260*#REF!</formula>
    </cfRule>
    <cfRule type="expression" dxfId="10590" priority="5582">
      <formula>N260&gt;P260*#REF!</formula>
    </cfRule>
  </conditionalFormatting>
  <conditionalFormatting sqref="N261">
    <cfRule type="expression" dxfId="10589" priority="5579">
      <formula>N261&lt;P261*#REF!</formula>
    </cfRule>
    <cfRule type="expression" dxfId="10588" priority="5580">
      <formula>N261&gt;P261*#REF!</formula>
    </cfRule>
  </conditionalFormatting>
  <conditionalFormatting sqref="N262">
    <cfRule type="expression" dxfId="10587" priority="5575">
      <formula>N262&gt;P262+#REF!</formula>
    </cfRule>
    <cfRule type="expression" dxfId="10586" priority="5576">
      <formula>N262&lt;P262-#REF!</formula>
    </cfRule>
  </conditionalFormatting>
  <conditionalFormatting sqref="N263">
    <cfRule type="expression" dxfId="10585" priority="5573">
      <formula>N263&gt;P263+#REF!</formula>
    </cfRule>
    <cfRule type="expression" dxfId="10584" priority="5574">
      <formula>N263&lt;P263-#REF!</formula>
    </cfRule>
  </conditionalFormatting>
  <conditionalFormatting sqref="N264">
    <cfRule type="expression" dxfId="10583" priority="5571">
      <formula>N264&gt;P264+#REF!</formula>
    </cfRule>
    <cfRule type="expression" dxfId="10582" priority="5572">
      <formula>N264&lt;P264-#REF!</formula>
    </cfRule>
  </conditionalFormatting>
  <conditionalFormatting sqref="N265">
    <cfRule type="expression" dxfId="10581" priority="5569">
      <formula>N265&gt;P265+#REF!</formula>
    </cfRule>
    <cfRule type="expression" dxfId="10580" priority="5570">
      <formula>N265&lt;P265-#REF!</formula>
    </cfRule>
  </conditionalFormatting>
  <conditionalFormatting sqref="N266">
    <cfRule type="expression" dxfId="10579" priority="5567">
      <formula>N266&gt;P266+#REF!</formula>
    </cfRule>
    <cfRule type="expression" dxfId="10578" priority="5568">
      <formula>N266&lt;P266-#REF!</formula>
    </cfRule>
  </conditionalFormatting>
  <conditionalFormatting sqref="N267">
    <cfRule type="expression" dxfId="10577" priority="5565">
      <formula>N267&gt;P267+#REF!</formula>
    </cfRule>
    <cfRule type="expression" dxfId="10576" priority="5566">
      <formula>N267&lt;P267-#REF!</formula>
    </cfRule>
  </conditionalFormatting>
  <conditionalFormatting sqref="N268">
    <cfRule type="expression" dxfId="10575" priority="5563">
      <formula>N268&gt;P268+#REF!</formula>
    </cfRule>
    <cfRule type="expression" dxfId="10574" priority="5564">
      <formula>N268&lt;P268-#REF!</formula>
    </cfRule>
  </conditionalFormatting>
  <conditionalFormatting sqref="N269:N270">
    <cfRule type="expression" dxfId="10573" priority="5561">
      <formula>N269&gt;P269+#REF!</formula>
    </cfRule>
    <cfRule type="expression" dxfId="10572" priority="5562">
      <formula>N269&lt;P269-#REF!</formula>
    </cfRule>
  </conditionalFormatting>
  <conditionalFormatting sqref="N271">
    <cfRule type="expression" dxfId="10571" priority="5559">
      <formula>N271&gt;P271+#REF!</formula>
    </cfRule>
    <cfRule type="expression" dxfId="10570" priority="5560">
      <formula>N271&lt;P271-#REF!</formula>
    </cfRule>
  </conditionalFormatting>
  <conditionalFormatting sqref="J260">
    <cfRule type="expression" dxfId="10569" priority="4579">
      <formula>J260&lt;L260*#REF!</formula>
    </cfRule>
    <cfRule type="expression" dxfId="10568" priority="4580">
      <formula>J260&gt;L260*#REF!</formula>
    </cfRule>
  </conditionalFormatting>
  <conditionalFormatting sqref="J261">
    <cfRule type="expression" dxfId="10567" priority="4577">
      <formula>J261&lt;L261*#REF!</formula>
    </cfRule>
    <cfRule type="expression" dxfId="10566" priority="4578">
      <formula>J261&gt;L261*#REF!</formula>
    </cfRule>
  </conditionalFormatting>
  <conditionalFormatting sqref="J272">
    <cfRule type="expression" dxfId="10565" priority="4575">
      <formula>J272&lt;L272*#REF!</formula>
    </cfRule>
    <cfRule type="expression" dxfId="10564" priority="4576">
      <formula>J272&gt;L272*#REF!</formula>
    </cfRule>
  </conditionalFormatting>
  <conditionalFormatting sqref="J262">
    <cfRule type="expression" dxfId="10563" priority="4573">
      <formula>J262&gt;L262+#REF!</formula>
    </cfRule>
    <cfRule type="expression" dxfId="10562" priority="4574">
      <formula>J262&lt;L262-#REF!</formula>
    </cfRule>
  </conditionalFormatting>
  <conditionalFormatting sqref="J263">
    <cfRule type="expression" dxfId="10561" priority="4571">
      <formula>J263&gt;L263+#REF!</formula>
    </cfRule>
    <cfRule type="expression" dxfId="10560" priority="4572">
      <formula>J263&lt;L263-#REF!</formula>
    </cfRule>
  </conditionalFormatting>
  <conditionalFormatting sqref="J264">
    <cfRule type="expression" dxfId="10559" priority="4569">
      <formula>J264&gt;L264+#REF!</formula>
    </cfRule>
    <cfRule type="expression" dxfId="10558" priority="4570">
      <formula>J264&lt;L264-#REF!</formula>
    </cfRule>
  </conditionalFormatting>
  <conditionalFormatting sqref="J265">
    <cfRule type="expression" dxfId="10557" priority="4567">
      <formula>J265&gt;L265+#REF!</formula>
    </cfRule>
    <cfRule type="expression" dxfId="10556" priority="4568">
      <formula>J265&lt;L265-#REF!</formula>
    </cfRule>
  </conditionalFormatting>
  <conditionalFormatting sqref="J266">
    <cfRule type="expression" dxfId="10555" priority="4565">
      <formula>J266&gt;L266+#REF!</formula>
    </cfRule>
    <cfRule type="expression" dxfId="10554" priority="4566">
      <formula>J266&lt;L266-#REF!</formula>
    </cfRule>
  </conditionalFormatting>
  <conditionalFormatting sqref="J267">
    <cfRule type="expression" dxfId="10553" priority="4563">
      <formula>J267&gt;L267+#REF!</formula>
    </cfRule>
    <cfRule type="expression" dxfId="10552" priority="4564">
      <formula>J267&lt;L267-#REF!</formula>
    </cfRule>
  </conditionalFormatting>
  <conditionalFormatting sqref="J268">
    <cfRule type="expression" dxfId="10551" priority="4561">
      <formula>J268&gt;L268+#REF!</formula>
    </cfRule>
    <cfRule type="expression" dxfId="10550" priority="4562">
      <formula>J268&lt;L268-#REF!</formula>
    </cfRule>
  </conditionalFormatting>
  <conditionalFormatting sqref="J269:J270">
    <cfRule type="expression" dxfId="10549" priority="4559">
      <formula>J269&gt;L269+#REF!</formula>
    </cfRule>
    <cfRule type="expression" dxfId="10548" priority="4560">
      <formula>J269&lt;L269-#REF!</formula>
    </cfRule>
  </conditionalFormatting>
  <conditionalFormatting sqref="J271">
    <cfRule type="expression" dxfId="10547" priority="4557">
      <formula>J271&gt;L271+#REF!</formula>
    </cfRule>
    <cfRule type="expression" dxfId="10546" priority="4558">
      <formula>J271&lt;L271-#REF!</formula>
    </cfRule>
  </conditionalFormatting>
  <conditionalFormatting sqref="J8">
    <cfRule type="expression" dxfId="10545" priority="4933">
      <formula>J8&lt;L8*#REF!</formula>
    </cfRule>
    <cfRule type="expression" dxfId="10544" priority="4934">
      <formula>J8&gt;L8*#REF!</formula>
    </cfRule>
  </conditionalFormatting>
  <conditionalFormatting sqref="J9">
    <cfRule type="expression" dxfId="10543" priority="4931">
      <formula>J9&lt;L9*#REF!</formula>
    </cfRule>
    <cfRule type="expression" dxfId="10542" priority="4932">
      <formula>J9&gt;L9*#REF!</formula>
    </cfRule>
  </conditionalFormatting>
  <conditionalFormatting sqref="J20">
    <cfRule type="expression" dxfId="10541" priority="4929">
      <formula>J20&lt;L20*#REF!</formula>
    </cfRule>
    <cfRule type="expression" dxfId="10540" priority="4930">
      <formula>J20&gt;L20*#REF!</formula>
    </cfRule>
  </conditionalFormatting>
  <conditionalFormatting sqref="J10">
    <cfRule type="expression" dxfId="10539" priority="4927">
      <formula>J10&gt;L10+#REF!</formula>
    </cfRule>
    <cfRule type="expression" dxfId="10538" priority="4928">
      <formula>J10&lt;L10-#REF!</formula>
    </cfRule>
  </conditionalFormatting>
  <conditionalFormatting sqref="J11">
    <cfRule type="expression" dxfId="10537" priority="4925">
      <formula>J11&gt;L11+#REF!</formula>
    </cfRule>
    <cfRule type="expression" dxfId="10536" priority="4926">
      <formula>J11&lt;L11-#REF!</formula>
    </cfRule>
  </conditionalFormatting>
  <conditionalFormatting sqref="J12">
    <cfRule type="expression" dxfId="10535" priority="4923">
      <formula>J12&gt;L12+#REF!</formula>
    </cfRule>
    <cfRule type="expression" dxfId="10534" priority="4924">
      <formula>J12&lt;L12-#REF!</formula>
    </cfRule>
  </conditionalFormatting>
  <conditionalFormatting sqref="J13">
    <cfRule type="expression" dxfId="10533" priority="4921">
      <formula>J13&gt;L13+#REF!</formula>
    </cfRule>
    <cfRule type="expression" dxfId="10532" priority="4922">
      <formula>J13&lt;L13-#REF!</formula>
    </cfRule>
  </conditionalFormatting>
  <conditionalFormatting sqref="J14">
    <cfRule type="expression" dxfId="10531" priority="4919">
      <formula>J14&gt;L14+#REF!</formula>
    </cfRule>
    <cfRule type="expression" dxfId="10530" priority="4920">
      <formula>J14&lt;L14-#REF!</formula>
    </cfRule>
  </conditionalFormatting>
  <conditionalFormatting sqref="J15">
    <cfRule type="expression" dxfId="10529" priority="4917">
      <formula>J15&gt;L15+#REF!</formula>
    </cfRule>
    <cfRule type="expression" dxfId="10528" priority="4918">
      <formula>J15&lt;L15-#REF!</formula>
    </cfRule>
  </conditionalFormatting>
  <conditionalFormatting sqref="J16">
    <cfRule type="expression" dxfId="10527" priority="4915">
      <formula>J16&gt;L16+#REF!</formula>
    </cfRule>
    <cfRule type="expression" dxfId="10526" priority="4916">
      <formula>J16&lt;L16-#REF!</formula>
    </cfRule>
  </conditionalFormatting>
  <conditionalFormatting sqref="J17:J18">
    <cfRule type="expression" dxfId="10525" priority="4913">
      <formula>J17&gt;L17+#REF!</formula>
    </cfRule>
    <cfRule type="expression" dxfId="10524" priority="4914">
      <formula>J17&lt;L17-#REF!</formula>
    </cfRule>
  </conditionalFormatting>
  <conditionalFormatting sqref="J19">
    <cfRule type="expression" dxfId="10523" priority="4911">
      <formula>J19&gt;L19+#REF!</formula>
    </cfRule>
    <cfRule type="expression" dxfId="10522" priority="4912">
      <formula>J19&lt;L19-#REF!</formula>
    </cfRule>
  </conditionalFormatting>
  <conditionalFormatting sqref="F120">
    <cfRule type="expression" dxfId="10521" priority="5149">
      <formula>F120&lt;H120*#REF!</formula>
    </cfRule>
    <cfRule type="expression" dxfId="10520" priority="5150">
      <formula>F120&gt;H120*#REF!</formula>
    </cfRule>
  </conditionalFormatting>
  <conditionalFormatting sqref="F121">
    <cfRule type="expression" dxfId="10519" priority="5147">
      <formula>F121&lt;H121*#REF!</formula>
    </cfRule>
    <cfRule type="expression" dxfId="10518" priority="5148">
      <formula>F121&gt;H121*#REF!</formula>
    </cfRule>
  </conditionalFormatting>
  <conditionalFormatting sqref="F132">
    <cfRule type="expression" dxfId="10517" priority="5145">
      <formula>F132&lt;H132*#REF!</formula>
    </cfRule>
    <cfRule type="expression" dxfId="10516" priority="5146">
      <formula>F132&gt;H132*#REF!</formula>
    </cfRule>
  </conditionalFormatting>
  <conditionalFormatting sqref="F122">
    <cfRule type="expression" dxfId="10515" priority="5143">
      <formula>F122&gt;H122+#REF!</formula>
    </cfRule>
    <cfRule type="expression" dxfId="10514" priority="5144">
      <formula>F122&lt;H122-#REF!</formula>
    </cfRule>
  </conditionalFormatting>
  <conditionalFormatting sqref="F123">
    <cfRule type="expression" dxfId="10513" priority="5141">
      <formula>F123&gt;H123+#REF!</formula>
    </cfRule>
    <cfRule type="expression" dxfId="10512" priority="5142">
      <formula>F123&lt;H123-#REF!</formula>
    </cfRule>
  </conditionalFormatting>
  <conditionalFormatting sqref="F124">
    <cfRule type="expression" dxfId="10511" priority="5139">
      <formula>F124&gt;H124+#REF!</formula>
    </cfRule>
    <cfRule type="expression" dxfId="10510" priority="5140">
      <formula>F124&lt;H124-#REF!</formula>
    </cfRule>
  </conditionalFormatting>
  <conditionalFormatting sqref="F125">
    <cfRule type="expression" dxfId="10509" priority="5137">
      <formula>F125&gt;H125+#REF!</formula>
    </cfRule>
    <cfRule type="expression" dxfId="10508" priority="5138">
      <formula>F125&lt;H125-#REF!</formula>
    </cfRule>
  </conditionalFormatting>
  <conditionalFormatting sqref="F126">
    <cfRule type="expression" dxfId="10507" priority="5135">
      <formula>F126&gt;H126+#REF!</formula>
    </cfRule>
    <cfRule type="expression" dxfId="10506" priority="5136">
      <formula>F126&lt;H126-#REF!</formula>
    </cfRule>
  </conditionalFormatting>
  <conditionalFormatting sqref="F127">
    <cfRule type="expression" dxfId="10505" priority="5133">
      <formula>F127&gt;H127+#REF!</formula>
    </cfRule>
    <cfRule type="expression" dxfId="10504" priority="5134">
      <formula>F127&lt;H127-#REF!</formula>
    </cfRule>
  </conditionalFormatting>
  <conditionalFormatting sqref="F128">
    <cfRule type="expression" dxfId="10503" priority="5131">
      <formula>F128&gt;H128+#REF!</formula>
    </cfRule>
    <cfRule type="expression" dxfId="10502" priority="5132">
      <formula>F128&lt;H128-#REF!</formula>
    </cfRule>
  </conditionalFormatting>
  <conditionalFormatting sqref="F129:F130">
    <cfRule type="expression" dxfId="10501" priority="5129">
      <formula>F129&gt;H129+#REF!</formula>
    </cfRule>
    <cfRule type="expression" dxfId="10500" priority="5130">
      <formula>F129&lt;H129-#REF!</formula>
    </cfRule>
  </conditionalFormatting>
  <conditionalFormatting sqref="F131">
    <cfRule type="expression" dxfId="10499" priority="5127">
      <formula>F131&gt;H131+#REF!</formula>
    </cfRule>
    <cfRule type="expression" dxfId="10498" priority="5128">
      <formula>F131&lt;H131-#REF!</formula>
    </cfRule>
  </conditionalFormatting>
  <conditionalFormatting sqref="J134">
    <cfRule type="expression" dxfId="10497" priority="4723">
      <formula>J134&lt;L134*#REF!</formula>
    </cfRule>
    <cfRule type="expression" dxfId="10496" priority="4724">
      <formula>J134&gt;L134*#REF!</formula>
    </cfRule>
  </conditionalFormatting>
  <conditionalFormatting sqref="J135">
    <cfRule type="expression" dxfId="10495" priority="4721">
      <formula>J135&lt;L135*#REF!</formula>
    </cfRule>
    <cfRule type="expression" dxfId="10494" priority="4722">
      <formula>J135&gt;L135*#REF!</formula>
    </cfRule>
  </conditionalFormatting>
  <conditionalFormatting sqref="J136">
    <cfRule type="expression" dxfId="10493" priority="4717">
      <formula>J136&gt;L136+#REF!</formula>
    </cfRule>
    <cfRule type="expression" dxfId="10492" priority="4718">
      <formula>J136&lt;L136-#REF!</formula>
    </cfRule>
  </conditionalFormatting>
  <conditionalFormatting sqref="J137">
    <cfRule type="expression" dxfId="10491" priority="4715">
      <formula>J137&gt;L137+#REF!</formula>
    </cfRule>
    <cfRule type="expression" dxfId="10490" priority="4716">
      <formula>J137&lt;L137-#REF!</formula>
    </cfRule>
  </conditionalFormatting>
  <conditionalFormatting sqref="J138">
    <cfRule type="expression" dxfId="10489" priority="4713">
      <formula>J138&gt;L138+#REF!</formula>
    </cfRule>
    <cfRule type="expression" dxfId="10488" priority="4714">
      <formula>J138&lt;L138-#REF!</formula>
    </cfRule>
  </conditionalFormatting>
  <conditionalFormatting sqref="J139">
    <cfRule type="expression" dxfId="10487" priority="4711">
      <formula>J139&gt;L139+#REF!</formula>
    </cfRule>
    <cfRule type="expression" dxfId="10486" priority="4712">
      <formula>J139&lt;L139-#REF!</formula>
    </cfRule>
  </conditionalFormatting>
  <conditionalFormatting sqref="J140">
    <cfRule type="expression" dxfId="10485" priority="4709">
      <formula>J140&gt;L140+#REF!</formula>
    </cfRule>
    <cfRule type="expression" dxfId="10484" priority="4710">
      <formula>J140&lt;L140-#REF!</formula>
    </cfRule>
  </conditionalFormatting>
  <conditionalFormatting sqref="J141">
    <cfRule type="expression" dxfId="10483" priority="4707">
      <formula>J141&gt;L141+#REF!</formula>
    </cfRule>
    <cfRule type="expression" dxfId="10482" priority="4708">
      <formula>J141&lt;L141-#REF!</formula>
    </cfRule>
  </conditionalFormatting>
  <conditionalFormatting sqref="J142">
    <cfRule type="expression" dxfId="10481" priority="4705">
      <formula>J142&gt;L142+#REF!</formula>
    </cfRule>
    <cfRule type="expression" dxfId="10480" priority="4706">
      <formula>J142&lt;L142-#REF!</formula>
    </cfRule>
  </conditionalFormatting>
  <conditionalFormatting sqref="J143:J144">
    <cfRule type="expression" dxfId="10479" priority="4703">
      <formula>J143&gt;L143+#REF!</formula>
    </cfRule>
    <cfRule type="expression" dxfId="10478" priority="4704">
      <formula>J143&lt;L143-#REF!</formula>
    </cfRule>
  </conditionalFormatting>
  <conditionalFormatting sqref="J145">
    <cfRule type="expression" dxfId="10477" priority="4701">
      <formula>J145&gt;L145+#REF!</formula>
    </cfRule>
    <cfRule type="expression" dxfId="10476" priority="4702">
      <formula>J145&lt;L145-#REF!</formula>
    </cfRule>
  </conditionalFormatting>
  <conditionalFormatting sqref="J92">
    <cfRule type="expression" dxfId="10475" priority="4789">
      <formula>J92&lt;L92*#REF!</formula>
    </cfRule>
    <cfRule type="expression" dxfId="10474" priority="4790">
      <formula>J92&gt;L92*#REF!</formula>
    </cfRule>
  </conditionalFormatting>
  <conditionalFormatting sqref="J93">
    <cfRule type="expression" dxfId="10473" priority="4787">
      <formula>J93&lt;L93*#REF!</formula>
    </cfRule>
    <cfRule type="expression" dxfId="10472" priority="4788">
      <formula>J93&gt;L93*#REF!</formula>
    </cfRule>
  </conditionalFormatting>
  <conditionalFormatting sqref="J104">
    <cfRule type="expression" dxfId="10471" priority="4785">
      <formula>J104&lt;L104*#REF!</formula>
    </cfRule>
    <cfRule type="expression" dxfId="10470" priority="4786">
      <formula>J104&gt;L104*#REF!</formula>
    </cfRule>
  </conditionalFormatting>
  <conditionalFormatting sqref="J94">
    <cfRule type="expression" dxfId="10469" priority="4783">
      <formula>J94&gt;L94+#REF!</formula>
    </cfRule>
    <cfRule type="expression" dxfId="10468" priority="4784">
      <formula>J94&lt;L94-#REF!</formula>
    </cfRule>
  </conditionalFormatting>
  <conditionalFormatting sqref="J95">
    <cfRule type="expression" dxfId="10467" priority="4781">
      <formula>J95&gt;L95+#REF!</formula>
    </cfRule>
    <cfRule type="expression" dxfId="10466" priority="4782">
      <formula>J95&lt;L95-#REF!</formula>
    </cfRule>
  </conditionalFormatting>
  <conditionalFormatting sqref="J96">
    <cfRule type="expression" dxfId="10465" priority="4779">
      <formula>J96&gt;L96+#REF!</formula>
    </cfRule>
    <cfRule type="expression" dxfId="10464" priority="4780">
      <formula>J96&lt;L96-#REF!</formula>
    </cfRule>
  </conditionalFormatting>
  <conditionalFormatting sqref="J97">
    <cfRule type="expression" dxfId="10463" priority="4777">
      <formula>J97&gt;L97+#REF!</formula>
    </cfRule>
    <cfRule type="expression" dxfId="10462" priority="4778">
      <formula>J97&lt;L97-#REF!</formula>
    </cfRule>
  </conditionalFormatting>
  <conditionalFormatting sqref="J98">
    <cfRule type="expression" dxfId="10461" priority="4775">
      <formula>J98&gt;L98+#REF!</formula>
    </cfRule>
    <cfRule type="expression" dxfId="10460" priority="4776">
      <formula>J98&lt;L98-#REF!</formula>
    </cfRule>
  </conditionalFormatting>
  <conditionalFormatting sqref="J99">
    <cfRule type="expression" dxfId="10459" priority="4773">
      <formula>J99&gt;L99+#REF!</formula>
    </cfRule>
    <cfRule type="expression" dxfId="10458" priority="4774">
      <formula>J99&lt;L99-#REF!</formula>
    </cfRule>
  </conditionalFormatting>
  <conditionalFormatting sqref="J100">
    <cfRule type="expression" dxfId="10457" priority="4771">
      <formula>J100&gt;L100+#REF!</formula>
    </cfRule>
    <cfRule type="expression" dxfId="10456" priority="4772">
      <formula>J100&lt;L100-#REF!</formula>
    </cfRule>
  </conditionalFormatting>
  <conditionalFormatting sqref="J101:J102">
    <cfRule type="expression" dxfId="10455" priority="4769">
      <formula>J101&gt;L101+#REF!</formula>
    </cfRule>
    <cfRule type="expression" dxfId="10454" priority="4770">
      <formula>J101&lt;L101-#REF!</formula>
    </cfRule>
  </conditionalFormatting>
  <conditionalFormatting sqref="J103">
    <cfRule type="expression" dxfId="10453" priority="4767">
      <formula>J103&gt;L103+#REF!</formula>
    </cfRule>
    <cfRule type="expression" dxfId="10452" priority="4768">
      <formula>J103&lt;L103-#REF!</formula>
    </cfRule>
  </conditionalFormatting>
  <conditionalFormatting sqref="J160">
    <cfRule type="expression" dxfId="10451" priority="4695">
      <formula>J160&lt;L160*#REF!</formula>
    </cfRule>
    <cfRule type="expression" dxfId="10450" priority="4696">
      <formula>J160&gt;L160*#REF!</formula>
    </cfRule>
  </conditionalFormatting>
  <conditionalFormatting sqref="N218">
    <cfRule type="expression" dxfId="10449" priority="5437">
      <formula>N218&lt;P218*#REF!</formula>
    </cfRule>
    <cfRule type="expression" dxfId="10448" priority="5438">
      <formula>N218&gt;P218*#REF!</formula>
    </cfRule>
  </conditionalFormatting>
  <conditionalFormatting sqref="N219">
    <cfRule type="expression" dxfId="10447" priority="5435">
      <formula>N219&lt;P219*#REF!</formula>
    </cfRule>
    <cfRule type="expression" dxfId="10446" priority="5436">
      <formula>N219&gt;P219*#REF!</formula>
    </cfRule>
  </conditionalFormatting>
  <conditionalFormatting sqref="N230">
    <cfRule type="expression" dxfId="10445" priority="5433">
      <formula>N230&lt;P230*#REF!</formula>
    </cfRule>
    <cfRule type="expression" dxfId="10444" priority="5434">
      <formula>N230&gt;P230*#REF!</formula>
    </cfRule>
  </conditionalFormatting>
  <conditionalFormatting sqref="N220">
    <cfRule type="expression" dxfId="10443" priority="5431">
      <formula>N220&gt;P220+#REF!</formula>
    </cfRule>
    <cfRule type="expression" dxfId="10442" priority="5432">
      <formula>N220&lt;P220-#REF!</formula>
    </cfRule>
  </conditionalFormatting>
  <conditionalFormatting sqref="N221">
    <cfRule type="expression" dxfId="10441" priority="5429">
      <formula>N221&gt;P221+#REF!</formula>
    </cfRule>
    <cfRule type="expression" dxfId="10440" priority="5430">
      <formula>N221&lt;P221-#REF!</formula>
    </cfRule>
  </conditionalFormatting>
  <conditionalFormatting sqref="N222">
    <cfRule type="expression" dxfId="10439" priority="5427">
      <formula>N222&gt;P222+#REF!</formula>
    </cfRule>
    <cfRule type="expression" dxfId="10438" priority="5428">
      <formula>N222&lt;P222-#REF!</formula>
    </cfRule>
  </conditionalFormatting>
  <conditionalFormatting sqref="N223">
    <cfRule type="expression" dxfId="10437" priority="5425">
      <formula>N223&gt;P223+#REF!</formula>
    </cfRule>
    <cfRule type="expression" dxfId="10436" priority="5426">
      <formula>N223&lt;P223-#REF!</formula>
    </cfRule>
  </conditionalFormatting>
  <conditionalFormatting sqref="N224">
    <cfRule type="expression" dxfId="10435" priority="5423">
      <formula>N224&gt;P224+#REF!</formula>
    </cfRule>
    <cfRule type="expression" dxfId="10434" priority="5424">
      <formula>N224&lt;P224-#REF!</formula>
    </cfRule>
  </conditionalFormatting>
  <conditionalFormatting sqref="N225">
    <cfRule type="expression" dxfId="10433" priority="5421">
      <formula>N225&gt;P225+#REF!</formula>
    </cfRule>
    <cfRule type="expression" dxfId="10432" priority="5422">
      <formula>N225&lt;P225-#REF!</formula>
    </cfRule>
  </conditionalFormatting>
  <conditionalFormatting sqref="N226">
    <cfRule type="expression" dxfId="10431" priority="5419">
      <formula>N226&gt;P226+#REF!</formula>
    </cfRule>
    <cfRule type="expression" dxfId="10430" priority="5420">
      <formula>N226&lt;P226-#REF!</formula>
    </cfRule>
  </conditionalFormatting>
  <conditionalFormatting sqref="N227:N228">
    <cfRule type="expression" dxfId="10429" priority="5417">
      <formula>N227&gt;P227+#REF!</formula>
    </cfRule>
    <cfRule type="expression" dxfId="10428" priority="5418">
      <formula>N227&lt;P227-#REF!</formula>
    </cfRule>
  </conditionalFormatting>
  <conditionalFormatting sqref="N229">
    <cfRule type="expression" dxfId="10427" priority="5415">
      <formula>N229&gt;P229+#REF!</formula>
    </cfRule>
    <cfRule type="expression" dxfId="10426" priority="5416">
      <formula>N229&lt;P229-#REF!</formula>
    </cfRule>
  </conditionalFormatting>
  <conditionalFormatting sqref="J146">
    <cfRule type="expression" dxfId="10425" priority="4719">
      <formula>J146&lt;L146*#REF!</formula>
    </cfRule>
    <cfRule type="expression" dxfId="10424" priority="4720">
      <formula>J146&gt;L146*#REF!</formula>
    </cfRule>
  </conditionalFormatting>
  <conditionalFormatting sqref="F134">
    <cfRule type="expression" dxfId="10423" priority="5125">
      <formula>F134&lt;H134*#REF!</formula>
    </cfRule>
    <cfRule type="expression" dxfId="10422" priority="5126">
      <formula>F134&gt;H134*#REF!</formula>
    </cfRule>
  </conditionalFormatting>
  <conditionalFormatting sqref="F135">
    <cfRule type="expression" dxfId="10421" priority="5123">
      <formula>F135&lt;H135*#REF!</formula>
    </cfRule>
    <cfRule type="expression" dxfId="10420" priority="5124">
      <formula>F135&gt;H135*#REF!</formula>
    </cfRule>
  </conditionalFormatting>
  <conditionalFormatting sqref="F146">
    <cfRule type="expression" dxfId="10419" priority="5121">
      <formula>F146&lt;H146*#REF!</formula>
    </cfRule>
    <cfRule type="expression" dxfId="10418" priority="5122">
      <formula>F146&gt;H146*#REF!</formula>
    </cfRule>
  </conditionalFormatting>
  <conditionalFormatting sqref="F136">
    <cfRule type="expression" dxfId="10417" priority="5119">
      <formula>F136&gt;H136+#REF!</formula>
    </cfRule>
    <cfRule type="expression" dxfId="10416" priority="5120">
      <formula>F136&lt;H136-#REF!</formula>
    </cfRule>
  </conditionalFormatting>
  <conditionalFormatting sqref="F137">
    <cfRule type="expression" dxfId="10415" priority="5117">
      <formula>F137&gt;H137+#REF!</formula>
    </cfRule>
    <cfRule type="expression" dxfId="10414" priority="5118">
      <formula>F137&lt;H137-#REF!</formula>
    </cfRule>
  </conditionalFormatting>
  <conditionalFormatting sqref="F138">
    <cfRule type="expression" dxfId="10413" priority="5115">
      <formula>F138&gt;H138+#REF!</formula>
    </cfRule>
    <cfRule type="expression" dxfId="10412" priority="5116">
      <formula>F138&lt;H138-#REF!</formula>
    </cfRule>
  </conditionalFormatting>
  <conditionalFormatting sqref="F139">
    <cfRule type="expression" dxfId="10411" priority="5113">
      <formula>F139&gt;H139+#REF!</formula>
    </cfRule>
    <cfRule type="expression" dxfId="10410" priority="5114">
      <formula>F139&lt;H139-#REF!</formula>
    </cfRule>
  </conditionalFormatting>
  <conditionalFormatting sqref="F140">
    <cfRule type="expression" dxfId="10409" priority="5111">
      <formula>F140&gt;H140+#REF!</formula>
    </cfRule>
    <cfRule type="expression" dxfId="10408" priority="5112">
      <formula>F140&lt;H140-#REF!</formula>
    </cfRule>
  </conditionalFormatting>
  <conditionalFormatting sqref="F141">
    <cfRule type="expression" dxfId="10407" priority="5109">
      <formula>F141&gt;H141+#REF!</formula>
    </cfRule>
    <cfRule type="expression" dxfId="10406" priority="5110">
      <formula>F141&lt;H141-#REF!</formula>
    </cfRule>
  </conditionalFormatting>
  <conditionalFormatting sqref="F142">
    <cfRule type="expression" dxfId="10405" priority="5107">
      <formula>F142&gt;H142+#REF!</formula>
    </cfRule>
    <cfRule type="expression" dxfId="10404" priority="5108">
      <formula>F142&lt;H142-#REF!</formula>
    </cfRule>
  </conditionalFormatting>
  <conditionalFormatting sqref="F143:F144">
    <cfRule type="expression" dxfId="10403" priority="5105">
      <formula>F143&gt;H143+#REF!</formula>
    </cfRule>
    <cfRule type="expression" dxfId="10402" priority="5106">
      <formula>F143&lt;H143-#REF!</formula>
    </cfRule>
  </conditionalFormatting>
  <conditionalFormatting sqref="F145">
    <cfRule type="expression" dxfId="10401" priority="5103">
      <formula>F145&gt;H145+#REF!</formula>
    </cfRule>
    <cfRule type="expression" dxfId="10400" priority="5104">
      <formula>F145&lt;H145-#REF!</formula>
    </cfRule>
  </conditionalFormatting>
  <conditionalFormatting sqref="J204">
    <cfRule type="expression" dxfId="10399" priority="4603">
      <formula>J204&lt;L204*#REF!</formula>
    </cfRule>
    <cfRule type="expression" dxfId="10398" priority="4604">
      <formula>J204&gt;L204*#REF!</formula>
    </cfRule>
  </conditionalFormatting>
  <conditionalFormatting sqref="J205">
    <cfRule type="expression" dxfId="10397" priority="4601">
      <formula>J205&lt;L205*#REF!</formula>
    </cfRule>
    <cfRule type="expression" dxfId="10396" priority="4602">
      <formula>J205&gt;L205*#REF!</formula>
    </cfRule>
  </conditionalFormatting>
  <conditionalFormatting sqref="J206">
    <cfRule type="expression" dxfId="10395" priority="4597">
      <formula>J206&gt;L206+#REF!</formula>
    </cfRule>
    <cfRule type="expression" dxfId="10394" priority="4598">
      <formula>J206&lt;L206-#REF!</formula>
    </cfRule>
  </conditionalFormatting>
  <conditionalFormatting sqref="J207">
    <cfRule type="expression" dxfId="10393" priority="4595">
      <formula>J207&gt;L207+#REF!</formula>
    </cfRule>
    <cfRule type="expression" dxfId="10392" priority="4596">
      <formula>J207&lt;L207-#REF!</formula>
    </cfRule>
  </conditionalFormatting>
  <conditionalFormatting sqref="J208">
    <cfRule type="expression" dxfId="10391" priority="4593">
      <formula>J208&gt;L208+#REF!</formula>
    </cfRule>
    <cfRule type="expression" dxfId="10390" priority="4594">
      <formula>J208&lt;L208-#REF!</formula>
    </cfRule>
  </conditionalFormatting>
  <conditionalFormatting sqref="J209">
    <cfRule type="expression" dxfId="10389" priority="4591">
      <formula>J209&gt;L209+#REF!</formula>
    </cfRule>
    <cfRule type="expression" dxfId="10388" priority="4592">
      <formula>J209&lt;L209-#REF!</formula>
    </cfRule>
  </conditionalFormatting>
  <conditionalFormatting sqref="J210">
    <cfRule type="expression" dxfId="10387" priority="4589">
      <formula>J210&gt;L210+#REF!</formula>
    </cfRule>
    <cfRule type="expression" dxfId="10386" priority="4590">
      <formula>J210&lt;L210-#REF!</formula>
    </cfRule>
  </conditionalFormatting>
  <conditionalFormatting sqref="J211">
    <cfRule type="expression" dxfId="10385" priority="4587">
      <formula>J211&gt;L211+#REF!</formula>
    </cfRule>
    <cfRule type="expression" dxfId="10384" priority="4588">
      <formula>J211&lt;L211-#REF!</formula>
    </cfRule>
  </conditionalFormatting>
  <conditionalFormatting sqref="J212">
    <cfRule type="expression" dxfId="10383" priority="4585">
      <formula>J212&gt;L212+#REF!</formula>
    </cfRule>
    <cfRule type="expression" dxfId="10382" priority="4586">
      <formula>J212&lt;L212-#REF!</formula>
    </cfRule>
  </conditionalFormatting>
  <conditionalFormatting sqref="J213:J214">
    <cfRule type="expression" dxfId="10381" priority="4583">
      <formula>J213&gt;L213+#REF!</formula>
    </cfRule>
    <cfRule type="expression" dxfId="10380" priority="4584">
      <formula>J213&lt;L213-#REF!</formula>
    </cfRule>
  </conditionalFormatting>
  <conditionalFormatting sqref="J215">
    <cfRule type="expression" dxfId="10379" priority="4581">
      <formula>J215&gt;L215+#REF!</formula>
    </cfRule>
    <cfRule type="expression" dxfId="10378" priority="4582">
      <formula>J215&lt;L215-#REF!</formula>
    </cfRule>
  </conditionalFormatting>
  <conditionalFormatting sqref="J48">
    <cfRule type="expression" dxfId="10377" priority="4881">
      <formula>J48&lt;L48*#REF!</formula>
    </cfRule>
    <cfRule type="expression" dxfId="10376" priority="4882">
      <formula>J48&gt;L48*#REF!</formula>
    </cfRule>
  </conditionalFormatting>
  <conditionalFormatting sqref="J62">
    <cfRule type="expression" dxfId="10375" priority="4857">
      <formula>J62&lt;L62*#REF!</formula>
    </cfRule>
    <cfRule type="expression" dxfId="10374" priority="4858">
      <formula>J62&gt;L62*#REF!</formula>
    </cfRule>
  </conditionalFormatting>
  <conditionalFormatting sqref="J76">
    <cfRule type="expression" dxfId="10373" priority="4833">
      <formula>J76&lt;L76*#REF!</formula>
    </cfRule>
    <cfRule type="expression" dxfId="10372" priority="4834">
      <formula>J76&gt;L76*#REF!</formula>
    </cfRule>
  </conditionalFormatting>
  <conditionalFormatting sqref="J90">
    <cfRule type="expression" dxfId="10371" priority="4809">
      <formula>J90&lt;L90*#REF!</formula>
    </cfRule>
    <cfRule type="expression" dxfId="10370" priority="4810">
      <formula>J90&gt;L90*#REF!</formula>
    </cfRule>
  </conditionalFormatting>
  <conditionalFormatting sqref="J118">
    <cfRule type="expression" dxfId="10369" priority="4761">
      <formula>J118&lt;L118*#REF!</formula>
    </cfRule>
    <cfRule type="expression" dxfId="10368" priority="4762">
      <formula>J118&gt;L118*#REF!</formula>
    </cfRule>
  </conditionalFormatting>
  <conditionalFormatting sqref="J218">
    <cfRule type="expression" dxfId="10367" priority="4555">
      <formula>J218&lt;L218*#REF!</formula>
    </cfRule>
    <cfRule type="expression" dxfId="10366" priority="4556">
      <formula>J218&gt;L218*#REF!</formula>
    </cfRule>
  </conditionalFormatting>
  <conditionalFormatting sqref="J219">
    <cfRule type="expression" dxfId="10365" priority="4553">
      <formula>J219&lt;L219*#REF!</formula>
    </cfRule>
    <cfRule type="expression" dxfId="10364" priority="4554">
      <formula>J219&gt;L219*#REF!</formula>
    </cfRule>
  </conditionalFormatting>
  <conditionalFormatting sqref="J132">
    <cfRule type="expression" dxfId="10363" priority="4743">
      <formula>J132&lt;L132*#REF!</formula>
    </cfRule>
    <cfRule type="expression" dxfId="10362" priority="4744">
      <formula>J132&gt;L132*#REF!</formula>
    </cfRule>
  </conditionalFormatting>
  <conditionalFormatting sqref="J220:L220">
    <cfRule type="expression" dxfId="10361" priority="4549">
      <formula>J220&gt;L220+#REF!</formula>
    </cfRule>
    <cfRule type="expression" dxfId="10360" priority="4550">
      <formula>J220&lt;L220-#REF!</formula>
    </cfRule>
  </conditionalFormatting>
  <conditionalFormatting sqref="J221:L221">
    <cfRule type="expression" dxfId="10359" priority="4547">
      <formula>J221&gt;L221+#REF!</formula>
    </cfRule>
    <cfRule type="expression" dxfId="10358" priority="4548">
      <formula>J221&lt;L221-#REF!</formula>
    </cfRule>
  </conditionalFormatting>
  <conditionalFormatting sqref="J222:L222">
    <cfRule type="expression" dxfId="10357" priority="4545">
      <formula>J222&gt;L222+#REF!</formula>
    </cfRule>
    <cfRule type="expression" dxfId="10356" priority="4546">
      <formula>J222&lt;L222-#REF!</formula>
    </cfRule>
  </conditionalFormatting>
  <conditionalFormatting sqref="J223:L223">
    <cfRule type="expression" dxfId="10355" priority="4543">
      <formula>J223&gt;L223+#REF!</formula>
    </cfRule>
    <cfRule type="expression" dxfId="10354" priority="4544">
      <formula>J223&lt;L223-#REF!</formula>
    </cfRule>
  </conditionalFormatting>
  <conditionalFormatting sqref="J224:L224">
    <cfRule type="expression" dxfId="10353" priority="4541">
      <formula>J224&gt;L224+#REF!</formula>
    </cfRule>
    <cfRule type="expression" dxfId="10352" priority="4542">
      <formula>J224&lt;L224-#REF!</formula>
    </cfRule>
  </conditionalFormatting>
  <conditionalFormatting sqref="J225:L225">
    <cfRule type="expression" dxfId="10351" priority="4539">
      <formula>J225&gt;L225+#REF!</formula>
    </cfRule>
    <cfRule type="expression" dxfId="10350" priority="4540">
      <formula>J225&lt;L225-#REF!</formula>
    </cfRule>
  </conditionalFormatting>
  <conditionalFormatting sqref="J226:L226">
    <cfRule type="expression" dxfId="10349" priority="4537">
      <formula>J226&gt;L226+#REF!</formula>
    </cfRule>
    <cfRule type="expression" dxfId="10348" priority="4538">
      <formula>J226&lt;L226-#REF!</formula>
    </cfRule>
  </conditionalFormatting>
  <conditionalFormatting sqref="J227:J228">
    <cfRule type="expression" dxfId="10347" priority="4535">
      <formula>J227&gt;L227+#REF!</formula>
    </cfRule>
    <cfRule type="expression" dxfId="10346" priority="4536">
      <formula>J227&lt;L227-#REF!</formula>
    </cfRule>
  </conditionalFormatting>
  <conditionalFormatting sqref="J229:L229">
    <cfRule type="expression" dxfId="10345" priority="4533">
      <formula>J229&gt;L229+#REF!</formula>
    </cfRule>
    <cfRule type="expression" dxfId="10344" priority="4534">
      <formula>J229&lt;L229-#REF!</formula>
    </cfRule>
  </conditionalFormatting>
  <conditionalFormatting sqref="J174">
    <cfRule type="expression" dxfId="10343" priority="4671">
      <formula>J174&lt;L174*#REF!</formula>
    </cfRule>
    <cfRule type="expression" dxfId="10342" priority="4672">
      <formula>J174&gt;L174*#REF!</formula>
    </cfRule>
  </conditionalFormatting>
  <conditionalFormatting sqref="J188">
    <cfRule type="expression" dxfId="10341" priority="4623">
      <formula>J188&lt;L188*#REF!</formula>
    </cfRule>
    <cfRule type="expression" dxfId="10340" priority="4624">
      <formula>J188&gt;L188*#REF!</formula>
    </cfRule>
  </conditionalFormatting>
  <conditionalFormatting sqref="F8">
    <cfRule type="expression" dxfId="10339" priority="5341">
      <formula>F8&lt;H8*#REF!</formula>
    </cfRule>
    <cfRule type="expression" dxfId="10338" priority="5342">
      <formula>F8&gt;H8*#REF!</formula>
    </cfRule>
  </conditionalFormatting>
  <conditionalFormatting sqref="F9">
    <cfRule type="expression" dxfId="10337" priority="5339">
      <formula>F9&lt;H9*#REF!</formula>
    </cfRule>
    <cfRule type="expression" dxfId="10336" priority="5340">
      <formula>F9&gt;H9*#REF!</formula>
    </cfRule>
  </conditionalFormatting>
  <conditionalFormatting sqref="F20">
    <cfRule type="expression" dxfId="10335" priority="5337">
      <formula>F20&lt;H20*#REF!</formula>
    </cfRule>
    <cfRule type="expression" dxfId="10334" priority="5338">
      <formula>F20&gt;H20*#REF!</formula>
    </cfRule>
  </conditionalFormatting>
  <conditionalFormatting sqref="F10">
    <cfRule type="expression" dxfId="10333" priority="5335">
      <formula>F10&gt;H10+#REF!</formula>
    </cfRule>
    <cfRule type="expression" dxfId="10332" priority="5336">
      <formula>F10&lt;H10-#REF!</formula>
    </cfRule>
  </conditionalFormatting>
  <conditionalFormatting sqref="F11">
    <cfRule type="expression" dxfId="10331" priority="5333">
      <formula>F11&gt;H11+#REF!</formula>
    </cfRule>
    <cfRule type="expression" dxfId="10330" priority="5334">
      <formula>F11&lt;H11-#REF!</formula>
    </cfRule>
  </conditionalFormatting>
  <conditionalFormatting sqref="F12">
    <cfRule type="expression" dxfId="10329" priority="5331">
      <formula>F12&gt;H12+#REF!</formula>
    </cfRule>
    <cfRule type="expression" dxfId="10328" priority="5332">
      <formula>F12&lt;H12-#REF!</formula>
    </cfRule>
  </conditionalFormatting>
  <conditionalFormatting sqref="F13">
    <cfRule type="expression" dxfId="10327" priority="5329">
      <formula>F13&gt;H13+#REF!</formula>
    </cfRule>
    <cfRule type="expression" dxfId="10326" priority="5330">
      <formula>F13&lt;H13-#REF!</formula>
    </cfRule>
  </conditionalFormatting>
  <conditionalFormatting sqref="F14">
    <cfRule type="expression" dxfId="10325" priority="5327">
      <formula>F14&gt;H14+#REF!</formula>
    </cfRule>
    <cfRule type="expression" dxfId="10324" priority="5328">
      <formula>F14&lt;H14-#REF!</formula>
    </cfRule>
  </conditionalFormatting>
  <conditionalFormatting sqref="F15">
    <cfRule type="expression" dxfId="10323" priority="5325">
      <formula>F15&gt;H15+#REF!</formula>
    </cfRule>
    <cfRule type="expression" dxfId="10322" priority="5326">
      <formula>F15&lt;H15-#REF!</formula>
    </cfRule>
  </conditionalFormatting>
  <conditionalFormatting sqref="F16">
    <cfRule type="expression" dxfId="10321" priority="5323">
      <formula>F16&gt;H16+#REF!</formula>
    </cfRule>
    <cfRule type="expression" dxfId="10320" priority="5324">
      <formula>F16&lt;H16-#REF!</formula>
    </cfRule>
  </conditionalFormatting>
  <conditionalFormatting sqref="F17:F18">
    <cfRule type="expression" dxfId="10319" priority="5321">
      <formula>F17&gt;H17+#REF!</formula>
    </cfRule>
    <cfRule type="expression" dxfId="10318" priority="5322">
      <formula>F17&lt;H17-#REF!</formula>
    </cfRule>
  </conditionalFormatting>
  <conditionalFormatting sqref="F19">
    <cfRule type="expression" dxfId="10317" priority="5319">
      <formula>F19&gt;H19+#REF!</formula>
    </cfRule>
    <cfRule type="expression" dxfId="10316" priority="5320">
      <formula>F19&lt;H19-#REF!</formula>
    </cfRule>
  </conditionalFormatting>
  <conditionalFormatting sqref="F22">
    <cfRule type="expression" dxfId="10315" priority="5317">
      <formula>F22&lt;H22*#REF!</formula>
    </cfRule>
    <cfRule type="expression" dxfId="10314" priority="5318">
      <formula>F22&gt;H22*#REF!</formula>
    </cfRule>
  </conditionalFormatting>
  <conditionalFormatting sqref="F23">
    <cfRule type="expression" dxfId="10313" priority="5315">
      <formula>F23&lt;H23*#REF!</formula>
    </cfRule>
    <cfRule type="expression" dxfId="10312" priority="5316">
      <formula>F23&gt;H23*#REF!</formula>
    </cfRule>
  </conditionalFormatting>
  <conditionalFormatting sqref="F34">
    <cfRule type="expression" dxfId="10311" priority="5313">
      <formula>F34&lt;H34*#REF!</formula>
    </cfRule>
    <cfRule type="expression" dxfId="10310" priority="5314">
      <formula>F34&gt;H34*#REF!</formula>
    </cfRule>
  </conditionalFormatting>
  <conditionalFormatting sqref="F24">
    <cfRule type="expression" dxfId="10309" priority="5311">
      <formula>F24&gt;H24+#REF!</formula>
    </cfRule>
    <cfRule type="expression" dxfId="10308" priority="5312">
      <formula>F24&lt;H24-#REF!</formula>
    </cfRule>
  </conditionalFormatting>
  <conditionalFormatting sqref="F25">
    <cfRule type="expression" dxfId="10307" priority="5309">
      <formula>F25&gt;H25+#REF!</formula>
    </cfRule>
    <cfRule type="expression" dxfId="10306" priority="5310">
      <formula>F25&lt;H25-#REF!</formula>
    </cfRule>
  </conditionalFormatting>
  <conditionalFormatting sqref="F26">
    <cfRule type="expression" dxfId="10305" priority="5307">
      <formula>F26&gt;H26+#REF!</formula>
    </cfRule>
    <cfRule type="expression" dxfId="10304" priority="5308">
      <formula>F26&lt;H26-#REF!</formula>
    </cfRule>
  </conditionalFormatting>
  <conditionalFormatting sqref="F27">
    <cfRule type="expression" dxfId="10303" priority="5305">
      <formula>F27&gt;H27+#REF!</formula>
    </cfRule>
    <cfRule type="expression" dxfId="10302" priority="5306">
      <formula>F27&lt;H27-#REF!</formula>
    </cfRule>
  </conditionalFormatting>
  <conditionalFormatting sqref="F28">
    <cfRule type="expression" dxfId="10301" priority="5303">
      <formula>F28&gt;H28+#REF!</formula>
    </cfRule>
    <cfRule type="expression" dxfId="10300" priority="5304">
      <formula>F28&lt;H28-#REF!</formula>
    </cfRule>
  </conditionalFormatting>
  <conditionalFormatting sqref="F29">
    <cfRule type="expression" dxfId="10299" priority="5301">
      <formula>F29&gt;H29+#REF!</formula>
    </cfRule>
    <cfRule type="expression" dxfId="10298" priority="5302">
      <formula>F29&lt;H29-#REF!</formula>
    </cfRule>
  </conditionalFormatting>
  <conditionalFormatting sqref="F30">
    <cfRule type="expression" dxfId="10297" priority="5299">
      <formula>F30&gt;H30+#REF!</formula>
    </cfRule>
    <cfRule type="expression" dxfId="10296" priority="5300">
      <formula>F30&lt;H30-#REF!</formula>
    </cfRule>
  </conditionalFormatting>
  <conditionalFormatting sqref="F31:F32">
    <cfRule type="expression" dxfId="10295" priority="5297">
      <formula>F31&gt;H31+#REF!</formula>
    </cfRule>
    <cfRule type="expression" dxfId="10294" priority="5298">
      <formula>F31&lt;H31-#REF!</formula>
    </cfRule>
  </conditionalFormatting>
  <conditionalFormatting sqref="F33">
    <cfRule type="expression" dxfId="10293" priority="5295">
      <formula>F33&gt;H33+#REF!</formula>
    </cfRule>
    <cfRule type="expression" dxfId="10292" priority="5296">
      <formula>F33&lt;H33-#REF!</formula>
    </cfRule>
  </conditionalFormatting>
  <conditionalFormatting sqref="F36">
    <cfRule type="expression" dxfId="10291" priority="5293">
      <formula>F36&lt;H36*#REF!</formula>
    </cfRule>
    <cfRule type="expression" dxfId="10290" priority="5294">
      <formula>F36&gt;H36*#REF!</formula>
    </cfRule>
  </conditionalFormatting>
  <conditionalFormatting sqref="F37">
    <cfRule type="expression" dxfId="10289" priority="5291">
      <formula>F37&lt;H37*#REF!</formula>
    </cfRule>
    <cfRule type="expression" dxfId="10288" priority="5292">
      <formula>F37&gt;H37*#REF!</formula>
    </cfRule>
  </conditionalFormatting>
  <conditionalFormatting sqref="F48">
    <cfRule type="expression" dxfId="10287" priority="5289">
      <formula>F48&lt;H48*#REF!</formula>
    </cfRule>
    <cfRule type="expression" dxfId="10286" priority="5290">
      <formula>F48&gt;H48*#REF!</formula>
    </cfRule>
  </conditionalFormatting>
  <conditionalFormatting sqref="F38">
    <cfRule type="expression" dxfId="10285" priority="5287">
      <formula>F38&gt;H38+#REF!</formula>
    </cfRule>
    <cfRule type="expression" dxfId="10284" priority="5288">
      <formula>F38&lt;H38-#REF!</formula>
    </cfRule>
  </conditionalFormatting>
  <conditionalFormatting sqref="F39">
    <cfRule type="expression" dxfId="10283" priority="5285">
      <formula>F39&gt;H39+#REF!</formula>
    </cfRule>
    <cfRule type="expression" dxfId="10282" priority="5286">
      <formula>F39&lt;H39-#REF!</formula>
    </cfRule>
  </conditionalFormatting>
  <conditionalFormatting sqref="F40">
    <cfRule type="expression" dxfId="10281" priority="5283">
      <formula>F40&gt;H40+#REF!</formula>
    </cfRule>
    <cfRule type="expression" dxfId="10280" priority="5284">
      <formula>F40&lt;H40-#REF!</formula>
    </cfRule>
  </conditionalFormatting>
  <conditionalFormatting sqref="F41">
    <cfRule type="expression" dxfId="10279" priority="5281">
      <formula>F41&gt;H41+#REF!</formula>
    </cfRule>
    <cfRule type="expression" dxfId="10278" priority="5282">
      <formula>F41&lt;H41-#REF!</formula>
    </cfRule>
  </conditionalFormatting>
  <conditionalFormatting sqref="F42">
    <cfRule type="expression" dxfId="10277" priority="5279">
      <formula>F42&gt;H42+#REF!</formula>
    </cfRule>
    <cfRule type="expression" dxfId="10276" priority="5280">
      <formula>F42&lt;H42-#REF!</formula>
    </cfRule>
  </conditionalFormatting>
  <conditionalFormatting sqref="F43">
    <cfRule type="expression" dxfId="10275" priority="5277">
      <formula>F43&gt;H43+#REF!</formula>
    </cfRule>
    <cfRule type="expression" dxfId="10274" priority="5278">
      <formula>F43&lt;H43-#REF!</formula>
    </cfRule>
  </conditionalFormatting>
  <conditionalFormatting sqref="F44">
    <cfRule type="expression" dxfId="10273" priority="5275">
      <formula>F44&gt;H44+#REF!</formula>
    </cfRule>
    <cfRule type="expression" dxfId="10272" priority="5276">
      <formula>F44&lt;H44-#REF!</formula>
    </cfRule>
  </conditionalFormatting>
  <conditionalFormatting sqref="F45:F46">
    <cfRule type="expression" dxfId="10271" priority="5273">
      <formula>F45&gt;H45+#REF!</formula>
    </cfRule>
    <cfRule type="expression" dxfId="10270" priority="5274">
      <formula>F45&lt;H45-#REF!</formula>
    </cfRule>
  </conditionalFormatting>
  <conditionalFormatting sqref="F47">
    <cfRule type="expression" dxfId="10269" priority="5271">
      <formula>F47&gt;H47+#REF!</formula>
    </cfRule>
    <cfRule type="expression" dxfId="10268" priority="5272">
      <formula>F47&lt;H47-#REF!</formula>
    </cfRule>
  </conditionalFormatting>
  <conditionalFormatting sqref="F50">
    <cfRule type="expression" dxfId="10267" priority="5269">
      <formula>F50&lt;H50*#REF!</formula>
    </cfRule>
    <cfRule type="expression" dxfId="10266" priority="5270">
      <formula>F50&gt;H50*#REF!</formula>
    </cfRule>
  </conditionalFormatting>
  <conditionalFormatting sqref="F51">
    <cfRule type="expression" dxfId="10265" priority="5267">
      <formula>F51&lt;H51*#REF!</formula>
    </cfRule>
    <cfRule type="expression" dxfId="10264" priority="5268">
      <formula>F51&gt;H51*#REF!</formula>
    </cfRule>
  </conditionalFormatting>
  <conditionalFormatting sqref="F62">
    <cfRule type="expression" dxfId="10263" priority="5265">
      <formula>F62&lt;H62*#REF!</formula>
    </cfRule>
    <cfRule type="expression" dxfId="10262" priority="5266">
      <formula>F62&gt;H62*#REF!</formula>
    </cfRule>
  </conditionalFormatting>
  <conditionalFormatting sqref="F52">
    <cfRule type="expression" dxfId="10261" priority="5263">
      <formula>F52&gt;H52+#REF!</formula>
    </cfRule>
    <cfRule type="expression" dxfId="10260" priority="5264">
      <formula>F52&lt;H52-#REF!</formula>
    </cfRule>
  </conditionalFormatting>
  <conditionalFormatting sqref="F53">
    <cfRule type="expression" dxfId="10259" priority="5261">
      <formula>F53&gt;H53+#REF!</formula>
    </cfRule>
    <cfRule type="expression" dxfId="10258" priority="5262">
      <formula>F53&lt;H53-#REF!</formula>
    </cfRule>
  </conditionalFormatting>
  <conditionalFormatting sqref="F54">
    <cfRule type="expression" dxfId="10257" priority="5259">
      <formula>F54&gt;H54+#REF!</formula>
    </cfRule>
    <cfRule type="expression" dxfId="10256" priority="5260">
      <formula>F54&lt;H54-#REF!</formula>
    </cfRule>
  </conditionalFormatting>
  <conditionalFormatting sqref="F55">
    <cfRule type="expression" dxfId="10255" priority="5257">
      <formula>F55&gt;H55+#REF!</formula>
    </cfRule>
    <cfRule type="expression" dxfId="10254" priority="5258">
      <formula>F55&lt;H55-#REF!</formula>
    </cfRule>
  </conditionalFormatting>
  <conditionalFormatting sqref="F56">
    <cfRule type="expression" dxfId="10253" priority="5255">
      <formula>F56&gt;H56+#REF!</formula>
    </cfRule>
    <cfRule type="expression" dxfId="10252" priority="5256">
      <formula>F56&lt;H56-#REF!</formula>
    </cfRule>
  </conditionalFormatting>
  <conditionalFormatting sqref="F57">
    <cfRule type="expression" dxfId="10251" priority="5253">
      <formula>F57&gt;H57+#REF!</formula>
    </cfRule>
    <cfRule type="expression" dxfId="10250" priority="5254">
      <formula>F57&lt;H57-#REF!</formula>
    </cfRule>
  </conditionalFormatting>
  <conditionalFormatting sqref="F58">
    <cfRule type="expression" dxfId="10249" priority="5251">
      <formula>F58&gt;H58+#REF!</formula>
    </cfRule>
    <cfRule type="expression" dxfId="10248" priority="5252">
      <formula>F58&lt;H58-#REF!</formula>
    </cfRule>
  </conditionalFormatting>
  <conditionalFormatting sqref="F59:F60">
    <cfRule type="expression" dxfId="10247" priority="5249">
      <formula>F59&gt;H59+#REF!</formula>
    </cfRule>
    <cfRule type="expression" dxfId="10246" priority="5250">
      <formula>F59&lt;H59-#REF!</formula>
    </cfRule>
  </conditionalFormatting>
  <conditionalFormatting sqref="F61">
    <cfRule type="expression" dxfId="10245" priority="5247">
      <formula>F61&gt;H61+#REF!</formula>
    </cfRule>
    <cfRule type="expression" dxfId="10244" priority="5248">
      <formula>F61&lt;H61-#REF!</formula>
    </cfRule>
  </conditionalFormatting>
  <conditionalFormatting sqref="F64">
    <cfRule type="expression" dxfId="10243" priority="5245">
      <formula>F64&lt;H64*#REF!</formula>
    </cfRule>
    <cfRule type="expression" dxfId="10242" priority="5246">
      <formula>F64&gt;H64*#REF!</formula>
    </cfRule>
  </conditionalFormatting>
  <conditionalFormatting sqref="F65">
    <cfRule type="expression" dxfId="10241" priority="5243">
      <formula>F65&lt;H65*#REF!</formula>
    </cfRule>
    <cfRule type="expression" dxfId="10240" priority="5244">
      <formula>F65&gt;H65*#REF!</formula>
    </cfRule>
  </conditionalFormatting>
  <conditionalFormatting sqref="F76">
    <cfRule type="expression" dxfId="10239" priority="5241">
      <formula>F76&lt;H76*#REF!</formula>
    </cfRule>
    <cfRule type="expression" dxfId="10238" priority="5242">
      <formula>F76&gt;H76*#REF!</formula>
    </cfRule>
  </conditionalFormatting>
  <conditionalFormatting sqref="F66">
    <cfRule type="expression" dxfId="10237" priority="5239">
      <formula>F66&gt;H66+#REF!</formula>
    </cfRule>
    <cfRule type="expression" dxfId="10236" priority="5240">
      <formula>F66&lt;H66-#REF!</formula>
    </cfRule>
  </conditionalFormatting>
  <conditionalFormatting sqref="F67">
    <cfRule type="expression" dxfId="10235" priority="5237">
      <formula>F67&gt;H67+#REF!</formula>
    </cfRule>
    <cfRule type="expression" dxfId="10234" priority="5238">
      <formula>F67&lt;H67-#REF!</formula>
    </cfRule>
  </conditionalFormatting>
  <conditionalFormatting sqref="F68">
    <cfRule type="expression" dxfId="10233" priority="5235">
      <formula>F68&gt;H68+#REF!</formula>
    </cfRule>
    <cfRule type="expression" dxfId="10232" priority="5236">
      <formula>F68&lt;H68-#REF!</formula>
    </cfRule>
  </conditionalFormatting>
  <conditionalFormatting sqref="F69">
    <cfRule type="expression" dxfId="10231" priority="5233">
      <formula>F69&gt;H69+#REF!</formula>
    </cfRule>
    <cfRule type="expression" dxfId="10230" priority="5234">
      <formula>F69&lt;H69-#REF!</formula>
    </cfRule>
  </conditionalFormatting>
  <conditionalFormatting sqref="F70">
    <cfRule type="expression" dxfId="10229" priority="5231">
      <formula>F70&gt;H70+#REF!</formula>
    </cfRule>
    <cfRule type="expression" dxfId="10228" priority="5232">
      <formula>F70&lt;H70-#REF!</formula>
    </cfRule>
  </conditionalFormatting>
  <conditionalFormatting sqref="F71">
    <cfRule type="expression" dxfId="10227" priority="5229">
      <formula>F71&gt;H71+#REF!</formula>
    </cfRule>
    <cfRule type="expression" dxfId="10226" priority="5230">
      <formula>F71&lt;H71-#REF!</formula>
    </cfRule>
  </conditionalFormatting>
  <conditionalFormatting sqref="F72">
    <cfRule type="expression" dxfId="10225" priority="5227">
      <formula>F72&gt;H72+#REF!</formula>
    </cfRule>
    <cfRule type="expression" dxfId="10224" priority="5228">
      <formula>F72&lt;H72-#REF!</formula>
    </cfRule>
  </conditionalFormatting>
  <conditionalFormatting sqref="F73:F74">
    <cfRule type="expression" dxfId="10223" priority="5225">
      <formula>F73&gt;H73+#REF!</formula>
    </cfRule>
    <cfRule type="expression" dxfId="10222" priority="5226">
      <formula>F73&lt;H73-#REF!</formula>
    </cfRule>
  </conditionalFormatting>
  <conditionalFormatting sqref="F75">
    <cfRule type="expression" dxfId="10221" priority="5223">
      <formula>F75&gt;H75+#REF!</formula>
    </cfRule>
    <cfRule type="expression" dxfId="10220" priority="5224">
      <formula>F75&lt;H75-#REF!</formula>
    </cfRule>
  </conditionalFormatting>
  <conditionalFormatting sqref="F78">
    <cfRule type="expression" dxfId="10219" priority="5221">
      <formula>F78&lt;H78*#REF!</formula>
    </cfRule>
    <cfRule type="expression" dxfId="10218" priority="5222">
      <formula>F78&gt;H78*#REF!</formula>
    </cfRule>
  </conditionalFormatting>
  <conditionalFormatting sqref="F79">
    <cfRule type="expression" dxfId="10217" priority="5219">
      <formula>F79&lt;H79*#REF!</formula>
    </cfRule>
    <cfRule type="expression" dxfId="10216" priority="5220">
      <formula>F79&gt;H79*#REF!</formula>
    </cfRule>
  </conditionalFormatting>
  <conditionalFormatting sqref="F90">
    <cfRule type="expression" dxfId="10215" priority="5217">
      <formula>F90&lt;H90*#REF!</formula>
    </cfRule>
    <cfRule type="expression" dxfId="10214" priority="5218">
      <formula>F90&gt;H90*#REF!</formula>
    </cfRule>
  </conditionalFormatting>
  <conditionalFormatting sqref="F80">
    <cfRule type="expression" dxfId="10213" priority="5215">
      <formula>F80&gt;H80+#REF!</formula>
    </cfRule>
    <cfRule type="expression" dxfId="10212" priority="5216">
      <formula>F80&lt;H80-#REF!</formula>
    </cfRule>
  </conditionalFormatting>
  <conditionalFormatting sqref="F81">
    <cfRule type="expression" dxfId="10211" priority="5213">
      <formula>F81&gt;H81+#REF!</formula>
    </cfRule>
    <cfRule type="expression" dxfId="10210" priority="5214">
      <formula>F81&lt;H81-#REF!</formula>
    </cfRule>
  </conditionalFormatting>
  <conditionalFormatting sqref="F82">
    <cfRule type="expression" dxfId="10209" priority="5211">
      <formula>F82&gt;H82+#REF!</formula>
    </cfRule>
    <cfRule type="expression" dxfId="10208" priority="5212">
      <formula>F82&lt;H82-#REF!</formula>
    </cfRule>
  </conditionalFormatting>
  <conditionalFormatting sqref="F83">
    <cfRule type="expression" dxfId="10207" priority="5209">
      <formula>F83&gt;H83+#REF!</formula>
    </cfRule>
    <cfRule type="expression" dxfId="10206" priority="5210">
      <formula>F83&lt;H83-#REF!</formula>
    </cfRule>
  </conditionalFormatting>
  <conditionalFormatting sqref="F84">
    <cfRule type="expression" dxfId="10205" priority="5207">
      <formula>F84&gt;H84+#REF!</formula>
    </cfRule>
    <cfRule type="expression" dxfId="10204" priority="5208">
      <formula>F84&lt;H84-#REF!</formula>
    </cfRule>
  </conditionalFormatting>
  <conditionalFormatting sqref="F85">
    <cfRule type="expression" dxfId="10203" priority="5205">
      <formula>F85&gt;H85+#REF!</formula>
    </cfRule>
    <cfRule type="expression" dxfId="10202" priority="5206">
      <formula>F85&lt;H85-#REF!</formula>
    </cfRule>
  </conditionalFormatting>
  <conditionalFormatting sqref="F86">
    <cfRule type="expression" dxfId="10201" priority="5203">
      <formula>F86&gt;H86+#REF!</formula>
    </cfRule>
    <cfRule type="expression" dxfId="10200" priority="5204">
      <formula>F86&lt;H86-#REF!</formula>
    </cfRule>
  </conditionalFormatting>
  <conditionalFormatting sqref="F87:F88">
    <cfRule type="expression" dxfId="10199" priority="5201">
      <formula>F87&gt;H87+#REF!</formula>
    </cfRule>
    <cfRule type="expression" dxfId="10198" priority="5202">
      <formula>F87&lt;H87-#REF!</formula>
    </cfRule>
  </conditionalFormatting>
  <conditionalFormatting sqref="F89">
    <cfRule type="expression" dxfId="10197" priority="5199">
      <formula>F89&gt;H89+#REF!</formula>
    </cfRule>
    <cfRule type="expression" dxfId="10196" priority="5200">
      <formula>F89&lt;H89-#REF!</formula>
    </cfRule>
  </conditionalFormatting>
  <conditionalFormatting sqref="F92">
    <cfRule type="expression" dxfId="10195" priority="5197">
      <formula>F92&lt;H92*#REF!</formula>
    </cfRule>
    <cfRule type="expression" dxfId="10194" priority="5198">
      <formula>F92&gt;H92*#REF!</formula>
    </cfRule>
  </conditionalFormatting>
  <conditionalFormatting sqref="F93">
    <cfRule type="expression" dxfId="10193" priority="5195">
      <formula>F93&lt;H93*#REF!</formula>
    </cfRule>
    <cfRule type="expression" dxfId="10192" priority="5196">
      <formula>F93&gt;H93*#REF!</formula>
    </cfRule>
  </conditionalFormatting>
  <conditionalFormatting sqref="F104">
    <cfRule type="expression" dxfId="10191" priority="5193">
      <formula>F104&lt;H104*#REF!</formula>
    </cfRule>
    <cfRule type="expression" dxfId="10190" priority="5194">
      <formula>F104&gt;H104*#REF!</formula>
    </cfRule>
  </conditionalFormatting>
  <conditionalFormatting sqref="F94">
    <cfRule type="expression" dxfId="10189" priority="5191">
      <formula>F94&gt;H94+#REF!</formula>
    </cfRule>
    <cfRule type="expression" dxfId="10188" priority="5192">
      <formula>F94&lt;H94-#REF!</formula>
    </cfRule>
  </conditionalFormatting>
  <conditionalFormatting sqref="F95">
    <cfRule type="expression" dxfId="10187" priority="5189">
      <formula>F95&gt;H95+#REF!</formula>
    </cfRule>
    <cfRule type="expression" dxfId="10186" priority="5190">
      <formula>F95&lt;H95-#REF!</formula>
    </cfRule>
  </conditionalFormatting>
  <conditionalFormatting sqref="F96">
    <cfRule type="expression" dxfId="10185" priority="5187">
      <formula>F96&gt;H96+#REF!</formula>
    </cfRule>
    <cfRule type="expression" dxfId="10184" priority="5188">
      <formula>F96&lt;H96-#REF!</formula>
    </cfRule>
  </conditionalFormatting>
  <conditionalFormatting sqref="F97">
    <cfRule type="expression" dxfId="10183" priority="5185">
      <formula>F97&gt;H97+#REF!</formula>
    </cfRule>
    <cfRule type="expression" dxfId="10182" priority="5186">
      <formula>F97&lt;H97-#REF!</formula>
    </cfRule>
  </conditionalFormatting>
  <conditionalFormatting sqref="F98">
    <cfRule type="expression" dxfId="10181" priority="5183">
      <formula>F98&gt;H98+#REF!</formula>
    </cfRule>
    <cfRule type="expression" dxfId="10180" priority="5184">
      <formula>F98&lt;H98-#REF!</formula>
    </cfRule>
  </conditionalFormatting>
  <conditionalFormatting sqref="F99">
    <cfRule type="expression" dxfId="10179" priority="5181">
      <formula>F99&gt;H99+#REF!</formula>
    </cfRule>
    <cfRule type="expression" dxfId="10178" priority="5182">
      <formula>F99&lt;H99-#REF!</formula>
    </cfRule>
  </conditionalFormatting>
  <conditionalFormatting sqref="F100">
    <cfRule type="expression" dxfId="10177" priority="5179">
      <formula>F100&gt;H100+#REF!</formula>
    </cfRule>
    <cfRule type="expression" dxfId="10176" priority="5180">
      <formula>F100&lt;H100-#REF!</formula>
    </cfRule>
  </conditionalFormatting>
  <conditionalFormatting sqref="F101:F102">
    <cfRule type="expression" dxfId="10175" priority="5177">
      <formula>F101&gt;H101+#REF!</formula>
    </cfRule>
    <cfRule type="expression" dxfId="10174" priority="5178">
      <formula>F101&lt;H101-#REF!</formula>
    </cfRule>
  </conditionalFormatting>
  <conditionalFormatting sqref="F103">
    <cfRule type="expression" dxfId="10173" priority="5175">
      <formula>F103&gt;H103+#REF!</formula>
    </cfRule>
    <cfRule type="expression" dxfId="10172" priority="5176">
      <formula>F103&lt;H103-#REF!</formula>
    </cfRule>
  </conditionalFormatting>
  <conditionalFormatting sqref="F106">
    <cfRule type="expression" dxfId="10171" priority="5173">
      <formula>F106&lt;H106*#REF!</formula>
    </cfRule>
    <cfRule type="expression" dxfId="10170" priority="5174">
      <formula>F106&gt;H106*#REF!</formula>
    </cfRule>
  </conditionalFormatting>
  <conditionalFormatting sqref="F107">
    <cfRule type="expression" dxfId="10169" priority="5171">
      <formula>F107&lt;H107*#REF!</formula>
    </cfRule>
    <cfRule type="expression" dxfId="10168" priority="5172">
      <formula>F107&gt;H107*#REF!</formula>
    </cfRule>
  </conditionalFormatting>
  <conditionalFormatting sqref="F118">
    <cfRule type="expression" dxfId="10167" priority="5169">
      <formula>F118&lt;H118*#REF!</formula>
    </cfRule>
    <cfRule type="expression" dxfId="10166" priority="5170">
      <formula>F118&gt;H118*#REF!</formula>
    </cfRule>
  </conditionalFormatting>
  <conditionalFormatting sqref="F108">
    <cfRule type="expression" dxfId="10165" priority="5167">
      <formula>F108&gt;H108+#REF!</formula>
    </cfRule>
    <cfRule type="expression" dxfId="10164" priority="5168">
      <formula>F108&lt;H108-#REF!</formula>
    </cfRule>
  </conditionalFormatting>
  <conditionalFormatting sqref="F109">
    <cfRule type="expression" dxfId="10163" priority="5165">
      <formula>F109&gt;H109+#REF!</formula>
    </cfRule>
    <cfRule type="expression" dxfId="10162" priority="5166">
      <formula>F109&lt;H109-#REF!</formula>
    </cfRule>
  </conditionalFormatting>
  <conditionalFormatting sqref="F110">
    <cfRule type="expression" dxfId="10161" priority="5163">
      <formula>F110&gt;H110+#REF!</formula>
    </cfRule>
    <cfRule type="expression" dxfId="10160" priority="5164">
      <formula>F110&lt;H110-#REF!</formula>
    </cfRule>
  </conditionalFormatting>
  <conditionalFormatting sqref="F111">
    <cfRule type="expression" dxfId="10159" priority="5161">
      <formula>F111&gt;H111+#REF!</formula>
    </cfRule>
    <cfRule type="expression" dxfId="10158" priority="5162">
      <formula>F111&lt;H111-#REF!</formula>
    </cfRule>
  </conditionalFormatting>
  <conditionalFormatting sqref="F112">
    <cfRule type="expression" dxfId="10157" priority="5159">
      <formula>F112&gt;H112+#REF!</formula>
    </cfRule>
    <cfRule type="expression" dxfId="10156" priority="5160">
      <formula>F112&lt;H112-#REF!</formula>
    </cfRule>
  </conditionalFormatting>
  <conditionalFormatting sqref="F113">
    <cfRule type="expression" dxfId="10155" priority="5157">
      <formula>F113&gt;H113+#REF!</formula>
    </cfRule>
    <cfRule type="expression" dxfId="10154" priority="5158">
      <formula>F113&lt;H113-#REF!</formula>
    </cfRule>
  </conditionalFormatting>
  <conditionalFormatting sqref="F114">
    <cfRule type="expression" dxfId="10153" priority="5155">
      <formula>F114&gt;H114+#REF!</formula>
    </cfRule>
    <cfRule type="expression" dxfId="10152" priority="5156">
      <formula>F114&lt;H114-#REF!</formula>
    </cfRule>
  </conditionalFormatting>
  <conditionalFormatting sqref="F115:F116">
    <cfRule type="expression" dxfId="10151" priority="5153">
      <formula>F115&gt;H115+#REF!</formula>
    </cfRule>
    <cfRule type="expression" dxfId="10150" priority="5154">
      <formula>F115&lt;H115-#REF!</formula>
    </cfRule>
  </conditionalFormatting>
  <conditionalFormatting sqref="F117">
    <cfRule type="expression" dxfId="10149" priority="5151">
      <formula>F117&gt;H117+#REF!</formula>
    </cfRule>
    <cfRule type="expression" dxfId="10148" priority="5152">
      <formula>F117&lt;H117-#REF!</formula>
    </cfRule>
  </conditionalFormatting>
  <conditionalFormatting sqref="F260">
    <cfRule type="expression" dxfId="10147" priority="4981">
      <formula>F260&lt;H260*#REF!</formula>
    </cfRule>
    <cfRule type="expression" dxfId="10146" priority="4982">
      <formula>F260&gt;H260*#REF!</formula>
    </cfRule>
  </conditionalFormatting>
  <conditionalFormatting sqref="F261">
    <cfRule type="expression" dxfId="10145" priority="4979">
      <formula>F261&lt;H261*#REF!</formula>
    </cfRule>
    <cfRule type="expression" dxfId="10144" priority="4980">
      <formula>F261&gt;H261*#REF!</formula>
    </cfRule>
  </conditionalFormatting>
  <conditionalFormatting sqref="F272">
    <cfRule type="expression" dxfId="10143" priority="4977">
      <formula>F272&lt;H272*#REF!</formula>
    </cfRule>
    <cfRule type="expression" dxfId="10142" priority="4978">
      <formula>F272&gt;H272*#REF!</formula>
    </cfRule>
  </conditionalFormatting>
  <conditionalFormatting sqref="F262">
    <cfRule type="expression" dxfId="10141" priority="4975">
      <formula>F262&gt;H262+#REF!</formula>
    </cfRule>
    <cfRule type="expression" dxfId="10140" priority="4976">
      <formula>F262&lt;H262-#REF!</formula>
    </cfRule>
  </conditionalFormatting>
  <conditionalFormatting sqref="F263">
    <cfRule type="expression" dxfId="10139" priority="4973">
      <formula>F263&gt;H263+#REF!</formula>
    </cfRule>
    <cfRule type="expression" dxfId="10138" priority="4974">
      <formula>F263&lt;H263-#REF!</formula>
    </cfRule>
  </conditionalFormatting>
  <conditionalFormatting sqref="F264">
    <cfRule type="expression" dxfId="10137" priority="4971">
      <formula>F264&gt;H264+#REF!</formula>
    </cfRule>
    <cfRule type="expression" dxfId="10136" priority="4972">
      <formula>F264&lt;H264-#REF!</formula>
    </cfRule>
  </conditionalFormatting>
  <conditionalFormatting sqref="F265">
    <cfRule type="expression" dxfId="10135" priority="4969">
      <formula>F265&gt;H265+#REF!</formula>
    </cfRule>
    <cfRule type="expression" dxfId="10134" priority="4970">
      <formula>F265&lt;H265-#REF!</formula>
    </cfRule>
  </conditionalFormatting>
  <conditionalFormatting sqref="F266">
    <cfRule type="expression" dxfId="10133" priority="4967">
      <formula>F266&gt;H266+#REF!</formula>
    </cfRule>
    <cfRule type="expression" dxfId="10132" priority="4968">
      <formula>F266&lt;H266-#REF!</formula>
    </cfRule>
  </conditionalFormatting>
  <conditionalFormatting sqref="F267">
    <cfRule type="expression" dxfId="10131" priority="4965">
      <formula>F267&gt;H267+#REF!</formula>
    </cfRule>
    <cfRule type="expression" dxfId="10130" priority="4966">
      <formula>F267&lt;H267-#REF!</formula>
    </cfRule>
  </conditionalFormatting>
  <conditionalFormatting sqref="F268">
    <cfRule type="expression" dxfId="10129" priority="4963">
      <formula>F268&gt;H268+#REF!</formula>
    </cfRule>
    <cfRule type="expression" dxfId="10128" priority="4964">
      <formula>F268&lt;H268-#REF!</formula>
    </cfRule>
  </conditionalFormatting>
  <conditionalFormatting sqref="F269:F270">
    <cfRule type="expression" dxfId="10127" priority="4961">
      <formula>F269&gt;H269+#REF!</formula>
    </cfRule>
    <cfRule type="expression" dxfId="10126" priority="4962">
      <formula>F269&lt;H269-#REF!</formula>
    </cfRule>
  </conditionalFormatting>
  <conditionalFormatting sqref="F271">
    <cfRule type="expression" dxfId="10125" priority="4959">
      <formula>F271&gt;H271+#REF!</formula>
    </cfRule>
    <cfRule type="expression" dxfId="10124" priority="4960">
      <formula>F271&lt;H271-#REF!</formula>
    </cfRule>
  </conditionalFormatting>
  <conditionalFormatting sqref="J232">
    <cfRule type="expression" dxfId="10123" priority="4387">
      <formula>J232&lt;L232*#REF!</formula>
    </cfRule>
    <cfRule type="expression" dxfId="10122" priority="4388">
      <formula>J232&gt;L232*#REF!</formula>
    </cfRule>
  </conditionalFormatting>
  <conditionalFormatting sqref="J233">
    <cfRule type="expression" dxfId="10121" priority="4385">
      <formula>J233&lt;L233*#REF!</formula>
    </cfRule>
    <cfRule type="expression" dxfId="10120" priority="4386">
      <formula>J233&gt;L233*#REF!</formula>
    </cfRule>
  </conditionalFormatting>
  <conditionalFormatting sqref="J244">
    <cfRule type="expression" dxfId="10119" priority="4383">
      <formula>J244&lt;L244*#REF!</formula>
    </cfRule>
    <cfRule type="expression" dxfId="10118" priority="4384">
      <formula>J244&gt;L244*#REF!</formula>
    </cfRule>
  </conditionalFormatting>
  <conditionalFormatting sqref="J234">
    <cfRule type="expression" dxfId="10117" priority="4381">
      <formula>J234&gt;L234+#REF!</formula>
    </cfRule>
    <cfRule type="expression" dxfId="10116" priority="4382">
      <formula>J234&lt;L234-#REF!</formula>
    </cfRule>
  </conditionalFormatting>
  <conditionalFormatting sqref="J235">
    <cfRule type="expression" dxfId="10115" priority="4379">
      <formula>J235&gt;L235+#REF!</formula>
    </cfRule>
    <cfRule type="expression" dxfId="10114" priority="4380">
      <formula>J235&lt;L235-#REF!</formula>
    </cfRule>
  </conditionalFormatting>
  <conditionalFormatting sqref="J236">
    <cfRule type="expression" dxfId="10113" priority="4377">
      <formula>J236&gt;L236+#REF!</formula>
    </cfRule>
    <cfRule type="expression" dxfId="10112" priority="4378">
      <formula>J236&lt;L236-#REF!</formula>
    </cfRule>
  </conditionalFormatting>
  <conditionalFormatting sqref="J237">
    <cfRule type="expression" dxfId="10111" priority="4375">
      <formula>J237&gt;L237+#REF!</formula>
    </cfRule>
    <cfRule type="expression" dxfId="10110" priority="4376">
      <formula>J237&lt;L237-#REF!</formula>
    </cfRule>
  </conditionalFormatting>
  <conditionalFormatting sqref="J238">
    <cfRule type="expression" dxfId="10109" priority="4373">
      <formula>J238&gt;L238+#REF!</formula>
    </cfRule>
    <cfRule type="expression" dxfId="10108" priority="4374">
      <formula>J238&lt;L238-#REF!</formula>
    </cfRule>
  </conditionalFormatting>
  <conditionalFormatting sqref="J239">
    <cfRule type="expression" dxfId="10107" priority="4371">
      <formula>J239&gt;L239+#REF!</formula>
    </cfRule>
    <cfRule type="expression" dxfId="10106" priority="4372">
      <formula>J239&lt;L239-#REF!</formula>
    </cfRule>
  </conditionalFormatting>
  <conditionalFormatting sqref="J240">
    <cfRule type="expression" dxfId="10105" priority="4369">
      <formula>J240&gt;L240+#REF!</formula>
    </cfRule>
    <cfRule type="expression" dxfId="10104" priority="4370">
      <formula>J240&lt;L240-#REF!</formula>
    </cfRule>
  </conditionalFormatting>
  <conditionalFormatting sqref="J241:J242">
    <cfRule type="expression" dxfId="10103" priority="4367">
      <formula>J241&gt;L241+#REF!</formula>
    </cfRule>
    <cfRule type="expression" dxfId="10102" priority="4368">
      <formula>J241&lt;L241-#REF!</formula>
    </cfRule>
  </conditionalFormatting>
  <conditionalFormatting sqref="J243">
    <cfRule type="expression" dxfId="10101" priority="4365">
      <formula>J243&gt;L243+#REF!</formula>
    </cfRule>
    <cfRule type="expression" dxfId="10100" priority="4366">
      <formula>J243&lt;L243-#REF!</formula>
    </cfRule>
  </conditionalFormatting>
  <conditionalFormatting sqref="F148">
    <cfRule type="expression" dxfId="10099" priority="5101">
      <formula>F148&lt;H148*#REF!</formula>
    </cfRule>
    <cfRule type="expression" dxfId="10098" priority="5102">
      <formula>F148&gt;H148*#REF!</formula>
    </cfRule>
  </conditionalFormatting>
  <conditionalFormatting sqref="F149">
    <cfRule type="expression" dxfId="10097" priority="5099">
      <formula>F149&lt;H149*#REF!</formula>
    </cfRule>
    <cfRule type="expression" dxfId="10096" priority="5100">
      <formula>F149&gt;H149*#REF!</formula>
    </cfRule>
  </conditionalFormatting>
  <conditionalFormatting sqref="F160">
    <cfRule type="expression" dxfId="10095" priority="5097">
      <formula>F160&lt;H160*#REF!</formula>
    </cfRule>
    <cfRule type="expression" dxfId="10094" priority="5098">
      <formula>F160&gt;H160*#REF!</formula>
    </cfRule>
  </conditionalFormatting>
  <conditionalFormatting sqref="F150">
    <cfRule type="expression" dxfId="10093" priority="5095">
      <formula>F150&gt;H150+#REF!</formula>
    </cfRule>
    <cfRule type="expression" dxfId="10092" priority="5096">
      <formula>F150&lt;H150-#REF!</formula>
    </cfRule>
  </conditionalFormatting>
  <conditionalFormatting sqref="F151">
    <cfRule type="expression" dxfId="10091" priority="5093">
      <formula>F151&gt;H151+#REF!</formula>
    </cfRule>
    <cfRule type="expression" dxfId="10090" priority="5094">
      <formula>F151&lt;H151-#REF!</formula>
    </cfRule>
  </conditionalFormatting>
  <conditionalFormatting sqref="F152">
    <cfRule type="expression" dxfId="10089" priority="5091">
      <formula>F152&gt;H152+#REF!</formula>
    </cfRule>
    <cfRule type="expression" dxfId="10088" priority="5092">
      <formula>F152&lt;H152-#REF!</formula>
    </cfRule>
  </conditionalFormatting>
  <conditionalFormatting sqref="F153">
    <cfRule type="expression" dxfId="10087" priority="5089">
      <formula>F153&gt;H153+#REF!</formula>
    </cfRule>
    <cfRule type="expression" dxfId="10086" priority="5090">
      <formula>F153&lt;H153-#REF!</formula>
    </cfRule>
  </conditionalFormatting>
  <conditionalFormatting sqref="F154">
    <cfRule type="expression" dxfId="10085" priority="5087">
      <formula>F154&gt;H154+#REF!</formula>
    </cfRule>
    <cfRule type="expression" dxfId="10084" priority="5088">
      <formula>F154&lt;H154-#REF!</formula>
    </cfRule>
  </conditionalFormatting>
  <conditionalFormatting sqref="F155">
    <cfRule type="expression" dxfId="10083" priority="5085">
      <formula>F155&gt;H155+#REF!</formula>
    </cfRule>
    <cfRule type="expression" dxfId="10082" priority="5086">
      <formula>F155&lt;H155-#REF!</formula>
    </cfRule>
  </conditionalFormatting>
  <conditionalFormatting sqref="F156">
    <cfRule type="expression" dxfId="10081" priority="5083">
      <formula>F156&gt;H156+#REF!</formula>
    </cfRule>
    <cfRule type="expression" dxfId="10080" priority="5084">
      <formula>F156&lt;H156-#REF!</formula>
    </cfRule>
  </conditionalFormatting>
  <conditionalFormatting sqref="F157:F158">
    <cfRule type="expression" dxfId="10079" priority="5081">
      <formula>F157&gt;H157+#REF!</formula>
    </cfRule>
    <cfRule type="expression" dxfId="10078" priority="5082">
      <formula>F157&lt;H157-#REF!</formula>
    </cfRule>
  </conditionalFormatting>
  <conditionalFormatting sqref="F159">
    <cfRule type="expression" dxfId="10077" priority="5079">
      <formula>F159&gt;H159+#REF!</formula>
    </cfRule>
    <cfRule type="expression" dxfId="10076" priority="5080">
      <formula>F159&lt;H159-#REF!</formula>
    </cfRule>
  </conditionalFormatting>
  <conditionalFormatting sqref="F162">
    <cfRule type="expression" dxfId="10075" priority="5077">
      <formula>F162&lt;H162*#REF!</formula>
    </cfRule>
    <cfRule type="expression" dxfId="10074" priority="5078">
      <formula>F162&gt;H162*#REF!</formula>
    </cfRule>
  </conditionalFormatting>
  <conditionalFormatting sqref="F163">
    <cfRule type="expression" dxfId="10073" priority="5075">
      <formula>F163&lt;H163*#REF!</formula>
    </cfRule>
    <cfRule type="expression" dxfId="10072" priority="5076">
      <formula>F163&gt;H163*#REF!</formula>
    </cfRule>
  </conditionalFormatting>
  <conditionalFormatting sqref="F174">
    <cfRule type="expression" dxfId="10071" priority="5073">
      <formula>F174&lt;H174*#REF!</formula>
    </cfRule>
    <cfRule type="expression" dxfId="10070" priority="5074">
      <formula>F174&gt;H174*#REF!</formula>
    </cfRule>
  </conditionalFormatting>
  <conditionalFormatting sqref="F164">
    <cfRule type="expression" dxfId="10069" priority="5071">
      <formula>F164&gt;H164+#REF!</formula>
    </cfRule>
    <cfRule type="expression" dxfId="10068" priority="5072">
      <formula>F164&lt;H164-#REF!</formula>
    </cfRule>
  </conditionalFormatting>
  <conditionalFormatting sqref="F165">
    <cfRule type="expression" dxfId="10067" priority="5069">
      <formula>F165&gt;H165+#REF!</formula>
    </cfRule>
    <cfRule type="expression" dxfId="10066" priority="5070">
      <formula>F165&lt;H165-#REF!</formula>
    </cfRule>
  </conditionalFormatting>
  <conditionalFormatting sqref="F166">
    <cfRule type="expression" dxfId="10065" priority="5067">
      <formula>F166&gt;H166+#REF!</formula>
    </cfRule>
    <cfRule type="expression" dxfId="10064" priority="5068">
      <formula>F166&lt;H166-#REF!</formula>
    </cfRule>
  </conditionalFormatting>
  <conditionalFormatting sqref="F167">
    <cfRule type="expression" dxfId="10063" priority="5065">
      <formula>F167&gt;H167+#REF!</formula>
    </cfRule>
    <cfRule type="expression" dxfId="10062" priority="5066">
      <formula>F167&lt;H167-#REF!</formula>
    </cfRule>
  </conditionalFormatting>
  <conditionalFormatting sqref="F168">
    <cfRule type="expression" dxfId="10061" priority="5063">
      <formula>F168&gt;H168+#REF!</formula>
    </cfRule>
    <cfRule type="expression" dxfId="10060" priority="5064">
      <formula>F168&lt;H168-#REF!</formula>
    </cfRule>
  </conditionalFormatting>
  <conditionalFormatting sqref="F169">
    <cfRule type="expression" dxfId="10059" priority="5061">
      <formula>F169&gt;H169+#REF!</formula>
    </cfRule>
    <cfRule type="expression" dxfId="10058" priority="5062">
      <formula>F169&lt;H169-#REF!</formula>
    </cfRule>
  </conditionalFormatting>
  <conditionalFormatting sqref="F170">
    <cfRule type="expression" dxfId="10057" priority="5059">
      <formula>F170&gt;H170+#REF!</formula>
    </cfRule>
    <cfRule type="expression" dxfId="10056" priority="5060">
      <formula>F170&lt;H170-#REF!</formula>
    </cfRule>
  </conditionalFormatting>
  <conditionalFormatting sqref="F171:F172">
    <cfRule type="expression" dxfId="10055" priority="5057">
      <formula>F171&gt;H171+#REF!</formula>
    </cfRule>
    <cfRule type="expression" dxfId="10054" priority="5058">
      <formula>F171&lt;H171-#REF!</formula>
    </cfRule>
  </conditionalFormatting>
  <conditionalFormatting sqref="F173">
    <cfRule type="expression" dxfId="10053" priority="5055">
      <formula>F173&gt;H173+#REF!</formula>
    </cfRule>
    <cfRule type="expression" dxfId="10052" priority="5056">
      <formula>F173&lt;H173-#REF!</formula>
    </cfRule>
  </conditionalFormatting>
  <conditionalFormatting sqref="F176">
    <cfRule type="expression" dxfId="10051" priority="5053">
      <formula>F176&lt;H176*#REF!</formula>
    </cfRule>
    <cfRule type="expression" dxfId="10050" priority="5054">
      <formula>F176&gt;H176*#REF!</formula>
    </cfRule>
  </conditionalFormatting>
  <conditionalFormatting sqref="F177">
    <cfRule type="expression" dxfId="10049" priority="5051">
      <formula>F177&lt;H177*#REF!</formula>
    </cfRule>
    <cfRule type="expression" dxfId="10048" priority="5052">
      <formula>F177&gt;H177*#REF!</formula>
    </cfRule>
  </conditionalFormatting>
  <conditionalFormatting sqref="F188">
    <cfRule type="expression" dxfId="10047" priority="5049">
      <formula>F188&lt;H188*#REF!</formula>
    </cfRule>
    <cfRule type="expression" dxfId="10046" priority="5050">
      <formula>F188&gt;H188*#REF!</formula>
    </cfRule>
  </conditionalFormatting>
  <conditionalFormatting sqref="F178">
    <cfRule type="expression" dxfId="10045" priority="5047">
      <formula>F178&gt;H178+#REF!</formula>
    </cfRule>
    <cfRule type="expression" dxfId="10044" priority="5048">
      <formula>F178&lt;H178-#REF!</formula>
    </cfRule>
  </conditionalFormatting>
  <conditionalFormatting sqref="F179">
    <cfRule type="expression" dxfId="10043" priority="5045">
      <formula>F179&gt;H179+#REF!</formula>
    </cfRule>
    <cfRule type="expression" dxfId="10042" priority="5046">
      <formula>F179&lt;H179-#REF!</formula>
    </cfRule>
  </conditionalFormatting>
  <conditionalFormatting sqref="F180">
    <cfRule type="expression" dxfId="10041" priority="5043">
      <formula>F180&gt;H180+#REF!</formula>
    </cfRule>
    <cfRule type="expression" dxfId="10040" priority="5044">
      <formula>F180&lt;H180-#REF!</formula>
    </cfRule>
  </conditionalFormatting>
  <conditionalFormatting sqref="F181">
    <cfRule type="expression" dxfId="10039" priority="5041">
      <formula>F181&gt;H181+#REF!</formula>
    </cfRule>
    <cfRule type="expression" dxfId="10038" priority="5042">
      <formula>F181&lt;H181-#REF!</formula>
    </cfRule>
  </conditionalFormatting>
  <conditionalFormatting sqref="F182">
    <cfRule type="expression" dxfId="10037" priority="5039">
      <formula>F182&gt;H182+#REF!</formula>
    </cfRule>
    <cfRule type="expression" dxfId="10036" priority="5040">
      <formula>F182&lt;H182-#REF!</formula>
    </cfRule>
  </conditionalFormatting>
  <conditionalFormatting sqref="F183">
    <cfRule type="expression" dxfId="10035" priority="5037">
      <formula>F183&gt;H183+#REF!</formula>
    </cfRule>
    <cfRule type="expression" dxfId="10034" priority="5038">
      <formula>F183&lt;H183-#REF!</formula>
    </cfRule>
  </conditionalFormatting>
  <conditionalFormatting sqref="F184">
    <cfRule type="expression" dxfId="10033" priority="5035">
      <formula>F184&gt;H184+#REF!</formula>
    </cfRule>
    <cfRule type="expression" dxfId="10032" priority="5036">
      <formula>F184&lt;H184-#REF!</formula>
    </cfRule>
  </conditionalFormatting>
  <conditionalFormatting sqref="F185:F186">
    <cfRule type="expression" dxfId="10031" priority="5033">
      <formula>F185&gt;H185+#REF!</formula>
    </cfRule>
    <cfRule type="expression" dxfId="10030" priority="5034">
      <formula>F185&lt;H185-#REF!</formula>
    </cfRule>
  </conditionalFormatting>
  <conditionalFormatting sqref="F187">
    <cfRule type="expression" dxfId="10029" priority="5031">
      <formula>F187&gt;H187+#REF!</formula>
    </cfRule>
    <cfRule type="expression" dxfId="10028" priority="5032">
      <formula>F187&lt;H187-#REF!</formula>
    </cfRule>
  </conditionalFormatting>
  <conditionalFormatting sqref="F190">
    <cfRule type="expression" dxfId="10027" priority="5029">
      <formula>F190&lt;H190*#REF!</formula>
    </cfRule>
    <cfRule type="expression" dxfId="10026" priority="5030">
      <formula>F190&gt;H190*#REF!</formula>
    </cfRule>
  </conditionalFormatting>
  <conditionalFormatting sqref="F191">
    <cfRule type="expression" dxfId="10025" priority="5027">
      <formula>F191&lt;H191*#REF!</formula>
    </cfRule>
    <cfRule type="expression" dxfId="10024" priority="5028">
      <formula>F191&gt;H191*#REF!</formula>
    </cfRule>
  </conditionalFormatting>
  <conditionalFormatting sqref="F202">
    <cfRule type="expression" dxfId="10023" priority="5025">
      <formula>F202&lt;H202*#REF!</formula>
    </cfRule>
    <cfRule type="expression" dxfId="10022" priority="5026">
      <formula>F202&gt;H202*#REF!</formula>
    </cfRule>
  </conditionalFormatting>
  <conditionalFormatting sqref="F192">
    <cfRule type="expression" dxfId="10021" priority="5023">
      <formula>F192&gt;H192+#REF!</formula>
    </cfRule>
    <cfRule type="expression" dxfId="10020" priority="5024">
      <formula>F192&lt;H192-#REF!</formula>
    </cfRule>
  </conditionalFormatting>
  <conditionalFormatting sqref="F193">
    <cfRule type="expression" dxfId="10019" priority="5021">
      <formula>F193&gt;H193+#REF!</formula>
    </cfRule>
    <cfRule type="expression" dxfId="10018" priority="5022">
      <formula>F193&lt;H193-#REF!</formula>
    </cfRule>
  </conditionalFormatting>
  <conditionalFormatting sqref="F194">
    <cfRule type="expression" dxfId="10017" priority="5019">
      <formula>F194&gt;H194+#REF!</formula>
    </cfRule>
    <cfRule type="expression" dxfId="10016" priority="5020">
      <formula>F194&lt;H194-#REF!</formula>
    </cfRule>
  </conditionalFormatting>
  <conditionalFormatting sqref="F195">
    <cfRule type="expression" dxfId="10015" priority="5017">
      <formula>F195&gt;H195+#REF!</formula>
    </cfRule>
    <cfRule type="expression" dxfId="10014" priority="5018">
      <formula>F195&lt;H195-#REF!</formula>
    </cfRule>
  </conditionalFormatting>
  <conditionalFormatting sqref="F196">
    <cfRule type="expression" dxfId="10013" priority="5015">
      <formula>F196&gt;H196+#REF!</formula>
    </cfRule>
    <cfRule type="expression" dxfId="10012" priority="5016">
      <formula>F196&lt;H196-#REF!</formula>
    </cfRule>
  </conditionalFormatting>
  <conditionalFormatting sqref="F197">
    <cfRule type="expression" dxfId="10011" priority="5013">
      <formula>F197&gt;H197+#REF!</formula>
    </cfRule>
    <cfRule type="expression" dxfId="10010" priority="5014">
      <formula>F197&lt;H197-#REF!</formula>
    </cfRule>
  </conditionalFormatting>
  <conditionalFormatting sqref="F198">
    <cfRule type="expression" dxfId="10009" priority="5011">
      <formula>F198&gt;H198+#REF!</formula>
    </cfRule>
    <cfRule type="expression" dxfId="10008" priority="5012">
      <formula>F198&lt;H198-#REF!</formula>
    </cfRule>
  </conditionalFormatting>
  <conditionalFormatting sqref="F199:F200">
    <cfRule type="expression" dxfId="10007" priority="5009">
      <formula>F199&gt;H199+#REF!</formula>
    </cfRule>
    <cfRule type="expression" dxfId="10006" priority="5010">
      <formula>F199&lt;H199-#REF!</formula>
    </cfRule>
  </conditionalFormatting>
  <conditionalFormatting sqref="F201">
    <cfRule type="expression" dxfId="10005" priority="5007">
      <formula>F201&gt;H201+#REF!</formula>
    </cfRule>
    <cfRule type="expression" dxfId="10004" priority="5008">
      <formula>F201&lt;H201-#REF!</formula>
    </cfRule>
  </conditionalFormatting>
  <conditionalFormatting sqref="F204">
    <cfRule type="expression" dxfId="10003" priority="5005">
      <formula>F204&lt;H204*#REF!</formula>
    </cfRule>
    <cfRule type="expression" dxfId="10002" priority="5006">
      <formula>F204&gt;H204*#REF!</formula>
    </cfRule>
  </conditionalFormatting>
  <conditionalFormatting sqref="F205">
    <cfRule type="expression" dxfId="10001" priority="5003">
      <formula>F205&lt;H205*#REF!</formula>
    </cfRule>
    <cfRule type="expression" dxfId="10000" priority="5004">
      <formula>F205&gt;H205*#REF!</formula>
    </cfRule>
  </conditionalFormatting>
  <conditionalFormatting sqref="F216">
    <cfRule type="expression" dxfId="9999" priority="5001">
      <formula>F216&lt;H216*#REF!</formula>
    </cfRule>
    <cfRule type="expression" dxfId="9998" priority="5002">
      <formula>F216&gt;H216*#REF!</formula>
    </cfRule>
  </conditionalFormatting>
  <conditionalFormatting sqref="F206">
    <cfRule type="expression" dxfId="9997" priority="4999">
      <formula>F206&gt;H206+#REF!</formula>
    </cfRule>
    <cfRule type="expression" dxfId="9996" priority="5000">
      <formula>F206&lt;H206-#REF!</formula>
    </cfRule>
  </conditionalFormatting>
  <conditionalFormatting sqref="F207">
    <cfRule type="expression" dxfId="9995" priority="4997">
      <formula>F207&gt;H207+#REF!</formula>
    </cfRule>
    <cfRule type="expression" dxfId="9994" priority="4998">
      <formula>F207&lt;H207-#REF!</formula>
    </cfRule>
  </conditionalFormatting>
  <conditionalFormatting sqref="F208">
    <cfRule type="expression" dxfId="9993" priority="4995">
      <formula>F208&gt;H208+#REF!</formula>
    </cfRule>
    <cfRule type="expression" dxfId="9992" priority="4996">
      <formula>F208&lt;H208-#REF!</formula>
    </cfRule>
  </conditionalFormatting>
  <conditionalFormatting sqref="F209">
    <cfRule type="expression" dxfId="9991" priority="4993">
      <formula>F209&gt;H209+#REF!</formula>
    </cfRule>
    <cfRule type="expression" dxfId="9990" priority="4994">
      <formula>F209&lt;H209-#REF!</formula>
    </cfRule>
  </conditionalFormatting>
  <conditionalFormatting sqref="F210">
    <cfRule type="expression" dxfId="9989" priority="4991">
      <formula>F210&gt;H210+#REF!</formula>
    </cfRule>
    <cfRule type="expression" dxfId="9988" priority="4992">
      <formula>F210&lt;H210-#REF!</formula>
    </cfRule>
  </conditionalFormatting>
  <conditionalFormatting sqref="F211">
    <cfRule type="expression" dxfId="9987" priority="4989">
      <formula>F211&gt;H211+#REF!</formula>
    </cfRule>
    <cfRule type="expression" dxfId="9986" priority="4990">
      <formula>F211&lt;H211-#REF!</formula>
    </cfRule>
  </conditionalFormatting>
  <conditionalFormatting sqref="F212">
    <cfRule type="expression" dxfId="9985" priority="4987">
      <formula>F212&gt;H212+#REF!</formula>
    </cfRule>
    <cfRule type="expression" dxfId="9984" priority="4988">
      <formula>F212&lt;H212-#REF!</formula>
    </cfRule>
  </conditionalFormatting>
  <conditionalFormatting sqref="F213:F214">
    <cfRule type="expression" dxfId="9983" priority="4985">
      <formula>F213&gt;H213+#REF!</formula>
    </cfRule>
    <cfRule type="expression" dxfId="9982" priority="4986">
      <formula>F213&lt;H213-#REF!</formula>
    </cfRule>
  </conditionalFormatting>
  <conditionalFormatting sqref="F215">
    <cfRule type="expression" dxfId="9981" priority="4983">
      <formula>F215&gt;H215+#REF!</formula>
    </cfRule>
    <cfRule type="expression" dxfId="9980" priority="4984">
      <formula>F215&lt;H215-#REF!</formula>
    </cfRule>
  </conditionalFormatting>
  <conditionalFormatting sqref="F218">
    <cfRule type="expression" dxfId="9979" priority="4957">
      <formula>F218&lt;H218*#REF!</formula>
    </cfRule>
    <cfRule type="expression" dxfId="9978" priority="4958">
      <formula>F218&gt;H218*#REF!</formula>
    </cfRule>
  </conditionalFormatting>
  <conditionalFormatting sqref="F219">
    <cfRule type="expression" dxfId="9977" priority="4955">
      <formula>F219&lt;H219*#REF!</formula>
    </cfRule>
    <cfRule type="expression" dxfId="9976" priority="4956">
      <formula>F219&gt;H219*#REF!</formula>
    </cfRule>
  </conditionalFormatting>
  <conditionalFormatting sqref="F230">
    <cfRule type="expression" dxfId="9975" priority="4953">
      <formula>F230&lt;H230*#REF!</formula>
    </cfRule>
    <cfRule type="expression" dxfId="9974" priority="4954">
      <formula>F230&gt;H230*#REF!</formula>
    </cfRule>
  </conditionalFormatting>
  <conditionalFormatting sqref="F220">
    <cfRule type="expression" dxfId="9973" priority="4951">
      <formula>F220&gt;H220+#REF!</formula>
    </cfRule>
    <cfRule type="expression" dxfId="9972" priority="4952">
      <formula>F220&lt;H220-#REF!</formula>
    </cfRule>
  </conditionalFormatting>
  <conditionalFormatting sqref="F221">
    <cfRule type="expression" dxfId="9971" priority="4949">
      <formula>F221&gt;H221+#REF!</formula>
    </cfRule>
    <cfRule type="expression" dxfId="9970" priority="4950">
      <formula>F221&lt;H221-#REF!</formula>
    </cfRule>
  </conditionalFormatting>
  <conditionalFormatting sqref="F222">
    <cfRule type="expression" dxfId="9969" priority="4947">
      <formula>F222&gt;H222+#REF!</formula>
    </cfRule>
    <cfRule type="expression" dxfId="9968" priority="4948">
      <formula>F222&lt;H222-#REF!</formula>
    </cfRule>
  </conditionalFormatting>
  <conditionalFormatting sqref="F223">
    <cfRule type="expression" dxfId="9967" priority="4945">
      <formula>F223&gt;H223+#REF!</formula>
    </cfRule>
    <cfRule type="expression" dxfId="9966" priority="4946">
      <formula>F223&lt;H223-#REF!</formula>
    </cfRule>
  </conditionalFormatting>
  <conditionalFormatting sqref="F224">
    <cfRule type="expression" dxfId="9965" priority="4943">
      <formula>F224&gt;H224+#REF!</formula>
    </cfRule>
    <cfRule type="expression" dxfId="9964" priority="4944">
      <formula>F224&lt;H224-#REF!</formula>
    </cfRule>
  </conditionalFormatting>
  <conditionalFormatting sqref="F225">
    <cfRule type="expression" dxfId="9963" priority="4941">
      <formula>F225&gt;H225+#REF!</formula>
    </cfRule>
    <cfRule type="expression" dxfId="9962" priority="4942">
      <formula>F225&lt;H225-#REF!</formula>
    </cfRule>
  </conditionalFormatting>
  <conditionalFormatting sqref="F226">
    <cfRule type="expression" dxfId="9961" priority="4939">
      <formula>F226&gt;H226+#REF!</formula>
    </cfRule>
    <cfRule type="expression" dxfId="9960" priority="4940">
      <formula>F226&lt;H226-#REF!</formula>
    </cfRule>
  </conditionalFormatting>
  <conditionalFormatting sqref="F227:F228">
    <cfRule type="expression" dxfId="9959" priority="4937">
      <formula>F227&gt;H227+#REF!</formula>
    </cfRule>
    <cfRule type="expression" dxfId="9958" priority="4938">
      <formula>F227&lt;H227-#REF!</formula>
    </cfRule>
  </conditionalFormatting>
  <conditionalFormatting sqref="F229">
    <cfRule type="expression" dxfId="9957" priority="4935">
      <formula>F229&gt;H229+#REF!</formula>
    </cfRule>
    <cfRule type="expression" dxfId="9956" priority="4936">
      <formula>F229&lt;H229-#REF!</formula>
    </cfRule>
  </conditionalFormatting>
  <conditionalFormatting sqref="J246">
    <cfRule type="expression" dxfId="9955" priority="4219">
      <formula>J246&lt;L246*#REF!</formula>
    </cfRule>
    <cfRule type="expression" dxfId="9954" priority="4220">
      <formula>J246&gt;L246*#REF!</formula>
    </cfRule>
  </conditionalFormatting>
  <conditionalFormatting sqref="J247">
    <cfRule type="expression" dxfId="9953" priority="4217">
      <formula>J247&lt;L247*#REF!</formula>
    </cfRule>
    <cfRule type="expression" dxfId="9952" priority="4218">
      <formula>J247&gt;L247*#REF!</formula>
    </cfRule>
  </conditionalFormatting>
  <conditionalFormatting sqref="J248">
    <cfRule type="expression" dxfId="9951" priority="4213">
      <formula>J248&gt;L248+#REF!</formula>
    </cfRule>
    <cfRule type="expression" dxfId="9950" priority="4214">
      <formula>J248&lt;L248-#REF!</formula>
    </cfRule>
  </conditionalFormatting>
  <conditionalFormatting sqref="J249">
    <cfRule type="expression" dxfId="9949" priority="4211">
      <formula>J249&gt;L249+#REF!</formula>
    </cfRule>
    <cfRule type="expression" dxfId="9948" priority="4212">
      <formula>J249&lt;L249-#REF!</formula>
    </cfRule>
  </conditionalFormatting>
  <conditionalFormatting sqref="J250">
    <cfRule type="expression" dxfId="9947" priority="4209">
      <formula>J250&gt;L250+#REF!</formula>
    </cfRule>
    <cfRule type="expression" dxfId="9946" priority="4210">
      <formula>J250&lt;L250-#REF!</formula>
    </cfRule>
  </conditionalFormatting>
  <conditionalFormatting sqref="J251">
    <cfRule type="expression" dxfId="9945" priority="4207">
      <formula>J251&gt;L251+#REF!</formula>
    </cfRule>
    <cfRule type="expression" dxfId="9944" priority="4208">
      <formula>J251&lt;L251-#REF!</formula>
    </cfRule>
  </conditionalFormatting>
  <conditionalFormatting sqref="J252">
    <cfRule type="expression" dxfId="9943" priority="4205">
      <formula>J252&gt;L252+#REF!</formula>
    </cfRule>
    <cfRule type="expression" dxfId="9942" priority="4206">
      <formula>J252&lt;L252-#REF!</formula>
    </cfRule>
  </conditionalFormatting>
  <conditionalFormatting sqref="J253">
    <cfRule type="expression" dxfId="9941" priority="4203">
      <formula>J253&gt;L253+#REF!</formula>
    </cfRule>
    <cfRule type="expression" dxfId="9940" priority="4204">
      <formula>J253&lt;L253-#REF!</formula>
    </cfRule>
  </conditionalFormatting>
  <conditionalFormatting sqref="J254">
    <cfRule type="expression" dxfId="9939" priority="4201">
      <formula>J254&gt;L254+#REF!</formula>
    </cfRule>
    <cfRule type="expression" dxfId="9938" priority="4202">
      <formula>J254&lt;L254-#REF!</formula>
    </cfRule>
  </conditionalFormatting>
  <conditionalFormatting sqref="J255:J256">
    <cfRule type="expression" dxfId="9937" priority="4199">
      <formula>J255&gt;L255+#REF!</formula>
    </cfRule>
    <cfRule type="expression" dxfId="9936" priority="4200">
      <formula>J255&lt;L255-#REF!</formula>
    </cfRule>
  </conditionalFormatting>
  <conditionalFormatting sqref="J257">
    <cfRule type="expression" dxfId="9935" priority="4197">
      <formula>J257&gt;L257+#REF!</formula>
    </cfRule>
    <cfRule type="expression" dxfId="9934" priority="4198">
      <formula>J257&lt;L257-#REF!</formula>
    </cfRule>
  </conditionalFormatting>
  <conditionalFormatting sqref="J22">
    <cfRule type="expression" dxfId="9933" priority="4909">
      <formula>J22&lt;L22*#REF!</formula>
    </cfRule>
    <cfRule type="expression" dxfId="9932" priority="4910">
      <formula>J22&gt;L22*#REF!</formula>
    </cfRule>
  </conditionalFormatting>
  <conditionalFormatting sqref="J23">
    <cfRule type="expression" dxfId="9931" priority="4907">
      <formula>J23&lt;L23*#REF!</formula>
    </cfRule>
    <cfRule type="expression" dxfId="9930" priority="4908">
      <formula>J23&gt;L23*#REF!</formula>
    </cfRule>
  </conditionalFormatting>
  <conditionalFormatting sqref="J34">
    <cfRule type="expression" dxfId="9929" priority="4905">
      <formula>J34&lt;L34*#REF!</formula>
    </cfRule>
    <cfRule type="expression" dxfId="9928" priority="4906">
      <formula>J34&gt;L34*#REF!</formula>
    </cfRule>
  </conditionalFormatting>
  <conditionalFormatting sqref="J24">
    <cfRule type="expression" dxfId="9927" priority="4903">
      <formula>J24&gt;L24+#REF!</formula>
    </cfRule>
    <cfRule type="expression" dxfId="9926" priority="4904">
      <formula>J24&lt;L24-#REF!</formula>
    </cfRule>
  </conditionalFormatting>
  <conditionalFormatting sqref="J25">
    <cfRule type="expression" dxfId="9925" priority="4901">
      <formula>J25&gt;L25+#REF!</formula>
    </cfRule>
    <cfRule type="expression" dxfId="9924" priority="4902">
      <formula>J25&lt;L25-#REF!</formula>
    </cfRule>
  </conditionalFormatting>
  <conditionalFormatting sqref="J26">
    <cfRule type="expression" dxfId="9923" priority="4899">
      <formula>J26&gt;L26+#REF!</formula>
    </cfRule>
    <cfRule type="expression" dxfId="9922" priority="4900">
      <formula>J26&lt;L26-#REF!</formula>
    </cfRule>
  </conditionalFormatting>
  <conditionalFormatting sqref="J27">
    <cfRule type="expression" dxfId="9921" priority="4897">
      <formula>J27&gt;L27+#REF!</formula>
    </cfRule>
    <cfRule type="expression" dxfId="9920" priority="4898">
      <formula>J27&lt;L27-#REF!</formula>
    </cfRule>
  </conditionalFormatting>
  <conditionalFormatting sqref="J28">
    <cfRule type="expression" dxfId="9919" priority="4895">
      <formula>J28&gt;L28+#REF!</formula>
    </cfRule>
    <cfRule type="expression" dxfId="9918" priority="4896">
      <formula>J28&lt;L28-#REF!</formula>
    </cfRule>
  </conditionalFormatting>
  <conditionalFormatting sqref="J29">
    <cfRule type="expression" dxfId="9917" priority="4893">
      <formula>J29&gt;L29+#REF!</formula>
    </cfRule>
    <cfRule type="expression" dxfId="9916" priority="4894">
      <formula>J29&lt;L29-#REF!</formula>
    </cfRule>
  </conditionalFormatting>
  <conditionalFormatting sqref="J30">
    <cfRule type="expression" dxfId="9915" priority="4891">
      <formula>J30&gt;L30+#REF!</formula>
    </cfRule>
    <cfRule type="expression" dxfId="9914" priority="4892">
      <formula>J30&lt;L30-#REF!</formula>
    </cfRule>
  </conditionalFormatting>
  <conditionalFormatting sqref="J31:J32">
    <cfRule type="expression" dxfId="9913" priority="4889">
      <formula>J31&gt;L31+#REF!</formula>
    </cfRule>
    <cfRule type="expression" dxfId="9912" priority="4890">
      <formula>J31&lt;L31-#REF!</formula>
    </cfRule>
  </conditionalFormatting>
  <conditionalFormatting sqref="J33">
    <cfRule type="expression" dxfId="9911" priority="4887">
      <formula>J33&gt;L33+#REF!</formula>
    </cfRule>
    <cfRule type="expression" dxfId="9910" priority="4888">
      <formula>J33&lt;L33-#REF!</formula>
    </cfRule>
  </conditionalFormatting>
  <conditionalFormatting sqref="J36">
    <cfRule type="expression" dxfId="9909" priority="4885">
      <formula>J36&lt;L36*#REF!</formula>
    </cfRule>
    <cfRule type="expression" dxfId="9908" priority="4886">
      <formula>J36&gt;L36*#REF!</formula>
    </cfRule>
  </conditionalFormatting>
  <conditionalFormatting sqref="J37">
    <cfRule type="expression" dxfId="9907" priority="4883">
      <formula>J37&lt;L37*#REF!</formula>
    </cfRule>
    <cfRule type="expression" dxfId="9906" priority="4884">
      <formula>J37&gt;L37*#REF!</formula>
    </cfRule>
  </conditionalFormatting>
  <conditionalFormatting sqref="J38">
    <cfRule type="expression" dxfId="9905" priority="4879">
      <formula>J38&gt;L38+#REF!</formula>
    </cfRule>
    <cfRule type="expression" dxfId="9904" priority="4880">
      <formula>J38&lt;L38-#REF!</formula>
    </cfRule>
  </conditionalFormatting>
  <conditionalFormatting sqref="J39">
    <cfRule type="expression" dxfId="9903" priority="4877">
      <formula>J39&gt;L39+#REF!</formula>
    </cfRule>
    <cfRule type="expression" dxfId="9902" priority="4878">
      <formula>J39&lt;L39-#REF!</formula>
    </cfRule>
  </conditionalFormatting>
  <conditionalFormatting sqref="J40">
    <cfRule type="expression" dxfId="9901" priority="4875">
      <formula>J40&gt;L40+#REF!</formula>
    </cfRule>
    <cfRule type="expression" dxfId="9900" priority="4876">
      <formula>J40&lt;L40-#REF!</formula>
    </cfRule>
  </conditionalFormatting>
  <conditionalFormatting sqref="J41">
    <cfRule type="expression" dxfId="9899" priority="4873">
      <formula>J41&gt;L41+#REF!</formula>
    </cfRule>
    <cfRule type="expression" dxfId="9898" priority="4874">
      <formula>J41&lt;L41-#REF!</formula>
    </cfRule>
  </conditionalFormatting>
  <conditionalFormatting sqref="J42">
    <cfRule type="expression" dxfId="9897" priority="4871">
      <formula>J42&gt;L42+#REF!</formula>
    </cfRule>
    <cfRule type="expression" dxfId="9896" priority="4872">
      <formula>J42&lt;L42-#REF!</formula>
    </cfRule>
  </conditionalFormatting>
  <conditionalFormatting sqref="J43">
    <cfRule type="expression" dxfId="9895" priority="4869">
      <formula>J43&gt;L43+#REF!</formula>
    </cfRule>
    <cfRule type="expression" dxfId="9894" priority="4870">
      <formula>J43&lt;L43-#REF!</formula>
    </cfRule>
  </conditionalFormatting>
  <conditionalFormatting sqref="J44">
    <cfRule type="expression" dxfId="9893" priority="4867">
      <formula>J44&gt;L44+#REF!</formula>
    </cfRule>
    <cfRule type="expression" dxfId="9892" priority="4868">
      <formula>J44&lt;L44-#REF!</formula>
    </cfRule>
  </conditionalFormatting>
  <conditionalFormatting sqref="J45:J46">
    <cfRule type="expression" dxfId="9891" priority="4865">
      <formula>J45&gt;L45+#REF!</formula>
    </cfRule>
    <cfRule type="expression" dxfId="9890" priority="4866">
      <formula>J45&lt;L45-#REF!</formula>
    </cfRule>
  </conditionalFormatting>
  <conditionalFormatting sqref="J47">
    <cfRule type="expression" dxfId="9889" priority="4863">
      <formula>J47&gt;L47+#REF!</formula>
    </cfRule>
    <cfRule type="expression" dxfId="9888" priority="4864">
      <formula>J47&lt;L47-#REF!</formula>
    </cfRule>
  </conditionalFormatting>
  <conditionalFormatting sqref="J50">
    <cfRule type="expression" dxfId="9887" priority="4861">
      <formula>J50&lt;L50*#REF!</formula>
    </cfRule>
    <cfRule type="expression" dxfId="9886" priority="4862">
      <formula>J50&gt;L50*#REF!</formula>
    </cfRule>
  </conditionalFormatting>
  <conditionalFormatting sqref="J51">
    <cfRule type="expression" dxfId="9885" priority="4859">
      <formula>J51&lt;L51*#REF!</formula>
    </cfRule>
    <cfRule type="expression" dxfId="9884" priority="4860">
      <formula>J51&gt;L51*#REF!</formula>
    </cfRule>
  </conditionalFormatting>
  <conditionalFormatting sqref="J52">
    <cfRule type="expression" dxfId="9883" priority="4855">
      <formula>J52&gt;L52+#REF!</formula>
    </cfRule>
    <cfRule type="expression" dxfId="9882" priority="4856">
      <formula>J52&lt;L52-#REF!</formula>
    </cfRule>
  </conditionalFormatting>
  <conditionalFormatting sqref="J53">
    <cfRule type="expression" dxfId="9881" priority="4853">
      <formula>J53&gt;L53+#REF!</formula>
    </cfRule>
    <cfRule type="expression" dxfId="9880" priority="4854">
      <formula>J53&lt;L53-#REF!</formula>
    </cfRule>
  </conditionalFormatting>
  <conditionalFormatting sqref="J54">
    <cfRule type="expression" dxfId="9879" priority="4851">
      <formula>J54&gt;L54+#REF!</formula>
    </cfRule>
    <cfRule type="expression" dxfId="9878" priority="4852">
      <formula>J54&lt;L54-#REF!</formula>
    </cfRule>
  </conditionalFormatting>
  <conditionalFormatting sqref="J55">
    <cfRule type="expression" dxfId="9877" priority="4849">
      <formula>J55&gt;L55+#REF!</formula>
    </cfRule>
    <cfRule type="expression" dxfId="9876" priority="4850">
      <formula>J55&lt;L55-#REF!</formula>
    </cfRule>
  </conditionalFormatting>
  <conditionalFormatting sqref="J56">
    <cfRule type="expression" dxfId="9875" priority="4847">
      <formula>J56&gt;L56+#REF!</formula>
    </cfRule>
    <cfRule type="expression" dxfId="9874" priority="4848">
      <formula>J56&lt;L56-#REF!</formula>
    </cfRule>
  </conditionalFormatting>
  <conditionalFormatting sqref="J57">
    <cfRule type="expression" dxfId="9873" priority="4845">
      <formula>J57&gt;L57+#REF!</formula>
    </cfRule>
    <cfRule type="expression" dxfId="9872" priority="4846">
      <formula>J57&lt;L57-#REF!</formula>
    </cfRule>
  </conditionalFormatting>
  <conditionalFormatting sqref="J58">
    <cfRule type="expression" dxfId="9871" priority="4843">
      <formula>J58&gt;L58+#REF!</formula>
    </cfRule>
    <cfRule type="expression" dxfId="9870" priority="4844">
      <formula>J58&lt;L58-#REF!</formula>
    </cfRule>
  </conditionalFormatting>
  <conditionalFormatting sqref="J59:J60">
    <cfRule type="expression" dxfId="9869" priority="4841">
      <formula>J59&gt;L59+#REF!</formula>
    </cfRule>
    <cfRule type="expression" dxfId="9868" priority="4842">
      <formula>J59&lt;L59-#REF!</formula>
    </cfRule>
  </conditionalFormatting>
  <conditionalFormatting sqref="J61">
    <cfRule type="expression" dxfId="9867" priority="4839">
      <formula>J61&gt;L61+#REF!</formula>
    </cfRule>
    <cfRule type="expression" dxfId="9866" priority="4840">
      <formula>J61&lt;L61-#REF!</formula>
    </cfRule>
  </conditionalFormatting>
  <conditionalFormatting sqref="J64">
    <cfRule type="expression" dxfId="9865" priority="4837">
      <formula>J64&lt;L64*#REF!</formula>
    </cfRule>
    <cfRule type="expression" dxfId="9864" priority="4838">
      <formula>J64&gt;L64*#REF!</formula>
    </cfRule>
  </conditionalFormatting>
  <conditionalFormatting sqref="J65">
    <cfRule type="expression" dxfId="9863" priority="4835">
      <formula>J65&lt;L65*#REF!</formula>
    </cfRule>
    <cfRule type="expression" dxfId="9862" priority="4836">
      <formula>J65&gt;L65*#REF!</formula>
    </cfRule>
  </conditionalFormatting>
  <conditionalFormatting sqref="J66">
    <cfRule type="expression" dxfId="9861" priority="4831">
      <formula>J66&gt;L66+#REF!</formula>
    </cfRule>
    <cfRule type="expression" dxfId="9860" priority="4832">
      <formula>J66&lt;L66-#REF!</formula>
    </cfRule>
  </conditionalFormatting>
  <conditionalFormatting sqref="J67">
    <cfRule type="expression" dxfId="9859" priority="4829">
      <formula>J67&gt;L67+#REF!</formula>
    </cfRule>
    <cfRule type="expression" dxfId="9858" priority="4830">
      <formula>J67&lt;L67-#REF!</formula>
    </cfRule>
  </conditionalFormatting>
  <conditionalFormatting sqref="J68">
    <cfRule type="expression" dxfId="9857" priority="4827">
      <formula>J68&gt;L68+#REF!</formula>
    </cfRule>
    <cfRule type="expression" dxfId="9856" priority="4828">
      <formula>J68&lt;L68-#REF!</formula>
    </cfRule>
  </conditionalFormatting>
  <conditionalFormatting sqref="J69">
    <cfRule type="expression" dxfId="9855" priority="4825">
      <formula>J69&gt;L69+#REF!</formula>
    </cfRule>
    <cfRule type="expression" dxfId="9854" priority="4826">
      <formula>J69&lt;L69-#REF!</formula>
    </cfRule>
  </conditionalFormatting>
  <conditionalFormatting sqref="J70">
    <cfRule type="expression" dxfId="9853" priority="4823">
      <formula>J70&gt;L70+#REF!</formula>
    </cfRule>
    <cfRule type="expression" dxfId="9852" priority="4824">
      <formula>J70&lt;L70-#REF!</formula>
    </cfRule>
  </conditionalFormatting>
  <conditionalFormatting sqref="J71">
    <cfRule type="expression" dxfId="9851" priority="4821">
      <formula>J71&gt;L71+#REF!</formula>
    </cfRule>
    <cfRule type="expression" dxfId="9850" priority="4822">
      <formula>J71&lt;L71-#REF!</formula>
    </cfRule>
  </conditionalFormatting>
  <conditionalFormatting sqref="J72">
    <cfRule type="expression" dxfId="9849" priority="4819">
      <formula>J72&gt;L72+#REF!</formula>
    </cfRule>
    <cfRule type="expression" dxfId="9848" priority="4820">
      <formula>J72&lt;L72-#REF!</formula>
    </cfRule>
  </conditionalFormatting>
  <conditionalFormatting sqref="J73:J74">
    <cfRule type="expression" dxfId="9847" priority="4817">
      <formula>J73&gt;L73+#REF!</formula>
    </cfRule>
    <cfRule type="expression" dxfId="9846" priority="4818">
      <formula>J73&lt;L73-#REF!</formula>
    </cfRule>
  </conditionalFormatting>
  <conditionalFormatting sqref="J75">
    <cfRule type="expression" dxfId="9845" priority="4815">
      <formula>J75&gt;L75+#REF!</formula>
    </cfRule>
    <cfRule type="expression" dxfId="9844" priority="4816">
      <formula>J75&lt;L75-#REF!</formula>
    </cfRule>
  </conditionalFormatting>
  <conditionalFormatting sqref="J78">
    <cfRule type="expression" dxfId="9843" priority="4813">
      <formula>J78&lt;L78*#REF!</formula>
    </cfRule>
    <cfRule type="expression" dxfId="9842" priority="4814">
      <formula>J78&gt;L78*#REF!</formula>
    </cfRule>
  </conditionalFormatting>
  <conditionalFormatting sqref="J79">
    <cfRule type="expression" dxfId="9841" priority="4811">
      <formula>J79&lt;L79*#REF!</formula>
    </cfRule>
    <cfRule type="expression" dxfId="9840" priority="4812">
      <formula>J79&gt;L79*#REF!</formula>
    </cfRule>
  </conditionalFormatting>
  <conditionalFormatting sqref="J202">
    <cfRule type="expression" dxfId="9839" priority="4647">
      <formula>J202&lt;L202*#REF!</formula>
    </cfRule>
    <cfRule type="expression" dxfId="9838" priority="4648">
      <formula>J202&gt;L202*#REF!</formula>
    </cfRule>
  </conditionalFormatting>
  <conditionalFormatting sqref="J80">
    <cfRule type="expression" dxfId="9837" priority="4807">
      <formula>J80&gt;L80+#REF!</formula>
    </cfRule>
    <cfRule type="expression" dxfId="9836" priority="4808">
      <formula>J80&lt;L80-#REF!</formula>
    </cfRule>
  </conditionalFormatting>
  <conditionalFormatting sqref="J81">
    <cfRule type="expression" dxfId="9835" priority="4805">
      <formula>J81&gt;L81+#REF!</formula>
    </cfRule>
    <cfRule type="expression" dxfId="9834" priority="4806">
      <formula>J81&lt;L81-#REF!</formula>
    </cfRule>
  </conditionalFormatting>
  <conditionalFormatting sqref="J82">
    <cfRule type="expression" dxfId="9833" priority="4803">
      <formula>J82&gt;L82+#REF!</formula>
    </cfRule>
    <cfRule type="expression" dxfId="9832" priority="4804">
      <formula>J82&lt;L82-#REF!</formula>
    </cfRule>
  </conditionalFormatting>
  <conditionalFormatting sqref="J83">
    <cfRule type="expression" dxfId="9831" priority="4801">
      <formula>J83&gt;L83+#REF!</formula>
    </cfRule>
    <cfRule type="expression" dxfId="9830" priority="4802">
      <formula>J83&lt;L83-#REF!</formula>
    </cfRule>
  </conditionalFormatting>
  <conditionalFormatting sqref="J84">
    <cfRule type="expression" dxfId="9829" priority="4799">
      <formula>J84&gt;L84+#REF!</formula>
    </cfRule>
    <cfRule type="expression" dxfId="9828" priority="4800">
      <formula>J84&lt;L84-#REF!</formula>
    </cfRule>
  </conditionalFormatting>
  <conditionalFormatting sqref="J85">
    <cfRule type="expression" dxfId="9827" priority="4797">
      <formula>J85&gt;L85+#REF!</formula>
    </cfRule>
    <cfRule type="expression" dxfId="9826" priority="4798">
      <formula>J85&lt;L85-#REF!</formula>
    </cfRule>
  </conditionalFormatting>
  <conditionalFormatting sqref="J86">
    <cfRule type="expression" dxfId="9825" priority="4795">
      <formula>J86&gt;L86+#REF!</formula>
    </cfRule>
    <cfRule type="expression" dxfId="9824" priority="4796">
      <formula>J86&lt;L86-#REF!</formula>
    </cfRule>
  </conditionalFormatting>
  <conditionalFormatting sqref="J87:J88">
    <cfRule type="expression" dxfId="9823" priority="4793">
      <formula>J87&gt;L87+#REF!</formula>
    </cfRule>
    <cfRule type="expression" dxfId="9822" priority="4794">
      <formula>J87&lt;L87-#REF!</formula>
    </cfRule>
  </conditionalFormatting>
  <conditionalFormatting sqref="J89">
    <cfRule type="expression" dxfId="9821" priority="4791">
      <formula>J89&gt;L89+#REF!</formula>
    </cfRule>
    <cfRule type="expression" dxfId="9820" priority="4792">
      <formula>J89&lt;L89-#REF!</formula>
    </cfRule>
  </conditionalFormatting>
  <conditionalFormatting sqref="J106">
    <cfRule type="expression" dxfId="9819" priority="4765">
      <formula>J106&lt;L106*#REF!</formula>
    </cfRule>
    <cfRule type="expression" dxfId="9818" priority="4766">
      <formula>J106&gt;L106*#REF!</formula>
    </cfRule>
  </conditionalFormatting>
  <conditionalFormatting sqref="J107">
    <cfRule type="expression" dxfId="9817" priority="4763">
      <formula>J107&lt;L107*#REF!</formula>
    </cfRule>
    <cfRule type="expression" dxfId="9816" priority="4764">
      <formula>J107&gt;L107*#REF!</formula>
    </cfRule>
  </conditionalFormatting>
  <conditionalFormatting sqref="J216">
    <cfRule type="expression" dxfId="9815" priority="4599">
      <formula>J216&lt;L216*#REF!</formula>
    </cfRule>
    <cfRule type="expression" dxfId="9814" priority="4600">
      <formula>J216&gt;L216*#REF!</formula>
    </cfRule>
  </conditionalFormatting>
  <conditionalFormatting sqref="J111">
    <cfRule type="expression" dxfId="9813" priority="4759">
      <formula>J111&gt;L111+#REF!</formula>
    </cfRule>
    <cfRule type="expression" dxfId="9812" priority="4760">
      <formula>J111&lt;L111-#REF!</formula>
    </cfRule>
  </conditionalFormatting>
  <conditionalFormatting sqref="J112">
    <cfRule type="expression" dxfId="9811" priority="4757">
      <formula>J112&gt;L112+#REF!</formula>
    </cfRule>
    <cfRule type="expression" dxfId="9810" priority="4758">
      <formula>J112&lt;L112-#REF!</formula>
    </cfRule>
  </conditionalFormatting>
  <conditionalFormatting sqref="J113">
    <cfRule type="expression" dxfId="9809" priority="4755">
      <formula>J113&gt;L113+#REF!</formula>
    </cfRule>
    <cfRule type="expression" dxfId="9808" priority="4756">
      <formula>J113&lt;L113-#REF!</formula>
    </cfRule>
  </conditionalFormatting>
  <conditionalFormatting sqref="J114">
    <cfRule type="expression" dxfId="9807" priority="4753">
      <formula>J114&gt;L114+#REF!</formula>
    </cfRule>
    <cfRule type="expression" dxfId="9806" priority="4754">
      <formula>J114&lt;L114-#REF!</formula>
    </cfRule>
  </conditionalFormatting>
  <conditionalFormatting sqref="J115:J116">
    <cfRule type="expression" dxfId="9805" priority="4751">
      <formula>J115&gt;L115+#REF!</formula>
    </cfRule>
    <cfRule type="expression" dxfId="9804" priority="4752">
      <formula>J115&lt;L115-#REF!</formula>
    </cfRule>
  </conditionalFormatting>
  <conditionalFormatting sqref="J117">
    <cfRule type="expression" dxfId="9803" priority="4749">
      <formula>J117&gt;L117+#REF!</formula>
    </cfRule>
    <cfRule type="expression" dxfId="9802" priority="4750">
      <formula>J117&lt;L117-#REF!</formula>
    </cfRule>
  </conditionalFormatting>
  <conditionalFormatting sqref="J120">
    <cfRule type="expression" dxfId="9801" priority="4747">
      <formula>J120&lt;L120*#REF!</formula>
    </cfRule>
    <cfRule type="expression" dxfId="9800" priority="4748">
      <formula>J120&gt;L120*#REF!</formula>
    </cfRule>
  </conditionalFormatting>
  <conditionalFormatting sqref="J121">
    <cfRule type="expression" dxfId="9799" priority="4745">
      <formula>J121&lt;L121*#REF!</formula>
    </cfRule>
    <cfRule type="expression" dxfId="9798" priority="4746">
      <formula>J121&gt;L121*#REF!</formula>
    </cfRule>
  </conditionalFormatting>
  <conditionalFormatting sqref="J122">
    <cfRule type="expression" dxfId="9797" priority="4741">
      <formula>J122&gt;L122+#REF!</formula>
    </cfRule>
    <cfRule type="expression" dxfId="9796" priority="4742">
      <formula>J122&lt;L122-#REF!</formula>
    </cfRule>
  </conditionalFormatting>
  <conditionalFormatting sqref="J123">
    <cfRule type="expression" dxfId="9795" priority="4739">
      <formula>J123&gt;L123+#REF!</formula>
    </cfRule>
    <cfRule type="expression" dxfId="9794" priority="4740">
      <formula>J123&lt;L123-#REF!</formula>
    </cfRule>
  </conditionalFormatting>
  <conditionalFormatting sqref="J124">
    <cfRule type="expression" dxfId="9793" priority="4737">
      <formula>J124&gt;L124+#REF!</formula>
    </cfRule>
    <cfRule type="expression" dxfId="9792" priority="4738">
      <formula>J124&lt;L124-#REF!</formula>
    </cfRule>
  </conditionalFormatting>
  <conditionalFormatting sqref="J125">
    <cfRule type="expression" dxfId="9791" priority="4735">
      <formula>J125&gt;L125+#REF!</formula>
    </cfRule>
    <cfRule type="expression" dxfId="9790" priority="4736">
      <formula>J125&lt;L125-#REF!</formula>
    </cfRule>
  </conditionalFormatting>
  <conditionalFormatting sqref="J126">
    <cfRule type="expression" dxfId="9789" priority="4733">
      <formula>J126&gt;L126+#REF!</formula>
    </cfRule>
    <cfRule type="expression" dxfId="9788" priority="4734">
      <formula>J126&lt;L126-#REF!</formula>
    </cfRule>
  </conditionalFormatting>
  <conditionalFormatting sqref="J127">
    <cfRule type="expression" dxfId="9787" priority="4731">
      <formula>J127&gt;L127+#REF!</formula>
    </cfRule>
    <cfRule type="expression" dxfId="9786" priority="4732">
      <formula>J127&lt;L127-#REF!</formula>
    </cfRule>
  </conditionalFormatting>
  <conditionalFormatting sqref="J128">
    <cfRule type="expression" dxfId="9785" priority="4729">
      <formula>J128&gt;L128+#REF!</formula>
    </cfRule>
    <cfRule type="expression" dxfId="9784" priority="4730">
      <formula>J128&lt;L128-#REF!</formula>
    </cfRule>
  </conditionalFormatting>
  <conditionalFormatting sqref="J129:J130">
    <cfRule type="expression" dxfId="9783" priority="4727">
      <formula>J129&gt;L129+#REF!</formula>
    </cfRule>
    <cfRule type="expression" dxfId="9782" priority="4728">
      <formula>J129&lt;L129-#REF!</formula>
    </cfRule>
  </conditionalFormatting>
  <conditionalFormatting sqref="J131">
    <cfRule type="expression" dxfId="9781" priority="4725">
      <formula>J131&gt;L131+#REF!</formula>
    </cfRule>
    <cfRule type="expression" dxfId="9780" priority="4726">
      <formula>J131&lt;L131-#REF!</formula>
    </cfRule>
  </conditionalFormatting>
  <conditionalFormatting sqref="J148">
    <cfRule type="expression" dxfId="9779" priority="4699">
      <formula>J148&lt;L148*#REF!</formula>
    </cfRule>
    <cfRule type="expression" dxfId="9778" priority="4700">
      <formula>J148&gt;L148*#REF!</formula>
    </cfRule>
  </conditionalFormatting>
  <conditionalFormatting sqref="J149">
    <cfRule type="expression" dxfId="9777" priority="4697">
      <formula>J149&lt;L149*#REF!</formula>
    </cfRule>
    <cfRule type="expression" dxfId="9776" priority="4698">
      <formula>J149&gt;L149*#REF!</formula>
    </cfRule>
  </conditionalFormatting>
  <conditionalFormatting sqref="J150">
    <cfRule type="expression" dxfId="9775" priority="4693">
      <formula>J150&gt;L150+#REF!</formula>
    </cfRule>
    <cfRule type="expression" dxfId="9774" priority="4694">
      <formula>J150&lt;L150-#REF!</formula>
    </cfRule>
  </conditionalFormatting>
  <conditionalFormatting sqref="J151">
    <cfRule type="expression" dxfId="9773" priority="4691">
      <formula>J151&gt;L151+#REF!</formula>
    </cfRule>
    <cfRule type="expression" dxfId="9772" priority="4692">
      <formula>J151&lt;L151-#REF!</formula>
    </cfRule>
  </conditionalFormatting>
  <conditionalFormatting sqref="J152">
    <cfRule type="expression" dxfId="9771" priority="4689">
      <formula>J152&gt;L152+#REF!</formula>
    </cfRule>
    <cfRule type="expression" dxfId="9770" priority="4690">
      <formula>J152&lt;L152-#REF!</formula>
    </cfRule>
  </conditionalFormatting>
  <conditionalFormatting sqref="J153">
    <cfRule type="expression" dxfId="9769" priority="4687">
      <formula>J153&gt;L153+#REF!</formula>
    </cfRule>
    <cfRule type="expression" dxfId="9768" priority="4688">
      <formula>J153&lt;L153-#REF!</formula>
    </cfRule>
  </conditionalFormatting>
  <conditionalFormatting sqref="J154">
    <cfRule type="expression" dxfId="9767" priority="4685">
      <formula>J154&gt;L154+#REF!</formula>
    </cfRule>
    <cfRule type="expression" dxfId="9766" priority="4686">
      <formula>J154&lt;L154-#REF!</formula>
    </cfRule>
  </conditionalFormatting>
  <conditionalFormatting sqref="J155">
    <cfRule type="expression" dxfId="9765" priority="4683">
      <formula>J155&gt;L155+#REF!</formula>
    </cfRule>
    <cfRule type="expression" dxfId="9764" priority="4684">
      <formula>J155&lt;L155-#REF!</formula>
    </cfRule>
  </conditionalFormatting>
  <conditionalFormatting sqref="J156">
    <cfRule type="expression" dxfId="9763" priority="4681">
      <formula>J156&gt;L156+#REF!</formula>
    </cfRule>
    <cfRule type="expression" dxfId="9762" priority="4682">
      <formula>J156&lt;L156-#REF!</formula>
    </cfRule>
  </conditionalFormatting>
  <conditionalFormatting sqref="J157:J158">
    <cfRule type="expression" dxfId="9761" priority="4679">
      <formula>J157&gt;L157+#REF!</formula>
    </cfRule>
    <cfRule type="expression" dxfId="9760" priority="4680">
      <formula>J157&lt;L157-#REF!</formula>
    </cfRule>
  </conditionalFormatting>
  <conditionalFormatting sqref="J159">
    <cfRule type="expression" dxfId="9759" priority="4677">
      <formula>J159&gt;L159+#REF!</formula>
    </cfRule>
    <cfRule type="expression" dxfId="9758" priority="4678">
      <formula>J159&lt;L159-#REF!</formula>
    </cfRule>
  </conditionalFormatting>
  <conditionalFormatting sqref="J162">
    <cfRule type="expression" dxfId="9757" priority="4675">
      <formula>J162&lt;L162*#REF!</formula>
    </cfRule>
    <cfRule type="expression" dxfId="9756" priority="4676">
      <formula>J162&gt;L162*#REF!</formula>
    </cfRule>
  </conditionalFormatting>
  <conditionalFormatting sqref="J163">
    <cfRule type="expression" dxfId="9755" priority="4673">
      <formula>J163&lt;L163*#REF!</formula>
    </cfRule>
    <cfRule type="expression" dxfId="9754" priority="4674">
      <formula>J163&gt;L163*#REF!</formula>
    </cfRule>
  </conditionalFormatting>
  <conditionalFormatting sqref="J164">
    <cfRule type="expression" dxfId="9753" priority="4669">
      <formula>J164&gt;L164+#REF!</formula>
    </cfRule>
    <cfRule type="expression" dxfId="9752" priority="4670">
      <formula>J164&lt;L164-#REF!</formula>
    </cfRule>
  </conditionalFormatting>
  <conditionalFormatting sqref="J165">
    <cfRule type="expression" dxfId="9751" priority="4667">
      <formula>J165&gt;L165+#REF!</formula>
    </cfRule>
    <cfRule type="expression" dxfId="9750" priority="4668">
      <formula>J165&lt;L165-#REF!</formula>
    </cfRule>
  </conditionalFormatting>
  <conditionalFormatting sqref="J166">
    <cfRule type="expression" dxfId="9749" priority="4665">
      <formula>J166&gt;L166+#REF!</formula>
    </cfRule>
    <cfRule type="expression" dxfId="9748" priority="4666">
      <formula>J166&lt;L166-#REF!</formula>
    </cfRule>
  </conditionalFormatting>
  <conditionalFormatting sqref="J167">
    <cfRule type="expression" dxfId="9747" priority="4663">
      <formula>J167&gt;L167+#REF!</formula>
    </cfRule>
    <cfRule type="expression" dxfId="9746" priority="4664">
      <formula>J167&lt;L167-#REF!</formula>
    </cfRule>
  </conditionalFormatting>
  <conditionalFormatting sqref="J168">
    <cfRule type="expression" dxfId="9745" priority="4661">
      <formula>J168&gt;L168+#REF!</formula>
    </cfRule>
    <cfRule type="expression" dxfId="9744" priority="4662">
      <formula>J168&lt;L168-#REF!</formula>
    </cfRule>
  </conditionalFormatting>
  <conditionalFormatting sqref="J169">
    <cfRule type="expression" dxfId="9743" priority="4659">
      <formula>J169&gt;L169+#REF!</formula>
    </cfRule>
    <cfRule type="expression" dxfId="9742" priority="4660">
      <formula>J169&lt;L169-#REF!</formula>
    </cfRule>
  </conditionalFormatting>
  <conditionalFormatting sqref="J170">
    <cfRule type="expression" dxfId="9741" priority="4657">
      <formula>J170&gt;L170+#REF!</formula>
    </cfRule>
    <cfRule type="expression" dxfId="9740" priority="4658">
      <formula>J170&lt;L170-#REF!</formula>
    </cfRule>
  </conditionalFormatting>
  <conditionalFormatting sqref="J171:J172">
    <cfRule type="expression" dxfId="9739" priority="4655">
      <formula>J171&gt;L171+#REF!</formula>
    </cfRule>
    <cfRule type="expression" dxfId="9738" priority="4656">
      <formula>J171&lt;L171-#REF!</formula>
    </cfRule>
  </conditionalFormatting>
  <conditionalFormatting sqref="J173">
    <cfRule type="expression" dxfId="9737" priority="4653">
      <formula>J173&gt;L173+#REF!</formula>
    </cfRule>
    <cfRule type="expression" dxfId="9736" priority="4654">
      <formula>J173&lt;L173-#REF!</formula>
    </cfRule>
  </conditionalFormatting>
  <conditionalFormatting sqref="J190">
    <cfRule type="expression" dxfId="9735" priority="4651">
      <formula>J190&lt;L190*#REF!</formula>
    </cfRule>
    <cfRule type="expression" dxfId="9734" priority="4652">
      <formula>J190&gt;L190*#REF!</formula>
    </cfRule>
  </conditionalFormatting>
  <conditionalFormatting sqref="J191">
    <cfRule type="expression" dxfId="9733" priority="4649">
      <formula>J191&lt;L191*#REF!</formula>
    </cfRule>
    <cfRule type="expression" dxfId="9732" priority="4650">
      <formula>J191&gt;L191*#REF!</formula>
    </cfRule>
  </conditionalFormatting>
  <conditionalFormatting sqref="J192">
    <cfRule type="expression" dxfId="9731" priority="4645">
      <formula>J192&gt;L192+#REF!</formula>
    </cfRule>
    <cfRule type="expression" dxfId="9730" priority="4646">
      <formula>J192&lt;L192-#REF!</formula>
    </cfRule>
  </conditionalFormatting>
  <conditionalFormatting sqref="J193">
    <cfRule type="expression" dxfId="9729" priority="4643">
      <formula>J193&gt;L193+#REF!</formula>
    </cfRule>
    <cfRule type="expression" dxfId="9728" priority="4644">
      <formula>J193&lt;L193-#REF!</formula>
    </cfRule>
  </conditionalFormatting>
  <conditionalFormatting sqref="J194">
    <cfRule type="expression" dxfId="9727" priority="4641">
      <formula>J194&gt;L194+#REF!</formula>
    </cfRule>
    <cfRule type="expression" dxfId="9726" priority="4642">
      <formula>J194&lt;L194-#REF!</formula>
    </cfRule>
  </conditionalFormatting>
  <conditionalFormatting sqref="J195">
    <cfRule type="expression" dxfId="9725" priority="4639">
      <formula>J195&gt;L195+#REF!</formula>
    </cfRule>
    <cfRule type="expression" dxfId="9724" priority="4640">
      <formula>J195&lt;L195-#REF!</formula>
    </cfRule>
  </conditionalFormatting>
  <conditionalFormatting sqref="J196">
    <cfRule type="expression" dxfId="9723" priority="4637">
      <formula>J196&gt;L196+#REF!</formula>
    </cfRule>
    <cfRule type="expression" dxfId="9722" priority="4638">
      <formula>J196&lt;L196-#REF!</formula>
    </cfRule>
  </conditionalFormatting>
  <conditionalFormatting sqref="J197">
    <cfRule type="expression" dxfId="9721" priority="4635">
      <formula>J197&gt;L197+#REF!</formula>
    </cfRule>
    <cfRule type="expression" dxfId="9720" priority="4636">
      <formula>J197&lt;L197-#REF!</formula>
    </cfRule>
  </conditionalFormatting>
  <conditionalFormatting sqref="J198">
    <cfRule type="expression" dxfId="9719" priority="4633">
      <formula>J198&gt;L198+#REF!</formula>
    </cfRule>
    <cfRule type="expression" dxfId="9718" priority="4634">
      <formula>J198&lt;L198-#REF!</formula>
    </cfRule>
  </conditionalFormatting>
  <conditionalFormatting sqref="J199:J200">
    <cfRule type="expression" dxfId="9717" priority="4631">
      <formula>J199&gt;L199+#REF!</formula>
    </cfRule>
    <cfRule type="expression" dxfId="9716" priority="4632">
      <formula>J199&lt;L199-#REF!</formula>
    </cfRule>
  </conditionalFormatting>
  <conditionalFormatting sqref="J201">
    <cfRule type="expression" dxfId="9715" priority="4629">
      <formula>J201&gt;L201+#REF!</formula>
    </cfRule>
    <cfRule type="expression" dxfId="9714" priority="4630">
      <formula>J201&lt;L201-#REF!</formula>
    </cfRule>
  </conditionalFormatting>
  <conditionalFormatting sqref="J176">
    <cfRule type="expression" dxfId="9713" priority="4627">
      <formula>J176&lt;L176*#REF!</formula>
    </cfRule>
    <cfRule type="expression" dxfId="9712" priority="4628">
      <formula>J176&gt;L176*#REF!</formula>
    </cfRule>
  </conditionalFormatting>
  <conditionalFormatting sqref="J177">
    <cfRule type="expression" dxfId="9711" priority="4625">
      <formula>J177&lt;L177*#REF!</formula>
    </cfRule>
    <cfRule type="expression" dxfId="9710" priority="4626">
      <formula>J177&gt;L177*#REF!</formula>
    </cfRule>
  </conditionalFormatting>
  <conditionalFormatting sqref="J178">
    <cfRule type="expression" dxfId="9709" priority="4621">
      <formula>J178&gt;L178+#REF!</formula>
    </cfRule>
    <cfRule type="expression" dxfId="9708" priority="4622">
      <formula>J178&lt;L178-#REF!</formula>
    </cfRule>
  </conditionalFormatting>
  <conditionalFormatting sqref="J179">
    <cfRule type="expression" dxfId="9707" priority="4619">
      <formula>J179&gt;L179+#REF!</formula>
    </cfRule>
    <cfRule type="expression" dxfId="9706" priority="4620">
      <formula>J179&lt;L179-#REF!</formula>
    </cfRule>
  </conditionalFormatting>
  <conditionalFormatting sqref="J180">
    <cfRule type="expression" dxfId="9705" priority="4617">
      <formula>J180&gt;L180+#REF!</formula>
    </cfRule>
    <cfRule type="expression" dxfId="9704" priority="4618">
      <formula>J180&lt;L180-#REF!</formula>
    </cfRule>
  </conditionalFormatting>
  <conditionalFormatting sqref="J181">
    <cfRule type="expression" dxfId="9703" priority="4615">
      <formula>J181&gt;L181+#REF!</formula>
    </cfRule>
    <cfRule type="expression" dxfId="9702" priority="4616">
      <formula>J181&lt;L181-#REF!</formula>
    </cfRule>
  </conditionalFormatting>
  <conditionalFormatting sqref="J182">
    <cfRule type="expression" dxfId="9701" priority="4613">
      <formula>J182&gt;L182+#REF!</formula>
    </cfRule>
    <cfRule type="expression" dxfId="9700" priority="4614">
      <formula>J182&lt;L182-#REF!</formula>
    </cfRule>
  </conditionalFormatting>
  <conditionalFormatting sqref="J183">
    <cfRule type="expression" dxfId="9699" priority="4611">
      <formula>J183&gt;L183+#REF!</formula>
    </cfRule>
    <cfRule type="expression" dxfId="9698" priority="4612">
      <formula>J183&lt;L183-#REF!</formula>
    </cfRule>
  </conditionalFormatting>
  <conditionalFormatting sqref="J184">
    <cfRule type="expression" dxfId="9697" priority="4609">
      <formula>J184&gt;L184+#REF!</formula>
    </cfRule>
    <cfRule type="expression" dxfId="9696" priority="4610">
      <formula>J184&lt;L184-#REF!</formula>
    </cfRule>
  </conditionalFormatting>
  <conditionalFormatting sqref="J185:J186">
    <cfRule type="expression" dxfId="9695" priority="4607">
      <formula>J185&gt;L185+#REF!</formula>
    </cfRule>
    <cfRule type="expression" dxfId="9694" priority="4608">
      <formula>J185&lt;L185-#REF!</formula>
    </cfRule>
  </conditionalFormatting>
  <conditionalFormatting sqref="J187">
    <cfRule type="expression" dxfId="9693" priority="4605">
      <formula>J187&gt;L187+#REF!</formula>
    </cfRule>
    <cfRule type="expression" dxfId="9692" priority="4606">
      <formula>J187&lt;L187-#REF!</formula>
    </cfRule>
  </conditionalFormatting>
  <conditionalFormatting sqref="J230">
    <cfRule type="expression" dxfId="9691" priority="4551">
      <formula>J230&lt;L230*#REF!</formula>
    </cfRule>
    <cfRule type="expression" dxfId="9690" priority="4552">
      <formula>J230&gt;L230*#REF!</formula>
    </cfRule>
  </conditionalFormatting>
  <conditionalFormatting sqref="N232">
    <cfRule type="expression" dxfId="9689" priority="4507">
      <formula>N232&lt;P232*#REF!</formula>
    </cfRule>
    <cfRule type="expression" dxfId="9688" priority="4508">
      <formula>N232&gt;P232*#REF!</formula>
    </cfRule>
  </conditionalFormatting>
  <conditionalFormatting sqref="N233">
    <cfRule type="expression" dxfId="9687" priority="4505">
      <formula>N233&lt;P233*#REF!</formula>
    </cfRule>
    <cfRule type="expression" dxfId="9686" priority="4506">
      <formula>N233&gt;P233*#REF!</formula>
    </cfRule>
  </conditionalFormatting>
  <conditionalFormatting sqref="N244">
    <cfRule type="expression" dxfId="9685" priority="4503">
      <formula>N244&lt;P244*#REF!</formula>
    </cfRule>
    <cfRule type="expression" dxfId="9684" priority="4504">
      <formula>N244&gt;P244*#REF!</formula>
    </cfRule>
  </conditionalFormatting>
  <conditionalFormatting sqref="N234">
    <cfRule type="expression" dxfId="9683" priority="4501">
      <formula>N234&gt;P234+#REF!</formula>
    </cfRule>
    <cfRule type="expression" dxfId="9682" priority="4502">
      <formula>N234&lt;P234-#REF!</formula>
    </cfRule>
  </conditionalFormatting>
  <conditionalFormatting sqref="N235">
    <cfRule type="expression" dxfId="9681" priority="4499">
      <formula>N235&gt;P235+#REF!</formula>
    </cfRule>
    <cfRule type="expression" dxfId="9680" priority="4500">
      <formula>N235&lt;P235-#REF!</formula>
    </cfRule>
  </conditionalFormatting>
  <conditionalFormatting sqref="N236">
    <cfRule type="expression" dxfId="9679" priority="4497">
      <formula>N236&gt;P236+#REF!</formula>
    </cfRule>
    <cfRule type="expression" dxfId="9678" priority="4498">
      <formula>N236&lt;P236-#REF!</formula>
    </cfRule>
  </conditionalFormatting>
  <conditionalFormatting sqref="N237">
    <cfRule type="expression" dxfId="9677" priority="4495">
      <formula>N237&gt;P237+#REF!</formula>
    </cfRule>
    <cfRule type="expression" dxfId="9676" priority="4496">
      <formula>N237&lt;P237-#REF!</formula>
    </cfRule>
  </conditionalFormatting>
  <conditionalFormatting sqref="N238">
    <cfRule type="expression" dxfId="9675" priority="4493">
      <formula>N238&gt;P238+#REF!</formula>
    </cfRule>
    <cfRule type="expression" dxfId="9674" priority="4494">
      <formula>N238&lt;P238-#REF!</formula>
    </cfRule>
  </conditionalFormatting>
  <conditionalFormatting sqref="N239">
    <cfRule type="expression" dxfId="9673" priority="4491">
      <formula>N239&gt;P239+#REF!</formula>
    </cfRule>
    <cfRule type="expression" dxfId="9672" priority="4492">
      <formula>N239&lt;P239-#REF!</formula>
    </cfRule>
  </conditionalFormatting>
  <conditionalFormatting sqref="N240">
    <cfRule type="expression" dxfId="9671" priority="4489">
      <formula>N240&gt;P240+#REF!</formula>
    </cfRule>
    <cfRule type="expression" dxfId="9670" priority="4490">
      <formula>N240&lt;P240-#REF!</formula>
    </cfRule>
  </conditionalFormatting>
  <conditionalFormatting sqref="N241:N242">
    <cfRule type="expression" dxfId="9669" priority="4487">
      <formula>N241&gt;P241+#REF!</formula>
    </cfRule>
    <cfRule type="expression" dxfId="9668" priority="4488">
      <formula>N241&lt;P241-#REF!</formula>
    </cfRule>
  </conditionalFormatting>
  <conditionalFormatting sqref="N243">
    <cfRule type="expression" dxfId="9667" priority="4485">
      <formula>N243&gt;P243+#REF!</formula>
    </cfRule>
    <cfRule type="expression" dxfId="9666" priority="4486">
      <formula>N243&lt;P243-#REF!</formula>
    </cfRule>
  </conditionalFormatting>
  <conditionalFormatting sqref="F232">
    <cfRule type="expression" dxfId="9665" priority="4411">
      <formula>F232&lt;H232*#REF!</formula>
    </cfRule>
    <cfRule type="expression" dxfId="9664" priority="4412">
      <formula>F232&gt;H232*#REF!</formula>
    </cfRule>
  </conditionalFormatting>
  <conditionalFormatting sqref="F233">
    <cfRule type="expression" dxfId="9663" priority="4409">
      <formula>F233&lt;H233*#REF!</formula>
    </cfRule>
    <cfRule type="expression" dxfId="9662" priority="4410">
      <formula>F233&gt;H233*#REF!</formula>
    </cfRule>
  </conditionalFormatting>
  <conditionalFormatting sqref="F244">
    <cfRule type="expression" dxfId="9661" priority="4407">
      <formula>F244&lt;H244*#REF!</formula>
    </cfRule>
    <cfRule type="expression" dxfId="9660" priority="4408">
      <formula>F244&gt;H244*#REF!</formula>
    </cfRule>
  </conditionalFormatting>
  <conditionalFormatting sqref="F234">
    <cfRule type="expression" dxfId="9659" priority="4405">
      <formula>F234&gt;H234+#REF!</formula>
    </cfRule>
    <cfRule type="expression" dxfId="9658" priority="4406">
      <formula>F234&lt;H234-#REF!</formula>
    </cfRule>
  </conditionalFormatting>
  <conditionalFormatting sqref="F235">
    <cfRule type="expression" dxfId="9657" priority="4403">
      <formula>F235&gt;H235+#REF!</formula>
    </cfRule>
    <cfRule type="expression" dxfId="9656" priority="4404">
      <formula>F235&lt;H235-#REF!</formula>
    </cfRule>
  </conditionalFormatting>
  <conditionalFormatting sqref="F236">
    <cfRule type="expression" dxfId="9655" priority="4401">
      <formula>F236&gt;H236+#REF!</formula>
    </cfRule>
    <cfRule type="expression" dxfId="9654" priority="4402">
      <formula>F236&lt;H236-#REF!</formula>
    </cfRule>
  </conditionalFormatting>
  <conditionalFormatting sqref="F237">
    <cfRule type="expression" dxfId="9653" priority="4399">
      <formula>F237&gt;H237+#REF!</formula>
    </cfRule>
    <cfRule type="expression" dxfId="9652" priority="4400">
      <formula>F237&lt;H237-#REF!</formula>
    </cfRule>
  </conditionalFormatting>
  <conditionalFormatting sqref="F238">
    <cfRule type="expression" dxfId="9651" priority="4397">
      <formula>F238&gt;H238+#REF!</formula>
    </cfRule>
    <cfRule type="expression" dxfId="9650" priority="4398">
      <formula>F238&lt;H238-#REF!</formula>
    </cfRule>
  </conditionalFormatting>
  <conditionalFormatting sqref="F239">
    <cfRule type="expression" dxfId="9649" priority="4395">
      <formula>F239&gt;H239+#REF!</formula>
    </cfRule>
    <cfRule type="expression" dxfId="9648" priority="4396">
      <formula>F239&lt;H239-#REF!</formula>
    </cfRule>
  </conditionalFormatting>
  <conditionalFormatting sqref="F240">
    <cfRule type="expression" dxfId="9647" priority="4393">
      <formula>F240&gt;H240+#REF!</formula>
    </cfRule>
    <cfRule type="expression" dxfId="9646" priority="4394">
      <formula>F240&lt;H240-#REF!</formula>
    </cfRule>
  </conditionalFormatting>
  <conditionalFormatting sqref="F241:F242">
    <cfRule type="expression" dxfId="9645" priority="4391">
      <formula>F241&gt;H241+#REF!</formula>
    </cfRule>
    <cfRule type="expression" dxfId="9644" priority="4392">
      <formula>F241&lt;H241-#REF!</formula>
    </cfRule>
  </conditionalFormatting>
  <conditionalFormatting sqref="F243">
    <cfRule type="expression" dxfId="9643" priority="4389">
      <formula>F243&gt;H243+#REF!</formula>
    </cfRule>
    <cfRule type="expression" dxfId="9642" priority="4390">
      <formula>F243&lt;H243-#REF!</formula>
    </cfRule>
  </conditionalFormatting>
  <conditionalFormatting sqref="N246">
    <cfRule type="expression" dxfId="9641" priority="4339">
      <formula>N246&lt;P246*#REF!</formula>
    </cfRule>
    <cfRule type="expression" dxfId="9640" priority="4340">
      <formula>N246&gt;P246*#REF!</formula>
    </cfRule>
  </conditionalFormatting>
  <conditionalFormatting sqref="N247">
    <cfRule type="expression" dxfId="9639" priority="4337">
      <formula>N247&lt;P247*#REF!</formula>
    </cfRule>
    <cfRule type="expression" dxfId="9638" priority="4338">
      <formula>N247&gt;P247*#REF!</formula>
    </cfRule>
  </conditionalFormatting>
  <conditionalFormatting sqref="N258">
    <cfRule type="expression" dxfId="9637" priority="4335">
      <formula>N258&lt;P258*#REF!</formula>
    </cfRule>
    <cfRule type="expression" dxfId="9636" priority="4336">
      <formula>N258&gt;P258*#REF!</formula>
    </cfRule>
  </conditionalFormatting>
  <conditionalFormatting sqref="N248">
    <cfRule type="expression" dxfId="9635" priority="4333">
      <formula>N248&gt;P248+#REF!</formula>
    </cfRule>
    <cfRule type="expression" dxfId="9634" priority="4334">
      <formula>N248&lt;P248-#REF!</formula>
    </cfRule>
  </conditionalFormatting>
  <conditionalFormatting sqref="N249">
    <cfRule type="expression" dxfId="9633" priority="4331">
      <formula>N249&gt;P249+#REF!</formula>
    </cfRule>
    <cfRule type="expression" dxfId="9632" priority="4332">
      <formula>N249&lt;P249-#REF!</formula>
    </cfRule>
  </conditionalFormatting>
  <conditionalFormatting sqref="N250">
    <cfRule type="expression" dxfId="9631" priority="4329">
      <formula>N250&gt;P250+#REF!</formula>
    </cfRule>
    <cfRule type="expression" dxfId="9630" priority="4330">
      <formula>N250&lt;P250-#REF!</formula>
    </cfRule>
  </conditionalFormatting>
  <conditionalFormatting sqref="N251">
    <cfRule type="expression" dxfId="9629" priority="4327">
      <formula>N251&gt;P251+#REF!</formula>
    </cfRule>
    <cfRule type="expression" dxfId="9628" priority="4328">
      <formula>N251&lt;P251-#REF!</formula>
    </cfRule>
  </conditionalFormatting>
  <conditionalFormatting sqref="N252">
    <cfRule type="expression" dxfId="9627" priority="4325">
      <formula>N252&gt;P252+#REF!</formula>
    </cfRule>
    <cfRule type="expression" dxfId="9626" priority="4326">
      <formula>N252&lt;P252-#REF!</formula>
    </cfRule>
  </conditionalFormatting>
  <conditionalFormatting sqref="N253">
    <cfRule type="expression" dxfId="9625" priority="4323">
      <formula>N253&gt;P253+#REF!</formula>
    </cfRule>
    <cfRule type="expression" dxfId="9624" priority="4324">
      <formula>N253&lt;P253-#REF!</formula>
    </cfRule>
  </conditionalFormatting>
  <conditionalFormatting sqref="N254">
    <cfRule type="expression" dxfId="9623" priority="4321">
      <formula>N254&gt;P254+#REF!</formula>
    </cfRule>
    <cfRule type="expression" dxfId="9622" priority="4322">
      <formula>N254&lt;P254-#REF!</formula>
    </cfRule>
  </conditionalFormatting>
  <conditionalFormatting sqref="N255:N256">
    <cfRule type="expression" dxfId="9621" priority="4319">
      <formula>N255&gt;P255+#REF!</formula>
    </cfRule>
    <cfRule type="expression" dxfId="9620" priority="4320">
      <formula>N255&lt;P255-#REF!</formula>
    </cfRule>
  </conditionalFormatting>
  <conditionalFormatting sqref="N257">
    <cfRule type="expression" dxfId="9619" priority="4317">
      <formula>N257&gt;P257+#REF!</formula>
    </cfRule>
    <cfRule type="expression" dxfId="9618" priority="4318">
      <formula>N257&lt;P257-#REF!</formula>
    </cfRule>
  </conditionalFormatting>
  <conditionalFormatting sqref="F246">
    <cfRule type="expression" dxfId="9617" priority="4243">
      <formula>F246&lt;H246*#REF!</formula>
    </cfRule>
    <cfRule type="expression" dxfId="9616" priority="4244">
      <formula>F246&gt;H246*#REF!</formula>
    </cfRule>
  </conditionalFormatting>
  <conditionalFormatting sqref="F247">
    <cfRule type="expression" dxfId="9615" priority="4241">
      <formula>F247&lt;H247*#REF!</formula>
    </cfRule>
    <cfRule type="expression" dxfId="9614" priority="4242">
      <formula>F247&gt;H247*#REF!</formula>
    </cfRule>
  </conditionalFormatting>
  <conditionalFormatting sqref="F258">
    <cfRule type="expression" dxfId="9613" priority="4239">
      <formula>F258&lt;H258*#REF!</formula>
    </cfRule>
    <cfRule type="expression" dxfId="9612" priority="4240">
      <formula>F258&gt;H258*#REF!</formula>
    </cfRule>
  </conditionalFormatting>
  <conditionalFormatting sqref="F248">
    <cfRule type="expression" dxfId="9611" priority="4237">
      <formula>F248&gt;H248+#REF!</formula>
    </cfRule>
    <cfRule type="expression" dxfId="9610" priority="4238">
      <formula>F248&lt;H248-#REF!</formula>
    </cfRule>
  </conditionalFormatting>
  <conditionalFormatting sqref="F249">
    <cfRule type="expression" dxfId="9609" priority="4235">
      <formula>F249&gt;H249+#REF!</formula>
    </cfRule>
    <cfRule type="expression" dxfId="9608" priority="4236">
      <formula>F249&lt;H249-#REF!</formula>
    </cfRule>
  </conditionalFormatting>
  <conditionalFormatting sqref="F250">
    <cfRule type="expression" dxfId="9607" priority="4233">
      <formula>F250&gt;H250+#REF!</formula>
    </cfRule>
    <cfRule type="expression" dxfId="9606" priority="4234">
      <formula>F250&lt;H250-#REF!</formula>
    </cfRule>
  </conditionalFormatting>
  <conditionalFormatting sqref="F251">
    <cfRule type="expression" dxfId="9605" priority="4231">
      <formula>F251&gt;H251+#REF!</formula>
    </cfRule>
    <cfRule type="expression" dxfId="9604" priority="4232">
      <formula>F251&lt;H251-#REF!</formula>
    </cfRule>
  </conditionalFormatting>
  <conditionalFormatting sqref="F252">
    <cfRule type="expression" dxfId="9603" priority="4229">
      <formula>F252&gt;H252+#REF!</formula>
    </cfRule>
    <cfRule type="expression" dxfId="9602" priority="4230">
      <formula>F252&lt;H252-#REF!</formula>
    </cfRule>
  </conditionalFormatting>
  <conditionalFormatting sqref="F253">
    <cfRule type="expression" dxfId="9601" priority="4227">
      <formula>F253&gt;H253+#REF!</formula>
    </cfRule>
    <cfRule type="expression" dxfId="9600" priority="4228">
      <formula>F253&lt;H253-#REF!</formula>
    </cfRule>
  </conditionalFormatting>
  <conditionalFormatting sqref="F254">
    <cfRule type="expression" dxfId="9599" priority="4225">
      <formula>F254&gt;H254+#REF!</formula>
    </cfRule>
    <cfRule type="expression" dxfId="9598" priority="4226">
      <formula>F254&lt;H254-#REF!</formula>
    </cfRule>
  </conditionalFormatting>
  <conditionalFormatting sqref="F255:F256">
    <cfRule type="expression" dxfId="9597" priority="4223">
      <formula>F255&gt;H255+#REF!</formula>
    </cfRule>
    <cfRule type="expression" dxfId="9596" priority="4224">
      <formula>F255&lt;H255-#REF!</formula>
    </cfRule>
  </conditionalFormatting>
  <conditionalFormatting sqref="F257">
    <cfRule type="expression" dxfId="9595" priority="4221">
      <formula>F257&gt;H257+#REF!</formula>
    </cfRule>
    <cfRule type="expression" dxfId="9594" priority="4222">
      <formula>F257&lt;H257-#REF!</formula>
    </cfRule>
  </conditionalFormatting>
  <conditionalFormatting sqref="J258">
    <cfRule type="expression" dxfId="9593" priority="4215">
      <formula>J258&lt;L258*#REF!</formula>
    </cfRule>
    <cfRule type="expression" dxfId="9592" priority="4216">
      <formula>J258&gt;L258*#REF!</formula>
    </cfRule>
  </conditionalFormatting>
  <conditionalFormatting sqref="J108">
    <cfRule type="expression" dxfId="9591" priority="4193">
      <formula>J108&gt;L108+#REF!</formula>
    </cfRule>
    <cfRule type="expression" dxfId="9590" priority="4194">
      <formula>J108&lt;L108-#REF!</formula>
    </cfRule>
  </conditionalFormatting>
  <conditionalFormatting sqref="J109">
    <cfRule type="expression" dxfId="9589" priority="4191">
      <formula>J109&gt;L109+#REF!</formula>
    </cfRule>
    <cfRule type="expression" dxfId="9588" priority="4192">
      <formula>J109&lt;L109-#REF!</formula>
    </cfRule>
  </conditionalFormatting>
  <conditionalFormatting sqref="J110">
    <cfRule type="expression" dxfId="9587" priority="4189">
      <formula>J110&gt;L110+#REF!</formula>
    </cfRule>
    <cfRule type="expression" dxfId="9586" priority="4190">
      <formula>J110&lt;L110-#REF!</formula>
    </cfRule>
  </conditionalFormatting>
  <conditionalFormatting sqref="K67">
    <cfRule type="expression" dxfId="9585" priority="4147">
      <formula>K67&gt;M67+#REF!</formula>
    </cfRule>
    <cfRule type="expression" dxfId="9584" priority="4148">
      <formula>K67&lt;M67-#REF!</formula>
    </cfRule>
  </conditionalFormatting>
  <conditionalFormatting sqref="N96">
    <cfRule type="expression" dxfId="9583" priority="4143">
      <formula>N96&gt;P96+#REF!</formula>
    </cfRule>
    <cfRule type="expression" dxfId="9582" priority="4144">
      <formula>N96&lt;P96-#REF!</formula>
    </cfRule>
  </conditionalFormatting>
  <conditionalFormatting sqref="K227:K228">
    <cfRule type="expression" dxfId="9581" priority="3681">
      <formula>K227&gt;M227+#REF!</formula>
    </cfRule>
    <cfRule type="expression" dxfId="9580" priority="3682">
      <formula>K227&lt;M227-#REF!</formula>
    </cfRule>
  </conditionalFormatting>
  <conditionalFormatting sqref="L227:L228">
    <cfRule type="expression" dxfId="9579" priority="3679">
      <formula>L227&gt;N227+#REF!</formula>
    </cfRule>
    <cfRule type="expression" dxfId="9578" priority="3680">
      <formula>L227&lt;N227-#REF!</formula>
    </cfRule>
  </conditionalFormatting>
  <conditionalFormatting sqref="N134">
    <cfRule type="expression" dxfId="9577" priority="22">
      <formula>N134&lt;P134*#REF!</formula>
    </cfRule>
    <cfRule type="expression" dxfId="9576" priority="23">
      <formula>N134&gt;P134*#REF!</formula>
    </cfRule>
  </conditionalFormatting>
  <conditionalFormatting sqref="N135">
    <cfRule type="expression" dxfId="9575" priority="20">
      <formula>N135&lt;P135*#REF!</formula>
    </cfRule>
    <cfRule type="expression" dxfId="9574" priority="21">
      <formula>N135&gt;P135*#REF!</formula>
    </cfRule>
  </conditionalFormatting>
  <conditionalFormatting sqref="N146">
    <cfRule type="expression" dxfId="9573" priority="18">
      <formula>N146&lt;P146*#REF!</formula>
    </cfRule>
    <cfRule type="expression" dxfId="9572" priority="19">
      <formula>N146&gt;P146*#REF!</formula>
    </cfRule>
  </conditionalFormatting>
  <conditionalFormatting sqref="N136">
    <cfRule type="expression" dxfId="9571" priority="16">
      <formula>N136&gt;P136+#REF!</formula>
    </cfRule>
    <cfRule type="expression" dxfId="9570" priority="17">
      <formula>N136&lt;P136-#REF!</formula>
    </cfRule>
  </conditionalFormatting>
  <conditionalFormatting sqref="N137">
    <cfRule type="expression" dxfId="9569" priority="14">
      <formula>N137&gt;P137+#REF!</formula>
    </cfRule>
    <cfRule type="expression" dxfId="9568" priority="15">
      <formula>N137&lt;P137-#REF!</formula>
    </cfRule>
  </conditionalFormatting>
  <conditionalFormatting sqref="N138">
    <cfRule type="expression" dxfId="9567" priority="12">
      <formula>N138&gt;P138+#REF!</formula>
    </cfRule>
    <cfRule type="expression" dxfId="9566" priority="13">
      <formula>N138&lt;P138-#REF!</formula>
    </cfRule>
  </conditionalFormatting>
  <conditionalFormatting sqref="N139">
    <cfRule type="expression" dxfId="9565" priority="10">
      <formula>N139&gt;P139+#REF!</formula>
    </cfRule>
    <cfRule type="expression" dxfId="9564" priority="11">
      <formula>N139&lt;P139-#REF!</formula>
    </cfRule>
  </conditionalFormatting>
  <conditionalFormatting sqref="N140">
    <cfRule type="expression" dxfId="9563" priority="8">
      <formula>N140&gt;P140+#REF!</formula>
    </cfRule>
    <cfRule type="expression" dxfId="9562" priority="9">
      <formula>N140&lt;P140-#REF!</formula>
    </cfRule>
  </conditionalFormatting>
  <conditionalFormatting sqref="N141">
    <cfRule type="expression" dxfId="9561" priority="6">
      <formula>N141&gt;P141+#REF!</formula>
    </cfRule>
    <cfRule type="expression" dxfId="9560" priority="7">
      <formula>N141&lt;P141-#REF!</formula>
    </cfRule>
  </conditionalFormatting>
  <conditionalFormatting sqref="N142">
    <cfRule type="expression" dxfId="9559" priority="4">
      <formula>N142&gt;P142+#REF!</formula>
    </cfRule>
    <cfRule type="expression" dxfId="9558" priority="5">
      <formula>N142&lt;P142-#REF!</formula>
    </cfRule>
  </conditionalFormatting>
  <conditionalFormatting sqref="N143:N144">
    <cfRule type="expression" dxfId="9557" priority="2">
      <formula>N143&gt;P143+#REF!</formula>
    </cfRule>
    <cfRule type="expression" dxfId="9556" priority="3">
      <formula>N143&lt;P143-#REF!</formula>
    </cfRule>
  </conditionalFormatting>
  <conditionalFormatting sqref="N145">
    <cfRule type="expression" dxfId="9555" priority="1">
      <formula>N145&lt;P145-#REF!</formula>
    </cfRule>
    <cfRule type="expression" dxfId="9554" priority="24">
      <formula>N145&gt;P145+#REF!</formula>
    </cfRule>
  </conditionalFormatting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11ED-4B9D-43A7-A5B9-32369413EE16}">
  <sheetPr codeName="Sheet7"/>
  <dimension ref="A1:AG272"/>
  <sheetViews>
    <sheetView zoomScale="70" zoomScaleNormal="70" zoomScaleSheetLayoutView="55" workbookViewId="0">
      <pane xSplit="5" ySplit="6" topLeftCell="F234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2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2.26953125" style="3" bestFit="1" customWidth="1" collapsed="1"/>
    <col min="11" max="12" width="10.54296875" style="3" customWidth="1"/>
    <col min="13" max="14" width="0.54296875" style="3" customWidth="1"/>
    <col min="15" max="17" width="10.54296875" style="3" hidden="1" customWidth="1" outlineLevel="1"/>
    <col min="18" max="18" width="0.54296875" style="3" hidden="1" customWidth="1" outlineLevel="1"/>
    <col min="19" max="19" width="10.54296875" style="3" customWidth="1" collapsed="1"/>
    <col min="20" max="21" width="10.54296875" style="3" customWidth="1"/>
    <col min="22" max="22" width="0.54296875" style="3" customWidth="1"/>
    <col min="23" max="16384" width="9.26953125" style="1"/>
  </cols>
  <sheetData>
    <row r="1" spans="2:22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4"/>
      <c r="O1" s="2"/>
      <c r="P1" s="2"/>
      <c r="Q1" s="2"/>
      <c r="R1" s="2"/>
      <c r="S1" s="2"/>
      <c r="T1" s="2"/>
      <c r="U1" s="2"/>
      <c r="V1" s="2"/>
    </row>
    <row r="2" spans="2:22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4"/>
      <c r="O2" s="2"/>
      <c r="P2" s="2"/>
      <c r="Q2" s="2"/>
      <c r="R2" s="2"/>
      <c r="S2" s="2"/>
      <c r="T2" s="2"/>
      <c r="U2" s="2"/>
      <c r="V2" s="2"/>
    </row>
    <row r="3" spans="2:22" s="10" customFormat="1" ht="40.15" customHeight="1" thickBot="1" x14ac:dyDescent="0.3">
      <c r="B3" s="206" t="e">
        <f>#REF!</f>
        <v>#REF!</v>
      </c>
      <c r="C3" s="206"/>
      <c r="D3" s="206"/>
      <c r="F3" s="207" t="s">
        <v>3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</row>
    <row r="4" spans="2:22" s="11" customFormat="1" ht="23" x14ac:dyDescent="0.25">
      <c r="E4" s="12"/>
      <c r="F4" s="205" t="s">
        <v>5</v>
      </c>
      <c r="G4" s="205"/>
      <c r="H4" s="205"/>
      <c r="I4" s="12"/>
      <c r="J4" s="30" t="s">
        <v>80</v>
      </c>
      <c r="K4" s="30"/>
      <c r="L4" s="30"/>
      <c r="M4" s="12"/>
      <c r="N4" s="12"/>
      <c r="O4" s="205" t="s">
        <v>5</v>
      </c>
      <c r="P4" s="205"/>
      <c r="Q4" s="205"/>
      <c r="R4" s="12"/>
      <c r="S4" s="30" t="s">
        <v>13</v>
      </c>
      <c r="T4" s="30"/>
      <c r="U4" s="30"/>
      <c r="V4" s="12"/>
    </row>
    <row r="6" spans="2:22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O6" s="5" t="s">
        <v>15</v>
      </c>
      <c r="P6" s="5" t="s">
        <v>16</v>
      </c>
      <c r="Q6" s="5" t="s">
        <v>17</v>
      </c>
      <c r="S6" s="5" t="s">
        <v>15</v>
      </c>
      <c r="T6" s="5" t="s">
        <v>16</v>
      </c>
      <c r="U6" s="5" t="s">
        <v>17</v>
      </c>
    </row>
    <row r="7" spans="2:22" ht="16.5" customHeight="1" x14ac:dyDescent="0.25"/>
    <row r="8" spans="2:22" ht="19.5" customHeight="1" x14ac:dyDescent="0.25">
      <c r="B8" s="202" t="s">
        <v>18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>
        <f>+[2]H7!$C$29/1000</f>
        <v>30.431104310000002</v>
      </c>
      <c r="K8" s="19">
        <f>+[2]H7!$C$30/1000</f>
        <v>33.184705250000007</v>
      </c>
      <c r="L8" s="19">
        <f>+[2]H7!$C$31/1000</f>
        <v>32.925276691596856</v>
      </c>
      <c r="M8" s="6"/>
      <c r="N8" s="6"/>
      <c r="O8" s="19">
        <v>308.77775735</v>
      </c>
      <c r="P8" s="19">
        <v>319.04885065999997</v>
      </c>
      <c r="Q8" s="19">
        <v>351.71136493159179</v>
      </c>
      <c r="R8" s="6"/>
      <c r="S8" s="19">
        <f>+[2]H7!$EA$29/1000</f>
        <v>7.6299169000000076</v>
      </c>
      <c r="T8" s="19">
        <f>+[2]H7!$EA$30/1000</f>
        <v>8.8905131600000047</v>
      </c>
      <c r="U8" s="19">
        <f>+[2]H7!$EA$31/1000</f>
        <v>8.8024636009044581</v>
      </c>
      <c r="V8" s="6"/>
    </row>
    <row r="9" spans="2:22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>
        <f>+[2]H7!$N$29/1000</f>
        <v>24.995949950000004</v>
      </c>
      <c r="K9" s="19">
        <f>+[2]H7!$N$30/1000</f>
        <v>26.207333700000003</v>
      </c>
      <c r="L9" s="19">
        <f>+[2]H7!$N$31/1000</f>
        <v>26.185134475927008</v>
      </c>
      <c r="M9" s="6"/>
      <c r="N9" s="6"/>
      <c r="O9" s="19">
        <v>291.98232567999997</v>
      </c>
      <c r="P9" s="19">
        <v>304.56705160000001</v>
      </c>
      <c r="Q9" s="19">
        <v>319.59759065403762</v>
      </c>
      <c r="R9" s="6"/>
      <c r="S9" s="19">
        <f>+[2]H7!$EL$29/1000</f>
        <v>8.6051249100000042</v>
      </c>
      <c r="T9" s="19">
        <f>+[2]H7!$EL$30/1000</f>
        <v>9.6692198100000013</v>
      </c>
      <c r="U9" s="19">
        <f>+[2]H7!$EL$31/1000</f>
        <v>8.7283781586423359</v>
      </c>
      <c r="V9" s="6"/>
    </row>
    <row r="10" spans="2:22" ht="19.5" customHeight="1" x14ac:dyDescent="0.25">
      <c r="B10" s="202"/>
      <c r="C10" s="9"/>
      <c r="D10" s="14" t="s">
        <v>82</v>
      </c>
      <c r="E10" s="6"/>
      <c r="F10" s="20" t="str">
        <f>IFERROR((F24*F23+F38*F37)/F9,"n/a")</f>
        <v>n/a</v>
      </c>
      <c r="G10" s="20" t="str">
        <f>IFERROR((G24*G23+G38*G37)/G9,"n/a")</f>
        <v>n/a</v>
      </c>
      <c r="H10" s="20" t="str">
        <f>IFERROR((H24*H23+H38*H37)/H9,"n/a")</f>
        <v>n/a</v>
      </c>
      <c r="I10" s="6"/>
      <c r="J10" s="20">
        <f>-(SUM([2]H7!$O$29,[2]H7!$R$29:$V$29,[2]H7!$Y$29:$AB$29)/1000)/J9</f>
        <v>0.71306493021387962</v>
      </c>
      <c r="K10" s="20">
        <f>-(SUM([2]H7!$O$30,[2]H7!$R$30:$V$30,[2]H7!$Y$30:$AB$30)/1000)/K9</f>
        <v>0.68987230471293615</v>
      </c>
      <c r="L10" s="20">
        <f>-(SUM([2]H7!$O$31,[2]H7!$R$31:$V$31,[2]H7!$Y$31:$AB$31)/1000)/L9</f>
        <v>0.59493389203255742</v>
      </c>
      <c r="M10" s="6"/>
      <c r="N10" s="6"/>
      <c r="O10" s="20" t="str">
        <f>IFERROR((O24*O23+O38*O37)/O9,"n/a")</f>
        <v>n/a</v>
      </c>
      <c r="P10" s="20" t="str">
        <f>IFERROR((P24*P23+P38*P37)/P9,"n/a")</f>
        <v>n/a</v>
      </c>
      <c r="Q10" s="20" t="str">
        <f>IFERROR((Q24*Q23+Q38*Q37)/Q9,"n/a")</f>
        <v>n/a</v>
      </c>
      <c r="R10" s="6"/>
      <c r="S10" s="20">
        <f>-(SUM([2]H7!$EM$29,[2]H7!$EP$29:$ET$29,[2]H7!$EW$29:$EZ$29)/1000)/S9</f>
        <v>0.83396646394815521</v>
      </c>
      <c r="T10" s="20">
        <f>-(SUM([2]H7!$EM$30,[2]H7!$EP$30:$ET$30,[2]H7!$EW$30:$EZ$30)/1000)/T9</f>
        <v>0.74068725598513718</v>
      </c>
      <c r="U10" s="20">
        <f>-(SUM([2]H7!$EM$31,[2]H7!$EP$31:$ET$31,[2]H7!$EW$31:$EZ$31)/1000)/U9</f>
        <v>0.59493389203255753</v>
      </c>
      <c r="V10" s="6"/>
    </row>
    <row r="11" spans="2:22" ht="19.5" customHeight="1" x14ac:dyDescent="0.25">
      <c r="B11" s="202"/>
      <c r="C11" s="9"/>
      <c r="D11" s="14" t="s">
        <v>83</v>
      </c>
      <c r="E11" s="6"/>
      <c r="F11" s="20">
        <f>IFERROR((F25*F23+F39*F37)/F9,"n/a")</f>
        <v>0</v>
      </c>
      <c r="G11" s="20">
        <f>IFERROR((G25*G23+G39*G37)/G9,"n/a")</f>
        <v>0</v>
      </c>
      <c r="H11" s="20">
        <f>IFERROR((H25*H23+H39*H37)/H9,"n/a")</f>
        <v>0</v>
      </c>
      <c r="I11" s="6"/>
      <c r="J11" s="20">
        <f>-(SUM([2]H7!$Q$29,[2]H7!$X$29)/1000)/J9</f>
        <v>6.4103627846863298E-2</v>
      </c>
      <c r="K11" s="20">
        <f>-(SUM([2]H7!$Q$30,[2]H7!$X$30)/1000)/K9</f>
        <v>5.7642147701580181E-2</v>
      </c>
      <c r="L11" s="20">
        <f>-(SUM([2]H7!$Q$31,[2]H7!$X$31)/1000)/L9</f>
        <v>6.4609763632885536E-2</v>
      </c>
      <c r="M11" s="6"/>
      <c r="N11" s="6"/>
      <c r="O11" s="20">
        <f>IFERROR((O25*O23+O39*O37)/O9,"n/a")</f>
        <v>0</v>
      </c>
      <c r="P11" s="20">
        <f>IFERROR((P25*P23+P39*P37)/P9,"n/a")</f>
        <v>0</v>
      </c>
      <c r="Q11" s="20">
        <f>IFERROR((Q25*Q23+Q39*Q37)/Q9,"n/a")</f>
        <v>0</v>
      </c>
      <c r="R11" s="6"/>
      <c r="S11" s="20">
        <f>-(SUM([2]H7!$EO$29,[2]H7!$EV$29)/1000)/S9</f>
        <v>6.592617921395276E-2</v>
      </c>
      <c r="T11" s="20">
        <f>-(SUM([2]H7!$EO$30,[2]H7!$EV$30)/1000)/T9</f>
        <v>4.8028357048381994E-2</v>
      </c>
      <c r="U11" s="20">
        <f>-(SUM([2]H7!$EO$31,[2]H7!$EV$31)/1000)/U9</f>
        <v>6.4609763632885536E-2</v>
      </c>
      <c r="V11" s="6"/>
    </row>
    <row r="12" spans="2:22" ht="19.5" customHeight="1" x14ac:dyDescent="0.25">
      <c r="B12" s="202"/>
      <c r="C12" s="9"/>
      <c r="D12" s="14" t="s">
        <v>84</v>
      </c>
      <c r="E12" s="6"/>
      <c r="F12" s="20" t="str">
        <f>IFERROR((F26*F23+F40*F37)/F9,"n/a")</f>
        <v>n/a</v>
      </c>
      <c r="G12" s="20" t="str">
        <f>IFERROR((G26*G23+G40*G37)/G9,"n/a")</f>
        <v>n/a</v>
      </c>
      <c r="H12" s="20" t="str">
        <f>IFERROR((H26*H23+H40*H37)/H9,"n/a")</f>
        <v>n/a</v>
      </c>
      <c r="I12" s="6"/>
      <c r="J12" s="20">
        <f>-(SUM([2]H7!$P$29,[2]H7!$W$29)/1000)/J9</f>
        <v>9.5738069758777051E-4</v>
      </c>
      <c r="K12" s="20">
        <f>-(SUM([2]H7!$P$30,[2]H7!$W$30)/1000)/K9</f>
        <v>0</v>
      </c>
      <c r="L12" s="20">
        <f>-(SUM([2]H7!$P$31,[2]H7!$W$31)/1000)/L9</f>
        <v>1.1875735649932766E-2</v>
      </c>
      <c r="M12" s="6"/>
      <c r="N12" s="6"/>
      <c r="O12" s="20" t="str">
        <f>IFERROR((O26*O23+O40*O37)/O9,"n/a")</f>
        <v>n/a</v>
      </c>
      <c r="P12" s="20" t="str">
        <f>IFERROR((P26*P23+P40*P37)/P9,"n/a")</f>
        <v>n/a</v>
      </c>
      <c r="Q12" s="20" t="str">
        <f>IFERROR((Q26*Q23+Q40*Q37)/Q9,"n/a")</f>
        <v>n/a</v>
      </c>
      <c r="R12" s="6"/>
      <c r="S12" s="20">
        <f>-(SUM([2]H7!$EN$29,[2]H7!$EU$29)/1000)/S9</f>
        <v>2.7809753199735934E-3</v>
      </c>
      <c r="T12" s="20">
        <f>-(SUM([2]H7!$EN$30,[2]H7!$EU$30)/1000)/T9</f>
        <v>0</v>
      </c>
      <c r="U12" s="20">
        <f>-(SUM([2]H7!$EN$31,[2]H7!$EU$31)/1000)/U9</f>
        <v>1.1875735649932767E-2</v>
      </c>
      <c r="V12" s="6"/>
    </row>
    <row r="13" spans="2:22" ht="19.5" hidden="1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>
        <f>+J10+J11+J12</f>
        <v>0.77812593875833069</v>
      </c>
      <c r="K13" s="20">
        <f>+K10+K11+K12</f>
        <v>0.74751445241451631</v>
      </c>
      <c r="L13" s="20">
        <f>+L10+L11+L12</f>
        <v>0.67141939131537565</v>
      </c>
      <c r="M13" s="7"/>
      <c r="N13" s="7"/>
      <c r="O13" s="20">
        <v>0.67948662172598684</v>
      </c>
      <c r="P13" s="20">
        <v>0.5750002022871471</v>
      </c>
      <c r="Q13" s="20">
        <v>0.68456678107585633</v>
      </c>
      <c r="R13" s="7"/>
      <c r="S13" s="20">
        <f>+S10+S11+S12</f>
        <v>0.9026736184820815</v>
      </c>
      <c r="T13" s="20">
        <f>+T10+T11+T12</f>
        <v>0.78871561303351923</v>
      </c>
      <c r="U13" s="20">
        <f>+U10+U11+U12</f>
        <v>0.67141939131537576</v>
      </c>
      <c r="V13" s="7"/>
    </row>
    <row r="14" spans="2:22" ht="20.149999999999999" customHeight="1" collapsed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>
        <f>-(SUM([2]H7!$AC$29:$AK$29)/1000)/J9</f>
        <v>-0.22258802090456245</v>
      </c>
      <c r="K14" s="20">
        <f>-(SUM([2]H7!$AC$30:$AK$30)/1000)/K9</f>
        <v>-7.3121346182575861E-2</v>
      </c>
      <c r="L14" s="20">
        <f>-(SUM([2]H7!$AC$31:$AK$31)/1000)/L9</f>
        <v>-7.756041592946775E-3</v>
      </c>
      <c r="M14" s="7"/>
      <c r="N14" s="7"/>
      <c r="O14" s="20">
        <v>-3.3474603975556953E-2</v>
      </c>
      <c r="P14" s="20">
        <v>8.7141373502398565E-3</v>
      </c>
      <c r="Q14" s="20">
        <v>-1.7991374679117461E-2</v>
      </c>
      <c r="R14" s="7"/>
      <c r="S14" s="20">
        <f>-(SUM([2]H7!$FA$29:$FI$29)/1000)/S9</f>
        <v>-0.72105844306680633</v>
      </c>
      <c r="T14" s="20">
        <f>-(SUM([2]H7!$FA$30:$FI$30)/1000)/T9</f>
        <v>3.4916240051849163E-3</v>
      </c>
      <c r="U14" s="20">
        <f>-(SUM([2]H7!$FA$31:$FI$31)/1000)/U9</f>
        <v>-7.7560415929466544E-3</v>
      </c>
      <c r="V14" s="7"/>
    </row>
    <row r="15" spans="2:22" ht="20.149999999999999" hidden="1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>
        <f>-(SUM([2]H7!$AL$29:$AN$29)/1000)/J9</f>
        <v>0.15354405684429698</v>
      </c>
      <c r="K15" s="20">
        <f>-(SUM([2]H7!$AL$30:$AN$30)/1000)/K9</f>
        <v>0.15430552402971073</v>
      </c>
      <c r="L15" s="20">
        <f>-(SUM([2]H7!$AL$31:$AN$31)/1000)/L9</f>
        <v>0.15884840180146415</v>
      </c>
      <c r="M15" s="7"/>
      <c r="N15" s="7"/>
      <c r="O15" s="20">
        <v>0.10971062914646212</v>
      </c>
      <c r="P15" s="20">
        <v>0.10711780380908412</v>
      </c>
      <c r="Q15" s="20">
        <v>0.10908321960910883</v>
      </c>
      <c r="R15" s="7"/>
      <c r="S15" s="20">
        <f>-(SUM([2]H7!$FJ$29:$FL$29)/1000)/S9</f>
        <v>0.15035802774883811</v>
      </c>
      <c r="T15" s="20">
        <f>-(SUM([2]H7!$FJ$30:$FL$30)/1000)/T9</f>
        <v>0.15131665829820445</v>
      </c>
      <c r="U15" s="20">
        <f>-(SUM([2]H7!$FJ$31:$FL$31)/1000)/U9</f>
        <v>0.15884840180146409</v>
      </c>
      <c r="V15" s="7"/>
    </row>
    <row r="16" spans="2:22" ht="20.149999999999999" hidden="1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>
        <f>-(SUM([2]H7!$AO$29:$AR$29)/1000)/J9</f>
        <v>0.18218977710827106</v>
      </c>
      <c r="K16" s="20">
        <f>-(SUM([2]H7!$AO$30:$AR$30)/1000)/K9</f>
        <v>0.1583541422987261</v>
      </c>
      <c r="L16" s="20">
        <f>-(SUM([2]H7!$AO$31:$AR$31)/1000)/L9</f>
        <v>0.17750715344930568</v>
      </c>
      <c r="M16" s="7"/>
      <c r="N16" s="7"/>
      <c r="O16" s="20">
        <v>0.14013215918021796</v>
      </c>
      <c r="P16" s="20">
        <v>0.13455948276317095</v>
      </c>
      <c r="Q16" s="20">
        <v>0.12388498551332087</v>
      </c>
      <c r="R16" s="7"/>
      <c r="S16" s="20">
        <f>-(SUM([2]H7!$FM$29:$FP$29)/1000)/S9</f>
        <v>0.17574686199412753</v>
      </c>
      <c r="T16" s="20">
        <f>-(SUM([2]H7!$FM$30:$FP$30)/1000)/T9</f>
        <v>0.14794342750596748</v>
      </c>
      <c r="U16" s="20">
        <f>-(SUM([2]H7!$FM$31:$FP$31)/1000)/U9</f>
        <v>0.17750715344930565</v>
      </c>
      <c r="V16" s="7"/>
    </row>
    <row r="17" spans="2:22" ht="20.149999999999999" customHeight="1" collapsed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>
        <f>+J15+J16</f>
        <v>0.33573383395256806</v>
      </c>
      <c r="K17" s="20">
        <f>+K15+K16</f>
        <v>0.31265966632843684</v>
      </c>
      <c r="L17" s="20">
        <f>+L15+L16</f>
        <v>0.33635555525076982</v>
      </c>
      <c r="M17" s="7"/>
      <c r="N17" s="7"/>
      <c r="O17" s="20">
        <v>0.24984278832668008</v>
      </c>
      <c r="P17" s="20">
        <v>0.24167728657225507</v>
      </c>
      <c r="Q17" s="20">
        <v>0.23296820512242974</v>
      </c>
      <c r="R17" s="7"/>
      <c r="S17" s="20">
        <f>+S15+S16</f>
        <v>0.32610488974296564</v>
      </c>
      <c r="T17" s="20">
        <f>+T15+T16</f>
        <v>0.29926008580417196</v>
      </c>
      <c r="U17" s="20">
        <f>+U15+U16</f>
        <v>0.33635555525076977</v>
      </c>
      <c r="V17" s="7"/>
    </row>
    <row r="18" spans="2:22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>
        <f>-(SUM([2]H7!$AT$29:$BJ$29)/1000/J9)</f>
        <v>0.1181010566073728</v>
      </c>
      <c r="K18" s="20">
        <f>-(SUM([2]H7!$AT$30:$BJ$30)/1000/K9)</f>
        <v>4.9171466077069202E-2</v>
      </c>
      <c r="L18" s="20">
        <f>-(SUM([2]H7!$AT$31:$BJ$31)/1000/L9)</f>
        <v>6.2465484697139938E-2</v>
      </c>
      <c r="M18" s="7"/>
      <c r="N18" s="7"/>
      <c r="O18" s="20"/>
      <c r="P18" s="20"/>
      <c r="Q18" s="20"/>
      <c r="R18" s="7"/>
      <c r="S18" s="20">
        <f>-(SUM([2]H7!$FR$29:$GH$29)/1000/S9)</f>
        <v>0.30668519488114987</v>
      </c>
      <c r="T18" s="20">
        <f>-(SUM([2]H7!$FR$30:$GH$30)/1000/T9)</f>
        <v>5.6031141151603049E-2</v>
      </c>
      <c r="U18" s="20">
        <f>-(SUM([2]H7!$FR$31:$GH$31)/1000/U9)</f>
        <v>6.2465484697139952E-2</v>
      </c>
      <c r="V18" s="7"/>
    </row>
    <row r="19" spans="2:22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>
        <f>+J13+J14+J17+J18</f>
        <v>1.0093728084137092</v>
      </c>
      <c r="K19" s="20">
        <f>+K13+K14+K17+K18</f>
        <v>1.0362242386374465</v>
      </c>
      <c r="L19" s="20">
        <f>+L13+L14+L17+L18</f>
        <v>1.0624843896703386</v>
      </c>
      <c r="M19" s="8"/>
      <c r="N19" s="8"/>
      <c r="O19" s="20">
        <v>0.89585480607710977</v>
      </c>
      <c r="P19" s="20">
        <v>0.8253916262096419</v>
      </c>
      <c r="Q19" s="20">
        <v>0.8995436115191684</v>
      </c>
      <c r="R19" s="8"/>
      <c r="S19" s="20">
        <f>+S13+S14+S17+S18</f>
        <v>0.81440526003939062</v>
      </c>
      <c r="T19" s="20">
        <f>+T13+T14+T17+T18</f>
        <v>1.1474984639944792</v>
      </c>
      <c r="U19" s="20">
        <f>+U13+U14+U17+U18</f>
        <v>1.0624843896703389</v>
      </c>
      <c r="V19" s="8"/>
    </row>
    <row r="20" spans="2:22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>
        <f>+[2]H7!$BK$29/1000</f>
        <v>-0.23428225000001096</v>
      </c>
      <c r="K20" s="19">
        <f>+[2]H7!$BK$30/1000</f>
        <v>-0.94934070999998565</v>
      </c>
      <c r="L20" s="19">
        <f>+[2]H7!$BK$31/1000</f>
        <v>-1.6361621461640434</v>
      </c>
      <c r="M20" s="6"/>
      <c r="N20" s="6"/>
      <c r="O20" s="19">
        <v>30.408555930000066</v>
      </c>
      <c r="P20" s="19">
        <v>53.179957590000015</v>
      </c>
      <c r="Q20" s="19">
        <v>32.105619724279762</v>
      </c>
      <c r="R20" s="6"/>
      <c r="S20" s="19">
        <f>+[2]H7!$GI$29/1000</f>
        <v>1.5970659200000106</v>
      </c>
      <c r="T20" s="19">
        <f>+[2]H7!$GI$30/1000</f>
        <v>-1.4261950699999912</v>
      </c>
      <c r="U20" s="19">
        <f>+[2]H7!$GI$31/1000</f>
        <v>-0.54538738205468273</v>
      </c>
      <c r="V20" s="6"/>
    </row>
    <row r="21" spans="2:22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2:22" ht="19.5" hidden="1" customHeight="1" outlineLevel="1" x14ac:dyDescent="0.25">
      <c r="B22" s="202" t="s">
        <v>91</v>
      </c>
      <c r="C22" s="9"/>
      <c r="D22" s="14" t="s">
        <v>19</v>
      </c>
      <c r="E22" s="6"/>
      <c r="F22" s="19">
        <v>174.58809877999997</v>
      </c>
      <c r="G22" s="19">
        <v>185.33950579999998</v>
      </c>
      <c r="H22" s="19">
        <v>204.63270105388938</v>
      </c>
      <c r="I22" s="6"/>
      <c r="J22" s="19">
        <f>+[2]H7!$C$21/1000</f>
        <v>16.294070280000007</v>
      </c>
      <c r="K22" s="19">
        <f>+[2]H7!$C$22/1000</f>
        <v>17.593410429999999</v>
      </c>
      <c r="L22" s="19">
        <f>+[2]H7!$C$23/1000</f>
        <v>17.898638255777367</v>
      </c>
      <c r="M22" s="6"/>
      <c r="N22" s="6"/>
      <c r="O22" s="19">
        <v>174.58809877999997</v>
      </c>
      <c r="P22" s="19">
        <v>185.33950579999998</v>
      </c>
      <c r="Q22" s="19">
        <v>204.63270105388938</v>
      </c>
      <c r="R22" s="6"/>
      <c r="S22" s="19">
        <f>+[2]H7!$EA$21/1000</f>
        <v>4.1603736500000048</v>
      </c>
      <c r="T22" s="19">
        <f>+[2]H7!$EA$22/1000</f>
        <v>4.7043684400000023</v>
      </c>
      <c r="U22" s="19">
        <f>+[2]H7!$EA$23/1000</f>
        <v>4.9589853576313256</v>
      </c>
      <c r="V22" s="6"/>
    </row>
    <row r="23" spans="2:22" ht="20.149999999999999" hidden="1" customHeight="1" outlineLevel="1" x14ac:dyDescent="0.25">
      <c r="B23" s="202"/>
      <c r="C23" s="9"/>
      <c r="D23" s="14" t="s">
        <v>20</v>
      </c>
      <c r="E23" s="6"/>
      <c r="F23" s="19">
        <v>160.90258041999999</v>
      </c>
      <c r="G23" s="19">
        <v>173.06633202</v>
      </c>
      <c r="H23" s="19">
        <v>181.1039563404037</v>
      </c>
      <c r="I23" s="6"/>
      <c r="J23" s="19">
        <f>+[2]H7!$N$21/1000</f>
        <v>13.73472721000001</v>
      </c>
      <c r="K23" s="19">
        <f>+[2]H7!$N$22/1000</f>
        <v>14.344922869999998</v>
      </c>
      <c r="L23" s="19">
        <f>+[2]H7!$N$23/1000</f>
        <v>14.520999154972348</v>
      </c>
      <c r="M23" s="6"/>
      <c r="N23" s="6"/>
      <c r="O23" s="19">
        <v>160.90258041999999</v>
      </c>
      <c r="P23" s="19">
        <v>173.06633202</v>
      </c>
      <c r="Q23" s="19">
        <v>181.1039563404037</v>
      </c>
      <c r="R23" s="6"/>
      <c r="S23" s="19">
        <f>+[2]H7!$EL$21/1000</f>
        <v>4.6454282600000063</v>
      </c>
      <c r="T23" s="19">
        <f>+[2]H7!$EL$22/1000</f>
        <v>5.1642586200000045</v>
      </c>
      <c r="U23" s="19">
        <f>+[2]H7!$EL$23/1000</f>
        <v>4.8403330516574474</v>
      </c>
      <c r="V23" s="6"/>
    </row>
    <row r="24" spans="2:22" ht="19.5" hidden="1" customHeight="1" outlineLevel="1" x14ac:dyDescent="0.25">
      <c r="B24" s="202"/>
      <c r="C24" s="9"/>
      <c r="D24" s="14" t="s">
        <v>92</v>
      </c>
      <c r="E24" s="6"/>
      <c r="F24" s="20">
        <f>F27-F25-F26</f>
        <v>0.84420093000022511</v>
      </c>
      <c r="G24" s="20">
        <f>G27-G25-G26</f>
        <v>0.70110498335388471</v>
      </c>
      <c r="H24" s="20">
        <f>H27-H25-H26</f>
        <v>0.78019367284740149</v>
      </c>
      <c r="I24" s="6"/>
      <c r="J24" s="20">
        <f>-(SUM([2]H7!$O$21,[2]H7!$R$21:$V$21,[2]H7!$Y$21:$AB$21)/1000)/J23</f>
        <v>0.73099726213829708</v>
      </c>
      <c r="K24" s="20">
        <f>-(SUM([2]H7!$O$22,[2]H7!$R$22:$V$22,[2]H7!$Y$22:$AB$22)/1000)/K23</f>
        <v>0.63678516662529816</v>
      </c>
      <c r="L24" s="20">
        <f>-(SUM([2]H7!$O$23,[2]H7!$R$23:$V$23,[2]H7!$Y$23:$AB$23)/1000)/L23</f>
        <v>0.54448434366220855</v>
      </c>
      <c r="M24" s="6"/>
      <c r="N24" s="6"/>
      <c r="O24" s="20">
        <f>O27-O25-O26</f>
        <v>0.84420093000022511</v>
      </c>
      <c r="P24" s="20">
        <f>P27-P25-P26</f>
        <v>0.70110498335388471</v>
      </c>
      <c r="Q24" s="20">
        <f>Q27-Q25-Q26</f>
        <v>0.78019367284740149</v>
      </c>
      <c r="R24" s="6"/>
      <c r="S24" s="20">
        <f>-(SUM([2]H7!$EM$21,[2]H7!$EP$21:$ET$21,[2]H7!$EW$21:$EZ$21)/1000)/S23</f>
        <v>0.95584543867757077</v>
      </c>
      <c r="T24" s="20">
        <f>-(SUM([2]H7!$EM$22,[2]H7!$EP$22:$ET$22,[2]H7!$EW$22:$EZ$22)/1000)/T23</f>
        <v>0.65533534000007676</v>
      </c>
      <c r="U24" s="20">
        <f>-(SUM([2]H7!$EM$23,[2]H7!$EP$23:$ET$23,[2]H7!$EW$23:$EZ$23)/1000)/U23</f>
        <v>0.54448434366220888</v>
      </c>
      <c r="V24" s="6"/>
    </row>
    <row r="25" spans="2:22" ht="19.5" hidden="1" customHeight="1" outlineLevel="1" x14ac:dyDescent="0.25">
      <c r="B25" s="202"/>
      <c r="C25" s="9"/>
      <c r="D25" s="14" t="s">
        <v>93</v>
      </c>
      <c r="E25" s="6"/>
      <c r="F25" s="20">
        <f>IFERROR(SUM(INDEX(LL_TOT_BR_YTD,2,Month),INDEX(LL_IBNR_TOT_BR_YTD,2,Month))/F23,0)</f>
        <v>0</v>
      </c>
      <c r="G25" s="20">
        <f>IFERROR(SUM(INDEX(LL_TOT_BR_YTD_PREV,2,Month),INDEX(LL_IBNR_TOT_BR_YTD_PREV,2,Month))/G23,0)</f>
        <v>0</v>
      </c>
      <c r="H25" s="20">
        <f>IFERROR(SUM(INDEX(LL_TOT_BR_YTD_PLAN,2,Month),INDEX(LL_IBNR_TOT_BR_YTD_PLAN,2,Month))/H23,0)</f>
        <v>0</v>
      </c>
      <c r="I25" s="6"/>
      <c r="J25" s="20">
        <f>-(SUM([2]H7!$Q$21,[2]H7!$X$21)/1000)/J23</f>
        <v>0.1166627519261535</v>
      </c>
      <c r="K25" s="20">
        <f>-(SUM([2]H7!$Q$22,[2]H7!$X$22)/1000)/K23</f>
        <v>0.10530882694108207</v>
      </c>
      <c r="L25" s="20">
        <f>-(SUM([2]H7!$Q$23,[2]H7!$X$23)/1000)/L23</f>
        <v>0.11650819142191375</v>
      </c>
      <c r="M25" s="6"/>
      <c r="N25" s="6"/>
      <c r="O25" s="20">
        <f>IFERROR(SUM(INDEX(LL_TOT_BR_YTD,2,Month),INDEX(LL_IBNR_TOT_BR_YTD,2,Month))/O23,0)</f>
        <v>0</v>
      </c>
      <c r="P25" s="20">
        <f>IFERROR(SUM(INDEX(LL_TOT_BR_YTD_PREV,2,Month),INDEX(LL_IBNR_TOT_BR_YTD_PREV,2,Month))/P23,0)</f>
        <v>0</v>
      </c>
      <c r="Q25" s="20">
        <f>IFERROR(SUM(INDEX(LL_TOT_BR_YTD_PLAN,2,Month),INDEX(LL_IBNR_TOT_BR_YTD_PLAN,2,Month))/Q23,0)</f>
        <v>0</v>
      </c>
      <c r="R25" s="6"/>
      <c r="S25" s="20">
        <f>-(SUM([2]H7!$EO$21,[2]H7!$EV$21)/1000)/S23</f>
        <v>0.12212071206866697</v>
      </c>
      <c r="T25" s="20">
        <f>-(SUM([2]H7!$EO$22,[2]H7!$EV$22)/1000)/T23</f>
        <v>8.9925152008357004E-2</v>
      </c>
      <c r="U25" s="20">
        <f>-(SUM([2]H7!$EO$23,[2]H7!$EV$23)/1000)/U23</f>
        <v>0.11650819142191378</v>
      </c>
      <c r="V25" s="6"/>
    </row>
    <row r="26" spans="2:22" ht="19.5" hidden="1" customHeight="1" outlineLevel="1" x14ac:dyDescent="0.25">
      <c r="B26" s="202"/>
      <c r="C26" s="9"/>
      <c r="D26" s="14" t="s">
        <v>94</v>
      </c>
      <c r="E26" s="6"/>
      <c r="F26" s="20">
        <f>0</f>
        <v>0</v>
      </c>
      <c r="G26" s="20">
        <f>0</f>
        <v>0</v>
      </c>
      <c r="H26" s="20">
        <f>0</f>
        <v>0</v>
      </c>
      <c r="I26" s="6"/>
      <c r="J26" s="20">
        <f>-(SUM([2]H7!$P$21,[2]H7!$W$21)/1000)/J23</f>
        <v>0</v>
      </c>
      <c r="K26" s="20">
        <f>-(SUM([2]H7!$P$22,[2]H7!$W$22)/1000)/K23</f>
        <v>0</v>
      </c>
      <c r="L26" s="20">
        <f>-(SUM([2]H7!$P$23,[2]H7!$W$23)/1000)/L23</f>
        <v>0</v>
      </c>
      <c r="M26" s="6"/>
      <c r="N26" s="6"/>
      <c r="O26" s="20">
        <f>0</f>
        <v>0</v>
      </c>
      <c r="P26" s="20">
        <f>0</f>
        <v>0</v>
      </c>
      <c r="Q26" s="20">
        <f>0</f>
        <v>0</v>
      </c>
      <c r="R26" s="6"/>
      <c r="S26" s="20">
        <f>-(SUM([2]H7!$EN$21,[2]H7!$EU$21)/1000)/S23</f>
        <v>0</v>
      </c>
      <c r="T26" s="20">
        <f>-(SUM([2]H7!$EN$22,[2]H7!$EU$22)/1000)/T23</f>
        <v>0</v>
      </c>
      <c r="U26" s="20">
        <f>-(SUM([2]H7!$EN$23,[2]H7!$EU$23)/1000)/U23</f>
        <v>0</v>
      </c>
      <c r="V26" s="6"/>
    </row>
    <row r="27" spans="2:22" ht="19.5" hidden="1" customHeight="1" outlineLevel="2" x14ac:dyDescent="0.25">
      <c r="B27" s="202"/>
      <c r="C27" s="9"/>
      <c r="D27" s="14" t="s">
        <v>95</v>
      </c>
      <c r="E27" s="7"/>
      <c r="F27" s="20">
        <v>0.84420093000022511</v>
      </c>
      <c r="G27" s="20">
        <v>0.70110498335388471</v>
      </c>
      <c r="H27" s="20">
        <v>0.78019367284740149</v>
      </c>
      <c r="I27" s="7"/>
      <c r="J27" s="20">
        <f>+J24+J25+J26</f>
        <v>0.84766001406445057</v>
      </c>
      <c r="K27" s="20">
        <f>+K24+K25+K26</f>
        <v>0.74209399356638017</v>
      </c>
      <c r="L27" s="20">
        <f>+L24+L25+L26</f>
        <v>0.66099253508412226</v>
      </c>
      <c r="M27" s="7"/>
      <c r="N27" s="7"/>
      <c r="O27" s="20">
        <v>0.84420093000022511</v>
      </c>
      <c r="P27" s="20">
        <v>0.70110498335388471</v>
      </c>
      <c r="Q27" s="20">
        <v>0.78019367284740149</v>
      </c>
      <c r="R27" s="7"/>
      <c r="S27" s="20">
        <f>+S24+S25+S26</f>
        <v>1.0779661507462377</v>
      </c>
      <c r="T27" s="20">
        <f>+T24+T25+T26</f>
        <v>0.74526049200843381</v>
      </c>
      <c r="U27" s="20">
        <f>+U24+U25+U26</f>
        <v>0.6609925350841227</v>
      </c>
      <c r="V27" s="7"/>
    </row>
    <row r="28" spans="2:22" ht="20.149999999999999" hidden="1" customHeight="1" outlineLevel="1" x14ac:dyDescent="0.25">
      <c r="B28" s="202"/>
      <c r="C28" s="9"/>
      <c r="D28" s="14" t="s">
        <v>96</v>
      </c>
      <c r="E28" s="7"/>
      <c r="F28" s="20">
        <v>-5.5435126252899945E-2</v>
      </c>
      <c r="G28" s="20">
        <v>7.5310574551806638E-3</v>
      </c>
      <c r="H28" s="20">
        <v>-2.1166480350811253E-2</v>
      </c>
      <c r="I28" s="7"/>
      <c r="J28" s="20">
        <f>-(SUM([2]H7!$AC$21:$AK$21)/1000)/J23</f>
        <v>-0.35894670091521902</v>
      </c>
      <c r="K28" s="20">
        <f>-(SUM([2]H7!$AC$22:$AK$22)/1000)/K23</f>
        <v>-8.799384642491255E-2</v>
      </c>
      <c r="L28" s="20">
        <f>-(SUM([2]H7!$AC$23:$AK$23)/1000)/L23</f>
        <v>-1.1149509428378784E-2</v>
      </c>
      <c r="M28" s="7"/>
      <c r="N28" s="7"/>
      <c r="O28" s="20">
        <v>-5.5435126252899945E-2</v>
      </c>
      <c r="P28" s="20">
        <v>7.5310574551806638E-3</v>
      </c>
      <c r="Q28" s="20">
        <v>-2.1166480350811253E-2</v>
      </c>
      <c r="R28" s="7"/>
      <c r="S28" s="20">
        <f>-(SUM([2]H7!$FA$21:$FI$21)/1000)/S23</f>
        <v>-1.3024148692805315</v>
      </c>
      <c r="T28" s="20">
        <f>-(SUM([2]H7!$FA$22:$FI$22)/1000)/T23</f>
        <v>1.2608102109350505E-3</v>
      </c>
      <c r="U28" s="20">
        <f>-(SUM([2]H7!$FA$23:$FI$23)/1000)/U23</f>
        <v>-1.114950942837876E-2</v>
      </c>
      <c r="V28" s="7"/>
    </row>
    <row r="29" spans="2:22" ht="19.5" hidden="1" customHeight="1" outlineLevel="2" x14ac:dyDescent="0.25">
      <c r="B29" s="202"/>
      <c r="C29" s="9"/>
      <c r="D29" s="15" t="s">
        <v>87</v>
      </c>
      <c r="E29" s="7"/>
      <c r="F29" s="20">
        <v>8.2992445149998054E-2</v>
      </c>
      <c r="G29" s="20">
        <v>8.0171038110385201E-2</v>
      </c>
      <c r="H29" s="20">
        <v>8.2820650937018431E-2</v>
      </c>
      <c r="I29" s="7"/>
      <c r="J29" s="20">
        <f>-(SUM([2]H7!$AL$21:$AN$21)/1000)/J23</f>
        <v>0.13748040795635133</v>
      </c>
      <c r="K29" s="20">
        <f>-(SUM([2]H7!$AL$22:$AN$22)/1000)/K23</f>
        <v>0.14014850677269625</v>
      </c>
      <c r="L29" s="20">
        <f>-(SUM([2]H7!$AL$23:$AN$23)/1000)/L23</f>
        <v>0.14704263841916582</v>
      </c>
      <c r="M29" s="7"/>
      <c r="N29" s="7"/>
      <c r="O29" s="20">
        <v>8.2992445149998054E-2</v>
      </c>
      <c r="P29" s="20">
        <v>8.0171038110385201E-2</v>
      </c>
      <c r="Q29" s="20">
        <v>8.2820650937018431E-2</v>
      </c>
      <c r="R29" s="7"/>
      <c r="S29" s="20">
        <f>-(SUM([2]H7!$FJ$21:$FL$21)/1000)/S23</f>
        <v>0.13655488245555189</v>
      </c>
      <c r="T29" s="20">
        <f>-(SUM([2]H7!$FJ$22:$FL$22)/1000)/T23</f>
        <v>0.14063420007420138</v>
      </c>
      <c r="U29" s="20">
        <f>-(SUM([2]H7!$FJ$23:$FL$23)/1000)/U23</f>
        <v>0.14704263841916587</v>
      </c>
      <c r="V29" s="7"/>
    </row>
    <row r="30" spans="2:22" ht="20.149999999999999" hidden="1" customHeight="1" outlineLevel="2" x14ac:dyDescent="0.25">
      <c r="B30" s="202"/>
      <c r="C30" s="9"/>
      <c r="D30" s="15" t="s">
        <v>88</v>
      </c>
      <c r="E30" s="7"/>
      <c r="F30" s="20">
        <v>0.12293509736367968</v>
      </c>
      <c r="G30" s="20">
        <v>0.12278302216253326</v>
      </c>
      <c r="H30" s="20">
        <v>0.10688355881031411</v>
      </c>
      <c r="I30" s="7"/>
      <c r="J30" s="20">
        <f>-(SUM([2]H7!$AO$21:$AR$21)/1000)/J23</f>
        <v>0.17740447063454989</v>
      </c>
      <c r="K30" s="20">
        <f>-(SUM([2]H7!$AO$22:$AR$22)/1000)/K23</f>
        <v>0.15938387823482247</v>
      </c>
      <c r="L30" s="20">
        <f>-(SUM([2]H7!$AO$23:$AR$23)/1000)/L23</f>
        <v>0.17169522817619362</v>
      </c>
      <c r="M30" s="7"/>
      <c r="N30" s="7"/>
      <c r="O30" s="20">
        <v>0.12293509736367968</v>
      </c>
      <c r="P30" s="20">
        <v>0.12278302216253326</v>
      </c>
      <c r="Q30" s="20">
        <v>0.10688355881031411</v>
      </c>
      <c r="R30" s="7"/>
      <c r="S30" s="20">
        <f>-(SUM([2]H7!$FM$21:$FP$21)/1000)/S23</f>
        <v>0.17489638081290673</v>
      </c>
      <c r="T30" s="20">
        <f>-(SUM([2]H7!$FM$22:$FP$22)/1000)/T23</f>
        <v>0.152688183923678</v>
      </c>
      <c r="U30" s="20">
        <f>-(SUM([2]H7!$FM$23:$FP$23)/1000)/U23</f>
        <v>0.17169522817619368</v>
      </c>
      <c r="V30" s="7"/>
    </row>
    <row r="31" spans="2:22" ht="20.149999999999999" hidden="1" customHeight="1" outlineLevel="1" x14ac:dyDescent="0.25">
      <c r="B31" s="202"/>
      <c r="C31" s="9"/>
      <c r="D31" s="14" t="s">
        <v>97</v>
      </c>
      <c r="E31" s="7"/>
      <c r="F31" s="20">
        <v>0.20592754251367776</v>
      </c>
      <c r="G31" s="20">
        <v>0.20295406027291846</v>
      </c>
      <c r="H31" s="20">
        <v>0.18970420974733251</v>
      </c>
      <c r="I31" s="7"/>
      <c r="J31" s="20">
        <f>+J29+J30</f>
        <v>0.3148848785909012</v>
      </c>
      <c r="K31" s="20">
        <f>+K29+K30</f>
        <v>0.29953238500751872</v>
      </c>
      <c r="L31" s="20">
        <f>+L29+L30</f>
        <v>0.31873786659535941</v>
      </c>
      <c r="M31" s="7"/>
      <c r="N31" s="7"/>
      <c r="O31" s="20">
        <v>0.20592754251367776</v>
      </c>
      <c r="P31" s="20">
        <v>0.20295406027291846</v>
      </c>
      <c r="Q31" s="20">
        <v>0.18970420974733251</v>
      </c>
      <c r="R31" s="7"/>
      <c r="S31" s="20">
        <f>+S29+S30</f>
        <v>0.31145126326845862</v>
      </c>
      <c r="T31" s="20">
        <f>+T29+T30</f>
        <v>0.29332238399787935</v>
      </c>
      <c r="U31" s="20">
        <f>+U29+U30</f>
        <v>0.31873786659535952</v>
      </c>
      <c r="V31" s="7"/>
    </row>
    <row r="32" spans="2:22" ht="20.149999999999999" hidden="1" customHeight="1" outlineLevel="1" x14ac:dyDescent="0.25">
      <c r="B32" s="202"/>
      <c r="C32" s="9"/>
      <c r="D32" s="14" t="s">
        <v>90</v>
      </c>
      <c r="E32" s="7"/>
      <c r="F32" s="20"/>
      <c r="G32" s="20"/>
      <c r="H32" s="20"/>
      <c r="I32" s="7"/>
      <c r="J32" s="20">
        <f>-(SUM([2]H7!$AT$21:$BJ$21)/1000/J23)</f>
        <v>0.20889848019049265</v>
      </c>
      <c r="K32" s="20">
        <f>-(SUM([2]H7!$AT$22:$BJ$22)/1000/K23)</f>
        <v>8.0537192180802755E-2</v>
      </c>
      <c r="L32" s="20">
        <f>-(SUM([2]H7!$AT$23:$BJ$23)/1000/L23)</f>
        <v>9.6791671997856821E-2</v>
      </c>
      <c r="M32" s="7"/>
      <c r="N32" s="7"/>
      <c r="O32" s="20"/>
      <c r="P32" s="20"/>
      <c r="Q32" s="20"/>
      <c r="R32" s="7"/>
      <c r="S32" s="20">
        <f>-(SUM([2]H7!$FR$21:$GH$21)/1000/S23)</f>
        <v>0.55841474990294748</v>
      </c>
      <c r="T32" s="20">
        <f>-(SUM([2]H7!$FR$22:$GH$22)/1000/T23)</f>
        <v>9.5234233253792031E-2</v>
      </c>
      <c r="U32" s="20">
        <f>-(SUM([2]H7!$FR$23:$GH$23)/1000/U23)</f>
        <v>9.6791671997856862E-2</v>
      </c>
      <c r="V32" s="7"/>
    </row>
    <row r="33" spans="2:22" ht="20.149999999999999" hidden="1" customHeight="1" outlineLevel="1" x14ac:dyDescent="0.25">
      <c r="B33" s="202"/>
      <c r="C33" s="9"/>
      <c r="D33" s="14" t="s">
        <v>79</v>
      </c>
      <c r="E33" s="8"/>
      <c r="F33" s="20">
        <v>0.99469334626100292</v>
      </c>
      <c r="G33" s="20">
        <v>0.91159010108198379</v>
      </c>
      <c r="H33" s="20">
        <v>0.94873140224392272</v>
      </c>
      <c r="I33" s="8"/>
      <c r="J33" s="20">
        <f>+J27+J28+J31+J32</f>
        <v>1.0124966719306254</v>
      </c>
      <c r="K33" s="20">
        <f>+K27+K28+K31+K32</f>
        <v>1.0341697243297889</v>
      </c>
      <c r="L33" s="20">
        <f>+L27+L28+L31+L32</f>
        <v>1.0653725642489598</v>
      </c>
      <c r="M33" s="8"/>
      <c r="N33" s="8"/>
      <c r="O33" s="20">
        <v>0.99469334626100292</v>
      </c>
      <c r="P33" s="20">
        <v>0.91159010108198379</v>
      </c>
      <c r="Q33" s="20">
        <v>0.94873140224392272</v>
      </c>
      <c r="R33" s="8"/>
      <c r="S33" s="20">
        <f>+S27+S28+S31+S32</f>
        <v>0.64541729463711228</v>
      </c>
      <c r="T33" s="20">
        <f>+T27+T28+T31+T32</f>
        <v>1.1350779194710403</v>
      </c>
      <c r="U33" s="20">
        <f>+U27+U28+U31+U32</f>
        <v>1.0653725642489602</v>
      </c>
      <c r="V33" s="8"/>
    </row>
    <row r="34" spans="2:22" ht="19.5" hidden="1" customHeight="1" outlineLevel="1" x14ac:dyDescent="0.25">
      <c r="B34" s="202"/>
      <c r="C34" s="9"/>
      <c r="D34" s="14" t="s">
        <v>34</v>
      </c>
      <c r="E34" s="6"/>
      <c r="F34" s="19">
        <v>0.85385428000004637</v>
      </c>
      <c r="G34" s="19">
        <v>15.300776920000013</v>
      </c>
      <c r="H34" s="19">
        <v>9.284945889650345</v>
      </c>
      <c r="I34" s="6"/>
      <c r="J34" s="19">
        <f>+[2]H7!$BK$21/1000</f>
        <v>-0.1716383800000022</v>
      </c>
      <c r="K34" s="19">
        <f>+[2]H7!$BK$22/1000</f>
        <v>-0.4901620599999883</v>
      </c>
      <c r="L34" s="19">
        <f>+[2]H7!$BK$23/1000</f>
        <v>-0.94927495021752228</v>
      </c>
      <c r="M34" s="6"/>
      <c r="N34" s="6"/>
      <c r="O34" s="19">
        <v>0.85385428000004637</v>
      </c>
      <c r="P34" s="19">
        <v>15.300776920000013</v>
      </c>
      <c r="Q34" s="19">
        <v>9.284945889650345</v>
      </c>
      <c r="R34" s="6"/>
      <c r="S34" s="19">
        <f>+[2]H7!$GI$21/1000</f>
        <v>1.647188520000012</v>
      </c>
      <c r="T34" s="19">
        <f>+[2]H7!$GI$22/1000</f>
        <v>-0.69757730999998613</v>
      </c>
      <c r="U34" s="19">
        <f>+[2]H7!$GI$23/1000</f>
        <v>-0.31642498340584263</v>
      </c>
      <c r="V34" s="6"/>
    </row>
    <row r="35" spans="2:22" ht="7.5" hidden="1" customHeight="1" outlineLevel="2" x14ac:dyDescent="0.25"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2:22" ht="19.5" hidden="1" customHeight="1" outlineLevel="1" x14ac:dyDescent="0.25">
      <c r="B36" s="202" t="s">
        <v>98</v>
      </c>
      <c r="C36" s="9"/>
      <c r="D36" s="14" t="s">
        <v>19</v>
      </c>
      <c r="E36" s="6"/>
      <c r="F36" s="19">
        <v>134.18965857000001</v>
      </c>
      <c r="G36" s="19">
        <v>133.70934485999999</v>
      </c>
      <c r="H36" s="19">
        <v>147.07866387770241</v>
      </c>
      <c r="I36" s="6"/>
      <c r="J36" s="19">
        <f>+[2]H7!$C$25/1000</f>
        <v>14.137034029999995</v>
      </c>
      <c r="K36" s="19">
        <f>+[2]H7!$C$26/1000</f>
        <v>15.591294820000007</v>
      </c>
      <c r="L36" s="19">
        <f>+[2]H7!$C$27/1000</f>
        <v>15.02663843581948</v>
      </c>
      <c r="M36" s="6"/>
      <c r="N36" s="6"/>
      <c r="O36" s="19">
        <v>134.18965857000001</v>
      </c>
      <c r="P36" s="19">
        <v>133.70934485999999</v>
      </c>
      <c r="Q36" s="19">
        <v>147.07866387770241</v>
      </c>
      <c r="R36" s="6"/>
      <c r="S36" s="19">
        <f>+[2]H7!$EA$25/1000</f>
        <v>3.4695432500000023</v>
      </c>
      <c r="T36" s="19">
        <f>+[2]H7!$EA$26/1000</f>
        <v>4.1861447200000024</v>
      </c>
      <c r="U36" s="19">
        <f>+[2]H7!$EA$27/1000</f>
        <v>3.8434782432731334</v>
      </c>
      <c r="V36" s="6"/>
    </row>
    <row r="37" spans="2:22" ht="20.149999999999999" hidden="1" customHeight="1" outlineLevel="1" x14ac:dyDescent="0.25">
      <c r="B37" s="202"/>
      <c r="C37" s="9"/>
      <c r="D37" s="14" t="s">
        <v>20</v>
      </c>
      <c r="E37" s="6"/>
      <c r="F37" s="19">
        <v>131.07974526000004</v>
      </c>
      <c r="G37" s="19">
        <v>131.50071958000001</v>
      </c>
      <c r="H37" s="19">
        <v>138.49363431363389</v>
      </c>
      <c r="I37" s="6"/>
      <c r="J37" s="19">
        <f>+[2]H7!$N$25/1000</f>
        <v>11.261222739999992</v>
      </c>
      <c r="K37" s="19">
        <f>+[2]H7!$N$26/1000</f>
        <v>11.862410830000004</v>
      </c>
      <c r="L37" s="19">
        <f>+[2]H7!$N$27/1000</f>
        <v>11.664135320954662</v>
      </c>
      <c r="M37" s="6"/>
      <c r="N37" s="6"/>
      <c r="O37" s="19">
        <v>131.07974526000004</v>
      </c>
      <c r="P37" s="19">
        <v>131.50071958000001</v>
      </c>
      <c r="Q37" s="19">
        <v>138.49363431363389</v>
      </c>
      <c r="R37" s="6"/>
      <c r="S37" s="19">
        <f>+[2]H7!$EL$25/1000</f>
        <v>3.9596966499999979</v>
      </c>
      <c r="T37" s="19">
        <f>+[2]H7!$EL$26/1000</f>
        <v>4.504961189999996</v>
      </c>
      <c r="U37" s="19">
        <f>+[2]H7!$EL$27/1000</f>
        <v>3.8880451069848876</v>
      </c>
      <c r="V37" s="6"/>
    </row>
    <row r="38" spans="2:22" ht="19.5" hidden="1" customHeight="1" outlineLevel="1" x14ac:dyDescent="0.25">
      <c r="B38" s="202"/>
      <c r="C38" s="9"/>
      <c r="D38" s="14" t="s">
        <v>92</v>
      </c>
      <c r="E38" s="6"/>
      <c r="F38" s="20" t="e">
        <f>F41-F39-F40</f>
        <v>#REF!</v>
      </c>
      <c r="G38" s="20" t="e">
        <f>G41-G39-G40</f>
        <v>#REF!</v>
      </c>
      <c r="H38" s="20" t="e">
        <f>H41-H39-H40</f>
        <v>#REF!</v>
      </c>
      <c r="I38" s="6"/>
      <c r="J38" s="20">
        <f>-(SUM([2]H7!$O$25,[2]H7!$R$25:$V$25,[2]H7!$Y$25:$AB$25)/1000)/J37</f>
        <v>0.69119379837433226</v>
      </c>
      <c r="K38" s="20">
        <f>-(SUM([2]H7!$O$26,[2]H7!$R$26:$V$26,[2]H7!$Y$26:$AB$26)/1000)/K37</f>
        <v>0.75406928053595312</v>
      </c>
      <c r="L38" s="20">
        <f>-(SUM([2]H7!$O$27,[2]H7!$R$27:$V$27,[2]H7!$Y$27:$AB$27)/1000)/L37</f>
        <v>0.65773990628879564</v>
      </c>
      <c r="M38" s="6"/>
      <c r="N38" s="6"/>
      <c r="O38" s="20" t="e">
        <f>O41-O39-O40</f>
        <v>#REF!</v>
      </c>
      <c r="P38" s="20" t="e">
        <f>P41-P39-P40</f>
        <v>#REF!</v>
      </c>
      <c r="Q38" s="20" t="e">
        <f>Q41-Q39-Q40</f>
        <v>#REF!</v>
      </c>
      <c r="R38" s="6"/>
      <c r="S38" s="20">
        <f>-(SUM([2]H7!$EM$25,[2]H7!$EP$25:$ET$25,[2]H7!$EW$25:$EZ$25)/1000)/S37</f>
        <v>0.69098075480100274</v>
      </c>
      <c r="T38" s="20">
        <f>-(SUM([2]H7!$EM$26,[2]H7!$EP$26:$ET$26,[2]H7!$EW$26:$EZ$26)/1000)/T37</f>
        <v>0.83853035590746217</v>
      </c>
      <c r="U38" s="20">
        <f>-(SUM([2]H7!$EM$27,[2]H7!$EP$27:$ET$27,[2]H7!$EW$27:$EZ$27)/1000)/U37</f>
        <v>0.65773990628879553</v>
      </c>
      <c r="V38" s="6"/>
    </row>
    <row r="39" spans="2:22" ht="19.5" hidden="1" customHeight="1" outlineLevel="1" x14ac:dyDescent="0.25">
      <c r="B39" s="202"/>
      <c r="C39" s="9"/>
      <c r="D39" s="14" t="s">
        <v>93</v>
      </c>
      <c r="E39" s="6"/>
      <c r="F39" s="20">
        <f>0</f>
        <v>0</v>
      </c>
      <c r="G39" s="20">
        <f>0</f>
        <v>0</v>
      </c>
      <c r="H39" s="20">
        <f>0</f>
        <v>0</v>
      </c>
      <c r="I39" s="6"/>
      <c r="J39" s="20">
        <f>-(SUM([2]H7!$Q$25,[2]H7!$X$25)/1000)/J37</f>
        <v>0</v>
      </c>
      <c r="K39" s="20">
        <f>-(SUM([2]H7!$Q$26,[2]H7!$X$26)/1000)/K37</f>
        <v>0</v>
      </c>
      <c r="L39" s="20">
        <f>-(SUM([2]H7!$Q$27,[2]H7!$X$27)/1000)/L37</f>
        <v>0</v>
      </c>
      <c r="M39" s="6"/>
      <c r="N39" s="6"/>
      <c r="O39" s="20">
        <f>0</f>
        <v>0</v>
      </c>
      <c r="P39" s="20">
        <f>0</f>
        <v>0</v>
      </c>
      <c r="Q39" s="20">
        <f>0</f>
        <v>0</v>
      </c>
      <c r="R39" s="6"/>
      <c r="S39" s="20">
        <f>-(SUM([2]H7!$EO$25,[2]H7!$EV$25)/1000)/S37</f>
        <v>0</v>
      </c>
      <c r="T39" s="20">
        <f>-(SUM([2]H7!$EO$26,[2]H7!$EV$26)/1000)/T37</f>
        <v>0</v>
      </c>
      <c r="U39" s="20">
        <f>-(SUM([2]H7!$EO$27,[2]H7!$EV$27)/1000)/U37</f>
        <v>0</v>
      </c>
      <c r="V39" s="6"/>
    </row>
    <row r="40" spans="2:22" ht="19.5" hidden="1" customHeight="1" outlineLevel="1" x14ac:dyDescent="0.25">
      <c r="B40" s="202"/>
      <c r="C40" s="9"/>
      <c r="D40" s="14" t="s">
        <v>94</v>
      </c>
      <c r="E40" s="6"/>
      <c r="F40" s="20" t="e">
        <f>INDEX(NatCat_TOT_BR_YTD,2,Month)/F37</f>
        <v>#REF!</v>
      </c>
      <c r="G40" s="20" t="e">
        <f>INDEX(NatCat_TOT_BR_YTD_PREV,2,Month)/G37</f>
        <v>#REF!</v>
      </c>
      <c r="H40" s="20" t="e">
        <f>INDEX(NatCat_TOT_BR_YTD_PLAN,2,Month)/H37</f>
        <v>#REF!</v>
      </c>
      <c r="I40" s="6"/>
      <c r="J40" s="20">
        <f>-(SUM([2]H7!$P$25,[2]H7!$W$25)/1000)/J37</f>
        <v>2.1250481011265403E-3</v>
      </c>
      <c r="K40" s="20">
        <f>-(SUM([2]H7!$P$26,[2]H7!$W$26)/1000)/K37</f>
        <v>0</v>
      </c>
      <c r="L40" s="20">
        <f>-(SUM([2]H7!$P$27,[2]H7!$W$27)/1000)/L37</f>
        <v>2.6660161806884665E-2</v>
      </c>
      <c r="M40" s="6"/>
      <c r="N40" s="6"/>
      <c r="O40" s="20" t="e">
        <f>INDEX(NatCat_TOT_BR_YTD,2,Month)/O37</f>
        <v>#REF!</v>
      </c>
      <c r="P40" s="20" t="e">
        <f>INDEX(NatCat_TOT_BR_YTD_PREV,2,Month)/P37</f>
        <v>#REF!</v>
      </c>
      <c r="Q40" s="20" t="e">
        <f>INDEX(NatCat_TOT_BR_YTD_PLAN,2,Month)/Q37</f>
        <v>#REF!</v>
      </c>
      <c r="R40" s="6"/>
      <c r="S40" s="20">
        <f>-(SUM([2]H7!$EN$25,[2]H7!$EU$25)/1000)/S37</f>
        <v>6.0435538666831993E-3</v>
      </c>
      <c r="T40" s="20">
        <f>-(SUM([2]H7!$EN$26,[2]H7!$EU$26)/1000)/T37</f>
        <v>0</v>
      </c>
      <c r="U40" s="20">
        <f>-(SUM([2]H7!$EN$27,[2]H7!$EU$27)/1000)/U37</f>
        <v>2.6660161806884668E-2</v>
      </c>
      <c r="V40" s="6"/>
    </row>
    <row r="41" spans="2:22" ht="19.5" hidden="1" customHeight="1" outlineLevel="2" x14ac:dyDescent="0.25">
      <c r="B41" s="202"/>
      <c r="C41" s="9"/>
      <c r="D41" s="14" t="s">
        <v>95</v>
      </c>
      <c r="E41" s="7"/>
      <c r="F41" s="20">
        <v>0.47729705246148252</v>
      </c>
      <c r="G41" s="20">
        <v>0.40903539251948479</v>
      </c>
      <c r="H41" s="20">
        <v>0.55951837348520128</v>
      </c>
      <c r="I41" s="7"/>
      <c r="J41" s="20">
        <f>+J38+J39+J40</f>
        <v>0.69331884647545883</v>
      </c>
      <c r="K41" s="20">
        <f>+K38+K39+K40</f>
        <v>0.75406928053595312</v>
      </c>
      <c r="L41" s="20">
        <f>+L38+L39+L40</f>
        <v>0.68440006809568033</v>
      </c>
      <c r="M41" s="7"/>
      <c r="N41" s="7"/>
      <c r="O41" s="20">
        <v>0.47729705246148252</v>
      </c>
      <c r="P41" s="20">
        <v>0.40903539251948479</v>
      </c>
      <c r="Q41" s="20">
        <v>0.55951837348520128</v>
      </c>
      <c r="R41" s="7"/>
      <c r="S41" s="20">
        <f>+S38+S39+S40</f>
        <v>0.69702430866768594</v>
      </c>
      <c r="T41" s="20">
        <f>+T38+T39+T40</f>
        <v>0.83853035590746217</v>
      </c>
      <c r="U41" s="20">
        <f>+U38+U39+U40</f>
        <v>0.68440006809568021</v>
      </c>
      <c r="V41" s="7"/>
    </row>
    <row r="42" spans="2:22" ht="20.149999999999999" hidden="1" customHeight="1" outlineLevel="1" x14ac:dyDescent="0.25">
      <c r="B42" s="202"/>
      <c r="C42" s="9"/>
      <c r="D42" s="14" t="s">
        <v>96</v>
      </c>
      <c r="E42" s="7"/>
      <c r="F42" s="20">
        <v>-6.5176954555824203E-3</v>
      </c>
      <c r="G42" s="20">
        <v>1.0271172920679748E-2</v>
      </c>
      <c r="H42" s="20">
        <v>-1.3839384576522607E-2</v>
      </c>
      <c r="I42" s="7"/>
      <c r="J42" s="20">
        <f>-(SUM([2]H7!$AC$25:$AK$25)/1000)/J37</f>
        <v>-5.6278436598972824E-2</v>
      </c>
      <c r="K42" s="20">
        <f>-(SUM([2]H7!$AC$26:$AK$26)/1000)/K37</f>
        <v>-5.5136395912532936E-2</v>
      </c>
      <c r="L42" s="20">
        <f>-(SUM([2]H7!$AC$27:$AK$27)/1000)/L37</f>
        <v>-3.5314212319149797E-3</v>
      </c>
      <c r="M42" s="7"/>
      <c r="N42" s="7"/>
      <c r="O42" s="20">
        <v>-6.5176954555824203E-3</v>
      </c>
      <c r="P42" s="20">
        <v>1.0271172920679748E-2</v>
      </c>
      <c r="Q42" s="20">
        <v>-1.3839384576522607E-2</v>
      </c>
      <c r="R42" s="7"/>
      <c r="S42" s="20">
        <f>-(SUM([2]H7!$FA$25:$FI$25)/1000)/S37</f>
        <v>-3.9023981799211849E-2</v>
      </c>
      <c r="T42" s="20">
        <f>-(SUM([2]H7!$FA$26:$FI$26)/1000)/T37</f>
        <v>6.0489155956525978E-3</v>
      </c>
      <c r="U42" s="20">
        <f>-(SUM([2]H7!$FA$27:$FI$27)/1000)/U37</f>
        <v>-3.5314212319149745E-3</v>
      </c>
      <c r="V42" s="7"/>
    </row>
    <row r="43" spans="2:22" ht="20.149999999999999" hidden="1" customHeight="1" outlineLevel="2" x14ac:dyDescent="0.25">
      <c r="B43" s="202"/>
      <c r="C43" s="9"/>
      <c r="D43" s="15" t="s">
        <v>87</v>
      </c>
      <c r="E43" s="7"/>
      <c r="F43" s="20">
        <v>0.14250764702775406</v>
      </c>
      <c r="G43" s="20">
        <v>0.14258208046225504</v>
      </c>
      <c r="H43" s="20">
        <v>0.14342599004580675</v>
      </c>
      <c r="I43" s="7"/>
      <c r="J43" s="20">
        <f>-(SUM([2]H7!$AL$25:$AN$25)/1000)/J37</f>
        <v>0.1731360532524201</v>
      </c>
      <c r="K43" s="20">
        <f>-(SUM([2]H7!$AL$26:$AN$26)/1000)/K37</f>
        <v>0.1714252582499706</v>
      </c>
      <c r="L43" s="20">
        <f>-(SUM([2]H7!$AL$27:$AN$27)/1000)/L37</f>
        <v>0.17354571758021542</v>
      </c>
      <c r="M43" s="7"/>
      <c r="N43" s="7"/>
      <c r="O43" s="20">
        <v>0.14250764702775406</v>
      </c>
      <c r="P43" s="20">
        <v>0.14258208046225504</v>
      </c>
      <c r="Q43" s="20">
        <v>0.14342599004580675</v>
      </c>
      <c r="R43" s="7"/>
      <c r="S43" s="20">
        <f>-(SUM([2]H7!$FJ$25:$FL$25)/1000)/S37</f>
        <v>0.16655157157051401</v>
      </c>
      <c r="T43" s="20">
        <f>-(SUM([2]H7!$FJ$26:$FL$26)/1000)/T37</f>
        <v>0.16356248565151363</v>
      </c>
      <c r="U43" s="20">
        <f>-(SUM([2]H7!$FJ$27:$FL$27)/1000)/U37</f>
        <v>0.17354571758021534</v>
      </c>
      <c r="V43" s="7"/>
    </row>
    <row r="44" spans="2:22" ht="20.149999999999999" hidden="1" customHeight="1" outlineLevel="2" x14ac:dyDescent="0.25">
      <c r="B44" s="202"/>
      <c r="C44" s="9"/>
      <c r="D44" s="15" t="s">
        <v>88</v>
      </c>
      <c r="E44" s="7"/>
      <c r="F44" s="20">
        <v>0.1612418402864387</v>
      </c>
      <c r="G44" s="20">
        <v>0.15005832449453124</v>
      </c>
      <c r="H44" s="20">
        <v>0.14611723939708512</v>
      </c>
      <c r="I44" s="7"/>
      <c r="J44" s="20">
        <f>-(SUM([2]H7!$AO$25:$AR$25)/1000)/J37</f>
        <v>0.18802616633085098</v>
      </c>
      <c r="K44" s="20">
        <f>-(SUM([2]H7!$AO$26:$AR$26)/1000)/K37</f>
        <v>0.15710890785258697</v>
      </c>
      <c r="L44" s="20">
        <f>-(SUM([2]H7!$AO$27:$AR$27)/1000)/L37</f>
        <v>0.18474257722118234</v>
      </c>
      <c r="M44" s="7"/>
      <c r="N44" s="7"/>
      <c r="O44" s="20">
        <v>0.1612418402864387</v>
      </c>
      <c r="P44" s="20">
        <v>0.15005832449453124</v>
      </c>
      <c r="Q44" s="20">
        <v>0.14611723939708512</v>
      </c>
      <c r="R44" s="7"/>
      <c r="S44" s="20">
        <f>-(SUM([2]H7!$FM$25:$FP$25)/1000)/S37</f>
        <v>0.176744627647171</v>
      </c>
      <c r="T44" s="20">
        <f>-(SUM([2]H7!$FM$26:$FP$26)/1000)/T37</f>
        <v>0.142504279820444</v>
      </c>
      <c r="U44" s="20">
        <f>-(SUM([2]H7!$FM$27:$FP$27)/1000)/U37</f>
        <v>0.18474257722118237</v>
      </c>
      <c r="V44" s="7"/>
    </row>
    <row r="45" spans="2:22" ht="20.149999999999999" hidden="1" customHeight="1" outlineLevel="1" x14ac:dyDescent="0.25">
      <c r="B45" s="202"/>
      <c r="C45" s="9"/>
      <c r="D45" s="14" t="s">
        <v>97</v>
      </c>
      <c r="E45" s="7"/>
      <c r="F45" s="20">
        <v>0.30374948731419277</v>
      </c>
      <c r="G45" s="20">
        <v>0.29264040495678634</v>
      </c>
      <c r="H45" s="20">
        <v>0.2895432294428919</v>
      </c>
      <c r="I45" s="7"/>
      <c r="J45" s="20">
        <f>+J43+J44</f>
        <v>0.3611622195832711</v>
      </c>
      <c r="K45" s="20">
        <f>+K43+K44</f>
        <v>0.32853416610255759</v>
      </c>
      <c r="L45" s="20">
        <f>+L43+L44</f>
        <v>0.35828829480139779</v>
      </c>
      <c r="M45" s="7"/>
      <c r="N45" s="7"/>
      <c r="O45" s="20">
        <v>0.30374948731419277</v>
      </c>
      <c r="P45" s="20">
        <v>0.29264040495678634</v>
      </c>
      <c r="Q45" s="20">
        <v>0.2895432294428919</v>
      </c>
      <c r="R45" s="7"/>
      <c r="S45" s="20">
        <f>+S43+S44</f>
        <v>0.34329619921768501</v>
      </c>
      <c r="T45" s="20">
        <f>+T43+T44</f>
        <v>0.30606676547195766</v>
      </c>
      <c r="U45" s="20">
        <f>+U43+U44</f>
        <v>0.35828829480139768</v>
      </c>
      <c r="V45" s="7"/>
    </row>
    <row r="46" spans="2:22" ht="20.149999999999999" hidden="1" customHeight="1" outlineLevel="1" x14ac:dyDescent="0.25">
      <c r="B46" s="202"/>
      <c r="C46" s="9"/>
      <c r="D46" s="14" t="s">
        <v>90</v>
      </c>
      <c r="E46" s="7"/>
      <c r="F46" s="20"/>
      <c r="G46" s="20"/>
      <c r="H46" s="20"/>
      <c r="I46" s="7"/>
      <c r="J46" s="20">
        <f>-(SUM([2]H7!$AT$25:$BJ$25)/1000/J37)</f>
        <v>7.3601652248288674E-3</v>
      </c>
      <c r="K46" s="20">
        <f>-(SUM([2]H7!$AT$26:$BJ$26)/1000/K37)</f>
        <v>1.1241661742379557E-2</v>
      </c>
      <c r="L46" s="20">
        <f>-(SUM([2]H7!$AT$27:$BJ$27)/1000/L37)</f>
        <v>1.97318809561353E-2</v>
      </c>
      <c r="M46" s="7"/>
      <c r="N46" s="7"/>
      <c r="O46" s="20"/>
      <c r="P46" s="20"/>
      <c r="Q46" s="20"/>
      <c r="R46" s="7"/>
      <c r="S46" s="20">
        <f>-(SUM([2]H7!$FR$25:$GH$25)/1000/S37)</f>
        <v>1.1361665798313113E-2</v>
      </c>
      <c r="T46" s="20">
        <f>-(SUM([2]H7!$FR$26:$GH$26)/1000/T37)</f>
        <v>1.1090708197643771E-2</v>
      </c>
      <c r="U46" s="20">
        <f>-(SUM([2]H7!$FR$27:$GH$27)/1000/U37)</f>
        <v>1.973188095613531E-2</v>
      </c>
      <c r="V46" s="7"/>
    </row>
    <row r="47" spans="2:22" ht="20.149999999999999" hidden="1" customHeight="1" outlineLevel="1" x14ac:dyDescent="0.25">
      <c r="B47" s="202"/>
      <c r="C47" s="9"/>
      <c r="D47" s="14" t="s">
        <v>79</v>
      </c>
      <c r="E47" s="8"/>
      <c r="F47" s="20">
        <v>0.77452884432009284</v>
      </c>
      <c r="G47" s="20">
        <v>0.71194697039695087</v>
      </c>
      <c r="H47" s="20">
        <v>0.83522221835157051</v>
      </c>
      <c r="I47" s="8"/>
      <c r="J47" s="20">
        <f>+J41+J42+J45+J46</f>
        <v>1.005562794684586</v>
      </c>
      <c r="K47" s="20">
        <f>+K41+K42+K45+K46</f>
        <v>1.0387087124683574</v>
      </c>
      <c r="L47" s="20">
        <f>+L41+L42+L45+L46</f>
        <v>1.0588888226212985</v>
      </c>
      <c r="M47" s="8"/>
      <c r="N47" s="8"/>
      <c r="O47" s="20">
        <v>0.77452884432009284</v>
      </c>
      <c r="P47" s="20">
        <v>0.71194697039695087</v>
      </c>
      <c r="Q47" s="20">
        <v>0.83522221835157051</v>
      </c>
      <c r="R47" s="8"/>
      <c r="S47" s="20">
        <f>+S41+S42+S45+S46</f>
        <v>1.0126581918844721</v>
      </c>
      <c r="T47" s="20">
        <f>+T41+T42+T45+T46</f>
        <v>1.1617367451727161</v>
      </c>
      <c r="U47" s="20">
        <f>+U41+U42+U45+U46</f>
        <v>1.0588888226212982</v>
      </c>
      <c r="V47" s="8"/>
    </row>
    <row r="48" spans="2:22" ht="19.5" hidden="1" customHeight="1" outlineLevel="1" x14ac:dyDescent="0.25">
      <c r="B48" s="202"/>
      <c r="C48" s="9"/>
      <c r="D48" s="14" t="s">
        <v>34</v>
      </c>
      <c r="E48" s="6"/>
      <c r="F48" s="19">
        <v>29.55470165000002</v>
      </c>
      <c r="G48" s="19">
        <v>37.879180670000004</v>
      </c>
      <c r="H48" s="19">
        <v>22.820673834629417</v>
      </c>
      <c r="I48" s="6"/>
      <c r="J48" s="19">
        <f>+[2]H7!$BK$25/1000</f>
        <v>-6.2643870000008747E-2</v>
      </c>
      <c r="K48" s="19">
        <f>+[2]H7!$BK$26/1000</f>
        <v>-0.45917864999999741</v>
      </c>
      <c r="L48" s="19">
        <f>+[2]H7!$BK$27/1000</f>
        <v>-0.68688719594652126</v>
      </c>
      <c r="M48" s="6"/>
      <c r="N48" s="6"/>
      <c r="O48" s="19">
        <v>29.55470165000002</v>
      </c>
      <c r="P48" s="19">
        <v>37.879180670000004</v>
      </c>
      <c r="Q48" s="19">
        <v>22.820673834629417</v>
      </c>
      <c r="R48" s="6"/>
      <c r="S48" s="19">
        <f>+[2]H7!$GI$25/1000</f>
        <v>-5.0122600000001544E-2</v>
      </c>
      <c r="T48" s="19">
        <f>+[2]H7!$GI$26/1000</f>
        <v>-0.72861776000000522</v>
      </c>
      <c r="U48" s="19">
        <f>+[2]H7!$GI$27/1000</f>
        <v>-0.22896239864884008</v>
      </c>
      <c r="V48" s="6"/>
    </row>
    <row r="49" spans="2:22" ht="7.5" hidden="1" customHeight="1" outlineLevel="1" x14ac:dyDescent="0.25"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2:22" ht="19.5" customHeight="1" collapsed="1" x14ac:dyDescent="0.25">
      <c r="B50" s="204" t="s">
        <v>99</v>
      </c>
      <c r="C50" s="9"/>
      <c r="D50" s="14" t="s">
        <v>19</v>
      </c>
      <c r="E50" s="6"/>
      <c r="F50" s="19">
        <v>229.38382952000003</v>
      </c>
      <c r="G50" s="19">
        <v>212.12458179999999</v>
      </c>
      <c r="H50" s="19">
        <v>203.05293351311161</v>
      </c>
      <c r="I50" s="6"/>
      <c r="J50" s="19">
        <f t="shared" ref="J50:L51" si="0">J64+J78</f>
        <v>18.427519699999991</v>
      </c>
      <c r="K50" s="19">
        <f t="shared" si="0"/>
        <v>18.976355390000005</v>
      </c>
      <c r="L50" s="19">
        <f t="shared" si="0"/>
        <v>19.385790450183769</v>
      </c>
      <c r="M50" s="6"/>
      <c r="N50" s="6"/>
      <c r="O50" s="19">
        <v>229.38382952000003</v>
      </c>
      <c r="P50" s="19">
        <v>212.12458179999999</v>
      </c>
      <c r="Q50" s="19">
        <v>203.05293351311161</v>
      </c>
      <c r="R50" s="6"/>
      <c r="S50" s="19">
        <f t="shared" ref="S50:U51" si="1">S64+S78</f>
        <v>4.9598026899999983</v>
      </c>
      <c r="T50" s="19">
        <f t="shared" si="1"/>
        <v>5.087669829999995</v>
      </c>
      <c r="U50" s="19">
        <f t="shared" si="1"/>
        <v>5.3326778112629398</v>
      </c>
      <c r="V50" s="6"/>
    </row>
    <row r="51" spans="2:22" ht="20.149999999999999" customHeight="1" x14ac:dyDescent="0.25">
      <c r="B51" s="204"/>
      <c r="C51" s="9"/>
      <c r="D51" s="14" t="s">
        <v>20</v>
      </c>
      <c r="E51" s="6"/>
      <c r="F51" s="19">
        <v>211.42561673000003</v>
      </c>
      <c r="G51" s="19">
        <v>196.68713613999998</v>
      </c>
      <c r="H51" s="19">
        <v>187.22452828540679</v>
      </c>
      <c r="I51" s="6"/>
      <c r="J51" s="19">
        <f t="shared" si="0"/>
        <v>16.593700589999997</v>
      </c>
      <c r="K51" s="19">
        <f t="shared" si="0"/>
        <v>17.064782769999997</v>
      </c>
      <c r="L51" s="19">
        <f t="shared" si="0"/>
        <v>17.459096925132521</v>
      </c>
      <c r="M51" s="6"/>
      <c r="N51" s="6"/>
      <c r="O51" s="19">
        <v>211.42561673000003</v>
      </c>
      <c r="P51" s="19">
        <v>196.68713613999998</v>
      </c>
      <c r="Q51" s="19">
        <v>187.22452828540679</v>
      </c>
      <c r="R51" s="6"/>
      <c r="S51" s="19">
        <f t="shared" si="1"/>
        <v>5.6559887300000078</v>
      </c>
      <c r="T51" s="19">
        <f t="shared" si="1"/>
        <v>5.8499517799999845</v>
      </c>
      <c r="U51" s="19">
        <f t="shared" si="1"/>
        <v>5.8196989750441732</v>
      </c>
      <c r="V51" s="6"/>
    </row>
    <row r="52" spans="2:22" ht="19.5" customHeight="1" x14ac:dyDescent="0.25">
      <c r="B52" s="204"/>
      <c r="C52" s="9"/>
      <c r="D52" s="14" t="s">
        <v>92</v>
      </c>
      <c r="E52" s="6"/>
      <c r="F52" s="20" t="str">
        <f>IFERROR((F66*F65+F80*F79)/F51,"n/a")</f>
        <v>n/a</v>
      </c>
      <c r="G52" s="20" t="str">
        <f>IFERROR((G66*G65+G80*G79)/G51,"n/a")</f>
        <v>n/a</v>
      </c>
      <c r="H52" s="20" t="str">
        <f>IFERROR((H66*H65+H80*H79)/H51,"n/a")</f>
        <v>n/a</v>
      </c>
      <c r="I52" s="6"/>
      <c r="J52" s="20">
        <f>(-(SUM([2]H7!$O$33,[2]H7!$R$33:$V$33,[2]H7!$Y$33:$AB$33)/1000)-(SUM([2]H7!$O$37,[2]H7!$R$37:$V$37,[2]H7!$Y$37:$AB$37)/1000))/J51</f>
        <v>0.40000474867460312</v>
      </c>
      <c r="K52" s="20">
        <f>(-(SUM([2]H7!$O$34,[2]H7!$R$34:$V$34,[2]H7!$Y$34:$AB$34)/1000)-(SUM([2]H7!$O$38,[2]H7!$R$38:$V$38,[2]H7!$Y$38:$AB$38)/1000))/K51</f>
        <v>0.44536050428727503</v>
      </c>
      <c r="L52" s="20">
        <f>(-(SUM([2]H7!$O$35,[2]H7!$R$35:$V$35,[2]H7!$Y$35:$AB$35)/1000)-(SUM([2]H7!$O$39,[2]H7!$R$39:$V$39,[2]H7!$Y$39:$AB$39)/1000))/L51</f>
        <v>0.34495691313205473</v>
      </c>
      <c r="M52" s="6"/>
      <c r="N52" s="6"/>
      <c r="O52" s="20" t="str">
        <f>IFERROR((O66*O65+O80*O79)/O51,"n/a")</f>
        <v>n/a</v>
      </c>
      <c r="P52" s="20" t="str">
        <f>IFERROR((P66*P65+P80*P79)/P51,"n/a")</f>
        <v>n/a</v>
      </c>
      <c r="Q52" s="20" t="str">
        <f>IFERROR((Q66*Q65+Q80*Q79)/Q51,"n/a")</f>
        <v>n/a</v>
      </c>
      <c r="R52" s="6"/>
      <c r="S52" s="20">
        <f>(-(SUM([2]H7!$EM$33,[2]H7!$EP$33:$ET$33,[2]H7!$EW$33:$EZ$33)/1000)-(SUM([2]H7!$EM$37,[2]H7!$EP$37:$ET$37,[2]H7!$EW$37:$EZ$37)/1000))/S51</f>
        <v>0.35216680735563921</v>
      </c>
      <c r="T52" s="20">
        <f>(-(SUM([2]H7!$EM$34,[2]H7!$EP$34:$ET$34,[2]H7!$EW$34:$EZ$34)/1000)-(SUM([2]H7!$EM$38,[2]H7!$EP$38:$ET$38,[2]H7!$EW$38:$EZ$38)/1000))/T51</f>
        <v>0.5280967947018208</v>
      </c>
      <c r="U52" s="20">
        <f>(-(SUM([2]H7!$EM$35,[2]H7!$EP$35:$ET$35,[2]H7!$EW$35:$EZ$35)/1000)-(SUM([2]H7!$EM$39,[2]H7!$EP$39:$ET$39,[2]H7!$EW$39:$EZ$39)/1000))/U51</f>
        <v>0.34495691313205468</v>
      </c>
      <c r="V52" s="6"/>
    </row>
    <row r="53" spans="2:22" ht="19.5" customHeight="1" x14ac:dyDescent="0.25">
      <c r="B53" s="204"/>
      <c r="C53" s="9"/>
      <c r="D53" s="14" t="s">
        <v>93</v>
      </c>
      <c r="E53" s="6"/>
      <c r="F53" s="20">
        <f>IFERROR((F67*F65+F81*F79)/F51,"n/a")</f>
        <v>0</v>
      </c>
      <c r="G53" s="20">
        <f>IFERROR((G67*G65+G81*G79)/G51,"n/a")</f>
        <v>0</v>
      </c>
      <c r="H53" s="20">
        <f>IFERROR((H67*H65+H81*H79)/H51,"n/a")</f>
        <v>0</v>
      </c>
      <c r="I53" s="6"/>
      <c r="J53" s="20">
        <f>(-(SUM([2]H7!$Q$33,[2]H7!$X$33)/1000)-(SUM([2]H7!$Q$37,[2]H7!$X$37)/1000))/J51</f>
        <v>5.3019561920120029E-2</v>
      </c>
      <c r="K53" s="20">
        <f>(-(SUM([2]H7!$Q$34,[2]H7!$X$34)/1000)-(SUM([2]H7!$Q$38,[2]H7!$X$38)/1000))/K51</f>
        <v>4.3003887590653468E-2</v>
      </c>
      <c r="L53" s="20">
        <f>(-(SUM([2]H7!$Q$35,[2]H7!$X$35)/1000)-(SUM([2]H7!$Q$39,[2]H7!$X$39)/1000))/L51</f>
        <v>5.0645972067498456E-2</v>
      </c>
      <c r="M53" s="6"/>
      <c r="N53" s="6"/>
      <c r="O53" s="20">
        <f>IFERROR((O67*O65+O81*O79)/O51,"n/a")</f>
        <v>0</v>
      </c>
      <c r="P53" s="20">
        <f>IFERROR((P67*P65+P81*P79)/P51,"n/a")</f>
        <v>0</v>
      </c>
      <c r="Q53" s="20">
        <f>IFERROR((Q67*Q65+Q81*Q79)/Q51,"n/a")</f>
        <v>0</v>
      </c>
      <c r="R53" s="6"/>
      <c r="S53" s="20">
        <f>(-(SUM([2]H7!$EO$33,[2]H7!$EV$33)/1000)-(SUM([2]H7!$EO$37,[2]H7!$EV$37)/1000))/S51</f>
        <v>6.2942524023809412E-2</v>
      </c>
      <c r="T53" s="20">
        <f>(-(SUM([2]H7!$EO$34,[2]H7!$EV$34)/1000)-(SUM([2]H7!$EO$38,[2]H7!$EV$38)/1000))/T51</f>
        <v>5.0110696095651913E-2</v>
      </c>
      <c r="U53" s="20">
        <f>(-(SUM([2]H7!$EO$35,[2]H7!$EV$35)/1000)-(SUM([2]H7!$EO$39,[2]H7!$EV$39)/1000))/U51</f>
        <v>5.0645972067498442E-2</v>
      </c>
      <c r="V53" s="6"/>
    </row>
    <row r="54" spans="2:22" ht="19.5" customHeight="1" x14ac:dyDescent="0.25">
      <c r="B54" s="204"/>
      <c r="C54" s="9"/>
      <c r="D54" s="14" t="s">
        <v>94</v>
      </c>
      <c r="E54" s="6"/>
      <c r="F54" s="20" t="str">
        <f>IFERROR((F68*F65+F82*F79)/F51,"n/a")</f>
        <v>n/a</v>
      </c>
      <c r="G54" s="20" t="str">
        <f>IFERROR((G68*G65+G82*G79)/G51,"n/a")</f>
        <v>n/a</v>
      </c>
      <c r="H54" s="20" t="str">
        <f>IFERROR((H68*H65+H82*H79)/H51,"n/a")</f>
        <v>n/a</v>
      </c>
      <c r="I54" s="6"/>
      <c r="J54" s="20">
        <f>(-(SUM([2]H7!$P$33,[2]H7!$W$33)/1000)-(SUM([2]H7!$P$37,[2]H7!$W$37)/1000))/J51</f>
        <v>9.5048165503870911E-3</v>
      </c>
      <c r="K54" s="20">
        <f>(-(SUM([2]H7!$P$34,[2]H7!$W$34)/1000)-(SUM([2]H7!$P$38,[2]H7!$W$38)/1000))/K51</f>
        <v>0</v>
      </c>
      <c r="L54" s="20">
        <f>(-(SUM([2]H7!$P$35,[2]H7!$W$35)/1000)-(SUM([2]H7!$P$39,[2]H7!$W$39)/1000))/L51</f>
        <v>0.11792225823105755</v>
      </c>
      <c r="M54" s="6"/>
      <c r="N54" s="6"/>
      <c r="O54" s="20" t="str">
        <f>IFERROR((O68*O65+O82*O79)/O51,"n/a")</f>
        <v>n/a</v>
      </c>
      <c r="P54" s="20" t="str">
        <f>IFERROR((P68*P65+P82*P79)/P51,"n/a")</f>
        <v>n/a</v>
      </c>
      <c r="Q54" s="20" t="str">
        <f>IFERROR((Q68*Q65+Q82*Q79)/Q51,"n/a")</f>
        <v>n/a</v>
      </c>
      <c r="R54" s="6"/>
      <c r="S54" s="20">
        <f>(-(SUM([2]H7!$EN$33,[2]H7!$EU$33)/1000)-(SUM([2]H7!$EN$37,[2]H7!$EU$37)/1000))/S51</f>
        <v>2.7885501108486085E-2</v>
      </c>
      <c r="T54" s="20">
        <f>(-(SUM([2]H7!$EN$34,[2]H7!$EU$34)/1000)-(SUM([2]H7!$EN$38,[2]H7!$EU$38)/1000))/T51</f>
        <v>0</v>
      </c>
      <c r="U54" s="20">
        <f>(-(SUM([2]H7!$EN$35,[2]H7!$EU$35)/1000)-(SUM([2]H7!$EN$39,[2]H7!$EU$39)/1000))/U51</f>
        <v>0.11792225823105758</v>
      </c>
      <c r="V54" s="6"/>
    </row>
    <row r="55" spans="2:22" ht="19.5" hidden="1" customHeight="1" outlineLevel="1" x14ac:dyDescent="0.25">
      <c r="B55" s="204"/>
      <c r="C55" s="9"/>
      <c r="D55" s="14" t="s">
        <v>95</v>
      </c>
      <c r="E55" s="7"/>
      <c r="F55" s="20">
        <v>0.58127654633707238</v>
      </c>
      <c r="G55" s="20">
        <v>0.52862258732565415</v>
      </c>
      <c r="H55" s="20">
        <v>0.63822529577194531</v>
      </c>
      <c r="I55" s="7"/>
      <c r="J55" s="20">
        <f>+J52+J53+J54</f>
        <v>0.46252912714511024</v>
      </c>
      <c r="K55" s="20">
        <f>+K52+K53+K54</f>
        <v>0.48836439187792852</v>
      </c>
      <c r="L55" s="20">
        <f>+L52+L53+L54</f>
        <v>0.51352514343061073</v>
      </c>
      <c r="M55" s="7"/>
      <c r="N55" s="7"/>
      <c r="O55" s="20">
        <v>0.58127654633707238</v>
      </c>
      <c r="P55" s="20">
        <v>0.52862258732565415</v>
      </c>
      <c r="Q55" s="20">
        <v>0.63822529577194531</v>
      </c>
      <c r="R55" s="7"/>
      <c r="S55" s="20">
        <f>+S52+S53+S54</f>
        <v>0.4429948324879347</v>
      </c>
      <c r="T55" s="20">
        <f>+T52+T53+T54</f>
        <v>0.57820749079747269</v>
      </c>
      <c r="U55" s="20">
        <f>+U52+U53+U54</f>
        <v>0.51352514343061073</v>
      </c>
      <c r="V55" s="7"/>
    </row>
    <row r="56" spans="2:22" ht="20.149999999999999" customHeight="1" collapsed="1" x14ac:dyDescent="0.25">
      <c r="B56" s="204"/>
      <c r="C56" s="9"/>
      <c r="D56" s="14" t="s">
        <v>96</v>
      </c>
      <c r="E56" s="7"/>
      <c r="F56" s="20">
        <v>-5.0410234222519779E-2</v>
      </c>
      <c r="G56" s="20">
        <v>-9.0336924359673568E-2</v>
      </c>
      <c r="H56" s="20">
        <v>-2.670590251069002E-3</v>
      </c>
      <c r="I56" s="7"/>
      <c r="J56" s="20">
        <f>(-(SUM([2]H7!$AC$33:$AK$33)/1000)-(SUM([2]H7!$AC$37:$AK$37)/1000))/J51</f>
        <v>-5.3991265247964819E-2</v>
      </c>
      <c r="K56" s="20">
        <f>(-(SUM([2]H7!$AC$34:$AK$34)/1000)-(SUM([2]H7!$AC$38:$AK$38)/1000))/K51</f>
        <v>-0.29165770857333922</v>
      </c>
      <c r="L56" s="20">
        <f>(-(SUM([2]H7!$AC$35:$AK$35)/1000)-(SUM([2]H7!$AC$39:$AK$39)/1000))/L51</f>
        <v>-8.7756002836118126E-3</v>
      </c>
      <c r="M56" s="7"/>
      <c r="N56" s="7"/>
      <c r="O56" s="20">
        <v>-5.0410234222519779E-2</v>
      </c>
      <c r="P56" s="20">
        <v>-9.0336924359673568E-2</v>
      </c>
      <c r="Q56" s="20">
        <v>-2.670590251069002E-3</v>
      </c>
      <c r="R56" s="7"/>
      <c r="S56" s="20">
        <f>(-(SUM([2]H7!$FA$33:$FI$33)/1000)-(SUM([2]H7!$FA$37:$FI$37)/1000))/S51</f>
        <v>0.11237895624307578</v>
      </c>
      <c r="T56" s="20">
        <f>(-(SUM([2]H7!$FA$34:$FI$34)/1000)-(SUM([2]H7!$FA$38:$FI$38)/1000))/T51</f>
        <v>0.12784782304650072</v>
      </c>
      <c r="U56" s="20">
        <f>(-(SUM([2]H7!$FA$35:$FI$35)/1000)-(SUM([2]H7!$FA$39:$FI$39)/1000))/U51</f>
        <v>-8.7756002836118143E-3</v>
      </c>
      <c r="V56" s="7"/>
    </row>
    <row r="57" spans="2:22" ht="20.149999999999999" hidden="1" customHeight="1" outlineLevel="1" x14ac:dyDescent="0.25">
      <c r="B57" s="204"/>
      <c r="C57" s="9"/>
      <c r="D57" s="15" t="s">
        <v>87</v>
      </c>
      <c r="E57" s="7"/>
      <c r="F57" s="20">
        <v>0.15730436554654667</v>
      </c>
      <c r="G57" s="20">
        <v>0.16042032742568968</v>
      </c>
      <c r="H57" s="20">
        <v>0.16278191221801697</v>
      </c>
      <c r="I57" s="7"/>
      <c r="J57" s="20">
        <f>(-(SUM([2]H7!$AL$33:$AN$33)/1000)-(SUM([2]H7!$AL$37:$AN$37)/1000))/J51</f>
        <v>0.25228697584930987</v>
      </c>
      <c r="K57" s="20">
        <f>(-(SUM([2]H7!$AL$34:$AN$34)/1000)-(SUM([2]H7!$AL$38:$AN$38)/1000))/K51</f>
        <v>0.26653036205042729</v>
      </c>
      <c r="L57" s="20">
        <f>(-(SUM([2]H7!$AL$35:$AN$35)/1000)-(SUM([2]H7!$AL$39:$AN$39)/1000))/L51</f>
        <v>0.2624585993703421</v>
      </c>
      <c r="M57" s="7"/>
      <c r="N57" s="7"/>
      <c r="O57" s="20">
        <v>0.15730436554654667</v>
      </c>
      <c r="P57" s="20">
        <v>0.16042032742568968</v>
      </c>
      <c r="Q57" s="20">
        <v>0.16278191221801697</v>
      </c>
      <c r="R57" s="7"/>
      <c r="S57" s="20">
        <f>(-(SUM([2]H7!$FJ$33:$FL$33)/1000)-(SUM([2]H7!$FJ$37:$FL$37)/1000))/S51</f>
        <v>0.21964191042509429</v>
      </c>
      <c r="T57" s="20">
        <f>(-(SUM([2]H7!$FJ$34:$FL$34)/1000)-(SUM([2]H7!$FJ$38:$FL$38)/1000))/T51</f>
        <v>0.26991971547498855</v>
      </c>
      <c r="U57" s="20">
        <f>(-(SUM([2]H7!$FJ$35:$FL$35)/1000)-(SUM([2]H7!$FJ$39:$FL$39)/1000))/U51</f>
        <v>0.2624585993703421</v>
      </c>
      <c r="V57" s="7"/>
    </row>
    <row r="58" spans="2:22" ht="20.149999999999999" hidden="1" customHeight="1" outlineLevel="1" x14ac:dyDescent="0.25">
      <c r="B58" s="204"/>
      <c r="C58" s="9"/>
      <c r="D58" s="15" t="s">
        <v>88</v>
      </c>
      <c r="E58" s="7"/>
      <c r="F58" s="20">
        <v>9.6659400436315324E-2</v>
      </c>
      <c r="G58" s="20">
        <v>0.1077703100771784</v>
      </c>
      <c r="H58" s="20">
        <v>0.10810289803432095</v>
      </c>
      <c r="I58" s="7"/>
      <c r="J58" s="20">
        <f>(-(SUM([2]H7!$AO$33:$AR$33)/1000)-(SUM([2]H7!$AO$37:$AR$37)/1000))/J51</f>
        <v>0.18037407290594004</v>
      </c>
      <c r="K58" s="20">
        <f>(-(SUM([2]H7!$AO$34:$AR$34)/1000)-(SUM([2]H7!$AO$38:$AR$38)/1000))/K51</f>
        <v>0.15600832286480962</v>
      </c>
      <c r="L58" s="20">
        <f>(-(SUM([2]H7!$AO$35:$AR$35)/1000)-(SUM([2]H7!$AO$39:$AR$39)/1000))/L51</f>
        <v>0.17894644463042458</v>
      </c>
      <c r="M58" s="7"/>
      <c r="N58" s="7"/>
      <c r="O58" s="20">
        <v>9.6659400436315324E-2</v>
      </c>
      <c r="P58" s="20">
        <v>0.1077703100771784</v>
      </c>
      <c r="Q58" s="20">
        <v>0.10810289803432095</v>
      </c>
      <c r="R58" s="7"/>
      <c r="S58" s="20">
        <f>(-(SUM([2]H7!$FM$33:$FP$33)/1000)-(SUM([2]H7!$FM$37:$FP$37)/1000))/S51</f>
        <v>0.1571734514400277</v>
      </c>
      <c r="T58" s="20">
        <f>(-(SUM([2]H7!$FM$34:$FP$34)/1000)-(SUM([2]H7!$FM$38:$FP$38)/1000))/T51</f>
        <v>0.1555303315679642</v>
      </c>
      <c r="U58" s="20">
        <f>(-(SUM([2]H7!$FM$35:$FP$35)/1000)-(SUM([2]H7!$FM$39:$FP$39)/1000))/U51</f>
        <v>0.17894644463042456</v>
      </c>
      <c r="V58" s="7"/>
    </row>
    <row r="59" spans="2:22" ht="20.149999999999999" customHeight="1" collapsed="1" x14ac:dyDescent="0.25">
      <c r="B59" s="204"/>
      <c r="C59" s="9"/>
      <c r="D59" s="14" t="s">
        <v>97</v>
      </c>
      <c r="E59" s="7"/>
      <c r="F59" s="20">
        <v>0.25396376598286197</v>
      </c>
      <c r="G59" s="20">
        <v>0.26819063750286803</v>
      </c>
      <c r="H59" s="20">
        <v>0.2708848102523379</v>
      </c>
      <c r="I59" s="7"/>
      <c r="J59" s="20">
        <f>+J57+J58</f>
        <v>0.43266104875524991</v>
      </c>
      <c r="K59" s="20">
        <f>+K57+K58</f>
        <v>0.42253868491523694</v>
      </c>
      <c r="L59" s="20">
        <f>+L57+L58</f>
        <v>0.44140504400076669</v>
      </c>
      <c r="M59" s="7"/>
      <c r="N59" s="7"/>
      <c r="O59" s="20">
        <v>0.25396376598286197</v>
      </c>
      <c r="P59" s="20">
        <v>0.26819063750286803</v>
      </c>
      <c r="Q59" s="20">
        <v>0.2708848102523379</v>
      </c>
      <c r="R59" s="7"/>
      <c r="S59" s="20">
        <f>+S57+S58</f>
        <v>0.37681536186512199</v>
      </c>
      <c r="T59" s="20">
        <f>+T57+T58</f>
        <v>0.42545004704295275</v>
      </c>
      <c r="U59" s="20">
        <f>+U57+U58</f>
        <v>0.44140504400076663</v>
      </c>
      <c r="V59" s="7"/>
    </row>
    <row r="60" spans="2:22" ht="20.149999999999999" customHeight="1" x14ac:dyDescent="0.25">
      <c r="B60" s="204"/>
      <c r="C60" s="9"/>
      <c r="D60" s="14" t="s">
        <v>90</v>
      </c>
      <c r="E60" s="7"/>
      <c r="F60" s="20"/>
      <c r="G60" s="20"/>
      <c r="H60" s="20"/>
      <c r="I60" s="7"/>
      <c r="J60" s="20">
        <f>(-(SUM([2]H7!$AT$33:$BJ$33)/1000)-(SUM([2]H7!$AT$37:$BJ$37)/1000))/J51</f>
        <v>0.10560628839211807</v>
      </c>
      <c r="K60" s="20">
        <f>(-(SUM([2]H7!$AT$34:$BJ$34)/1000)-(SUM([2]H7!$AT$38:$BJ$38)/1000))/K51</f>
        <v>0.15428619370582272</v>
      </c>
      <c r="L60" s="20">
        <f>(-(SUM([2]H7!$AT$35:$BJ$35)/1000)-(SUM([2]H7!$AT$39:$BJ$39)/1000))/L51</f>
        <v>6.5917083799352308E-2</v>
      </c>
      <c r="M60" s="7"/>
      <c r="N60" s="7"/>
      <c r="O60" s="20"/>
      <c r="P60" s="20"/>
      <c r="Q60" s="20"/>
      <c r="R60" s="7"/>
      <c r="S60" s="20">
        <f>(-(SUM([2]H7!$FR$33:$GH$33)/1000)-(SUM([2]H7!$FR$37:$GH$37)/1000))/S51</f>
        <v>9.3520989034926713E-2</v>
      </c>
      <c r="T60" s="20">
        <f>(-(SUM([2]H7!$FR$34:$GH$34)/1000)-(SUM([2]H7!$FR$38:$GH$38)/1000))/T51</f>
        <v>0.27373955037968029</v>
      </c>
      <c r="U60" s="20">
        <f>(-(SUM([2]H7!$FR$35:$GH$35)/1000)-(SUM([2]H7!$FR$39:$GH$39)/1000))/U51</f>
        <v>6.5917083799352308E-2</v>
      </c>
      <c r="V60" s="7"/>
    </row>
    <row r="61" spans="2:22" ht="20.149999999999999" customHeight="1" x14ac:dyDescent="0.25">
      <c r="B61" s="204"/>
      <c r="C61" s="9"/>
      <c r="D61" s="14" t="s">
        <v>79</v>
      </c>
      <c r="E61" s="8"/>
      <c r="F61" s="20">
        <v>0.78483007809741478</v>
      </c>
      <c r="G61" s="20">
        <v>0.70647630046884868</v>
      </c>
      <c r="H61" s="20">
        <v>0.90643951577321424</v>
      </c>
      <c r="I61" s="8"/>
      <c r="J61" s="29">
        <f>+J55+J56+J59+J60</f>
        <v>0.94680519904451343</v>
      </c>
      <c r="K61" s="20">
        <f>+K55+K56+K59+K60</f>
        <v>0.77353156192564898</v>
      </c>
      <c r="L61" s="20">
        <f>+L55+L56+L59+L60</f>
        <v>1.012071670947118</v>
      </c>
      <c r="M61" s="8"/>
      <c r="N61" s="8"/>
      <c r="O61" s="20">
        <v>0.78483007809741478</v>
      </c>
      <c r="P61" s="20">
        <v>0.70647630046884868</v>
      </c>
      <c r="Q61" s="20">
        <v>0.90643951577321424</v>
      </c>
      <c r="R61" s="8"/>
      <c r="S61" s="29">
        <f>+S55+S56+S59+S60</f>
        <v>1.0257101396310593</v>
      </c>
      <c r="T61" s="20">
        <f>+T55+T56+T59+T60</f>
        <v>1.4052449112666063</v>
      </c>
      <c r="U61" s="20">
        <f>+U55+U56+U59+U60</f>
        <v>1.0120716709471178</v>
      </c>
      <c r="V61" s="8"/>
    </row>
    <row r="62" spans="2:22" ht="19.5" customHeight="1" x14ac:dyDescent="0.25">
      <c r="B62" s="204"/>
      <c r="C62" s="9"/>
      <c r="D62" s="14" t="s">
        <v>34</v>
      </c>
      <c r="E62" s="6"/>
      <c r="F62" s="19">
        <v>45.460953930000031</v>
      </c>
      <c r="G62" s="19">
        <v>57.734353569999982</v>
      </c>
      <c r="H62" s="19">
        <v>17.516817525514227</v>
      </c>
      <c r="I62" s="6"/>
      <c r="J62" s="19">
        <f>+J76+J90</f>
        <v>0.88269859999998823</v>
      </c>
      <c r="K62" s="19">
        <f>+K76+K90</f>
        <v>3.8646346999999972</v>
      </c>
      <c r="L62" s="19">
        <f>+L76+L90</f>
        <v>-0.21076047311403454</v>
      </c>
      <c r="M62" s="6"/>
      <c r="N62" s="6"/>
      <c r="O62" s="19">
        <v>45.460953930000031</v>
      </c>
      <c r="P62" s="19">
        <v>57.734353569999982</v>
      </c>
      <c r="Q62" s="19">
        <v>17.516817525514227</v>
      </c>
      <c r="R62" s="6"/>
      <c r="S62" s="19">
        <f>+S76+S90</f>
        <v>-0.14541625999999694</v>
      </c>
      <c r="T62" s="19">
        <f>+T76+T90</f>
        <v>-2.3706631900000197</v>
      </c>
      <c r="U62" s="19">
        <f>+U76+U90</f>
        <v>-7.0253491038012553E-2</v>
      </c>
      <c r="V62" s="6"/>
    </row>
    <row r="63" spans="2:22" ht="7.5" customHeight="1" x14ac:dyDescent="0.25"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19.5" hidden="1" customHeight="1" outlineLevel="1" x14ac:dyDescent="0.25">
      <c r="B64" s="204" t="s">
        <v>100</v>
      </c>
      <c r="C64" s="9"/>
      <c r="D64" s="14" t="s">
        <v>19</v>
      </c>
      <c r="E64" s="6"/>
      <c r="F64" s="19">
        <v>208.45630805000005</v>
      </c>
      <c r="G64" s="19">
        <v>192.14014261</v>
      </c>
      <c r="H64" s="19">
        <v>184.88788181612301</v>
      </c>
      <c r="I64" s="6"/>
      <c r="J64" s="19">
        <f>+[2]H7!$C$33/1000</f>
        <v>18.427519699999991</v>
      </c>
      <c r="K64" s="19">
        <f>+[2]H7!$C$34/1000</f>
        <v>18.976355390000005</v>
      </c>
      <c r="L64" s="19">
        <f>+[2]H7!$C$35/1000</f>
        <v>19.385790450183769</v>
      </c>
      <c r="M64" s="6"/>
      <c r="N64" s="6"/>
      <c r="O64" s="19">
        <v>208.45630805000005</v>
      </c>
      <c r="P64" s="19">
        <v>192.14014261</v>
      </c>
      <c r="Q64" s="19">
        <v>184.88788181612301</v>
      </c>
      <c r="R64" s="6"/>
      <c r="S64" s="19">
        <f>+[2]H7!$EA$33/1000</f>
        <v>4.9598026899999983</v>
      </c>
      <c r="T64" s="19">
        <f>+[2]H7!$EA$34/1000</f>
        <v>5.087669829999995</v>
      </c>
      <c r="U64" s="19">
        <f>+[2]H7!$EA$35/1000</f>
        <v>5.3326778112629398</v>
      </c>
      <c r="V64" s="6"/>
    </row>
    <row r="65" spans="2:22" ht="20.149999999999999" hidden="1" customHeight="1" outlineLevel="1" x14ac:dyDescent="0.25">
      <c r="B65" s="204"/>
      <c r="C65" s="9"/>
      <c r="D65" s="14" t="s">
        <v>20</v>
      </c>
      <c r="E65" s="6"/>
      <c r="F65" s="19">
        <v>191.27992135000002</v>
      </c>
      <c r="G65" s="19">
        <v>178.36638785999997</v>
      </c>
      <c r="H65" s="19">
        <v>170.14364820475578</v>
      </c>
      <c r="I65" s="6"/>
      <c r="J65" s="19">
        <f>+[2]H7!$N$33/1000</f>
        <v>16.593700589999997</v>
      </c>
      <c r="K65" s="19">
        <f>+[2]H7!$N$34/1000</f>
        <v>17.064782769999997</v>
      </c>
      <c r="L65" s="19">
        <f>+[2]H7!$N$35/1000</f>
        <v>17.459096925132521</v>
      </c>
      <c r="M65" s="6"/>
      <c r="N65" s="6"/>
      <c r="O65" s="19">
        <v>191.27992135000002</v>
      </c>
      <c r="P65" s="19">
        <v>178.36638785999997</v>
      </c>
      <c r="Q65" s="19">
        <v>170.14364820475578</v>
      </c>
      <c r="R65" s="6"/>
      <c r="S65" s="19">
        <f>+[2]H7!$EL$33/1000</f>
        <v>5.6559887300000078</v>
      </c>
      <c r="T65" s="19">
        <f>+[2]H7!$EL$34/1000</f>
        <v>5.8499517799999845</v>
      </c>
      <c r="U65" s="19">
        <f>+[2]H7!$EL$35/1000</f>
        <v>5.8196989750441732</v>
      </c>
      <c r="V65" s="6"/>
    </row>
    <row r="66" spans="2:22" ht="19.5" hidden="1" customHeight="1" outlineLevel="1" x14ac:dyDescent="0.25">
      <c r="B66" s="204"/>
      <c r="C66" s="9"/>
      <c r="D66" s="14" t="s">
        <v>92</v>
      </c>
      <c r="E66" s="6"/>
      <c r="F66" s="20" t="e">
        <f>F69-F67-F68</f>
        <v>#REF!</v>
      </c>
      <c r="G66" s="20" t="e">
        <f>G69-G67-G68</f>
        <v>#REF!</v>
      </c>
      <c r="H66" s="20" t="e">
        <f>H69-H67-H68</f>
        <v>#REF!</v>
      </c>
      <c r="I66" s="6"/>
      <c r="J66" s="20">
        <f>-(SUM([2]H7!$O$33,[2]H7!$R$33:$V$33,[2]H7!$Y$33:$AB$33)/1000)/J65</f>
        <v>0.40000474445613482</v>
      </c>
      <c r="K66" s="20">
        <f>-(SUM([2]H7!$O$34,[2]H7!$R$34:$V$34,[2]H7!$Y$34:$AB$34)/1000)/K65</f>
        <v>0.44536050428727503</v>
      </c>
      <c r="L66" s="20">
        <f>-(SUM([2]H7!$O$35,[2]H7!$R$35:$V$35,[2]H7!$Y$35:$AB$35)/1000)/L65</f>
        <v>0.34495691313205473</v>
      </c>
      <c r="M66" s="6"/>
      <c r="N66" s="6"/>
      <c r="O66" s="20" t="e">
        <f>O69-O67-O68</f>
        <v>#REF!</v>
      </c>
      <c r="P66" s="20" t="e">
        <f>P69-P67-P68</f>
        <v>#REF!</v>
      </c>
      <c r="Q66" s="20" t="e">
        <f>Q69-Q67-Q68</f>
        <v>#REF!</v>
      </c>
      <c r="R66" s="6"/>
      <c r="S66" s="20">
        <f>-(SUM([2]H7!$EM$33,[2]H7!$EP$33:$ET$33,[2]H7!$EW$33:$EZ$33)/1000)/S65</f>
        <v>0.35216680735563921</v>
      </c>
      <c r="T66" s="20">
        <f>-(SUM([2]H7!$EM$34,[2]H7!$EP$34:$ET$34,[2]H7!$EW$34:$EZ$34)/1000)/T65</f>
        <v>0.5280967947018208</v>
      </c>
      <c r="U66" s="20">
        <f>-(SUM([2]H7!$EM$35,[2]H7!$EP$35:$ET$35,[2]H7!$EW$35:$EZ$35)/1000)/U65</f>
        <v>0.34495691313205468</v>
      </c>
      <c r="V66" s="6"/>
    </row>
    <row r="67" spans="2:22" ht="19.5" hidden="1" customHeight="1" outlineLevel="1" x14ac:dyDescent="0.25">
      <c r="B67" s="204"/>
      <c r="C67" s="9"/>
      <c r="D67" s="14" t="s">
        <v>93</v>
      </c>
      <c r="E67" s="6"/>
      <c r="F67" s="20">
        <f>IFERROR(SUM(INDEX(LL_TOT_BR_YTD,1,Month),INDEX(LL_IBNR_TOT_BR_YTD,1,Month))/F65,0)</f>
        <v>0</v>
      </c>
      <c r="G67" s="20">
        <f>IFERROR(SUM(INDEX(LL_TOT_BR_YTD_PREV,1,Month),INDEX(LL_IBNR_TOT_BR_YTD_PREV,1,Month))/G65,0)</f>
        <v>0</v>
      </c>
      <c r="H67" s="20">
        <f>IFERROR(SUM(INDEX(LL_TOT_BR_YTD_PLAN,1,Month),INDEX(LL_IBNR_TOT_BR_YTD_PLAN,1,Month))/H65,0)</f>
        <v>0</v>
      </c>
      <c r="I67" s="6"/>
      <c r="J67" s="20">
        <f>-(SUM([2]H7!$Q$33,[2]H7!$X$33)/1000)/J65</f>
        <v>5.3019561920120029E-2</v>
      </c>
      <c r="K67" s="20">
        <f>-(SUM([2]H7!$Q$34,[2]H7!$X$34)/1000)/K65</f>
        <v>4.3003887590653468E-2</v>
      </c>
      <c r="L67" s="20">
        <f>-(SUM([2]H7!$Q$35,[2]H7!$X$35)/1000)/L65</f>
        <v>5.0645972067498456E-2</v>
      </c>
      <c r="M67" s="6"/>
      <c r="N67" s="6"/>
      <c r="O67" s="20">
        <f>IFERROR(SUM(INDEX(LL_TOT_BR_YTD,1,Month),INDEX(LL_IBNR_TOT_BR_YTD,1,Month))/O65,0)</f>
        <v>0</v>
      </c>
      <c r="P67" s="20">
        <f>IFERROR(SUM(INDEX(LL_TOT_BR_YTD_PREV,1,Month),INDEX(LL_IBNR_TOT_BR_YTD_PREV,1,Month))/P65,0)</f>
        <v>0</v>
      </c>
      <c r="Q67" s="20">
        <f>IFERROR(SUM(INDEX(LL_TOT_BR_YTD_PLAN,1,Month),INDEX(LL_IBNR_TOT_BR_YTD_PLAN,1,Month))/Q65,0)</f>
        <v>0</v>
      </c>
      <c r="R67" s="6"/>
      <c r="S67" s="20">
        <f>-(SUM([2]H7!$EO$33,[2]H7!$EV$33)/1000)/S65</f>
        <v>6.2942524023809412E-2</v>
      </c>
      <c r="T67" s="20">
        <f>-(SUM([2]H7!$EO$34,[2]H7!$EV$34)/1000)/T65</f>
        <v>5.0110696095651913E-2</v>
      </c>
      <c r="U67" s="20">
        <f>-(SUM([2]H7!$EO$35,[2]H7!$EV$35)/1000)/U65</f>
        <v>5.0645972067498442E-2</v>
      </c>
      <c r="V67" s="6"/>
    </row>
    <row r="68" spans="2:22" ht="19.5" hidden="1" customHeight="1" outlineLevel="1" x14ac:dyDescent="0.25">
      <c r="B68" s="204"/>
      <c r="C68" s="9"/>
      <c r="D68" s="14" t="s">
        <v>94</v>
      </c>
      <c r="E68" s="6"/>
      <c r="F68" s="20" t="e">
        <f>INDEX(NatCat_TOT_BR_YTD,1,Month)/F65</f>
        <v>#REF!</v>
      </c>
      <c r="G68" s="20" t="e">
        <f>INDEX(NatCat_TOT_BR_YTD_PREV,1,Month)/G65</f>
        <v>#REF!</v>
      </c>
      <c r="H68" s="20" t="e">
        <f>INDEX(NatCat_TOT_BR_YTD_PLAN,1,Month)/H65</f>
        <v>#REF!</v>
      </c>
      <c r="I68" s="6"/>
      <c r="J68" s="20">
        <f>-(SUM([2]H7!$P$33,[2]H7!$W$33)/1000)/J65</f>
        <v>9.5048165503870911E-3</v>
      </c>
      <c r="K68" s="20">
        <f>-(SUM([2]H7!$P$34,[2]H7!$W$34)/1000)/K65</f>
        <v>0</v>
      </c>
      <c r="L68" s="20">
        <f>-(SUM([2]H7!$P$35,[2]H7!$W$35)/1000)/L65</f>
        <v>0.11792225823105755</v>
      </c>
      <c r="M68" s="6"/>
      <c r="N68" s="6"/>
      <c r="O68" s="20" t="e">
        <f>INDEX(NatCat_TOT_BR_YTD,1,Month)/O65</f>
        <v>#REF!</v>
      </c>
      <c r="P68" s="20" t="e">
        <f>INDEX(NatCat_TOT_BR_YTD_PREV,1,Month)/P65</f>
        <v>#REF!</v>
      </c>
      <c r="Q68" s="20" t="e">
        <f>INDEX(NatCat_TOT_BR_YTD_PLAN,1,Month)/Q65</f>
        <v>#REF!</v>
      </c>
      <c r="R68" s="6"/>
      <c r="S68" s="20">
        <f>-(SUM([2]H7!$EN$33,[2]H7!$EU$33)/1000)/S65</f>
        <v>2.7885501108486085E-2</v>
      </c>
      <c r="T68" s="20">
        <f>-(SUM([2]H7!$EN$34,[2]H7!$EU$34)/1000)/T65</f>
        <v>0</v>
      </c>
      <c r="U68" s="20">
        <f>-(SUM([2]H7!$EN$35,[2]H7!$EU$35)/1000)/U65</f>
        <v>0.11792225823105758</v>
      </c>
      <c r="V68" s="6"/>
    </row>
    <row r="69" spans="2:22" ht="19.5" hidden="1" customHeight="1" outlineLevel="2" x14ac:dyDescent="0.25">
      <c r="B69" s="204"/>
      <c r="C69" s="9"/>
      <c r="D69" s="14" t="s">
        <v>95</v>
      </c>
      <c r="E69" s="7"/>
      <c r="F69" s="20">
        <v>0.57724464214915872</v>
      </c>
      <c r="G69" s="20">
        <v>0.51933459976050433</v>
      </c>
      <c r="H69" s="20">
        <v>0.6506701480974969</v>
      </c>
      <c r="I69" s="7"/>
      <c r="J69" s="20">
        <f>+J66+J67+J68</f>
        <v>0.46252912292664194</v>
      </c>
      <c r="K69" s="20">
        <f>+K66+K67+K68</f>
        <v>0.48836439187792852</v>
      </c>
      <c r="L69" s="20">
        <f>+L66+L67+L68</f>
        <v>0.51352514343061073</v>
      </c>
      <c r="M69" s="7"/>
      <c r="N69" s="7"/>
      <c r="O69" s="20">
        <v>0.57724464214915872</v>
      </c>
      <c r="P69" s="20">
        <v>0.51933459976050433</v>
      </c>
      <c r="Q69" s="20">
        <v>0.6506701480974969</v>
      </c>
      <c r="R69" s="7"/>
      <c r="S69" s="20">
        <f>+S66+S67+S68</f>
        <v>0.4429948324879347</v>
      </c>
      <c r="T69" s="20">
        <f>+T66+T67+T68</f>
        <v>0.57820749079747269</v>
      </c>
      <c r="U69" s="20">
        <f>+U66+U67+U68</f>
        <v>0.51352514343061073</v>
      </c>
      <c r="V69" s="7"/>
    </row>
    <row r="70" spans="2:22" ht="20.149999999999999" hidden="1" customHeight="1" outlineLevel="1" x14ac:dyDescent="0.25">
      <c r="B70" s="204"/>
      <c r="C70" s="9"/>
      <c r="D70" s="14" t="s">
        <v>96</v>
      </c>
      <c r="E70" s="7"/>
      <c r="F70" s="20">
        <v>-5.2351025655626104E-2</v>
      </c>
      <c r="G70" s="20">
        <v>-9.3800548302475445E-2</v>
      </c>
      <c r="H70" s="20">
        <v>-2.9386933057782183E-3</v>
      </c>
      <c r="I70" s="7"/>
      <c r="J70" s="20">
        <f>-(SUM([2]H7!$AC$33:$AK$33)/1000)/J65</f>
        <v>-5.3991265247964819E-2</v>
      </c>
      <c r="K70" s="20">
        <f>-(SUM([2]H7!$AC$34:$AK$34)/1000)/K65</f>
        <v>-0.29165770857333922</v>
      </c>
      <c r="L70" s="20">
        <f>-(SUM([2]H7!$AC$35:$AK$35)/1000)/L65</f>
        <v>-8.7756002836118126E-3</v>
      </c>
      <c r="M70" s="7"/>
      <c r="N70" s="7"/>
      <c r="O70" s="20">
        <v>-5.2351025655626104E-2</v>
      </c>
      <c r="P70" s="20">
        <v>-9.3800548302475445E-2</v>
      </c>
      <c r="Q70" s="20">
        <v>-2.9386933057782183E-3</v>
      </c>
      <c r="R70" s="7"/>
      <c r="S70" s="20">
        <f>-(SUM([2]H7!$FA$33:$FI$33)/1000)/S65</f>
        <v>0.11237895624307578</v>
      </c>
      <c r="T70" s="20">
        <f>-(SUM([2]H7!$FA$34:$FI$34)/1000)/T65</f>
        <v>0.12784782304650072</v>
      </c>
      <c r="U70" s="20">
        <f>-(SUM([2]H7!$FA$35:$FI$35)/1000)/U65</f>
        <v>-8.7756002836118143E-3</v>
      </c>
      <c r="V70" s="7"/>
    </row>
    <row r="71" spans="2:22" ht="20.149999999999999" hidden="1" customHeight="1" outlineLevel="2" x14ac:dyDescent="0.25">
      <c r="B71" s="204"/>
      <c r="C71" s="9"/>
      <c r="D71" s="15" t="s">
        <v>87</v>
      </c>
      <c r="E71" s="7"/>
      <c r="F71" s="20">
        <v>0.1593842372206726</v>
      </c>
      <c r="G71" s="20">
        <v>0.16249233029683222</v>
      </c>
      <c r="H71" s="20">
        <v>0.16586500507764584</v>
      </c>
      <c r="I71" s="7"/>
      <c r="J71" s="20">
        <f>-(SUM([2]H7!$AL$33:$AN$33)/1000)/J65</f>
        <v>0.25228697584930987</v>
      </c>
      <c r="K71" s="20">
        <f>-(SUM([2]H7!$AL$34:$AN$34)/1000)/K65</f>
        <v>0.26653036205042729</v>
      </c>
      <c r="L71" s="20">
        <f>-(SUM([2]H7!$AL$35:$AN$35)/1000)/L65</f>
        <v>0.2624585993703421</v>
      </c>
      <c r="M71" s="7"/>
      <c r="N71" s="7"/>
      <c r="O71" s="20">
        <v>0.1593842372206726</v>
      </c>
      <c r="P71" s="20">
        <v>0.16249233029683222</v>
      </c>
      <c r="Q71" s="20">
        <v>0.16586500507764584</v>
      </c>
      <c r="R71" s="7"/>
      <c r="S71" s="20">
        <f>-(SUM([2]H7!$FJ$33:$FL$33)/1000)/S65</f>
        <v>0.21964191042509429</v>
      </c>
      <c r="T71" s="20">
        <f>-(SUM([2]H7!$FJ$34:$FL$34)/1000)/T65</f>
        <v>0.26991971547498855</v>
      </c>
      <c r="U71" s="20">
        <f>-(SUM([2]H7!$FJ$35:$FL$35)/1000)/U65</f>
        <v>0.2624585993703421</v>
      </c>
      <c r="V71" s="7"/>
    </row>
    <row r="72" spans="2:22" ht="20.149999999999999" hidden="1" customHeight="1" outlineLevel="2" x14ac:dyDescent="0.25">
      <c r="B72" s="204"/>
      <c r="C72" s="9"/>
      <c r="D72" s="15" t="s">
        <v>88</v>
      </c>
      <c r="E72" s="7"/>
      <c r="F72" s="20">
        <v>9.5952978914166626E-2</v>
      </c>
      <c r="G72" s="20">
        <v>0.10808077408133257</v>
      </c>
      <c r="H72" s="20">
        <v>0.10585752916389896</v>
      </c>
      <c r="I72" s="7"/>
      <c r="J72" s="20">
        <f>-(SUM([2]H7!$AO$33:$AR$33)/1000)/J65</f>
        <v>0.18037406507164175</v>
      </c>
      <c r="K72" s="20">
        <f>-(SUM([2]H7!$AO$34:$AR$34)/1000)/K65</f>
        <v>0.15600832286480962</v>
      </c>
      <c r="L72" s="20">
        <f>-(SUM([2]H7!$AO$35:$AR$35)/1000)/L65</f>
        <v>0.17894644463042458</v>
      </c>
      <c r="M72" s="7"/>
      <c r="N72" s="7"/>
      <c r="O72" s="20">
        <v>9.5952978914166626E-2</v>
      </c>
      <c r="P72" s="20">
        <v>0.10808077408133257</v>
      </c>
      <c r="Q72" s="20">
        <v>0.10585752916389896</v>
      </c>
      <c r="R72" s="7"/>
      <c r="S72" s="20">
        <f>-(SUM([2]H7!$FM$33:$FP$33)/1000)/S65</f>
        <v>0.1571734514400277</v>
      </c>
      <c r="T72" s="20">
        <f>-(SUM([2]H7!$FM$34:$FP$34)/1000)/T65</f>
        <v>0.1555303315679642</v>
      </c>
      <c r="U72" s="20">
        <f>-(SUM([2]H7!$FM$35:$FP$35)/1000)/U65</f>
        <v>0.17894644463042456</v>
      </c>
      <c r="V72" s="7"/>
    </row>
    <row r="73" spans="2:22" ht="20.149999999999999" hidden="1" customHeight="1" outlineLevel="1" x14ac:dyDescent="0.25">
      <c r="B73" s="204"/>
      <c r="C73" s="9"/>
      <c r="D73" s="14" t="s">
        <v>97</v>
      </c>
      <c r="E73" s="7"/>
      <c r="F73" s="20">
        <v>0.25533721613483923</v>
      </c>
      <c r="G73" s="20">
        <v>0.27057310437816473</v>
      </c>
      <c r="H73" s="20">
        <v>0.27172253424154474</v>
      </c>
      <c r="I73" s="7"/>
      <c r="J73" s="20">
        <f>+J71+J72</f>
        <v>0.43266104092095159</v>
      </c>
      <c r="K73" s="20">
        <f>+K71+K72</f>
        <v>0.42253868491523694</v>
      </c>
      <c r="L73" s="20">
        <f>+L71+L72</f>
        <v>0.44140504400076669</v>
      </c>
      <c r="M73" s="7"/>
      <c r="N73" s="7"/>
      <c r="O73" s="20">
        <v>0.25533721613483923</v>
      </c>
      <c r="P73" s="20">
        <v>0.27057310437816473</v>
      </c>
      <c r="Q73" s="20">
        <v>0.27172253424154474</v>
      </c>
      <c r="R73" s="7"/>
      <c r="S73" s="20">
        <f>+S71+S72</f>
        <v>0.37681536186512199</v>
      </c>
      <c r="T73" s="20">
        <f>+T71+T72</f>
        <v>0.42545004704295275</v>
      </c>
      <c r="U73" s="20">
        <f>+U71+U72</f>
        <v>0.44140504400076663</v>
      </c>
      <c r="V73" s="7"/>
    </row>
    <row r="74" spans="2:22" ht="20.149999999999999" hidden="1" customHeight="1" outlineLevel="1" x14ac:dyDescent="0.25">
      <c r="B74" s="204"/>
      <c r="C74" s="9"/>
      <c r="D74" s="14" t="s">
        <v>90</v>
      </c>
      <c r="E74" s="7"/>
      <c r="F74" s="20"/>
      <c r="G74" s="20"/>
      <c r="H74" s="20"/>
      <c r="I74" s="7"/>
      <c r="J74" s="20">
        <f>-(SUM([2]H7!$AT$33:$BJ$33)/1000/J65)</f>
        <v>0.10551251847072166</v>
      </c>
      <c r="K74" s="20">
        <f>-(SUM([2]H7!$AT$34:$BJ$34)/1000/K65)</f>
        <v>0.16185829536932372</v>
      </c>
      <c r="L74" s="20">
        <f>-(SUM([2]H7!$AT$35:$BJ$35)/1000/L65)</f>
        <v>6.5917083799352308E-2</v>
      </c>
      <c r="M74" s="7"/>
      <c r="N74" s="7"/>
      <c r="O74" s="20"/>
      <c r="P74" s="20"/>
      <c r="Q74" s="20"/>
      <c r="R74" s="7"/>
      <c r="S74" s="20">
        <f>-(SUM([2]H7!$FR$33:$GH$33)/1000/S65)</f>
        <v>9.3447217671524432E-2</v>
      </c>
      <c r="T74" s="20">
        <f>-(SUM([2]H7!$FR$34:$GH$34)/1000/T65)</f>
        <v>0.27294859685151296</v>
      </c>
      <c r="U74" s="20">
        <f>-(SUM([2]H7!$FR$35:$GH$35)/1000/U65)</f>
        <v>6.5917083799352308E-2</v>
      </c>
      <c r="V74" s="7"/>
    </row>
    <row r="75" spans="2:22" ht="20.149999999999999" hidden="1" customHeight="1" outlineLevel="1" x14ac:dyDescent="0.25">
      <c r="B75" s="204"/>
      <c r="C75" s="9"/>
      <c r="D75" s="14" t="s">
        <v>79</v>
      </c>
      <c r="E75" s="8"/>
      <c r="F75" s="20">
        <v>0.7802308326283719</v>
      </c>
      <c r="G75" s="20">
        <v>0.69610715583619387</v>
      </c>
      <c r="H75" s="20">
        <v>0.91945398903326336</v>
      </c>
      <c r="I75" s="8"/>
      <c r="J75" s="20">
        <f>+J69+J70+J73+J74</f>
        <v>0.94671141707035034</v>
      </c>
      <c r="K75" s="20">
        <f>+K69+K70+K73+K74</f>
        <v>0.78110366358914995</v>
      </c>
      <c r="L75" s="20">
        <f>+L69+L70+L73+L74</f>
        <v>1.012071670947118</v>
      </c>
      <c r="M75" s="8"/>
      <c r="N75" s="8"/>
      <c r="O75" s="20">
        <v>0.7802308326283719</v>
      </c>
      <c r="P75" s="20">
        <v>0.69610715583619387</v>
      </c>
      <c r="Q75" s="20">
        <v>0.91945398903326336</v>
      </c>
      <c r="R75" s="8"/>
      <c r="S75" s="20">
        <f>+S69+S70+S73+S74</f>
        <v>1.025636368267657</v>
      </c>
      <c r="T75" s="20">
        <f>+T69+T70+T73+T74</f>
        <v>1.404453957738439</v>
      </c>
      <c r="U75" s="20">
        <f>+U69+U70+U73+U74</f>
        <v>1.0120716709471178</v>
      </c>
      <c r="V75" s="8"/>
    </row>
    <row r="76" spans="2:22" ht="19.5" hidden="1" customHeight="1" outlineLevel="1" x14ac:dyDescent="0.25">
      <c r="B76" s="204"/>
      <c r="C76" s="9"/>
      <c r="D76" s="14" t="s">
        <v>34</v>
      </c>
      <c r="E76" s="6"/>
      <c r="F76" s="19">
        <v>42.037429050000036</v>
      </c>
      <c r="G76" s="19">
        <v>54.204268909999989</v>
      </c>
      <c r="H76" s="19">
        <v>13.704392154220848</v>
      </c>
      <c r="I76" s="6"/>
      <c r="J76" s="19">
        <f>+[2]H7!$BK$33/1000</f>
        <v>0.88425478999998819</v>
      </c>
      <c r="K76" s="19">
        <f>+[2]H7!$BK$34/1000</f>
        <v>3.7354184299999971</v>
      </c>
      <c r="L76" s="19">
        <f>+[2]H7!$BK$35/1000</f>
        <v>-0.21076047311403454</v>
      </c>
      <c r="M76" s="6"/>
      <c r="N76" s="6"/>
      <c r="O76" s="19">
        <v>42.037429050000036</v>
      </c>
      <c r="P76" s="19">
        <v>54.204268909999989</v>
      </c>
      <c r="Q76" s="19">
        <v>13.704392154220848</v>
      </c>
      <c r="R76" s="6"/>
      <c r="S76" s="19">
        <f>+[2]H7!$GI$33/1000</f>
        <v>-0.14499900999999693</v>
      </c>
      <c r="T76" s="19">
        <f>+[2]H7!$GI$34/1000</f>
        <v>-2.3660361500000198</v>
      </c>
      <c r="U76" s="19">
        <f>+[2]H7!$GI$35/1000</f>
        <v>-7.0253491038012553E-2</v>
      </c>
      <c r="V76" s="6"/>
    </row>
    <row r="77" spans="2:22" ht="7.5" hidden="1" customHeight="1" outlineLevel="2" x14ac:dyDescent="0.25"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19.5" hidden="1" customHeight="1" outlineLevel="1" x14ac:dyDescent="0.25">
      <c r="B78" s="204" t="s">
        <v>101</v>
      </c>
      <c r="C78" s="9"/>
      <c r="D78" s="14" t="s">
        <v>19</v>
      </c>
      <c r="E78" s="6"/>
      <c r="F78" s="19">
        <v>20.927521469999995</v>
      </c>
      <c r="G78" s="19">
        <v>19.98443919</v>
      </c>
      <c r="H78" s="19">
        <v>18.16505169698857</v>
      </c>
      <c r="I78" s="6"/>
      <c r="J78" s="19">
        <f>+[2]H7!$C$37/1000</f>
        <v>0</v>
      </c>
      <c r="K78" s="19">
        <f>+[2]H7!$C$38/1000</f>
        <v>0</v>
      </c>
      <c r="L78" s="19">
        <f>+[2]H7!$C$39/1000</f>
        <v>0</v>
      </c>
      <c r="M78" s="6"/>
      <c r="N78" s="6"/>
      <c r="O78" s="19">
        <v>20.927521469999995</v>
      </c>
      <c r="P78" s="19">
        <v>19.98443919</v>
      </c>
      <c r="Q78" s="19">
        <v>18.16505169698857</v>
      </c>
      <c r="R78" s="6"/>
      <c r="S78" s="19">
        <f>+[2]H7!$EA$37/1000</f>
        <v>0</v>
      </c>
      <c r="T78" s="19">
        <f>+[2]H7!$EA$38/1000</f>
        <v>0</v>
      </c>
      <c r="U78" s="19">
        <f>+[2]H7!$EA$39/1000</f>
        <v>0</v>
      </c>
      <c r="V78" s="6"/>
    </row>
    <row r="79" spans="2:22" ht="20.149999999999999" hidden="1" customHeight="1" outlineLevel="1" x14ac:dyDescent="0.25">
      <c r="B79" s="204"/>
      <c r="C79" s="9"/>
      <c r="D79" s="14" t="s">
        <v>20</v>
      </c>
      <c r="E79" s="6"/>
      <c r="F79" s="19">
        <v>20.145695379999996</v>
      </c>
      <c r="G79" s="19">
        <v>18.32074828</v>
      </c>
      <c r="H79" s="19">
        <v>17.080880080651021</v>
      </c>
      <c r="I79" s="6"/>
      <c r="J79" s="19">
        <f>+[2]H7!$N$37/1000</f>
        <v>0</v>
      </c>
      <c r="K79" s="19">
        <f>+[2]H7!$N$38/1000</f>
        <v>0</v>
      </c>
      <c r="L79" s="19">
        <f>+[2]H7!$N$39/1000</f>
        <v>0</v>
      </c>
      <c r="M79" s="6"/>
      <c r="N79" s="6"/>
      <c r="O79" s="19">
        <v>20.145695379999996</v>
      </c>
      <c r="P79" s="19">
        <v>18.32074828</v>
      </c>
      <c r="Q79" s="19">
        <v>17.080880080651021</v>
      </c>
      <c r="R79" s="6"/>
      <c r="S79" s="19">
        <f>+[2]H7!$EL$37/1000</f>
        <v>0</v>
      </c>
      <c r="T79" s="19">
        <f>+[2]H7!$EL$38/1000</f>
        <v>0</v>
      </c>
      <c r="U79" s="19">
        <f>+[2]H7!$EL$39/1000</f>
        <v>0</v>
      </c>
      <c r="V79" s="6"/>
    </row>
    <row r="80" spans="2:22" ht="19.5" hidden="1" customHeight="1" outlineLevel="1" x14ac:dyDescent="0.25">
      <c r="B80" s="204"/>
      <c r="C80" s="9"/>
      <c r="D80" s="14" t="s">
        <v>82</v>
      </c>
      <c r="E80" s="6"/>
      <c r="F80" s="20">
        <f>F83-F81-F82</f>
        <v>0.61955878487029936</v>
      </c>
      <c r="G80" s="20">
        <f>G83-G81-G82</f>
        <v>0.61904819479349349</v>
      </c>
      <c r="H80" s="20">
        <f>H83-H81-H82</f>
        <v>0.51426139191916054</v>
      </c>
      <c r="I80" s="6"/>
      <c r="J80" s="20" t="e">
        <f>-(SUM([2]H7!$O$37,[2]H7!$R$37:$V$37,[2]H7!$Y$37:$AB$37)/1000)/J79</f>
        <v>#DIV/0!</v>
      </c>
      <c r="K80" s="20" t="e">
        <f>-(SUM([2]H7!$O$38,[2]H7!$R$38:$V$38,[2]H7!$Y$38:$AB$38)/1000)/K79</f>
        <v>#DIV/0!</v>
      </c>
      <c r="L80" s="20" t="e">
        <f>-(SUM([2]H7!$O$39,[2]H7!$R$39:$V$39,[2]H7!$Y$39:$AB$39)/1000)/L79</f>
        <v>#DIV/0!</v>
      </c>
      <c r="M80" s="6"/>
      <c r="N80" s="6"/>
      <c r="O80" s="20">
        <f>O83-O81-O82</f>
        <v>0.61955878487029936</v>
      </c>
      <c r="P80" s="20">
        <f>P83-P81-P82</f>
        <v>0.61904819479349349</v>
      </c>
      <c r="Q80" s="20">
        <f>Q83-Q81-Q82</f>
        <v>0.51426139191916054</v>
      </c>
      <c r="R80" s="6"/>
      <c r="S80" s="20" t="e">
        <f>-(SUM([2]H7!$EM$37,[2]H7!$EP$37:$ET$37,[2]H7!$EW$37:$EZ$37)/1000)/S79</f>
        <v>#DIV/0!</v>
      </c>
      <c r="T80" s="20" t="e">
        <f>-(SUM([2]H7!$EM$38,[2]H7!$EP$38:$ET$38,[2]H7!$EW$38:$EZ$38)/1000)/T79</f>
        <v>#DIV/0!</v>
      </c>
      <c r="U80" s="20" t="e">
        <f>-(SUM([2]H7!$EM$39,[2]H7!$EP$39:$ET$39,[2]H7!$EW$39:$EZ$39)/1000)/U79</f>
        <v>#DIV/0!</v>
      </c>
      <c r="V80" s="6"/>
    </row>
    <row r="81" spans="2:22" ht="19.5" hidden="1" customHeight="1" outlineLevel="1" x14ac:dyDescent="0.25">
      <c r="B81" s="204"/>
      <c r="C81" s="9"/>
      <c r="D81" s="14" t="s">
        <v>83</v>
      </c>
      <c r="E81" s="6"/>
      <c r="F81" s="20">
        <f>IFERROR(SUM(INDEX(LL_TOT_BR_YTD,7,Month),INDEX(LL_IBNR_TOT_BR_YTD,7,Month))/F79,0)</f>
        <v>0</v>
      </c>
      <c r="G81" s="20">
        <f>IFERROR(SUM(INDEX(LL_TOT_BR_YTD_PREV,7,Month),INDEX(LL_IBNR_TOT_BR_YTD_PREV,7,Month))/G79,0)</f>
        <v>0</v>
      </c>
      <c r="H81" s="20">
        <f>IFERROR(SUM(INDEX(LL_TOT_BR_YTD_PLAN,7,Month),INDEX(LL_IBNR_TOT_BR_YTD_PLAN,7,Month))/H79,0)</f>
        <v>0</v>
      </c>
      <c r="I81" s="6"/>
      <c r="J81" s="20" t="e">
        <f>-(SUM([2]H7!$Q$37,[2]H7!$X$37)/1000)/J79</f>
        <v>#DIV/0!</v>
      </c>
      <c r="K81" s="20" t="e">
        <f>-(SUM([2]H7!$Q$38,[2]H7!$X$38)/1000)/K79</f>
        <v>#DIV/0!</v>
      </c>
      <c r="L81" s="20" t="e">
        <f>-(SUM([2]H7!$Q$39,[2]H7!$X$39)/1000)/L79</f>
        <v>#DIV/0!</v>
      </c>
      <c r="M81" s="6"/>
      <c r="N81" s="6"/>
      <c r="O81" s="20">
        <f>IFERROR(SUM(INDEX(LL_TOT_BR_YTD,7,Month),INDEX(LL_IBNR_TOT_BR_YTD,7,Month))/O79,0)</f>
        <v>0</v>
      </c>
      <c r="P81" s="20">
        <f>IFERROR(SUM(INDEX(LL_TOT_BR_YTD_PREV,7,Month),INDEX(LL_IBNR_TOT_BR_YTD_PREV,7,Month))/P79,0)</f>
        <v>0</v>
      </c>
      <c r="Q81" s="20">
        <f>IFERROR(SUM(INDEX(LL_TOT_BR_YTD_PLAN,7,Month),INDEX(LL_IBNR_TOT_BR_YTD_PLAN,7,Month))/Q79,0)</f>
        <v>0</v>
      </c>
      <c r="R81" s="6"/>
      <c r="S81" s="20" t="e">
        <f>-(SUM([2]H7!$EO$37,[2]H7!$EV$37)/1000)/S79</f>
        <v>#DIV/0!</v>
      </c>
      <c r="T81" s="20" t="e">
        <f>-(SUM([2]H7!$EO$38,[2]H7!$EV$38)/1000)/T79</f>
        <v>#DIV/0!</v>
      </c>
      <c r="U81" s="20" t="e">
        <f>-(SUM([2]H7!$EO$39,[2]H7!$EV$39)/1000)/U79</f>
        <v>#DIV/0!</v>
      </c>
      <c r="V81" s="6"/>
    </row>
    <row r="82" spans="2:22" ht="19.5" hidden="1" customHeight="1" outlineLevel="1" x14ac:dyDescent="0.25">
      <c r="B82" s="204"/>
      <c r="C82" s="9"/>
      <c r="D82" s="14" t="s">
        <v>84</v>
      </c>
      <c r="E82" s="6"/>
      <c r="F82" s="20">
        <f>0</f>
        <v>0</v>
      </c>
      <c r="G82" s="20">
        <f>0</f>
        <v>0</v>
      </c>
      <c r="H82" s="20">
        <f>0</f>
        <v>0</v>
      </c>
      <c r="I82" s="6"/>
      <c r="J82" s="20" t="e">
        <f>-(SUM([2]H7!$P$37,[2]H7!$W$37)/1000)/J79</f>
        <v>#DIV/0!</v>
      </c>
      <c r="K82" s="20" t="e">
        <f>-(SUM([2]H7!$P$38,[2]H7!$W$38)/1000)/K79</f>
        <v>#DIV/0!</v>
      </c>
      <c r="L82" s="20" t="e">
        <f>-(SUM([2]H7!$P$39,[2]H7!$W$39)/1000)/L79</f>
        <v>#DIV/0!</v>
      </c>
      <c r="M82" s="6"/>
      <c r="N82" s="6"/>
      <c r="O82" s="20">
        <f>0</f>
        <v>0</v>
      </c>
      <c r="P82" s="20">
        <f>0</f>
        <v>0</v>
      </c>
      <c r="Q82" s="20">
        <f>0</f>
        <v>0</v>
      </c>
      <c r="R82" s="6"/>
      <c r="S82" s="20" t="e">
        <f>-(SUM([2]H7!$EN$37,[2]H7!$EU$37)/1000)/S79</f>
        <v>#DIV/0!</v>
      </c>
      <c r="T82" s="20" t="e">
        <f>-(SUM([2]H7!$EN$38,[2]H7!$EU$38)/1000)/T79</f>
        <v>#DIV/0!</v>
      </c>
      <c r="U82" s="20" t="e">
        <f>-(SUM([2]H7!$EN$39,[2]H7!$EU$39)/1000)/U79</f>
        <v>#DIV/0!</v>
      </c>
      <c r="V82" s="6"/>
    </row>
    <row r="83" spans="2:22" ht="19.5" hidden="1" customHeight="1" outlineLevel="2" x14ac:dyDescent="0.25">
      <c r="B83" s="204"/>
      <c r="C83" s="9"/>
      <c r="D83" s="14" t="s">
        <v>85</v>
      </c>
      <c r="E83" s="7"/>
      <c r="F83" s="20">
        <v>0.61955878487029936</v>
      </c>
      <c r="G83" s="20">
        <v>0.61904819479349349</v>
      </c>
      <c r="H83" s="20">
        <v>0.51426139191916054</v>
      </c>
      <c r="I83" s="7"/>
      <c r="J83" s="20" t="e">
        <f>+J80+J81+J82</f>
        <v>#DIV/0!</v>
      </c>
      <c r="K83" s="20" t="e">
        <f>+K80+K81+K82</f>
        <v>#DIV/0!</v>
      </c>
      <c r="L83" s="20" t="e">
        <f>+L80+L81+L82</f>
        <v>#DIV/0!</v>
      </c>
      <c r="M83" s="7"/>
      <c r="N83" s="7"/>
      <c r="O83" s="20">
        <v>0.61955878487029936</v>
      </c>
      <c r="P83" s="20">
        <v>0.61904819479349349</v>
      </c>
      <c r="Q83" s="20">
        <v>0.51426139191916054</v>
      </c>
      <c r="R83" s="7"/>
      <c r="S83" s="20" t="e">
        <f>+S80+S81+S82</f>
        <v>#DIV/0!</v>
      </c>
      <c r="T83" s="20" t="e">
        <f>+T80+T81+T82</f>
        <v>#DIV/0!</v>
      </c>
      <c r="U83" s="20" t="e">
        <f>+U80+U81+U82</f>
        <v>#DIV/0!</v>
      </c>
      <c r="V83" s="7"/>
    </row>
    <row r="84" spans="2:22" ht="20.149999999999999" hidden="1" customHeight="1" outlineLevel="1" x14ac:dyDescent="0.25">
      <c r="B84" s="204"/>
      <c r="C84" s="9"/>
      <c r="D84" s="14" t="s">
        <v>86</v>
      </c>
      <c r="E84" s="7"/>
      <c r="F84" s="20">
        <v>-3.1982752535792677E-2</v>
      </c>
      <c r="G84" s="20">
        <v>-5.6615916781757085E-2</v>
      </c>
      <c r="H84" s="20">
        <v>0</v>
      </c>
      <c r="I84" s="7"/>
      <c r="J84" s="20" t="e">
        <f>-(SUM([2]H7!$AC$37:$AK$37)/1000)/J79</f>
        <v>#DIV/0!</v>
      </c>
      <c r="K84" s="20" t="e">
        <f>-(SUM([2]H7!$AC$38:$AK$38)/1000)/K79</f>
        <v>#DIV/0!</v>
      </c>
      <c r="L84" s="20" t="e">
        <f>-(SUM([2]H7!$AC$39:$AK$39)/1000)/L79</f>
        <v>#DIV/0!</v>
      </c>
      <c r="M84" s="7"/>
      <c r="N84" s="7"/>
      <c r="O84" s="20">
        <v>-3.1982752535792677E-2</v>
      </c>
      <c r="P84" s="20">
        <v>-5.6615916781757085E-2</v>
      </c>
      <c r="Q84" s="20">
        <v>0</v>
      </c>
      <c r="R84" s="7"/>
      <c r="S84" s="20" t="e">
        <f>-(SUM([2]H7!$FA$37:$FI$37)/1000)/S79</f>
        <v>#DIV/0!</v>
      </c>
      <c r="T84" s="20" t="e">
        <f>-(SUM([2]H7!$FA$38:$FI$38)/1000)/T79</f>
        <v>#DIV/0!</v>
      </c>
      <c r="U84" s="20" t="e">
        <f>-(SUM([2]H7!$FA$39:$FI$39)/1000)/U79</f>
        <v>#DIV/0!</v>
      </c>
      <c r="V84" s="7"/>
    </row>
    <row r="85" spans="2:22" ht="20.149999999999999" hidden="1" customHeight="1" outlineLevel="2" x14ac:dyDescent="0.25">
      <c r="B85" s="204"/>
      <c r="C85" s="9"/>
      <c r="D85" s="15" t="s">
        <v>87</v>
      </c>
      <c r="E85" s="7"/>
      <c r="F85" s="20">
        <v>0.13755634083254961</v>
      </c>
      <c r="G85" s="20">
        <v>0.14024780706173212</v>
      </c>
      <c r="H85" s="20">
        <v>0.13207104343289405</v>
      </c>
      <c r="I85" s="7"/>
      <c r="J85" s="20" t="e">
        <f>-(SUM([2]H7!$AL$37:$AN$37)/1000)/J79</f>
        <v>#DIV/0!</v>
      </c>
      <c r="K85" s="20" t="e">
        <f>-(SUM([2]H7!$AL$38:$AN$38)/1000)/K79</f>
        <v>#DIV/0!</v>
      </c>
      <c r="L85" s="20" t="e">
        <f>-(SUM([2]H7!$AL$39:$AN$39)/1000)/L79</f>
        <v>#DIV/0!</v>
      </c>
      <c r="M85" s="7"/>
      <c r="N85" s="7"/>
      <c r="O85" s="20">
        <v>0.13755634083254961</v>
      </c>
      <c r="P85" s="20">
        <v>0.14024780706173212</v>
      </c>
      <c r="Q85" s="20">
        <v>0.13207104343289405</v>
      </c>
      <c r="R85" s="7"/>
      <c r="S85" s="20" t="e">
        <f>-(SUM([2]H7!$FJ$37:$FL$37)/1000)/S79</f>
        <v>#DIV/0!</v>
      </c>
      <c r="T85" s="20" t="e">
        <f>-(SUM([2]H7!$FJ$38:$FL$38)/1000)/T79</f>
        <v>#DIV/0!</v>
      </c>
      <c r="U85" s="20" t="e">
        <f>-(SUM([2]H7!$FJ$39:$FL$39)/1000)/U79</f>
        <v>#DIV/0!</v>
      </c>
      <c r="V85" s="7"/>
    </row>
    <row r="86" spans="2:22" ht="20.149999999999999" hidden="1" customHeight="1" outlineLevel="2" x14ac:dyDescent="0.25">
      <c r="B86" s="204"/>
      <c r="C86" s="9"/>
      <c r="D86" s="15" t="s">
        <v>88</v>
      </c>
      <c r="E86" s="7"/>
      <c r="F86" s="20">
        <v>0.10336675159236923</v>
      </c>
      <c r="G86" s="20">
        <v>0.10474770739003897</v>
      </c>
      <c r="H86" s="20">
        <v>0.13046914903398416</v>
      </c>
      <c r="I86" s="7"/>
      <c r="J86" s="20" t="e">
        <f>-(SUM([2]H7!$AO$37:$AR$37)/1000)/J79</f>
        <v>#DIV/0!</v>
      </c>
      <c r="K86" s="20" t="e">
        <f>-(SUM([2]H7!$AO$38:$AR$38)/1000)/K79</f>
        <v>#DIV/0!</v>
      </c>
      <c r="L86" s="20" t="e">
        <f>-(SUM([2]H7!$AO$39:$AR$39)/1000)/L79</f>
        <v>#DIV/0!</v>
      </c>
      <c r="M86" s="7"/>
      <c r="N86" s="7"/>
      <c r="O86" s="20">
        <v>0.10336675159236923</v>
      </c>
      <c r="P86" s="20">
        <v>0.10474770739003897</v>
      </c>
      <c r="Q86" s="20">
        <v>0.13046914903398416</v>
      </c>
      <c r="R86" s="7"/>
      <c r="S86" s="20" t="e">
        <f>-(SUM([2]H7!$FM$37:$FP$37)/1000)/S79</f>
        <v>#DIV/0!</v>
      </c>
      <c r="T86" s="20" t="e">
        <f>-(SUM([2]H7!$FM$38:$FP$38)/1000)/T79</f>
        <v>#DIV/0!</v>
      </c>
      <c r="U86" s="20" t="e">
        <f>-(SUM([2]H7!$FM$39:$FP$39)/1000)/U79</f>
        <v>#DIV/0!</v>
      </c>
      <c r="V86" s="7"/>
    </row>
    <row r="87" spans="2:22" ht="20.149999999999999" hidden="1" customHeight="1" outlineLevel="1" x14ac:dyDescent="0.25">
      <c r="B87" s="204"/>
      <c r="C87" s="9"/>
      <c r="D87" s="14" t="s">
        <v>89</v>
      </c>
      <c r="E87" s="7"/>
      <c r="F87" s="20">
        <v>0.2409230924249188</v>
      </c>
      <c r="G87" s="20">
        <v>0.24499551445177109</v>
      </c>
      <c r="H87" s="20">
        <v>0.26254019246687821</v>
      </c>
      <c r="I87" s="7"/>
      <c r="J87" s="20" t="e">
        <f>+J85+J86</f>
        <v>#DIV/0!</v>
      </c>
      <c r="K87" s="20" t="e">
        <f>+K85+K86</f>
        <v>#DIV/0!</v>
      </c>
      <c r="L87" s="20" t="e">
        <f>+L85+L86</f>
        <v>#DIV/0!</v>
      </c>
      <c r="M87" s="7"/>
      <c r="N87" s="7"/>
      <c r="O87" s="20">
        <v>0.2409230924249188</v>
      </c>
      <c r="P87" s="20">
        <v>0.24499551445177109</v>
      </c>
      <c r="Q87" s="20">
        <v>0.26254019246687821</v>
      </c>
      <c r="R87" s="7"/>
      <c r="S87" s="20" t="e">
        <f>+S85+S86</f>
        <v>#DIV/0!</v>
      </c>
      <c r="T87" s="20" t="e">
        <f>+T85+T86</f>
        <v>#DIV/0!</v>
      </c>
      <c r="U87" s="20" t="e">
        <f>+U85+U86</f>
        <v>#DIV/0!</v>
      </c>
      <c r="V87" s="7"/>
    </row>
    <row r="88" spans="2:22" ht="20.149999999999999" hidden="1" customHeight="1" outlineLevel="1" x14ac:dyDescent="0.25">
      <c r="B88" s="204"/>
      <c r="C88" s="9"/>
      <c r="D88" s="14" t="s">
        <v>90</v>
      </c>
      <c r="E88" s="7"/>
      <c r="F88" s="20"/>
      <c r="G88" s="20"/>
      <c r="H88" s="20"/>
      <c r="I88" s="7"/>
      <c r="J88" s="20" t="e">
        <f>-(SUM([2]H7!$AT$37:$BJ$37)/1000/J79)</f>
        <v>#DIV/0!</v>
      </c>
      <c r="K88" s="20" t="e">
        <f>-(SUM([2]H7!$AT$38:$BJ$38)/1000/K79)</f>
        <v>#DIV/0!</v>
      </c>
      <c r="L88" s="20" t="e">
        <f>-(SUM([2]H7!$AT$39:$BJ$39)/1000/L79)</f>
        <v>#DIV/0!</v>
      </c>
      <c r="M88" s="7"/>
      <c r="N88" s="7"/>
      <c r="O88" s="20"/>
      <c r="P88" s="20"/>
      <c r="Q88" s="20"/>
      <c r="R88" s="7"/>
      <c r="S88" s="20" t="e">
        <f>-(SUM([2]H7!$FR$37:$GH$37)/1000/S79)</f>
        <v>#DIV/0!</v>
      </c>
      <c r="T88" s="20" t="e">
        <f>-(SUM([2]H7!$FR$38:$GH$38)/1000/T79)</f>
        <v>#DIV/0!</v>
      </c>
      <c r="U88" s="20" t="e">
        <f>-(SUM([2]H7!$FR$39:$GH$39)/1000/U79)</f>
        <v>#DIV/0!</v>
      </c>
      <c r="V88" s="7"/>
    </row>
    <row r="89" spans="2:22" ht="20.149999999999999" hidden="1" customHeight="1" outlineLevel="1" x14ac:dyDescent="0.25">
      <c r="B89" s="204"/>
      <c r="C89" s="9"/>
      <c r="D89" s="14" t="s">
        <v>79</v>
      </c>
      <c r="E89" s="8"/>
      <c r="F89" s="20">
        <v>0.82849912475942544</v>
      </c>
      <c r="G89" s="20">
        <v>0.80742779246350749</v>
      </c>
      <c r="H89" s="20">
        <v>0.77680158438603875</v>
      </c>
      <c r="I89" s="8"/>
      <c r="J89" s="20" t="e">
        <f>+J83+J84+J87+J88</f>
        <v>#DIV/0!</v>
      </c>
      <c r="K89" s="20" t="e">
        <f>+K83+K84+K87+K88</f>
        <v>#DIV/0!</v>
      </c>
      <c r="L89" s="20" t="e">
        <f>+L83+L84+L87+L88</f>
        <v>#DIV/0!</v>
      </c>
      <c r="M89" s="8"/>
      <c r="N89" s="8"/>
      <c r="O89" s="20">
        <v>0.82849912475942544</v>
      </c>
      <c r="P89" s="20">
        <v>0.80742779246350749</v>
      </c>
      <c r="Q89" s="20">
        <v>0.77680158438603875</v>
      </c>
      <c r="R89" s="8"/>
      <c r="S89" s="20" t="e">
        <f>+S83+S84+S87+S88</f>
        <v>#DIV/0!</v>
      </c>
      <c r="T89" s="20" t="e">
        <f>+T83+T84+T87+T88</f>
        <v>#DIV/0!</v>
      </c>
      <c r="U89" s="20" t="e">
        <f>+U83+U84+U87+U88</f>
        <v>#DIV/0!</v>
      </c>
      <c r="V89" s="8"/>
    </row>
    <row r="90" spans="2:22" ht="19.5" hidden="1" customHeight="1" outlineLevel="1" x14ac:dyDescent="0.25">
      <c r="B90" s="204"/>
      <c r="C90" s="9"/>
      <c r="D90" s="14" t="s">
        <v>34</v>
      </c>
      <c r="E90" s="6"/>
      <c r="F90" s="19">
        <v>3.4235248799999982</v>
      </c>
      <c r="G90" s="19">
        <v>3.5300846599999987</v>
      </c>
      <c r="H90" s="19">
        <v>3.8124253712933789</v>
      </c>
      <c r="I90" s="6"/>
      <c r="J90" s="19">
        <f>+[2]H7!$BK$37/1000</f>
        <v>-1.5561899999999801E-3</v>
      </c>
      <c r="K90" s="19">
        <f>+[2]H7!$BK$38/1000</f>
        <v>0.12921627000000005</v>
      </c>
      <c r="L90" s="19">
        <f>+[2]H7!$BK$39/1000</f>
        <v>0</v>
      </c>
      <c r="M90" s="6"/>
      <c r="N90" s="6"/>
      <c r="O90" s="19">
        <v>3.4235248799999982</v>
      </c>
      <c r="P90" s="19">
        <v>3.5300846599999987</v>
      </c>
      <c r="Q90" s="19">
        <v>3.8124253712933789</v>
      </c>
      <c r="R90" s="6"/>
      <c r="S90" s="19">
        <f>+[2]H7!$GI$37/1000</f>
        <v>-4.172499999999958E-4</v>
      </c>
      <c r="T90" s="19">
        <f>+[2]H7!$GI$38/1000</f>
        <v>-4.6270399999999738E-3</v>
      </c>
      <c r="U90" s="19">
        <f>+[2]H7!$GI$39/1000</f>
        <v>0</v>
      </c>
      <c r="V90" s="6"/>
    </row>
    <row r="91" spans="2:22" ht="7.5" hidden="1" customHeight="1" outlineLevel="1" x14ac:dyDescent="0.25">
      <c r="C91" s="9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19.5" customHeight="1" collapsed="1" x14ac:dyDescent="0.25">
      <c r="B92" s="204" t="s">
        <v>102</v>
      </c>
      <c r="C92" s="9"/>
      <c r="D92" s="14" t="s">
        <v>19</v>
      </c>
      <c r="E92" s="6"/>
      <c r="F92" s="19">
        <v>73.936491399999994</v>
      </c>
      <c r="G92" s="19">
        <v>67.736238929999985</v>
      </c>
      <c r="H92" s="19">
        <v>64.262486641781877</v>
      </c>
      <c r="I92" s="6"/>
      <c r="J92" s="19">
        <f>+[2]H7!$C$41/1000</f>
        <v>5.3335010600000006</v>
      </c>
      <c r="K92" s="19">
        <f>+[2]H7!$C$42/1000</f>
        <v>5.3596014500000004</v>
      </c>
      <c r="L92" s="19">
        <f>+[2]H7!$C$43/1000</f>
        <v>5.2150683106825948</v>
      </c>
      <c r="M92" s="6"/>
      <c r="N92" s="6"/>
      <c r="O92" s="19">
        <v>73.936491399999994</v>
      </c>
      <c r="P92" s="19">
        <v>67.736238929999985</v>
      </c>
      <c r="Q92" s="19">
        <v>64.262486641781877</v>
      </c>
      <c r="R92" s="6"/>
      <c r="S92" s="19">
        <f>+[2]H7!$EA$41/1000</f>
        <v>0.92063143999999919</v>
      </c>
      <c r="T92" s="19">
        <f>+[2]H7!$EA$42/1000</f>
        <v>1.0016064399999995</v>
      </c>
      <c r="U92" s="19">
        <f>+[2]H7!$EA$43/1000</f>
        <v>1.0327141328704592</v>
      </c>
      <c r="V92" s="6"/>
    </row>
    <row r="93" spans="2:22" ht="20.149999999999999" customHeight="1" x14ac:dyDescent="0.25">
      <c r="B93" s="204"/>
      <c r="C93" s="9"/>
      <c r="D93" s="14" t="s">
        <v>20</v>
      </c>
      <c r="E93" s="6"/>
      <c r="F93" s="19">
        <v>71.393375890000002</v>
      </c>
      <c r="G93" s="19">
        <v>64.477333239999979</v>
      </c>
      <c r="H93" s="19">
        <v>61.30179304965408</v>
      </c>
      <c r="I93" s="6"/>
      <c r="J93" s="19">
        <f>+[2]H7!$N$41/1000</f>
        <v>3.5466447100000025</v>
      </c>
      <c r="K93" s="19">
        <f>+[2]H7!$N$42/1000</f>
        <v>3.6053734900000016</v>
      </c>
      <c r="L93" s="19">
        <f>+[2]H7!$N$43/1000</f>
        <v>3.6334221880095745</v>
      </c>
      <c r="M93" s="6"/>
      <c r="N93" s="6"/>
      <c r="O93" s="19">
        <v>71.393375890000002</v>
      </c>
      <c r="P93" s="19">
        <v>64.477333239999979</v>
      </c>
      <c r="Q93" s="19">
        <v>61.30179304965408</v>
      </c>
      <c r="R93" s="6"/>
      <c r="S93" s="19">
        <f>+[2]H7!$EL$41/1000</f>
        <v>1.202110310000001</v>
      </c>
      <c r="T93" s="19">
        <f>+[2]H7!$EL$42/1000</f>
        <v>1.2464260000000005</v>
      </c>
      <c r="U93" s="19">
        <f>+[2]H7!$EL$43/1000</f>
        <v>1.2111407293365246</v>
      </c>
      <c r="V93" s="6"/>
    </row>
    <row r="94" spans="2:22" ht="19.5" customHeight="1" x14ac:dyDescent="0.25">
      <c r="B94" s="204"/>
      <c r="C94" s="9"/>
      <c r="D94" s="14" t="s">
        <v>92</v>
      </c>
      <c r="E94" s="6"/>
      <c r="F94" s="20">
        <f>F97-F95-F96</f>
        <v>0.60213230266957196</v>
      </c>
      <c r="G94" s="20">
        <f>G97-G95-G96</f>
        <v>0.49213122930950809</v>
      </c>
      <c r="H94" s="20">
        <f>H97-H95-H96</f>
        <v>0.56878005443336044</v>
      </c>
      <c r="I94" s="6"/>
      <c r="J94" s="20">
        <f>-(SUM([2]H7!$O$41,[2]H7!$R$41:$V$41,[2]H7!$Y$41:$AB$41)/1000)/J93</f>
        <v>0.40283283046281376</v>
      </c>
      <c r="K94" s="20">
        <f>-(SUM([2]H7!$O$42,[2]H7!$R$42:$V$42,[2]H7!$Y$42:$AB$42)/1000)/K93</f>
        <v>0.57362769647479694</v>
      </c>
      <c r="L94" s="20">
        <f>-(SUM([2]H7!$O$43,[2]H7!$R$43:$V$43,[2]H7!$Y$43:$AB$43)/1000)/L93</f>
        <v>0.37108207888922401</v>
      </c>
      <c r="M94" s="6"/>
      <c r="N94" s="6"/>
      <c r="O94" s="20">
        <f>O97-O95-O96</f>
        <v>0.60213230266957196</v>
      </c>
      <c r="P94" s="20">
        <f>P97-P95-P96</f>
        <v>0.49213122930950809</v>
      </c>
      <c r="Q94" s="20">
        <f>Q97-Q95-Q96</f>
        <v>0.56878005443336044</v>
      </c>
      <c r="R94" s="6"/>
      <c r="S94" s="20">
        <f>-(SUM([2]H7!$EM$41,[2]H7!$EP$41:$ET$41,[2]H7!$EW$41:$EZ$41)/1000)/S93</f>
        <v>0.42579534862227864</v>
      </c>
      <c r="T94" s="20">
        <f>-(SUM([2]H7!$EM$42,[2]H7!$EP$42:$ET$42,[2]H7!$EW$42:$EZ$42)/1000)/T93</f>
        <v>0.92788073714242092</v>
      </c>
      <c r="U94" s="20">
        <f>-(SUM([2]H7!$EM$43,[2]H7!$EP$43:$ET$43,[2]H7!$EW$43:$EZ$43)/1000)/U93</f>
        <v>0.37108207888922401</v>
      </c>
      <c r="V94" s="6"/>
    </row>
    <row r="95" spans="2:22" ht="19.5" customHeight="1" x14ac:dyDescent="0.25">
      <c r="B95" s="204"/>
      <c r="C95" s="9"/>
      <c r="D95" s="14" t="s">
        <v>93</v>
      </c>
      <c r="E95" s="6"/>
      <c r="F95" s="20">
        <f>IFERROR(SUM(INDEX(LL_TOT_BR_YTD,4,Month),INDEX(LL_IBNR_TOT_BR_YTD,4,Month))/F93,0)</f>
        <v>0</v>
      </c>
      <c r="G95" s="20">
        <f>IFERROR(SUM(INDEX(LL_TOT_BR_YTD_PREV,4,Month),INDEX(LL_IBNR_TOT_BR_YTD_PREV,4,Month))/G93,0)</f>
        <v>0</v>
      </c>
      <c r="H95" s="20">
        <f>IFERROR(SUM(INDEX(LL_TOT_BR_YTD_PLAN,4,Month),INDEX(LL_IBNR_TOT_BR_YTD_PLAN,4,Month))/H93,0)</f>
        <v>0</v>
      </c>
      <c r="I95" s="6"/>
      <c r="J95" s="20">
        <f>-(SUM([2]H7!$Q$41,[2]H7!$X$41)/1000)/J93</f>
        <v>8.018059210242505E-2</v>
      </c>
      <c r="K95" s="20">
        <f>-(SUM([2]H7!$Q$42,[2]H7!$X$42)/1000)/K93</f>
        <v>1.4438448650156347E-2</v>
      </c>
      <c r="L95" s="20">
        <f>-(SUM([2]H7!$Q$43,[2]H7!$X$43)/1000)/L93</f>
        <v>7.8987892451833297E-2</v>
      </c>
      <c r="M95" s="6"/>
      <c r="N95" s="6"/>
      <c r="O95" s="20">
        <f>IFERROR(SUM(INDEX(LL_TOT_BR_YTD,4,Month),INDEX(LL_IBNR_TOT_BR_YTD,4,Month))/O93,0)</f>
        <v>0</v>
      </c>
      <c r="P95" s="20">
        <f>IFERROR(SUM(INDEX(LL_TOT_BR_YTD_PREV,4,Month),INDEX(LL_IBNR_TOT_BR_YTD_PREV,4,Month))/P93,0)</f>
        <v>0</v>
      </c>
      <c r="Q95" s="20">
        <f>IFERROR(SUM(INDEX(LL_TOT_BR_YTD_PLAN,4,Month),INDEX(LL_IBNR_TOT_BR_YTD_PLAN,4,Month))/Q93,0)</f>
        <v>0</v>
      </c>
      <c r="R95" s="6"/>
      <c r="S95" s="20">
        <f>-(SUM([2]H7!$EO$41,[2]H7!$EV$41)/1000)/S93</f>
        <v>7.6882404802862084E-2</v>
      </c>
      <c r="T95" s="20">
        <f>-(SUM([2]H7!$EO$42,[2]H7!$EV$42)/1000)/T93</f>
        <v>3.5614977805758431E-2</v>
      </c>
      <c r="U95" s="20">
        <f>-(SUM([2]H7!$EO$43,[2]H7!$EV$43)/1000)/U93</f>
        <v>7.8987892451833325E-2</v>
      </c>
      <c r="V95" s="6"/>
    </row>
    <row r="96" spans="2:22" ht="19.5" customHeight="1" x14ac:dyDescent="0.25">
      <c r="B96" s="204"/>
      <c r="C96" s="9"/>
      <c r="D96" s="14" t="s">
        <v>94</v>
      </c>
      <c r="E96" s="6"/>
      <c r="F96" s="20">
        <f>0</f>
        <v>0</v>
      </c>
      <c r="G96" s="20">
        <f>0</f>
        <v>0</v>
      </c>
      <c r="H96" s="20">
        <f>0</f>
        <v>0</v>
      </c>
      <c r="I96" s="6"/>
      <c r="J96" s="20">
        <f>-(SUM([2]H7!$P$41,[2]H7!$W$41)/1000)/J93</f>
        <v>5.7584285063614347E-4</v>
      </c>
      <c r="K96" s="20">
        <f>-(SUM([2]H7!$P$42,[2]H7!$W$42)/1000)/K93</f>
        <v>0</v>
      </c>
      <c r="L96" s="20">
        <f>-(SUM([2]H7!$P$43,[2]H7!$W$43)/1000)/L93</f>
        <v>0</v>
      </c>
      <c r="M96" s="6"/>
      <c r="N96" s="6"/>
      <c r="O96" s="20">
        <f>0</f>
        <v>0</v>
      </c>
      <c r="P96" s="20">
        <f>0</f>
        <v>0</v>
      </c>
      <c r="Q96" s="20">
        <f>0</f>
        <v>0</v>
      </c>
      <c r="R96" s="6"/>
      <c r="S96" s="20">
        <f>-(SUM([2]H7!$EN$41,[2]H7!$EU$41)/1000)/S93</f>
        <v>1.6989372630869443E-3</v>
      </c>
      <c r="T96" s="20">
        <f>-(SUM([2]H7!$EN$42,[2]H7!$EU$42)/1000)/T93</f>
        <v>0</v>
      </c>
      <c r="U96" s="20">
        <f>-(SUM([2]H7!$EN$43,[2]H7!$EU$43)/1000)/U93</f>
        <v>0</v>
      </c>
      <c r="V96" s="6"/>
    </row>
    <row r="97" spans="2:22" ht="19.5" hidden="1" customHeight="1" outlineLevel="1" x14ac:dyDescent="0.25">
      <c r="B97" s="204"/>
      <c r="C97" s="9"/>
      <c r="D97" s="14" t="s">
        <v>95</v>
      </c>
      <c r="E97" s="7"/>
      <c r="F97" s="20">
        <v>0.60213230266957196</v>
      </c>
      <c r="G97" s="20">
        <v>0.49213122930950809</v>
      </c>
      <c r="H97" s="20">
        <v>0.56878005443336044</v>
      </c>
      <c r="I97" s="7"/>
      <c r="J97" s="20">
        <f>+J94+J95+J96</f>
        <v>0.48358926541587499</v>
      </c>
      <c r="K97" s="20">
        <f>+K94+K95+K96</f>
        <v>0.58806614512495325</v>
      </c>
      <c r="L97" s="20">
        <f>+L94+L95+L96</f>
        <v>0.45006997134105731</v>
      </c>
      <c r="M97" s="7"/>
      <c r="N97" s="7"/>
      <c r="O97" s="20">
        <v>0.60213230266957196</v>
      </c>
      <c r="P97" s="20">
        <v>0.49213122930950809</v>
      </c>
      <c r="Q97" s="20">
        <v>0.56878005443336044</v>
      </c>
      <c r="R97" s="7"/>
      <c r="S97" s="20">
        <f>+S94+S95+S96</f>
        <v>0.50437669068822766</v>
      </c>
      <c r="T97" s="20">
        <f>+T94+T95+T96</f>
        <v>0.96349571494817932</v>
      </c>
      <c r="U97" s="20">
        <f>+U94+U95+U96</f>
        <v>0.45006997134105731</v>
      </c>
      <c r="V97" s="7"/>
    </row>
    <row r="98" spans="2:22" ht="20.149999999999999" customHeight="1" collapsed="1" x14ac:dyDescent="0.25">
      <c r="B98" s="204"/>
      <c r="C98" s="9"/>
      <c r="D98" s="14" t="s">
        <v>96</v>
      </c>
      <c r="E98" s="7"/>
      <c r="F98" s="20">
        <v>-1.8108815753326363E-2</v>
      </c>
      <c r="G98" s="20">
        <v>0.34234992238025652</v>
      </c>
      <c r="H98" s="20">
        <v>-1.6312736548994677E-2</v>
      </c>
      <c r="I98" s="7"/>
      <c r="J98" s="20">
        <f>-(SUM([2]H7!$AC$41:$AK$41)/1000)/J93</f>
        <v>0.34811846433865051</v>
      </c>
      <c r="K98" s="20">
        <f>-(SUM([2]H7!$AC$42:$AK$42)/1000)/K93</f>
        <v>0.87070348986229451</v>
      </c>
      <c r="L98" s="20">
        <f>-(SUM([2]H7!$AC$43:$AK$43)/1000)/L93</f>
        <v>-7.5034007205308185E-3</v>
      </c>
      <c r="M98" s="7"/>
      <c r="N98" s="7"/>
      <c r="O98" s="20">
        <v>-1.8108815753326363E-2</v>
      </c>
      <c r="P98" s="20">
        <v>0.34234992238025652</v>
      </c>
      <c r="Q98" s="20">
        <v>-1.6312736548994677E-2</v>
      </c>
      <c r="R98" s="7"/>
      <c r="S98" s="20">
        <f>-(SUM([2]H7!$FA$41:$FI$41)/1000)/S93</f>
        <v>0.18763867019824471</v>
      </c>
      <c r="T98" s="20">
        <f>-(SUM([2]H7!$FA$42:$FI$42)/1000)/T93</f>
        <v>-1.636137107216955</v>
      </c>
      <c r="U98" s="20">
        <f>-(SUM([2]H7!$FA$43:$FI$43)/1000)/U93</f>
        <v>-7.5034007205308818E-3</v>
      </c>
      <c r="V98" s="7"/>
    </row>
    <row r="99" spans="2:22" ht="20.149999999999999" hidden="1" customHeight="1" outlineLevel="1" x14ac:dyDescent="0.25">
      <c r="B99" s="204"/>
      <c r="C99" s="9"/>
      <c r="D99" s="15" t="s">
        <v>87</v>
      </c>
      <c r="E99" s="7"/>
      <c r="F99" s="20">
        <v>0.19134969189646484</v>
      </c>
      <c r="G99" s="20">
        <v>0.18797536918727567</v>
      </c>
      <c r="H99" s="20">
        <v>0.19462740988730837</v>
      </c>
      <c r="I99" s="7"/>
      <c r="J99" s="20">
        <f>-(SUM([2]H7!$AL$41:$AN$41)/1000)/J93</f>
        <v>0.22589708175195233</v>
      </c>
      <c r="K99" s="20">
        <f>-(SUM([2]H7!$AL$42:$AN$42)/1000)/K93</f>
        <v>0.22556797021326089</v>
      </c>
      <c r="L99" s="20">
        <f>-(SUM([2]H7!$AL$43:$AN$43)/1000)/L93</f>
        <v>0.22892709733277572</v>
      </c>
      <c r="M99" s="7"/>
      <c r="N99" s="7"/>
      <c r="O99" s="20">
        <v>0.19134969189646484</v>
      </c>
      <c r="P99" s="20">
        <v>0.18797536918727567</v>
      </c>
      <c r="Q99" s="20">
        <v>0.19462740988730837</v>
      </c>
      <c r="R99" s="7"/>
      <c r="S99" s="20">
        <f>-(SUM([2]H7!$FJ$41:$FL$41)/1000)/S93</f>
        <v>0.22678055227726954</v>
      </c>
      <c r="T99" s="20">
        <f>-(SUM([2]H7!$FJ$42:$FL$42)/1000)/T93</f>
        <v>0.22580133918900919</v>
      </c>
      <c r="U99" s="20">
        <f>-(SUM([2]H7!$FJ$43:$FL$43)/1000)/U93</f>
        <v>0.22892709733277569</v>
      </c>
      <c r="V99" s="7"/>
    </row>
    <row r="100" spans="2:22" ht="20.149999999999999" hidden="1" customHeight="1" outlineLevel="1" x14ac:dyDescent="0.25">
      <c r="B100" s="204"/>
      <c r="C100" s="9"/>
      <c r="D100" s="15" t="s">
        <v>88</v>
      </c>
      <c r="E100" s="7"/>
      <c r="F100" s="20">
        <v>0.11007667226870506</v>
      </c>
      <c r="G100" s="20">
        <v>0.13582996240556058</v>
      </c>
      <c r="H100" s="20">
        <v>0.13760084462076994</v>
      </c>
      <c r="I100" s="7"/>
      <c r="J100" s="20">
        <f>-(SUM([2]H7!$AO$41:$AR$41)/1000)/J93</f>
        <v>0.31330944903133506</v>
      </c>
      <c r="K100" s="20">
        <f>-(SUM([2]H7!$AO$42:$AR$42)/1000)/K93</f>
        <v>0.28119574651889934</v>
      </c>
      <c r="L100" s="20">
        <f>-(SUM([2]H7!$AO$43:$AR$43)/1000)/L93</f>
        <v>0.32556743962713958</v>
      </c>
      <c r="M100" s="7"/>
      <c r="N100" s="7"/>
      <c r="O100" s="20">
        <v>0.11007667226870506</v>
      </c>
      <c r="P100" s="20">
        <v>0.13582996240556058</v>
      </c>
      <c r="Q100" s="20">
        <v>0.13760084462076994</v>
      </c>
      <c r="R100" s="7"/>
      <c r="S100" s="20">
        <f>-(SUM([2]H7!$FM$41:$FP$41)/1000)/S93</f>
        <v>0.24645923717266827</v>
      </c>
      <c r="T100" s="20">
        <f>-(SUM([2]H7!$FM$42:$FP$42)/1000)/T93</f>
        <v>0.2869184051038729</v>
      </c>
      <c r="U100" s="20">
        <f>-(SUM([2]H7!$FM$43:$FP$43)/1000)/U93</f>
        <v>0.32556743962713952</v>
      </c>
      <c r="V100" s="7"/>
    </row>
    <row r="101" spans="2:22" ht="20.149999999999999" customHeight="1" collapsed="1" x14ac:dyDescent="0.25">
      <c r="B101" s="204"/>
      <c r="C101" s="9"/>
      <c r="D101" s="14" t="s">
        <v>97</v>
      </c>
      <c r="E101" s="7"/>
      <c r="F101" s="20">
        <v>0.30142636416516988</v>
      </c>
      <c r="G101" s="20">
        <v>0.32380533159283631</v>
      </c>
      <c r="H101" s="20">
        <v>0.3322282545080783</v>
      </c>
      <c r="I101" s="7"/>
      <c r="J101" s="20">
        <f>+J99+J100</f>
        <v>0.5392065307832874</v>
      </c>
      <c r="K101" s="20">
        <f>+K99+K100</f>
        <v>0.50676371673216025</v>
      </c>
      <c r="L101" s="20">
        <f>+L99+L100</f>
        <v>0.55449453695991524</v>
      </c>
      <c r="M101" s="7"/>
      <c r="N101" s="7"/>
      <c r="O101" s="20">
        <v>0.30142636416516988</v>
      </c>
      <c r="P101" s="20">
        <v>0.32380533159283631</v>
      </c>
      <c r="Q101" s="20">
        <v>0.3322282545080783</v>
      </c>
      <c r="R101" s="7"/>
      <c r="S101" s="20">
        <f>+S99+S100</f>
        <v>0.47323978944993783</v>
      </c>
      <c r="T101" s="20">
        <f>+T99+T100</f>
        <v>0.51271974429288214</v>
      </c>
      <c r="U101" s="20">
        <f>+U99+U100</f>
        <v>0.55449453695991524</v>
      </c>
      <c r="V101" s="7"/>
    </row>
    <row r="102" spans="2:22" ht="20.149999999999999" customHeight="1" x14ac:dyDescent="0.25">
      <c r="B102" s="204"/>
      <c r="C102" s="9"/>
      <c r="D102" s="14" t="s">
        <v>90</v>
      </c>
      <c r="E102" s="7"/>
      <c r="F102" s="20"/>
      <c r="G102" s="20"/>
      <c r="H102" s="20"/>
      <c r="I102" s="7"/>
      <c r="J102" s="20">
        <f>-(SUM([2]H7!$AT$41:$BJ$41)/1000/J93)</f>
        <v>3.8727155165198174E-2</v>
      </c>
      <c r="K102" s="20">
        <f>-(SUM([2]H7!$AT$42:$BJ$42)/1000/K93)</f>
        <v>0.20106835866261213</v>
      </c>
      <c r="L102" s="20">
        <f>-(SUM([2]H7!$AT$43:$BJ$43)/1000/L93)</f>
        <v>4.3166310130827279E-2</v>
      </c>
      <c r="M102" s="7"/>
      <c r="N102" s="7"/>
      <c r="O102" s="20"/>
      <c r="P102" s="20"/>
      <c r="Q102" s="20"/>
      <c r="R102" s="7"/>
      <c r="S102" s="20">
        <f>-(SUM([2]H7!$FR$41:$GH$41)/1000/S93)</f>
        <v>2.4647347047543979E-2</v>
      </c>
      <c r="T102" s="20">
        <f>-(SUM([2]H7!$FR$42:$GH$42)/1000/T93)</f>
        <v>0.9671096639511666</v>
      </c>
      <c r="U102" s="20">
        <f>-(SUM([2]H7!$FR$43:$GH$43)/1000/U93)</f>
        <v>4.3166310130827286E-2</v>
      </c>
      <c r="V102" s="7"/>
    </row>
    <row r="103" spans="2:22" ht="20.149999999999999" customHeight="1" x14ac:dyDescent="0.25">
      <c r="B103" s="204"/>
      <c r="C103" s="9"/>
      <c r="D103" s="14" t="s">
        <v>79</v>
      </c>
      <c r="E103" s="8"/>
      <c r="F103" s="20">
        <v>0.88544985108141538</v>
      </c>
      <c r="G103" s="20">
        <v>1.1582864832826012</v>
      </c>
      <c r="H103" s="20">
        <v>0.88469557239244401</v>
      </c>
      <c r="I103" s="8"/>
      <c r="J103" s="20">
        <f>+J97+J98+J101+J102</f>
        <v>1.409641415703011</v>
      </c>
      <c r="K103" s="20">
        <f>+K97+K98+K101+K102</f>
        <v>2.1666017103820203</v>
      </c>
      <c r="L103" s="20">
        <f>+L97+L98+L101+L102</f>
        <v>1.0402274177112689</v>
      </c>
      <c r="M103" s="8"/>
      <c r="N103" s="8"/>
      <c r="O103" s="20">
        <v>0.88544985108141538</v>
      </c>
      <c r="P103" s="20">
        <v>1.1582864832826012</v>
      </c>
      <c r="Q103" s="20">
        <v>0.88469557239244401</v>
      </c>
      <c r="R103" s="8"/>
      <c r="S103" s="20">
        <f>+S97+S98+S101+S102</f>
        <v>1.189902497383954</v>
      </c>
      <c r="T103" s="20">
        <f>+T97+T98+T101+T102</f>
        <v>0.80718801597527301</v>
      </c>
      <c r="U103" s="20">
        <f>+U97+U98+U101+U102</f>
        <v>1.0402274177112689</v>
      </c>
      <c r="V103" s="8"/>
    </row>
    <row r="104" spans="2:22" ht="19.5" customHeight="1" x14ac:dyDescent="0.25">
      <c r="B104" s="204"/>
      <c r="C104" s="9"/>
      <c r="D104" s="14" t="s">
        <v>34</v>
      </c>
      <c r="E104" s="6"/>
      <c r="F104" s="19">
        <v>8.1781218399999922</v>
      </c>
      <c r="G104" s="19">
        <v>-10.205890329999947</v>
      </c>
      <c r="H104" s="19">
        <v>7.0683681589072158</v>
      </c>
      <c r="I104" s="6"/>
      <c r="J104" s="19">
        <f>+[2]H7!$BK$41/1000</f>
        <v>-1.4528525599999966</v>
      </c>
      <c r="K104" s="19">
        <f>+[2]H7!$BK$42/1000</f>
        <v>-4.2060348799999945</v>
      </c>
      <c r="L104" s="19">
        <f>+[2]H7!$BK$43/1000</f>
        <v>-0.14616319207845402</v>
      </c>
      <c r="M104" s="6"/>
      <c r="N104" s="6"/>
      <c r="O104" s="19">
        <v>8.1781218399999922</v>
      </c>
      <c r="P104" s="19">
        <v>-10.205890329999947</v>
      </c>
      <c r="Q104" s="19">
        <v>7.0683681589072158</v>
      </c>
      <c r="R104" s="6"/>
      <c r="S104" s="19">
        <f>+[2]H7!$GI$41/1000</f>
        <v>-0.22828375000000001</v>
      </c>
      <c r="T104" s="19">
        <f>+[2]H7!$GI$42/1000</f>
        <v>0.24032587000000397</v>
      </c>
      <c r="U104" s="19">
        <f>+[2]H7!$GI$43/1000</f>
        <v>-4.8721064026151513E-2</v>
      </c>
      <c r="V104" s="6"/>
    </row>
    <row r="105" spans="2:22" ht="7.5" customHeight="1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 ht="19.5" customHeight="1" x14ac:dyDescent="0.25">
      <c r="B106" s="204" t="s">
        <v>103</v>
      </c>
      <c r="C106" s="9"/>
      <c r="D106" s="14" t="s">
        <v>19</v>
      </c>
      <c r="E106" s="6"/>
      <c r="F106" s="19">
        <v>51.071887840000002</v>
      </c>
      <c r="G106" s="19">
        <v>47.642331730000009</v>
      </c>
      <c r="H106" s="19">
        <v>48.731214913514791</v>
      </c>
      <c r="I106" s="6"/>
      <c r="J106" s="19">
        <f t="shared" ref="J106:L107" si="2">+J120+J148+J162</f>
        <v>1.2254293199999993</v>
      </c>
      <c r="K106" s="19">
        <f t="shared" si="2"/>
        <v>3.1118952399999986</v>
      </c>
      <c r="L106" s="19">
        <f t="shared" si="2"/>
        <v>1.1549591886022801</v>
      </c>
      <c r="M106" s="6"/>
      <c r="N106" s="6"/>
      <c r="O106" s="19">
        <v>51.071887840000002</v>
      </c>
      <c r="P106" s="19">
        <v>47.642331730000009</v>
      </c>
      <c r="Q106" s="19">
        <v>48.731214913514791</v>
      </c>
      <c r="R106" s="6"/>
      <c r="S106" s="19">
        <f t="shared" ref="S106:U107" si="3">+S120+S148+S162</f>
        <v>0.33204492999999996</v>
      </c>
      <c r="T106" s="19">
        <f t="shared" si="3"/>
        <v>0.31728371999999994</v>
      </c>
      <c r="U106" s="19">
        <f t="shared" si="3"/>
        <v>0.28699768123981029</v>
      </c>
      <c r="V106" s="6"/>
    </row>
    <row r="107" spans="2:22" ht="20.149999999999999" customHeight="1" x14ac:dyDescent="0.25">
      <c r="B107" s="204"/>
      <c r="C107" s="9"/>
      <c r="D107" s="14" t="s">
        <v>20</v>
      </c>
      <c r="E107" s="6"/>
      <c r="F107" s="19">
        <v>45.131933990000007</v>
      </c>
      <c r="G107" s="19">
        <v>38.28320678</v>
      </c>
      <c r="H107" s="19">
        <v>41.985683385669191</v>
      </c>
      <c r="I107" s="6"/>
      <c r="J107" s="19">
        <f t="shared" si="2"/>
        <v>1.1069950000000002</v>
      </c>
      <c r="K107" s="19">
        <f t="shared" si="2"/>
        <v>2.51757374</v>
      </c>
      <c r="L107" s="19">
        <f t="shared" si="2"/>
        <v>1.2191156129332839</v>
      </c>
      <c r="M107" s="6"/>
      <c r="N107" s="6"/>
      <c r="O107" s="19">
        <v>45.131933990000007</v>
      </c>
      <c r="P107" s="19">
        <v>38.28320678</v>
      </c>
      <c r="Q107" s="19">
        <v>41.985683385669191</v>
      </c>
      <c r="R107" s="6"/>
      <c r="S107" s="19">
        <f t="shared" si="3"/>
        <v>0.2998766800000004</v>
      </c>
      <c r="T107" s="19">
        <f t="shared" si="3"/>
        <v>0.85350099000000024</v>
      </c>
      <c r="U107" s="19">
        <f t="shared" si="3"/>
        <v>0.40637187097776134</v>
      </c>
      <c r="V107" s="6"/>
    </row>
    <row r="108" spans="2:22" ht="19.5" customHeight="1" x14ac:dyDescent="0.25">
      <c r="B108" s="204"/>
      <c r="C108" s="9"/>
      <c r="D108" s="14" t="s">
        <v>92</v>
      </c>
      <c r="E108" s="6"/>
      <c r="F108" s="29">
        <f>F111-F109-F110</f>
        <v>0.6596895124546821</v>
      </c>
      <c r="G108" s="20">
        <f>G111-G109-G110</f>
        <v>0.4657630109846298</v>
      </c>
      <c r="H108" s="20">
        <f>H111-H109-H110</f>
        <v>0.54568289348748922</v>
      </c>
      <c r="I108" s="6"/>
      <c r="J108" s="20">
        <f>(-(SUM([2]H7!$O$49,[2]H7!$R$49:$V$49,[2]H7!$Y$49:$AB$49)/1000)-(SUM([2]H7!$O$45,[2]H7!$R$45:$V$45,[2]H7!$Y$45:$AB$45)/1000)-(SUM([2]H7!$O$53,[2]H7!$R$53:$V$53,[2]H7!$Y$53:$AB$53)/1000))/J107</f>
        <v>0.20408674835929697</v>
      </c>
      <c r="K108" s="20">
        <f>(-(SUM([2]H7!$O$50,[2]H7!$R$50:$V$50,[2]H7!$Y$50:$AB$50)/1000)-(SUM([2]H7!$O$46,[2]H7!$R$46:$V$46,[2]H7!$Y$46:$AB$46)/1000)-(SUM([2]H7!$O$54,[2]H7!$R$54:$V$54,[2]H7!$Y$54:$AB$54)/1000))/K107</f>
        <v>0.15150387610890789</v>
      </c>
      <c r="L108" s="20">
        <f>(-(SUM([2]H7!$O$51,[2]H7!$R$51:$V$51,[2]H7!$Y$51:$AB$51)/1000)-(SUM([2]H7!$O$47,[2]H7!$R$47:$V$47,[2]H7!$Y$47:$AB$47)/1000)-(SUM([2]H7!$O$55,[2]H7!$R$55:$V$55,[2]H7!$Y$55:$AB$55)/1000))/L107</f>
        <v>0.19217504119604525</v>
      </c>
      <c r="M108" s="6"/>
      <c r="N108" s="6"/>
      <c r="O108" s="29">
        <f>O111-O109-O110</f>
        <v>0.6596895124546821</v>
      </c>
      <c r="P108" s="20">
        <f>P111-P109-P110</f>
        <v>0.4657630109846298</v>
      </c>
      <c r="Q108" s="20">
        <f>Q111-Q109-Q110</f>
        <v>0.54568289348748922</v>
      </c>
      <c r="R108" s="6"/>
      <c r="S108" s="20">
        <f>(-(SUM([2]H7!$EM$49,[2]H7!$EP$49:$ET$49,[2]H7!$EW$49:$EZ$49)/1000)-(SUM([2]H7!$EM$45,[2]H7!$EP$45:$ET$45,[2]H7!$EW$45:$EZ$45)/1000)-(SUM([2]H7!$EM$53,[2]H7!$EP$53:$ET$53,[2]H7!$EW$53:$EZ$53)/1000))/S107</f>
        <v>0.27438605762875556</v>
      </c>
      <c r="T108" s="20">
        <f>(-(SUM([2]H7!$EM$50,[2]H7!$EP$50:$ET$50,[2]H7!$EW$50:$EZ$50)/1000)-(SUM([2]H7!$EM$46,[2]H7!$EP$46:$ET$46,[2]H7!$EW$46:$EZ$46)/1000)-(SUM([2]H7!$EM$54,[2]H7!$EP$54:$ET$54,[2]H7!$EW$54:$EZ$54)/1000))/T107</f>
        <v>0.19353480773349768</v>
      </c>
      <c r="U108" s="20">
        <f>(-(SUM([2]H7!$EM$51,[2]H7!$EP$51:$ET$51,[2]H7!$EW$51:$EZ$51)/1000)-(SUM([2]H7!$EM$47,[2]H7!$EP$47:$ET$47,[2]H7!$EW$47:$EZ$47)/1000)-(SUM([2]H7!$EM$55,[2]H7!$EP$55:$ET$55,[2]H7!$EW$55:$EZ$55)/1000))/U107</f>
        <v>0.19217504119604525</v>
      </c>
      <c r="V108" s="6"/>
    </row>
    <row r="109" spans="2:22" ht="19.5" customHeight="1" x14ac:dyDescent="0.25">
      <c r="B109" s="204"/>
      <c r="C109" s="9"/>
      <c r="D109" s="14" t="s">
        <v>93</v>
      </c>
      <c r="E109" s="6"/>
      <c r="F109" s="20">
        <f>IFERROR((F123*F121+F137*F135+F151*F149+F165*F163)/F107,"n/a")</f>
        <v>0</v>
      </c>
      <c r="G109" s="20">
        <f>IFERROR((G123*G121+G137*G135+G151*G149+G165*G163)/G107,"n/a")</f>
        <v>0</v>
      </c>
      <c r="H109" s="20">
        <f>IFERROR((H123*H121+H137*H135+H151*H149+H165*H163)/H107,"n/a")</f>
        <v>0</v>
      </c>
      <c r="I109" s="6"/>
      <c r="J109" s="20">
        <f>(-(SUM([2]H7!$Q$49,[2]H7!$X$49)/1000)-(SUM([2]H7!$Q$45,[2]H7!$X$45)/1000)-(SUM([2]H7!$Q$53,[2]H7!$X$53)/1000))/J107</f>
        <v>0</v>
      </c>
      <c r="K109" s="20">
        <f>(-(SUM([2]H7!$Q$50,[2]H7!$X$50)/1000)-(SUM([2]H7!$Q$46,[2]H7!$X$46)/1000)-(SUM([2]H7!$Q$54,[2]H7!$X$54)/1000))/K107</f>
        <v>0</v>
      </c>
      <c r="L109" s="20">
        <f>(-(SUM([2]H7!$Q$51,[2]H7!$X$51)/1000)-(SUM([2]H7!$Q$47,[2]H7!$X$47)/1000)-(SUM([2]H7!$Q$55,[2]H7!$X$55)/1000))/L107</f>
        <v>0</v>
      </c>
      <c r="M109" s="6"/>
      <c r="N109" s="6"/>
      <c r="O109" s="20">
        <f>IFERROR((O123*O121+O137*O135+O151*O149+O165*O163)/O107,"n/a")</f>
        <v>0</v>
      </c>
      <c r="P109" s="20">
        <f>IFERROR((P123*P121+P137*P135+P151*P149+P165*P163)/P107,"n/a")</f>
        <v>0</v>
      </c>
      <c r="Q109" s="20">
        <f>IFERROR((Q123*Q121+Q137*Q135+Q151*Q149+Q165*Q163)/Q107,"n/a")</f>
        <v>0</v>
      </c>
      <c r="R109" s="6"/>
      <c r="S109" s="20">
        <f>(-(SUM([2]H7!$EO$49,[2]H7!$EV$49)/1000)-(SUM([2]H7!$EO$45,[2]H7!$EV$45)/1000)-(SUM([2]H7!$EO$53,[2]H7!$EV$53)/1000))/S107</f>
        <v>0</v>
      </c>
      <c r="T109" s="20">
        <f>(-(SUM([2]H7!$EO$50,[2]H7!$EV$50)/1000)-(SUM([2]H7!$EO$46,[2]H7!$EV$46)/1000)-(SUM([2]H7!$EO$54,[2]H7!$EV$54)/1000))/T107</f>
        <v>0</v>
      </c>
      <c r="U109" s="20">
        <f>(-(SUM([2]H7!$EO$51,[2]H7!$EV$51)/1000)-(SUM([2]H7!$EO$47,[2]H7!$EV$47)/1000)-(SUM([2]H7!$EO$55,[2]H7!$EV$55)/1000))/U107</f>
        <v>0</v>
      </c>
      <c r="V109" s="6"/>
    </row>
    <row r="110" spans="2:22" ht="19.5" customHeight="1" x14ac:dyDescent="0.25">
      <c r="B110" s="204"/>
      <c r="C110" s="9"/>
      <c r="D110" s="14" t="s">
        <v>94</v>
      </c>
      <c r="E110" s="6"/>
      <c r="F110" s="20">
        <f>IFERROR((F124*F121+F138*F135+F152*F149+F166*F163)/F107,"n/a")</f>
        <v>0</v>
      </c>
      <c r="G110" s="20">
        <f>IFERROR((G124*G121+G138*G135+G152*G149+G166*G163)/G107,"n/a")</f>
        <v>0</v>
      </c>
      <c r="H110" s="20">
        <f>IFERROR((H124*H121+H138*H135+H152*H149+H166*H163)/H107,"n/a")</f>
        <v>0</v>
      </c>
      <c r="I110" s="6"/>
      <c r="J110" s="20">
        <f>(-(SUM([2]H7!$P$49,[2]H7!$W$49)/1000)-(SUM([2]H7!$P$45,[2]H7!$W$45)/1000)-(SUM([2]H7!$P$53,[2]H7!$W$53)/1000))/J107</f>
        <v>0</v>
      </c>
      <c r="K110" s="20">
        <f>(-(SUM([2]H7!$P$50,[2]H7!$W$50)/1000)-(SUM([2]H7!$P$46,[2]H7!$W$46)/1000)-(SUM([2]H7!$P$54,[2]H7!$W$54)/1000))/K107</f>
        <v>0</v>
      </c>
      <c r="L110" s="20">
        <f>(-(SUM([2]H7!$P$51,[2]H7!$W$51)/1000)-(SUM([2]H7!$P$47,[2]H7!$W$47)/1000)-(SUM([2]H7!$P$55,[2]H7!$W$55)/1000))/L107</f>
        <v>0</v>
      </c>
      <c r="M110" s="6"/>
      <c r="N110" s="6"/>
      <c r="O110" s="20">
        <f>IFERROR((O124*O121+O138*O135+O152*O149+O166*O163)/O107,"n/a")</f>
        <v>0</v>
      </c>
      <c r="P110" s="20">
        <f>IFERROR((P124*P121+P138*P135+P152*P149+P166*P163)/P107,"n/a")</f>
        <v>0</v>
      </c>
      <c r="Q110" s="20">
        <f>IFERROR((Q124*Q121+Q138*Q135+Q152*Q149+Q166*Q163)/Q107,"n/a")</f>
        <v>0</v>
      </c>
      <c r="R110" s="6"/>
      <c r="S110" s="20">
        <f>(-(SUM([2]H7!$EN$49,[2]H7!$EU$49)/1000)-(SUM([2]H7!$EN$45,[2]H7!$EU$45)/1000)-(SUM([2]H7!$EN$53,[2]H7!$EU$53)/1000))/S107</f>
        <v>0</v>
      </c>
      <c r="T110" s="20">
        <f>(-(SUM([2]H7!$EN$50,[2]H7!$EU$50)/1000)-(SUM([2]H7!$EN$46,[2]H7!$EU$46)/1000)-(SUM([2]H7!$EN$54,[2]H7!$EU$54)/1000))/T107</f>
        <v>0</v>
      </c>
      <c r="U110" s="20">
        <f>(-(SUM([2]H7!$EN$51,[2]H7!$EU$51)/1000)-(SUM([2]H7!$EN$47,[2]H7!$EU$47)/1000)-(SUM([2]H7!$EN$55,[2]H7!$EU$55)/1000))/U107</f>
        <v>0</v>
      </c>
      <c r="V110" s="6"/>
    </row>
    <row r="111" spans="2:22" ht="19.5" hidden="1" customHeight="1" outlineLevel="1" x14ac:dyDescent="0.25">
      <c r="B111" s="204"/>
      <c r="C111" s="9"/>
      <c r="D111" s="14" t="s">
        <v>95</v>
      </c>
      <c r="E111" s="7"/>
      <c r="F111" s="20">
        <v>0.6596895124546821</v>
      </c>
      <c r="G111" s="20">
        <v>0.4657630109846298</v>
      </c>
      <c r="H111" s="20">
        <v>0.54568289348748922</v>
      </c>
      <c r="I111" s="7"/>
      <c r="J111" s="20">
        <f>+J108+J109+J110</f>
        <v>0.20408674835929697</v>
      </c>
      <c r="K111" s="20">
        <f>+K108+K109+K110</f>
        <v>0.15150387610890789</v>
      </c>
      <c r="L111" s="20">
        <f>+L108+L109+L110</f>
        <v>0.19217504119604525</v>
      </c>
      <c r="M111" s="7"/>
      <c r="N111" s="7"/>
      <c r="O111" s="20">
        <v>0.6596895124546821</v>
      </c>
      <c r="P111" s="20">
        <v>0.4657630109846298</v>
      </c>
      <c r="Q111" s="20">
        <v>0.54568289348748922</v>
      </c>
      <c r="R111" s="7"/>
      <c r="S111" s="20">
        <f>+S108+S109+S110</f>
        <v>0.27438605762875556</v>
      </c>
      <c r="T111" s="20">
        <f>+T108+T109+T110</f>
        <v>0.19353480773349768</v>
      </c>
      <c r="U111" s="20">
        <f>+U108+U109+U110</f>
        <v>0.19217504119604525</v>
      </c>
      <c r="V111" s="7"/>
    </row>
    <row r="112" spans="2:22" ht="20.149999999999999" customHeight="1" collapsed="1" x14ac:dyDescent="0.25">
      <c r="B112" s="204"/>
      <c r="C112" s="9"/>
      <c r="D112" s="14" t="s">
        <v>96</v>
      </c>
      <c r="E112" s="7"/>
      <c r="F112" s="29">
        <v>-1.1782969462771764E-2</v>
      </c>
      <c r="G112" s="20">
        <v>-3.3686937392970469E-2</v>
      </c>
      <c r="H112" s="20">
        <v>0</v>
      </c>
      <c r="I112" s="7"/>
      <c r="J112" s="20">
        <f>(-(SUM([2]H7!$AC$49:$AK$49)/1000)-(SUM([2]H7!$AC$45:$AK$45)/1000)-(SUM([2]H7!$AC$53:$AK$53)/1000))/J107</f>
        <v>-1.5656567644840305</v>
      </c>
      <c r="K112" s="20">
        <f>(-(SUM([2]H7!$AC$50:$AK$50)/1000)-(SUM([2]H7!$AC$46:$AK$46)/1000)-(SUM([2]H7!$AC$54:$AK$54)/1000))/K107</f>
        <v>-0.29551798947505692</v>
      </c>
      <c r="L112" s="20">
        <f>(-(SUM([2]H7!$AC$51:$AK$51)/1000)-(SUM([2]H7!$AC$47:$AK$47)/1000)-(SUM([2]H7!$AC$55:$AK$55)/1000))/L107</f>
        <v>-3.1777834245217823E-3</v>
      </c>
      <c r="M112" s="7"/>
      <c r="N112" s="7"/>
      <c r="O112" s="29">
        <v>-1.1782969462771764E-2</v>
      </c>
      <c r="P112" s="20">
        <v>-3.3686937392970469E-2</v>
      </c>
      <c r="Q112" s="20">
        <v>0</v>
      </c>
      <c r="R112" s="7"/>
      <c r="S112" s="20">
        <f>(-(SUM([2]H7!$FA$49:$FI$49)/1000)-(SUM([2]H7!$FA$45:$FI$45)/1000)-(SUM([2]H7!$FA$53:$FI$53)/1000))/S107</f>
        <v>-5.2410424511835929</v>
      </c>
      <c r="T112" s="20">
        <f>(-(SUM([2]H7!$FA$50:$FI$50)/1000)-(SUM([2]H7!$FA$46:$FI$46)/1000)-(SUM([2]H7!$FA$54:$FI$54)/1000))/T107</f>
        <v>-0.73724400718035465</v>
      </c>
      <c r="U112" s="20">
        <f>(-(SUM([2]H7!$FA$51:$FI$51)/1000)-(SUM([2]H7!$FA$47:$FI$47)/1000)-(SUM([2]H7!$FA$55:$FI$55)/1000))/U107</f>
        <v>-3.1777834245217814E-3</v>
      </c>
      <c r="V112" s="7"/>
    </row>
    <row r="113" spans="2:22" ht="20.149999999999999" hidden="1" customHeight="1" outlineLevel="1" x14ac:dyDescent="0.25">
      <c r="B113" s="204"/>
      <c r="C113" s="9"/>
      <c r="D113" s="15" t="s">
        <v>87</v>
      </c>
      <c r="E113" s="7"/>
      <c r="F113" s="20">
        <v>-5.7148291065290515E-3</v>
      </c>
      <c r="G113" s="20">
        <v>0.11587391138606176</v>
      </c>
      <c r="H113" s="20">
        <v>0.1448214404409871</v>
      </c>
      <c r="I113" s="7"/>
      <c r="J113" s="20">
        <f>(-(SUM([2]H7!$AL$49:$AN$49)/1000)-(SUM([2]H7!$AL$45:$AN$45)/1000)-(SUM([2]H7!$AL$53:$AN$53)/1000))/J107</f>
        <v>0.2526323334793743</v>
      </c>
      <c r="K113" s="20">
        <f>(-(SUM([2]H7!$AL$50:$AN$50)/1000)-(SUM([2]H7!$AL$46:$AN$46)/1000)-(SUM([2]H7!$AL$54:$AN$54)/1000))/K107</f>
        <v>0.19684860948700561</v>
      </c>
      <c r="L113" s="20">
        <f>(-(SUM([2]H7!$AL$51:$AN$51)/1000)-(SUM([2]H7!$AL$47:$AN$47)/1000)-(SUM([2]H7!$AL$55:$AN$55)/1000))/L107</f>
        <v>0.24413927793433124</v>
      </c>
      <c r="M113" s="7"/>
      <c r="N113" s="7"/>
      <c r="O113" s="20">
        <v>-5.7148291065290515E-3</v>
      </c>
      <c r="P113" s="20">
        <v>0.11587391138606176</v>
      </c>
      <c r="Q113" s="20">
        <v>0.1448214404409871</v>
      </c>
      <c r="R113" s="7"/>
      <c r="S113" s="20">
        <f>(-(SUM([2]H7!$FJ$49:$FL$49)/1000)-(SUM([2]H7!$FJ$45:$FL$45)/1000)-(SUM([2]H7!$FJ$53:$FL$53)/1000))/S107</f>
        <v>0.28710975458311672</v>
      </c>
      <c r="T113" s="20">
        <f>(-(SUM([2]H7!$FJ$50:$FL$50)/1000)-(SUM([2]H7!$FJ$46:$FL$46)/1000)-(SUM([2]H7!$FJ$54:$FL$54)/1000))/T107</f>
        <v>0.18186572929458467</v>
      </c>
      <c r="U113" s="20">
        <f>(-(SUM([2]H7!$FJ$51:$FL$51)/1000)-(SUM([2]H7!$FJ$47:$FL$47)/1000)-(SUM([2]H7!$FJ$55:$FL$55)/1000))/U107</f>
        <v>0.24413927793433121</v>
      </c>
      <c r="V113" s="7"/>
    </row>
    <row r="114" spans="2:22" ht="20.149999999999999" hidden="1" customHeight="1" outlineLevel="1" x14ac:dyDescent="0.25">
      <c r="B114" s="204"/>
      <c r="C114" s="9"/>
      <c r="D114" s="15" t="s">
        <v>88</v>
      </c>
      <c r="E114" s="7"/>
      <c r="F114" s="20">
        <v>0.11242637355457143</v>
      </c>
      <c r="G114" s="20">
        <v>0.14681821724862304</v>
      </c>
      <c r="H114" s="20">
        <v>0.13151486945869179</v>
      </c>
      <c r="I114" s="7"/>
      <c r="J114" s="20">
        <f>(-(SUM([2]H7!$AO$49:$AR$49)/1000)-(SUM([2]H7!$AO$45:$AR$45)/1000)-(SUM([2]H7!$AO$53:$AR$53)/1000))/J107</f>
        <v>0.33182544636606298</v>
      </c>
      <c r="K114" s="20">
        <f>(-(SUM([2]H7!$AO$50:$AR$50)/1000)-(SUM([2]H7!$AO$46:$AR$46)/1000)-(SUM([2]H7!$AO$54:$AR$54)/1000))/K107</f>
        <v>0.12528285666023828</v>
      </c>
      <c r="L114" s="20">
        <f>(-(SUM([2]H7!$AO$51:$AR$51)/1000)-(SUM([2]H7!$AO$47:$AR$47)/1000)-(SUM([2]H7!$AO$55:$AR$55)/1000))/L107</f>
        <v>0.29781707041952449</v>
      </c>
      <c r="M114" s="7"/>
      <c r="N114" s="7"/>
      <c r="O114" s="20">
        <v>0.11242637355457143</v>
      </c>
      <c r="P114" s="20">
        <v>0.14681821724862304</v>
      </c>
      <c r="Q114" s="20">
        <v>0.13151486945869179</v>
      </c>
      <c r="R114" s="7"/>
      <c r="S114" s="20">
        <f>(-(SUM([2]H7!$FM$49:$FP$49)/1000)-(SUM([2]H7!$FM$45:$FP$45)/1000)-(SUM([2]H7!$FM$53:$FP$53)/1000))/S107</f>
        <v>0.3530148459693494</v>
      </c>
      <c r="T114" s="20">
        <f>(-(SUM([2]H7!$FM$50:$FP$50)/1000)-(SUM([2]H7!$FM$46:$FP$46)/1000)-(SUM([2]H7!$FM$54:$FP$54)/1000))/T107</f>
        <v>0.12591997110630176</v>
      </c>
      <c r="U114" s="20">
        <f>(-(SUM([2]H7!$FM$51:$FP$51)/1000)-(SUM([2]H7!$FM$47:$FP$47)/1000)-(SUM([2]H7!$FM$55:$FP$55)/1000))/U107</f>
        <v>0.29781707041952443</v>
      </c>
      <c r="V114" s="7"/>
    </row>
    <row r="115" spans="2:22" ht="20.149999999999999" customHeight="1" collapsed="1" x14ac:dyDescent="0.25">
      <c r="B115" s="204"/>
      <c r="C115" s="9"/>
      <c r="D115" s="14" t="s">
        <v>97</v>
      </c>
      <c r="E115" s="7"/>
      <c r="F115" s="20">
        <v>1.451905429413257E-4</v>
      </c>
      <c r="G115" s="20">
        <v>0.2649351713999753</v>
      </c>
      <c r="H115" s="20">
        <v>0.27633630989967889</v>
      </c>
      <c r="I115" s="7"/>
      <c r="J115" s="20">
        <f>+J113+J114</f>
        <v>0.58445777984543734</v>
      </c>
      <c r="K115" s="20">
        <f>+K113+K114</f>
        <v>0.32213146614724386</v>
      </c>
      <c r="L115" s="20">
        <f>+L113+L114</f>
        <v>0.54195634835385575</v>
      </c>
      <c r="M115" s="7"/>
      <c r="N115" s="7"/>
      <c r="O115" s="20">
        <v>1.451905429413257E-4</v>
      </c>
      <c r="P115" s="20">
        <v>0.2649351713999753</v>
      </c>
      <c r="Q115" s="20">
        <v>0.27633630989967889</v>
      </c>
      <c r="R115" s="7"/>
      <c r="S115" s="20">
        <f>+S113+S114</f>
        <v>0.64012460055246612</v>
      </c>
      <c r="T115" s="20">
        <f>+T113+T114</f>
        <v>0.30778570040088643</v>
      </c>
      <c r="U115" s="20">
        <f>+U113+U114</f>
        <v>0.54195634835385564</v>
      </c>
      <c r="V115" s="7"/>
    </row>
    <row r="116" spans="2:22" ht="20.149999999999999" customHeight="1" x14ac:dyDescent="0.25">
      <c r="B116" s="204"/>
      <c r="C116" s="9"/>
      <c r="D116" s="14" t="s">
        <v>90</v>
      </c>
      <c r="E116" s="7"/>
      <c r="F116" s="20"/>
      <c r="G116" s="20"/>
      <c r="H116" s="20"/>
      <c r="I116" s="7"/>
      <c r="J116" s="20">
        <f>(-(SUM([2]H7!$AT$49:$BJ$49)/1000)-(SUM([2]H7!$AT$45:$BJ$45)/1000)-(SUM([2]H7!$AT$53:$BJ$53)/1000))/J107</f>
        <v>2.5499663503448525E-2</v>
      </c>
      <c r="K116" s="20">
        <f>(-(SUM([2]H7!$AT$50:$BJ$50)/1000)-(SUM([2]H7!$AT$46:$BJ$46)/1000)-(SUM([2]H7!$AT$54:$BJ$54)/1000))/K107</f>
        <v>7.8787165932228068E-3</v>
      </c>
      <c r="L116" s="20">
        <f>(-(SUM([2]H7!$AT$51:$BJ$51)/1000)-(SUM([2]H7!$AT$47:$BJ$47)/1000)-(SUM([2]H7!$AT$55:$BJ$55)/1000))/L107</f>
        <v>1.6959650406495167E-2</v>
      </c>
      <c r="M116" s="7"/>
      <c r="N116" s="7"/>
      <c r="O116" s="20"/>
      <c r="P116" s="20"/>
      <c r="Q116" s="20"/>
      <c r="R116" s="7"/>
      <c r="S116" s="20">
        <f>(-(SUM([2]H7!$FR$49:$GH$49)/1000)-(SUM([2]H7!$FR$45:$GH$45)/1000)-(SUM([2]H7!$FR$53:$GH$53)/1000))/S107</f>
        <v>2.5670552308368861E-2</v>
      </c>
      <c r="T116" s="20">
        <f>(-(SUM([2]H7!$FR$50:$GH$50)/1000)-(SUM([2]H7!$FR$46:$GH$46)/1000)-(SUM([2]H7!$FR$54:$GH$54)/1000))/T107</f>
        <v>3.7674941654139119E-3</v>
      </c>
      <c r="U116" s="20">
        <f>(-(SUM([2]H7!$FR$51:$GH$51)/1000)-(SUM([2]H7!$FR$47:$GH$47)/1000)-(SUM([2]H7!$FR$55:$GH$55)/1000))/U107</f>
        <v>1.6959650406495167E-2</v>
      </c>
      <c r="V116" s="7"/>
    </row>
    <row r="117" spans="2:22" ht="20.149999999999999" customHeight="1" x14ac:dyDescent="0.25">
      <c r="B117" s="204"/>
      <c r="C117" s="9"/>
      <c r="D117" s="14" t="s">
        <v>79</v>
      </c>
      <c r="E117" s="8"/>
      <c r="F117" s="29">
        <v>7.1749404772184005E-3</v>
      </c>
      <c r="G117" s="20">
        <v>0.69787692012147562</v>
      </c>
      <c r="H117" s="20">
        <v>0.82201920338716805</v>
      </c>
      <c r="I117" s="8"/>
      <c r="J117" s="20">
        <f>+J111+J112+J115+J116</f>
        <v>-0.75161257277584759</v>
      </c>
      <c r="K117" s="20">
        <f>+K111+K112+K115+K116</f>
        <v>0.18599606937431765</v>
      </c>
      <c r="L117" s="20">
        <f>+L111+L112+L115+L116</f>
        <v>0.74791325653187435</v>
      </c>
      <c r="M117" s="8"/>
      <c r="N117" s="8"/>
      <c r="O117" s="29">
        <v>7.1749404772184005E-3</v>
      </c>
      <c r="P117" s="20">
        <v>0.69787692012147562</v>
      </c>
      <c r="Q117" s="20">
        <v>0.82201920338716805</v>
      </c>
      <c r="R117" s="8"/>
      <c r="S117" s="20">
        <f>+S111+S112+S115+S116</f>
        <v>-4.3008612406940019</v>
      </c>
      <c r="T117" s="20">
        <f>+T111+T112+T115+T116</f>
        <v>-0.23215600488055668</v>
      </c>
      <c r="U117" s="20">
        <f>+U111+U112+U115+U116</f>
        <v>0.74791325653187435</v>
      </c>
      <c r="V117" s="8"/>
    </row>
    <row r="118" spans="2:22" ht="19.5" customHeight="1" x14ac:dyDescent="0.25">
      <c r="B118" s="204"/>
      <c r="C118" s="9"/>
      <c r="D118" s="14" t="s">
        <v>34</v>
      </c>
      <c r="E118" s="6"/>
      <c r="F118" s="19">
        <v>5.1917347400000144</v>
      </c>
      <c r="G118" s="19">
        <v>11.483272660000011</v>
      </c>
      <c r="H118" s="19">
        <v>7.4726453753155475</v>
      </c>
      <c r="I118" s="6"/>
      <c r="J118" s="19">
        <f>+J132+J160+J174</f>
        <v>1.9390263599999995</v>
      </c>
      <c r="K118" s="19">
        <f>+K132+K160+K174</f>
        <v>2.0493149199999996</v>
      </c>
      <c r="L118" s="19">
        <f>+L132+L160+L174</f>
        <v>0.30732288477549918</v>
      </c>
      <c r="M118" s="6"/>
      <c r="N118" s="6"/>
      <c r="O118" s="19">
        <v>5.1917347400000144</v>
      </c>
      <c r="P118" s="19">
        <v>11.483272660000011</v>
      </c>
      <c r="Q118" s="19">
        <v>7.4726453753155475</v>
      </c>
      <c r="R118" s="6"/>
      <c r="S118" s="19">
        <f>+S132+S160+S174</f>
        <v>1.5896046700000002</v>
      </c>
      <c r="T118" s="19">
        <f>+T132+T160+T174</f>
        <v>1.0516463700000003</v>
      </c>
      <c r="U118" s="19">
        <f>+U132+U160+U174</f>
        <v>0.10244096159183326</v>
      </c>
      <c r="V118" s="6"/>
    </row>
    <row r="119" spans="2:22" ht="7.5" customHeight="1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2:22" ht="19.5" customHeight="1" outlineLevel="1" x14ac:dyDescent="0.25">
      <c r="B120" s="204" t="s">
        <v>104</v>
      </c>
      <c r="C120" s="9"/>
      <c r="D120" s="14" t="s">
        <v>19</v>
      </c>
      <c r="E120" s="6"/>
      <c r="F120" s="19">
        <v>2.5782758100000001</v>
      </c>
      <c r="G120" s="19">
        <v>2.733616</v>
      </c>
      <c r="H120" s="19">
        <v>2.7646412205329307</v>
      </c>
      <c r="I120" s="6"/>
      <c r="J120" s="19">
        <f>+[2]H7!$C$49/1000</f>
        <v>6.8792000000000002E-3</v>
      </c>
      <c r="K120" s="19">
        <f>+[2]H7!$C$50/1000</f>
        <v>7.2917499999999996E-3</v>
      </c>
      <c r="L120" s="19">
        <f>+[2]H7!$C$51/1000</f>
        <v>0</v>
      </c>
      <c r="M120" s="6"/>
      <c r="N120" s="6"/>
      <c r="O120" s="19">
        <v>2.5782758100000001</v>
      </c>
      <c r="P120" s="19">
        <v>2.733616</v>
      </c>
      <c r="Q120" s="19">
        <v>2.7646412205329307</v>
      </c>
      <c r="R120" s="6"/>
      <c r="S120" s="19">
        <f>+[2]H7!$EA$49/1000</f>
        <v>1.6033099999999995E-3</v>
      </c>
      <c r="T120" s="19">
        <f>+[2]H7!$EA$50/1000</f>
        <v>2.2265100000000001E-3</v>
      </c>
      <c r="U120" s="19">
        <f>+[2]H7!$EA$51/1000</f>
        <v>0</v>
      </c>
      <c r="V120" s="6"/>
    </row>
    <row r="121" spans="2:22" ht="20.149999999999999" customHeight="1" outlineLevel="1" x14ac:dyDescent="0.25">
      <c r="B121" s="204"/>
      <c r="C121" s="9"/>
      <c r="D121" s="14" t="s">
        <v>20</v>
      </c>
      <c r="E121" s="6"/>
      <c r="F121" s="19">
        <v>2.3170537099999997</v>
      </c>
      <c r="G121" s="19">
        <v>2.45186583</v>
      </c>
      <c r="H121" s="19">
        <v>2.2151859576361677</v>
      </c>
      <c r="I121" s="6"/>
      <c r="J121" s="19">
        <f>+[2]H7!$N$49/1000</f>
        <v>6.4380099999999992E-3</v>
      </c>
      <c r="K121" s="19">
        <f>+[2]H7!$N$50/1000</f>
        <v>6.8124100000000022E-3</v>
      </c>
      <c r="L121" s="19">
        <f>+[2]H7!$N$51/1000</f>
        <v>0</v>
      </c>
      <c r="M121" s="6"/>
      <c r="N121" s="6"/>
      <c r="O121" s="19">
        <v>2.3170537099999997</v>
      </c>
      <c r="P121" s="19">
        <v>2.45186583</v>
      </c>
      <c r="Q121" s="19">
        <v>2.2151859576361677</v>
      </c>
      <c r="R121" s="6"/>
      <c r="S121" s="19">
        <f>+[2]H7!$EL$49/1000</f>
        <v>2.1892500000000002E-3</v>
      </c>
      <c r="T121" s="19">
        <f>+[2]H7!$EL$50/1000</f>
        <v>2.405710000000001E-3</v>
      </c>
      <c r="U121" s="19">
        <f>+[2]H7!$EL$51/1000</f>
        <v>0</v>
      </c>
      <c r="V121" s="6"/>
    </row>
    <row r="122" spans="2:22" ht="19.5" customHeight="1" outlineLevel="1" x14ac:dyDescent="0.25">
      <c r="B122" s="204"/>
      <c r="C122" s="9"/>
      <c r="D122" s="14" t="s">
        <v>92</v>
      </c>
      <c r="E122" s="6"/>
      <c r="F122" s="20">
        <f>F125-F123-F124</f>
        <v>0.27694958784533319</v>
      </c>
      <c r="G122" s="20">
        <f>G125-G123-G124</f>
        <v>0.22719697105122597</v>
      </c>
      <c r="H122" s="20">
        <f>H125-H123-H124</f>
        <v>0.19726891102097802</v>
      </c>
      <c r="I122" s="6"/>
      <c r="J122" s="20">
        <f>-(SUM([2]H7!$O$49,[2]H7!$R$49:$V$49,[2]H7!$Y$49:$AB$49)/1000)/J121</f>
        <v>4.6598250080381986E-6</v>
      </c>
      <c r="K122" s="20">
        <f>-(SUM([2]H7!$O$50,[2]H7!$R$50:$V$50,[2]H7!$Y$50:$AB$50)/1000)/K121</f>
        <v>0.72786135890235593</v>
      </c>
      <c r="L122" s="20" t="e">
        <f>-(SUM([2]H7!$O$51,[2]H7!$R$51:$V$51,[2]H7!$Y$51:$AB$51)/1000)/L121</f>
        <v>#DIV/0!</v>
      </c>
      <c r="M122" s="6"/>
      <c r="N122" s="6"/>
      <c r="O122" s="20">
        <f>O125-O123-O124</f>
        <v>0.27694958784533319</v>
      </c>
      <c r="P122" s="20">
        <f>P125-P123-P124</f>
        <v>0.22719697105122597</v>
      </c>
      <c r="Q122" s="20">
        <f>Q125-Q123-Q124</f>
        <v>0.19726891102097802</v>
      </c>
      <c r="R122" s="6"/>
      <c r="S122" s="20">
        <f>-(SUM([2]H7!$EM$49,[2]H7!$EP$49:$ET$49,[2]H7!$EW$49:$EZ$49)/1000)/S121</f>
        <v>0</v>
      </c>
      <c r="T122" s="20">
        <f>-(SUM([2]H7!$EM$50,[2]H7!$EP$50:$ET$50,[2]H7!$EW$50:$EZ$50)/1000)/T121</f>
        <v>0</v>
      </c>
      <c r="U122" s="20" t="e">
        <f>-(SUM([2]H7!$EM$51,[2]H7!$EP$51:$ET$51,[2]H7!$EW$51:$EZ$51)/1000)/U121</f>
        <v>#DIV/0!</v>
      </c>
      <c r="V122" s="6"/>
    </row>
    <row r="123" spans="2:22" ht="19.5" customHeight="1" outlineLevel="1" x14ac:dyDescent="0.25">
      <c r="B123" s="204"/>
      <c r="C123" s="9"/>
      <c r="D123" s="14" t="s">
        <v>93</v>
      </c>
      <c r="E123" s="6"/>
      <c r="F123" s="20">
        <f>IFERROR(SUM(INDEX(LL_TOT_BR_YTD,5,Month),INDEX(LL_IBNR_TOT_BR_YTD,5,Month))/F121,0)</f>
        <v>0</v>
      </c>
      <c r="G123" s="20">
        <f>IFERROR(SUM(INDEX(LL_TOT_BR_YTD_PREV,5,Month),INDEX(LL_IBNR_TOT_BR_YTD_PREV,5,Month))/G121,0)</f>
        <v>0</v>
      </c>
      <c r="H123" s="20">
        <f>IFERROR(SUM(INDEX(LL_TOT_BR_YTD_PLAN,5,Month),INDEX(LL_IBNR_TOT_BR_YTD_PLAN,5,Month))/H121,0)</f>
        <v>0</v>
      </c>
      <c r="I123" s="6"/>
      <c r="J123" s="20">
        <f>-(SUM([2]H7!$Q$49,[2]H7!$X$49)/1000)/J121</f>
        <v>0</v>
      </c>
      <c r="K123" s="20">
        <f>-(SUM([2]H7!$Q$50,[2]H7!$X$50)/1000)/K121</f>
        <v>0</v>
      </c>
      <c r="L123" s="20" t="e">
        <f>-(SUM([2]H7!$Q$51,[2]H7!$X$51)/1000)/L121</f>
        <v>#DIV/0!</v>
      </c>
      <c r="M123" s="6"/>
      <c r="N123" s="6"/>
      <c r="O123" s="20">
        <f>IFERROR(SUM(INDEX(LL_TOT_BR_YTD,5,Month),INDEX(LL_IBNR_TOT_BR_YTD,5,Month))/O121,0)</f>
        <v>0</v>
      </c>
      <c r="P123" s="20">
        <f>IFERROR(SUM(INDEX(LL_TOT_BR_YTD_PREV,5,Month),INDEX(LL_IBNR_TOT_BR_YTD_PREV,5,Month))/P121,0)</f>
        <v>0</v>
      </c>
      <c r="Q123" s="20">
        <f>IFERROR(SUM(INDEX(LL_TOT_BR_YTD_PLAN,5,Month),INDEX(LL_IBNR_TOT_BR_YTD_PLAN,5,Month))/Q121,0)</f>
        <v>0</v>
      </c>
      <c r="R123" s="6"/>
      <c r="S123" s="20">
        <f>-(SUM([2]H7!$EO$49,[2]H7!$EV$49)/1000)/S121</f>
        <v>0</v>
      </c>
      <c r="T123" s="20">
        <f>-(SUM([2]H7!$EO$50,[2]H7!$EV$50)/1000)/T121</f>
        <v>0</v>
      </c>
      <c r="U123" s="20" t="e">
        <f>-(SUM([2]H7!$EO$51,[2]H7!$EV$51)/1000)/U121</f>
        <v>#DIV/0!</v>
      </c>
      <c r="V123" s="6"/>
    </row>
    <row r="124" spans="2:22" ht="19.5" customHeight="1" outlineLevel="1" x14ac:dyDescent="0.25">
      <c r="B124" s="204"/>
      <c r="C124" s="9"/>
      <c r="D124" s="14" t="s">
        <v>94</v>
      </c>
      <c r="E124" s="6"/>
      <c r="F124" s="20">
        <f>0</f>
        <v>0</v>
      </c>
      <c r="G124" s="20">
        <f>0</f>
        <v>0</v>
      </c>
      <c r="H124" s="20">
        <f>0</f>
        <v>0</v>
      </c>
      <c r="I124" s="6"/>
      <c r="J124" s="20">
        <f>-(SUM([2]H7!$P$49,[2]H7!$W$49)/1000)/J121</f>
        <v>0</v>
      </c>
      <c r="K124" s="20">
        <f>-(SUM([2]H7!$P$50,[2]H7!$W$50)/1000)/K121</f>
        <v>0</v>
      </c>
      <c r="L124" s="20" t="e">
        <f>-(SUM([2]H7!$P$51,[2]H7!$W$51)/1000)/L121</f>
        <v>#DIV/0!</v>
      </c>
      <c r="M124" s="6"/>
      <c r="N124" s="6"/>
      <c r="O124" s="20">
        <f>0</f>
        <v>0</v>
      </c>
      <c r="P124" s="20">
        <f>0</f>
        <v>0</v>
      </c>
      <c r="Q124" s="20">
        <f>0</f>
        <v>0</v>
      </c>
      <c r="R124" s="6"/>
      <c r="S124" s="20">
        <f>-(SUM([2]H7!$EN$49,[2]H7!$EU$49)/1000)/S121</f>
        <v>0</v>
      </c>
      <c r="T124" s="20">
        <f>-(SUM([2]H7!$EN$50,[2]H7!$EU$50)/1000)/T121</f>
        <v>0</v>
      </c>
      <c r="U124" s="20" t="e">
        <f>-(SUM([2]H7!$EN$51,[2]H7!$EU$51)/1000)/U121</f>
        <v>#DIV/0!</v>
      </c>
      <c r="V124" s="6"/>
    </row>
    <row r="125" spans="2:22" ht="19.5" customHeight="1" outlineLevel="2" x14ac:dyDescent="0.25">
      <c r="B125" s="204"/>
      <c r="C125" s="9"/>
      <c r="D125" s="14" t="s">
        <v>95</v>
      </c>
      <c r="E125" s="7"/>
      <c r="F125" s="20">
        <v>0.27694958784533319</v>
      </c>
      <c r="G125" s="20">
        <v>0.22719697105122597</v>
      </c>
      <c r="H125" s="20">
        <v>0.19726891102097802</v>
      </c>
      <c r="I125" s="7"/>
      <c r="J125" s="20">
        <f>+J122+J123+J124</f>
        <v>4.6598250080381986E-6</v>
      </c>
      <c r="K125" s="20">
        <f>+K122+K123+K124</f>
        <v>0.72786135890235593</v>
      </c>
      <c r="L125" s="20" t="e">
        <f>+L122+L123+L124</f>
        <v>#DIV/0!</v>
      </c>
      <c r="M125" s="7"/>
      <c r="N125" s="7"/>
      <c r="O125" s="20">
        <v>0.27694958784533319</v>
      </c>
      <c r="P125" s="20">
        <v>0.22719697105122597</v>
      </c>
      <c r="Q125" s="20">
        <v>0.19726891102097802</v>
      </c>
      <c r="R125" s="7"/>
      <c r="S125" s="20">
        <f>+S122+S123+S124</f>
        <v>0</v>
      </c>
      <c r="T125" s="20">
        <f>+T122+T123+T124</f>
        <v>0</v>
      </c>
      <c r="U125" s="20" t="e">
        <f>+U122+U123+U124</f>
        <v>#DIV/0!</v>
      </c>
      <c r="V125" s="7"/>
    </row>
    <row r="126" spans="2:22" ht="20.149999999999999" customHeight="1" outlineLevel="1" x14ac:dyDescent="0.25">
      <c r="B126" s="204"/>
      <c r="C126" s="9"/>
      <c r="D126" s="14" t="s">
        <v>96</v>
      </c>
      <c r="E126" s="7"/>
      <c r="F126" s="20">
        <v>7.8264970387760285E-2</v>
      </c>
      <c r="G126" s="20">
        <v>-6.9985089681681309E-2</v>
      </c>
      <c r="H126" s="20">
        <v>0</v>
      </c>
      <c r="I126" s="7"/>
      <c r="J126" s="20">
        <f>-(SUM([2]H7!$AC$49:$AK$49)/1000)/J121</f>
        <v>0</v>
      </c>
      <c r="K126" s="20">
        <f>-(SUM([2]H7!$AC$50:$AK$50)/1000)/K121</f>
        <v>0.331586031962257</v>
      </c>
      <c r="L126" s="20" t="e">
        <f>-(SUM([2]H7!$AC$51:$AK$51)/1000)/L121</f>
        <v>#DIV/0!</v>
      </c>
      <c r="M126" s="7"/>
      <c r="N126" s="7"/>
      <c r="O126" s="20">
        <v>7.8264970387760285E-2</v>
      </c>
      <c r="P126" s="20">
        <v>-6.9985089681681309E-2</v>
      </c>
      <c r="Q126" s="20">
        <v>0</v>
      </c>
      <c r="R126" s="7"/>
      <c r="S126" s="20">
        <f>-(SUM([2]H7!$FA$49:$FI$49)/1000)/S121</f>
        <v>0</v>
      </c>
      <c r="T126" s="20">
        <f>-(SUM([2]H7!$FA$50:$FI$50)/1000)/T121</f>
        <v>0</v>
      </c>
      <c r="U126" s="20" t="e">
        <f>-(SUM([2]H7!$FA$51:$FI$51)/1000)/U121</f>
        <v>#DIV/0!</v>
      </c>
      <c r="V126" s="7"/>
    </row>
    <row r="127" spans="2:22" ht="20.149999999999999" customHeight="1" outlineLevel="2" x14ac:dyDescent="0.25">
      <c r="B127" s="204"/>
      <c r="C127" s="9"/>
      <c r="D127" s="15" t="s">
        <v>87</v>
      </c>
      <c r="E127" s="7"/>
      <c r="F127" s="20">
        <v>0.18303060398198542</v>
      </c>
      <c r="G127" s="20">
        <v>0.18614404769448578</v>
      </c>
      <c r="H127" s="20">
        <v>0.20438203736246632</v>
      </c>
      <c r="I127" s="7"/>
      <c r="J127" s="20">
        <f>-(SUM([2]H7!$AL$49:$AN$49)/1000)/J121</f>
        <v>0.16838588321546569</v>
      </c>
      <c r="K127" s="20">
        <f>-(SUM([2]H7!$AL$50:$AN$50)/1000)/K121</f>
        <v>0.16917067528231575</v>
      </c>
      <c r="L127" s="20" t="e">
        <f>-(SUM([2]H7!$AL$51:$AN$51)/1000)/L121</f>
        <v>#DIV/0!</v>
      </c>
      <c r="M127" s="7"/>
      <c r="N127" s="7"/>
      <c r="O127" s="20">
        <v>0.18303060398198542</v>
      </c>
      <c r="P127" s="20">
        <v>0.18614404769448578</v>
      </c>
      <c r="Q127" s="20">
        <v>0.20438203736246632</v>
      </c>
      <c r="R127" s="7"/>
      <c r="S127" s="20">
        <f>-(SUM([2]H7!$FJ$49:$FL$49)/1000)/S121</f>
        <v>0.16904876099120691</v>
      </c>
      <c r="T127" s="20">
        <f>-(SUM([2]H7!$FJ$50:$FL$50)/1000)/T121</f>
        <v>0.16776751977586668</v>
      </c>
      <c r="U127" s="20" t="e">
        <f>-(SUM([2]H7!$FJ$51:$FL$51)/1000)/U121</f>
        <v>#DIV/0!</v>
      </c>
      <c r="V127" s="7"/>
    </row>
    <row r="128" spans="2:22" ht="20.149999999999999" customHeight="1" outlineLevel="2" x14ac:dyDescent="0.25">
      <c r="B128" s="204"/>
      <c r="C128" s="9"/>
      <c r="D128" s="15" t="s">
        <v>88</v>
      </c>
      <c r="E128" s="7"/>
      <c r="F128" s="20">
        <v>6.9275062251362332E-2</v>
      </c>
      <c r="G128" s="20">
        <v>3.175185160927016E-2</v>
      </c>
      <c r="H128" s="20">
        <v>8.4249843678186484E-2</v>
      </c>
      <c r="I128" s="7"/>
      <c r="J128" s="20">
        <f>-(SUM([2]H7!$AO$49:$AR$49)/1000)/J121</f>
        <v>7.766375013396999E-6</v>
      </c>
      <c r="K128" s="20">
        <f>-(SUM([2]H7!$AO$50:$AR$50)/1000)/K121</f>
        <v>0</v>
      </c>
      <c r="L128" s="20" t="e">
        <f>-(SUM([2]H7!$AO$51:$AR$51)/1000)/L121</f>
        <v>#DIV/0!</v>
      </c>
      <c r="M128" s="7"/>
      <c r="N128" s="7"/>
      <c r="O128" s="20">
        <v>6.9275062251362332E-2</v>
      </c>
      <c r="P128" s="20">
        <v>3.175185160927016E-2</v>
      </c>
      <c r="Q128" s="20">
        <v>8.4249843678186484E-2</v>
      </c>
      <c r="R128" s="7"/>
      <c r="S128" s="20">
        <f>-(SUM([2]H7!$FM$49:$FP$49)/1000)/S121</f>
        <v>0</v>
      </c>
      <c r="T128" s="20">
        <f>-(SUM([2]H7!$FM$50:$FP$50)/1000)/T121</f>
        <v>0</v>
      </c>
      <c r="U128" s="20" t="e">
        <f>-(SUM([2]H7!$FM$51:$FP$51)/1000)/U121</f>
        <v>#DIV/0!</v>
      </c>
      <c r="V128" s="7"/>
    </row>
    <row r="129" spans="2:22" ht="20.149999999999999" customHeight="1" outlineLevel="1" x14ac:dyDescent="0.25">
      <c r="B129" s="204"/>
      <c r="C129" s="9"/>
      <c r="D129" s="14" t="s">
        <v>97</v>
      </c>
      <c r="E129" s="7"/>
      <c r="F129" s="20">
        <v>0.25230566623334771</v>
      </c>
      <c r="G129" s="20">
        <v>0.21789589930375597</v>
      </c>
      <c r="H129" s="20">
        <v>0.28863188104065279</v>
      </c>
      <c r="I129" s="7"/>
      <c r="J129" s="20">
        <f>+J127+J128</f>
        <v>0.16839364959047909</v>
      </c>
      <c r="K129" s="20">
        <f>+K127+K128</f>
        <v>0.16917067528231575</v>
      </c>
      <c r="L129" s="20" t="e">
        <f>+L127+L128</f>
        <v>#DIV/0!</v>
      </c>
      <c r="M129" s="7"/>
      <c r="N129" s="7"/>
      <c r="O129" s="20">
        <v>0.25230566623334771</v>
      </c>
      <c r="P129" s="20">
        <v>0.21789589930375597</v>
      </c>
      <c r="Q129" s="20">
        <v>0.28863188104065279</v>
      </c>
      <c r="R129" s="7"/>
      <c r="S129" s="20">
        <f>+S127+S128</f>
        <v>0.16904876099120691</v>
      </c>
      <c r="T129" s="20">
        <f>+T127+T128</f>
        <v>0.16776751977586668</v>
      </c>
      <c r="U129" s="20" t="e">
        <f>+U127+U128</f>
        <v>#DIV/0!</v>
      </c>
      <c r="V129" s="7"/>
    </row>
    <row r="130" spans="2:22" ht="20.149999999999999" customHeight="1" outlineLevel="1" x14ac:dyDescent="0.25">
      <c r="B130" s="204"/>
      <c r="C130" s="9"/>
      <c r="D130" s="14" t="s">
        <v>90</v>
      </c>
      <c r="E130" s="7"/>
      <c r="F130" s="20"/>
      <c r="G130" s="20"/>
      <c r="H130" s="20"/>
      <c r="I130" s="7"/>
      <c r="J130" s="20">
        <f>-(SUM([2]H7!$AT$49:$BJ$49)/1000/J121)</f>
        <v>0</v>
      </c>
      <c r="K130" s="20">
        <f>-(SUM([2]H7!$AT$50:$BJ$50)/1000/K121)</f>
        <v>0</v>
      </c>
      <c r="L130" s="20" t="e">
        <f>-(SUM([2]H7!$AT$51:$BJ$51)/1000/L121)</f>
        <v>#DIV/0!</v>
      </c>
      <c r="M130" s="7"/>
      <c r="N130" s="7"/>
      <c r="O130" s="20"/>
      <c r="P130" s="20"/>
      <c r="Q130" s="20"/>
      <c r="R130" s="7"/>
      <c r="S130" s="20">
        <f>-(SUM([2]H7!$FR$49:$GH$49)/1000/S121)</f>
        <v>0</v>
      </c>
      <c r="T130" s="20">
        <f>-(SUM([2]H7!$FR$50:$GH$50)/1000/T121)</f>
        <v>0</v>
      </c>
      <c r="U130" s="20" t="e">
        <f>-(SUM([2]H7!$FR$51:$GH$51)/1000/U121)</f>
        <v>#DIV/0!</v>
      </c>
      <c r="V130" s="7"/>
    </row>
    <row r="131" spans="2:22" ht="20.149999999999999" customHeight="1" outlineLevel="1" x14ac:dyDescent="0.25">
      <c r="B131" s="204"/>
      <c r="C131" s="9"/>
      <c r="D131" s="14" t="s">
        <v>79</v>
      </c>
      <c r="E131" s="8"/>
      <c r="F131" s="20">
        <v>0.60752022446644127</v>
      </c>
      <c r="G131" s="20">
        <v>0.37510778067330053</v>
      </c>
      <c r="H131" s="20">
        <v>0.48590079206163078</v>
      </c>
      <c r="I131" s="8"/>
      <c r="J131" s="20">
        <f>+J125+J126+J129+J130</f>
        <v>0.16839830941548714</v>
      </c>
      <c r="K131" s="20">
        <f>+K125+K126+K129+K130</f>
        <v>1.2286180661469286</v>
      </c>
      <c r="L131" s="20" t="e">
        <f>+L125+L126+L129+L130</f>
        <v>#DIV/0!</v>
      </c>
      <c r="M131" s="8"/>
      <c r="N131" s="8"/>
      <c r="O131" s="20">
        <v>0.60752022446644127</v>
      </c>
      <c r="P131" s="20">
        <v>0.37510778067330053</v>
      </c>
      <c r="Q131" s="20">
        <v>0.48590079206163078</v>
      </c>
      <c r="R131" s="8"/>
      <c r="S131" s="20">
        <f>+S125+S126+S129+S130</f>
        <v>0.16904876099120691</v>
      </c>
      <c r="T131" s="20">
        <f>+T125+T126+T129+T130</f>
        <v>0.16776751977586668</v>
      </c>
      <c r="U131" s="20" t="e">
        <f>+U125+U126+U129+U130</f>
        <v>#DIV/0!</v>
      </c>
      <c r="V131" s="8"/>
    </row>
    <row r="132" spans="2:22" ht="19.5" customHeight="1" outlineLevel="1" x14ac:dyDescent="0.25">
      <c r="B132" s="204"/>
      <c r="C132" s="9"/>
      <c r="D132" s="14" t="s">
        <v>34</v>
      </c>
      <c r="E132" s="6"/>
      <c r="F132" s="19">
        <v>0.9093967199999996</v>
      </c>
      <c r="G132" s="19">
        <v>1.5321518799999998</v>
      </c>
      <c r="H132" s="19">
        <v>1.1388253462569518</v>
      </c>
      <c r="I132" s="6"/>
      <c r="J132" s="19">
        <f>+[2]H7!$BK$49/1000</f>
        <v>5.3538599999999993E-3</v>
      </c>
      <c r="K132" s="19">
        <f>+[2]H7!$BK$50/1000</f>
        <v>-1.5574399999999985E-3</v>
      </c>
      <c r="L132" s="19">
        <f>+[2]H7!$BK$51/1000</f>
        <v>0</v>
      </c>
      <c r="M132" s="6"/>
      <c r="N132" s="6"/>
      <c r="O132" s="19">
        <v>0.9093967199999996</v>
      </c>
      <c r="P132" s="19">
        <v>1.5321518799999998</v>
      </c>
      <c r="Q132" s="19">
        <v>1.1388253462569518</v>
      </c>
      <c r="R132" s="6"/>
      <c r="S132" s="19">
        <f>+[2]H7!$GI$49/1000</f>
        <v>1.8191600000000007E-3</v>
      </c>
      <c r="T132" s="19">
        <f>+[2]H7!$GI$50/1000</f>
        <v>2.0021100000000005E-3</v>
      </c>
      <c r="U132" s="19">
        <f>+[2]H7!$GI$51/1000</f>
        <v>0</v>
      </c>
      <c r="V132" s="6"/>
    </row>
    <row r="133" spans="2:22" ht="7.5" customHeight="1" outlineLevel="1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2:22" ht="19.5" customHeight="1" outlineLevel="1" x14ac:dyDescent="0.25">
      <c r="B134" s="204" t="s">
        <v>105</v>
      </c>
      <c r="C134" s="9"/>
      <c r="D134" s="14" t="s">
        <v>19</v>
      </c>
      <c r="E134" s="6"/>
      <c r="F134" s="19">
        <v>3.9291138499999994</v>
      </c>
      <c r="G134" s="19">
        <v>4.1917961400000001</v>
      </c>
      <c r="H134" s="19">
        <v>4.4139901662291425</v>
      </c>
      <c r="I134" s="6"/>
      <c r="J134" s="19"/>
      <c r="K134" s="19"/>
      <c r="L134" s="19"/>
      <c r="M134" s="6"/>
      <c r="N134" s="6"/>
      <c r="O134" s="19">
        <v>3.9291138499999994</v>
      </c>
      <c r="P134" s="19">
        <v>4.1917961400000001</v>
      </c>
      <c r="Q134" s="19">
        <v>4.4139901662291425</v>
      </c>
      <c r="R134" s="6"/>
      <c r="S134" s="19"/>
      <c r="T134" s="19"/>
      <c r="U134" s="19"/>
      <c r="V134" s="6"/>
    </row>
    <row r="135" spans="2:22" ht="20.149999999999999" customHeight="1" outlineLevel="1" x14ac:dyDescent="0.25">
      <c r="B135" s="204"/>
      <c r="C135" s="9"/>
      <c r="D135" s="14" t="s">
        <v>20</v>
      </c>
      <c r="E135" s="6"/>
      <c r="F135" s="19">
        <v>3.9370871899999997</v>
      </c>
      <c r="G135" s="19">
        <v>4.2753675999999992</v>
      </c>
      <c r="H135" s="19">
        <v>4.4615854579151879</v>
      </c>
      <c r="I135" s="6"/>
      <c r="J135" s="19"/>
      <c r="K135" s="19"/>
      <c r="L135" s="19"/>
      <c r="M135" s="6"/>
      <c r="N135" s="6"/>
      <c r="O135" s="19">
        <v>3.9370871899999997</v>
      </c>
      <c r="P135" s="19">
        <v>4.2753675999999992</v>
      </c>
      <c r="Q135" s="19">
        <v>4.4615854579151879</v>
      </c>
      <c r="R135" s="6"/>
      <c r="S135" s="19"/>
      <c r="T135" s="19"/>
      <c r="U135" s="19"/>
      <c r="V135" s="6"/>
    </row>
    <row r="136" spans="2:22" ht="19.5" customHeight="1" outlineLevel="1" x14ac:dyDescent="0.25">
      <c r="B136" s="204"/>
      <c r="C136" s="9"/>
      <c r="D136" s="14" t="s">
        <v>92</v>
      </c>
      <c r="E136" s="6"/>
      <c r="F136" s="20">
        <f>F139-F137-F138</f>
        <v>0.49361970822901691</v>
      </c>
      <c r="G136" s="20">
        <f>G139-G137-G138</f>
        <v>0.20816248876470886</v>
      </c>
      <c r="H136" s="20">
        <f>H139-H137-H138</f>
        <v>0.28562485264551746</v>
      </c>
      <c r="I136" s="6"/>
      <c r="J136" s="20"/>
      <c r="K136" s="20"/>
      <c r="L136" s="20"/>
      <c r="M136" s="6"/>
      <c r="N136" s="6"/>
      <c r="O136" s="20">
        <f>O139-O137-O138</f>
        <v>0.49361970822901691</v>
      </c>
      <c r="P136" s="20">
        <f>P139-P137-P138</f>
        <v>0.20816248876470886</v>
      </c>
      <c r="Q136" s="20">
        <f>Q139-Q137-Q138</f>
        <v>0.28562485264551746</v>
      </c>
      <c r="R136" s="6"/>
      <c r="S136" s="20"/>
      <c r="T136" s="20"/>
      <c r="U136" s="20"/>
      <c r="V136" s="6"/>
    </row>
    <row r="137" spans="2:22" ht="19.5" customHeight="1" outlineLevel="1" x14ac:dyDescent="0.25">
      <c r="B137" s="204"/>
      <c r="C137" s="9"/>
      <c r="D137" s="14" t="s">
        <v>93</v>
      </c>
      <c r="E137" s="6"/>
      <c r="F137" s="20">
        <f>IFERROR(SUM(INDEX(LL_TOT_BR_YTD,6,Month),INDEX(LL_IBNR_TOT_BR_YTD,6,Month))/F135,0)</f>
        <v>0</v>
      </c>
      <c r="G137" s="20">
        <f>IFERROR(SUM(INDEX(LL_TOT_BR_YTD_PREV,6,Month),INDEX(LL_IBNR_TOT_BR_YTD_PREV,6,Month))/G135,0)</f>
        <v>0</v>
      </c>
      <c r="H137" s="20">
        <f>IFERROR(SUM(INDEX(LL_TOT_BR_YTD_PLAN,6,Month),INDEX(LL_IBNR_TOT_BR_YTD_PLAN,6,Month))/H135,0)</f>
        <v>0</v>
      </c>
      <c r="I137" s="6"/>
      <c r="J137" s="20"/>
      <c r="K137" s="20"/>
      <c r="L137" s="20"/>
      <c r="M137" s="6"/>
      <c r="N137" s="6"/>
      <c r="O137" s="20">
        <f>IFERROR(SUM(INDEX(LL_TOT_BR_YTD,6,Month),INDEX(LL_IBNR_TOT_BR_YTD,6,Month))/O135,0)</f>
        <v>0</v>
      </c>
      <c r="P137" s="20">
        <f>IFERROR(SUM(INDEX(LL_TOT_BR_YTD_PREV,6,Month),INDEX(LL_IBNR_TOT_BR_YTD_PREV,6,Month))/P135,0)</f>
        <v>0</v>
      </c>
      <c r="Q137" s="20">
        <f>IFERROR(SUM(INDEX(LL_TOT_BR_YTD_PLAN,6,Month),INDEX(LL_IBNR_TOT_BR_YTD_PLAN,6,Month))/Q135,0)</f>
        <v>0</v>
      </c>
      <c r="R137" s="6"/>
      <c r="S137" s="20"/>
      <c r="T137" s="20"/>
      <c r="U137" s="20"/>
      <c r="V137" s="6"/>
    </row>
    <row r="138" spans="2:22" ht="19.5" customHeight="1" outlineLevel="1" x14ac:dyDescent="0.25">
      <c r="B138" s="204"/>
      <c r="C138" s="9"/>
      <c r="D138" s="14" t="s">
        <v>94</v>
      </c>
      <c r="E138" s="6"/>
      <c r="F138" s="20">
        <f>0</f>
        <v>0</v>
      </c>
      <c r="G138" s="20">
        <f>0</f>
        <v>0</v>
      </c>
      <c r="H138" s="20">
        <f>0</f>
        <v>0</v>
      </c>
      <c r="I138" s="6"/>
      <c r="J138" s="20"/>
      <c r="K138" s="20"/>
      <c r="L138" s="20"/>
      <c r="M138" s="6"/>
      <c r="N138" s="6"/>
      <c r="O138" s="20">
        <f>0</f>
        <v>0</v>
      </c>
      <c r="P138" s="20">
        <f>0</f>
        <v>0</v>
      </c>
      <c r="Q138" s="20">
        <f>0</f>
        <v>0</v>
      </c>
      <c r="R138" s="6"/>
      <c r="S138" s="20"/>
      <c r="T138" s="20"/>
      <c r="U138" s="20"/>
      <c r="V138" s="6"/>
    </row>
    <row r="139" spans="2:22" ht="19.5" customHeight="1" outlineLevel="2" x14ac:dyDescent="0.25">
      <c r="B139" s="204"/>
      <c r="C139" s="9"/>
      <c r="D139" s="14" t="s">
        <v>95</v>
      </c>
      <c r="E139" s="7"/>
      <c r="F139" s="20">
        <v>0.49361970822901691</v>
      </c>
      <c r="G139" s="20">
        <v>0.20816248876470886</v>
      </c>
      <c r="H139" s="20">
        <v>0.28562485264551746</v>
      </c>
      <c r="I139" s="7"/>
      <c r="J139" s="20"/>
      <c r="K139" s="20"/>
      <c r="L139" s="20"/>
      <c r="M139" s="7"/>
      <c r="N139" s="7"/>
      <c r="O139" s="20">
        <v>0.49361970822901691</v>
      </c>
      <c r="P139" s="20">
        <v>0.20816248876470886</v>
      </c>
      <c r="Q139" s="20">
        <v>0.28562485264551746</v>
      </c>
      <c r="R139" s="7"/>
      <c r="S139" s="20"/>
      <c r="T139" s="20"/>
      <c r="U139" s="20"/>
      <c r="V139" s="7"/>
    </row>
    <row r="140" spans="2:22" ht="20.149999999999999" customHeight="1" outlineLevel="1" x14ac:dyDescent="0.25">
      <c r="B140" s="204"/>
      <c r="C140" s="9"/>
      <c r="D140" s="14" t="s">
        <v>96</v>
      </c>
      <c r="E140" s="7"/>
      <c r="F140" s="20">
        <v>-0.24777656498889986</v>
      </c>
      <c r="G140" s="20">
        <v>-0.21788168577597833</v>
      </c>
      <c r="H140" s="20">
        <v>0</v>
      </c>
      <c r="I140" s="7"/>
      <c r="J140" s="20"/>
      <c r="K140" s="20"/>
      <c r="L140" s="20"/>
      <c r="M140" s="7"/>
      <c r="N140" s="7"/>
      <c r="O140" s="20">
        <v>-0.24777656498889986</v>
      </c>
      <c r="P140" s="20">
        <v>-0.21788168577597833</v>
      </c>
      <c r="Q140" s="20">
        <v>0</v>
      </c>
      <c r="R140" s="7"/>
      <c r="S140" s="20"/>
      <c r="T140" s="20"/>
      <c r="U140" s="20"/>
      <c r="V140" s="7"/>
    </row>
    <row r="141" spans="2:22" ht="20.149999999999999" customHeight="1" outlineLevel="2" x14ac:dyDescent="0.25">
      <c r="B141" s="204"/>
      <c r="C141" s="9"/>
      <c r="D141" s="15" t="s">
        <v>87</v>
      </c>
      <c r="E141" s="7"/>
      <c r="F141" s="20">
        <v>0.1658069858493533</v>
      </c>
      <c r="G141" s="20">
        <v>0.21963125229278538</v>
      </c>
      <c r="H141" s="20">
        <v>0.16717916113669204</v>
      </c>
      <c r="I141" s="7"/>
      <c r="J141" s="20"/>
      <c r="K141" s="20"/>
      <c r="L141" s="20"/>
      <c r="M141" s="7"/>
      <c r="N141" s="7"/>
      <c r="O141" s="20">
        <v>0.1658069858493533</v>
      </c>
      <c r="P141" s="20">
        <v>0.21963125229278538</v>
      </c>
      <c r="Q141" s="20">
        <v>0.16717916113669204</v>
      </c>
      <c r="R141" s="7"/>
      <c r="S141" s="20"/>
      <c r="T141" s="20"/>
      <c r="U141" s="20"/>
      <c r="V141" s="7"/>
    </row>
    <row r="142" spans="2:22" ht="20.149999999999999" customHeight="1" outlineLevel="2" x14ac:dyDescent="0.25">
      <c r="B142" s="204"/>
      <c r="C142" s="9"/>
      <c r="D142" s="15" t="s">
        <v>88</v>
      </c>
      <c r="E142" s="7"/>
      <c r="F142" s="20">
        <v>0.16807597293774948</v>
      </c>
      <c r="G142" s="20">
        <v>0.18193374529946854</v>
      </c>
      <c r="H142" s="20">
        <v>0.15908397356614867</v>
      </c>
      <c r="I142" s="7"/>
      <c r="J142" s="20"/>
      <c r="K142" s="20"/>
      <c r="L142" s="20"/>
      <c r="M142" s="7"/>
      <c r="N142" s="7"/>
      <c r="O142" s="20">
        <v>0.16807597293774948</v>
      </c>
      <c r="P142" s="20">
        <v>0.18193374529946854</v>
      </c>
      <c r="Q142" s="20">
        <v>0.15908397356614867</v>
      </c>
      <c r="R142" s="7"/>
      <c r="S142" s="20"/>
      <c r="T142" s="20"/>
      <c r="U142" s="20"/>
      <c r="V142" s="7"/>
    </row>
    <row r="143" spans="2:22" ht="20.149999999999999" customHeight="1" outlineLevel="1" x14ac:dyDescent="0.25">
      <c r="B143" s="204"/>
      <c r="C143" s="9"/>
      <c r="D143" s="14" t="s">
        <v>97</v>
      </c>
      <c r="E143" s="7"/>
      <c r="F143" s="20">
        <v>0.33388295878710278</v>
      </c>
      <c r="G143" s="20" t="e">
        <v>#VALUE!</v>
      </c>
      <c r="H143" s="20">
        <v>0.32626313470284068</v>
      </c>
      <c r="I143" s="7"/>
      <c r="J143" s="20"/>
      <c r="K143" s="20"/>
      <c r="L143" s="20"/>
      <c r="M143" s="7"/>
      <c r="N143" s="7"/>
      <c r="O143" s="20">
        <v>0.33388295878710278</v>
      </c>
      <c r="P143" s="20" t="e">
        <v>#VALUE!</v>
      </c>
      <c r="Q143" s="20">
        <v>0.32626313470284068</v>
      </c>
      <c r="R143" s="7"/>
      <c r="S143" s="20"/>
      <c r="T143" s="20"/>
      <c r="U143" s="20"/>
      <c r="V143" s="7"/>
    </row>
    <row r="144" spans="2:22" ht="20.149999999999999" customHeight="1" outlineLevel="1" x14ac:dyDescent="0.25">
      <c r="B144" s="204"/>
      <c r="C144" s="9"/>
      <c r="D144" s="14" t="s">
        <v>90</v>
      </c>
      <c r="E144" s="7"/>
      <c r="F144" s="20"/>
      <c r="G144" s="20"/>
      <c r="H144" s="20"/>
      <c r="I144" s="7"/>
      <c r="J144" s="20"/>
      <c r="K144" s="20"/>
      <c r="L144" s="20"/>
      <c r="M144" s="7"/>
      <c r="N144" s="7"/>
      <c r="O144" s="20"/>
      <c r="P144" s="20"/>
      <c r="Q144" s="20"/>
      <c r="R144" s="7"/>
      <c r="S144" s="20"/>
      <c r="T144" s="20"/>
      <c r="U144" s="20"/>
      <c r="V144" s="7"/>
    </row>
    <row r="145" spans="2:22" ht="20.149999999999999" customHeight="1" outlineLevel="1" x14ac:dyDescent="0.25">
      <c r="B145" s="204"/>
      <c r="C145" s="9"/>
      <c r="D145" s="14" t="s">
        <v>79</v>
      </c>
      <c r="E145" s="8"/>
      <c r="F145" s="20">
        <v>0.57972610202721986</v>
      </c>
      <c r="G145" s="20" t="e">
        <v>#VALUE!</v>
      </c>
      <c r="H145" s="20">
        <v>0.61188798734835825</v>
      </c>
      <c r="I145" s="8"/>
      <c r="J145" s="20"/>
      <c r="K145" s="20"/>
      <c r="L145" s="20"/>
      <c r="M145" s="8"/>
      <c r="N145" s="8"/>
      <c r="O145" s="20">
        <v>0.57972610202721986</v>
      </c>
      <c r="P145" s="20" t="e">
        <v>#VALUE!</v>
      </c>
      <c r="Q145" s="20">
        <v>0.61188798734835825</v>
      </c>
      <c r="R145" s="8"/>
      <c r="S145" s="20"/>
      <c r="T145" s="20"/>
      <c r="U145" s="20"/>
      <c r="V145" s="8"/>
    </row>
    <row r="146" spans="2:22" ht="19.5" customHeight="1" outlineLevel="1" x14ac:dyDescent="0.25">
      <c r="B146" s="204"/>
      <c r="C146" s="9"/>
      <c r="D146" s="14" t="s">
        <v>34</v>
      </c>
      <c r="E146" s="6"/>
      <c r="F146" s="19">
        <v>1.6546549799999999</v>
      </c>
      <c r="G146" s="19">
        <v>2.3881635999999977</v>
      </c>
      <c r="H146" s="19">
        <v>1.7315949116887599</v>
      </c>
      <c r="I146" s="6"/>
      <c r="J146" s="19"/>
      <c r="K146" s="19"/>
      <c r="L146" s="19"/>
      <c r="M146" s="6"/>
      <c r="N146" s="6"/>
      <c r="O146" s="19">
        <v>1.6546549799999999</v>
      </c>
      <c r="P146" s="19">
        <v>2.3881635999999977</v>
      </c>
      <c r="Q146" s="19">
        <v>1.7315949116887599</v>
      </c>
      <c r="R146" s="6"/>
      <c r="S146" s="19"/>
      <c r="T146" s="19"/>
      <c r="U146" s="19"/>
      <c r="V146" s="6"/>
    </row>
    <row r="147" spans="2:22" ht="7.5" customHeight="1" outlineLevel="1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 ht="19.5" customHeight="1" outlineLevel="1" x14ac:dyDescent="0.25">
      <c r="B148" s="204" t="s">
        <v>106</v>
      </c>
      <c r="C148" s="9"/>
      <c r="D148" s="14" t="s">
        <v>19</v>
      </c>
      <c r="E148" s="6"/>
      <c r="F148" s="19">
        <v>39.956381669999999</v>
      </c>
      <c r="G148" s="19">
        <v>35.901614680000009</v>
      </c>
      <c r="H148" s="19">
        <v>36.922681321660534</v>
      </c>
      <c r="I148" s="6"/>
      <c r="J148" s="19">
        <f>+[2]H7!$C$45/1000</f>
        <v>0</v>
      </c>
      <c r="K148" s="19">
        <f>+[2]H7!$C$46/1000</f>
        <v>0</v>
      </c>
      <c r="L148" s="19">
        <f>+[2]H7!$C$47/1000</f>
        <v>0</v>
      </c>
      <c r="M148" s="6"/>
      <c r="N148" s="6"/>
      <c r="O148" s="19">
        <v>39.956381669999999</v>
      </c>
      <c r="P148" s="19">
        <v>35.901614680000009</v>
      </c>
      <c r="Q148" s="19">
        <v>36.922681321660534</v>
      </c>
      <c r="R148" s="6"/>
      <c r="S148" s="19">
        <f>+[2]H7!$EA$45/1000</f>
        <v>0</v>
      </c>
      <c r="T148" s="19">
        <f>+[2]H7!$EA$46/1000</f>
        <v>0</v>
      </c>
      <c r="U148" s="19">
        <f>+[2]H7!$EA$47/1000</f>
        <v>0</v>
      </c>
      <c r="V148" s="6"/>
    </row>
    <row r="149" spans="2:22" ht="20.149999999999999" customHeight="1" outlineLevel="1" x14ac:dyDescent="0.25">
      <c r="B149" s="204"/>
      <c r="C149" s="9"/>
      <c r="D149" s="14" t="s">
        <v>20</v>
      </c>
      <c r="E149" s="6"/>
      <c r="F149" s="19">
        <v>38.89488166000001</v>
      </c>
      <c r="G149" s="19">
        <v>34.339636540000008</v>
      </c>
      <c r="H149" s="19">
        <v>34.780579715753724</v>
      </c>
      <c r="I149" s="6"/>
      <c r="J149" s="19">
        <f>+[2]H7!$N$45/1000</f>
        <v>0</v>
      </c>
      <c r="K149" s="19">
        <f>+[2]H7!$N$46/1000</f>
        <v>0</v>
      </c>
      <c r="L149" s="19">
        <f>+[2]H7!$N$47/1000</f>
        <v>0</v>
      </c>
      <c r="M149" s="6"/>
      <c r="N149" s="6"/>
      <c r="O149" s="19">
        <v>38.89488166000001</v>
      </c>
      <c r="P149" s="19">
        <v>34.339636540000008</v>
      </c>
      <c r="Q149" s="19">
        <v>34.780579715753724</v>
      </c>
      <c r="R149" s="6"/>
      <c r="S149" s="19">
        <f>+[2]H7!$EL$45/1000</f>
        <v>0</v>
      </c>
      <c r="T149" s="19">
        <f>+[2]H7!$EL$46/1000</f>
        <v>0</v>
      </c>
      <c r="U149" s="19">
        <f>+[2]H7!$EL$47/1000</f>
        <v>0</v>
      </c>
      <c r="V149" s="6"/>
    </row>
    <row r="150" spans="2:22" ht="19.5" customHeight="1" outlineLevel="1" x14ac:dyDescent="0.25">
      <c r="B150" s="204"/>
      <c r="C150" s="9"/>
      <c r="D150" s="14" t="s">
        <v>92</v>
      </c>
      <c r="E150" s="6"/>
      <c r="F150" s="20">
        <f>F153-F151-F152</f>
        <v>0.69867287237299669</v>
      </c>
      <c r="G150" s="20">
        <f>G153-G151-G152</f>
        <v>0.47692328662020228</v>
      </c>
      <c r="H150" s="20">
        <f>H153-H151-H152</f>
        <v>0.60636957427339333</v>
      </c>
      <c r="I150" s="6"/>
      <c r="J150" s="20" t="e">
        <f>-(SUM([2]H7!$O$45,[2]H7!$R$45:$V$45,[2]H7!$Y$45:$AB$45)/1000)/J149</f>
        <v>#DIV/0!</v>
      </c>
      <c r="K150" s="20" t="e">
        <f>-(SUM([2]H7!$O$46,[2]H7!$R$46:$V$46,[2]H7!$Y$46:$AB$46)/1000)/K149</f>
        <v>#DIV/0!</v>
      </c>
      <c r="L150" s="20" t="e">
        <f>-(SUM([2]H7!$O$47,[2]H7!$R$47:$V$47,[2]H7!$Y$47:$AB$47)/1000)/L149</f>
        <v>#DIV/0!</v>
      </c>
      <c r="M150" s="6"/>
      <c r="N150" s="6"/>
      <c r="O150" s="20">
        <f>O153-O151-O152</f>
        <v>0.69867287237299669</v>
      </c>
      <c r="P150" s="20">
        <f>P153-P151-P152</f>
        <v>0.47692328662020228</v>
      </c>
      <c r="Q150" s="20">
        <f>Q153-Q151-Q152</f>
        <v>0.60636957427339333</v>
      </c>
      <c r="R150" s="6"/>
      <c r="S150" s="20" t="e">
        <f>-(SUM([2]H7!$EM$45,[2]H7!$EP$45:$ET$45,[2]H7!$EW$45:$EZ$45)/1000)/S149</f>
        <v>#DIV/0!</v>
      </c>
      <c r="T150" s="20" t="e">
        <f>-(SUM([2]H7!$EM$46,[2]H7!$EP$46:$ET$46,[2]H7!$EW$46:$EZ$46)/1000)/T149</f>
        <v>#DIV/0!</v>
      </c>
      <c r="U150" s="20" t="e">
        <f>-(SUM([2]H7!$EM$47,[2]H7!$EP$47:$ET$47,[2]H7!$EW$47:$EZ$47)/1000)/U149</f>
        <v>#DIV/0!</v>
      </c>
      <c r="V150" s="6"/>
    </row>
    <row r="151" spans="2:22" ht="19.5" customHeight="1" outlineLevel="1" x14ac:dyDescent="0.25">
      <c r="B151" s="204"/>
      <c r="C151" s="9"/>
      <c r="D151" s="14" t="s">
        <v>93</v>
      </c>
      <c r="E151" s="6"/>
      <c r="F151" s="20">
        <f>IFERROR(SUM(INDEX(LL_TOT_BR_YTD,8,Month),INDEX(LL_IBNR_TOT_BR_YTD,8,Month))/F149,0)</f>
        <v>0</v>
      </c>
      <c r="G151" s="20">
        <f>IFERROR(SUM(INDEX(LL_TOT_BR_YTD_PREV,8,Month),INDEX(LL_IBNR_TOT_BR_YTD_PREV,8,Month))/G149,0)</f>
        <v>0</v>
      </c>
      <c r="H151" s="20">
        <f>IFERROR(SUM(INDEX(LL_TOT_BR_YTD_PLAN,8,Month),INDEX(LL_IBNR_TOT_BR_YTD_PLAN,8,Month))/H149,0)</f>
        <v>0</v>
      </c>
      <c r="I151" s="6"/>
      <c r="J151" s="20" t="e">
        <f>-(SUM([2]H7!$Q$45,[2]H7!$X$45)/1000)/J149</f>
        <v>#DIV/0!</v>
      </c>
      <c r="K151" s="20" t="e">
        <f>-(SUM([2]H7!$Q$46,[2]H7!$X$46)/1000)/K149</f>
        <v>#DIV/0!</v>
      </c>
      <c r="L151" s="20" t="e">
        <f>-(SUM([2]H7!$Q$47,[2]H7!$X$47)/1000)/L149</f>
        <v>#DIV/0!</v>
      </c>
      <c r="M151" s="6"/>
      <c r="N151" s="6"/>
      <c r="O151" s="20">
        <f>IFERROR(SUM(INDEX(LL_TOT_BR_YTD,8,Month),INDEX(LL_IBNR_TOT_BR_YTD,8,Month))/O149,0)</f>
        <v>0</v>
      </c>
      <c r="P151" s="20">
        <f>IFERROR(SUM(INDEX(LL_TOT_BR_YTD_PREV,8,Month),INDEX(LL_IBNR_TOT_BR_YTD_PREV,8,Month))/P149,0)</f>
        <v>0</v>
      </c>
      <c r="Q151" s="20">
        <f>IFERROR(SUM(INDEX(LL_TOT_BR_YTD_PLAN,8,Month),INDEX(LL_IBNR_TOT_BR_YTD_PLAN,8,Month))/Q149,0)</f>
        <v>0</v>
      </c>
      <c r="R151" s="6"/>
      <c r="S151" s="20" t="e">
        <f>-(SUM([2]H7!$EO$45,[2]H7!$EV$45)/1000)/S149</f>
        <v>#DIV/0!</v>
      </c>
      <c r="T151" s="20" t="e">
        <f>-(SUM([2]H7!$EO$46,[2]H7!$EV$46)/1000)/T149</f>
        <v>#DIV/0!</v>
      </c>
      <c r="U151" s="20" t="e">
        <f>-(SUM([2]H7!$EO$47,[2]H7!$EV$47)/1000)/U149</f>
        <v>#DIV/0!</v>
      </c>
      <c r="V151" s="6"/>
    </row>
    <row r="152" spans="2:22" ht="19.5" customHeight="1" outlineLevel="1" x14ac:dyDescent="0.25">
      <c r="B152" s="204"/>
      <c r="C152" s="9"/>
      <c r="D152" s="14" t="s">
        <v>94</v>
      </c>
      <c r="E152" s="6"/>
      <c r="F152" s="20">
        <f>0</f>
        <v>0</v>
      </c>
      <c r="G152" s="20">
        <f>0</f>
        <v>0</v>
      </c>
      <c r="H152" s="20">
        <f>0</f>
        <v>0</v>
      </c>
      <c r="I152" s="6"/>
      <c r="J152" s="20" t="e">
        <f>-(SUM([2]H7!$P$45,[2]H7!$W$45)/1000)/J149</f>
        <v>#DIV/0!</v>
      </c>
      <c r="K152" s="20" t="e">
        <f>-(SUM([2]H7!$P$46,[2]H7!$W$46)/1000)/K149</f>
        <v>#DIV/0!</v>
      </c>
      <c r="L152" s="20" t="e">
        <f>-(SUM([2]H7!$P$47,[2]H7!$W$47)/1000)/L149</f>
        <v>#DIV/0!</v>
      </c>
      <c r="M152" s="6"/>
      <c r="N152" s="6"/>
      <c r="O152" s="20">
        <f>0</f>
        <v>0</v>
      </c>
      <c r="P152" s="20">
        <f>0</f>
        <v>0</v>
      </c>
      <c r="Q152" s="20">
        <f>0</f>
        <v>0</v>
      </c>
      <c r="R152" s="6"/>
      <c r="S152" s="20" t="e">
        <f>-(SUM([2]H7!$EN$45,[2]H7!$EU$45)/1000)/S149</f>
        <v>#DIV/0!</v>
      </c>
      <c r="T152" s="20" t="e">
        <f>-(SUM([2]H7!$EN$46,[2]H7!$EU$46)/1000)/T149</f>
        <v>#DIV/0!</v>
      </c>
      <c r="U152" s="20" t="e">
        <f>-(SUM([2]H7!$EN$47,[2]H7!$EU$47)/1000)/U149</f>
        <v>#DIV/0!</v>
      </c>
      <c r="V152" s="6"/>
    </row>
    <row r="153" spans="2:22" ht="19.5" customHeight="1" outlineLevel="2" x14ac:dyDescent="0.25">
      <c r="B153" s="204"/>
      <c r="C153" s="9"/>
      <c r="D153" s="14" t="s">
        <v>95</v>
      </c>
      <c r="E153" s="7"/>
      <c r="F153" s="20">
        <v>0.69867287237299669</v>
      </c>
      <c r="G153" s="20">
        <v>0.47692328662020228</v>
      </c>
      <c r="H153" s="20">
        <v>0.60636957427339333</v>
      </c>
      <c r="I153" s="7"/>
      <c r="J153" s="20" t="e">
        <f>+J150+J151+J152</f>
        <v>#DIV/0!</v>
      </c>
      <c r="K153" s="20" t="e">
        <f>+K150+K151+K152</f>
        <v>#DIV/0!</v>
      </c>
      <c r="L153" s="20" t="e">
        <f>+L150+L151+L152</f>
        <v>#DIV/0!</v>
      </c>
      <c r="M153" s="7"/>
      <c r="N153" s="7"/>
      <c r="O153" s="20">
        <v>0.69867287237299669</v>
      </c>
      <c r="P153" s="20">
        <v>0.47692328662020228</v>
      </c>
      <c r="Q153" s="20">
        <v>0.60636957427339333</v>
      </c>
      <c r="R153" s="7"/>
      <c r="S153" s="20" t="e">
        <f>+S150+S151+S152</f>
        <v>#DIV/0!</v>
      </c>
      <c r="T153" s="20" t="e">
        <f>+T150+T151+T152</f>
        <v>#DIV/0!</v>
      </c>
      <c r="U153" s="20" t="e">
        <f>+U150+U151+U152</f>
        <v>#DIV/0!</v>
      </c>
      <c r="V153" s="7"/>
    </row>
    <row r="154" spans="2:22" ht="20.149999999999999" customHeight="1" outlineLevel="1" x14ac:dyDescent="0.25">
      <c r="B154" s="204"/>
      <c r="C154" s="9"/>
      <c r="D154" s="14" t="s">
        <v>96</v>
      </c>
      <c r="E154" s="7"/>
      <c r="F154" s="20">
        <v>5.6663226777895473E-3</v>
      </c>
      <c r="G154" s="20">
        <v>-2.030074194838988E-3</v>
      </c>
      <c r="H154" s="20">
        <v>0</v>
      </c>
      <c r="I154" s="7"/>
      <c r="J154" s="20" t="e">
        <f>-(SUM([2]H7!$AC$45:$AK$45)/1000)/J149</f>
        <v>#DIV/0!</v>
      </c>
      <c r="K154" s="20" t="e">
        <f>-(SUM([2]H7!$AC$46:$AK$46)/1000)/K149</f>
        <v>#DIV/0!</v>
      </c>
      <c r="L154" s="20" t="e">
        <f>-(SUM([2]H7!$AC$47:$AK$47)/1000)/L149</f>
        <v>#DIV/0!</v>
      </c>
      <c r="M154" s="7"/>
      <c r="N154" s="7"/>
      <c r="O154" s="20">
        <v>5.6663226777895473E-3</v>
      </c>
      <c r="P154" s="20">
        <v>-2.030074194838988E-3</v>
      </c>
      <c r="Q154" s="20">
        <v>0</v>
      </c>
      <c r="R154" s="7"/>
      <c r="S154" s="20" t="e">
        <f>-(SUM([2]H7!$FA$45:$FI$45)/1000)/S149</f>
        <v>#DIV/0!</v>
      </c>
      <c r="T154" s="20" t="e">
        <f>-(SUM([2]H7!$FA$46:$FI$46)/1000)/T149</f>
        <v>#DIV/0!</v>
      </c>
      <c r="U154" s="20" t="e">
        <f>-(SUM([2]H7!$FA$47:$FI$47)/1000)/U149</f>
        <v>#DIV/0!</v>
      </c>
      <c r="V154" s="7"/>
    </row>
    <row r="155" spans="2:22" ht="20.149999999999999" customHeight="1" outlineLevel="2" x14ac:dyDescent="0.25">
      <c r="B155" s="204"/>
      <c r="C155" s="9"/>
      <c r="D155" s="15" t="s">
        <v>87</v>
      </c>
      <c r="E155" s="7"/>
      <c r="F155" s="20">
        <v>0.14842470046481682</v>
      </c>
      <c r="G155" s="20">
        <v>0.14479700052177655</v>
      </c>
      <c r="H155" s="20">
        <v>0.14035990349661451</v>
      </c>
      <c r="I155" s="7"/>
      <c r="J155" s="20" t="e">
        <f>-(SUM([2]H7!$AL$45:$AN$45)/1000)/J149</f>
        <v>#DIV/0!</v>
      </c>
      <c r="K155" s="20" t="e">
        <f>-(SUM([2]H7!$AL$46:$AN$46)/1000)/K149</f>
        <v>#DIV/0!</v>
      </c>
      <c r="L155" s="20" t="e">
        <f>-(SUM([2]H7!$AL$47:$AN$47)/1000)/L149</f>
        <v>#DIV/0!</v>
      </c>
      <c r="M155" s="7"/>
      <c r="N155" s="7"/>
      <c r="O155" s="20">
        <v>0.14842470046481682</v>
      </c>
      <c r="P155" s="20">
        <v>0.14479700052177655</v>
      </c>
      <c r="Q155" s="20">
        <v>0.14035990349661451</v>
      </c>
      <c r="R155" s="7"/>
      <c r="S155" s="20" t="e">
        <f>-(SUM([2]H7!$FJ$45:$FL$45)/1000)/S149</f>
        <v>#DIV/0!</v>
      </c>
      <c r="T155" s="20" t="e">
        <f>-(SUM([2]H7!$FJ$46:$FL$46)/1000)/T149</f>
        <v>#DIV/0!</v>
      </c>
      <c r="U155" s="20" t="e">
        <f>-(SUM([2]H7!$FJ$47:$FL$47)/1000)/U149</f>
        <v>#DIV/0!</v>
      </c>
      <c r="V155" s="7"/>
    </row>
    <row r="156" spans="2:22" ht="20.149999999999999" customHeight="1" outlineLevel="2" x14ac:dyDescent="0.25">
      <c r="B156" s="204"/>
      <c r="C156" s="9"/>
      <c r="D156" s="15" t="s">
        <v>88</v>
      </c>
      <c r="E156" s="7"/>
      <c r="F156" s="20">
        <v>0.10688467614687169</v>
      </c>
      <c r="G156" s="20">
        <v>0.1200591187154131</v>
      </c>
      <c r="H156" s="20">
        <v>0.12893493499093631</v>
      </c>
      <c r="I156" s="7"/>
      <c r="J156" s="20" t="e">
        <f>-(SUM([2]H7!$AO$45:$AR$45)/1000)/J149</f>
        <v>#DIV/0!</v>
      </c>
      <c r="K156" s="20" t="e">
        <f>-(SUM([2]H7!$AO$46:$AR$46)/1000)/K149</f>
        <v>#DIV/0!</v>
      </c>
      <c r="L156" s="20" t="e">
        <f>-(SUM([2]H7!$AO$47:$AR$47)/1000)/L149</f>
        <v>#DIV/0!</v>
      </c>
      <c r="M156" s="7"/>
      <c r="N156" s="7"/>
      <c r="O156" s="20">
        <v>0.10688467614687169</v>
      </c>
      <c r="P156" s="20">
        <v>0.1200591187154131</v>
      </c>
      <c r="Q156" s="20">
        <v>0.12893493499093631</v>
      </c>
      <c r="R156" s="7"/>
      <c r="S156" s="20" t="e">
        <f>-(SUM([2]H7!$FM$45:$FP$45)/1000)/S149</f>
        <v>#DIV/0!</v>
      </c>
      <c r="T156" s="20" t="e">
        <f>-(SUM([2]H7!$FM$46:$FP$46)/1000)/T149</f>
        <v>#DIV/0!</v>
      </c>
      <c r="U156" s="20" t="e">
        <f>-(SUM([2]H7!$FM$47:$FP$47)/1000)/U149</f>
        <v>#DIV/0!</v>
      </c>
      <c r="V156" s="7"/>
    </row>
    <row r="157" spans="2:22" ht="20.149999999999999" customHeight="1" outlineLevel="1" x14ac:dyDescent="0.25">
      <c r="B157" s="204"/>
      <c r="C157" s="9"/>
      <c r="D157" s="14" t="s">
        <v>97</v>
      </c>
      <c r="E157" s="7"/>
      <c r="F157" s="20">
        <v>0.25530937661168845</v>
      </c>
      <c r="G157" s="20">
        <v>0.2648561192371896</v>
      </c>
      <c r="H157" s="20">
        <v>0.26929483848755081</v>
      </c>
      <c r="I157" s="7"/>
      <c r="J157" s="20" t="e">
        <f>+J155+J156</f>
        <v>#DIV/0!</v>
      </c>
      <c r="K157" s="20" t="e">
        <f>+K155+K156</f>
        <v>#DIV/0!</v>
      </c>
      <c r="L157" s="20" t="e">
        <f>+L155+L156</f>
        <v>#DIV/0!</v>
      </c>
      <c r="M157" s="7"/>
      <c r="N157" s="7"/>
      <c r="O157" s="20">
        <v>0.25530937661168845</v>
      </c>
      <c r="P157" s="20">
        <v>0.2648561192371896</v>
      </c>
      <c r="Q157" s="20">
        <v>0.26929483848755081</v>
      </c>
      <c r="R157" s="7"/>
      <c r="S157" s="20" t="e">
        <f>+S155+S156</f>
        <v>#DIV/0!</v>
      </c>
      <c r="T157" s="20" t="e">
        <f>+T155+T156</f>
        <v>#DIV/0!</v>
      </c>
      <c r="U157" s="20" t="e">
        <f>+U155+U156</f>
        <v>#DIV/0!</v>
      </c>
      <c r="V157" s="7"/>
    </row>
    <row r="158" spans="2:22" ht="20.149999999999999" customHeight="1" outlineLevel="1" x14ac:dyDescent="0.25">
      <c r="B158" s="204"/>
      <c r="C158" s="9"/>
      <c r="D158" s="14" t="s">
        <v>90</v>
      </c>
      <c r="E158" s="7"/>
      <c r="F158" s="20"/>
      <c r="G158" s="20"/>
      <c r="H158" s="20"/>
      <c r="I158" s="7"/>
      <c r="J158" s="20" t="e">
        <f>-(SUM([2]H7!$AT$45:$BJ$45)/1000/J149)</f>
        <v>#DIV/0!</v>
      </c>
      <c r="K158" s="20" t="e">
        <f>-(SUM([2]H7!$AT$46:$BJ$46)/1000/K149)</f>
        <v>#DIV/0!</v>
      </c>
      <c r="L158" s="20" t="e">
        <f>-(SUM([2]H7!$AT$47:$BJ$47)/1000/L149)</f>
        <v>#DIV/0!</v>
      </c>
      <c r="M158" s="7"/>
      <c r="N158" s="7"/>
      <c r="O158" s="20"/>
      <c r="P158" s="20"/>
      <c r="Q158" s="20"/>
      <c r="R158" s="7"/>
      <c r="S158" s="20" t="e">
        <f>-(SUM([2]H7!$FR$45:$GH$45)/1000/S149)</f>
        <v>#DIV/0!</v>
      </c>
      <c r="T158" s="20" t="e">
        <f>-(SUM([2]H7!$FR$46:$GH$46)/1000/T149)</f>
        <v>#DIV/0!</v>
      </c>
      <c r="U158" s="20" t="e">
        <f>-(SUM([2]H7!$FR$47:$GH$47)/1000/U149)</f>
        <v>#DIV/0!</v>
      </c>
      <c r="V158" s="7"/>
    </row>
    <row r="159" spans="2:22" ht="20.149999999999999" customHeight="1" outlineLevel="1" x14ac:dyDescent="0.25">
      <c r="B159" s="204"/>
      <c r="C159" s="9"/>
      <c r="D159" s="14" t="s">
        <v>79</v>
      </c>
      <c r="E159" s="8"/>
      <c r="F159" s="20">
        <v>0.95964857166247464</v>
      </c>
      <c r="G159" s="20">
        <v>0.73974933166255308</v>
      </c>
      <c r="H159" s="20">
        <v>0.8756644127609442</v>
      </c>
      <c r="I159" s="8"/>
      <c r="J159" s="20" t="e">
        <f>+J153+J154+J157+J158</f>
        <v>#DIV/0!</v>
      </c>
      <c r="K159" s="20" t="e">
        <f>+K153+K154+K157+K158</f>
        <v>#DIV/0!</v>
      </c>
      <c r="L159" s="20" t="e">
        <f>+L153+L154+L157+L158</f>
        <v>#DIV/0!</v>
      </c>
      <c r="M159" s="8"/>
      <c r="N159" s="8"/>
      <c r="O159" s="20">
        <v>0.95964857166247464</v>
      </c>
      <c r="P159" s="20">
        <v>0.73974933166255308</v>
      </c>
      <c r="Q159" s="20">
        <v>0.8756644127609442</v>
      </c>
      <c r="R159" s="8"/>
      <c r="S159" s="20" t="e">
        <f>+S153+S154+S157+S158</f>
        <v>#DIV/0!</v>
      </c>
      <c r="T159" s="20" t="e">
        <f>+T153+T154+T157+T158</f>
        <v>#DIV/0!</v>
      </c>
      <c r="U159" s="20" t="e">
        <f>+U153+U154+U157+U158</f>
        <v>#DIV/0!</v>
      </c>
      <c r="V159" s="8"/>
    </row>
    <row r="160" spans="2:22" ht="19.5" customHeight="1" outlineLevel="1" x14ac:dyDescent="0.25">
      <c r="B160" s="204"/>
      <c r="C160" s="9"/>
      <c r="D160" s="14" t="s">
        <v>34</v>
      </c>
      <c r="E160" s="6"/>
      <c r="F160" s="19">
        <v>1.5694640300000162</v>
      </c>
      <c r="G160" s="19">
        <v>8.946853150000015</v>
      </c>
      <c r="H160" s="19">
        <v>4.3244638034730354</v>
      </c>
      <c r="I160" s="6"/>
      <c r="J160" s="19">
        <f>+[2]H7!$BK$45/1000</f>
        <v>-3.1311399999999988E-3</v>
      </c>
      <c r="K160" s="19">
        <f>+[2]H7!$BK$46/1000</f>
        <v>3.8741019999999987E-2</v>
      </c>
      <c r="L160" s="19">
        <f>+[2]H7!$BK$47/1000</f>
        <v>0</v>
      </c>
      <c r="M160" s="6"/>
      <c r="N160" s="6"/>
      <c r="O160" s="19">
        <v>1.5694640300000162</v>
      </c>
      <c r="P160" s="19">
        <v>8.946853150000015</v>
      </c>
      <c r="Q160" s="19">
        <v>4.3244638034730354</v>
      </c>
      <c r="R160" s="6"/>
      <c r="S160" s="19">
        <f>+[2]H7!$GI$45/1000</f>
        <v>1.2153999999999987E-4</v>
      </c>
      <c r="T160" s="19">
        <f>+[2]H7!$GI$46/1000</f>
        <v>5.0261169999999987E-2</v>
      </c>
      <c r="U160" s="19">
        <f>+[2]H7!$GI$47/1000</f>
        <v>0</v>
      </c>
      <c r="V160" s="6"/>
    </row>
    <row r="161" spans="2:22" ht="7.5" customHeight="1" outlineLevel="1" x14ac:dyDescent="0.25">
      <c r="D161" s="21"/>
      <c r="E161" s="22"/>
      <c r="F161" s="8"/>
      <c r="G161" s="8"/>
      <c r="H161" s="8"/>
      <c r="I161" s="8"/>
      <c r="J161" s="8"/>
      <c r="K161" s="8"/>
      <c r="L161" s="8"/>
      <c r="M161" s="8"/>
      <c r="N161" s="22"/>
      <c r="O161" s="8"/>
      <c r="P161" s="8"/>
      <c r="Q161" s="8"/>
      <c r="R161" s="8"/>
      <c r="S161" s="8"/>
      <c r="T161" s="8"/>
      <c r="U161" s="8"/>
      <c r="V161" s="8"/>
    </row>
    <row r="162" spans="2:22" ht="19.5" customHeight="1" outlineLevel="1" x14ac:dyDescent="0.25">
      <c r="B162" s="204" t="s">
        <v>107</v>
      </c>
      <c r="C162" s="9"/>
      <c r="D162" s="14" t="s">
        <v>19</v>
      </c>
      <c r="E162" s="6"/>
      <c r="F162" s="19">
        <v>4.6081165099999994</v>
      </c>
      <c r="G162" s="19">
        <v>4.81530491</v>
      </c>
      <c r="H162" s="19">
        <v>4.6299022050921828</v>
      </c>
      <c r="I162" s="6"/>
      <c r="J162" s="19">
        <f>+[2]H7!$C$53/1000</f>
        <v>1.2185501199999993</v>
      </c>
      <c r="K162" s="19">
        <f>+[2]H7!$C$54/1000</f>
        <v>3.1046034899999988</v>
      </c>
      <c r="L162" s="19">
        <f>+[2]H7!$C$55/1000</f>
        <v>1.1549591886022801</v>
      </c>
      <c r="M162" s="6"/>
      <c r="N162" s="6"/>
      <c r="O162" s="19">
        <v>4.6081165099999994</v>
      </c>
      <c r="P162" s="19">
        <v>4.81530491</v>
      </c>
      <c r="Q162" s="19">
        <v>4.6299022050921828</v>
      </c>
      <c r="R162" s="6"/>
      <c r="S162" s="19">
        <f>+[2]H7!$EA$53/1000</f>
        <v>0.33044161999999994</v>
      </c>
      <c r="T162" s="19">
        <f>+[2]H7!$EA$54/1000</f>
        <v>0.31505720999999992</v>
      </c>
      <c r="U162" s="19">
        <f>+[2]H7!$EA$55/1000</f>
        <v>0.28699768123981029</v>
      </c>
      <c r="V162" s="6"/>
    </row>
    <row r="163" spans="2:22" ht="20.149999999999999" customHeight="1" outlineLevel="1" x14ac:dyDescent="0.25">
      <c r="B163" s="204"/>
      <c r="C163" s="9"/>
      <c r="D163" s="14" t="s">
        <v>20</v>
      </c>
      <c r="E163" s="6"/>
      <c r="F163" s="19">
        <v>-1.7088570000000278E-2</v>
      </c>
      <c r="G163" s="19">
        <v>-2.7836631900000022</v>
      </c>
      <c r="H163" s="19">
        <v>0.52833225436411024</v>
      </c>
      <c r="I163" s="6"/>
      <c r="J163" s="19">
        <f>+[2]H7!$N$53/1000</f>
        <v>1.1005569900000001</v>
      </c>
      <c r="K163" s="19">
        <f>+[2]H7!$N$54/1000</f>
        <v>2.5107613299999998</v>
      </c>
      <c r="L163" s="19">
        <f>+[2]H7!$N$55/1000</f>
        <v>1.2191156129332839</v>
      </c>
      <c r="M163" s="6"/>
      <c r="N163" s="6"/>
      <c r="O163" s="19">
        <v>-1.7088570000000278E-2</v>
      </c>
      <c r="P163" s="19">
        <v>-2.7836631900000022</v>
      </c>
      <c r="Q163" s="19">
        <v>0.52833225436411024</v>
      </c>
      <c r="R163" s="6"/>
      <c r="S163" s="19">
        <f>+[2]H7!$EL$53/1000</f>
        <v>0.29768743000000042</v>
      </c>
      <c r="T163" s="19">
        <f>+[2]H7!$EL$54/1000</f>
        <v>0.85109528000000023</v>
      </c>
      <c r="U163" s="19">
        <f>+[2]H7!$EL$55/1000</f>
        <v>0.40637187097776134</v>
      </c>
      <c r="V163" s="6"/>
    </row>
    <row r="164" spans="2:22" ht="19.5" customHeight="1" outlineLevel="1" x14ac:dyDescent="0.25">
      <c r="B164" s="204"/>
      <c r="C164" s="9"/>
      <c r="D164" s="14" t="s">
        <v>92</v>
      </c>
      <c r="E164" s="6"/>
      <c r="F164" s="20">
        <f>F167-F165-F166</f>
        <v>-0.76858040198798272</v>
      </c>
      <c r="G164" s="20">
        <f>G167-G165-G166</f>
        <v>-2.335659724695354E-3</v>
      </c>
      <c r="H164" s="20">
        <f>H167-H165-H166</f>
        <v>0.20755285761585987</v>
      </c>
      <c r="I164" s="6"/>
      <c r="J164" s="20">
        <f>-(SUM([2]H7!$O$53,[2]H7!$R$53:$V$53,[2]H7!$Y$53:$AB$53)/1000)/J163</f>
        <v>0.20528058251667636</v>
      </c>
      <c r="K164" s="20">
        <f>-(SUM([2]H7!$O$54,[2]H7!$R$54:$V$54,[2]H7!$Y$54:$AB$54)/1000)/K163</f>
        <v>0.14994005423844883</v>
      </c>
      <c r="L164" s="20">
        <f>-(SUM([2]H7!$O$55,[2]H7!$R$55:$V$55,[2]H7!$Y$55:$AB$55)/1000)/L163</f>
        <v>0.19217504119604525</v>
      </c>
      <c r="M164" s="6"/>
      <c r="N164" s="6"/>
      <c r="O164" s="20">
        <f>O167-O165-O166</f>
        <v>-0.76858040198798272</v>
      </c>
      <c r="P164" s="20">
        <f>P167-P165-P166</f>
        <v>-2.335659724695354E-3</v>
      </c>
      <c r="Q164" s="20">
        <f>Q167-Q165-Q166</f>
        <v>0.20755285761585987</v>
      </c>
      <c r="R164" s="6"/>
      <c r="S164" s="20">
        <f>-(SUM([2]H7!$EM$53,[2]H7!$EP$53:$ET$53,[2]H7!$EW$53:$EZ$53)/1000)/S163</f>
        <v>0.27640394490287978</v>
      </c>
      <c r="T164" s="20">
        <f>-(SUM([2]H7!$EM$54,[2]H7!$EP$54:$ET$54,[2]H7!$EW$54:$EZ$54)/1000)/T163</f>
        <v>0.19408185414916168</v>
      </c>
      <c r="U164" s="20">
        <f>-(SUM([2]H7!$EM$55,[2]H7!$EP$55:$ET$55,[2]H7!$EW$55:$EZ$55)/1000)/U163</f>
        <v>0.19217504119604525</v>
      </c>
      <c r="V164" s="6"/>
    </row>
    <row r="165" spans="2:22" ht="19.5" customHeight="1" outlineLevel="1" x14ac:dyDescent="0.25">
      <c r="B165" s="204"/>
      <c r="C165" s="9"/>
      <c r="D165" s="14" t="s">
        <v>93</v>
      </c>
      <c r="E165" s="6"/>
      <c r="F165" s="20">
        <f>0</f>
        <v>0</v>
      </c>
      <c r="G165" s="20">
        <f>0</f>
        <v>0</v>
      </c>
      <c r="H165" s="20">
        <f>0</f>
        <v>0</v>
      </c>
      <c r="I165" s="6"/>
      <c r="J165" s="20">
        <f>-(SUM([2]H7!$Q$53,[2]H7!$X$53)/1000)/J163</f>
        <v>0</v>
      </c>
      <c r="K165" s="20">
        <f>-(SUM([2]H7!$Q$54,[2]H7!$X$54)/1000)/K163</f>
        <v>0</v>
      </c>
      <c r="L165" s="20">
        <f>-(SUM([2]H7!$Q$55,[2]H7!$X$55)/1000)/L163</f>
        <v>0</v>
      </c>
      <c r="M165" s="6"/>
      <c r="N165" s="6"/>
      <c r="O165" s="20">
        <f>0</f>
        <v>0</v>
      </c>
      <c r="P165" s="20">
        <f>0</f>
        <v>0</v>
      </c>
      <c r="Q165" s="20">
        <f>0</f>
        <v>0</v>
      </c>
      <c r="R165" s="6"/>
      <c r="S165" s="20">
        <f>-(SUM([2]H7!$EO$53,[2]H7!$EV$53)/1000)/S163</f>
        <v>0</v>
      </c>
      <c r="T165" s="20">
        <f>-(SUM([2]H7!$EO$54,[2]H7!$EV$54)/1000)/T163</f>
        <v>0</v>
      </c>
      <c r="U165" s="20">
        <f>-(SUM([2]H7!$EO$55,[2]H7!$EV$55)/1000)/U163</f>
        <v>0</v>
      </c>
      <c r="V165" s="6"/>
    </row>
    <row r="166" spans="2:22" ht="19.5" customHeight="1" outlineLevel="1" x14ac:dyDescent="0.25">
      <c r="B166" s="204"/>
      <c r="C166" s="9"/>
      <c r="D166" s="14" t="s">
        <v>94</v>
      </c>
      <c r="E166" s="6"/>
      <c r="F166" s="20">
        <f>0</f>
        <v>0</v>
      </c>
      <c r="G166" s="20">
        <f>0</f>
        <v>0</v>
      </c>
      <c r="H166" s="20">
        <f>0</f>
        <v>0</v>
      </c>
      <c r="I166" s="6"/>
      <c r="J166" s="20">
        <f>-(SUM([2]H7!$P$53,[2]H7!$W$53)/1000)/J163</f>
        <v>0</v>
      </c>
      <c r="K166" s="20">
        <f>-(SUM([2]H7!$P$54,[2]H7!$W$54)/1000)/K163</f>
        <v>0</v>
      </c>
      <c r="L166" s="20">
        <f>-(SUM([2]H7!$P$55,[2]H7!$W$55)/1000)/L163</f>
        <v>0</v>
      </c>
      <c r="M166" s="6"/>
      <c r="N166" s="6"/>
      <c r="O166" s="20">
        <f>0</f>
        <v>0</v>
      </c>
      <c r="P166" s="20">
        <f>0</f>
        <v>0</v>
      </c>
      <c r="Q166" s="20">
        <f>0</f>
        <v>0</v>
      </c>
      <c r="R166" s="6"/>
      <c r="S166" s="20">
        <f>-(SUM([2]H7!$EN$53,[2]H7!$EU$53)/1000)/S163</f>
        <v>0</v>
      </c>
      <c r="T166" s="20">
        <f>-(SUM([2]H7!$EN$54,[2]H7!$EU$54)/1000)/T163</f>
        <v>0</v>
      </c>
      <c r="U166" s="20">
        <f>-(SUM([2]H7!$EN$55,[2]H7!$EU$55)/1000)/U163</f>
        <v>0</v>
      </c>
      <c r="V166" s="6"/>
    </row>
    <row r="167" spans="2:22" ht="19.5" customHeight="1" outlineLevel="2" x14ac:dyDescent="0.25">
      <c r="B167" s="204"/>
      <c r="C167" s="9"/>
      <c r="D167" s="14" t="s">
        <v>95</v>
      </c>
      <c r="E167" s="7"/>
      <c r="F167" s="20">
        <v>-0.76858040198798272</v>
      </c>
      <c r="G167" s="20">
        <v>-2.335659724695354E-3</v>
      </c>
      <c r="H167" s="20">
        <v>0.20755285761585987</v>
      </c>
      <c r="I167" s="7"/>
      <c r="J167" s="20">
        <f>+J164+J165+J166</f>
        <v>0.20528058251667636</v>
      </c>
      <c r="K167" s="20">
        <f>+K164+K165+K166</f>
        <v>0.14994005423844883</v>
      </c>
      <c r="L167" s="20">
        <f>+L164+L165+L166</f>
        <v>0.19217504119604525</v>
      </c>
      <c r="M167" s="7"/>
      <c r="N167" s="7"/>
      <c r="O167" s="20">
        <v>-0.76858040198798272</v>
      </c>
      <c r="P167" s="20">
        <v>-2.335659724695354E-3</v>
      </c>
      <c r="Q167" s="20">
        <v>0.20755285761585987</v>
      </c>
      <c r="R167" s="7"/>
      <c r="S167" s="20">
        <f>+S164+S165+S166</f>
        <v>0.27640394490287978</v>
      </c>
      <c r="T167" s="20">
        <f>+T164+T165+T166</f>
        <v>0.19408185414916168</v>
      </c>
      <c r="U167" s="20">
        <f>+U164+U165+U166</f>
        <v>0.19217504119604525</v>
      </c>
      <c r="V167" s="7"/>
    </row>
    <row r="168" spans="2:22" ht="20.149999999999999" customHeight="1" outlineLevel="1" x14ac:dyDescent="0.25">
      <c r="B168" s="204"/>
      <c r="C168" s="9"/>
      <c r="D168" s="14" t="s">
        <v>96</v>
      </c>
      <c r="E168" s="7"/>
      <c r="F168" s="20">
        <v>-2.4574701101379057</v>
      </c>
      <c r="G168" s="20">
        <v>4.1963995651356077E-2</v>
      </c>
      <c r="H168" s="20">
        <v>0</v>
      </c>
      <c r="I168" s="7"/>
      <c r="J168" s="20">
        <f>-(SUM([2]H7!$AC$53:$AK$53)/1000)/J163</f>
        <v>-1.5776605534984605</v>
      </c>
      <c r="K168" s="20">
        <f>-(SUM([2]H7!$AC$54:$AK$54)/1000)/K163</f>
        <v>-0.28178951202821012</v>
      </c>
      <c r="L168" s="20">
        <f>-(SUM([2]H7!$AC$55:$AK$55)/1000)/L163</f>
        <v>-3.1777834245217823E-3</v>
      </c>
      <c r="M168" s="7"/>
      <c r="N168" s="7"/>
      <c r="O168" s="20">
        <v>-2.4574701101379057</v>
      </c>
      <c r="P168" s="20">
        <v>4.1963995651356077E-2</v>
      </c>
      <c r="Q168" s="20">
        <v>0</v>
      </c>
      <c r="R168" s="7"/>
      <c r="S168" s="20">
        <f>-(SUM([2]H7!$FA$53:$FI$53)/1000)/S163</f>
        <v>-5.2791777939699962</v>
      </c>
      <c r="T168" s="20">
        <f>-(SUM([2]H7!$FA$54:$FI$54)/1000)/T163</f>
        <v>-0.68027321218371684</v>
      </c>
      <c r="U168" s="20">
        <f>-(SUM([2]H7!$FA$55:$FI$55)/1000)/U163</f>
        <v>-3.1777834245217814E-3</v>
      </c>
      <c r="V168" s="7"/>
    </row>
    <row r="169" spans="2:22" ht="20.149999999999999" customHeight="1" outlineLevel="2" x14ac:dyDescent="0.25">
      <c r="B169" s="204"/>
      <c r="C169" s="9"/>
      <c r="D169" s="15" t="s">
        <v>87</v>
      </c>
      <c r="E169" s="7"/>
      <c r="F169" s="20" t="e">
        <v>#VALUE!</v>
      </c>
      <c r="G169" s="20">
        <v>0.69392591637496137</v>
      </c>
      <c r="H169" s="20">
        <v>0</v>
      </c>
      <c r="I169" s="7"/>
      <c r="J169" s="20">
        <f>-(SUM([2]H7!$AL$53:$AN$53)/1000)/J163</f>
        <v>0.25312515619931686</v>
      </c>
      <c r="K169" s="20">
        <f>-(SUM([2]H7!$AL$54:$AN$54)/1000)/K163</f>
        <v>0.1969237075990812</v>
      </c>
      <c r="L169" s="20">
        <f>-(SUM([2]H7!$AL$55:$AN$55)/1000)/L163</f>
        <v>0.24413927793433124</v>
      </c>
      <c r="M169" s="7"/>
      <c r="N169" s="7"/>
      <c r="O169" s="20" t="e">
        <v>#VALUE!</v>
      </c>
      <c r="P169" s="20">
        <v>0.69392591637496137</v>
      </c>
      <c r="Q169" s="20">
        <v>0</v>
      </c>
      <c r="R169" s="7"/>
      <c r="S169" s="20">
        <f>-(SUM([2]H7!$FJ$53:$FL$53)/1000)/S163</f>
        <v>0.28797799759297804</v>
      </c>
      <c r="T169" s="20">
        <f>-(SUM([2]H7!$FJ$54:$FL$54)/1000)/T163</f>
        <v>0.18190557936122029</v>
      </c>
      <c r="U169" s="20">
        <f>-(SUM([2]H7!$FJ$55:$FL$55)/1000)/U163</f>
        <v>0.24413927793433121</v>
      </c>
      <c r="V169" s="7"/>
    </row>
    <row r="170" spans="2:22" ht="20.149999999999999" customHeight="1" outlineLevel="2" x14ac:dyDescent="0.25">
      <c r="B170" s="204"/>
      <c r="C170" s="9"/>
      <c r="D170" s="15" t="s">
        <v>88</v>
      </c>
      <c r="E170" s="7"/>
      <c r="F170" s="20">
        <v>-5.5305411745979018</v>
      </c>
      <c r="G170" s="20">
        <v>-0.23070346739757674</v>
      </c>
      <c r="H170" s="20">
        <v>0.26671487523132692</v>
      </c>
      <c r="I170" s="7"/>
      <c r="J170" s="20">
        <f>-(SUM([2]H7!$AO$53:$AR$53)/1000)/J163</f>
        <v>0.33376650490403043</v>
      </c>
      <c r="K170" s="20">
        <f>-(SUM([2]H7!$AO$54:$AR$54)/1000)/K163</f>
        <v>0.12562278470331548</v>
      </c>
      <c r="L170" s="20">
        <f>-(SUM([2]H7!$AO$55:$AR$55)/1000)/L163</f>
        <v>0.29781707041952449</v>
      </c>
      <c r="M170" s="7"/>
      <c r="N170" s="7"/>
      <c r="O170" s="20">
        <v>-5.5305411745979018</v>
      </c>
      <c r="P170" s="20">
        <v>-0.23070346739757674</v>
      </c>
      <c r="Q170" s="20">
        <v>0.26671487523132692</v>
      </c>
      <c r="R170" s="7"/>
      <c r="S170" s="20">
        <f>-(SUM([2]H7!$FM$53:$FP$53)/1000)/S163</f>
        <v>0.35561098431331101</v>
      </c>
      <c r="T170" s="20">
        <f>-(SUM([2]H7!$FM$54:$FP$54)/1000)/T163</f>
        <v>0.1262758971004985</v>
      </c>
      <c r="U170" s="20">
        <f>-(SUM([2]H7!$FM$55:$FP$55)/1000)/U163</f>
        <v>0.29781707041952443</v>
      </c>
      <c r="V170" s="7"/>
    </row>
    <row r="171" spans="2:22" ht="20.149999999999999" customHeight="1" outlineLevel="1" x14ac:dyDescent="0.25">
      <c r="B171" s="204"/>
      <c r="C171" s="9"/>
      <c r="D171" s="14" t="s">
        <v>97</v>
      </c>
      <c r="E171" s="7"/>
      <c r="F171" s="20" t="e">
        <v>#VALUE!</v>
      </c>
      <c r="G171" s="20">
        <v>0.46322244897738468</v>
      </c>
      <c r="H171" s="20">
        <v>0.26671487523132692</v>
      </c>
      <c r="I171" s="7"/>
      <c r="J171" s="20">
        <f>+J169+J170</f>
        <v>0.58689166110334723</v>
      </c>
      <c r="K171" s="20">
        <f>+K169+K170</f>
        <v>0.32254649230239668</v>
      </c>
      <c r="L171" s="20">
        <f>+L169+L170</f>
        <v>0.54195634835385575</v>
      </c>
      <c r="M171" s="7"/>
      <c r="N171" s="7"/>
      <c r="O171" s="20" t="e">
        <v>#VALUE!</v>
      </c>
      <c r="P171" s="20">
        <v>0.46322244897738468</v>
      </c>
      <c r="Q171" s="20">
        <v>0.26671487523132692</v>
      </c>
      <c r="R171" s="7"/>
      <c r="S171" s="20">
        <f>+S169+S170</f>
        <v>0.64358898190628899</v>
      </c>
      <c r="T171" s="20">
        <f>+T169+T170</f>
        <v>0.30818147646171878</v>
      </c>
      <c r="U171" s="20">
        <f>+U169+U170</f>
        <v>0.54195634835385564</v>
      </c>
      <c r="V171" s="7"/>
    </row>
    <row r="172" spans="2:22" ht="20.149999999999999" customHeight="1" outlineLevel="1" x14ac:dyDescent="0.25">
      <c r="B172" s="204"/>
      <c r="C172" s="9"/>
      <c r="D172" s="14" t="s">
        <v>90</v>
      </c>
      <c r="E172" s="7"/>
      <c r="F172" s="20"/>
      <c r="G172" s="20"/>
      <c r="H172" s="20"/>
      <c r="I172" s="7"/>
      <c r="J172" s="20">
        <f>-(SUM([2]H7!$AT$53:$BJ$53)/1000/J163)</f>
        <v>2.5648830779767252E-2</v>
      </c>
      <c r="K172" s="20">
        <f>-(SUM([2]H7!$AT$54:$BJ$54)/1000/K163)</f>
        <v>7.9000937934630387E-3</v>
      </c>
      <c r="L172" s="20">
        <f>-(SUM([2]H7!$AT$55:$BJ$55)/1000/L163)</f>
        <v>1.6959650406495167E-2</v>
      </c>
      <c r="M172" s="7"/>
      <c r="N172" s="7"/>
      <c r="O172" s="20"/>
      <c r="P172" s="20"/>
      <c r="Q172" s="20"/>
      <c r="R172" s="7"/>
      <c r="S172" s="20">
        <f>-(SUM([2]H7!$FR$53:$GH$53)/1000/S163)</f>
        <v>2.5859338434276478E-2</v>
      </c>
      <c r="T172" s="20">
        <f>-(SUM([2]H7!$FR$54:$GH$54)/1000/T163)</f>
        <v>3.7781433824894406E-3</v>
      </c>
      <c r="U172" s="20">
        <f>-(SUM([2]H7!$FR$55:$GH$55)/1000/U163)</f>
        <v>1.6959650406495167E-2</v>
      </c>
      <c r="V172" s="7"/>
    </row>
    <row r="173" spans="2:22" ht="20.149999999999999" customHeight="1" outlineLevel="1" x14ac:dyDescent="0.25">
      <c r="B173" s="204"/>
      <c r="C173" s="9"/>
      <c r="D173" s="14" t="s">
        <v>79</v>
      </c>
      <c r="E173" s="8"/>
      <c r="F173" s="20" t="e">
        <v>#VALUE!</v>
      </c>
      <c r="G173" s="20">
        <v>0.50285078490404533</v>
      </c>
      <c r="H173" s="20">
        <v>0.47426773284718676</v>
      </c>
      <c r="I173" s="8"/>
      <c r="J173" s="20">
        <f>+J167+J168+J171+J172</f>
        <v>-0.75983947909866967</v>
      </c>
      <c r="K173" s="20">
        <f>+K167+K168+K171+K172</f>
        <v>0.19859712830609844</v>
      </c>
      <c r="L173" s="20">
        <f>+L167+L168+L171+L172</f>
        <v>0.74791325653187435</v>
      </c>
      <c r="M173" s="8"/>
      <c r="N173" s="8"/>
      <c r="O173" s="20" t="e">
        <v>#VALUE!</v>
      </c>
      <c r="P173" s="20">
        <v>0.50285078490404533</v>
      </c>
      <c r="Q173" s="20">
        <v>0.47426773284718676</v>
      </c>
      <c r="R173" s="8"/>
      <c r="S173" s="20">
        <f>+S167+S168+S171+S172</f>
        <v>-4.3333255287265509</v>
      </c>
      <c r="T173" s="20">
        <f>+T167+T168+T171+T172</f>
        <v>-0.17423173819034693</v>
      </c>
      <c r="U173" s="20">
        <f>+U167+U168+U171+U172</f>
        <v>0.74791325653187435</v>
      </c>
      <c r="V173" s="8"/>
    </row>
    <row r="174" spans="2:22" ht="19.5" customHeight="1" outlineLevel="1" x14ac:dyDescent="0.25">
      <c r="B174" s="204"/>
      <c r="C174" s="9"/>
      <c r="D174" s="14" t="s">
        <v>34</v>
      </c>
      <c r="E174" s="6"/>
      <c r="F174" s="19">
        <v>1.0582190099999995</v>
      </c>
      <c r="G174" s="19">
        <v>-1.3838959700000022</v>
      </c>
      <c r="H174" s="19">
        <v>0.27776131389680048</v>
      </c>
      <c r="I174" s="6"/>
      <c r="J174" s="19">
        <f>+[2]H7!$BK$53/1000</f>
        <v>1.9368036399999995</v>
      </c>
      <c r="K174" s="19">
        <f>+[2]H7!$BK$54/1000</f>
        <v>2.0121313399999998</v>
      </c>
      <c r="L174" s="19">
        <f>+[2]H7!$BK$55/1000</f>
        <v>0.30732288477549918</v>
      </c>
      <c r="M174" s="6"/>
      <c r="N174" s="6"/>
      <c r="O174" s="19">
        <v>1.0582190099999995</v>
      </c>
      <c r="P174" s="19">
        <v>-1.3838959700000022</v>
      </c>
      <c r="Q174" s="19">
        <v>0.27776131389680048</v>
      </c>
      <c r="R174" s="6"/>
      <c r="S174" s="19">
        <f>+[2]H7!$GI$53/1000</f>
        <v>1.5876639700000001</v>
      </c>
      <c r="T174" s="19">
        <f>+[2]H7!$GI$54/1000</f>
        <v>0.99938309000000025</v>
      </c>
      <c r="U174" s="19">
        <f>+[2]H7!$GI$55/1000</f>
        <v>0.10244096159183326</v>
      </c>
      <c r="V174" s="6"/>
    </row>
    <row r="175" spans="2:22" ht="7.5" customHeight="1" outlineLevel="1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2:22" ht="19.5" customHeight="1" x14ac:dyDescent="0.25">
      <c r="B176" s="224" t="s">
        <v>46</v>
      </c>
      <c r="C176" s="9"/>
      <c r="D176" s="17" t="s">
        <v>19</v>
      </c>
      <c r="E176" s="6"/>
      <c r="F176" s="23">
        <v>0</v>
      </c>
      <c r="G176" s="23">
        <v>0</v>
      </c>
      <c r="H176" s="23">
        <v>0</v>
      </c>
      <c r="I176" s="6"/>
      <c r="J176" s="23">
        <f>+[2]H7!$C$65/1000</f>
        <v>56.4342221</v>
      </c>
      <c r="K176" s="23">
        <f>+[2]H7!$C$66/1000</f>
        <v>61.658945810000013</v>
      </c>
      <c r="L176" s="23">
        <f>+[2]H7!$C$67/1000</f>
        <v>59.823618164564145</v>
      </c>
      <c r="M176" s="6"/>
      <c r="N176" s="6"/>
      <c r="O176" s="23">
        <v>0</v>
      </c>
      <c r="P176" s="23">
        <v>0</v>
      </c>
      <c r="Q176" s="23">
        <v>0</v>
      </c>
      <c r="R176" s="6"/>
      <c r="S176" s="23">
        <f>+[2]H7!$EA$65/1000</f>
        <v>14.182691410000006</v>
      </c>
      <c r="T176" s="23">
        <f>+[2]H7!$EA$66/1000</f>
        <v>15.648008320000001</v>
      </c>
      <c r="U176" s="23">
        <f>+[2]H7!$EA$67/1000</f>
        <v>15.832290652101854</v>
      </c>
      <c r="V176" s="6"/>
    </row>
    <row r="177" spans="2:22" ht="20.149999999999999" customHeight="1" x14ac:dyDescent="0.25">
      <c r="B177" s="224"/>
      <c r="C177" s="9"/>
      <c r="D177" s="17" t="s">
        <v>20</v>
      </c>
      <c r="E177" s="6"/>
      <c r="F177" s="23">
        <v>0</v>
      </c>
      <c r="G177" s="23">
        <v>0</v>
      </c>
      <c r="H177" s="23">
        <v>0</v>
      </c>
      <c r="I177" s="6"/>
      <c r="J177" s="23">
        <f>+[2]H7!$N$65/1000</f>
        <v>47.208069029999997</v>
      </c>
      <c r="K177" s="23">
        <f>+[2]H7!$N$66/1000</f>
        <v>50.34853506000001</v>
      </c>
      <c r="L177" s="23">
        <f>+[2]H7!$N$67/1000</f>
        <v>49.50051920200238</v>
      </c>
      <c r="M177" s="6"/>
      <c r="N177" s="6"/>
      <c r="O177" s="23">
        <v>0</v>
      </c>
      <c r="P177" s="23">
        <v>0</v>
      </c>
      <c r="Q177" s="23">
        <v>0</v>
      </c>
      <c r="R177" s="6"/>
      <c r="S177" s="23">
        <f>+[2]H7!$EL$65/1000</f>
        <v>16.094248800000013</v>
      </c>
      <c r="T177" s="23">
        <f>+[2]H7!$EL$66/1000</f>
        <v>17.95464617999999</v>
      </c>
      <c r="U177" s="23">
        <f>+[2]H7!$EL$67/1000</f>
        <v>16.500173067334128</v>
      </c>
      <c r="V177" s="6"/>
    </row>
    <row r="178" spans="2:22" ht="19.5" customHeight="1" x14ac:dyDescent="0.25">
      <c r="B178" s="224"/>
      <c r="C178" s="9"/>
      <c r="D178" s="17" t="s">
        <v>92</v>
      </c>
      <c r="E178" s="6"/>
      <c r="F178" s="24">
        <f>0</f>
        <v>0</v>
      </c>
      <c r="G178" s="24">
        <f>0</f>
        <v>0</v>
      </c>
      <c r="H178" s="24">
        <f>0</f>
        <v>0</v>
      </c>
      <c r="I178" s="6"/>
      <c r="J178" s="24">
        <f>-(SUM([2]H7!$O$65,[2]H7!$R$65:$V$65,[2]H7!$Y$65:$AB$65)/1000)/J177</f>
        <v>0.56515272211264633</v>
      </c>
      <c r="K178" s="24">
        <f>-(SUM([2]H7!$O$66,[2]H7!$R$66:$V$66,[2]H7!$Y$66:$AB$66)/1000)/K177</f>
        <v>0.56990224851241178</v>
      </c>
      <c r="L178" s="24">
        <f>-(SUM([2]H7!$O$67,[2]H7!$R$67:$V$67,[2]H7!$Y$67:$AB$67)/1000)/L177</f>
        <v>0.47840462541764217</v>
      </c>
      <c r="M178" s="6"/>
      <c r="N178" s="6"/>
      <c r="O178" s="24">
        <f>0</f>
        <v>0</v>
      </c>
      <c r="P178" s="24">
        <f>0</f>
        <v>0</v>
      </c>
      <c r="Q178" s="24">
        <f>0</f>
        <v>0</v>
      </c>
      <c r="R178" s="6"/>
      <c r="S178" s="24">
        <f>-(SUM([2]H7!$EM$65,[2]H7!$EP$65:$ET$65,[2]H7!$EW$65:$EZ$65)/1000)/S177</f>
        <v>0.61836886758189968</v>
      </c>
      <c r="T178" s="24">
        <f>-(SUM([2]H7!$EM$66,[2]H7!$EP$66:$ET$66,[2]H7!$EW$66:$EZ$66)/1000)/T177</f>
        <v>0.65503565876661118</v>
      </c>
      <c r="U178" s="24">
        <f>-(SUM([2]H7!$EM$67,[2]H7!$EP$67:$ET$67,[2]H7!$EW$67:$EZ$67)/1000)/U177</f>
        <v>0.47840462541764223</v>
      </c>
      <c r="V178" s="6"/>
    </row>
    <row r="179" spans="2:22" ht="19.5" customHeight="1" x14ac:dyDescent="0.25">
      <c r="B179" s="224"/>
      <c r="C179" s="9"/>
      <c r="D179" s="17" t="s">
        <v>93</v>
      </c>
      <c r="E179" s="6"/>
      <c r="F179" s="24">
        <f>0</f>
        <v>0</v>
      </c>
      <c r="G179" s="24">
        <f>0</f>
        <v>0</v>
      </c>
      <c r="H179" s="24">
        <f>0</f>
        <v>0</v>
      </c>
      <c r="I179" s="6"/>
      <c r="J179" s="24">
        <f>-(SUM([2]H7!$Q$65,[2]H7!$X$65)/1000)/J177</f>
        <v>5.8602140245467955E-2</v>
      </c>
      <c r="K179" s="24">
        <f>-(SUM([2]H7!$Q$66,[2]H7!$X$66)/1000)/K177</f>
        <v>4.5613144399597939E-2</v>
      </c>
      <c r="L179" s="24">
        <f>-(SUM([2]H7!$Q$67,[2]H7!$X$67)/1000)/L177</f>
        <v>5.7838679099789445E-2</v>
      </c>
      <c r="M179" s="6"/>
      <c r="N179" s="6"/>
      <c r="O179" s="24">
        <f>0</f>
        <v>0</v>
      </c>
      <c r="P179" s="24">
        <f>0</f>
        <v>0</v>
      </c>
      <c r="Q179" s="24">
        <f>0</f>
        <v>0</v>
      </c>
      <c r="R179" s="6"/>
      <c r="S179" s="24">
        <f>-(SUM([2]H7!$EO$65,[2]H7!$EV$65)/1000)/S177</f>
        <v>6.3111137250633498E-2</v>
      </c>
      <c r="T179" s="24">
        <f>-(SUM([2]H7!$EO$66,[2]H7!$EV$66)/1000)/T177</f>
        <v>4.4664390683207898E-2</v>
      </c>
      <c r="U179" s="24">
        <f>-(SUM([2]H7!$EO$67,[2]H7!$EV$67)/1000)/U177</f>
        <v>5.7838679099789438E-2</v>
      </c>
      <c r="V179" s="6"/>
    </row>
    <row r="180" spans="2:22" ht="19.5" customHeight="1" x14ac:dyDescent="0.25">
      <c r="B180" s="224"/>
      <c r="C180" s="9"/>
      <c r="D180" s="17" t="s">
        <v>94</v>
      </c>
      <c r="E180" s="6"/>
      <c r="F180" s="24">
        <f>0</f>
        <v>0</v>
      </c>
      <c r="G180" s="24">
        <f>0</f>
        <v>0</v>
      </c>
      <c r="H180" s="24">
        <f>0</f>
        <v>0</v>
      </c>
      <c r="I180" s="6"/>
      <c r="J180" s="24">
        <f>-(SUM([2]H7!$P$65,[2]H7!$W$65)/1000)/J177</f>
        <v>3.8911362776407133E-3</v>
      </c>
      <c r="K180" s="24">
        <f>-(SUM([2]H7!$P$66,[2]H7!$W$66)/1000)/K177</f>
        <v>0</v>
      </c>
      <c r="L180" s="24">
        <f>-(SUM([2]H7!$P$67,[2]H7!$W$67)/1000)/L177</f>
        <v>4.7873919491832888E-2</v>
      </c>
      <c r="M180" s="6"/>
      <c r="N180" s="6"/>
      <c r="O180" s="24">
        <f>0</f>
        <v>0</v>
      </c>
      <c r="P180" s="24">
        <f>0</f>
        <v>0</v>
      </c>
      <c r="Q180" s="24">
        <f>0</f>
        <v>0</v>
      </c>
      <c r="R180" s="6"/>
      <c r="S180" s="24">
        <f>-(SUM([2]H7!$EN$65,[2]H7!$EU$65)/1000)/S177</f>
        <v>1.1413582098966923E-2</v>
      </c>
      <c r="T180" s="24">
        <f>-(SUM([2]H7!$EN$66,[2]H7!$EU$66)/1000)/T177</f>
        <v>0</v>
      </c>
      <c r="U180" s="24">
        <f>-(SUM([2]H7!$EN$67,[2]H7!$EU$67)/1000)/U177</f>
        <v>4.7873919491832888E-2</v>
      </c>
      <c r="V180" s="6"/>
    </row>
    <row r="181" spans="2:22" ht="19.5" hidden="1" customHeight="1" outlineLevel="1" x14ac:dyDescent="0.25">
      <c r="B181" s="224"/>
      <c r="C181" s="9"/>
      <c r="D181" s="17" t="s">
        <v>95</v>
      </c>
      <c r="E181" s="7"/>
      <c r="F181" s="24">
        <v>0</v>
      </c>
      <c r="G181" s="24">
        <v>0</v>
      </c>
      <c r="H181" s="24">
        <v>0</v>
      </c>
      <c r="I181" s="7"/>
      <c r="J181" s="24">
        <f>+J178+J179+J180</f>
        <v>0.62764599863575499</v>
      </c>
      <c r="K181" s="24">
        <f>+K178+K179+K180</f>
        <v>0.61551539291200974</v>
      </c>
      <c r="L181" s="24">
        <f>+L178+L179+L180</f>
        <v>0.58411722400926447</v>
      </c>
      <c r="M181" s="7"/>
      <c r="N181" s="7"/>
      <c r="O181" s="24">
        <v>0</v>
      </c>
      <c r="P181" s="24">
        <v>0</v>
      </c>
      <c r="Q181" s="24">
        <v>0</v>
      </c>
      <c r="R181" s="7"/>
      <c r="S181" s="24">
        <f>+S178+S179+S180</f>
        <v>0.69289358693150005</v>
      </c>
      <c r="T181" s="24">
        <f>+T178+T179+T180</f>
        <v>0.69970004944981912</v>
      </c>
      <c r="U181" s="24">
        <f>+U178+U179+U180</f>
        <v>0.58411722400926447</v>
      </c>
      <c r="V181" s="7"/>
    </row>
    <row r="182" spans="2:22" ht="20.149999999999999" customHeight="1" collapsed="1" x14ac:dyDescent="0.25">
      <c r="B182" s="224"/>
      <c r="C182" s="9"/>
      <c r="D182" s="17" t="s">
        <v>96</v>
      </c>
      <c r="E182" s="7"/>
      <c r="F182" s="24">
        <v>0</v>
      </c>
      <c r="G182" s="24">
        <v>0</v>
      </c>
      <c r="H182" s="24">
        <v>0</v>
      </c>
      <c r="I182" s="7"/>
      <c r="J182" s="24">
        <f>-(SUM([2]H7!$AC$65:$AK$65)/1000)/J177</f>
        <v>-0.15057135350066667</v>
      </c>
      <c r="K182" s="24">
        <f>-(SUM([2]H7!$AC$66:$AK$66)/1000)/K177</f>
        <v>-9.7126312695541187E-2</v>
      </c>
      <c r="L182" s="24">
        <f>-(SUM([2]H7!$AC$67:$AK$67)/1000)/L177</f>
        <v>-7.9455663728920673E-3</v>
      </c>
      <c r="M182" s="7"/>
      <c r="N182" s="7"/>
      <c r="O182" s="24">
        <v>0</v>
      </c>
      <c r="P182" s="24">
        <v>0</v>
      </c>
      <c r="Q182" s="24">
        <v>0</v>
      </c>
      <c r="R182" s="7"/>
      <c r="S182" s="24">
        <f>-(SUM([2]H7!$FA$65:$FI$65)/1000)/S177</f>
        <v>-0.43537444941201531</v>
      </c>
      <c r="T182" s="24">
        <f>-(SUM([2]H7!$FA$66:$FI$66)/1000)/T177</f>
        <v>-0.1216695766711007</v>
      </c>
      <c r="U182" s="24">
        <f>-(SUM([2]H7!$FA$67:$FI$67)/1000)/U177</f>
        <v>-7.9455663728920291E-3</v>
      </c>
      <c r="V182" s="7"/>
    </row>
    <row r="183" spans="2:22" ht="20.149999999999999" hidden="1" customHeight="1" outlineLevel="1" x14ac:dyDescent="0.25">
      <c r="B183" s="224"/>
      <c r="C183" s="9"/>
      <c r="D183" s="18" t="s">
        <v>87</v>
      </c>
      <c r="E183" s="7"/>
      <c r="F183" s="24">
        <v>0</v>
      </c>
      <c r="G183" s="24">
        <v>0</v>
      </c>
      <c r="H183" s="24">
        <v>0</v>
      </c>
      <c r="I183" s="7"/>
      <c r="J183" s="24">
        <f>-(SUM([2]H7!$AL$65:$AN$65)/1000)/J177</f>
        <v>0.19660311151684512</v>
      </c>
      <c r="K183" s="24">
        <f>-(SUM([2]H7!$AL$66:$AN$66)/1000)/K177</f>
        <v>0.20011323364211489</v>
      </c>
      <c r="L183" s="24">
        <f>-(SUM([2]H7!$AL$67:$AN$67)/1000)/L177</f>
        <v>0.20314141370221553</v>
      </c>
      <c r="M183" s="7"/>
      <c r="N183" s="7"/>
      <c r="O183" s="24">
        <v>0</v>
      </c>
      <c r="P183" s="24">
        <v>0</v>
      </c>
      <c r="Q183" s="24">
        <v>0</v>
      </c>
      <c r="R183" s="7"/>
      <c r="S183" s="24">
        <f>-(SUM([2]H7!$FJ$65:$FL$65)/1000)/S177</f>
        <v>0.1836203451757252</v>
      </c>
      <c r="T183" s="24">
        <f>-(SUM([2]H7!$FJ$66:$FL$66)/1000)/T177</f>
        <v>0.19714742103595165</v>
      </c>
      <c r="U183" s="24">
        <f>-(SUM([2]H7!$FJ$67:$FL$67)/1000)/U177</f>
        <v>0.20314141370221547</v>
      </c>
      <c r="V183" s="7"/>
    </row>
    <row r="184" spans="2:22" ht="20.149999999999999" hidden="1" customHeight="1" outlineLevel="1" x14ac:dyDescent="0.25">
      <c r="B184" s="224"/>
      <c r="C184" s="9"/>
      <c r="D184" s="18" t="s">
        <v>88</v>
      </c>
      <c r="E184" s="7"/>
      <c r="F184" s="24">
        <v>0</v>
      </c>
      <c r="G184" s="24">
        <v>0</v>
      </c>
      <c r="H184" s="24">
        <v>0</v>
      </c>
      <c r="I184" s="7"/>
      <c r="J184" s="24">
        <f>-(SUM([2]H7!$AO$65:$AR$65)/1000)/J177</f>
        <v>0.19354292407498627</v>
      </c>
      <c r="K184" s="24">
        <f>-(SUM([2]H7!$AO$66:$AR$66)/1000)/K177</f>
        <v>0.16348689887780815</v>
      </c>
      <c r="L184" s="24">
        <f>-(SUM([2]H7!$AO$67:$AR$67)/1000)/L177</f>
        <v>0.19036694459364301</v>
      </c>
      <c r="M184" s="7"/>
      <c r="N184" s="7"/>
      <c r="O184" s="24">
        <v>0</v>
      </c>
      <c r="P184" s="24">
        <v>0</v>
      </c>
      <c r="Q184" s="24">
        <v>0</v>
      </c>
      <c r="R184" s="7"/>
      <c r="S184" s="24">
        <f>-(SUM([2]H7!$FM$65:$FP$65)/1000)/S177</f>
        <v>0.1764374811951458</v>
      </c>
      <c r="T184" s="24">
        <f>-(SUM([2]H7!$FM$66:$FP$66)/1000)/T177</f>
        <v>0.15777574403863867</v>
      </c>
      <c r="U184" s="24">
        <f>-(SUM([2]H7!$FM$67:$FP$67)/1000)/U177</f>
        <v>0.19036694459364295</v>
      </c>
      <c r="V184" s="7"/>
    </row>
    <row r="185" spans="2:22" ht="20.149999999999999" customHeight="1" collapsed="1" x14ac:dyDescent="0.25">
      <c r="B185" s="224"/>
      <c r="C185" s="9"/>
      <c r="D185" s="17" t="s">
        <v>97</v>
      </c>
      <c r="E185" s="7"/>
      <c r="F185" s="24">
        <v>0</v>
      </c>
      <c r="G185" s="24">
        <v>0</v>
      </c>
      <c r="H185" s="24">
        <v>0</v>
      </c>
      <c r="I185" s="7"/>
      <c r="J185" s="24">
        <f>+J183+J184</f>
        <v>0.39014603559183136</v>
      </c>
      <c r="K185" s="24">
        <f>+K183+K184</f>
        <v>0.36360013251992307</v>
      </c>
      <c r="L185" s="24">
        <f>+L183+L184</f>
        <v>0.39350835829585851</v>
      </c>
      <c r="M185" s="7"/>
      <c r="N185" s="7"/>
      <c r="O185" s="24">
        <v>0</v>
      </c>
      <c r="P185" s="24">
        <v>0</v>
      </c>
      <c r="Q185" s="24">
        <v>0</v>
      </c>
      <c r="R185" s="7"/>
      <c r="S185" s="24">
        <f>+S183+S184</f>
        <v>0.36005782637087103</v>
      </c>
      <c r="T185" s="24">
        <f>+T183+T184</f>
        <v>0.35492316507459032</v>
      </c>
      <c r="U185" s="24">
        <f>+U183+U184</f>
        <v>0.3935083582958584</v>
      </c>
      <c r="V185" s="7"/>
    </row>
    <row r="186" spans="2:22" ht="20.149999999999999" customHeight="1" x14ac:dyDescent="0.25">
      <c r="B186" s="224"/>
      <c r="C186" s="9"/>
      <c r="D186" s="17" t="s">
        <v>90</v>
      </c>
      <c r="E186" s="7"/>
      <c r="F186" s="24"/>
      <c r="G186" s="24"/>
      <c r="H186" s="24"/>
      <c r="I186" s="7"/>
      <c r="J186" s="24">
        <f>-(SUM([2]H7!$AT$65:$BJ$65)/1000/J177)</f>
        <v>0.10316089579739386</v>
      </c>
      <c r="K186" s="24">
        <f>-(SUM([2]H7!$AT$66:$BJ$66)/1000/K177)</f>
        <v>9.2679462757738904E-2</v>
      </c>
      <c r="L186" s="24">
        <f>-(SUM([2]H7!$AT$67:$BJ$67)/1000/L177)</f>
        <v>5.98789088147169E-2</v>
      </c>
      <c r="M186" s="7"/>
      <c r="N186" s="7"/>
      <c r="O186" s="24"/>
      <c r="P186" s="24"/>
      <c r="Q186" s="24"/>
      <c r="R186" s="7"/>
      <c r="S186" s="24">
        <f>-(SUM([2]H7!$FR$65:$GH$65)/1000/S177)</f>
        <v>0.19916088907485924</v>
      </c>
      <c r="T186" s="24">
        <f>-(SUM([2]H7!$FR$66:$GH$66)/1000/T177)</f>
        <v>0.18668074805804896</v>
      </c>
      <c r="U186" s="24">
        <f>-(SUM([2]H7!$FR$67:$GH$67)/1000/U177)</f>
        <v>5.98789088147169E-2</v>
      </c>
      <c r="V186" s="7"/>
    </row>
    <row r="187" spans="2:22" ht="20.149999999999999" customHeight="1" x14ac:dyDescent="0.25">
      <c r="B187" s="224"/>
      <c r="C187" s="9"/>
      <c r="D187" s="17" t="s">
        <v>79</v>
      </c>
      <c r="E187" s="8"/>
      <c r="F187" s="24">
        <v>0</v>
      </c>
      <c r="G187" s="24">
        <v>0</v>
      </c>
      <c r="H187" s="24">
        <v>0</v>
      </c>
      <c r="I187" s="8"/>
      <c r="J187" s="24">
        <f>+J181+J182+J185+J186</f>
        <v>0.97038157652431356</v>
      </c>
      <c r="K187" s="24">
        <f>+K181+K182+K185+K186</f>
        <v>0.9746686754941305</v>
      </c>
      <c r="L187" s="24">
        <f>+L181+L182+L185+L186</f>
        <v>1.0295589247469477</v>
      </c>
      <c r="M187" s="8"/>
      <c r="N187" s="8"/>
      <c r="O187" s="24">
        <v>0</v>
      </c>
      <c r="P187" s="24">
        <v>0</v>
      </c>
      <c r="Q187" s="24">
        <v>0</v>
      </c>
      <c r="R187" s="8"/>
      <c r="S187" s="24">
        <f>+S181+S182+S185+S186</f>
        <v>0.81673785296521495</v>
      </c>
      <c r="T187" s="24">
        <f>+T181+T182+T185+T186</f>
        <v>1.1196343859113578</v>
      </c>
      <c r="U187" s="24">
        <f>+U181+U182+U185+U186</f>
        <v>1.0295589247469477</v>
      </c>
      <c r="V187" s="8"/>
    </row>
    <row r="188" spans="2:22" ht="19.5" customHeight="1" x14ac:dyDescent="0.25">
      <c r="B188" s="224"/>
      <c r="C188" s="9"/>
      <c r="D188" s="17" t="s">
        <v>34</v>
      </c>
      <c r="E188" s="6"/>
      <c r="F188" s="23">
        <v>0</v>
      </c>
      <c r="G188" s="23">
        <v>0</v>
      </c>
      <c r="H188" s="23">
        <v>0</v>
      </c>
      <c r="I188" s="6"/>
      <c r="J188" s="23">
        <f>+[2]H7!$BK$65/1000</f>
        <v>1.3982285799999792</v>
      </c>
      <c r="K188" s="23">
        <f>+[2]H7!$BK$66/1000</f>
        <v>1.275395080000016</v>
      </c>
      <c r="L188" s="23">
        <f>+[2]H7!$BK$67/1000</f>
        <v>-1.4631821220268235</v>
      </c>
      <c r="M188" s="6"/>
      <c r="N188" s="6"/>
      <c r="O188" s="23">
        <v>0</v>
      </c>
      <c r="P188" s="23">
        <v>0</v>
      </c>
      <c r="Q188" s="23">
        <v>0</v>
      </c>
      <c r="R188" s="6"/>
      <c r="S188" s="23">
        <f>+[2]H7!$GI$65/1000</f>
        <v>2.9494665900000134</v>
      </c>
      <c r="T188" s="23">
        <f>+[2]H7!$GI$66/1000</f>
        <v>-2.1479930700000072</v>
      </c>
      <c r="U188" s="23">
        <f>+[2]H7!$GI$67/1000</f>
        <v>-0.48772737400894367</v>
      </c>
      <c r="V188" s="6"/>
    </row>
    <row r="189" spans="2:22" ht="7.5" customHeight="1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2:22" ht="19.5" customHeight="1" x14ac:dyDescent="0.25">
      <c r="B190" s="225" t="s">
        <v>108</v>
      </c>
      <c r="C190" s="9"/>
      <c r="D190" s="16" t="s">
        <v>19</v>
      </c>
      <c r="E190" s="6"/>
      <c r="F190" s="25">
        <v>663.1699661099999</v>
      </c>
      <c r="G190" s="25">
        <v>646.55200311999999</v>
      </c>
      <c r="H190" s="25">
        <v>667.75800000000004</v>
      </c>
      <c r="I190" s="6"/>
      <c r="J190" s="25">
        <f>(+[2]H7!$C$61+[2]H7!$C$65)/1000</f>
        <v>56.4342221</v>
      </c>
      <c r="K190" s="25">
        <f>(+[2]H7!$C$62+[2]H7!$C$66)/1000</f>
        <v>61.658945810000013</v>
      </c>
      <c r="L190" s="25">
        <f>(+[2]H7!$C$63+[2]H7!$C$67)/1000</f>
        <v>59.823618164564145</v>
      </c>
      <c r="M190" s="6"/>
      <c r="N190" s="6"/>
      <c r="O190" s="25">
        <v>663.1699661099999</v>
      </c>
      <c r="P190" s="25">
        <v>646.55200311999999</v>
      </c>
      <c r="Q190" s="25">
        <v>667.75800000000004</v>
      </c>
      <c r="R190" s="6"/>
      <c r="S190" s="25">
        <f>(+[2]H7!$EA$61+[2]H7!$EA$65)/1000</f>
        <v>14.182691410000006</v>
      </c>
      <c r="T190" s="25">
        <f>(+[2]H7!$EA$62+[2]H7!$EA$66)/1000</f>
        <v>15.648008320000001</v>
      </c>
      <c r="U190" s="25">
        <f>(+[2]H7!$EA$63+[2]H7!$EA$67)/1000</f>
        <v>15.832290652101854</v>
      </c>
      <c r="V190" s="6"/>
    </row>
    <row r="191" spans="2:22" ht="20.149999999999999" customHeight="1" x14ac:dyDescent="0.25">
      <c r="B191" s="225"/>
      <c r="C191" s="9"/>
      <c r="D191" s="16" t="s">
        <v>20</v>
      </c>
      <c r="E191" s="6"/>
      <c r="F191" s="25">
        <v>619.93325228999993</v>
      </c>
      <c r="G191" s="25">
        <v>604.01472775999991</v>
      </c>
      <c r="H191" s="25">
        <v>610.10959537476765</v>
      </c>
      <c r="I191" s="6"/>
      <c r="J191" s="25">
        <f>(+[2]H7!$N$61+[2]H7!$N$65)/1000</f>
        <v>47.208069029999997</v>
      </c>
      <c r="K191" s="25">
        <f>(+[2]H7!$N$62+[2]H7!$N$66)/1000</f>
        <v>50.34853506000001</v>
      </c>
      <c r="L191" s="25">
        <f>(+[2]H7!$N$63+[2]H7!$N$67)/1000</f>
        <v>49.50051920200238</v>
      </c>
      <c r="M191" s="6"/>
      <c r="N191" s="6"/>
      <c r="O191" s="25">
        <v>619.93325228999993</v>
      </c>
      <c r="P191" s="25">
        <v>604.01472775999991</v>
      </c>
      <c r="Q191" s="25">
        <v>610.10959537476765</v>
      </c>
      <c r="R191" s="6"/>
      <c r="S191" s="25">
        <f>(+[2]H7!$EL$61+[2]H7!$EL$65)/1000</f>
        <v>16.094248800000013</v>
      </c>
      <c r="T191" s="25">
        <f>(+[2]H7!$EL$62+[2]H7!$EL$66)/1000</f>
        <v>17.95464617999999</v>
      </c>
      <c r="U191" s="25">
        <f>(+[2]H7!$EL$63+[2]H7!$EL$67)/1000</f>
        <v>16.500173067334128</v>
      </c>
      <c r="V191" s="6"/>
    </row>
    <row r="192" spans="2:22" ht="19.5" customHeight="1" x14ac:dyDescent="0.25">
      <c r="B192" s="225"/>
      <c r="C192" s="9"/>
      <c r="D192" s="16" t="s">
        <v>92</v>
      </c>
      <c r="E192" s="6"/>
      <c r="F192" s="26" t="str">
        <f>IFERROR(F195-F193-F194,"n/a")</f>
        <v>n/a</v>
      </c>
      <c r="G192" s="26" t="str">
        <f>IFERROR(G195-G193-G194,"n/a")</f>
        <v>n/a</v>
      </c>
      <c r="H192" s="26" t="str">
        <f>IFERROR(H195-H193-H194,"n/a")</f>
        <v>n/a</v>
      </c>
      <c r="I192" s="6"/>
      <c r="J192" s="26">
        <f>-((SUM([2]H7!$O$61:$AB$61,[2]H7!$O$65:$AB$65)-SUM([2]H7!$P$61:$Q$61,[2]H7!$P$65:$Q$65,[2]H7!$W$61:$X$61,[2]H7!$W$65:$X$65))/1000)/J191</f>
        <v>0.56515272211264633</v>
      </c>
      <c r="K192" s="26">
        <f>-((SUM([2]H7!$O$62:$AB$62,[2]H7!$O$66:$AB$66)-SUM([2]H7!$P$62:$Q$62,[2]H7!$P$66:$Q$66,[2]H7!$W$62:$X$62,[2]H7!$W$66:$X$66))/1000)/K191</f>
        <v>0.56990224851241178</v>
      </c>
      <c r="L192" s="26">
        <f>-((SUM([2]H7!$O$63:$AB$63,[2]H7!$O$67:$AB$67)-SUM([2]H7!$P$63:$Q$63,[2]H7!$P$67:$Q$67,[2]H7!$W$63:$X$63,[2]H7!$W$67:$X$67))/1000)/L191</f>
        <v>0.47840462541764217</v>
      </c>
      <c r="M192" s="6"/>
      <c r="N192" s="6"/>
      <c r="O192" s="26" t="str">
        <f>IFERROR(O195-O193-O194,"n/a")</f>
        <v>n/a</v>
      </c>
      <c r="P192" s="26" t="str">
        <f>IFERROR(P195-P193-P194,"n/a")</f>
        <v>n/a</v>
      </c>
      <c r="Q192" s="26" t="str">
        <f>IFERROR(Q195-Q193-Q194,"n/a")</f>
        <v>n/a</v>
      </c>
      <c r="R192" s="6"/>
      <c r="S192" s="26">
        <f>(-(SUM([2]H7!$EM$65,[2]H7!$EP$65:$ET$65,[2]H7!$EW$65:$EZ$65)/1000)-(SUM([2]H7!$EM$61,[2]H7!$EP$61:$ET$61,[2]H7!$EW$61:$EZ$61)/1000))/S191</f>
        <v>0.61836886758189968</v>
      </c>
      <c r="T192" s="26">
        <f>(-(SUM([2]H7!$EM$66,[2]H7!$EP$66:$ET$66,[2]H7!$EW$66:$EZ$66)/1000)-(SUM([2]H7!$EM$62,[2]H7!$EP$62:$ET$62,[2]H7!$EW$62:$EZ$62)/1000))/T191</f>
        <v>0.65503565876661118</v>
      </c>
      <c r="U192" s="26">
        <f>(-(SUM([2]H7!$EM$67,[2]H7!$EP$67:$ET$67,[2]H7!$EW$67:$EZ$67)/1000)-(SUM([2]H7!$EM$63,[2]H7!$EP$63:$ET$63,[2]H7!$EW$63:$EZ$63)/1000))/U191</f>
        <v>0.47840462541764223</v>
      </c>
      <c r="V192" s="6"/>
    </row>
    <row r="193" spans="2:33" ht="19.5" customHeight="1" x14ac:dyDescent="0.25">
      <c r="B193" s="225"/>
      <c r="C193" s="9"/>
      <c r="D193" s="16" t="s">
        <v>93</v>
      </c>
      <c r="E193" s="6"/>
      <c r="F193" s="26">
        <f>(F179*F177+F109*F107+F95*F93+F53*F51+F11*F9)/F191</f>
        <v>0</v>
      </c>
      <c r="G193" s="26">
        <f>(G179*G177+G109*G107+G95*G93+G53*G51+G11*G9)/G191</f>
        <v>0</v>
      </c>
      <c r="H193" s="26">
        <f>(H179*H177+H109*H107+H95*H93+H53*H51+H11*H9)/H191</f>
        <v>0</v>
      </c>
      <c r="I193" s="6"/>
      <c r="J193" s="26">
        <f>-(SUM([2]H7!$Q$65,[2]H7!$X$65,[2]H7!$X$61,[2]H7!$Q$61)/1000)/J191</f>
        <v>5.8602140245467955E-2</v>
      </c>
      <c r="K193" s="26">
        <f>-(SUM([2]H7!$Q$66,[2]H7!$X$66,[2]H7!$X$62,[2]H7!$Q$62)/1000)/K191</f>
        <v>4.5613144399597939E-2</v>
      </c>
      <c r="L193" s="26">
        <f>-(SUM([2]H7!$Q$67,[2]H7!$X$67,[2]H7!$X$63,[2]H7!$Q$63)/1000)/L191</f>
        <v>5.7838679099789445E-2</v>
      </c>
      <c r="M193" s="6"/>
      <c r="N193" s="6"/>
      <c r="O193" s="26">
        <f>(O179*O177+O109*O107+O95*O93+O53*O51+O11*O9)/O191</f>
        <v>0</v>
      </c>
      <c r="P193" s="26">
        <f>(P179*P177+P109*P107+P95*P93+P53*P51+P11*P9)/P191</f>
        <v>0</v>
      </c>
      <c r="Q193" s="26">
        <f>(Q179*Q177+Q109*Q107+Q95*Q93+Q53*Q51+Q11*Q9)/Q191</f>
        <v>0</v>
      </c>
      <c r="R193" s="6"/>
      <c r="S193" s="26">
        <f>(-(SUM([2]H7!$EO$65,[2]H7!$EV$65)/1000)-(SUM([2]H7!$EO$61,[2]H7!$EV$61)/1000))/S191</f>
        <v>6.3111137250633498E-2</v>
      </c>
      <c r="T193" s="26">
        <f>(-(SUM([2]H7!$EO$66,[2]H7!$EV$66)/1000)-(SUM([2]H7!$EO$62,[2]H7!$EV$62))/1000)/T191</f>
        <v>4.4664390683207898E-2</v>
      </c>
      <c r="U193" s="26">
        <f>(-(SUM([2]H7!$EO$67,[2]H7!$EV$67)/1000)-(SUM([2]H7!$EO$63,[2]H7!$EV$63)/1000))/U191</f>
        <v>5.7838679099789438E-2</v>
      </c>
      <c r="V193" s="6"/>
    </row>
    <row r="194" spans="2:33" ht="19.5" customHeight="1" x14ac:dyDescent="0.25">
      <c r="B194" s="225"/>
      <c r="C194" s="9"/>
      <c r="D194" s="16" t="s">
        <v>94</v>
      </c>
      <c r="E194" s="6"/>
      <c r="F194" s="26" t="e">
        <f>(F180*F177+F110*F107+F96*F93+F54*F51+F12*F9)/F191</f>
        <v>#VALUE!</v>
      </c>
      <c r="G194" s="26" t="e">
        <f>(G180*G177+G110*G107+G96*G93+G54*G51+G12*G9)/G191</f>
        <v>#VALUE!</v>
      </c>
      <c r="H194" s="26" t="e">
        <f>(H180*H177+H110*H107+H96*H93+H54*H51+H12*H9)/H191</f>
        <v>#VALUE!</v>
      </c>
      <c r="I194" s="6"/>
      <c r="J194" s="26">
        <f>-(SUM([2]H7!$P$61,[2]H7!$P$65,[2]H7!$W$61,[2]H7!$W$65)/1000)/J191</f>
        <v>3.8911362776407133E-3</v>
      </c>
      <c r="K194" s="26">
        <f>-(SUM([2]H7!$P$62,[2]H7!$P$66,[2]H7!$W$62,[2]H7!$W$66)/1000)/K191</f>
        <v>0</v>
      </c>
      <c r="L194" s="26">
        <f>-(SUM([2]H7!$P$63,[2]H7!$P$67,[2]H7!$W$63,[2]H7!$W$67)/1000)/L191</f>
        <v>4.7873919491832888E-2</v>
      </c>
      <c r="M194" s="6"/>
      <c r="N194" s="6"/>
      <c r="O194" s="26" t="e">
        <f>(O180*O177+O110*O107+O96*O93+O54*O51+O12*O9)/O191</f>
        <v>#VALUE!</v>
      </c>
      <c r="P194" s="26" t="e">
        <f>(P180*P177+P110*P107+P96*P93+P54*P51+P12*P9)/P191</f>
        <v>#VALUE!</v>
      </c>
      <c r="Q194" s="26" t="e">
        <f>(Q180*Q177+Q110*Q107+Q96*Q93+Q54*Q51+Q12*Q9)/Q191</f>
        <v>#VALUE!</v>
      </c>
      <c r="R194" s="6"/>
      <c r="S194" s="26">
        <f>(-(SUM([2]H7!$EN$65,[2]H7!$EU$65)/1000)-(SUM([2]H7!$EN$61,[2]H7!$EU$61)/1000))/S191</f>
        <v>1.1413582098966923E-2</v>
      </c>
      <c r="T194" s="26">
        <f>(-(SUM([2]H7!$EN$66,[2]H7!$EU$66)/1000)-(SUM([2]H7!$EN$62,[2]H7!$EU$62)/1000))/T191</f>
        <v>0</v>
      </c>
      <c r="U194" s="26">
        <f>(-(SUM([2]H7!$EN$67,[2]H7!$EU$67)/1000)-(SUM([2]H7!$EN$63,[2]H7!$EU$63)/1000))/U191</f>
        <v>4.7873919491832888E-2</v>
      </c>
      <c r="V194" s="6"/>
    </row>
    <row r="195" spans="2:33" ht="19.5" customHeight="1" outlineLevel="1" x14ac:dyDescent="0.25">
      <c r="B195" s="225"/>
      <c r="C195" s="9"/>
      <c r="D195" s="16" t="s">
        <v>95</v>
      </c>
      <c r="E195" s="7"/>
      <c r="F195" s="26">
        <v>0.63569160649838707</v>
      </c>
      <c r="G195" s="26">
        <v>0.54412843744530481</v>
      </c>
      <c r="H195" s="26">
        <v>0.64915456698178076</v>
      </c>
      <c r="I195" s="7"/>
      <c r="J195" s="26">
        <f>+J192+J193+J194</f>
        <v>0.62764599863575499</v>
      </c>
      <c r="K195" s="26">
        <f>+K192+K193+K194</f>
        <v>0.61551539291200974</v>
      </c>
      <c r="L195" s="26">
        <f>+L192+L193+L194</f>
        <v>0.58411722400926447</v>
      </c>
      <c r="M195" s="7"/>
      <c r="N195" s="7"/>
      <c r="O195" s="26">
        <v>0.63569160649838707</v>
      </c>
      <c r="P195" s="26">
        <v>0.54412843744530481</v>
      </c>
      <c r="Q195" s="26">
        <v>0.64915456698178076</v>
      </c>
      <c r="R195" s="7"/>
      <c r="S195" s="26">
        <f>+S192+S193+S194</f>
        <v>0.69289358693150005</v>
      </c>
      <c r="T195" s="26">
        <f>+T192+T193+T194</f>
        <v>0.69970004944981912</v>
      </c>
      <c r="U195" s="26">
        <f>+U192+U193+U194</f>
        <v>0.58411722400926447</v>
      </c>
      <c r="V195" s="7"/>
    </row>
    <row r="196" spans="2:33" ht="20.149999999999999" customHeight="1" x14ac:dyDescent="0.25">
      <c r="B196" s="225"/>
      <c r="C196" s="9"/>
      <c r="D196" s="16" t="s">
        <v>96</v>
      </c>
      <c r="E196" s="7"/>
      <c r="F196" s="26">
        <v>-3.5901680040206309E-2</v>
      </c>
      <c r="G196" s="26">
        <v>9.3873443136520355E-3</v>
      </c>
      <c r="H196" s="26">
        <v>-1.1883110927876153E-2</v>
      </c>
      <c r="I196" s="7"/>
      <c r="J196" s="26">
        <f>-(SUM([2]H7!$AC$61:$AK$61,[2]H7!$AC$65:$AK$65)/1000)/J191</f>
        <v>-0.15057135350066667</v>
      </c>
      <c r="K196" s="26">
        <f>-(SUM([2]H7!$AC$62:$AK$62,[2]H7!$AC$66:$AK$66)/1000)/K191</f>
        <v>-9.7126312695541187E-2</v>
      </c>
      <c r="L196" s="26">
        <f>-(SUM([2]H7!$AC$63:$AK$63,[2]H7!$AC$67:$AK$67)/1000)/L191</f>
        <v>-7.9455663728920673E-3</v>
      </c>
      <c r="M196" s="7"/>
      <c r="N196" s="7"/>
      <c r="O196" s="26">
        <v>-3.5901680040206309E-2</v>
      </c>
      <c r="P196" s="26">
        <v>9.3873443136520355E-3</v>
      </c>
      <c r="Q196" s="26">
        <v>-1.1883110927876153E-2</v>
      </c>
      <c r="R196" s="7"/>
      <c r="S196" s="26">
        <f>(-(SUM([2]H7!$FA$65:$FI$65)/1000)-(SUM([2]H7!$FA$61:$FI$61)/1000))/S191</f>
        <v>-0.43537444941201531</v>
      </c>
      <c r="T196" s="26">
        <f>(-(SUM([2]H7!$FA$66:$FI$66)/1000)-(SUM([2]H7!$FA$62:$FI$62)/1000))/T191</f>
        <v>-0.1216695766711007</v>
      </c>
      <c r="U196" s="26">
        <f>(-(SUM([2]H7!$FA$67:$FI$67)/1000)-(SUM([2]H7!$FA$63:$FI$63)/1000))/U191</f>
        <v>-7.9455663728920291E-3</v>
      </c>
      <c r="V196" s="7"/>
    </row>
    <row r="197" spans="2:33" ht="20.149999999999999" customHeight="1" outlineLevel="1" x14ac:dyDescent="0.25">
      <c r="B197" s="225"/>
      <c r="C197" s="9"/>
      <c r="D197" s="13" t="s">
        <v>87</v>
      </c>
      <c r="E197" s="7"/>
      <c r="F197" s="26">
        <v>0.13643040047871993</v>
      </c>
      <c r="G197" s="26">
        <v>0.13366121748289339</v>
      </c>
      <c r="H197" s="26">
        <v>0.13661633561685846</v>
      </c>
      <c r="I197" s="7"/>
      <c r="J197" s="26">
        <f>-(SUM([2]H7!$AL$61:$AN$61,[2]H7!$AL$65:$AN$65)/1000)/J191</f>
        <v>0.19660311151684512</v>
      </c>
      <c r="K197" s="26">
        <f>-(SUM([2]H7!$AL$62:$AN$62,[2]H7!$AL$66:$AN$66)/1000)/K191</f>
        <v>0.20011323364211489</v>
      </c>
      <c r="L197" s="26">
        <f>-(SUM([2]H7!$AL$63:$AN$63,[2]H7!$AL$67:$AN$67)/1000)/L191</f>
        <v>0.20314141370221553</v>
      </c>
      <c r="M197" s="7"/>
      <c r="N197" s="7"/>
      <c r="O197" s="26">
        <v>0.13643040047871993</v>
      </c>
      <c r="P197" s="26">
        <v>0.13366121748289339</v>
      </c>
      <c r="Q197" s="26">
        <v>0.13661633561685846</v>
      </c>
      <c r="R197" s="7"/>
      <c r="S197" s="26">
        <f>(-(SUM([2]H7!$FJ$65:$FL$65)/1000)-(SUM([2]H7!$FJ$61:$FL$61)/1000))/S191</f>
        <v>0.1836203451757252</v>
      </c>
      <c r="T197" s="26">
        <f>(-(SUM([2]H7!$FJ$66:$FL$66)/1000)-(SUM([2]H7!$FJ$62:$FL$62)/1000))/T191</f>
        <v>0.19714742103595165</v>
      </c>
      <c r="U197" s="26">
        <f>(-(SUM([2]H7!$FJ$67:$FL$67)/1000)-(SUM([2]H7!$FJ$63:$FL$63)/1000))/U191</f>
        <v>0.20314141370221547</v>
      </c>
      <c r="V197" s="7"/>
    </row>
    <row r="198" spans="2:33" ht="20.149999999999999" customHeight="1" outlineLevel="1" x14ac:dyDescent="0.25">
      <c r="B198" s="225"/>
      <c r="C198" s="9"/>
      <c r="D198" s="13" t="s">
        <v>88</v>
      </c>
      <c r="E198" s="7"/>
      <c r="F198" s="26">
        <v>0.11982971375642451</v>
      </c>
      <c r="G198" s="26">
        <v>0.12707969296486946</v>
      </c>
      <c r="H198" s="26">
        <v>0.12094511823519646</v>
      </c>
      <c r="I198" s="7"/>
      <c r="J198" s="26">
        <f>-(SUM([2]H7!$AO$61:$AR$61,[2]H7!$AO$65:$AR$65)/1000)/J191</f>
        <v>0.19354292407498627</v>
      </c>
      <c r="K198" s="26">
        <f>-(SUM([2]H7!$AO$62:$AR$62,[2]H7!$AO$66:$AR$66)/1000)/K191</f>
        <v>0.16348689887780815</v>
      </c>
      <c r="L198" s="26">
        <f>-(SUM([2]H7!$AO$63:$AR$63,[2]H7!$AO$67:$AR$67)/1000)/L191</f>
        <v>0.19036694459364301</v>
      </c>
      <c r="M198" s="7"/>
      <c r="N198" s="7"/>
      <c r="O198" s="26">
        <v>0.11982971375642451</v>
      </c>
      <c r="P198" s="26">
        <v>0.12707969296486946</v>
      </c>
      <c r="Q198" s="26">
        <v>0.12094511823519646</v>
      </c>
      <c r="R198" s="7"/>
      <c r="S198" s="26">
        <f>(-(SUM([2]H7!$FM$65:$FP$65)/1000)-(SUM([2]H7!$FM$61:$FP$61)/1000))/S191</f>
        <v>0.1764374811951458</v>
      </c>
      <c r="T198" s="26">
        <f>(-(SUM([2]H7!$FM$66:$FP$66)/1000)-(SUM([2]H7!$FM$62:$FP$62)/1000))/T191</f>
        <v>0.15777574403863867</v>
      </c>
      <c r="U198" s="26">
        <f>(-(SUM([2]H7!$FM$67:$FP$67)/1000)-(SUM([2]H7!$FM$63:$FP$63)/1000))/U191</f>
        <v>0.19036694459364295</v>
      </c>
      <c r="V198" s="7"/>
    </row>
    <row r="199" spans="2:33" ht="20.149999999999999" customHeight="1" x14ac:dyDescent="0.25">
      <c r="B199" s="225"/>
      <c r="C199" s="9"/>
      <c r="D199" s="16" t="s">
        <v>97</v>
      </c>
      <c r="E199" s="7"/>
      <c r="F199" s="26">
        <v>0.25626011423514444</v>
      </c>
      <c r="G199" s="26">
        <v>0.26074091044776282</v>
      </c>
      <c r="H199" s="26">
        <v>0.25756145385205492</v>
      </c>
      <c r="I199" s="7"/>
      <c r="J199" s="26">
        <f>+J197+J198</f>
        <v>0.39014603559183136</v>
      </c>
      <c r="K199" s="26">
        <f>+K197+K198</f>
        <v>0.36360013251992307</v>
      </c>
      <c r="L199" s="26">
        <f>+L197+L198</f>
        <v>0.39350835829585851</v>
      </c>
      <c r="M199" s="7"/>
      <c r="N199" s="7"/>
      <c r="O199" s="26">
        <v>0.25626011423514444</v>
      </c>
      <c r="P199" s="26">
        <v>0.26074091044776282</v>
      </c>
      <c r="Q199" s="26">
        <v>0.25756145385205492</v>
      </c>
      <c r="R199" s="7"/>
      <c r="S199" s="26">
        <f>+S197+S198</f>
        <v>0.36005782637087103</v>
      </c>
      <c r="T199" s="26">
        <f>+T197+T198</f>
        <v>0.35492316507459032</v>
      </c>
      <c r="U199" s="26">
        <f>+U197+U198</f>
        <v>0.3935083582958584</v>
      </c>
      <c r="V199" s="7"/>
    </row>
    <row r="200" spans="2:33" ht="20.149999999999999" customHeight="1" x14ac:dyDescent="0.25">
      <c r="B200" s="225"/>
      <c r="C200" s="9"/>
      <c r="D200" s="16" t="s">
        <v>90</v>
      </c>
      <c r="E200" s="7"/>
      <c r="F200" s="26"/>
      <c r="G200" s="26"/>
      <c r="H200" s="26"/>
      <c r="I200" s="7"/>
      <c r="J200" s="26">
        <f>-(SUM([2]H7!$AT$61:$BJ$61,[2]H7!$AT$65:$BJ$65)/1000)/J191</f>
        <v>0.10316089579739386</v>
      </c>
      <c r="K200" s="26">
        <f>-(SUM([2]H7!$AT$62:$BJ$62,[2]H7!$AT$66:$BJ$66)/1000)/K191</f>
        <v>9.2679462757738904E-2</v>
      </c>
      <c r="L200" s="26">
        <f>-(SUM([2]H7!$AT$63:$BJ$63,[2]H7!$AT$67:$BJ$67)/1000)/L191</f>
        <v>5.98789088147169E-2</v>
      </c>
      <c r="M200" s="7"/>
      <c r="N200" s="7"/>
      <c r="O200" s="26"/>
      <c r="P200" s="26"/>
      <c r="Q200" s="26"/>
      <c r="R200" s="7"/>
      <c r="S200" s="26">
        <f>(-(SUM([2]H7!$FR$65:$GH$65)/1000)-(SUM([2]H7!$FR$61:$GH$61)/1000))/S191</f>
        <v>0.19916088907485924</v>
      </c>
      <c r="T200" s="26">
        <f>(-(SUM([2]H7!$FR$66:$GH$66)/1000)-(SUM([2]H7!$FR$62:$GH$62)/1000))/T191</f>
        <v>0.18668074805804896</v>
      </c>
      <c r="U200" s="26">
        <f>(-(SUM([2]H7!$FR$67:$GH$67)/1000)-(SUM([2]H7!$FR$63:$GH$63)/1000))/U191</f>
        <v>5.98789088147169E-2</v>
      </c>
      <c r="V200" s="7"/>
    </row>
    <row r="201" spans="2:33" ht="20.149999999999999" customHeight="1" x14ac:dyDescent="0.25">
      <c r="B201" s="225"/>
      <c r="C201" s="9"/>
      <c r="D201" s="16" t="s">
        <v>79</v>
      </c>
      <c r="E201" s="8"/>
      <c r="F201" s="26">
        <v>0.85605004069332524</v>
      </c>
      <c r="G201" s="26">
        <v>0.81425669220671981</v>
      </c>
      <c r="H201" s="26">
        <v>0.89483290990595954</v>
      </c>
      <c r="I201" s="8"/>
      <c r="J201" s="26">
        <f>+J195+J196+J199+J200</f>
        <v>0.97038157652431356</v>
      </c>
      <c r="K201" s="26">
        <f>+K195+K196+K199+K200</f>
        <v>0.9746686754941305</v>
      </c>
      <c r="L201" s="26">
        <f>+L195+L196+L199+L200</f>
        <v>1.0295589247469477</v>
      </c>
      <c r="M201" s="8"/>
      <c r="N201" s="8"/>
      <c r="O201" s="26">
        <v>0.85605004069332524</v>
      </c>
      <c r="P201" s="26">
        <v>0.81425669220671981</v>
      </c>
      <c r="Q201" s="26">
        <v>0.89483290990595954</v>
      </c>
      <c r="R201" s="8"/>
      <c r="S201" s="26">
        <f>+S195+S196+S199+S200</f>
        <v>0.81673785296521495</v>
      </c>
      <c r="T201" s="26">
        <f>+T195+T196+T199+T200</f>
        <v>1.1196343859113578</v>
      </c>
      <c r="U201" s="26">
        <f>+U195+U196+U199+U200</f>
        <v>1.0295589247469477</v>
      </c>
      <c r="V201" s="8"/>
    </row>
    <row r="202" spans="2:33" ht="19.5" customHeight="1" x14ac:dyDescent="0.25">
      <c r="B202" s="225"/>
      <c r="C202" s="9"/>
      <c r="D202" s="16" t="s">
        <v>34</v>
      </c>
      <c r="E202" s="6"/>
      <c r="F202" s="25">
        <v>89.239366440000083</v>
      </c>
      <c r="G202" s="25">
        <v>112.19169349000006</v>
      </c>
      <c r="H202" s="25">
        <v>64.163450784016746</v>
      </c>
      <c r="I202" s="6"/>
      <c r="J202" s="25">
        <f>((+[2]H7!$BK$65/1000)+([2]H7!$BK$61/1000))</f>
        <v>1.3982285799999792</v>
      </c>
      <c r="K202" s="25">
        <f>((+[2]H7!$BK$66/1000)+([2]H7!$BK$62/1000))</f>
        <v>1.275395080000016</v>
      </c>
      <c r="L202" s="25">
        <f>((+[2]H7!$BK$67/1000)+([2]H7!$BK$63/1000))</f>
        <v>-1.4631821220268235</v>
      </c>
      <c r="M202" s="6"/>
      <c r="N202" s="6"/>
      <c r="O202" s="25">
        <v>89.239366440000083</v>
      </c>
      <c r="P202" s="25">
        <v>112.19169349000006</v>
      </c>
      <c r="Q202" s="25">
        <v>64.163450784016746</v>
      </c>
      <c r="R202" s="6"/>
      <c r="S202" s="25">
        <f>((+[2]H7!$GI$65/1000)+([2]H7!$GI$61/1000))</f>
        <v>2.9494665900000134</v>
      </c>
      <c r="T202" s="25">
        <f>((+[2]H7!$GI$66/1000)+([2]H7!$GI$62/1000))</f>
        <v>-2.1479930700000072</v>
      </c>
      <c r="U202" s="25">
        <f>((+[2]H7!$GI$67/1000)+([2]H7!$GI$63/1000))</f>
        <v>-0.48772737400894367</v>
      </c>
      <c r="V202" s="6"/>
      <c r="X202" s="36"/>
      <c r="AB202" s="36"/>
      <c r="AC202" s="36"/>
      <c r="AD202" s="36"/>
      <c r="AE202" s="36"/>
      <c r="AF202" s="36"/>
      <c r="AG202" s="36"/>
    </row>
    <row r="203" spans="2:33" ht="7.5" customHeight="1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2:33" ht="19.5" customHeight="1" x14ac:dyDescent="0.25">
      <c r="B204" s="224" t="s">
        <v>48</v>
      </c>
      <c r="C204" s="9"/>
      <c r="D204" s="17" t="s">
        <v>19</v>
      </c>
      <c r="E204" s="6"/>
      <c r="F204" s="23">
        <v>104.56900124000002</v>
      </c>
      <c r="G204" s="23">
        <v>86.957286909999993</v>
      </c>
      <c r="H204" s="23">
        <v>93.39937754566202</v>
      </c>
      <c r="I204" s="6"/>
      <c r="J204" s="23"/>
      <c r="K204" s="23"/>
      <c r="L204" s="23"/>
      <c r="M204" s="6"/>
      <c r="N204" s="6"/>
      <c r="O204" s="23">
        <v>104.56900124000002</v>
      </c>
      <c r="P204" s="23">
        <v>86.957286909999993</v>
      </c>
      <c r="Q204" s="23">
        <v>93.39937754566202</v>
      </c>
      <c r="R204" s="6"/>
      <c r="S204" s="23"/>
      <c r="T204" s="23"/>
      <c r="U204" s="23"/>
      <c r="V204" s="6"/>
    </row>
    <row r="205" spans="2:33" ht="20.149999999999999" customHeight="1" x14ac:dyDescent="0.25">
      <c r="B205" s="224"/>
      <c r="C205" s="9"/>
      <c r="D205" s="17" t="s">
        <v>20</v>
      </c>
      <c r="E205" s="6"/>
      <c r="F205" s="23">
        <v>96.613065600000027</v>
      </c>
      <c r="G205" s="23">
        <v>80.999779810000007</v>
      </c>
      <c r="H205" s="23">
        <v>83.735445436524415</v>
      </c>
      <c r="I205" s="6"/>
      <c r="J205" s="23"/>
      <c r="K205" s="23"/>
      <c r="L205" s="23"/>
      <c r="M205" s="6"/>
      <c r="N205" s="6"/>
      <c r="O205" s="23">
        <v>96.613065600000027</v>
      </c>
      <c r="P205" s="23">
        <v>80.999779810000007</v>
      </c>
      <c r="Q205" s="23">
        <v>83.735445436524415</v>
      </c>
      <c r="R205" s="6"/>
      <c r="S205" s="23"/>
      <c r="T205" s="23"/>
      <c r="U205" s="23"/>
      <c r="V205" s="6"/>
    </row>
    <row r="206" spans="2:33" ht="19.5" customHeight="1" x14ac:dyDescent="0.25">
      <c r="B206" s="224"/>
      <c r="C206" s="9"/>
      <c r="D206" s="17" t="s">
        <v>92</v>
      </c>
      <c r="E206" s="6"/>
      <c r="F206" s="24" t="e">
        <f>#REF!</f>
        <v>#REF!</v>
      </c>
      <c r="G206" s="24" t="e">
        <f>#REF!</f>
        <v>#REF!</v>
      </c>
      <c r="H206" s="24" t="e">
        <f>#REF!</f>
        <v>#REF!</v>
      </c>
      <c r="I206" s="6"/>
      <c r="J206" s="24"/>
      <c r="K206" s="24"/>
      <c r="L206" s="24"/>
      <c r="M206" s="6"/>
      <c r="N206" s="6"/>
      <c r="O206" s="24" t="e">
        <f>#REF!</f>
        <v>#REF!</v>
      </c>
      <c r="P206" s="24" t="e">
        <f>#REF!</f>
        <v>#REF!</v>
      </c>
      <c r="Q206" s="24" t="e">
        <f>#REF!</f>
        <v>#REF!</v>
      </c>
      <c r="R206" s="6"/>
      <c r="S206" s="24"/>
      <c r="T206" s="24"/>
      <c r="U206" s="24"/>
      <c r="V206" s="6"/>
    </row>
    <row r="207" spans="2:33" ht="19.5" customHeight="1" x14ac:dyDescent="0.25">
      <c r="B207" s="224"/>
      <c r="C207" s="9"/>
      <c r="D207" s="17" t="s">
        <v>93</v>
      </c>
      <c r="E207" s="6"/>
      <c r="F207" s="24" t="e">
        <f>#REF!</f>
        <v>#REF!</v>
      </c>
      <c r="G207" s="24" t="e">
        <f>#REF!</f>
        <v>#REF!</v>
      </c>
      <c r="H207" s="24" t="e">
        <f>#REF!</f>
        <v>#REF!</v>
      </c>
      <c r="I207" s="6"/>
      <c r="J207" s="24"/>
      <c r="K207" s="24"/>
      <c r="L207" s="24"/>
      <c r="M207" s="6"/>
      <c r="N207" s="6"/>
      <c r="O207" s="24" t="e">
        <f>#REF!</f>
        <v>#REF!</v>
      </c>
      <c r="P207" s="24" t="e">
        <f>#REF!</f>
        <v>#REF!</v>
      </c>
      <c r="Q207" s="24" t="e">
        <f>#REF!</f>
        <v>#REF!</v>
      </c>
      <c r="R207" s="6"/>
      <c r="S207" s="24"/>
      <c r="T207" s="24"/>
      <c r="U207" s="24"/>
      <c r="V207" s="6"/>
    </row>
    <row r="208" spans="2:33" ht="19.5" customHeight="1" x14ac:dyDescent="0.25">
      <c r="B208" s="224"/>
      <c r="C208" s="9"/>
      <c r="D208" s="17" t="s">
        <v>94</v>
      </c>
      <c r="E208" s="6"/>
      <c r="F208" s="24" t="e">
        <f>#REF!</f>
        <v>#REF!</v>
      </c>
      <c r="G208" s="24" t="e">
        <f>#REF!</f>
        <v>#REF!</v>
      </c>
      <c r="H208" s="24" t="e">
        <f>#REF!</f>
        <v>#REF!</v>
      </c>
      <c r="I208" s="6"/>
      <c r="J208" s="24"/>
      <c r="K208" s="24"/>
      <c r="L208" s="24"/>
      <c r="M208" s="6"/>
      <c r="N208" s="6"/>
      <c r="O208" s="24" t="e">
        <f>#REF!</f>
        <v>#REF!</v>
      </c>
      <c r="P208" s="24" t="e">
        <f>#REF!</f>
        <v>#REF!</v>
      </c>
      <c r="Q208" s="24" t="e">
        <f>#REF!</f>
        <v>#REF!</v>
      </c>
      <c r="R208" s="6"/>
      <c r="S208" s="24"/>
      <c r="T208" s="24"/>
      <c r="U208" s="24"/>
      <c r="V208" s="6"/>
    </row>
    <row r="209" spans="2:22" ht="19.5" hidden="1" customHeight="1" outlineLevel="1" x14ac:dyDescent="0.25">
      <c r="B209" s="224"/>
      <c r="C209" s="9"/>
      <c r="D209" s="17" t="s">
        <v>95</v>
      </c>
      <c r="E209" s="7"/>
      <c r="F209" s="24">
        <v>0.79243570416214992</v>
      </c>
      <c r="G209" s="24">
        <v>0.8148559316435503</v>
      </c>
      <c r="H209" s="24">
        <v>0.75170059448810467</v>
      </c>
      <c r="I209" s="7"/>
      <c r="J209" s="24"/>
      <c r="K209" s="24"/>
      <c r="L209" s="24"/>
      <c r="M209" s="7"/>
      <c r="N209" s="7"/>
      <c r="O209" s="24">
        <v>0.79243570416214992</v>
      </c>
      <c r="P209" s="24">
        <v>0.8148559316435503</v>
      </c>
      <c r="Q209" s="24">
        <v>0.75170059448810467</v>
      </c>
      <c r="R209" s="7"/>
      <c r="S209" s="24"/>
      <c r="T209" s="24"/>
      <c r="U209" s="24"/>
      <c r="V209" s="7"/>
    </row>
    <row r="210" spans="2:22" ht="20.149999999999999" customHeight="1" collapsed="1" x14ac:dyDescent="0.25">
      <c r="B210" s="224"/>
      <c r="C210" s="9"/>
      <c r="D210" s="17" t="s">
        <v>96</v>
      </c>
      <c r="E210" s="7"/>
      <c r="F210" s="24">
        <v>-1.0319356743400948E-2</v>
      </c>
      <c r="G210" s="24">
        <v>1.8135499546365962E-2</v>
      </c>
      <c r="H210" s="24">
        <v>0</v>
      </c>
      <c r="I210" s="7"/>
      <c r="J210" s="24"/>
      <c r="K210" s="24"/>
      <c r="L210" s="24"/>
      <c r="M210" s="7"/>
      <c r="N210" s="7"/>
      <c r="O210" s="24">
        <v>-1.0319356743400948E-2</v>
      </c>
      <c r="P210" s="24">
        <v>1.8135499546365962E-2</v>
      </c>
      <c r="Q210" s="24">
        <v>0</v>
      </c>
      <c r="R210" s="7"/>
      <c r="S210" s="24"/>
      <c r="T210" s="24"/>
      <c r="U210" s="24"/>
      <c r="V210" s="7"/>
    </row>
    <row r="211" spans="2:22" ht="20.149999999999999" hidden="1" customHeight="1" outlineLevel="1" x14ac:dyDescent="0.25">
      <c r="B211" s="224"/>
      <c r="C211" s="9"/>
      <c r="D211" s="18" t="s">
        <v>87</v>
      </c>
      <c r="E211" s="7"/>
      <c r="F211" s="24">
        <v>5.3524374761171015E-2</v>
      </c>
      <c r="G211" s="24">
        <v>5.8053249663519033E-2</v>
      </c>
      <c r="H211" s="24">
        <v>5.3861513322713016E-2</v>
      </c>
      <c r="I211" s="7"/>
      <c r="J211" s="24"/>
      <c r="K211" s="24"/>
      <c r="L211" s="24"/>
      <c r="M211" s="7"/>
      <c r="N211" s="7"/>
      <c r="O211" s="24">
        <v>5.3524374761171015E-2</v>
      </c>
      <c r="P211" s="24">
        <v>5.8053249663519033E-2</v>
      </c>
      <c r="Q211" s="24">
        <v>5.3861513322713016E-2</v>
      </c>
      <c r="R211" s="7"/>
      <c r="S211" s="24"/>
      <c r="T211" s="24"/>
      <c r="U211" s="24"/>
      <c r="V211" s="7"/>
    </row>
    <row r="212" spans="2:22" ht="19.5" hidden="1" customHeight="1" outlineLevel="1" x14ac:dyDescent="0.25">
      <c r="B212" s="224"/>
      <c r="C212" s="9"/>
      <c r="D212" s="18" t="s">
        <v>88</v>
      </c>
      <c r="E212" s="7"/>
      <c r="F212" s="24">
        <v>9.9075295256959517E-2</v>
      </c>
      <c r="G212" s="24">
        <v>0.11209148693116676</v>
      </c>
      <c r="H212" s="24">
        <v>0.11658092181995375</v>
      </c>
      <c r="I212" s="7"/>
      <c r="J212" s="24"/>
      <c r="K212" s="24"/>
      <c r="L212" s="24"/>
      <c r="M212" s="7"/>
      <c r="N212" s="7"/>
      <c r="O212" s="24">
        <v>9.9075295256959517E-2</v>
      </c>
      <c r="P212" s="24">
        <v>0.11209148693116676</v>
      </c>
      <c r="Q212" s="24">
        <v>0.11658092181995375</v>
      </c>
      <c r="R212" s="7"/>
      <c r="S212" s="24"/>
      <c r="T212" s="24"/>
      <c r="U212" s="24"/>
      <c r="V212" s="7"/>
    </row>
    <row r="213" spans="2:22" ht="20.149999999999999" customHeight="1" collapsed="1" x14ac:dyDescent="0.25">
      <c r="B213" s="224"/>
      <c r="C213" s="9"/>
      <c r="D213" s="17" t="s">
        <v>97</v>
      </c>
      <c r="E213" s="7"/>
      <c r="F213" s="24">
        <v>0.15259967001813052</v>
      </c>
      <c r="G213" s="24">
        <v>0.17014473659468576</v>
      </c>
      <c r="H213" s="24">
        <v>0.17044243514266674</v>
      </c>
      <c r="I213" s="7"/>
      <c r="J213" s="24"/>
      <c r="K213" s="24"/>
      <c r="L213" s="24"/>
      <c r="M213" s="7"/>
      <c r="N213" s="7"/>
      <c r="O213" s="24">
        <v>0.15259967001813052</v>
      </c>
      <c r="P213" s="24">
        <v>0.17014473659468576</v>
      </c>
      <c r="Q213" s="24">
        <v>0.17044243514266674</v>
      </c>
      <c r="R213" s="7"/>
      <c r="S213" s="24"/>
      <c r="T213" s="24"/>
      <c r="U213" s="24"/>
      <c r="V213" s="7"/>
    </row>
    <row r="214" spans="2:22" ht="20.149999999999999" customHeight="1" x14ac:dyDescent="0.25">
      <c r="B214" s="224"/>
      <c r="C214" s="9"/>
      <c r="D214" s="17" t="s">
        <v>90</v>
      </c>
      <c r="E214" s="7"/>
      <c r="F214" s="24"/>
      <c r="G214" s="24"/>
      <c r="H214" s="24"/>
      <c r="I214" s="7"/>
      <c r="J214" s="24"/>
      <c r="K214" s="24"/>
      <c r="L214" s="24"/>
      <c r="M214" s="7"/>
      <c r="N214" s="7"/>
      <c r="O214" s="24"/>
      <c r="P214" s="24"/>
      <c r="Q214" s="24"/>
      <c r="R214" s="7"/>
      <c r="S214" s="24"/>
      <c r="T214" s="24"/>
      <c r="U214" s="24"/>
      <c r="V214" s="7"/>
    </row>
    <row r="215" spans="2:22" ht="20.149999999999999" customHeight="1" x14ac:dyDescent="0.25">
      <c r="B215" s="224"/>
      <c r="C215" s="9"/>
      <c r="D215" s="17" t="s">
        <v>79</v>
      </c>
      <c r="E215" s="8"/>
      <c r="F215" s="24">
        <v>0.93471601743687949</v>
      </c>
      <c r="G215" s="24">
        <v>1.003136167784602</v>
      </c>
      <c r="H215" s="24">
        <v>0.92214302963077155</v>
      </c>
      <c r="I215" s="8"/>
      <c r="J215" s="24"/>
      <c r="K215" s="24"/>
      <c r="L215" s="24"/>
      <c r="M215" s="8"/>
      <c r="N215" s="8"/>
      <c r="O215" s="24">
        <v>0.93471601743687949</v>
      </c>
      <c r="P215" s="24">
        <v>1.003136167784602</v>
      </c>
      <c r="Q215" s="24">
        <v>0.92214302963077155</v>
      </c>
      <c r="R215" s="8"/>
      <c r="S215" s="24"/>
      <c r="T215" s="24"/>
      <c r="U215" s="24"/>
      <c r="V215" s="8"/>
    </row>
    <row r="216" spans="2:22" ht="19.5" customHeight="1" x14ac:dyDescent="0.25">
      <c r="B216" s="224"/>
      <c r="C216" s="9"/>
      <c r="D216" s="17" t="s">
        <v>34</v>
      </c>
      <c r="E216" s="6"/>
      <c r="F216" s="23">
        <v>6.3072856900000263</v>
      </c>
      <c r="G216" s="23">
        <v>-0.25402889999998773</v>
      </c>
      <c r="H216" s="23">
        <v>6.5193880942056417</v>
      </c>
      <c r="I216" s="6"/>
      <c r="J216" s="23"/>
      <c r="K216" s="23"/>
      <c r="L216" s="23"/>
      <c r="M216" s="6"/>
      <c r="N216" s="6"/>
      <c r="O216" s="23">
        <v>6.3072856900000263</v>
      </c>
      <c r="P216" s="23">
        <v>-0.25402889999998773</v>
      </c>
      <c r="Q216" s="23">
        <v>6.5193880942056417</v>
      </c>
      <c r="R216" s="6"/>
      <c r="S216" s="23"/>
      <c r="T216" s="23"/>
      <c r="U216" s="23"/>
      <c r="V216" s="6"/>
    </row>
    <row r="217" spans="2:22" ht="7.5" customHeight="1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2:22" ht="19.5" customHeight="1" x14ac:dyDescent="0.25">
      <c r="B218" s="224" t="s">
        <v>49</v>
      </c>
      <c r="C218" s="9"/>
      <c r="D218" s="17" t="s">
        <v>19</v>
      </c>
      <c r="E218" s="6"/>
      <c r="F218" s="23">
        <v>0</v>
      </c>
      <c r="G218" s="23">
        <v>0</v>
      </c>
      <c r="H218" s="23">
        <v>0</v>
      </c>
      <c r="I218" s="6"/>
      <c r="J218" s="23">
        <f t="shared" ref="J218:L219" si="4">+J232+J246</f>
        <v>16.762979899999998</v>
      </c>
      <c r="K218" s="23">
        <f t="shared" si="4"/>
        <v>27.691628330000007</v>
      </c>
      <c r="L218" s="23">
        <f t="shared" si="4"/>
        <v>17.416689024312909</v>
      </c>
      <c r="M218" s="6"/>
      <c r="N218" s="6"/>
      <c r="O218" s="23">
        <v>0</v>
      </c>
      <c r="P218" s="23">
        <v>0</v>
      </c>
      <c r="Q218" s="23">
        <v>0</v>
      </c>
      <c r="R218" s="6"/>
      <c r="S218" s="23">
        <f t="shared" ref="S218:U219" si="5">+S232+S246</f>
        <v>7.099141669999999</v>
      </c>
      <c r="T218" s="23">
        <f t="shared" si="5"/>
        <v>7.1747371900000037</v>
      </c>
      <c r="U218" s="23">
        <f t="shared" si="5"/>
        <v>6.9076211497661877</v>
      </c>
      <c r="V218" s="6"/>
    </row>
    <row r="219" spans="2:22" ht="20.149999999999999" customHeight="1" x14ac:dyDescent="0.25">
      <c r="B219" s="224"/>
      <c r="C219" s="9"/>
      <c r="D219" s="17" t="s">
        <v>20</v>
      </c>
      <c r="E219" s="6"/>
      <c r="F219" s="23">
        <v>0</v>
      </c>
      <c r="G219" s="23">
        <v>0</v>
      </c>
      <c r="H219" s="23">
        <v>0</v>
      </c>
      <c r="I219" s="6"/>
      <c r="J219" s="23">
        <f t="shared" si="4"/>
        <v>16.82741335</v>
      </c>
      <c r="K219" s="23">
        <f t="shared" si="4"/>
        <v>22.48090161</v>
      </c>
      <c r="L219" s="23">
        <f t="shared" si="4"/>
        <v>17.253636448104675</v>
      </c>
      <c r="M219" s="6"/>
      <c r="N219" s="6"/>
      <c r="O219" s="23">
        <v>0</v>
      </c>
      <c r="P219" s="23">
        <v>0</v>
      </c>
      <c r="Q219" s="23">
        <v>0</v>
      </c>
      <c r="R219" s="6"/>
      <c r="S219" s="23">
        <f t="shared" si="5"/>
        <v>7.214477719999997</v>
      </c>
      <c r="T219" s="23">
        <f t="shared" si="5"/>
        <v>9.6627231200000043</v>
      </c>
      <c r="U219" s="23">
        <f t="shared" si="5"/>
        <v>5.7512121493682242</v>
      </c>
      <c r="V219" s="6"/>
    </row>
    <row r="220" spans="2:22" ht="19.5" customHeight="1" x14ac:dyDescent="0.25">
      <c r="B220" s="224"/>
      <c r="C220" s="9"/>
      <c r="D220" s="17" t="s">
        <v>92</v>
      </c>
      <c r="E220" s="6"/>
      <c r="F220" s="24">
        <f>0</f>
        <v>0</v>
      </c>
      <c r="G220" s="24">
        <f>0</f>
        <v>0</v>
      </c>
      <c r="H220" s="24">
        <f>0</f>
        <v>0</v>
      </c>
      <c r="I220" s="6"/>
      <c r="J220" s="24">
        <f>(-(SUM([2]H7!$O$69,[2]H7!$R$69:$V$69,[2]H7!$Y$69:$AB$69)/1000)-(SUM([2]H7!$O$73,[2]H7!$R$73:$V$73,[2]H7!$Y$73:$AB$73)/1000))/J219</f>
        <v>0.75085984442166198</v>
      </c>
      <c r="K220" s="24">
        <f>(-(SUM([2]H7!$O$70,[2]H7!$R$70:$V$70,[2]H7!$Y$70:$AB$70)/1000)-(SUM([2]H7!$O$74,[2]H7!$R$74:$V$74,[2]H7!$Y$74:$AB$74)/1000))/K219</f>
        <v>0.68436872092159828</v>
      </c>
      <c r="L220" s="24">
        <f>(-(SUM([2]H7!$O$71,[2]H7!$R$71:$V$71,[2]H7!$Y$71:$AB$71)/1000)-(SUM([2]H7!$O$75,[2]H7!$R$75:$V$75,[2]H7!$Y$75:$AB$75)/1000))/L219</f>
        <v>0.77379455057356006</v>
      </c>
      <c r="M220" s="6"/>
      <c r="N220" s="6"/>
      <c r="O220" s="24">
        <f>0</f>
        <v>0</v>
      </c>
      <c r="P220" s="24">
        <f>0</f>
        <v>0</v>
      </c>
      <c r="Q220" s="24">
        <f>0</f>
        <v>0</v>
      </c>
      <c r="R220" s="6"/>
      <c r="S220" s="24">
        <f>(-(SUM([2]H7!$EM$69,[2]H7!$EP$69:$ET$69,[2]H7!$EW$69:$EZ$69)/1000)-(SUM([2]H7!$EM$73,[2]H7!$EP$73:$ET$73,[2]H7!$EW$73:$EZ$73)/1000))/S219</f>
        <v>0.68575513599340643</v>
      </c>
      <c r="T220" s="24">
        <f>(-(SUM([2]H7!$EM$70,[2]H7!$EP$70:$ET$70,[2]H7!$EW$70:$EZ$70)/1000)-(SUM([2]H7!$EM$74,[2]H7!$EP$74:$ET$74,[2]H7!$EW$74:$EZ$74)/1000))/T219</f>
        <v>0.81873245893027258</v>
      </c>
      <c r="U220" s="24">
        <f>(-(SUM([2]H7!$EM$71,[2]H7!$EP$71:$ET$71,[2]H7!$EW$71:$EZ$71)/1000)-(SUM([2]H7!$EM$75,[2]H7!$EP$75:$ET$75,[2]H7!$EW$75:$EZ$75)/1000))/U219</f>
        <v>0.77379455057356017</v>
      </c>
      <c r="V220" s="6"/>
    </row>
    <row r="221" spans="2:22" ht="19.5" customHeight="1" x14ac:dyDescent="0.25">
      <c r="B221" s="224"/>
      <c r="C221" s="9"/>
      <c r="D221" s="17" t="s">
        <v>93</v>
      </c>
      <c r="E221" s="6"/>
      <c r="F221" s="24">
        <f>0</f>
        <v>0</v>
      </c>
      <c r="G221" s="24">
        <f>0</f>
        <v>0</v>
      </c>
      <c r="H221" s="24">
        <f>0</f>
        <v>0</v>
      </c>
      <c r="I221" s="6"/>
      <c r="J221" s="24">
        <f>(-(SUM([2]H7!$Q$69,[2]H7!$X$69)/1000)-(SUM([2]H7!$Q$73,[2]H7!$X$73)/1000))/J219</f>
        <v>0</v>
      </c>
      <c r="K221" s="24">
        <f>(-(SUM([2]H7!$Q$70,[2]H7!$X$70)/1000)-(SUM([2]H7!$Q$74,[2]H7!$X$74)/1000))/K219</f>
        <v>4.3707188307915916E-2</v>
      </c>
      <c r="L221" s="24">
        <f>(-(SUM([2]H7!$Q$71,[2]H7!$X$71)/1000)-(SUM([2]H7!$Q$75,[2]H7!$X$75)/1000))/L219</f>
        <v>0</v>
      </c>
      <c r="M221" s="6"/>
      <c r="N221" s="6"/>
      <c r="O221" s="24">
        <f>0</f>
        <v>0</v>
      </c>
      <c r="P221" s="24">
        <f>0</f>
        <v>0</v>
      </c>
      <c r="Q221" s="24">
        <f>0</f>
        <v>0</v>
      </c>
      <c r="R221" s="6"/>
      <c r="S221" s="24">
        <f>(-(SUM([2]H7!$EO$69,[2]H7!$EV$69)/1000)-(SUM([2]H7!$EO$73,[2]H7!$EV$73)/1000))/S219</f>
        <v>0</v>
      </c>
      <c r="T221" s="24">
        <f>(-(SUM([2]H7!$EO$70,[2]H7!$EV$70)/1000)-(SUM([2]H7!$EO$74,[2]H7!$EV$74)/1000))/T219</f>
        <v>7.0640231694851632E-2</v>
      </c>
      <c r="U221" s="24">
        <f>(-(SUM([2]H7!$EO$71,[2]H7!$EV$71)/1000)-(SUM([2]H7!$EO$75,[2]H7!$EV$75)/1000))/U219</f>
        <v>0</v>
      </c>
      <c r="V221" s="6"/>
    </row>
    <row r="222" spans="2:22" ht="19.5" customHeight="1" x14ac:dyDescent="0.25">
      <c r="B222" s="224"/>
      <c r="C222" s="9"/>
      <c r="D222" s="17" t="s">
        <v>94</v>
      </c>
      <c r="E222" s="6"/>
      <c r="F222" s="24">
        <f>0</f>
        <v>0</v>
      </c>
      <c r="G222" s="24">
        <f>0</f>
        <v>0</v>
      </c>
      <c r="H222" s="24">
        <f>0</f>
        <v>0</v>
      </c>
      <c r="I222" s="6"/>
      <c r="J222" s="24">
        <f>(-(SUM([2]H7!$P$69,[2]H7!$W$69)/1000)-(SUM([2]H7!$P$73,[2]H7!$W$73)/1000))/J219</f>
        <v>0</v>
      </c>
      <c r="K222" s="24">
        <f>(-(SUM([2]H7!$P$70,[2]H7!$W$70)/1000)-(SUM([2]H7!$P$74,[2]H7!$W$74)/1000))/K219</f>
        <v>0</v>
      </c>
      <c r="L222" s="24">
        <f>(-(SUM([2]H7!$P$71,[2]H7!$W$71)/1000)-(SUM([2]H7!$P$75,[2]H7!$W$75)/1000))/L219</f>
        <v>0</v>
      </c>
      <c r="M222" s="6"/>
      <c r="N222" s="6"/>
      <c r="O222" s="24">
        <f>0</f>
        <v>0</v>
      </c>
      <c r="P222" s="24">
        <f>0</f>
        <v>0</v>
      </c>
      <c r="Q222" s="24">
        <f>0</f>
        <v>0</v>
      </c>
      <c r="R222" s="6"/>
      <c r="S222" s="24">
        <f>(-(SUM([2]H7!$EN$69,[2]H7!$EU$69)/1000)-(SUM([2]H7!$EN$73,[2]H7!$EU$73)/1000))/S219</f>
        <v>0</v>
      </c>
      <c r="T222" s="24">
        <f>(-(SUM([2]H7!$EN$70,[2]H7!$EU$70)/1000)-(SUM([2]H7!$EN$74,[2]H7!$EU$74)/1000))/T219</f>
        <v>0</v>
      </c>
      <c r="U222" s="24">
        <f>(-(SUM([2]H7!$EN$71,[2]H7!$EU$71)/1000)-(SUM([2]H7!$EN$75,[2]H7!$EU$75)/1000))/U219</f>
        <v>0</v>
      </c>
      <c r="V222" s="6"/>
    </row>
    <row r="223" spans="2:22" ht="19.5" hidden="1" customHeight="1" outlineLevel="1" x14ac:dyDescent="0.25">
      <c r="B223" s="224"/>
      <c r="C223" s="9"/>
      <c r="D223" s="17" t="s">
        <v>95</v>
      </c>
      <c r="E223" s="7"/>
      <c r="F223" s="24">
        <v>0</v>
      </c>
      <c r="G223" s="24">
        <v>0</v>
      </c>
      <c r="H223" s="24">
        <v>0</v>
      </c>
      <c r="I223" s="7"/>
      <c r="J223" s="24">
        <f>+J220+J221+J222</f>
        <v>0.75085984442166198</v>
      </c>
      <c r="K223" s="24">
        <f>+K220+K221+K222</f>
        <v>0.72807590922951415</v>
      </c>
      <c r="L223" s="24">
        <f>+L220+L221+L222</f>
        <v>0.77379455057356006</v>
      </c>
      <c r="M223" s="7"/>
      <c r="N223" s="7"/>
      <c r="O223" s="24">
        <v>0</v>
      </c>
      <c r="P223" s="24">
        <v>0</v>
      </c>
      <c r="Q223" s="24">
        <v>0</v>
      </c>
      <c r="R223" s="7"/>
      <c r="S223" s="24">
        <f>+S220+S221+S222</f>
        <v>0.68575513599340643</v>
      </c>
      <c r="T223" s="24">
        <f>+T220+T221+T222</f>
        <v>0.88937269062512425</v>
      </c>
      <c r="U223" s="24">
        <f>+U220+U221+U222</f>
        <v>0.77379455057356017</v>
      </c>
      <c r="V223" s="7"/>
    </row>
    <row r="224" spans="2:22" ht="20.149999999999999" customHeight="1" collapsed="1" x14ac:dyDescent="0.25">
      <c r="B224" s="224"/>
      <c r="C224" s="9"/>
      <c r="D224" s="17" t="s">
        <v>96</v>
      </c>
      <c r="E224" s="7"/>
      <c r="F224" s="24">
        <v>0</v>
      </c>
      <c r="G224" s="24">
        <v>0</v>
      </c>
      <c r="H224" s="24">
        <v>0</v>
      </c>
      <c r="I224" s="7"/>
      <c r="J224" s="24">
        <f>(-(SUM([2]H7!$AC$69:$AK$69)/1000)-(SUM([2]H7!$AC$73:$AK$73)/1000))/J219</f>
        <v>-4.4057764825751251E-2</v>
      </c>
      <c r="K224" s="24">
        <f>(-(SUM([2]H7!$AC$70:$AK$70)/1000)-(SUM([2]H7!$AC$74:$AK$74)/1000))/K219</f>
        <v>2.9386300490107726E-2</v>
      </c>
      <c r="L224" s="24">
        <f>(-(SUM([2]H7!$AC$71:$AK$71)/1000)-(SUM([2]H7!$AC$75:$AK$75)/1000))/L219</f>
        <v>-4.725910086107446E-2</v>
      </c>
      <c r="M224" s="7"/>
      <c r="N224" s="7"/>
      <c r="O224" s="24">
        <v>0</v>
      </c>
      <c r="P224" s="24">
        <v>0</v>
      </c>
      <c r="Q224" s="24">
        <v>0</v>
      </c>
      <c r="R224" s="7"/>
      <c r="S224" s="24">
        <f>(-(SUM([2]H7!$FA$69:$FI$69)/1000)-(SUM([2]H7!$FA$73:$FI$73)/1000))/S219</f>
        <v>-3.3711869304934819E-2</v>
      </c>
      <c r="T224" s="24">
        <f>(-(SUM([2]H7!$FA$70:$FI$70)/1000)-(SUM([2]H7!$FA$74:$FI$74)/1000))/T219</f>
        <v>0.17019741635730531</v>
      </c>
      <c r="U224" s="24">
        <f>(-(SUM([2]H7!$FA$71:$FI$71)/1000)-(SUM([2]H7!$FA$75:$FI$75)/1000))/U219</f>
        <v>-4.7259100861074675E-2</v>
      </c>
      <c r="V224" s="7"/>
    </row>
    <row r="225" spans="2:22" ht="20.149999999999999" hidden="1" customHeight="1" outlineLevel="1" x14ac:dyDescent="0.25">
      <c r="B225" s="224"/>
      <c r="C225" s="9"/>
      <c r="D225" s="18" t="s">
        <v>87</v>
      </c>
      <c r="E225" s="7"/>
      <c r="F225" s="24">
        <v>0</v>
      </c>
      <c r="G225" s="24">
        <v>0</v>
      </c>
      <c r="H225" s="24">
        <v>0</v>
      </c>
      <c r="I225" s="7"/>
      <c r="J225" s="24">
        <f>(-(SUM([2]H7!$AL$69:$AN$69)/1000)-(SUM([2]H7!$AL$73:$AN$73)/1000))/J219</f>
        <v>6.6395975231689414E-2</v>
      </c>
      <c r="K225" s="24">
        <f>(-(SUM([2]H7!$AL$70:$AN$70)/1000)-(SUM([2]H7!$AL$74:$AN$74)/1000))/K219</f>
        <v>7.9226470134442298E-2</v>
      </c>
      <c r="L225" s="24">
        <f>(-(SUM([2]H7!$AL$71:$AN$71)/1000)-(SUM([2]H7!$AL$75:$AN$75)/1000))/L219</f>
        <v>7.2803386762431019E-2</v>
      </c>
      <c r="M225" s="7"/>
      <c r="N225" s="7"/>
      <c r="O225" s="24">
        <v>0</v>
      </c>
      <c r="P225" s="24">
        <v>0</v>
      </c>
      <c r="Q225" s="24">
        <v>0</v>
      </c>
      <c r="R225" s="7"/>
      <c r="S225" s="24">
        <f>(-(SUM([2]H7!$FJ$69:$FL$69)/1000)-(SUM([2]H7!$FJ$73:$FL$73)/1000))/S219</f>
        <v>6.9836872404950762E-2</v>
      </c>
      <c r="T225" s="24">
        <f>(-(SUM([2]H7!$FJ$70:$FL$70)/1000)-(SUM([2]H7!$FJ$74:$FL$74)/1000))/T219</f>
        <v>7.577227774275698E-2</v>
      </c>
      <c r="U225" s="24">
        <f>(-(SUM([2]H7!$FJ$71:$FL$71)/1000)-(SUM([2]H7!$FJ$75:$FL$75)/1000))/U219</f>
        <v>7.2803386762431019E-2</v>
      </c>
      <c r="V225" s="7"/>
    </row>
    <row r="226" spans="2:22" ht="19.5" hidden="1" customHeight="1" outlineLevel="1" x14ac:dyDescent="0.25">
      <c r="B226" s="224"/>
      <c r="C226" s="9"/>
      <c r="D226" s="18" t="s">
        <v>88</v>
      </c>
      <c r="E226" s="7"/>
      <c r="F226" s="24">
        <v>0</v>
      </c>
      <c r="G226" s="24">
        <v>0</v>
      </c>
      <c r="H226" s="24">
        <v>0</v>
      </c>
      <c r="I226" s="7"/>
      <c r="J226" s="24">
        <f>(-(SUM([2]H7!$AO$69:$AR$69)/1000)-(SUM([2]H7!$AO$73:$AR$73)/1000))/J219</f>
        <v>0.13364605618367367</v>
      </c>
      <c r="K226" s="24">
        <f>(-(SUM([2]H7!$AO$70:$AR$70)/1000)-(SUM([2]H7!$AO$74:$AR$74)/1000))/K219</f>
        <v>0.13909115053504298</v>
      </c>
      <c r="L226" s="24">
        <f>(-(SUM([2]H7!$AO$71:$AR$71)/1000)-(SUM([2]H7!$AO$75:$AR$75)/1000))/L219</f>
        <v>0.13739393435895147</v>
      </c>
      <c r="M226" s="7"/>
      <c r="N226" s="7"/>
      <c r="O226" s="24">
        <v>0</v>
      </c>
      <c r="P226" s="24">
        <v>0</v>
      </c>
      <c r="Q226" s="24">
        <v>0</v>
      </c>
      <c r="R226" s="7"/>
      <c r="S226" s="24">
        <f>(-(SUM([2]H7!$FM$69:$FP$69)/1000)-(SUM([2]H7!$FM$73:$FP$73)/1000))/S219</f>
        <v>0.10028749939780816</v>
      </c>
      <c r="T226" s="24">
        <f>(-(SUM([2]H7!$FM$70:$FP$70)/1000)-(SUM([2]H7!$FM$74:$FP$74)/1000))/T219</f>
        <v>0.12879848719084475</v>
      </c>
      <c r="U226" s="24">
        <f>(-(SUM([2]H7!$FM$71:$FP$71)/1000)-(SUM([2]H7!$FM$75:$FP$75)/1000))/U219</f>
        <v>0.13739393435895153</v>
      </c>
      <c r="V226" s="7"/>
    </row>
    <row r="227" spans="2:22" ht="20.149999999999999" customHeight="1" collapsed="1" x14ac:dyDescent="0.25">
      <c r="B227" s="224"/>
      <c r="C227" s="9"/>
      <c r="D227" s="17" t="s">
        <v>97</v>
      </c>
      <c r="E227" s="7"/>
      <c r="F227" s="24">
        <v>0</v>
      </c>
      <c r="G227" s="24">
        <v>0</v>
      </c>
      <c r="H227" s="24">
        <v>0</v>
      </c>
      <c r="I227" s="7"/>
      <c r="J227" s="24">
        <f>+J225+J226</f>
        <v>0.20004203141536309</v>
      </c>
      <c r="K227" s="24">
        <f>+K225+K226</f>
        <v>0.21831762066948529</v>
      </c>
      <c r="L227" s="24">
        <f>+L225+L226</f>
        <v>0.21019732112138251</v>
      </c>
      <c r="M227" s="7"/>
      <c r="N227" s="7"/>
      <c r="O227" s="24">
        <v>0</v>
      </c>
      <c r="P227" s="24">
        <v>0</v>
      </c>
      <c r="Q227" s="24">
        <v>0</v>
      </c>
      <c r="R227" s="7"/>
      <c r="S227" s="24">
        <f>+S225+S226</f>
        <v>0.17012437180275891</v>
      </c>
      <c r="T227" s="24">
        <f>+T225+T226</f>
        <v>0.20457076493360171</v>
      </c>
      <c r="U227" s="24">
        <f>+U225+U226</f>
        <v>0.21019732112138256</v>
      </c>
      <c r="V227" s="7"/>
    </row>
    <row r="228" spans="2:22" ht="20.149999999999999" customHeight="1" x14ac:dyDescent="0.25">
      <c r="B228" s="224"/>
      <c r="C228" s="9"/>
      <c r="D228" s="17" t="s">
        <v>90</v>
      </c>
      <c r="E228" s="7"/>
      <c r="F228" s="24"/>
      <c r="G228" s="24"/>
      <c r="H228" s="24"/>
      <c r="I228" s="7"/>
      <c r="J228" s="24">
        <f>(-(SUM([2]H7!$AT$69:$BJ$69)/1000)-(SUM([2]H7!$AT$73:$BJ$73)/1000))/J219</f>
        <v>3.9848883250972009E-2</v>
      </c>
      <c r="K228" s="24">
        <f>(-(SUM([2]H7!$AT$70:$BJ$70)/1000)-(SUM([2]H7!$AT$74:$BJ$74)/1000))/K219</f>
        <v>4.3408904007934913E-3</v>
      </c>
      <c r="L228" s="24">
        <f>(-(SUM([2]H7!$AT$71:$BJ$71)/1000)-(SUM([2]H7!$AT$75:$BJ$75)/1000))/L219</f>
        <v>1.8581517635185243E-2</v>
      </c>
      <c r="M228" s="7"/>
      <c r="N228" s="7"/>
      <c r="O228" s="24"/>
      <c r="P228" s="24"/>
      <c r="Q228" s="24"/>
      <c r="R228" s="7"/>
      <c r="S228" s="24">
        <f>(-(SUM([2]H7!$FR$69:$GH$69)/1000)-(SUM([2]H7!$FR$73:$GH$73)/1000))/S219</f>
        <v>-8.4544165727957782E-4</v>
      </c>
      <c r="T228" s="24">
        <f>(-(SUM([2]H7!$FR$70:$GH$70)/1000)-(SUM([2]H7!$FR$74:$GH$74)/1000))/T219</f>
        <v>2.6132061000213126E-2</v>
      </c>
      <c r="U228" s="24">
        <f>(-(SUM([2]H7!$FR$71:$GH$71)/1000)-(SUM([2]H7!$FR$75:$GH$75)/1000))/U219</f>
        <v>1.8581517635185261E-2</v>
      </c>
      <c r="V228" s="7"/>
    </row>
    <row r="229" spans="2:22" ht="20.149999999999999" customHeight="1" x14ac:dyDescent="0.25">
      <c r="B229" s="224"/>
      <c r="C229" s="9"/>
      <c r="D229" s="17" t="s">
        <v>79</v>
      </c>
      <c r="E229" s="8"/>
      <c r="F229" s="24">
        <v>0</v>
      </c>
      <c r="G229" s="24">
        <v>0</v>
      </c>
      <c r="H229" s="24">
        <v>0</v>
      </c>
      <c r="I229" s="8"/>
      <c r="J229" s="24">
        <f>+J223+J224+J227+J228</f>
        <v>0.94669299426224574</v>
      </c>
      <c r="K229" s="24">
        <f>+K223+K224+K227+K228</f>
        <v>0.98012072078990065</v>
      </c>
      <c r="L229" s="24">
        <f>+L223+L224+L227+L228</f>
        <v>0.95531428846905342</v>
      </c>
      <c r="M229" s="8"/>
      <c r="N229" s="8"/>
      <c r="O229" s="24">
        <v>0</v>
      </c>
      <c r="P229" s="24">
        <v>0</v>
      </c>
      <c r="Q229" s="24">
        <v>0</v>
      </c>
      <c r="R229" s="8"/>
      <c r="S229" s="24">
        <f>+S223+S224+S227+S228</f>
        <v>0.8213221968339508</v>
      </c>
      <c r="T229" s="24">
        <f>+T223+T224+T227+T228</f>
        <v>1.2902729329162443</v>
      </c>
      <c r="U229" s="24">
        <f>+U223+U224+U227+U228</f>
        <v>0.95531428846905331</v>
      </c>
      <c r="V229" s="8"/>
    </row>
    <row r="230" spans="2:22" ht="19.5" customHeight="1" x14ac:dyDescent="0.25">
      <c r="B230" s="224"/>
      <c r="C230" s="9"/>
      <c r="D230" s="17" t="s">
        <v>34</v>
      </c>
      <c r="E230" s="6"/>
      <c r="F230" s="23">
        <v>0</v>
      </c>
      <c r="G230" s="23">
        <v>0</v>
      </c>
      <c r="H230" s="23">
        <v>0</v>
      </c>
      <c r="I230" s="6"/>
      <c r="J230" s="23">
        <f>+J244+J258</f>
        <v>0.89701902000000788</v>
      </c>
      <c r="K230" s="23">
        <f>+K244+K258</f>
        <v>0.44690411999996127</v>
      </c>
      <c r="L230" s="23">
        <f>+L244+L258</f>
        <v>0.77099102117983453</v>
      </c>
      <c r="M230" s="6"/>
      <c r="N230" s="6"/>
      <c r="O230" s="23">
        <v>0</v>
      </c>
      <c r="P230" s="23">
        <v>0</v>
      </c>
      <c r="Q230" s="23">
        <v>0</v>
      </c>
      <c r="R230" s="6"/>
      <c r="S230" s="23">
        <f>+S244+S258</f>
        <v>1.2890670300000047</v>
      </c>
      <c r="T230" s="23">
        <f>+T244+T258</f>
        <v>-2.8048269800000059</v>
      </c>
      <c r="U230" s="23">
        <f>+U244+U258</f>
        <v>0.2569970070599441</v>
      </c>
      <c r="V230" s="6"/>
    </row>
    <row r="231" spans="2:22" ht="7.5" customHeight="1" outlineLevel="1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2:22" ht="19.5" customHeight="1" outlineLevel="1" x14ac:dyDescent="0.25">
      <c r="B232" s="224" t="s">
        <v>50</v>
      </c>
      <c r="C232" s="9"/>
      <c r="D232" s="17" t="s">
        <v>19</v>
      </c>
      <c r="E232" s="6"/>
      <c r="F232" s="23"/>
      <c r="G232" s="23"/>
      <c r="H232" s="23"/>
      <c r="I232" s="6"/>
      <c r="J232" s="23">
        <f>+[2]H7!$C$69/1000</f>
        <v>0</v>
      </c>
      <c r="K232" s="23">
        <f>+[2]H7!$C$70/1000</f>
        <v>11.816780720000004</v>
      </c>
      <c r="L232" s="23">
        <f>+[2]H7!$C$71/1000</f>
        <v>0</v>
      </c>
      <c r="M232" s="6"/>
      <c r="N232" s="6"/>
      <c r="O232" s="23"/>
      <c r="P232" s="23"/>
      <c r="Q232" s="23"/>
      <c r="R232" s="6"/>
      <c r="S232" s="23">
        <f>+[2]H7!$EA$69/1000</f>
        <v>0</v>
      </c>
      <c r="T232" s="23">
        <f>+[2]H7!$EA$70/1000</f>
        <v>0.42616159000000153</v>
      </c>
      <c r="U232" s="23">
        <f>+[2]H7!$EA$71/1000</f>
        <v>0</v>
      </c>
      <c r="V232" s="6"/>
    </row>
    <row r="233" spans="2:22" ht="20.149999999999999" customHeight="1" outlineLevel="1" x14ac:dyDescent="0.25">
      <c r="B233" s="224"/>
      <c r="C233" s="9"/>
      <c r="D233" s="17" t="s">
        <v>20</v>
      </c>
      <c r="E233" s="6"/>
      <c r="F233" s="23"/>
      <c r="G233" s="23"/>
      <c r="H233" s="23"/>
      <c r="I233" s="6"/>
      <c r="J233" s="23">
        <f>+[2]H7!$N$69/1000</f>
        <v>0</v>
      </c>
      <c r="K233" s="23">
        <f>+[2]H7!$N$70/1000</f>
        <v>6.8053371599999997</v>
      </c>
      <c r="L233" s="23">
        <f>+[2]H7!$N$71/1000</f>
        <v>0</v>
      </c>
      <c r="M233" s="6"/>
      <c r="N233" s="6"/>
      <c r="O233" s="23"/>
      <c r="P233" s="23"/>
      <c r="Q233" s="23"/>
      <c r="R233" s="6"/>
      <c r="S233" s="23">
        <f>+[2]H7!$EL$69/1000</f>
        <v>0</v>
      </c>
      <c r="T233" s="23">
        <f>+[2]H7!$EL$70/1000</f>
        <v>2.3145242100000023</v>
      </c>
      <c r="U233" s="23">
        <f>+[2]H7!$EL$71/1000</f>
        <v>0</v>
      </c>
      <c r="V233" s="6"/>
    </row>
    <row r="234" spans="2:22" ht="19.5" customHeight="1" outlineLevel="1" x14ac:dyDescent="0.25">
      <c r="B234" s="224"/>
      <c r="C234" s="9"/>
      <c r="D234" s="17" t="s">
        <v>92</v>
      </c>
      <c r="E234" s="6"/>
      <c r="F234" s="24"/>
      <c r="G234" s="24"/>
      <c r="H234" s="24"/>
      <c r="I234" s="6"/>
      <c r="J234" s="24" t="e">
        <f>-(SUM([2]H7!$O$69,[2]H7!$R$69:$V$69,[2]H7!$Y$69:$AB$69)/1000)/J233</f>
        <v>#DIV/0!</v>
      </c>
      <c r="K234" s="24">
        <f>-(SUM([2]H7!$O$70,[2]H7!$R$70:$V$70,[2]H7!$Y$70:$AB$70)/1000)/K233</f>
        <v>0.41237826929356719</v>
      </c>
      <c r="L234" s="24" t="e">
        <f>-(SUM([2]H7!$O$71,[2]H7!$R$71:$V$71,[2]H7!$Y$71:$AB$71)/1000)/L233</f>
        <v>#DIV/0!</v>
      </c>
      <c r="M234" s="6"/>
      <c r="N234" s="6"/>
      <c r="O234" s="24"/>
      <c r="P234" s="24"/>
      <c r="Q234" s="24"/>
      <c r="R234" s="6"/>
      <c r="S234" s="24" t="e">
        <f>-(SUM([2]H7!$EM$69,[2]H7!$EP$69:$ET$69,[2]H7!$EW$69:$EZ$69)/1000)/S233</f>
        <v>#DIV/0!</v>
      </c>
      <c r="T234" s="24">
        <f>-(SUM([2]H7!$EM$70,[2]H7!$EP$70:$ET$70,[2]H7!$EW$70:$EZ$70)/1000)/T233</f>
        <v>0.62518238251653391</v>
      </c>
      <c r="U234" s="24" t="e">
        <f>-(SUM([2]H7!$EM$71,[2]H7!$EP$71:$ET$71,[2]H7!$EW$71:$EZ$71)/1000)/U233</f>
        <v>#DIV/0!</v>
      </c>
      <c r="V234" s="6"/>
    </row>
    <row r="235" spans="2:22" ht="19.5" customHeight="1" outlineLevel="1" x14ac:dyDescent="0.25">
      <c r="B235" s="224"/>
      <c r="C235" s="9"/>
      <c r="D235" s="17" t="s">
        <v>93</v>
      </c>
      <c r="E235" s="6"/>
      <c r="F235" s="24"/>
      <c r="G235" s="24"/>
      <c r="H235" s="24"/>
      <c r="I235" s="6"/>
      <c r="J235" s="24" t="e">
        <f>-(SUM([2]H7!$Q$69,[2]H7!$X$69)/1000)/J233</f>
        <v>#DIV/0!</v>
      </c>
      <c r="K235" s="24">
        <f>-(SUM([2]H7!$Q$70,[2]H7!$X$70)/1000)/K233</f>
        <v>0.14438329459638413</v>
      </c>
      <c r="L235" s="24" t="e">
        <f>-(SUM([2]H7!$Q$71,[2]H7!$X$71)/1000)/L233</f>
        <v>#DIV/0!</v>
      </c>
      <c r="M235" s="6"/>
      <c r="N235" s="6"/>
      <c r="O235" s="24"/>
      <c r="P235" s="24"/>
      <c r="Q235" s="24"/>
      <c r="R235" s="6"/>
      <c r="S235" s="24" t="e">
        <f>-(SUM([2]H7!$EO$69,[2]H7!$EV$69)/1000)/S233</f>
        <v>#DIV/0!</v>
      </c>
      <c r="T235" s="24">
        <f>-(SUM([2]H7!$EO$70,[2]H7!$EV$70)/1000)/T233</f>
        <v>0.29491028741496694</v>
      </c>
      <c r="U235" s="24" t="e">
        <f>-(SUM([2]H7!$EO$71,[2]H7!$EV$71)/1000)/U233</f>
        <v>#DIV/0!</v>
      </c>
      <c r="V235" s="6"/>
    </row>
    <row r="236" spans="2:22" ht="19.5" customHeight="1" outlineLevel="1" x14ac:dyDescent="0.25">
      <c r="B236" s="224"/>
      <c r="C236" s="9"/>
      <c r="D236" s="17" t="s">
        <v>94</v>
      </c>
      <c r="E236" s="6"/>
      <c r="F236" s="24"/>
      <c r="G236" s="24"/>
      <c r="H236" s="24"/>
      <c r="I236" s="6"/>
      <c r="J236" s="24" t="e">
        <f>-(SUM([2]H7!$P$69,[2]H7!$W$69)/1000)/J233</f>
        <v>#DIV/0!</v>
      </c>
      <c r="K236" s="24">
        <f>-(SUM([2]H7!$P$70,[2]H7!$W$70)/1000)/K233</f>
        <v>0</v>
      </c>
      <c r="L236" s="24" t="e">
        <f>-(SUM([2]H7!$P$71,[2]H7!$W$71)/1000)/L233</f>
        <v>#DIV/0!</v>
      </c>
      <c r="M236" s="6"/>
      <c r="N236" s="6"/>
      <c r="O236" s="24"/>
      <c r="P236" s="24"/>
      <c r="Q236" s="24"/>
      <c r="R236" s="6"/>
      <c r="S236" s="24" t="e">
        <f>-(SUM([2]H7!$EN$69,[2]H7!$EU$69)/1000)/S233</f>
        <v>#DIV/0!</v>
      </c>
      <c r="T236" s="24">
        <f>-(SUM([2]H7!$EN$70,[2]H7!$EU$70)/1000)/T233</f>
        <v>0</v>
      </c>
      <c r="U236" s="24" t="e">
        <f>-(SUM([2]H7!$EN$71,[2]H7!$EU$71)/1000)/U233</f>
        <v>#DIV/0!</v>
      </c>
      <c r="V236" s="6"/>
    </row>
    <row r="237" spans="2:22" ht="19.5" customHeight="1" outlineLevel="2" x14ac:dyDescent="0.25">
      <c r="B237" s="224"/>
      <c r="C237" s="9"/>
      <c r="D237" s="17" t="s">
        <v>95</v>
      </c>
      <c r="E237" s="7"/>
      <c r="F237" s="24"/>
      <c r="G237" s="24"/>
      <c r="H237" s="24"/>
      <c r="I237" s="7"/>
      <c r="J237" s="24" t="e">
        <f>+J234+J235+J236</f>
        <v>#DIV/0!</v>
      </c>
      <c r="K237" s="24">
        <f>+K234+K235+K236</f>
        <v>0.55676156388995135</v>
      </c>
      <c r="L237" s="24" t="e">
        <f>+L234+L235+L236</f>
        <v>#DIV/0!</v>
      </c>
      <c r="M237" s="7"/>
      <c r="N237" s="7"/>
      <c r="O237" s="24"/>
      <c r="P237" s="24"/>
      <c r="Q237" s="24"/>
      <c r="R237" s="7"/>
      <c r="S237" s="24" t="e">
        <f>+S234+S235+S236</f>
        <v>#DIV/0!</v>
      </c>
      <c r="T237" s="24">
        <f>+T234+T235+T236</f>
        <v>0.92009266993150085</v>
      </c>
      <c r="U237" s="24" t="e">
        <f>+U234+U235+U236</f>
        <v>#DIV/0!</v>
      </c>
      <c r="V237" s="7"/>
    </row>
    <row r="238" spans="2:22" ht="20.149999999999999" customHeight="1" outlineLevel="1" x14ac:dyDescent="0.25">
      <c r="B238" s="224"/>
      <c r="C238" s="9"/>
      <c r="D238" s="17" t="s">
        <v>96</v>
      </c>
      <c r="E238" s="7"/>
      <c r="F238" s="24"/>
      <c r="G238" s="24"/>
      <c r="H238" s="24"/>
      <c r="I238" s="7"/>
      <c r="J238" s="24" t="e">
        <f>-(SUM([2]H7!$AC$69:$AK$69)/1000)/J233</f>
        <v>#DIV/0!</v>
      </c>
      <c r="K238" s="24">
        <f>-(SUM([2]H7!$AC$70:$AK$70)/1000)/K233</f>
        <v>-0.16403049602908967</v>
      </c>
      <c r="L238" s="24" t="e">
        <f>-(SUM([2]H7!$AC$71:$AK$71)/1000)/L233</f>
        <v>#DIV/0!</v>
      </c>
      <c r="M238" s="7"/>
      <c r="N238" s="7"/>
      <c r="O238" s="24"/>
      <c r="P238" s="24"/>
      <c r="Q238" s="24"/>
      <c r="R238" s="7"/>
      <c r="S238" s="24" t="e">
        <f>-(SUM([2]H7!$FA$69:$FI$69)/1000)/S233</f>
        <v>#DIV/0!</v>
      </c>
      <c r="T238" s="24">
        <f>-(SUM([2]H7!$FA$70:$FI$70)/1000)/T233</f>
        <v>0.12464356119221595</v>
      </c>
      <c r="U238" s="24" t="e">
        <f>-(SUM([2]H7!$FA$71:$FI$71)/1000)/U233</f>
        <v>#DIV/0!</v>
      </c>
      <c r="V238" s="7"/>
    </row>
    <row r="239" spans="2:22" ht="20.149999999999999" customHeight="1" outlineLevel="2" x14ac:dyDescent="0.25">
      <c r="B239" s="224"/>
      <c r="C239" s="9"/>
      <c r="D239" s="18" t="s">
        <v>87</v>
      </c>
      <c r="E239" s="7"/>
      <c r="F239" s="24"/>
      <c r="G239" s="24"/>
      <c r="H239" s="24"/>
      <c r="I239" s="7"/>
      <c r="J239" s="24" t="e">
        <f>-(SUM([2]H7!$AL$69:$AN$69)/1000)/J233</f>
        <v>#DIV/0!</v>
      </c>
      <c r="K239" s="24">
        <f>-(SUM([2]H7!$AL$70:$AN$70)/1000)/K233</f>
        <v>9.4426952683120374E-2</v>
      </c>
      <c r="L239" s="24" t="e">
        <f>-(SUM([2]H7!$AL$71:$AN$71)/1000)/L233</f>
        <v>#DIV/0!</v>
      </c>
      <c r="M239" s="7"/>
      <c r="N239" s="7"/>
      <c r="O239" s="24"/>
      <c r="P239" s="24"/>
      <c r="Q239" s="24"/>
      <c r="R239" s="7"/>
      <c r="S239" s="24" t="e">
        <f>-(SUM([2]H7!$FJ$69:$FL$69)/1000)/S233</f>
        <v>#DIV/0!</v>
      </c>
      <c r="T239" s="24">
        <f>-(SUM([2]H7!$FJ$70:$FL$70)/1000)/T233</f>
        <v>6.9218878466602698E-2</v>
      </c>
      <c r="U239" s="24" t="e">
        <f>-(SUM([2]H7!$FJ$71:$FL$71)/1000)/U233</f>
        <v>#DIV/0!</v>
      </c>
      <c r="V239" s="7"/>
    </row>
    <row r="240" spans="2:22" ht="19.5" customHeight="1" outlineLevel="2" x14ac:dyDescent="0.25">
      <c r="B240" s="224"/>
      <c r="C240" s="9"/>
      <c r="D240" s="18" t="s">
        <v>88</v>
      </c>
      <c r="E240" s="7"/>
      <c r="F240" s="24"/>
      <c r="G240" s="24"/>
      <c r="H240" s="24"/>
      <c r="I240" s="7"/>
      <c r="J240" s="24" t="e">
        <f>-(SUM([2]H7!$AO$69:$AR$69)/1000)/J233</f>
        <v>#DIV/0!</v>
      </c>
      <c r="K240" s="24">
        <f>-(SUM([2]H7!$AO$70:$AR$70)/1000)/K233</f>
        <v>0.24710529404541653</v>
      </c>
      <c r="L240" s="24" t="e">
        <f>-(SUM([2]H7!$AO$71:$AR$71)/1000)/L233</f>
        <v>#DIV/0!</v>
      </c>
      <c r="M240" s="7"/>
      <c r="N240" s="7"/>
      <c r="O240" s="24"/>
      <c r="P240" s="24"/>
      <c r="Q240" s="24"/>
      <c r="R240" s="7"/>
      <c r="S240" s="24" t="e">
        <f>-(SUM([2]H7!$FM$69:$FP$69)/1000)/S233</f>
        <v>#DIV/0!</v>
      </c>
      <c r="T240" s="24">
        <f>-(SUM([2]H7!$FM$70:$FP$70)/1000)/T233</f>
        <v>0.32193590664579796</v>
      </c>
      <c r="U240" s="24" t="e">
        <f>-(SUM([2]H7!$FM$71:$FP$71)/1000)/U233</f>
        <v>#DIV/0!</v>
      </c>
      <c r="V240" s="7"/>
    </row>
    <row r="241" spans="2:22" ht="20.149999999999999" customHeight="1" outlineLevel="1" x14ac:dyDescent="0.25">
      <c r="B241" s="224"/>
      <c r="C241" s="9"/>
      <c r="D241" s="17" t="s">
        <v>97</v>
      </c>
      <c r="E241" s="7"/>
      <c r="F241" s="24"/>
      <c r="G241" s="24"/>
      <c r="H241" s="24"/>
      <c r="I241" s="7"/>
      <c r="J241" s="24" t="e">
        <f>+J239+J240</f>
        <v>#DIV/0!</v>
      </c>
      <c r="K241" s="24">
        <f>+K239+K240</f>
        <v>0.34153224672853688</v>
      </c>
      <c r="L241" s="24" t="e">
        <f>+L239+L240</f>
        <v>#DIV/0!</v>
      </c>
      <c r="M241" s="7"/>
      <c r="N241" s="7"/>
      <c r="O241" s="24"/>
      <c r="P241" s="24"/>
      <c r="Q241" s="24"/>
      <c r="R241" s="7"/>
      <c r="S241" s="24" t="e">
        <f>+S239+S240</f>
        <v>#DIV/0!</v>
      </c>
      <c r="T241" s="24">
        <f>+T239+T240</f>
        <v>0.39115478511240065</v>
      </c>
      <c r="U241" s="24" t="e">
        <f>+U239+U240</f>
        <v>#DIV/0!</v>
      </c>
      <c r="V241" s="7"/>
    </row>
    <row r="242" spans="2:22" ht="20.149999999999999" customHeight="1" outlineLevel="1" x14ac:dyDescent="0.25">
      <c r="B242" s="224"/>
      <c r="C242" s="9"/>
      <c r="D242" s="17" t="s">
        <v>90</v>
      </c>
      <c r="E242" s="7"/>
      <c r="F242" s="24"/>
      <c r="G242" s="24"/>
      <c r="H242" s="24"/>
      <c r="I242" s="7"/>
      <c r="J242" s="24" t="e">
        <f>-(SUM([2]H7!$AT$69:$BJ$69)/1000/J233)</f>
        <v>#DIV/0!</v>
      </c>
      <c r="K242" s="24">
        <f>-(SUM([2]H7!$AT$70:$BJ$70)/1000/K233)</f>
        <v>3.4847441710000558E-2</v>
      </c>
      <c r="L242" s="24" t="e">
        <f>-(SUM([2]H7!$AT$71:$BJ$71)/1000/L233)</f>
        <v>#DIV/0!</v>
      </c>
      <c r="M242" s="7"/>
      <c r="N242" s="7"/>
      <c r="O242" s="24"/>
      <c r="P242" s="24"/>
      <c r="Q242" s="24"/>
      <c r="R242" s="7"/>
      <c r="S242" s="24" t="e">
        <f>-(SUM([2]H7!$FR$69:$GH$69)/1000/S233)</f>
        <v>#DIV/0!</v>
      </c>
      <c r="T242" s="24">
        <f>-(SUM([2]H7!$FR$70:$GH$70)/1000/T233)</f>
        <v>3.6505852751482042E-2</v>
      </c>
      <c r="U242" s="24" t="e">
        <f>-(SUM([2]H7!$FR$71:$GH$71)/1000/U233)</f>
        <v>#DIV/0!</v>
      </c>
      <c r="V242" s="7"/>
    </row>
    <row r="243" spans="2:22" ht="20.149999999999999" customHeight="1" outlineLevel="1" x14ac:dyDescent="0.25">
      <c r="B243" s="224"/>
      <c r="C243" s="9"/>
      <c r="D243" s="17" t="s">
        <v>79</v>
      </c>
      <c r="E243" s="8"/>
      <c r="F243" s="24"/>
      <c r="G243" s="24"/>
      <c r="H243" s="24"/>
      <c r="I243" s="8"/>
      <c r="J243" s="24" t="e">
        <f>+J237+J238+J241+J242</f>
        <v>#DIV/0!</v>
      </c>
      <c r="K243" s="24">
        <f>+K237+K238+K241+K242</f>
        <v>0.76911075629939907</v>
      </c>
      <c r="L243" s="24" t="e">
        <f>+L237+L238+L241+L242</f>
        <v>#DIV/0!</v>
      </c>
      <c r="M243" s="8"/>
      <c r="N243" s="8"/>
      <c r="O243" s="24"/>
      <c r="P243" s="24"/>
      <c r="Q243" s="24"/>
      <c r="R243" s="8"/>
      <c r="S243" s="24" t="e">
        <f>+S237+S238+S241+S242</f>
        <v>#DIV/0!</v>
      </c>
      <c r="T243" s="24">
        <f>+T237+T238+T241+T242</f>
        <v>1.4723968689875995</v>
      </c>
      <c r="U243" s="24" t="e">
        <f>+U237+U238+U241+U242</f>
        <v>#DIV/0!</v>
      </c>
      <c r="V243" s="8"/>
    </row>
    <row r="244" spans="2:22" ht="19.5" customHeight="1" outlineLevel="1" x14ac:dyDescent="0.25">
      <c r="B244" s="224"/>
      <c r="C244" s="9"/>
      <c r="D244" s="17" t="s">
        <v>34</v>
      </c>
      <c r="E244" s="6"/>
      <c r="F244" s="23"/>
      <c r="G244" s="23"/>
      <c r="H244" s="23"/>
      <c r="I244" s="6"/>
      <c r="J244" s="23">
        <f>+[2]H7!$BK$69/1000</f>
        <v>0</v>
      </c>
      <c r="K244" s="23">
        <f>+[2]H7!$BK$70/1000</f>
        <v>1.571279149999995</v>
      </c>
      <c r="L244" s="23">
        <f>+[2]H7!$BK$71/1000</f>
        <v>0</v>
      </c>
      <c r="M244" s="6"/>
      <c r="N244" s="6"/>
      <c r="O244" s="23"/>
      <c r="P244" s="23"/>
      <c r="Q244" s="23"/>
      <c r="R244" s="6"/>
      <c r="S244" s="23">
        <f>+[2]H7!$GI$69/1000</f>
        <v>0</v>
      </c>
      <c r="T244" s="23">
        <f>+[2]H7!$GI$70/1000</f>
        <v>-1.0933739899999981</v>
      </c>
      <c r="U244" s="23">
        <f>+[2]H7!$GI$71/1000</f>
        <v>0</v>
      </c>
      <c r="V244" s="6"/>
    </row>
    <row r="245" spans="2:22" ht="7.5" customHeight="1" outlineLevel="1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2:22" ht="19.5" customHeight="1" outlineLevel="1" x14ac:dyDescent="0.25">
      <c r="B246" s="224" t="s">
        <v>51</v>
      </c>
      <c r="C246" s="9"/>
      <c r="D246" s="17" t="s">
        <v>19</v>
      </c>
      <c r="E246" s="6"/>
      <c r="F246" s="23"/>
      <c r="G246" s="23"/>
      <c r="H246" s="23"/>
      <c r="I246" s="6"/>
      <c r="J246" s="23">
        <f>+[2]H7!$C$73/1000</f>
        <v>16.762979899999998</v>
      </c>
      <c r="K246" s="23">
        <f>+[2]H7!$C$74/1000</f>
        <v>15.874847610000003</v>
      </c>
      <c r="L246" s="23">
        <f>+[2]H7!$C$75/1000</f>
        <v>17.416689024312909</v>
      </c>
      <c r="M246" s="6"/>
      <c r="N246" s="6"/>
      <c r="O246" s="23"/>
      <c r="P246" s="23"/>
      <c r="Q246" s="23"/>
      <c r="R246" s="6"/>
      <c r="S246" s="23">
        <f>+[2]H7!$EA$73/1000</f>
        <v>7.099141669999999</v>
      </c>
      <c r="T246" s="23">
        <f>+[2]H7!$EA$74/1000</f>
        <v>6.7485756000000023</v>
      </c>
      <c r="U246" s="23">
        <f>+[2]H7!$EA$75/1000</f>
        <v>6.9076211497661877</v>
      </c>
      <c r="V246" s="6"/>
    </row>
    <row r="247" spans="2:22" ht="20.149999999999999" customHeight="1" outlineLevel="1" x14ac:dyDescent="0.25">
      <c r="B247" s="224"/>
      <c r="C247" s="9"/>
      <c r="D247" s="17" t="s">
        <v>20</v>
      </c>
      <c r="E247" s="6"/>
      <c r="F247" s="23"/>
      <c r="G247" s="23"/>
      <c r="H247" s="23"/>
      <c r="I247" s="6"/>
      <c r="J247" s="23">
        <f>+[2]H7!$N$73/1000</f>
        <v>16.82741335</v>
      </c>
      <c r="K247" s="23">
        <f>+[2]H7!$N$74/1000</f>
        <v>15.675564450000001</v>
      </c>
      <c r="L247" s="23">
        <f>+[2]H7!$N$75/1000</f>
        <v>17.253636448104675</v>
      </c>
      <c r="M247" s="6"/>
      <c r="N247" s="6"/>
      <c r="O247" s="23"/>
      <c r="P247" s="23"/>
      <c r="Q247" s="23"/>
      <c r="R247" s="6"/>
      <c r="S247" s="23">
        <f>+[2]H7!$EL$73/1000</f>
        <v>7.214477719999997</v>
      </c>
      <c r="T247" s="23">
        <f>+[2]H7!$EL$74/1000</f>
        <v>7.3481989100000016</v>
      </c>
      <c r="U247" s="23">
        <f>+[2]H7!$EL$75/1000</f>
        <v>5.7512121493682242</v>
      </c>
      <c r="V247" s="6"/>
    </row>
    <row r="248" spans="2:22" ht="19.5" customHeight="1" outlineLevel="1" x14ac:dyDescent="0.25">
      <c r="B248" s="224"/>
      <c r="C248" s="9"/>
      <c r="D248" s="17" t="s">
        <v>92</v>
      </c>
      <c r="E248" s="6"/>
      <c r="F248" s="24"/>
      <c r="G248" s="24"/>
      <c r="H248" s="24"/>
      <c r="I248" s="6"/>
      <c r="J248" s="24">
        <f>-(SUM([2]H7!$O$73,[2]H7!$R$73:$V$73,[2]H7!$Y$73:$AB$73)/1000)/J247</f>
        <v>0.75085984442166198</v>
      </c>
      <c r="K248" s="24">
        <f>-(SUM([2]H7!$O$74,[2]H7!$R$74:$V$74,[2]H7!$Y$74:$AB$74)/1000)/K247</f>
        <v>0.80244974655442136</v>
      </c>
      <c r="L248" s="24">
        <f>-(SUM([2]H7!$O$75,[2]H7!$R$75:$V$75,[2]H7!$Y$75:$AB$75)/1000)/L247</f>
        <v>0.77379455057356006</v>
      </c>
      <c r="M248" s="6"/>
      <c r="N248" s="6"/>
      <c r="O248" s="24"/>
      <c r="P248" s="24"/>
      <c r="Q248" s="24"/>
      <c r="R248" s="6"/>
      <c r="S248" s="24">
        <f>-(SUM([2]H7!$EM$73,[2]H7!$EP$73:$ET$73,[2]H7!$EW$73:$EZ$73)/1000)/S247</f>
        <v>0.68575513599340643</v>
      </c>
      <c r="T248" s="24">
        <f>-(SUM([2]H7!$EM$74,[2]H7!$EP$74:$ET$74,[2]H7!$EW$74:$EZ$74)/1000)/T247</f>
        <v>0.87969655954781412</v>
      </c>
      <c r="U248" s="24">
        <f>-(SUM([2]H7!$EM$75,[2]H7!$EP$75:$ET$75,[2]H7!$EW$75:$EZ$75)/1000)/U247</f>
        <v>0.77379455057356017</v>
      </c>
      <c r="V248" s="6"/>
    </row>
    <row r="249" spans="2:22" ht="19.5" customHeight="1" outlineLevel="1" x14ac:dyDescent="0.25">
      <c r="B249" s="224"/>
      <c r="C249" s="9"/>
      <c r="D249" s="17" t="s">
        <v>93</v>
      </c>
      <c r="E249" s="6"/>
      <c r="F249" s="24"/>
      <c r="G249" s="24"/>
      <c r="H249" s="24"/>
      <c r="I249" s="6"/>
      <c r="J249" s="24">
        <f>-(SUM([2]H7!$Q$73,[2]H7!$X$73)/1000)/J247</f>
        <v>0</v>
      </c>
      <c r="K249" s="24">
        <f>-(SUM([2]H7!$Q$74,[2]H7!$X$74)/1000)/K247</f>
        <v>0</v>
      </c>
      <c r="L249" s="24">
        <f>-(SUM([2]H7!$Q$75,[2]H7!$X$75)/1000)/L247</f>
        <v>0</v>
      </c>
      <c r="M249" s="6"/>
      <c r="N249" s="6"/>
      <c r="O249" s="24"/>
      <c r="P249" s="24"/>
      <c r="Q249" s="24"/>
      <c r="R249" s="6"/>
      <c r="S249" s="24">
        <f>-(SUM([2]H7!$EO$73,[2]H7!$EV$73)/1000)/S247</f>
        <v>0</v>
      </c>
      <c r="T249" s="24">
        <f>-(SUM([2]H7!$EO$74,[2]H7!$EV$74)/1000)/T247</f>
        <v>0</v>
      </c>
      <c r="U249" s="24">
        <f>-(SUM([2]H7!$EO$75,[2]H7!$EV$75)/1000)/U247</f>
        <v>0</v>
      </c>
      <c r="V249" s="6"/>
    </row>
    <row r="250" spans="2:22" ht="19.5" customHeight="1" outlineLevel="1" x14ac:dyDescent="0.25">
      <c r="B250" s="224"/>
      <c r="C250" s="9"/>
      <c r="D250" s="17" t="s">
        <v>94</v>
      </c>
      <c r="E250" s="6"/>
      <c r="F250" s="24"/>
      <c r="G250" s="24"/>
      <c r="H250" s="24"/>
      <c r="I250" s="6"/>
      <c r="J250" s="24">
        <f>-(SUM([2]H7!$P$73,[2]H7!$W$73)/1000)/J247</f>
        <v>0</v>
      </c>
      <c r="K250" s="24">
        <f>-(SUM([2]H7!$P$74,[2]H7!$W$74)/1000)/K247</f>
        <v>0</v>
      </c>
      <c r="L250" s="24">
        <f>-(SUM([2]H7!$P$75,[2]H7!$W$75)/1000)/L247</f>
        <v>0</v>
      </c>
      <c r="M250" s="6"/>
      <c r="N250" s="6"/>
      <c r="O250" s="24"/>
      <c r="P250" s="24"/>
      <c r="Q250" s="24"/>
      <c r="R250" s="6"/>
      <c r="S250" s="24">
        <f>-(SUM([2]H7!$EN$73,[2]H7!$EU$73)/1000)/S247</f>
        <v>0</v>
      </c>
      <c r="T250" s="24">
        <f>-(SUM([2]H7!$EN$74,[2]H7!$EU$74)/1000)/T247</f>
        <v>0</v>
      </c>
      <c r="U250" s="24">
        <f>-(SUM([2]H7!$EN$75,[2]H7!$EU$75)/1000)/U247</f>
        <v>0</v>
      </c>
      <c r="V250" s="6"/>
    </row>
    <row r="251" spans="2:22" ht="19.5" customHeight="1" outlineLevel="2" x14ac:dyDescent="0.25">
      <c r="B251" s="224"/>
      <c r="C251" s="9"/>
      <c r="D251" s="17" t="s">
        <v>95</v>
      </c>
      <c r="E251" s="7"/>
      <c r="F251" s="24"/>
      <c r="G251" s="24"/>
      <c r="H251" s="24"/>
      <c r="I251" s="7"/>
      <c r="J251" s="24">
        <f>+J248+J249+J250</f>
        <v>0.75085984442166198</v>
      </c>
      <c r="K251" s="24">
        <f>+K248+K249+K250</f>
        <v>0.80244974655442136</v>
      </c>
      <c r="L251" s="24">
        <f>+L248+L249+L250</f>
        <v>0.77379455057356006</v>
      </c>
      <c r="M251" s="7"/>
      <c r="N251" s="7"/>
      <c r="O251" s="24"/>
      <c r="P251" s="24"/>
      <c r="Q251" s="24"/>
      <c r="R251" s="7"/>
      <c r="S251" s="24">
        <f>+S248+S249+S250</f>
        <v>0.68575513599340643</v>
      </c>
      <c r="T251" s="24">
        <f>+T248+T249+T250</f>
        <v>0.87969655954781412</v>
      </c>
      <c r="U251" s="24">
        <f>+U248+U249+U250</f>
        <v>0.77379455057356017</v>
      </c>
      <c r="V251" s="7"/>
    </row>
    <row r="252" spans="2:22" ht="20.149999999999999" customHeight="1" outlineLevel="1" x14ac:dyDescent="0.25">
      <c r="B252" s="224"/>
      <c r="C252" s="9"/>
      <c r="D252" s="17" t="s">
        <v>96</v>
      </c>
      <c r="E252" s="7"/>
      <c r="F252" s="24"/>
      <c r="G252" s="24"/>
      <c r="H252" s="24"/>
      <c r="I252" s="7"/>
      <c r="J252" s="24">
        <f>-(SUM([2]H7!$AC$73:$AK$73)/1000)/J247</f>
        <v>-4.4057764825751251E-2</v>
      </c>
      <c r="K252" s="24">
        <f>-(SUM([2]H7!$AC$74:$AK$74)/1000)/K247</f>
        <v>0.11335562210010261</v>
      </c>
      <c r="L252" s="24">
        <f>-(SUM([2]H7!$AC$75:$AK$75)/1000)/L247</f>
        <v>-4.725910086107446E-2</v>
      </c>
      <c r="M252" s="7"/>
      <c r="N252" s="7"/>
      <c r="O252" s="24"/>
      <c r="P252" s="24"/>
      <c r="Q252" s="24"/>
      <c r="R252" s="7"/>
      <c r="S252" s="24">
        <f>-(SUM([2]H7!$FA$73:$FI$73)/1000)/S247</f>
        <v>-3.3711869304934819E-2</v>
      </c>
      <c r="T252" s="24">
        <f>-(SUM([2]H7!$FA$74:$FI$74)/1000)/T247</f>
        <v>0.18454589847241901</v>
      </c>
      <c r="U252" s="24">
        <f>-(SUM([2]H7!$FA$75:$FI$75)/1000)/U247</f>
        <v>-4.7259100861074675E-2</v>
      </c>
      <c r="V252" s="7"/>
    </row>
    <row r="253" spans="2:22" ht="20.149999999999999" customHeight="1" outlineLevel="2" x14ac:dyDescent="0.25">
      <c r="B253" s="224"/>
      <c r="C253" s="9"/>
      <c r="D253" s="18" t="s">
        <v>87</v>
      </c>
      <c r="E253" s="7"/>
      <c r="F253" s="24"/>
      <c r="G253" s="24"/>
      <c r="H253" s="24"/>
      <c r="I253" s="7"/>
      <c r="J253" s="24">
        <f>-(SUM([2]H7!$AL$73:$AN$73)/1000)/J247</f>
        <v>6.6395975231689414E-2</v>
      </c>
      <c r="K253" s="24">
        <f>-(SUM([2]H7!$AL$74:$AN$74)/1000)/K247</f>
        <v>7.2627383443280069E-2</v>
      </c>
      <c r="L253" s="24">
        <f>-(SUM([2]H7!$AL$75:$AN$75)/1000)/L247</f>
        <v>7.2803386762431019E-2</v>
      </c>
      <c r="M253" s="7"/>
      <c r="N253" s="7"/>
      <c r="O253" s="24"/>
      <c r="P253" s="24"/>
      <c r="Q253" s="24"/>
      <c r="R253" s="7"/>
      <c r="S253" s="24">
        <f>-(SUM([2]H7!$FJ$73:$FL$73)/1000)/S247</f>
        <v>6.9836872404950762E-2</v>
      </c>
      <c r="T253" s="24">
        <f>-(SUM([2]H7!$FJ$74:$FL$74)/1000)/T247</f>
        <v>7.7836457206082857E-2</v>
      </c>
      <c r="U253" s="24">
        <f>-(SUM([2]H7!$FJ$75:$FL$75)/1000)/U247</f>
        <v>7.2803386762431019E-2</v>
      </c>
      <c r="V253" s="7"/>
    </row>
    <row r="254" spans="2:22" ht="19.5" customHeight="1" outlineLevel="2" x14ac:dyDescent="0.25">
      <c r="B254" s="224"/>
      <c r="C254" s="9"/>
      <c r="D254" s="18" t="s">
        <v>88</v>
      </c>
      <c r="E254" s="7"/>
      <c r="F254" s="24"/>
      <c r="G254" s="24"/>
      <c r="H254" s="24"/>
      <c r="I254" s="7"/>
      <c r="J254" s="24">
        <f>-(SUM([2]H7!$AO$73:$AR$73)/1000)/J247</f>
        <v>0.13364605618367367</v>
      </c>
      <c r="K254" s="24">
        <f>-(SUM([2]H7!$AO$74:$AR$74)/1000)/K247</f>
        <v>9.2198251272540291E-2</v>
      </c>
      <c r="L254" s="24">
        <f>-(SUM([2]H7!$AO$75:$AR$75)/1000)/L247</f>
        <v>0.13739393435895147</v>
      </c>
      <c r="M254" s="7"/>
      <c r="N254" s="7"/>
      <c r="O254" s="24"/>
      <c r="P254" s="24"/>
      <c r="Q254" s="24"/>
      <c r="R254" s="7"/>
      <c r="S254" s="24">
        <f>-(SUM([2]H7!$FM$73:$FP$73)/1000)/S247</f>
        <v>0.10028749939780816</v>
      </c>
      <c r="T254" s="24">
        <f>-(SUM([2]H7!$FM$74:$FP$74)/1000)/T247</f>
        <v>6.7964364617342662E-2</v>
      </c>
      <c r="U254" s="24">
        <f>-(SUM([2]H7!$FM$75:$FP$75)/1000)/U247</f>
        <v>0.13739393435895153</v>
      </c>
      <c r="V254" s="7"/>
    </row>
    <row r="255" spans="2:22" ht="20.149999999999999" customHeight="1" outlineLevel="1" x14ac:dyDescent="0.25">
      <c r="B255" s="224"/>
      <c r="C255" s="9"/>
      <c r="D255" s="17" t="s">
        <v>97</v>
      </c>
      <c r="E255" s="7"/>
      <c r="F255" s="24"/>
      <c r="G255" s="24"/>
      <c r="H255" s="24"/>
      <c r="I255" s="7"/>
      <c r="J255" s="24">
        <f>+J253+J254</f>
        <v>0.20004203141536309</v>
      </c>
      <c r="K255" s="24">
        <f>+K253+K254</f>
        <v>0.16482563471582035</v>
      </c>
      <c r="L255" s="24">
        <f>+L253+L254</f>
        <v>0.21019732112138251</v>
      </c>
      <c r="M255" s="7"/>
      <c r="N255" s="7"/>
      <c r="O255" s="24"/>
      <c r="P255" s="24"/>
      <c r="Q255" s="24"/>
      <c r="R255" s="7"/>
      <c r="S255" s="24">
        <f>+S253+S254</f>
        <v>0.17012437180275891</v>
      </c>
      <c r="T255" s="24">
        <f>+T253+T254</f>
        <v>0.14580082182342552</v>
      </c>
      <c r="U255" s="24">
        <f>+U253+U254</f>
        <v>0.21019732112138256</v>
      </c>
      <c r="V255" s="7"/>
    </row>
    <row r="256" spans="2:22" ht="20.149999999999999" customHeight="1" outlineLevel="1" x14ac:dyDescent="0.25">
      <c r="B256" s="224"/>
      <c r="C256" s="9"/>
      <c r="D256" s="17" t="s">
        <v>90</v>
      </c>
      <c r="E256" s="7"/>
      <c r="F256" s="24"/>
      <c r="G256" s="24"/>
      <c r="H256" s="24"/>
      <c r="I256" s="7"/>
      <c r="J256" s="24">
        <f>-(SUM([2]H7!$AT$73:$BJ$73)/1000/J247)</f>
        <v>3.9848883250972009E-2</v>
      </c>
      <c r="K256" s="24">
        <f>-(SUM([2]H7!$AT$74:$BJ$74)/1000/K247)</f>
        <v>-8.9031218266573346E-3</v>
      </c>
      <c r="L256" s="24">
        <f>-(SUM([2]H7!$AT$75:$BJ$75)/1000/L247)</f>
        <v>1.8581517635185243E-2</v>
      </c>
      <c r="M256" s="7"/>
      <c r="N256" s="7"/>
      <c r="O256" s="24"/>
      <c r="P256" s="24"/>
      <c r="Q256" s="24"/>
      <c r="R256" s="7"/>
      <c r="S256" s="24">
        <f>-(SUM([2]H7!$FR$73:$GH$73)/1000/S247)</f>
        <v>-8.4544165727957782E-4</v>
      </c>
      <c r="T256" s="24">
        <f>-(SUM([2]H7!$FR$74:$GH$74)/1000/T247)</f>
        <v>2.286454028501651E-2</v>
      </c>
      <c r="U256" s="24">
        <f>-(SUM([2]H7!$FR$75:$GH$75)/1000/U247)</f>
        <v>1.8581517635185261E-2</v>
      </c>
      <c r="V256" s="7"/>
    </row>
    <row r="257" spans="2:22" ht="20.149999999999999" customHeight="1" outlineLevel="1" x14ac:dyDescent="0.25">
      <c r="B257" s="224"/>
      <c r="C257" s="9"/>
      <c r="D257" s="17" t="s">
        <v>79</v>
      </c>
      <c r="E257" s="8"/>
      <c r="F257" s="24"/>
      <c r="G257" s="24"/>
      <c r="H257" s="24"/>
      <c r="I257" s="8"/>
      <c r="J257" s="24">
        <f>+J251+J252+J255+J256</f>
        <v>0.94669299426224574</v>
      </c>
      <c r="K257" s="24">
        <f>+K251+K252+K255+K256</f>
        <v>1.071727881543687</v>
      </c>
      <c r="L257" s="24">
        <f>+L251+L252+L255+L256</f>
        <v>0.95531428846905342</v>
      </c>
      <c r="M257" s="8"/>
      <c r="N257" s="8"/>
      <c r="O257" s="24"/>
      <c r="P257" s="24"/>
      <c r="Q257" s="24"/>
      <c r="R257" s="8"/>
      <c r="S257" s="24">
        <f>+S251+S252+S255+S256</f>
        <v>0.8213221968339508</v>
      </c>
      <c r="T257" s="24">
        <f>+T251+T252+T255+T256</f>
        <v>1.2329078201286752</v>
      </c>
      <c r="U257" s="24">
        <f>+U251+U252+U255+U256</f>
        <v>0.95531428846905331</v>
      </c>
      <c r="V257" s="8"/>
    </row>
    <row r="258" spans="2:22" ht="19.5" customHeight="1" outlineLevel="1" x14ac:dyDescent="0.25">
      <c r="B258" s="224"/>
      <c r="C258" s="9"/>
      <c r="D258" s="17" t="s">
        <v>34</v>
      </c>
      <c r="E258" s="6"/>
      <c r="F258" s="23"/>
      <c r="G258" s="23"/>
      <c r="H258" s="23"/>
      <c r="I258" s="6"/>
      <c r="J258" s="23">
        <f>+[2]H7!$BK$73/1000</f>
        <v>0.89701902000000788</v>
      </c>
      <c r="K258" s="23">
        <f>+[2]H7!$BK$74/1000</f>
        <v>-1.1243750300000337</v>
      </c>
      <c r="L258" s="23">
        <f>+[2]H7!$BK$75/1000</f>
        <v>0.77099102117983453</v>
      </c>
      <c r="M258" s="6"/>
      <c r="N258" s="6"/>
      <c r="O258" s="23"/>
      <c r="P258" s="23"/>
      <c r="Q258" s="23"/>
      <c r="R258" s="6"/>
      <c r="S258" s="23">
        <f>+[2]H7!$GI$73/1000</f>
        <v>1.2890670300000047</v>
      </c>
      <c r="T258" s="23">
        <f>+[2]H7!$GI$74/1000</f>
        <v>-1.7114529900000077</v>
      </c>
      <c r="U258" s="23">
        <f>+[2]H7!$GI$75/1000</f>
        <v>0.2569970070599441</v>
      </c>
      <c r="V258" s="6"/>
    </row>
    <row r="259" spans="2:22" ht="7.5" customHeight="1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2:22" ht="19.5" customHeight="1" x14ac:dyDescent="0.25">
      <c r="B260" s="225" t="s">
        <v>109</v>
      </c>
      <c r="C260" s="9"/>
      <c r="D260" s="16" t="s">
        <v>19</v>
      </c>
      <c r="E260" s="6"/>
      <c r="F260" s="25">
        <v>767.73896734999994</v>
      </c>
      <c r="G260" s="25">
        <v>733.50929002999999</v>
      </c>
      <c r="H260" s="25">
        <v>761.15737754566203</v>
      </c>
      <c r="I260" s="6"/>
      <c r="J260" s="25">
        <f>+[2]H7!$C$81/1000</f>
        <v>38.201491129999994</v>
      </c>
      <c r="K260" s="25">
        <f>+[2]H7!$C$82/1000</f>
        <v>47.918072890000012</v>
      </c>
      <c r="L260" s="25">
        <f>+[2]H7!$C$83/1000</f>
        <v>36.252170785372996</v>
      </c>
      <c r="M260" s="6"/>
      <c r="N260" s="6"/>
      <c r="O260" s="25">
        <v>767.73896734999994</v>
      </c>
      <c r="P260" s="25">
        <v>733.50929002999999</v>
      </c>
      <c r="Q260" s="25">
        <v>761.15737754566203</v>
      </c>
      <c r="R260" s="6"/>
      <c r="S260" s="25">
        <f>+[2]H7!$EA$81/1000</f>
        <v>14.458837809999999</v>
      </c>
      <c r="T260" s="25">
        <f>+[2]H7!$EA$82/1000</f>
        <v>13.753040740000005</v>
      </c>
      <c r="U260" s="25">
        <f>+[2]H7!$EA$83/1000</f>
        <v>14.170183947617932</v>
      </c>
      <c r="V260" s="6"/>
    </row>
    <row r="261" spans="2:22" ht="20.149999999999999" customHeight="1" x14ac:dyDescent="0.25">
      <c r="B261" s="225"/>
      <c r="C261" s="9"/>
      <c r="D261" s="16" t="s">
        <v>20</v>
      </c>
      <c r="E261" s="6"/>
      <c r="F261" s="25">
        <v>716.54631788999995</v>
      </c>
      <c r="G261" s="25">
        <v>685.01450756999998</v>
      </c>
      <c r="H261" s="25">
        <v>693.84504081129205</v>
      </c>
      <c r="I261" s="6"/>
      <c r="J261" s="25">
        <f>+[2]H7!$N$81/1000</f>
        <v>33.738053400000005</v>
      </c>
      <c r="K261" s="25">
        <f>+[2]H7!$N$82/1000</f>
        <v>40.177726309999997</v>
      </c>
      <c r="L261" s="25">
        <f>+[2]H7!$N$83/1000</f>
        <v>32.611823859190721</v>
      </c>
      <c r="M261" s="6"/>
      <c r="N261" s="6"/>
      <c r="O261" s="25">
        <v>716.54631788999995</v>
      </c>
      <c r="P261" s="25">
        <v>685.01450756999998</v>
      </c>
      <c r="Q261" s="25">
        <v>693.84504081129205</v>
      </c>
      <c r="R261" s="6"/>
      <c r="S261" s="25">
        <f>+[2]H7!$EL$81/1000</f>
        <v>14.70478902</v>
      </c>
      <c r="T261" s="25">
        <f>+[2]H7!$EL$82/1000</f>
        <v>17.903686160000003</v>
      </c>
      <c r="U261" s="25">
        <f>+[2]H7!$EL$83/1000</f>
        <v>10.870607953063574</v>
      </c>
      <c r="V261" s="6"/>
    </row>
    <row r="262" spans="2:22" ht="19.5" customHeight="1" x14ac:dyDescent="0.25">
      <c r="B262" s="225"/>
      <c r="C262" s="9"/>
      <c r="D262" s="16" t="s">
        <v>92</v>
      </c>
      <c r="E262" s="6"/>
      <c r="F262" s="26" t="e">
        <f>F265-F264-F263</f>
        <v>#VALUE!</v>
      </c>
      <c r="G262" s="26" t="e">
        <f>G265-G264-G263</f>
        <v>#VALUE!</v>
      </c>
      <c r="H262" s="26" t="e">
        <f>H265-H264-H263</f>
        <v>#VALUE!</v>
      </c>
      <c r="I262" s="6"/>
      <c r="J262" s="26">
        <f>-(SUM([2]H7!$O$81,[2]H7!$R$81:$V$81,[2]H7!$Y$81:$AB$81)/1000)/J261</f>
        <v>0.77774145795856731</v>
      </c>
      <c r="K262" s="26">
        <f>-(SUM([2]H7!$O$82,[2]H7!$R$82:$V$82,[2]H7!$Y$82:$AB$82)/1000)/K261</f>
        <v>0.7088919743801203</v>
      </c>
      <c r="L262" s="26">
        <f>-(SUM([2]H7!$O$83,[2]H7!$R$83:$V$83,[2]H7!$Y$83:$AB$83)/1000)/L261</f>
        <v>0.79490629387789014</v>
      </c>
      <c r="M262" s="6"/>
      <c r="N262" s="6"/>
      <c r="O262" s="26" t="e">
        <f>O265-O264-O263</f>
        <v>#VALUE!</v>
      </c>
      <c r="P262" s="26" t="e">
        <f>P265-P264-P263</f>
        <v>#VALUE!</v>
      </c>
      <c r="Q262" s="26" t="e">
        <f>Q265-Q264-Q263</f>
        <v>#VALUE!</v>
      </c>
      <c r="R262" s="6"/>
      <c r="S262" s="26">
        <f>-(SUM([2]H7!$EM$81,[2]H7!$EP$81:$ET$81,[2]H7!$EW$81:$EZ$81)/1000)/S261</f>
        <v>0.77943908099675696</v>
      </c>
      <c r="T262" s="26">
        <f>-(SUM([2]H7!$EM$82,[2]H7!$EP$82:$ET$82,[2]H7!$EW$82:$EZ$82)/1000)/T261</f>
        <v>0.76811204838501246</v>
      </c>
      <c r="U262" s="26">
        <f>-(SUM([2]H7!$EM$83,[2]H7!$EP$83:$ET$83,[2]H7!$EW$83:$EZ$83)/1000)/U261</f>
        <v>0.79490629387789025</v>
      </c>
      <c r="V262" s="6"/>
    </row>
    <row r="263" spans="2:22" ht="19.5" customHeight="1" x14ac:dyDescent="0.25">
      <c r="B263" s="225"/>
      <c r="C263" s="9"/>
      <c r="D263" s="16" t="s">
        <v>93</v>
      </c>
      <c r="E263" s="6"/>
      <c r="F263" s="26" t="e">
        <f>(F193*F191+F207*F205+F221*F219)/F261</f>
        <v>#REF!</v>
      </c>
      <c r="G263" s="26" t="e">
        <f>(G193*G191+G207*G205+G221*G219)/G261</f>
        <v>#REF!</v>
      </c>
      <c r="H263" s="26" t="e">
        <f>(H193*H191+H207*H205+H221*H219)/H261</f>
        <v>#REF!</v>
      </c>
      <c r="I263" s="6"/>
      <c r="J263" s="26">
        <f>-(SUM([2]H7!$Q$81,[2]H7!$X$81)/1000)/J261</f>
        <v>0</v>
      </c>
      <c r="K263" s="26">
        <f>-(SUM([2]H7!$Q$82,[2]H7!$X$82)/1000)/K261</f>
        <v>2.4455764181843274E-2</v>
      </c>
      <c r="L263" s="26">
        <f>-(SUM([2]H7!$Q$83,[2]H7!$X$83)/1000)/L261</f>
        <v>0</v>
      </c>
      <c r="M263" s="6"/>
      <c r="N263" s="6"/>
      <c r="O263" s="26" t="e">
        <f>(O193*O191+O207*O205+O221*O219)/O261</f>
        <v>#REF!</v>
      </c>
      <c r="P263" s="26" t="e">
        <f>(P193*P191+P207*P205+P221*P219)/P261</f>
        <v>#REF!</v>
      </c>
      <c r="Q263" s="26" t="e">
        <f>(Q193*Q191+Q207*Q205+Q221*Q219)/Q261</f>
        <v>#REF!</v>
      </c>
      <c r="R263" s="6"/>
      <c r="S263" s="26">
        <f>-(SUM([2]H7!$EO$81,[2]H7!$EV$81)/1000)/S261</f>
        <v>0</v>
      </c>
      <c r="T263" s="26">
        <f>-(SUM([2]H7!$EO$82,[2]H7!$EV$82)/1000)/T261</f>
        <v>3.8124942199053824E-2</v>
      </c>
      <c r="U263" s="26">
        <f>-(SUM([2]H7!$EO$83,[2]H7!$EV$83)/1000)/U261</f>
        <v>0</v>
      </c>
      <c r="V263" s="6"/>
    </row>
    <row r="264" spans="2:22" ht="19.5" customHeight="1" x14ac:dyDescent="0.25">
      <c r="B264" s="225"/>
      <c r="C264" s="9"/>
      <c r="D264" s="16" t="s">
        <v>94</v>
      </c>
      <c r="E264" s="6"/>
      <c r="F264" s="26" t="e">
        <f>(F194*F191+F208*F205+F219*F222)/F261</f>
        <v>#VALUE!</v>
      </c>
      <c r="G264" s="26" t="e">
        <f>(G194*G191+G208*G205+G219*G222)/G261</f>
        <v>#VALUE!</v>
      </c>
      <c r="H264" s="26" t="e">
        <f>(H194*H191+H208*H205+H219*H222)/H261</f>
        <v>#VALUE!</v>
      </c>
      <c r="I264" s="6"/>
      <c r="J264" s="26">
        <f>-(SUM([2]H7!$P$81,[2]H7!$W$81)/1000)/J261</f>
        <v>0</v>
      </c>
      <c r="K264" s="26">
        <f>-(SUM([2]H7!$P$82,[2]H7!$W$82)/1000)/K261</f>
        <v>0</v>
      </c>
      <c r="L264" s="26">
        <f>-(SUM([2]H7!$P$83,[2]H7!$W$83)/1000)/L261</f>
        <v>0</v>
      </c>
      <c r="M264" s="6"/>
      <c r="N264" s="6"/>
      <c r="O264" s="26" t="e">
        <f>(O194*O191+O208*O205+O219*O222)/O261</f>
        <v>#VALUE!</v>
      </c>
      <c r="P264" s="26" t="e">
        <f>(P194*P191+P208*P205+P219*P222)/P261</f>
        <v>#VALUE!</v>
      </c>
      <c r="Q264" s="26" t="e">
        <f>(Q194*Q191+Q208*Q205+Q219*Q222)/Q261</f>
        <v>#VALUE!</v>
      </c>
      <c r="R264" s="6"/>
      <c r="S264" s="26">
        <f>-(SUM([2]H7!$EN$81,[2]H7!$EU$81)/1000)/S261</f>
        <v>0</v>
      </c>
      <c r="T264" s="26">
        <f>-(SUM([2]H7!$EN$82,[2]H7!$EU$82)/1000)/T261</f>
        <v>0</v>
      </c>
      <c r="U264" s="26">
        <f>-(SUM([2]H7!$EN$83,[2]H7!$EU$83)/1000)/U261</f>
        <v>0</v>
      </c>
      <c r="V264" s="6"/>
    </row>
    <row r="265" spans="2:22" ht="19.5" hidden="1" customHeight="1" outlineLevel="1" x14ac:dyDescent="0.25">
      <c r="B265" s="225"/>
      <c r="C265" s="9"/>
      <c r="D265" s="16" t="s">
        <v>95</v>
      </c>
      <c r="E265" s="7"/>
      <c r="F265" s="26">
        <v>0.65682565940175663</v>
      </c>
      <c r="G265" s="26">
        <v>0.57614070459620159</v>
      </c>
      <c r="H265" s="26">
        <v>0.6615301505572545</v>
      </c>
      <c r="I265" s="7"/>
      <c r="J265" s="26">
        <f>+J262+J263+J264</f>
        <v>0.77774145795856731</v>
      </c>
      <c r="K265" s="26">
        <f>+K262+K263+K264</f>
        <v>0.73334773856196356</v>
      </c>
      <c r="L265" s="26">
        <f>+L262+L263+L264</f>
        <v>0.79490629387789014</v>
      </c>
      <c r="M265" s="7"/>
      <c r="N265" s="7"/>
      <c r="O265" s="26">
        <v>0.65682565940175663</v>
      </c>
      <c r="P265" s="26">
        <v>0.57614070459620159</v>
      </c>
      <c r="Q265" s="26">
        <v>0.6615301505572545</v>
      </c>
      <c r="R265" s="7"/>
      <c r="S265" s="26">
        <f>+S262+S263+S264</f>
        <v>0.77943908099675696</v>
      </c>
      <c r="T265" s="26">
        <f>+T262+T263+T264</f>
        <v>0.80623699058406628</v>
      </c>
      <c r="U265" s="26">
        <f>+U262+U263+U264</f>
        <v>0.79490629387789025</v>
      </c>
      <c r="V265" s="7"/>
    </row>
    <row r="266" spans="2:22" ht="20.149999999999999" customHeight="1" collapsed="1" x14ac:dyDescent="0.25">
      <c r="B266" s="225"/>
      <c r="C266" s="9"/>
      <c r="D266" s="16" t="s">
        <v>96</v>
      </c>
      <c r="E266" s="7"/>
      <c r="F266" s="26">
        <v>-3.2452375205101303E-2</v>
      </c>
      <c r="G266" s="26">
        <v>1.0421772985983643E-2</v>
      </c>
      <c r="H266" s="26">
        <v>-1.04490189791121E-2</v>
      </c>
      <c r="I266" s="7"/>
      <c r="J266" s="26">
        <f>-(SUM([2]H7!$AC$81:$AK$81)/1000)/J261</f>
        <v>-7.8893454771756508E-2</v>
      </c>
      <c r="K266" s="26">
        <f>-(SUM([2]H7!$AC$82:$AK$82)/1000)/K261</f>
        <v>-2.0471004348378993E-2</v>
      </c>
      <c r="L266" s="26">
        <f>-(SUM([2]H7!$AC$83:$AK$83)/1000)/L261</f>
        <v>-4.8138447032533845E-2</v>
      </c>
      <c r="M266" s="7"/>
      <c r="N266" s="7"/>
      <c r="O266" s="26">
        <v>-3.2452375205101303E-2</v>
      </c>
      <c r="P266" s="26">
        <v>1.0421772985983643E-2</v>
      </c>
      <c r="Q266" s="26">
        <v>-1.04490189791121E-2</v>
      </c>
      <c r="R266" s="7"/>
      <c r="S266" s="26">
        <f>-(SUM([2]H7!$FA$81:$FI$81)/1000)/S261</f>
        <v>-5.6774596960521492E-2</v>
      </c>
      <c r="T266" s="26">
        <f>-(SUM([2]H7!$FA$82:$FI$82)/1000)/T261</f>
        <v>9.2343863449402847E-2</v>
      </c>
      <c r="U266" s="26">
        <f>-(SUM([2]H7!$FA$83:$FI$83)/1000)/U261</f>
        <v>-4.8138447032534011E-2</v>
      </c>
      <c r="V266" s="7"/>
    </row>
    <row r="267" spans="2:22" ht="20.149999999999999" hidden="1" customHeight="1" outlineLevel="1" x14ac:dyDescent="0.25">
      <c r="B267" s="225"/>
      <c r="C267" s="9"/>
      <c r="D267" s="13" t="s">
        <v>87</v>
      </c>
      <c r="E267" s="7"/>
      <c r="F267" s="26">
        <v>0.12525205080151947</v>
      </c>
      <c r="G267" s="26">
        <v>0.12472092690864583</v>
      </c>
      <c r="H267" s="26">
        <v>0.12662921817818915</v>
      </c>
      <c r="I267" s="7"/>
      <c r="J267" s="26">
        <f>-(SUM([2]H7!$AL$81:$AN$81)/1000)/J261</f>
        <v>9.5901711389193525E-2</v>
      </c>
      <c r="K267" s="26">
        <f>-(SUM([2]H7!$AL$82:$AN$82)/1000)/K261</f>
        <v>9.6730588237211784E-2</v>
      </c>
      <c r="L267" s="26">
        <f>-(SUM([2]H7!$AL$83:$AN$83)/1000)/L261</f>
        <v>8.8037160345357982E-2</v>
      </c>
      <c r="M267" s="7"/>
      <c r="N267" s="7"/>
      <c r="O267" s="26">
        <v>0.12525205080151947</v>
      </c>
      <c r="P267" s="26">
        <v>0.12472092690864583</v>
      </c>
      <c r="Q267" s="26">
        <v>0.12662921817818915</v>
      </c>
      <c r="R267" s="7"/>
      <c r="S267" s="26">
        <f>-(SUM([2]H7!$FJ$81:$FL$81)/1000)/S261</f>
        <v>8.662431458673181E-2</v>
      </c>
      <c r="T267" s="26">
        <f>-(SUM([2]H7!$FJ$82:$FL$82)/1000)/T261</f>
        <v>8.7569623148487943E-2</v>
      </c>
      <c r="U267" s="26">
        <f>-(SUM([2]H7!$FJ$83:$FL$83)/1000)/U261</f>
        <v>8.8037160345357968E-2</v>
      </c>
      <c r="V267" s="7"/>
    </row>
    <row r="268" spans="2:22" ht="20.149999999999999" hidden="1" customHeight="1" outlineLevel="1" x14ac:dyDescent="0.25">
      <c r="B268" s="225"/>
      <c r="C268" s="9"/>
      <c r="D268" s="13" t="s">
        <v>88</v>
      </c>
      <c r="E268" s="7"/>
      <c r="F268" s="26">
        <v>0.11703136290887124</v>
      </c>
      <c r="G268" s="26">
        <v>0.12530740730513432</v>
      </c>
      <c r="H268" s="26">
        <v>0.12041843301110733</v>
      </c>
      <c r="I268" s="7"/>
      <c r="J268" s="26">
        <f>-(SUM([2]H7!$AO$81:$AR$81)/1000)/J261</f>
        <v>0.10410006316487719</v>
      </c>
      <c r="K268" s="26">
        <f>-(SUM([2]H7!$AO$82:$AR$82)/1000)/K261</f>
        <v>0.10416383465080159</v>
      </c>
      <c r="L268" s="26">
        <f>-(SUM([2]H7!$AO$83:$AR$83)/1000)/L261</f>
        <v>0.11366817196088001</v>
      </c>
      <c r="M268" s="7"/>
      <c r="N268" s="7"/>
      <c r="O268" s="26">
        <v>0.11703136290887124</v>
      </c>
      <c r="P268" s="26">
        <v>0.12530740730513432</v>
      </c>
      <c r="Q268" s="26">
        <v>0.12041843301110733</v>
      </c>
      <c r="R268" s="7"/>
      <c r="S268" s="26">
        <f>-(SUM([2]H7!$FM$81:$FP$81)/1000)/S261</f>
        <v>7.8334917857937406E-2</v>
      </c>
      <c r="T268" s="26">
        <f>-(SUM([2]H7!$FM$82:$FP$82)/1000)/T261</f>
        <v>8.9279627989189453E-2</v>
      </c>
      <c r="U268" s="26">
        <f>-(SUM([2]H7!$FM$83:$FP$83)/1000)/U261</f>
        <v>0.11366817196088004</v>
      </c>
      <c r="V268" s="7"/>
    </row>
    <row r="269" spans="2:22" ht="20.149999999999999" customHeight="1" collapsed="1" x14ac:dyDescent="0.25">
      <c r="B269" s="225"/>
      <c r="C269" s="9"/>
      <c r="D269" s="16" t="s">
        <v>97</v>
      </c>
      <c r="E269" s="7"/>
      <c r="F269" s="26">
        <v>0.24228341371039072</v>
      </c>
      <c r="G269" s="26">
        <v>0.25002833421378012</v>
      </c>
      <c r="H269" s="26">
        <v>0.24704765118929647</v>
      </c>
      <c r="I269" s="7"/>
      <c r="J269" s="26">
        <f>+J267+J268</f>
        <v>0.2000017745540707</v>
      </c>
      <c r="K269" s="26">
        <f>+K267+K268</f>
        <v>0.20089442288801337</v>
      </c>
      <c r="L269" s="26">
        <f>+L267+L268</f>
        <v>0.20170533230623799</v>
      </c>
      <c r="M269" s="7"/>
      <c r="N269" s="7"/>
      <c r="O269" s="26">
        <v>0.24228341371039072</v>
      </c>
      <c r="P269" s="26">
        <v>0.25002833421378012</v>
      </c>
      <c r="Q269" s="26">
        <v>0.24704765118929647</v>
      </c>
      <c r="R269" s="7"/>
      <c r="S269" s="26">
        <f>+S267+S268</f>
        <v>0.1649592324446692</v>
      </c>
      <c r="T269" s="26">
        <f>+T267+T268</f>
        <v>0.17684925113767741</v>
      </c>
      <c r="U269" s="26">
        <f>+U267+U268</f>
        <v>0.20170533230623799</v>
      </c>
      <c r="V269" s="7"/>
    </row>
    <row r="270" spans="2:22" ht="20.149999999999999" customHeight="1" x14ac:dyDescent="0.25">
      <c r="B270" s="225"/>
      <c r="C270" s="9"/>
      <c r="D270" s="16" t="s">
        <v>90</v>
      </c>
      <c r="E270" s="7"/>
      <c r="F270" s="26"/>
      <c r="G270" s="26"/>
      <c r="H270" s="26"/>
      <c r="I270" s="7"/>
      <c r="J270" s="26">
        <f>-(SUM([2]H7!$AT$81:$BJ$81)/1000/J261)</f>
        <v>2.8178015747641846E-3</v>
      </c>
      <c r="K270" s="26">
        <f>-(SUM([2]H7!$AT$82:$BJ$82)/1000/K261)</f>
        <v>5.4986755172615415E-3</v>
      </c>
      <c r="L270" s="26">
        <f>-(SUM([2]H7!$AT$83:$BJ$83)/1000/L261)</f>
        <v>1.323916994268117E-2</v>
      </c>
      <c r="M270" s="7"/>
      <c r="N270" s="7"/>
      <c r="O270" s="26"/>
      <c r="P270" s="26"/>
      <c r="Q270" s="26"/>
      <c r="R270" s="7"/>
      <c r="S270" s="26">
        <f>-(SUM([2]H7!$FR$81:$GH$81)/1000/S261)</f>
        <v>-3.9283223935708232E-2</v>
      </c>
      <c r="T270" s="26">
        <f>-(SUM([2]H7!$FR$82:$GH$82)/1000/T261)</f>
        <v>2.0542691974891596E-2</v>
      </c>
      <c r="U270" s="26">
        <f>-(SUM([2]H7!$FR$83:$GH$83)/1000/U261)</f>
        <v>1.323916994268118E-2</v>
      </c>
      <c r="V270" s="7"/>
    </row>
    <row r="271" spans="2:22" ht="20.149999999999999" customHeight="1" x14ac:dyDescent="0.25">
      <c r="B271" s="225"/>
      <c r="C271" s="9"/>
      <c r="D271" s="16" t="s">
        <v>79</v>
      </c>
      <c r="E271" s="8"/>
      <c r="F271" s="26">
        <v>0.86665669790704614</v>
      </c>
      <c r="G271" s="26">
        <v>0.83659081179596551</v>
      </c>
      <c r="H271" s="26">
        <v>0.8981287827674389</v>
      </c>
      <c r="I271" s="8"/>
      <c r="J271" s="26">
        <f>+J265+J266+J269+J270</f>
        <v>0.90166757931564567</v>
      </c>
      <c r="K271" s="26">
        <f>+K265+K266+K269+K270</f>
        <v>0.91926983261885953</v>
      </c>
      <c r="L271" s="26">
        <f>+L265+L266+L269+L270</f>
        <v>0.96171234909427539</v>
      </c>
      <c r="M271" s="8"/>
      <c r="N271" s="8"/>
      <c r="O271" s="26">
        <v>0.86665669790704614</v>
      </c>
      <c r="P271" s="26">
        <v>0.83659081179596551</v>
      </c>
      <c r="Q271" s="26">
        <v>0.8981287827674389</v>
      </c>
      <c r="R271" s="8"/>
      <c r="S271" s="26">
        <f>+S265+S266+S269+S270</f>
        <v>0.84834049254519639</v>
      </c>
      <c r="T271" s="26">
        <f>+T265+T266+T269+T270</f>
        <v>1.0959727971460382</v>
      </c>
      <c r="U271" s="26">
        <f>+U265+U266+U269+U270</f>
        <v>0.96171234909427539</v>
      </c>
      <c r="V271" s="8"/>
    </row>
    <row r="272" spans="2:22" ht="19.5" customHeight="1" x14ac:dyDescent="0.25">
      <c r="B272" s="225"/>
      <c r="C272" s="9"/>
      <c r="D272" s="16" t="s">
        <v>34</v>
      </c>
      <c r="E272" s="6"/>
      <c r="F272" s="25">
        <v>95.546652130000155</v>
      </c>
      <c r="G272" s="25">
        <v>111.93766459000008</v>
      </c>
      <c r="H272" s="25">
        <v>70.68283887822237</v>
      </c>
      <c r="I272" s="6"/>
      <c r="J272" s="25">
        <f>+[2]H7!$BK$81/1000</f>
        <v>3.3175444600000037</v>
      </c>
      <c r="K272" s="25">
        <f>+[2]H7!$BK$82/1000</f>
        <v>3.2435545699999584</v>
      </c>
      <c r="L272" s="25">
        <f>+[2]H7!$BK$83/1000</f>
        <v>1.248630127319674</v>
      </c>
      <c r="M272" s="6"/>
      <c r="N272" s="6"/>
      <c r="O272" s="25">
        <v>95.546652130000155</v>
      </c>
      <c r="P272" s="25">
        <v>111.93766459000008</v>
      </c>
      <c r="Q272" s="25">
        <v>70.68283887822237</v>
      </c>
      <c r="R272" s="6"/>
      <c r="S272" s="25">
        <f>+[2]H7!$GI$81/1000</f>
        <v>2.2301210599999997</v>
      </c>
      <c r="T272" s="25">
        <f>+[2]H7!$GI$82/1000</f>
        <v>-1.718266840000011</v>
      </c>
      <c r="U272" s="25">
        <f>+[2]H7!$GI$83/1000</f>
        <v>0.41621004243989163</v>
      </c>
      <c r="V272" s="6"/>
    </row>
  </sheetData>
  <mergeCells count="23">
    <mergeCell ref="B3:D3"/>
    <mergeCell ref="F4:H4"/>
    <mergeCell ref="B36:B48"/>
    <mergeCell ref="B50:B62"/>
    <mergeCell ref="B64:B76"/>
    <mergeCell ref="B8:B20"/>
    <mergeCell ref="B22:B34"/>
    <mergeCell ref="O4:Q4"/>
    <mergeCell ref="F3:V3"/>
    <mergeCell ref="B246:B258"/>
    <mergeCell ref="B260:B272"/>
    <mergeCell ref="B204:B216"/>
    <mergeCell ref="B218:B230"/>
    <mergeCell ref="B232:B244"/>
    <mergeCell ref="B162:B174"/>
    <mergeCell ref="B176:B188"/>
    <mergeCell ref="B190:B202"/>
    <mergeCell ref="B120:B132"/>
    <mergeCell ref="B134:B146"/>
    <mergeCell ref="B148:B160"/>
    <mergeCell ref="B78:B90"/>
    <mergeCell ref="B92:B104"/>
    <mergeCell ref="B106:B118"/>
  </mergeCells>
  <conditionalFormatting sqref="J220:K220 S220:T220">
    <cfRule type="expression" dxfId="9553" priority="5953">
      <formula>J220&gt;L220+#REF!</formula>
    </cfRule>
    <cfRule type="expression" dxfId="9552" priority="5954">
      <formula>J220&lt;L220-#REF!</formula>
    </cfRule>
  </conditionalFormatting>
  <conditionalFormatting sqref="J221:K221 S221:T221">
    <cfRule type="expression" dxfId="9551" priority="5951">
      <formula>J221&gt;L221+#REF!</formula>
    </cfRule>
    <cfRule type="expression" dxfId="9550" priority="5952">
      <formula>J221&lt;L221-#REF!</formula>
    </cfRule>
  </conditionalFormatting>
  <conditionalFormatting sqref="J222:K222 S222:T222">
    <cfRule type="expression" dxfId="9549" priority="5949">
      <formula>J222&gt;L222+#REF!</formula>
    </cfRule>
    <cfRule type="expression" dxfId="9548" priority="5950">
      <formula>J222&lt;L222-#REF!</formula>
    </cfRule>
  </conditionalFormatting>
  <conditionalFormatting sqref="J223:K223 S223:T223">
    <cfRule type="expression" dxfId="9547" priority="5947">
      <formula>J223&gt;L223+#REF!</formula>
    </cfRule>
    <cfRule type="expression" dxfId="9546" priority="5948">
      <formula>J223&lt;L223-#REF!</formula>
    </cfRule>
  </conditionalFormatting>
  <conditionalFormatting sqref="J224:K224 S224:T224">
    <cfRule type="expression" dxfId="9545" priority="5945">
      <formula>J224&gt;L224+#REF!</formula>
    </cfRule>
    <cfRule type="expression" dxfId="9544" priority="5946">
      <formula>J224&lt;L224-#REF!</formula>
    </cfRule>
  </conditionalFormatting>
  <conditionalFormatting sqref="J225:K225 S225:T225">
    <cfRule type="expression" dxfId="9543" priority="5943">
      <formula>J225&gt;L225+#REF!</formula>
    </cfRule>
    <cfRule type="expression" dxfId="9542" priority="5944">
      <formula>J225&lt;L225-#REF!</formula>
    </cfRule>
  </conditionalFormatting>
  <conditionalFormatting sqref="J226:K226 S226:T226">
    <cfRule type="expression" dxfId="9541" priority="5941">
      <formula>J226&gt;L226+#REF!</formula>
    </cfRule>
    <cfRule type="expression" dxfId="9540" priority="5942">
      <formula>J226&lt;L226-#REF!</formula>
    </cfRule>
  </conditionalFormatting>
  <conditionalFormatting sqref="J229:K229 S229:T229">
    <cfRule type="expression" dxfId="9539" priority="5937">
      <formula>J229&gt;L229+#REF!</formula>
    </cfRule>
    <cfRule type="expression" dxfId="9538" priority="5938">
      <formula>J229&lt;L229-#REF!</formula>
    </cfRule>
  </conditionalFormatting>
  <conditionalFormatting sqref="J260">
    <cfRule type="expression" dxfId="9537" priority="3639">
      <formula>J260&lt;L260*#REF!</formula>
    </cfRule>
    <cfRule type="expression" dxfId="9536" priority="3640">
      <formula>J260&gt;L260*#REF!</formula>
    </cfRule>
  </conditionalFormatting>
  <conditionalFormatting sqref="J261">
    <cfRule type="expression" dxfId="9535" priority="3637">
      <formula>J261&lt;L261*#REF!</formula>
    </cfRule>
    <cfRule type="expression" dxfId="9534" priority="3638">
      <formula>J261&gt;L261*#REF!</formula>
    </cfRule>
  </conditionalFormatting>
  <conditionalFormatting sqref="J272">
    <cfRule type="expression" dxfId="9533" priority="3635">
      <formula>J272&lt;L272*#REF!</formula>
    </cfRule>
    <cfRule type="expression" dxfId="9532" priority="3636">
      <formula>J272&gt;L272*#REF!</formula>
    </cfRule>
  </conditionalFormatting>
  <conditionalFormatting sqref="J262">
    <cfRule type="expression" dxfId="9531" priority="3633">
      <formula>J262&gt;L262+#REF!</formula>
    </cfRule>
    <cfRule type="expression" dxfId="9530" priority="3634">
      <formula>J262&lt;L262-#REF!</formula>
    </cfRule>
  </conditionalFormatting>
  <conditionalFormatting sqref="J263">
    <cfRule type="expression" dxfId="9529" priority="3631">
      <formula>J263&gt;L263+#REF!</formula>
    </cfRule>
    <cfRule type="expression" dxfId="9528" priority="3632">
      <formula>J263&lt;L263-#REF!</formula>
    </cfRule>
  </conditionalFormatting>
  <conditionalFormatting sqref="J264">
    <cfRule type="expression" dxfId="9527" priority="3629">
      <formula>J264&gt;L264+#REF!</formula>
    </cfRule>
    <cfRule type="expression" dxfId="9526" priority="3630">
      <formula>J264&lt;L264-#REF!</formula>
    </cfRule>
  </conditionalFormatting>
  <conditionalFormatting sqref="J265">
    <cfRule type="expression" dxfId="9525" priority="3627">
      <formula>J265&gt;L265+#REF!</formula>
    </cfRule>
    <cfRule type="expression" dxfId="9524" priority="3628">
      <formula>J265&lt;L265-#REF!</formula>
    </cfRule>
  </conditionalFormatting>
  <conditionalFormatting sqref="J266">
    <cfRule type="expression" dxfId="9523" priority="3625">
      <formula>J266&gt;L266+#REF!</formula>
    </cfRule>
    <cfRule type="expression" dxfId="9522" priority="3626">
      <formula>J266&lt;L266-#REF!</formula>
    </cfRule>
  </conditionalFormatting>
  <conditionalFormatting sqref="J267">
    <cfRule type="expression" dxfId="9521" priority="3623">
      <formula>J267&gt;L267+#REF!</formula>
    </cfRule>
    <cfRule type="expression" dxfId="9520" priority="3624">
      <formula>J267&lt;L267-#REF!</formula>
    </cfRule>
  </conditionalFormatting>
  <conditionalFormatting sqref="J268">
    <cfRule type="expression" dxfId="9519" priority="3621">
      <formula>J268&gt;L268+#REF!</formula>
    </cfRule>
    <cfRule type="expression" dxfId="9518" priority="3622">
      <formula>J268&lt;L268-#REF!</formula>
    </cfRule>
  </conditionalFormatting>
  <conditionalFormatting sqref="J269:J270">
    <cfRule type="expression" dxfId="9517" priority="3619">
      <formula>J269&gt;L269+#REF!</formula>
    </cfRule>
    <cfRule type="expression" dxfId="9516" priority="3620">
      <formula>J269&lt;L269-#REF!</formula>
    </cfRule>
  </conditionalFormatting>
  <conditionalFormatting sqref="J271">
    <cfRule type="expression" dxfId="9515" priority="3617">
      <formula>J271&gt;L271+#REF!</formula>
    </cfRule>
    <cfRule type="expression" dxfId="9514" priority="3618">
      <formula>J271&lt;L271-#REF!</formula>
    </cfRule>
  </conditionalFormatting>
  <conditionalFormatting sqref="J8">
    <cfRule type="expression" dxfId="9513" priority="3993">
      <formula>J8&lt;L8*#REF!</formula>
    </cfRule>
    <cfRule type="expression" dxfId="9512" priority="3994">
      <formula>J8&gt;L8*#REF!</formula>
    </cfRule>
  </conditionalFormatting>
  <conditionalFormatting sqref="J9">
    <cfRule type="expression" dxfId="9511" priority="3991">
      <formula>J9&lt;L9*#REF!</formula>
    </cfRule>
    <cfRule type="expression" dxfId="9510" priority="3992">
      <formula>J9&gt;L9*#REF!</formula>
    </cfRule>
  </conditionalFormatting>
  <conditionalFormatting sqref="J20">
    <cfRule type="expression" dxfId="9509" priority="3989">
      <formula>J20&lt;L20*#REF!</formula>
    </cfRule>
    <cfRule type="expression" dxfId="9508" priority="3990">
      <formula>J20&gt;L20*#REF!</formula>
    </cfRule>
  </conditionalFormatting>
  <conditionalFormatting sqref="J10">
    <cfRule type="expression" dxfId="9507" priority="3987">
      <formula>J10&gt;L10+#REF!</formula>
    </cfRule>
    <cfRule type="expression" dxfId="9506" priority="3988">
      <formula>J10&lt;L10-#REF!</formula>
    </cfRule>
  </conditionalFormatting>
  <conditionalFormatting sqref="J11">
    <cfRule type="expression" dxfId="9505" priority="3985">
      <formula>J11&gt;L11+#REF!</formula>
    </cfRule>
    <cfRule type="expression" dxfId="9504" priority="3986">
      <formula>J11&lt;L11-#REF!</formula>
    </cfRule>
  </conditionalFormatting>
  <conditionalFormatting sqref="J12">
    <cfRule type="expression" dxfId="9503" priority="3983">
      <formula>J12&gt;L12+#REF!</formula>
    </cfRule>
    <cfRule type="expression" dxfId="9502" priority="3984">
      <formula>J12&lt;L12-#REF!</formula>
    </cfRule>
  </conditionalFormatting>
  <conditionalFormatting sqref="J13">
    <cfRule type="expression" dxfId="9501" priority="3981">
      <formula>J13&gt;L13+#REF!</formula>
    </cfRule>
    <cfRule type="expression" dxfId="9500" priority="3982">
      <formula>J13&lt;L13-#REF!</formula>
    </cfRule>
  </conditionalFormatting>
  <conditionalFormatting sqref="J14">
    <cfRule type="expression" dxfId="9499" priority="3979">
      <formula>J14&gt;L14+#REF!</formula>
    </cfRule>
    <cfRule type="expression" dxfId="9498" priority="3980">
      <formula>J14&lt;L14-#REF!</formula>
    </cfRule>
  </conditionalFormatting>
  <conditionalFormatting sqref="J15">
    <cfRule type="expression" dxfId="9497" priority="3977">
      <formula>J15&gt;L15+#REF!</formula>
    </cfRule>
    <cfRule type="expression" dxfId="9496" priority="3978">
      <formula>J15&lt;L15-#REF!</formula>
    </cfRule>
  </conditionalFormatting>
  <conditionalFormatting sqref="J16">
    <cfRule type="expression" dxfId="9495" priority="3975">
      <formula>J16&gt;L16+#REF!</formula>
    </cfRule>
    <cfRule type="expression" dxfId="9494" priority="3976">
      <formula>J16&lt;L16-#REF!</formula>
    </cfRule>
  </conditionalFormatting>
  <conditionalFormatting sqref="J17:J18">
    <cfRule type="expression" dxfId="9493" priority="3973">
      <formula>J17&gt;L17+#REF!</formula>
    </cfRule>
    <cfRule type="expression" dxfId="9492" priority="3974">
      <formula>J17&lt;L17-#REF!</formula>
    </cfRule>
  </conditionalFormatting>
  <conditionalFormatting sqref="J19">
    <cfRule type="expression" dxfId="9491" priority="3971">
      <formula>J19&gt;L19+#REF!</formula>
    </cfRule>
    <cfRule type="expression" dxfId="9490" priority="3972">
      <formula>J19&lt;L19-#REF!</formula>
    </cfRule>
  </conditionalFormatting>
  <conditionalFormatting sqref="F120">
    <cfRule type="expression" dxfId="9489" priority="4209">
      <formula>F120&lt;H120*#REF!</formula>
    </cfRule>
    <cfRule type="expression" dxfId="9488" priority="4210">
      <formula>F120&gt;H120*#REF!</formula>
    </cfRule>
  </conditionalFormatting>
  <conditionalFormatting sqref="F121">
    <cfRule type="expression" dxfId="9487" priority="4207">
      <formula>F121&lt;H121*#REF!</formula>
    </cfRule>
    <cfRule type="expression" dxfId="9486" priority="4208">
      <formula>F121&gt;H121*#REF!</formula>
    </cfRule>
  </conditionalFormatting>
  <conditionalFormatting sqref="F132">
    <cfRule type="expression" dxfId="9485" priority="4205">
      <formula>F132&lt;H132*#REF!</formula>
    </cfRule>
    <cfRule type="expression" dxfId="9484" priority="4206">
      <formula>F132&gt;H132*#REF!</formula>
    </cfRule>
  </conditionalFormatting>
  <conditionalFormatting sqref="F122">
    <cfRule type="expression" dxfId="9483" priority="4203">
      <formula>F122&gt;H122+#REF!</formula>
    </cfRule>
    <cfRule type="expression" dxfId="9482" priority="4204">
      <formula>F122&lt;H122-#REF!</formula>
    </cfRule>
  </conditionalFormatting>
  <conditionalFormatting sqref="F123">
    <cfRule type="expression" dxfId="9481" priority="4201">
      <formula>F123&gt;H123+#REF!</formula>
    </cfRule>
    <cfRule type="expression" dxfId="9480" priority="4202">
      <formula>F123&lt;H123-#REF!</formula>
    </cfRule>
  </conditionalFormatting>
  <conditionalFormatting sqref="F124">
    <cfRule type="expression" dxfId="9479" priority="4199">
      <formula>F124&gt;H124+#REF!</formula>
    </cfRule>
    <cfRule type="expression" dxfId="9478" priority="4200">
      <formula>F124&lt;H124-#REF!</formula>
    </cfRule>
  </conditionalFormatting>
  <conditionalFormatting sqref="F125">
    <cfRule type="expression" dxfId="9477" priority="4197">
      <formula>F125&gt;H125+#REF!</formula>
    </cfRule>
    <cfRule type="expression" dxfId="9476" priority="4198">
      <formula>F125&lt;H125-#REF!</formula>
    </cfRule>
  </conditionalFormatting>
  <conditionalFormatting sqref="F126">
    <cfRule type="expression" dxfId="9475" priority="4195">
      <formula>F126&gt;H126+#REF!</formula>
    </cfRule>
    <cfRule type="expression" dxfId="9474" priority="4196">
      <formula>F126&lt;H126-#REF!</formula>
    </cfRule>
  </conditionalFormatting>
  <conditionalFormatting sqref="F127">
    <cfRule type="expression" dxfId="9473" priority="4193">
      <formula>F127&gt;H127+#REF!</formula>
    </cfRule>
    <cfRule type="expression" dxfId="9472" priority="4194">
      <formula>F127&lt;H127-#REF!</formula>
    </cfRule>
  </conditionalFormatting>
  <conditionalFormatting sqref="F128">
    <cfRule type="expression" dxfId="9471" priority="4191">
      <formula>F128&gt;H128+#REF!</formula>
    </cfRule>
    <cfRule type="expression" dxfId="9470" priority="4192">
      <formula>F128&lt;H128-#REF!</formula>
    </cfRule>
  </conditionalFormatting>
  <conditionalFormatting sqref="F129:F130">
    <cfRule type="expression" dxfId="9469" priority="4189">
      <formula>F129&gt;H129+#REF!</formula>
    </cfRule>
    <cfRule type="expression" dxfId="9468" priority="4190">
      <formula>F129&lt;H129-#REF!</formula>
    </cfRule>
  </conditionalFormatting>
  <conditionalFormatting sqref="F131">
    <cfRule type="expression" dxfId="9467" priority="4187">
      <formula>F131&gt;H131+#REF!</formula>
    </cfRule>
    <cfRule type="expression" dxfId="9466" priority="4188">
      <formula>F131&lt;H131-#REF!</formula>
    </cfRule>
  </conditionalFormatting>
  <conditionalFormatting sqref="J134">
    <cfRule type="expression" dxfId="9465" priority="3783">
      <formula>J134&lt;L134*#REF!</formula>
    </cfRule>
    <cfRule type="expression" dxfId="9464" priority="3784">
      <formula>J134&gt;L134*#REF!</formula>
    </cfRule>
  </conditionalFormatting>
  <conditionalFormatting sqref="J135">
    <cfRule type="expression" dxfId="9463" priority="3781">
      <formula>J135&lt;L135*#REF!</formula>
    </cfRule>
    <cfRule type="expression" dxfId="9462" priority="3782">
      <formula>J135&gt;L135*#REF!</formula>
    </cfRule>
  </conditionalFormatting>
  <conditionalFormatting sqref="J136">
    <cfRule type="expression" dxfId="9461" priority="3777">
      <formula>J136&gt;L136+#REF!</formula>
    </cfRule>
    <cfRule type="expression" dxfId="9460" priority="3778">
      <formula>J136&lt;L136-#REF!</formula>
    </cfRule>
  </conditionalFormatting>
  <conditionalFormatting sqref="J137">
    <cfRule type="expression" dxfId="9459" priority="3775">
      <formula>J137&gt;L137+#REF!</formula>
    </cfRule>
    <cfRule type="expression" dxfId="9458" priority="3776">
      <formula>J137&lt;L137-#REF!</formula>
    </cfRule>
  </conditionalFormatting>
  <conditionalFormatting sqref="J138">
    <cfRule type="expression" dxfId="9457" priority="3773">
      <formula>J138&gt;L138+#REF!</formula>
    </cfRule>
    <cfRule type="expression" dxfId="9456" priority="3774">
      <formula>J138&lt;L138-#REF!</formula>
    </cfRule>
  </conditionalFormatting>
  <conditionalFormatting sqref="J139">
    <cfRule type="expression" dxfId="9455" priority="3771">
      <formula>J139&gt;L139+#REF!</formula>
    </cfRule>
    <cfRule type="expression" dxfId="9454" priority="3772">
      <formula>J139&lt;L139-#REF!</formula>
    </cfRule>
  </conditionalFormatting>
  <conditionalFormatting sqref="J140">
    <cfRule type="expression" dxfId="9453" priority="3769">
      <formula>J140&gt;L140+#REF!</formula>
    </cfRule>
    <cfRule type="expression" dxfId="9452" priority="3770">
      <formula>J140&lt;L140-#REF!</formula>
    </cfRule>
  </conditionalFormatting>
  <conditionalFormatting sqref="J141">
    <cfRule type="expression" dxfId="9451" priority="3767">
      <formula>J141&gt;L141+#REF!</formula>
    </cfRule>
    <cfRule type="expression" dxfId="9450" priority="3768">
      <formula>J141&lt;L141-#REF!</formula>
    </cfRule>
  </conditionalFormatting>
  <conditionalFormatting sqref="J142">
    <cfRule type="expression" dxfId="9449" priority="3765">
      <formula>J142&gt;L142+#REF!</formula>
    </cfRule>
    <cfRule type="expression" dxfId="9448" priority="3766">
      <formula>J142&lt;L142-#REF!</formula>
    </cfRule>
  </conditionalFormatting>
  <conditionalFormatting sqref="J143:J144">
    <cfRule type="expression" dxfId="9447" priority="3763">
      <formula>J143&gt;L143+#REF!</formula>
    </cfRule>
    <cfRule type="expression" dxfId="9446" priority="3764">
      <formula>J143&lt;L143-#REF!</formula>
    </cfRule>
  </conditionalFormatting>
  <conditionalFormatting sqref="J145">
    <cfRule type="expression" dxfId="9445" priority="3761">
      <formula>J145&gt;L145+#REF!</formula>
    </cfRule>
    <cfRule type="expression" dxfId="9444" priority="3762">
      <formula>J145&lt;L145-#REF!</formula>
    </cfRule>
  </conditionalFormatting>
  <conditionalFormatting sqref="J92">
    <cfRule type="expression" dxfId="9443" priority="3849">
      <formula>J92&lt;L92*#REF!</formula>
    </cfRule>
    <cfRule type="expression" dxfId="9442" priority="3850">
      <formula>J92&gt;L92*#REF!</formula>
    </cfRule>
  </conditionalFormatting>
  <conditionalFormatting sqref="J93">
    <cfRule type="expression" dxfId="9441" priority="3847">
      <formula>J93&lt;L93*#REF!</formula>
    </cfRule>
    <cfRule type="expression" dxfId="9440" priority="3848">
      <formula>J93&gt;L93*#REF!</formula>
    </cfRule>
  </conditionalFormatting>
  <conditionalFormatting sqref="J104">
    <cfRule type="expression" dxfId="9439" priority="3845">
      <formula>J104&lt;L104*#REF!</formula>
    </cfRule>
    <cfRule type="expression" dxfId="9438" priority="3846">
      <formula>J104&gt;L104*#REF!</formula>
    </cfRule>
  </conditionalFormatting>
  <conditionalFormatting sqref="J94">
    <cfRule type="expression" dxfId="9437" priority="3843">
      <formula>J94&gt;L94+#REF!</formula>
    </cfRule>
    <cfRule type="expression" dxfId="9436" priority="3844">
      <formula>J94&lt;L94-#REF!</formula>
    </cfRule>
  </conditionalFormatting>
  <conditionalFormatting sqref="J95">
    <cfRule type="expression" dxfId="9435" priority="3841">
      <formula>J95&gt;L95+#REF!</formula>
    </cfRule>
    <cfRule type="expression" dxfId="9434" priority="3842">
      <formula>J95&lt;L95-#REF!</formula>
    </cfRule>
  </conditionalFormatting>
  <conditionalFormatting sqref="J96">
    <cfRule type="expression" dxfId="9433" priority="3839">
      <formula>J96&gt;L96+#REF!</formula>
    </cfRule>
    <cfRule type="expression" dxfId="9432" priority="3840">
      <formula>J96&lt;L96-#REF!</formula>
    </cfRule>
  </conditionalFormatting>
  <conditionalFormatting sqref="J97">
    <cfRule type="expression" dxfId="9431" priority="3837">
      <formula>J97&gt;L97+#REF!</formula>
    </cfRule>
    <cfRule type="expression" dxfId="9430" priority="3838">
      <formula>J97&lt;L97-#REF!</formula>
    </cfRule>
  </conditionalFormatting>
  <conditionalFormatting sqref="J98">
    <cfRule type="expression" dxfId="9429" priority="3835">
      <formula>J98&gt;L98+#REF!</formula>
    </cfRule>
    <cfRule type="expression" dxfId="9428" priority="3836">
      <formula>J98&lt;L98-#REF!</formula>
    </cfRule>
  </conditionalFormatting>
  <conditionalFormatting sqref="J99">
    <cfRule type="expression" dxfId="9427" priority="3833">
      <formula>J99&gt;L99+#REF!</formula>
    </cfRule>
    <cfRule type="expression" dxfId="9426" priority="3834">
      <formula>J99&lt;L99-#REF!</formula>
    </cfRule>
  </conditionalFormatting>
  <conditionalFormatting sqref="J100">
    <cfRule type="expression" dxfId="9425" priority="3831">
      <formula>J100&gt;L100+#REF!</formula>
    </cfRule>
    <cfRule type="expression" dxfId="9424" priority="3832">
      <formula>J100&lt;L100-#REF!</formula>
    </cfRule>
  </conditionalFormatting>
  <conditionalFormatting sqref="J101:J102">
    <cfRule type="expression" dxfId="9423" priority="3829">
      <formula>J101&gt;L101+#REF!</formula>
    </cfRule>
    <cfRule type="expression" dxfId="9422" priority="3830">
      <formula>J101&lt;L101-#REF!</formula>
    </cfRule>
  </conditionalFormatting>
  <conditionalFormatting sqref="J103">
    <cfRule type="expression" dxfId="9421" priority="3827">
      <formula>J103&gt;L103+#REF!</formula>
    </cfRule>
    <cfRule type="expression" dxfId="9420" priority="3828">
      <formula>J103&lt;L103-#REF!</formula>
    </cfRule>
  </conditionalFormatting>
  <conditionalFormatting sqref="J160">
    <cfRule type="expression" dxfId="9419" priority="3755">
      <formula>J160&lt;L160*#REF!</formula>
    </cfRule>
    <cfRule type="expression" dxfId="9418" priority="3756">
      <formula>J160&gt;L160*#REF!</formula>
    </cfRule>
  </conditionalFormatting>
  <conditionalFormatting sqref="J146">
    <cfRule type="expression" dxfId="9417" priority="3779">
      <formula>J146&lt;L146*#REF!</formula>
    </cfRule>
    <cfRule type="expression" dxfId="9416" priority="3780">
      <formula>J146&gt;L146*#REF!</formula>
    </cfRule>
  </conditionalFormatting>
  <conditionalFormatting sqref="F134">
    <cfRule type="expression" dxfId="9415" priority="4185">
      <formula>F134&lt;H134*#REF!</formula>
    </cfRule>
    <cfRule type="expression" dxfId="9414" priority="4186">
      <formula>F134&gt;H134*#REF!</formula>
    </cfRule>
  </conditionalFormatting>
  <conditionalFormatting sqref="F135">
    <cfRule type="expression" dxfId="9413" priority="4183">
      <formula>F135&lt;H135*#REF!</formula>
    </cfRule>
    <cfRule type="expression" dxfId="9412" priority="4184">
      <formula>F135&gt;H135*#REF!</formula>
    </cfRule>
  </conditionalFormatting>
  <conditionalFormatting sqref="F146">
    <cfRule type="expression" dxfId="9411" priority="4181">
      <formula>F146&lt;H146*#REF!</formula>
    </cfRule>
    <cfRule type="expression" dxfId="9410" priority="4182">
      <formula>F146&gt;H146*#REF!</formula>
    </cfRule>
  </conditionalFormatting>
  <conditionalFormatting sqref="F136">
    <cfRule type="expression" dxfId="9409" priority="4179">
      <formula>F136&gt;H136+#REF!</formula>
    </cfRule>
    <cfRule type="expression" dxfId="9408" priority="4180">
      <formula>F136&lt;H136-#REF!</formula>
    </cfRule>
  </conditionalFormatting>
  <conditionalFormatting sqref="F137">
    <cfRule type="expression" dxfId="9407" priority="4177">
      <formula>F137&gt;H137+#REF!</formula>
    </cfRule>
    <cfRule type="expression" dxfId="9406" priority="4178">
      <formula>F137&lt;H137-#REF!</formula>
    </cfRule>
  </conditionalFormatting>
  <conditionalFormatting sqref="F138">
    <cfRule type="expression" dxfId="9405" priority="4175">
      <formula>F138&gt;H138+#REF!</formula>
    </cfRule>
    <cfRule type="expression" dxfId="9404" priority="4176">
      <formula>F138&lt;H138-#REF!</formula>
    </cfRule>
  </conditionalFormatting>
  <conditionalFormatting sqref="F139">
    <cfRule type="expression" dxfId="9403" priority="4173">
      <formula>F139&gt;H139+#REF!</formula>
    </cfRule>
    <cfRule type="expression" dxfId="9402" priority="4174">
      <formula>F139&lt;H139-#REF!</formula>
    </cfRule>
  </conditionalFormatting>
  <conditionalFormatting sqref="F140">
    <cfRule type="expression" dxfId="9401" priority="4171">
      <formula>F140&gt;H140+#REF!</formula>
    </cfRule>
    <cfRule type="expression" dxfId="9400" priority="4172">
      <formula>F140&lt;H140-#REF!</formula>
    </cfRule>
  </conditionalFormatting>
  <conditionalFormatting sqref="F141">
    <cfRule type="expression" dxfId="9399" priority="4169">
      <formula>F141&gt;H141+#REF!</formula>
    </cfRule>
    <cfRule type="expression" dxfId="9398" priority="4170">
      <formula>F141&lt;H141-#REF!</formula>
    </cfRule>
  </conditionalFormatting>
  <conditionalFormatting sqref="F142">
    <cfRule type="expression" dxfId="9397" priority="4167">
      <formula>F142&gt;H142+#REF!</formula>
    </cfRule>
    <cfRule type="expression" dxfId="9396" priority="4168">
      <formula>F142&lt;H142-#REF!</formula>
    </cfRule>
  </conditionalFormatting>
  <conditionalFormatting sqref="F143:F144">
    <cfRule type="expression" dxfId="9395" priority="4165">
      <formula>F143&gt;H143+#REF!</formula>
    </cfRule>
    <cfRule type="expression" dxfId="9394" priority="4166">
      <formula>F143&lt;H143-#REF!</formula>
    </cfRule>
  </conditionalFormatting>
  <conditionalFormatting sqref="F145">
    <cfRule type="expression" dxfId="9393" priority="4163">
      <formula>F145&gt;H145+#REF!</formula>
    </cfRule>
    <cfRule type="expression" dxfId="9392" priority="4164">
      <formula>F145&lt;H145-#REF!</formula>
    </cfRule>
  </conditionalFormatting>
  <conditionalFormatting sqref="J204">
    <cfRule type="expression" dxfId="9391" priority="3663">
      <formula>J204&lt;L204*#REF!</formula>
    </cfRule>
    <cfRule type="expression" dxfId="9390" priority="3664">
      <formula>J204&gt;L204*#REF!</formula>
    </cfRule>
  </conditionalFormatting>
  <conditionalFormatting sqref="J205">
    <cfRule type="expression" dxfId="9389" priority="3661">
      <formula>J205&lt;L205*#REF!</formula>
    </cfRule>
    <cfRule type="expression" dxfId="9388" priority="3662">
      <formula>J205&gt;L205*#REF!</formula>
    </cfRule>
  </conditionalFormatting>
  <conditionalFormatting sqref="J206">
    <cfRule type="expression" dxfId="9387" priority="3657">
      <formula>J206&gt;L206+#REF!</formula>
    </cfRule>
    <cfRule type="expression" dxfId="9386" priority="3658">
      <formula>J206&lt;L206-#REF!</formula>
    </cfRule>
  </conditionalFormatting>
  <conditionalFormatting sqref="J207">
    <cfRule type="expression" dxfId="9385" priority="3655">
      <formula>J207&gt;L207+#REF!</formula>
    </cfRule>
    <cfRule type="expression" dxfId="9384" priority="3656">
      <formula>J207&lt;L207-#REF!</formula>
    </cfRule>
  </conditionalFormatting>
  <conditionalFormatting sqref="J208">
    <cfRule type="expression" dxfId="9383" priority="3653">
      <formula>J208&gt;L208+#REF!</formula>
    </cfRule>
    <cfRule type="expression" dxfId="9382" priority="3654">
      <formula>J208&lt;L208-#REF!</formula>
    </cfRule>
  </conditionalFormatting>
  <conditionalFormatting sqref="J209">
    <cfRule type="expression" dxfId="9381" priority="3651">
      <formula>J209&gt;L209+#REF!</formula>
    </cfRule>
    <cfRule type="expression" dxfId="9380" priority="3652">
      <formula>J209&lt;L209-#REF!</formula>
    </cfRule>
  </conditionalFormatting>
  <conditionalFormatting sqref="J210">
    <cfRule type="expression" dxfId="9379" priority="3649">
      <formula>J210&gt;L210+#REF!</formula>
    </cfRule>
    <cfRule type="expression" dxfId="9378" priority="3650">
      <formula>J210&lt;L210-#REF!</formula>
    </cfRule>
  </conditionalFormatting>
  <conditionalFormatting sqref="J211">
    <cfRule type="expression" dxfId="9377" priority="3647">
      <formula>J211&gt;L211+#REF!</formula>
    </cfRule>
    <cfRule type="expression" dxfId="9376" priority="3648">
      <formula>J211&lt;L211-#REF!</formula>
    </cfRule>
  </conditionalFormatting>
  <conditionalFormatting sqref="J212">
    <cfRule type="expression" dxfId="9375" priority="3645">
      <formula>J212&gt;L212+#REF!</formula>
    </cfRule>
    <cfRule type="expression" dxfId="9374" priority="3646">
      <formula>J212&lt;L212-#REF!</formula>
    </cfRule>
  </conditionalFormatting>
  <conditionalFormatting sqref="J213:J214">
    <cfRule type="expression" dxfId="9373" priority="3643">
      <formula>J213&gt;L213+#REF!</formula>
    </cfRule>
    <cfRule type="expression" dxfId="9372" priority="3644">
      <formula>J213&lt;L213-#REF!</formula>
    </cfRule>
  </conditionalFormatting>
  <conditionalFormatting sqref="J215">
    <cfRule type="expression" dxfId="9371" priority="3641">
      <formula>J215&gt;L215+#REF!</formula>
    </cfRule>
    <cfRule type="expression" dxfId="9370" priority="3642">
      <formula>J215&lt;L215-#REF!</formula>
    </cfRule>
  </conditionalFormatting>
  <conditionalFormatting sqref="J48">
    <cfRule type="expression" dxfId="9369" priority="3941">
      <formula>J48&lt;L48*#REF!</formula>
    </cfRule>
    <cfRule type="expression" dxfId="9368" priority="3942">
      <formula>J48&gt;L48*#REF!</formula>
    </cfRule>
  </conditionalFormatting>
  <conditionalFormatting sqref="J62">
    <cfRule type="expression" dxfId="9367" priority="3917">
      <formula>J62&lt;L62*#REF!</formula>
    </cfRule>
    <cfRule type="expression" dxfId="9366" priority="3918">
      <formula>J62&gt;L62*#REF!</formula>
    </cfRule>
  </conditionalFormatting>
  <conditionalFormatting sqref="J76">
    <cfRule type="expression" dxfId="9365" priority="3893">
      <formula>J76&lt;L76*#REF!</formula>
    </cfRule>
    <cfRule type="expression" dxfId="9364" priority="3894">
      <formula>J76&gt;L76*#REF!</formula>
    </cfRule>
  </conditionalFormatting>
  <conditionalFormatting sqref="J90">
    <cfRule type="expression" dxfId="9363" priority="3869">
      <formula>J90&lt;L90*#REF!</formula>
    </cfRule>
    <cfRule type="expression" dxfId="9362" priority="3870">
      <formula>J90&gt;L90*#REF!</formula>
    </cfRule>
  </conditionalFormatting>
  <conditionalFormatting sqref="J118">
    <cfRule type="expression" dxfId="9361" priority="3821">
      <formula>J118&lt;L118*#REF!</formula>
    </cfRule>
    <cfRule type="expression" dxfId="9360" priority="3822">
      <formula>J118&gt;L118*#REF!</formula>
    </cfRule>
  </conditionalFormatting>
  <conditionalFormatting sqref="J218">
    <cfRule type="expression" dxfId="9359" priority="3615">
      <formula>J218&lt;L218*#REF!</formula>
    </cfRule>
    <cfRule type="expression" dxfId="9358" priority="3616">
      <formula>J218&gt;L218*#REF!</formula>
    </cfRule>
  </conditionalFormatting>
  <conditionalFormatting sqref="J219">
    <cfRule type="expression" dxfId="9357" priority="3613">
      <formula>J219&lt;L219*#REF!</formula>
    </cfRule>
    <cfRule type="expression" dxfId="9356" priority="3614">
      <formula>J219&gt;L219*#REF!</formula>
    </cfRule>
  </conditionalFormatting>
  <conditionalFormatting sqref="J132">
    <cfRule type="expression" dxfId="9355" priority="3803">
      <formula>J132&lt;L132*#REF!</formula>
    </cfRule>
    <cfRule type="expression" dxfId="9354" priority="3804">
      <formula>J132&gt;L132*#REF!</formula>
    </cfRule>
  </conditionalFormatting>
  <conditionalFormatting sqref="J227:J228">
    <cfRule type="expression" dxfId="9353" priority="3595">
      <formula>J227&gt;L227+#REF!</formula>
    </cfRule>
    <cfRule type="expression" dxfId="9352" priority="3596">
      <formula>J227&lt;L227-#REF!</formula>
    </cfRule>
  </conditionalFormatting>
  <conditionalFormatting sqref="J174">
    <cfRule type="expression" dxfId="9351" priority="3731">
      <formula>J174&lt;L174*#REF!</formula>
    </cfRule>
    <cfRule type="expression" dxfId="9350" priority="3732">
      <formula>J174&gt;L174*#REF!</formula>
    </cfRule>
  </conditionalFormatting>
  <conditionalFormatting sqref="J188">
    <cfRule type="expression" dxfId="9349" priority="3683">
      <formula>J188&lt;L188*#REF!</formula>
    </cfRule>
    <cfRule type="expression" dxfId="9348" priority="3684">
      <formula>J188&gt;L188*#REF!</formula>
    </cfRule>
  </conditionalFormatting>
  <conditionalFormatting sqref="F8">
    <cfRule type="expression" dxfId="9347" priority="4401">
      <formula>F8&lt;H8*#REF!</formula>
    </cfRule>
    <cfRule type="expression" dxfId="9346" priority="4402">
      <formula>F8&gt;H8*#REF!</formula>
    </cfRule>
  </conditionalFormatting>
  <conditionalFormatting sqref="F9">
    <cfRule type="expression" dxfId="9345" priority="4399">
      <formula>F9&lt;H9*#REF!</formula>
    </cfRule>
    <cfRule type="expression" dxfId="9344" priority="4400">
      <formula>F9&gt;H9*#REF!</formula>
    </cfRule>
  </conditionalFormatting>
  <conditionalFormatting sqref="F20">
    <cfRule type="expression" dxfId="9343" priority="4397">
      <formula>F20&lt;H20*#REF!</formula>
    </cfRule>
    <cfRule type="expression" dxfId="9342" priority="4398">
      <formula>F20&gt;H20*#REF!</formula>
    </cfRule>
  </conditionalFormatting>
  <conditionalFormatting sqref="F10">
    <cfRule type="expression" dxfId="9341" priority="4395">
      <formula>F10&gt;H10+#REF!</formula>
    </cfRule>
    <cfRule type="expression" dxfId="9340" priority="4396">
      <formula>F10&lt;H10-#REF!</formula>
    </cfRule>
  </conditionalFormatting>
  <conditionalFormatting sqref="F11">
    <cfRule type="expression" dxfId="9339" priority="4393">
      <formula>F11&gt;H11+#REF!</formula>
    </cfRule>
    <cfRule type="expression" dxfId="9338" priority="4394">
      <formula>F11&lt;H11-#REF!</formula>
    </cfRule>
  </conditionalFormatting>
  <conditionalFormatting sqref="F12">
    <cfRule type="expression" dxfId="9337" priority="4391">
      <formula>F12&gt;H12+#REF!</formula>
    </cfRule>
    <cfRule type="expression" dxfId="9336" priority="4392">
      <formula>F12&lt;H12-#REF!</formula>
    </cfRule>
  </conditionalFormatting>
  <conditionalFormatting sqref="F13">
    <cfRule type="expression" dxfId="9335" priority="4389">
      <formula>F13&gt;H13+#REF!</formula>
    </cfRule>
    <cfRule type="expression" dxfId="9334" priority="4390">
      <formula>F13&lt;H13-#REF!</formula>
    </cfRule>
  </conditionalFormatting>
  <conditionalFormatting sqref="F14">
    <cfRule type="expression" dxfId="9333" priority="4387">
      <formula>F14&gt;H14+#REF!</formula>
    </cfRule>
    <cfRule type="expression" dxfId="9332" priority="4388">
      <formula>F14&lt;H14-#REF!</formula>
    </cfRule>
  </conditionalFormatting>
  <conditionalFormatting sqref="F15">
    <cfRule type="expression" dxfId="9331" priority="4385">
      <formula>F15&gt;H15+#REF!</formula>
    </cfRule>
    <cfRule type="expression" dxfId="9330" priority="4386">
      <formula>F15&lt;H15-#REF!</formula>
    </cfRule>
  </conditionalFormatting>
  <conditionalFormatting sqref="F16">
    <cfRule type="expression" dxfId="9329" priority="4383">
      <formula>F16&gt;H16+#REF!</formula>
    </cfRule>
    <cfRule type="expression" dxfId="9328" priority="4384">
      <formula>F16&lt;H16-#REF!</formula>
    </cfRule>
  </conditionalFormatting>
  <conditionalFormatting sqref="F17:F18">
    <cfRule type="expression" dxfId="9327" priority="4381">
      <formula>F17&gt;H17+#REF!</formula>
    </cfRule>
    <cfRule type="expression" dxfId="9326" priority="4382">
      <formula>F17&lt;H17-#REF!</formula>
    </cfRule>
  </conditionalFormatting>
  <conditionalFormatting sqref="F19">
    <cfRule type="expression" dxfId="9325" priority="4379">
      <formula>F19&gt;H19+#REF!</formula>
    </cfRule>
    <cfRule type="expression" dxfId="9324" priority="4380">
      <formula>F19&lt;H19-#REF!</formula>
    </cfRule>
  </conditionalFormatting>
  <conditionalFormatting sqref="F22">
    <cfRule type="expression" dxfId="9323" priority="4377">
      <formula>F22&lt;H22*#REF!</formula>
    </cfRule>
    <cfRule type="expression" dxfId="9322" priority="4378">
      <formula>F22&gt;H22*#REF!</formula>
    </cfRule>
  </conditionalFormatting>
  <conditionalFormatting sqref="F23">
    <cfRule type="expression" dxfId="9321" priority="4375">
      <formula>F23&lt;H23*#REF!</formula>
    </cfRule>
    <cfRule type="expression" dxfId="9320" priority="4376">
      <formula>F23&gt;H23*#REF!</formula>
    </cfRule>
  </conditionalFormatting>
  <conditionalFormatting sqref="F34">
    <cfRule type="expression" dxfId="9319" priority="4373">
      <formula>F34&lt;H34*#REF!</formula>
    </cfRule>
    <cfRule type="expression" dxfId="9318" priority="4374">
      <formula>F34&gt;H34*#REF!</formula>
    </cfRule>
  </conditionalFormatting>
  <conditionalFormatting sqref="F24">
    <cfRule type="expression" dxfId="9317" priority="4371">
      <formula>F24&gt;H24+#REF!</formula>
    </cfRule>
    <cfRule type="expression" dxfId="9316" priority="4372">
      <formula>F24&lt;H24-#REF!</formula>
    </cfRule>
  </conditionalFormatting>
  <conditionalFormatting sqref="F25">
    <cfRule type="expression" dxfId="9315" priority="4369">
      <formula>F25&gt;H25+#REF!</formula>
    </cfRule>
    <cfRule type="expression" dxfId="9314" priority="4370">
      <formula>F25&lt;H25-#REF!</formula>
    </cfRule>
  </conditionalFormatting>
  <conditionalFormatting sqref="F26">
    <cfRule type="expression" dxfId="9313" priority="4367">
      <formula>F26&gt;H26+#REF!</formula>
    </cfRule>
    <cfRule type="expression" dxfId="9312" priority="4368">
      <formula>F26&lt;H26-#REF!</formula>
    </cfRule>
  </conditionalFormatting>
  <conditionalFormatting sqref="F27">
    <cfRule type="expression" dxfId="9311" priority="4365">
      <formula>F27&gt;H27+#REF!</formula>
    </cfRule>
    <cfRule type="expression" dxfId="9310" priority="4366">
      <formula>F27&lt;H27-#REF!</formula>
    </cfRule>
  </conditionalFormatting>
  <conditionalFormatting sqref="F28">
    <cfRule type="expression" dxfId="9309" priority="4363">
      <formula>F28&gt;H28+#REF!</formula>
    </cfRule>
    <cfRule type="expression" dxfId="9308" priority="4364">
      <formula>F28&lt;H28-#REF!</formula>
    </cfRule>
  </conditionalFormatting>
  <conditionalFormatting sqref="F29">
    <cfRule type="expression" dxfId="9307" priority="4361">
      <formula>F29&gt;H29+#REF!</formula>
    </cfRule>
    <cfRule type="expression" dxfId="9306" priority="4362">
      <formula>F29&lt;H29-#REF!</formula>
    </cfRule>
  </conditionalFormatting>
  <conditionalFormatting sqref="F30">
    <cfRule type="expression" dxfId="9305" priority="4359">
      <formula>F30&gt;H30+#REF!</formula>
    </cfRule>
    <cfRule type="expression" dxfId="9304" priority="4360">
      <formula>F30&lt;H30-#REF!</formula>
    </cfRule>
  </conditionalFormatting>
  <conditionalFormatting sqref="F31:F32">
    <cfRule type="expression" dxfId="9303" priority="4357">
      <formula>F31&gt;H31+#REF!</formula>
    </cfRule>
    <cfRule type="expression" dxfId="9302" priority="4358">
      <formula>F31&lt;H31-#REF!</formula>
    </cfRule>
  </conditionalFormatting>
  <conditionalFormatting sqref="F33">
    <cfRule type="expression" dxfId="9301" priority="4355">
      <formula>F33&gt;H33+#REF!</formula>
    </cfRule>
    <cfRule type="expression" dxfId="9300" priority="4356">
      <formula>F33&lt;H33-#REF!</formula>
    </cfRule>
  </conditionalFormatting>
  <conditionalFormatting sqref="F36">
    <cfRule type="expression" dxfId="9299" priority="4353">
      <formula>F36&lt;H36*#REF!</formula>
    </cfRule>
    <cfRule type="expression" dxfId="9298" priority="4354">
      <formula>F36&gt;H36*#REF!</formula>
    </cfRule>
  </conditionalFormatting>
  <conditionalFormatting sqref="F37">
    <cfRule type="expression" dxfId="9297" priority="4351">
      <formula>F37&lt;H37*#REF!</formula>
    </cfRule>
    <cfRule type="expression" dxfId="9296" priority="4352">
      <formula>F37&gt;H37*#REF!</formula>
    </cfRule>
  </conditionalFormatting>
  <conditionalFormatting sqref="F48">
    <cfRule type="expression" dxfId="9295" priority="4349">
      <formula>F48&lt;H48*#REF!</formula>
    </cfRule>
    <cfRule type="expression" dxfId="9294" priority="4350">
      <formula>F48&gt;H48*#REF!</formula>
    </cfRule>
  </conditionalFormatting>
  <conditionalFormatting sqref="F38">
    <cfRule type="expression" dxfId="9293" priority="4347">
      <formula>F38&gt;H38+#REF!</formula>
    </cfRule>
    <cfRule type="expression" dxfId="9292" priority="4348">
      <formula>F38&lt;H38-#REF!</formula>
    </cfRule>
  </conditionalFormatting>
  <conditionalFormatting sqref="F39">
    <cfRule type="expression" dxfId="9291" priority="4345">
      <formula>F39&gt;H39+#REF!</formula>
    </cfRule>
    <cfRule type="expression" dxfId="9290" priority="4346">
      <formula>F39&lt;H39-#REF!</formula>
    </cfRule>
  </conditionalFormatting>
  <conditionalFormatting sqref="F40">
    <cfRule type="expression" dxfId="9289" priority="4343">
      <formula>F40&gt;H40+#REF!</formula>
    </cfRule>
    <cfRule type="expression" dxfId="9288" priority="4344">
      <formula>F40&lt;H40-#REF!</formula>
    </cfRule>
  </conditionalFormatting>
  <conditionalFormatting sqref="F41">
    <cfRule type="expression" dxfId="9287" priority="4341">
      <formula>F41&gt;H41+#REF!</formula>
    </cfRule>
    <cfRule type="expression" dxfId="9286" priority="4342">
      <formula>F41&lt;H41-#REF!</formula>
    </cfRule>
  </conditionalFormatting>
  <conditionalFormatting sqref="F42">
    <cfRule type="expression" dxfId="9285" priority="4339">
      <formula>F42&gt;H42+#REF!</formula>
    </cfRule>
    <cfRule type="expression" dxfId="9284" priority="4340">
      <formula>F42&lt;H42-#REF!</formula>
    </cfRule>
  </conditionalFormatting>
  <conditionalFormatting sqref="F43">
    <cfRule type="expression" dxfId="9283" priority="4337">
      <formula>F43&gt;H43+#REF!</formula>
    </cfRule>
    <cfRule type="expression" dxfId="9282" priority="4338">
      <formula>F43&lt;H43-#REF!</formula>
    </cfRule>
  </conditionalFormatting>
  <conditionalFormatting sqref="F44">
    <cfRule type="expression" dxfId="9281" priority="4335">
      <formula>F44&gt;H44+#REF!</formula>
    </cfRule>
    <cfRule type="expression" dxfId="9280" priority="4336">
      <formula>F44&lt;H44-#REF!</formula>
    </cfRule>
  </conditionalFormatting>
  <conditionalFormatting sqref="F45:F46">
    <cfRule type="expression" dxfId="9279" priority="4333">
      <formula>F45&gt;H45+#REF!</formula>
    </cfRule>
    <cfRule type="expression" dxfId="9278" priority="4334">
      <formula>F45&lt;H45-#REF!</formula>
    </cfRule>
  </conditionalFormatting>
  <conditionalFormatting sqref="F47">
    <cfRule type="expression" dxfId="9277" priority="4331">
      <formula>F47&gt;H47+#REF!</formula>
    </cfRule>
    <cfRule type="expression" dxfId="9276" priority="4332">
      <formula>F47&lt;H47-#REF!</formula>
    </cfRule>
  </conditionalFormatting>
  <conditionalFormatting sqref="F50">
    <cfRule type="expression" dxfId="9275" priority="4329">
      <formula>F50&lt;H50*#REF!</formula>
    </cfRule>
    <cfRule type="expression" dxfId="9274" priority="4330">
      <formula>F50&gt;H50*#REF!</formula>
    </cfRule>
  </conditionalFormatting>
  <conditionalFormatting sqref="F51">
    <cfRule type="expression" dxfId="9273" priority="4327">
      <formula>F51&lt;H51*#REF!</formula>
    </cfRule>
    <cfRule type="expression" dxfId="9272" priority="4328">
      <formula>F51&gt;H51*#REF!</formula>
    </cfRule>
  </conditionalFormatting>
  <conditionalFormatting sqref="F62">
    <cfRule type="expression" dxfId="9271" priority="4325">
      <formula>F62&lt;H62*#REF!</formula>
    </cfRule>
    <cfRule type="expression" dxfId="9270" priority="4326">
      <formula>F62&gt;H62*#REF!</formula>
    </cfRule>
  </conditionalFormatting>
  <conditionalFormatting sqref="F52">
    <cfRule type="expression" dxfId="9269" priority="4323">
      <formula>F52&gt;H52+#REF!</formula>
    </cfRule>
    <cfRule type="expression" dxfId="9268" priority="4324">
      <formula>F52&lt;H52-#REF!</formula>
    </cfRule>
  </conditionalFormatting>
  <conditionalFormatting sqref="F53">
    <cfRule type="expression" dxfId="9267" priority="4321">
      <formula>F53&gt;H53+#REF!</formula>
    </cfRule>
    <cfRule type="expression" dxfId="9266" priority="4322">
      <formula>F53&lt;H53-#REF!</formula>
    </cfRule>
  </conditionalFormatting>
  <conditionalFormatting sqref="F54">
    <cfRule type="expression" dxfId="9265" priority="4319">
      <formula>F54&gt;H54+#REF!</formula>
    </cfRule>
    <cfRule type="expression" dxfId="9264" priority="4320">
      <formula>F54&lt;H54-#REF!</formula>
    </cfRule>
  </conditionalFormatting>
  <conditionalFormatting sqref="F55">
    <cfRule type="expression" dxfId="9263" priority="4317">
      <formula>F55&gt;H55+#REF!</formula>
    </cfRule>
    <cfRule type="expression" dxfId="9262" priority="4318">
      <formula>F55&lt;H55-#REF!</formula>
    </cfRule>
  </conditionalFormatting>
  <conditionalFormatting sqref="F56">
    <cfRule type="expression" dxfId="9261" priority="4315">
      <formula>F56&gt;H56+#REF!</formula>
    </cfRule>
    <cfRule type="expression" dxfId="9260" priority="4316">
      <formula>F56&lt;H56-#REF!</formula>
    </cfRule>
  </conditionalFormatting>
  <conditionalFormatting sqref="F57">
    <cfRule type="expression" dxfId="9259" priority="4313">
      <formula>F57&gt;H57+#REF!</formula>
    </cfRule>
    <cfRule type="expression" dxfId="9258" priority="4314">
      <formula>F57&lt;H57-#REF!</formula>
    </cfRule>
  </conditionalFormatting>
  <conditionalFormatting sqref="F58">
    <cfRule type="expression" dxfId="9257" priority="4311">
      <formula>F58&gt;H58+#REF!</formula>
    </cfRule>
    <cfRule type="expression" dxfId="9256" priority="4312">
      <formula>F58&lt;H58-#REF!</formula>
    </cfRule>
  </conditionalFormatting>
  <conditionalFormatting sqref="F59:F60">
    <cfRule type="expression" dxfId="9255" priority="4309">
      <formula>F59&gt;H59+#REF!</formula>
    </cfRule>
    <cfRule type="expression" dxfId="9254" priority="4310">
      <formula>F59&lt;H59-#REF!</formula>
    </cfRule>
  </conditionalFormatting>
  <conditionalFormatting sqref="F61">
    <cfRule type="expression" dxfId="9253" priority="4307">
      <formula>F61&gt;H61+#REF!</formula>
    </cfRule>
    <cfRule type="expression" dxfId="9252" priority="4308">
      <formula>F61&lt;H61-#REF!</formula>
    </cfRule>
  </conditionalFormatting>
  <conditionalFormatting sqref="F64">
    <cfRule type="expression" dxfId="9251" priority="4305">
      <formula>F64&lt;H64*#REF!</formula>
    </cfRule>
    <cfRule type="expression" dxfId="9250" priority="4306">
      <formula>F64&gt;H64*#REF!</formula>
    </cfRule>
  </conditionalFormatting>
  <conditionalFormatting sqref="F65">
    <cfRule type="expression" dxfId="9249" priority="4303">
      <formula>F65&lt;H65*#REF!</formula>
    </cfRule>
    <cfRule type="expression" dxfId="9248" priority="4304">
      <formula>F65&gt;H65*#REF!</formula>
    </cfRule>
  </conditionalFormatting>
  <conditionalFormatting sqref="F76">
    <cfRule type="expression" dxfId="9247" priority="4301">
      <formula>F76&lt;H76*#REF!</formula>
    </cfRule>
    <cfRule type="expression" dxfId="9246" priority="4302">
      <formula>F76&gt;H76*#REF!</formula>
    </cfRule>
  </conditionalFormatting>
  <conditionalFormatting sqref="F66">
    <cfRule type="expression" dxfId="9245" priority="4299">
      <formula>F66&gt;H66+#REF!</formula>
    </cfRule>
    <cfRule type="expression" dxfId="9244" priority="4300">
      <formula>F66&lt;H66-#REF!</formula>
    </cfRule>
  </conditionalFormatting>
  <conditionalFormatting sqref="F67">
    <cfRule type="expression" dxfId="9243" priority="4297">
      <formula>F67&gt;H67+#REF!</formula>
    </cfRule>
    <cfRule type="expression" dxfId="9242" priority="4298">
      <formula>F67&lt;H67-#REF!</formula>
    </cfRule>
  </conditionalFormatting>
  <conditionalFormatting sqref="F68">
    <cfRule type="expression" dxfId="9241" priority="4295">
      <formula>F68&gt;H68+#REF!</formula>
    </cfRule>
    <cfRule type="expression" dxfId="9240" priority="4296">
      <formula>F68&lt;H68-#REF!</formula>
    </cfRule>
  </conditionalFormatting>
  <conditionalFormatting sqref="F69">
    <cfRule type="expression" dxfId="9239" priority="4293">
      <formula>F69&gt;H69+#REF!</formula>
    </cfRule>
    <cfRule type="expression" dxfId="9238" priority="4294">
      <formula>F69&lt;H69-#REF!</formula>
    </cfRule>
  </conditionalFormatting>
  <conditionalFormatting sqref="F70">
    <cfRule type="expression" dxfId="9237" priority="4291">
      <formula>F70&gt;H70+#REF!</formula>
    </cfRule>
    <cfRule type="expression" dxfId="9236" priority="4292">
      <formula>F70&lt;H70-#REF!</formula>
    </cfRule>
  </conditionalFormatting>
  <conditionalFormatting sqref="F71">
    <cfRule type="expression" dxfId="9235" priority="4289">
      <formula>F71&gt;H71+#REF!</formula>
    </cfRule>
    <cfRule type="expression" dxfId="9234" priority="4290">
      <formula>F71&lt;H71-#REF!</formula>
    </cfRule>
  </conditionalFormatting>
  <conditionalFormatting sqref="F72">
    <cfRule type="expression" dxfId="9233" priority="4287">
      <formula>F72&gt;H72+#REF!</formula>
    </cfRule>
    <cfRule type="expression" dxfId="9232" priority="4288">
      <formula>F72&lt;H72-#REF!</formula>
    </cfRule>
  </conditionalFormatting>
  <conditionalFormatting sqref="F73:F74">
    <cfRule type="expression" dxfId="9231" priority="4285">
      <formula>F73&gt;H73+#REF!</formula>
    </cfRule>
    <cfRule type="expression" dxfId="9230" priority="4286">
      <formula>F73&lt;H73-#REF!</formula>
    </cfRule>
  </conditionalFormatting>
  <conditionalFormatting sqref="F75">
    <cfRule type="expression" dxfId="9229" priority="4283">
      <formula>F75&gt;H75+#REF!</formula>
    </cfRule>
    <cfRule type="expression" dxfId="9228" priority="4284">
      <formula>F75&lt;H75-#REF!</formula>
    </cfRule>
  </conditionalFormatting>
  <conditionalFormatting sqref="F78">
    <cfRule type="expression" dxfId="9227" priority="4281">
      <formula>F78&lt;H78*#REF!</formula>
    </cfRule>
    <cfRule type="expression" dxfId="9226" priority="4282">
      <formula>F78&gt;H78*#REF!</formula>
    </cfRule>
  </conditionalFormatting>
  <conditionalFormatting sqref="F79">
    <cfRule type="expression" dxfId="9225" priority="4279">
      <formula>F79&lt;H79*#REF!</formula>
    </cfRule>
    <cfRule type="expression" dxfId="9224" priority="4280">
      <formula>F79&gt;H79*#REF!</formula>
    </cfRule>
  </conditionalFormatting>
  <conditionalFormatting sqref="F90">
    <cfRule type="expression" dxfId="9223" priority="4277">
      <formula>F90&lt;H90*#REF!</formula>
    </cfRule>
    <cfRule type="expression" dxfId="9222" priority="4278">
      <formula>F90&gt;H90*#REF!</formula>
    </cfRule>
  </conditionalFormatting>
  <conditionalFormatting sqref="F80">
    <cfRule type="expression" dxfId="9221" priority="4275">
      <formula>F80&gt;H80+#REF!</formula>
    </cfRule>
    <cfRule type="expression" dxfId="9220" priority="4276">
      <formula>F80&lt;H80-#REF!</formula>
    </cfRule>
  </conditionalFormatting>
  <conditionalFormatting sqref="F81">
    <cfRule type="expression" dxfId="9219" priority="4273">
      <formula>F81&gt;H81+#REF!</formula>
    </cfRule>
    <cfRule type="expression" dxfId="9218" priority="4274">
      <formula>F81&lt;H81-#REF!</formula>
    </cfRule>
  </conditionalFormatting>
  <conditionalFormatting sqref="F82">
    <cfRule type="expression" dxfId="9217" priority="4271">
      <formula>F82&gt;H82+#REF!</formula>
    </cfRule>
    <cfRule type="expression" dxfId="9216" priority="4272">
      <formula>F82&lt;H82-#REF!</formula>
    </cfRule>
  </conditionalFormatting>
  <conditionalFormatting sqref="F83">
    <cfRule type="expression" dxfId="9215" priority="4269">
      <formula>F83&gt;H83+#REF!</formula>
    </cfRule>
    <cfRule type="expression" dxfId="9214" priority="4270">
      <formula>F83&lt;H83-#REF!</formula>
    </cfRule>
  </conditionalFormatting>
  <conditionalFormatting sqref="F84">
    <cfRule type="expression" dxfId="9213" priority="4267">
      <formula>F84&gt;H84+#REF!</formula>
    </cfRule>
    <cfRule type="expression" dxfId="9212" priority="4268">
      <formula>F84&lt;H84-#REF!</formula>
    </cfRule>
  </conditionalFormatting>
  <conditionalFormatting sqref="F85">
    <cfRule type="expression" dxfId="9211" priority="4265">
      <formula>F85&gt;H85+#REF!</formula>
    </cfRule>
    <cfRule type="expression" dxfId="9210" priority="4266">
      <formula>F85&lt;H85-#REF!</formula>
    </cfRule>
  </conditionalFormatting>
  <conditionalFormatting sqref="F86">
    <cfRule type="expression" dxfId="9209" priority="4263">
      <formula>F86&gt;H86+#REF!</formula>
    </cfRule>
    <cfRule type="expression" dxfId="9208" priority="4264">
      <formula>F86&lt;H86-#REF!</formula>
    </cfRule>
  </conditionalFormatting>
  <conditionalFormatting sqref="F87:F88">
    <cfRule type="expression" dxfId="9207" priority="4261">
      <formula>F87&gt;H87+#REF!</formula>
    </cfRule>
    <cfRule type="expression" dxfId="9206" priority="4262">
      <formula>F87&lt;H87-#REF!</formula>
    </cfRule>
  </conditionalFormatting>
  <conditionalFormatting sqref="F89">
    <cfRule type="expression" dxfId="9205" priority="4259">
      <formula>F89&gt;H89+#REF!</formula>
    </cfRule>
    <cfRule type="expression" dxfId="9204" priority="4260">
      <formula>F89&lt;H89-#REF!</formula>
    </cfRule>
  </conditionalFormatting>
  <conditionalFormatting sqref="F92">
    <cfRule type="expression" dxfId="9203" priority="4257">
      <formula>F92&lt;H92*#REF!</formula>
    </cfRule>
    <cfRule type="expression" dxfId="9202" priority="4258">
      <formula>F92&gt;H92*#REF!</formula>
    </cfRule>
  </conditionalFormatting>
  <conditionalFormatting sqref="F93">
    <cfRule type="expression" dxfId="9201" priority="4255">
      <formula>F93&lt;H93*#REF!</formula>
    </cfRule>
    <cfRule type="expression" dxfId="9200" priority="4256">
      <formula>F93&gt;H93*#REF!</formula>
    </cfRule>
  </conditionalFormatting>
  <conditionalFormatting sqref="F104">
    <cfRule type="expression" dxfId="9199" priority="4253">
      <formula>F104&lt;H104*#REF!</formula>
    </cfRule>
    <cfRule type="expression" dxfId="9198" priority="4254">
      <formula>F104&gt;H104*#REF!</formula>
    </cfRule>
  </conditionalFormatting>
  <conditionalFormatting sqref="F94">
    <cfRule type="expression" dxfId="9197" priority="4251">
      <formula>F94&gt;H94+#REF!</formula>
    </cfRule>
    <cfRule type="expression" dxfId="9196" priority="4252">
      <formula>F94&lt;H94-#REF!</formula>
    </cfRule>
  </conditionalFormatting>
  <conditionalFormatting sqref="F95">
    <cfRule type="expression" dxfId="9195" priority="4249">
      <formula>F95&gt;H95+#REF!</formula>
    </cfRule>
    <cfRule type="expression" dxfId="9194" priority="4250">
      <formula>F95&lt;H95-#REF!</formula>
    </cfRule>
  </conditionalFormatting>
  <conditionalFormatting sqref="F96">
    <cfRule type="expression" dxfId="9193" priority="4247">
      <formula>F96&gt;H96+#REF!</formula>
    </cfRule>
    <cfRule type="expression" dxfId="9192" priority="4248">
      <formula>F96&lt;H96-#REF!</formula>
    </cfRule>
  </conditionalFormatting>
  <conditionalFormatting sqref="F97">
    <cfRule type="expression" dxfId="9191" priority="4245">
      <formula>F97&gt;H97+#REF!</formula>
    </cfRule>
    <cfRule type="expression" dxfId="9190" priority="4246">
      <formula>F97&lt;H97-#REF!</formula>
    </cfRule>
  </conditionalFormatting>
  <conditionalFormatting sqref="F98">
    <cfRule type="expression" dxfId="9189" priority="4243">
      <formula>F98&gt;H98+#REF!</formula>
    </cfRule>
    <cfRule type="expression" dxfId="9188" priority="4244">
      <formula>F98&lt;H98-#REF!</formula>
    </cfRule>
  </conditionalFormatting>
  <conditionalFormatting sqref="F99">
    <cfRule type="expression" dxfId="9187" priority="4241">
      <formula>F99&gt;H99+#REF!</formula>
    </cfRule>
    <cfRule type="expression" dxfId="9186" priority="4242">
      <formula>F99&lt;H99-#REF!</formula>
    </cfRule>
  </conditionalFormatting>
  <conditionalFormatting sqref="F100">
    <cfRule type="expression" dxfId="9185" priority="4239">
      <formula>F100&gt;H100+#REF!</formula>
    </cfRule>
    <cfRule type="expression" dxfId="9184" priority="4240">
      <formula>F100&lt;H100-#REF!</formula>
    </cfRule>
  </conditionalFormatting>
  <conditionalFormatting sqref="F101:F102">
    <cfRule type="expression" dxfId="9183" priority="4237">
      <formula>F101&gt;H101+#REF!</formula>
    </cfRule>
    <cfRule type="expression" dxfId="9182" priority="4238">
      <formula>F101&lt;H101-#REF!</formula>
    </cfRule>
  </conditionalFormatting>
  <conditionalFormatting sqref="F103">
    <cfRule type="expression" dxfId="9181" priority="4235">
      <formula>F103&gt;H103+#REF!</formula>
    </cfRule>
    <cfRule type="expression" dxfId="9180" priority="4236">
      <formula>F103&lt;H103-#REF!</formula>
    </cfRule>
  </conditionalFormatting>
  <conditionalFormatting sqref="F106">
    <cfRule type="expression" dxfId="9179" priority="4233">
      <formula>F106&lt;H106*#REF!</formula>
    </cfRule>
    <cfRule type="expression" dxfId="9178" priority="4234">
      <formula>F106&gt;H106*#REF!</formula>
    </cfRule>
  </conditionalFormatting>
  <conditionalFormatting sqref="F107">
    <cfRule type="expression" dxfId="9177" priority="4231">
      <formula>F107&lt;H107*#REF!</formula>
    </cfRule>
    <cfRule type="expression" dxfId="9176" priority="4232">
      <formula>F107&gt;H107*#REF!</formula>
    </cfRule>
  </conditionalFormatting>
  <conditionalFormatting sqref="F118">
    <cfRule type="expression" dxfId="9175" priority="4229">
      <formula>F118&lt;H118*#REF!</formula>
    </cfRule>
    <cfRule type="expression" dxfId="9174" priority="4230">
      <formula>F118&gt;H118*#REF!</formula>
    </cfRule>
  </conditionalFormatting>
  <conditionalFormatting sqref="F108">
    <cfRule type="expression" dxfId="9173" priority="4227">
      <formula>F108&gt;H108+#REF!</formula>
    </cfRule>
    <cfRule type="expression" dxfId="9172" priority="4228">
      <formula>F108&lt;H108-#REF!</formula>
    </cfRule>
  </conditionalFormatting>
  <conditionalFormatting sqref="F109">
    <cfRule type="expression" dxfId="9171" priority="4225">
      <formula>F109&gt;H109+#REF!</formula>
    </cfRule>
    <cfRule type="expression" dxfId="9170" priority="4226">
      <formula>F109&lt;H109-#REF!</formula>
    </cfRule>
  </conditionalFormatting>
  <conditionalFormatting sqref="F110">
    <cfRule type="expression" dxfId="9169" priority="4223">
      <formula>F110&gt;H110+#REF!</formula>
    </cfRule>
    <cfRule type="expression" dxfId="9168" priority="4224">
      <formula>F110&lt;H110-#REF!</formula>
    </cfRule>
  </conditionalFormatting>
  <conditionalFormatting sqref="F111">
    <cfRule type="expression" dxfId="9167" priority="4221">
      <formula>F111&gt;H111+#REF!</formula>
    </cfRule>
    <cfRule type="expression" dxfId="9166" priority="4222">
      <formula>F111&lt;H111-#REF!</formula>
    </cfRule>
  </conditionalFormatting>
  <conditionalFormatting sqref="F112">
    <cfRule type="expression" dxfId="9165" priority="4219">
      <formula>F112&gt;H112+#REF!</formula>
    </cfRule>
    <cfRule type="expression" dxfId="9164" priority="4220">
      <formula>F112&lt;H112-#REF!</formula>
    </cfRule>
  </conditionalFormatting>
  <conditionalFormatting sqref="F113">
    <cfRule type="expression" dxfId="9163" priority="4217">
      <formula>F113&gt;H113+#REF!</formula>
    </cfRule>
    <cfRule type="expression" dxfId="9162" priority="4218">
      <formula>F113&lt;H113-#REF!</formula>
    </cfRule>
  </conditionalFormatting>
  <conditionalFormatting sqref="F114">
    <cfRule type="expression" dxfId="9161" priority="4215">
      <formula>F114&gt;H114+#REF!</formula>
    </cfRule>
    <cfRule type="expression" dxfId="9160" priority="4216">
      <formula>F114&lt;H114-#REF!</formula>
    </cfRule>
  </conditionalFormatting>
  <conditionalFormatting sqref="F115:F116">
    <cfRule type="expression" dxfId="9159" priority="4213">
      <formula>F115&gt;H115+#REF!</formula>
    </cfRule>
    <cfRule type="expression" dxfId="9158" priority="4214">
      <formula>F115&lt;H115-#REF!</formula>
    </cfRule>
  </conditionalFormatting>
  <conditionalFormatting sqref="F117">
    <cfRule type="expression" dxfId="9157" priority="4211">
      <formula>F117&gt;H117+#REF!</formula>
    </cfRule>
    <cfRule type="expression" dxfId="9156" priority="4212">
      <formula>F117&lt;H117-#REF!</formula>
    </cfRule>
  </conditionalFormatting>
  <conditionalFormatting sqref="F260">
    <cfRule type="expression" dxfId="9155" priority="4041">
      <formula>F260&lt;H260*#REF!</formula>
    </cfRule>
    <cfRule type="expression" dxfId="9154" priority="4042">
      <formula>F260&gt;H260*#REF!</formula>
    </cfRule>
  </conditionalFormatting>
  <conditionalFormatting sqref="F261">
    <cfRule type="expression" dxfId="9153" priority="4039">
      <formula>F261&lt;H261*#REF!</formula>
    </cfRule>
    <cfRule type="expression" dxfId="9152" priority="4040">
      <formula>F261&gt;H261*#REF!</formula>
    </cfRule>
  </conditionalFormatting>
  <conditionalFormatting sqref="F272">
    <cfRule type="expression" dxfId="9151" priority="4037">
      <formula>F272&lt;H272*#REF!</formula>
    </cfRule>
    <cfRule type="expression" dxfId="9150" priority="4038">
      <formula>F272&gt;H272*#REF!</formula>
    </cfRule>
  </conditionalFormatting>
  <conditionalFormatting sqref="F262">
    <cfRule type="expression" dxfId="9149" priority="4035">
      <formula>F262&gt;H262+#REF!</formula>
    </cfRule>
    <cfRule type="expression" dxfId="9148" priority="4036">
      <formula>F262&lt;H262-#REF!</formula>
    </cfRule>
  </conditionalFormatting>
  <conditionalFormatting sqref="F263">
    <cfRule type="expression" dxfId="9147" priority="4033">
      <formula>F263&gt;H263+#REF!</formula>
    </cfRule>
    <cfRule type="expression" dxfId="9146" priority="4034">
      <formula>F263&lt;H263-#REF!</formula>
    </cfRule>
  </conditionalFormatting>
  <conditionalFormatting sqref="F264">
    <cfRule type="expression" dxfId="9145" priority="4031">
      <formula>F264&gt;H264+#REF!</formula>
    </cfRule>
    <cfRule type="expression" dxfId="9144" priority="4032">
      <formula>F264&lt;H264-#REF!</formula>
    </cfRule>
  </conditionalFormatting>
  <conditionalFormatting sqref="F265">
    <cfRule type="expression" dxfId="9143" priority="4029">
      <formula>F265&gt;H265+#REF!</formula>
    </cfRule>
    <cfRule type="expression" dxfId="9142" priority="4030">
      <formula>F265&lt;H265-#REF!</formula>
    </cfRule>
  </conditionalFormatting>
  <conditionalFormatting sqref="F266">
    <cfRule type="expression" dxfId="9141" priority="4027">
      <formula>F266&gt;H266+#REF!</formula>
    </cfRule>
    <cfRule type="expression" dxfId="9140" priority="4028">
      <formula>F266&lt;H266-#REF!</formula>
    </cfRule>
  </conditionalFormatting>
  <conditionalFormatting sqref="F267">
    <cfRule type="expression" dxfId="9139" priority="4025">
      <formula>F267&gt;H267+#REF!</formula>
    </cfRule>
    <cfRule type="expression" dxfId="9138" priority="4026">
      <formula>F267&lt;H267-#REF!</formula>
    </cfRule>
  </conditionalFormatting>
  <conditionalFormatting sqref="F268">
    <cfRule type="expression" dxfId="9137" priority="4023">
      <formula>F268&gt;H268+#REF!</formula>
    </cfRule>
    <cfRule type="expression" dxfId="9136" priority="4024">
      <formula>F268&lt;H268-#REF!</formula>
    </cfRule>
  </conditionalFormatting>
  <conditionalFormatting sqref="F269:F270">
    <cfRule type="expression" dxfId="9135" priority="4021">
      <formula>F269&gt;H269+#REF!</formula>
    </cfRule>
    <cfRule type="expression" dxfId="9134" priority="4022">
      <formula>F269&lt;H269-#REF!</formula>
    </cfRule>
  </conditionalFormatting>
  <conditionalFormatting sqref="F271">
    <cfRule type="expression" dxfId="9133" priority="4019">
      <formula>F271&gt;H271+#REF!</formula>
    </cfRule>
    <cfRule type="expression" dxfId="9132" priority="4020">
      <formula>F271&lt;H271-#REF!</formula>
    </cfRule>
  </conditionalFormatting>
  <conditionalFormatting sqref="J232">
    <cfRule type="expression" dxfId="9131" priority="3447">
      <formula>J232&lt;L232*#REF!</formula>
    </cfRule>
    <cfRule type="expression" dxfId="9130" priority="3448">
      <formula>J232&gt;L232*#REF!</formula>
    </cfRule>
  </conditionalFormatting>
  <conditionalFormatting sqref="J233">
    <cfRule type="expression" dxfId="9129" priority="3445">
      <formula>J233&lt;L233*#REF!</formula>
    </cfRule>
    <cfRule type="expression" dxfId="9128" priority="3446">
      <formula>J233&gt;L233*#REF!</formula>
    </cfRule>
  </conditionalFormatting>
  <conditionalFormatting sqref="J244">
    <cfRule type="expression" dxfId="9127" priority="3443">
      <formula>J244&lt;L244*#REF!</formula>
    </cfRule>
    <cfRule type="expression" dxfId="9126" priority="3444">
      <formula>J244&gt;L244*#REF!</formula>
    </cfRule>
  </conditionalFormatting>
  <conditionalFormatting sqref="J234">
    <cfRule type="expression" dxfId="9125" priority="3441">
      <formula>J234&gt;L234+#REF!</formula>
    </cfRule>
    <cfRule type="expression" dxfId="9124" priority="3442">
      <formula>J234&lt;L234-#REF!</formula>
    </cfRule>
  </conditionalFormatting>
  <conditionalFormatting sqref="J235">
    <cfRule type="expression" dxfId="9123" priority="3439">
      <formula>J235&gt;L235+#REF!</formula>
    </cfRule>
    <cfRule type="expression" dxfId="9122" priority="3440">
      <formula>J235&lt;L235-#REF!</formula>
    </cfRule>
  </conditionalFormatting>
  <conditionalFormatting sqref="J236">
    <cfRule type="expression" dxfId="9121" priority="3437">
      <formula>J236&gt;L236+#REF!</formula>
    </cfRule>
    <cfRule type="expression" dxfId="9120" priority="3438">
      <formula>J236&lt;L236-#REF!</formula>
    </cfRule>
  </conditionalFormatting>
  <conditionalFormatting sqref="J237">
    <cfRule type="expression" dxfId="9119" priority="3435">
      <formula>J237&gt;L237+#REF!</formula>
    </cfRule>
    <cfRule type="expression" dxfId="9118" priority="3436">
      <formula>J237&lt;L237-#REF!</formula>
    </cfRule>
  </conditionalFormatting>
  <conditionalFormatting sqref="J238">
    <cfRule type="expression" dxfId="9117" priority="3433">
      <formula>J238&gt;L238+#REF!</formula>
    </cfRule>
    <cfRule type="expression" dxfId="9116" priority="3434">
      <formula>J238&lt;L238-#REF!</formula>
    </cfRule>
  </conditionalFormatting>
  <conditionalFormatting sqref="J239">
    <cfRule type="expression" dxfId="9115" priority="3431">
      <formula>J239&gt;L239+#REF!</formula>
    </cfRule>
    <cfRule type="expression" dxfId="9114" priority="3432">
      <formula>J239&lt;L239-#REF!</formula>
    </cfRule>
  </conditionalFormatting>
  <conditionalFormatting sqref="J240">
    <cfRule type="expression" dxfId="9113" priority="3429">
      <formula>J240&gt;L240+#REF!</formula>
    </cfRule>
    <cfRule type="expression" dxfId="9112" priority="3430">
      <formula>J240&lt;L240-#REF!</formula>
    </cfRule>
  </conditionalFormatting>
  <conditionalFormatting sqref="J241:J242">
    <cfRule type="expression" dxfId="9111" priority="3427">
      <formula>J241&gt;L241+#REF!</formula>
    </cfRule>
    <cfRule type="expression" dxfId="9110" priority="3428">
      <formula>J241&lt;L241-#REF!</formula>
    </cfRule>
  </conditionalFormatting>
  <conditionalFormatting sqref="J243">
    <cfRule type="expression" dxfId="9109" priority="3425">
      <formula>J243&gt;L243+#REF!</formula>
    </cfRule>
    <cfRule type="expression" dxfId="9108" priority="3426">
      <formula>J243&lt;L243-#REF!</formula>
    </cfRule>
  </conditionalFormatting>
  <conditionalFormatting sqref="F148">
    <cfRule type="expression" dxfId="9107" priority="4161">
      <formula>F148&lt;H148*#REF!</formula>
    </cfRule>
    <cfRule type="expression" dxfId="9106" priority="4162">
      <formula>F148&gt;H148*#REF!</formula>
    </cfRule>
  </conditionalFormatting>
  <conditionalFormatting sqref="F149">
    <cfRule type="expression" dxfId="9105" priority="4159">
      <formula>F149&lt;H149*#REF!</formula>
    </cfRule>
    <cfRule type="expression" dxfId="9104" priority="4160">
      <formula>F149&gt;H149*#REF!</formula>
    </cfRule>
  </conditionalFormatting>
  <conditionalFormatting sqref="F160">
    <cfRule type="expression" dxfId="9103" priority="4157">
      <formula>F160&lt;H160*#REF!</formula>
    </cfRule>
    <cfRule type="expression" dxfId="9102" priority="4158">
      <formula>F160&gt;H160*#REF!</formula>
    </cfRule>
  </conditionalFormatting>
  <conditionalFormatting sqref="F150">
    <cfRule type="expression" dxfId="9101" priority="4155">
      <formula>F150&gt;H150+#REF!</formula>
    </cfRule>
    <cfRule type="expression" dxfId="9100" priority="4156">
      <formula>F150&lt;H150-#REF!</formula>
    </cfRule>
  </conditionalFormatting>
  <conditionalFormatting sqref="F151">
    <cfRule type="expression" dxfId="9099" priority="4153">
      <formula>F151&gt;H151+#REF!</formula>
    </cfRule>
    <cfRule type="expression" dxfId="9098" priority="4154">
      <formula>F151&lt;H151-#REF!</formula>
    </cfRule>
  </conditionalFormatting>
  <conditionalFormatting sqref="F152">
    <cfRule type="expression" dxfId="9097" priority="4151">
      <formula>F152&gt;H152+#REF!</formula>
    </cfRule>
    <cfRule type="expression" dxfId="9096" priority="4152">
      <formula>F152&lt;H152-#REF!</formula>
    </cfRule>
  </conditionalFormatting>
  <conditionalFormatting sqref="F153">
    <cfRule type="expression" dxfId="9095" priority="4149">
      <formula>F153&gt;H153+#REF!</formula>
    </cfRule>
    <cfRule type="expression" dxfId="9094" priority="4150">
      <formula>F153&lt;H153-#REF!</formula>
    </cfRule>
  </conditionalFormatting>
  <conditionalFormatting sqref="F154">
    <cfRule type="expression" dxfId="9093" priority="4147">
      <formula>F154&gt;H154+#REF!</formula>
    </cfRule>
    <cfRule type="expression" dxfId="9092" priority="4148">
      <formula>F154&lt;H154-#REF!</formula>
    </cfRule>
  </conditionalFormatting>
  <conditionalFormatting sqref="F155">
    <cfRule type="expression" dxfId="9091" priority="4145">
      <formula>F155&gt;H155+#REF!</formula>
    </cfRule>
    <cfRule type="expression" dxfId="9090" priority="4146">
      <formula>F155&lt;H155-#REF!</formula>
    </cfRule>
  </conditionalFormatting>
  <conditionalFormatting sqref="F156">
    <cfRule type="expression" dxfId="9089" priority="4143">
      <formula>F156&gt;H156+#REF!</formula>
    </cfRule>
    <cfRule type="expression" dxfId="9088" priority="4144">
      <formula>F156&lt;H156-#REF!</formula>
    </cfRule>
  </conditionalFormatting>
  <conditionalFormatting sqref="F157:F158">
    <cfRule type="expression" dxfId="9087" priority="4141">
      <formula>F157&gt;H157+#REF!</formula>
    </cfRule>
    <cfRule type="expression" dxfId="9086" priority="4142">
      <formula>F157&lt;H157-#REF!</formula>
    </cfRule>
  </conditionalFormatting>
  <conditionalFormatting sqref="F159">
    <cfRule type="expression" dxfId="9085" priority="4139">
      <formula>F159&gt;H159+#REF!</formula>
    </cfRule>
    <cfRule type="expression" dxfId="9084" priority="4140">
      <formula>F159&lt;H159-#REF!</formula>
    </cfRule>
  </conditionalFormatting>
  <conditionalFormatting sqref="F162">
    <cfRule type="expression" dxfId="9083" priority="4137">
      <formula>F162&lt;H162*#REF!</formula>
    </cfRule>
    <cfRule type="expression" dxfId="9082" priority="4138">
      <formula>F162&gt;H162*#REF!</formula>
    </cfRule>
  </conditionalFormatting>
  <conditionalFormatting sqref="F163">
    <cfRule type="expression" dxfId="9081" priority="4135">
      <formula>F163&lt;H163*#REF!</formula>
    </cfRule>
    <cfRule type="expression" dxfId="9080" priority="4136">
      <formula>F163&gt;H163*#REF!</formula>
    </cfRule>
  </conditionalFormatting>
  <conditionalFormatting sqref="F174">
    <cfRule type="expression" dxfId="9079" priority="4133">
      <formula>F174&lt;H174*#REF!</formula>
    </cfRule>
    <cfRule type="expression" dxfId="9078" priority="4134">
      <formula>F174&gt;H174*#REF!</formula>
    </cfRule>
  </conditionalFormatting>
  <conditionalFormatting sqref="F164">
    <cfRule type="expression" dxfId="9077" priority="4131">
      <formula>F164&gt;H164+#REF!</formula>
    </cfRule>
    <cfRule type="expression" dxfId="9076" priority="4132">
      <formula>F164&lt;H164-#REF!</formula>
    </cfRule>
  </conditionalFormatting>
  <conditionalFormatting sqref="F165">
    <cfRule type="expression" dxfId="9075" priority="4129">
      <formula>F165&gt;H165+#REF!</formula>
    </cfRule>
    <cfRule type="expression" dxfId="9074" priority="4130">
      <formula>F165&lt;H165-#REF!</formula>
    </cfRule>
  </conditionalFormatting>
  <conditionalFormatting sqref="F166">
    <cfRule type="expression" dxfId="9073" priority="4127">
      <formula>F166&gt;H166+#REF!</formula>
    </cfRule>
    <cfRule type="expression" dxfId="9072" priority="4128">
      <formula>F166&lt;H166-#REF!</formula>
    </cfRule>
  </conditionalFormatting>
  <conditionalFormatting sqref="F167">
    <cfRule type="expression" dxfId="9071" priority="4125">
      <formula>F167&gt;H167+#REF!</formula>
    </cfRule>
    <cfRule type="expression" dxfId="9070" priority="4126">
      <formula>F167&lt;H167-#REF!</formula>
    </cfRule>
  </conditionalFormatting>
  <conditionalFormatting sqref="F168">
    <cfRule type="expression" dxfId="9069" priority="4123">
      <formula>F168&gt;H168+#REF!</formula>
    </cfRule>
    <cfRule type="expression" dxfId="9068" priority="4124">
      <formula>F168&lt;H168-#REF!</formula>
    </cfRule>
  </conditionalFormatting>
  <conditionalFormatting sqref="F169">
    <cfRule type="expression" dxfId="9067" priority="4121">
      <formula>F169&gt;H169+#REF!</formula>
    </cfRule>
    <cfRule type="expression" dxfId="9066" priority="4122">
      <formula>F169&lt;H169-#REF!</formula>
    </cfRule>
  </conditionalFormatting>
  <conditionalFormatting sqref="F170">
    <cfRule type="expression" dxfId="9065" priority="4119">
      <formula>F170&gt;H170+#REF!</formula>
    </cfRule>
    <cfRule type="expression" dxfId="9064" priority="4120">
      <formula>F170&lt;H170-#REF!</formula>
    </cfRule>
  </conditionalFormatting>
  <conditionalFormatting sqref="F171:F172">
    <cfRule type="expression" dxfId="9063" priority="4117">
      <formula>F171&gt;H171+#REF!</formula>
    </cfRule>
    <cfRule type="expression" dxfId="9062" priority="4118">
      <formula>F171&lt;H171-#REF!</formula>
    </cfRule>
  </conditionalFormatting>
  <conditionalFormatting sqref="F173">
    <cfRule type="expression" dxfId="9061" priority="4115">
      <formula>F173&gt;H173+#REF!</formula>
    </cfRule>
    <cfRule type="expression" dxfId="9060" priority="4116">
      <formula>F173&lt;H173-#REF!</formula>
    </cfRule>
  </conditionalFormatting>
  <conditionalFormatting sqref="F176">
    <cfRule type="expression" dxfId="9059" priority="4113">
      <formula>F176&lt;H176*#REF!</formula>
    </cfRule>
    <cfRule type="expression" dxfId="9058" priority="4114">
      <formula>F176&gt;H176*#REF!</formula>
    </cfRule>
  </conditionalFormatting>
  <conditionalFormatting sqref="F177">
    <cfRule type="expression" dxfId="9057" priority="4111">
      <formula>F177&lt;H177*#REF!</formula>
    </cfRule>
    <cfRule type="expression" dxfId="9056" priority="4112">
      <formula>F177&gt;H177*#REF!</formula>
    </cfRule>
  </conditionalFormatting>
  <conditionalFormatting sqref="F188">
    <cfRule type="expression" dxfId="9055" priority="4109">
      <formula>F188&lt;H188*#REF!</formula>
    </cfRule>
    <cfRule type="expression" dxfId="9054" priority="4110">
      <formula>F188&gt;H188*#REF!</formula>
    </cfRule>
  </conditionalFormatting>
  <conditionalFormatting sqref="F178">
    <cfRule type="expression" dxfId="9053" priority="4107">
      <formula>F178&gt;H178+#REF!</formula>
    </cfRule>
    <cfRule type="expression" dxfId="9052" priority="4108">
      <formula>F178&lt;H178-#REF!</formula>
    </cfRule>
  </conditionalFormatting>
  <conditionalFormatting sqref="F179">
    <cfRule type="expression" dxfId="9051" priority="4105">
      <formula>F179&gt;H179+#REF!</formula>
    </cfRule>
    <cfRule type="expression" dxfId="9050" priority="4106">
      <formula>F179&lt;H179-#REF!</formula>
    </cfRule>
  </conditionalFormatting>
  <conditionalFormatting sqref="F180">
    <cfRule type="expression" dxfId="9049" priority="4103">
      <formula>F180&gt;H180+#REF!</formula>
    </cfRule>
    <cfRule type="expression" dxfId="9048" priority="4104">
      <formula>F180&lt;H180-#REF!</formula>
    </cfRule>
  </conditionalFormatting>
  <conditionalFormatting sqref="F181">
    <cfRule type="expression" dxfId="9047" priority="4101">
      <formula>F181&gt;H181+#REF!</formula>
    </cfRule>
    <cfRule type="expression" dxfId="9046" priority="4102">
      <formula>F181&lt;H181-#REF!</formula>
    </cfRule>
  </conditionalFormatting>
  <conditionalFormatting sqref="F182">
    <cfRule type="expression" dxfId="9045" priority="4099">
      <formula>F182&gt;H182+#REF!</formula>
    </cfRule>
    <cfRule type="expression" dxfId="9044" priority="4100">
      <formula>F182&lt;H182-#REF!</formula>
    </cfRule>
  </conditionalFormatting>
  <conditionalFormatting sqref="F183">
    <cfRule type="expression" dxfId="9043" priority="4097">
      <formula>F183&gt;H183+#REF!</formula>
    </cfRule>
    <cfRule type="expression" dxfId="9042" priority="4098">
      <formula>F183&lt;H183-#REF!</formula>
    </cfRule>
  </conditionalFormatting>
  <conditionalFormatting sqref="F184">
    <cfRule type="expression" dxfId="9041" priority="4095">
      <formula>F184&gt;H184+#REF!</formula>
    </cfRule>
    <cfRule type="expression" dxfId="9040" priority="4096">
      <formula>F184&lt;H184-#REF!</formula>
    </cfRule>
  </conditionalFormatting>
  <conditionalFormatting sqref="F185:F186">
    <cfRule type="expression" dxfId="9039" priority="4093">
      <formula>F185&gt;H185+#REF!</formula>
    </cfRule>
    <cfRule type="expression" dxfId="9038" priority="4094">
      <formula>F185&lt;H185-#REF!</formula>
    </cfRule>
  </conditionalFormatting>
  <conditionalFormatting sqref="F187">
    <cfRule type="expression" dxfId="9037" priority="4091">
      <formula>F187&gt;H187+#REF!</formula>
    </cfRule>
    <cfRule type="expression" dxfId="9036" priority="4092">
      <formula>F187&lt;H187-#REF!</formula>
    </cfRule>
  </conditionalFormatting>
  <conditionalFormatting sqref="F190">
    <cfRule type="expression" dxfId="9035" priority="4089">
      <formula>F190&lt;H190*#REF!</formula>
    </cfRule>
    <cfRule type="expression" dxfId="9034" priority="4090">
      <formula>F190&gt;H190*#REF!</formula>
    </cfRule>
  </conditionalFormatting>
  <conditionalFormatting sqref="F191">
    <cfRule type="expression" dxfId="9033" priority="4087">
      <formula>F191&lt;H191*#REF!</formula>
    </cfRule>
    <cfRule type="expression" dxfId="9032" priority="4088">
      <formula>F191&gt;H191*#REF!</formula>
    </cfRule>
  </conditionalFormatting>
  <conditionalFormatting sqref="F202">
    <cfRule type="expression" dxfId="9031" priority="4085">
      <formula>F202&lt;H202*#REF!</formula>
    </cfRule>
    <cfRule type="expression" dxfId="9030" priority="4086">
      <formula>F202&gt;H202*#REF!</formula>
    </cfRule>
  </conditionalFormatting>
  <conditionalFormatting sqref="F192">
    <cfRule type="expression" dxfId="9029" priority="4083">
      <formula>F192&gt;H192+#REF!</formula>
    </cfRule>
    <cfRule type="expression" dxfId="9028" priority="4084">
      <formula>F192&lt;H192-#REF!</formula>
    </cfRule>
  </conditionalFormatting>
  <conditionalFormatting sqref="F193">
    <cfRule type="expression" dxfId="9027" priority="4081">
      <formula>F193&gt;H193+#REF!</formula>
    </cfRule>
    <cfRule type="expression" dxfId="9026" priority="4082">
      <formula>F193&lt;H193-#REF!</formula>
    </cfRule>
  </conditionalFormatting>
  <conditionalFormatting sqref="F194">
    <cfRule type="expression" dxfId="9025" priority="4079">
      <formula>F194&gt;H194+#REF!</formula>
    </cfRule>
    <cfRule type="expression" dxfId="9024" priority="4080">
      <formula>F194&lt;H194-#REF!</formula>
    </cfRule>
  </conditionalFormatting>
  <conditionalFormatting sqref="F195">
    <cfRule type="expression" dxfId="9023" priority="4077">
      <formula>F195&gt;H195+#REF!</formula>
    </cfRule>
    <cfRule type="expression" dxfId="9022" priority="4078">
      <formula>F195&lt;H195-#REF!</formula>
    </cfRule>
  </conditionalFormatting>
  <conditionalFormatting sqref="F196">
    <cfRule type="expression" dxfId="9021" priority="4075">
      <formula>F196&gt;H196+#REF!</formula>
    </cfRule>
    <cfRule type="expression" dxfId="9020" priority="4076">
      <formula>F196&lt;H196-#REF!</formula>
    </cfRule>
  </conditionalFormatting>
  <conditionalFormatting sqref="F197">
    <cfRule type="expression" dxfId="9019" priority="4073">
      <formula>F197&gt;H197+#REF!</formula>
    </cfRule>
    <cfRule type="expression" dxfId="9018" priority="4074">
      <formula>F197&lt;H197-#REF!</formula>
    </cfRule>
  </conditionalFormatting>
  <conditionalFormatting sqref="F198">
    <cfRule type="expression" dxfId="9017" priority="4071">
      <formula>F198&gt;H198+#REF!</formula>
    </cfRule>
    <cfRule type="expression" dxfId="9016" priority="4072">
      <formula>F198&lt;H198-#REF!</formula>
    </cfRule>
  </conditionalFormatting>
  <conditionalFormatting sqref="F199:F200">
    <cfRule type="expression" dxfId="9015" priority="4069">
      <formula>F199&gt;H199+#REF!</formula>
    </cfRule>
    <cfRule type="expression" dxfId="9014" priority="4070">
      <formula>F199&lt;H199-#REF!</formula>
    </cfRule>
  </conditionalFormatting>
  <conditionalFormatting sqref="F201">
    <cfRule type="expression" dxfId="9013" priority="4067">
      <formula>F201&gt;H201+#REF!</formula>
    </cfRule>
    <cfRule type="expression" dxfId="9012" priority="4068">
      <formula>F201&lt;H201-#REF!</formula>
    </cfRule>
  </conditionalFormatting>
  <conditionalFormatting sqref="F204">
    <cfRule type="expression" dxfId="9011" priority="4065">
      <formula>F204&lt;H204*#REF!</formula>
    </cfRule>
    <cfRule type="expression" dxfId="9010" priority="4066">
      <formula>F204&gt;H204*#REF!</formula>
    </cfRule>
  </conditionalFormatting>
  <conditionalFormatting sqref="F205">
    <cfRule type="expression" dxfId="9009" priority="4063">
      <formula>F205&lt;H205*#REF!</formula>
    </cfRule>
    <cfRule type="expression" dxfId="9008" priority="4064">
      <formula>F205&gt;H205*#REF!</formula>
    </cfRule>
  </conditionalFormatting>
  <conditionalFormatting sqref="F216">
    <cfRule type="expression" dxfId="9007" priority="4061">
      <formula>F216&lt;H216*#REF!</formula>
    </cfRule>
    <cfRule type="expression" dxfId="9006" priority="4062">
      <formula>F216&gt;H216*#REF!</formula>
    </cfRule>
  </conditionalFormatting>
  <conditionalFormatting sqref="F206">
    <cfRule type="expression" dxfId="9005" priority="4059">
      <formula>F206&gt;H206+#REF!</formula>
    </cfRule>
    <cfRule type="expression" dxfId="9004" priority="4060">
      <formula>F206&lt;H206-#REF!</formula>
    </cfRule>
  </conditionalFormatting>
  <conditionalFormatting sqref="F207">
    <cfRule type="expression" dxfId="9003" priority="4057">
      <formula>F207&gt;H207+#REF!</formula>
    </cfRule>
    <cfRule type="expression" dxfId="9002" priority="4058">
      <formula>F207&lt;H207-#REF!</formula>
    </cfRule>
  </conditionalFormatting>
  <conditionalFormatting sqref="F208">
    <cfRule type="expression" dxfId="9001" priority="4055">
      <formula>F208&gt;H208+#REF!</formula>
    </cfRule>
    <cfRule type="expression" dxfId="9000" priority="4056">
      <formula>F208&lt;H208-#REF!</formula>
    </cfRule>
  </conditionalFormatting>
  <conditionalFormatting sqref="F209">
    <cfRule type="expression" dxfId="8999" priority="4053">
      <formula>F209&gt;H209+#REF!</formula>
    </cfRule>
    <cfRule type="expression" dxfId="8998" priority="4054">
      <formula>F209&lt;H209-#REF!</formula>
    </cfRule>
  </conditionalFormatting>
  <conditionalFormatting sqref="F210">
    <cfRule type="expression" dxfId="8997" priority="4051">
      <formula>F210&gt;H210+#REF!</formula>
    </cfRule>
    <cfRule type="expression" dxfId="8996" priority="4052">
      <formula>F210&lt;H210-#REF!</formula>
    </cfRule>
  </conditionalFormatting>
  <conditionalFormatting sqref="F211">
    <cfRule type="expression" dxfId="8995" priority="4049">
      <formula>F211&gt;H211+#REF!</formula>
    </cfRule>
    <cfRule type="expression" dxfId="8994" priority="4050">
      <formula>F211&lt;H211-#REF!</formula>
    </cfRule>
  </conditionalFormatting>
  <conditionalFormatting sqref="F212">
    <cfRule type="expression" dxfId="8993" priority="4047">
      <formula>F212&gt;H212+#REF!</formula>
    </cfRule>
    <cfRule type="expression" dxfId="8992" priority="4048">
      <formula>F212&lt;H212-#REF!</formula>
    </cfRule>
  </conditionalFormatting>
  <conditionalFormatting sqref="F213:F214">
    <cfRule type="expression" dxfId="8991" priority="4045">
      <formula>F213&gt;H213+#REF!</formula>
    </cfRule>
    <cfRule type="expression" dxfId="8990" priority="4046">
      <formula>F213&lt;H213-#REF!</formula>
    </cfRule>
  </conditionalFormatting>
  <conditionalFormatting sqref="F215">
    <cfRule type="expression" dxfId="8989" priority="4043">
      <formula>F215&gt;H215+#REF!</formula>
    </cfRule>
    <cfRule type="expression" dxfId="8988" priority="4044">
      <formula>F215&lt;H215-#REF!</formula>
    </cfRule>
  </conditionalFormatting>
  <conditionalFormatting sqref="F218">
    <cfRule type="expression" dxfId="8987" priority="4017">
      <formula>F218&lt;H218*#REF!</formula>
    </cfRule>
    <cfRule type="expression" dxfId="8986" priority="4018">
      <formula>F218&gt;H218*#REF!</formula>
    </cfRule>
  </conditionalFormatting>
  <conditionalFormatting sqref="F219">
    <cfRule type="expression" dxfId="8985" priority="4015">
      <formula>F219&lt;H219*#REF!</formula>
    </cfRule>
    <cfRule type="expression" dxfId="8984" priority="4016">
      <formula>F219&gt;H219*#REF!</formula>
    </cfRule>
  </conditionalFormatting>
  <conditionalFormatting sqref="F230">
    <cfRule type="expression" dxfId="8983" priority="4013">
      <formula>F230&lt;H230*#REF!</formula>
    </cfRule>
    <cfRule type="expression" dxfId="8982" priority="4014">
      <formula>F230&gt;H230*#REF!</formula>
    </cfRule>
  </conditionalFormatting>
  <conditionalFormatting sqref="F220">
    <cfRule type="expression" dxfId="8981" priority="4011">
      <formula>F220&gt;H220+#REF!</formula>
    </cfRule>
    <cfRule type="expression" dxfId="8980" priority="4012">
      <formula>F220&lt;H220-#REF!</formula>
    </cfRule>
  </conditionalFormatting>
  <conditionalFormatting sqref="F221">
    <cfRule type="expression" dxfId="8979" priority="4009">
      <formula>F221&gt;H221+#REF!</formula>
    </cfRule>
    <cfRule type="expression" dxfId="8978" priority="4010">
      <formula>F221&lt;H221-#REF!</formula>
    </cfRule>
  </conditionalFormatting>
  <conditionalFormatting sqref="F222">
    <cfRule type="expression" dxfId="8977" priority="4007">
      <formula>F222&gt;H222+#REF!</formula>
    </cfRule>
    <cfRule type="expression" dxfId="8976" priority="4008">
      <formula>F222&lt;H222-#REF!</formula>
    </cfRule>
  </conditionalFormatting>
  <conditionalFormatting sqref="F223">
    <cfRule type="expression" dxfId="8975" priority="4005">
      <formula>F223&gt;H223+#REF!</formula>
    </cfRule>
    <cfRule type="expression" dxfId="8974" priority="4006">
      <formula>F223&lt;H223-#REF!</formula>
    </cfRule>
  </conditionalFormatting>
  <conditionalFormatting sqref="F224">
    <cfRule type="expression" dxfId="8973" priority="4003">
      <formula>F224&gt;H224+#REF!</formula>
    </cfRule>
    <cfRule type="expression" dxfId="8972" priority="4004">
      <formula>F224&lt;H224-#REF!</formula>
    </cfRule>
  </conditionalFormatting>
  <conditionalFormatting sqref="F225">
    <cfRule type="expression" dxfId="8971" priority="4001">
      <formula>F225&gt;H225+#REF!</formula>
    </cfRule>
    <cfRule type="expression" dxfId="8970" priority="4002">
      <formula>F225&lt;H225-#REF!</formula>
    </cfRule>
  </conditionalFormatting>
  <conditionalFormatting sqref="F226">
    <cfRule type="expression" dxfId="8969" priority="3999">
      <formula>F226&gt;H226+#REF!</formula>
    </cfRule>
    <cfRule type="expression" dxfId="8968" priority="4000">
      <formula>F226&lt;H226-#REF!</formula>
    </cfRule>
  </conditionalFormatting>
  <conditionalFormatting sqref="F227:F228">
    <cfRule type="expression" dxfId="8967" priority="3997">
      <formula>F227&gt;H227+#REF!</formula>
    </cfRule>
    <cfRule type="expression" dxfId="8966" priority="3998">
      <formula>F227&lt;H227-#REF!</formula>
    </cfRule>
  </conditionalFormatting>
  <conditionalFormatting sqref="F229">
    <cfRule type="expression" dxfId="8965" priority="3995">
      <formula>F229&gt;H229+#REF!</formula>
    </cfRule>
    <cfRule type="expression" dxfId="8964" priority="3996">
      <formula>F229&lt;H229-#REF!</formula>
    </cfRule>
  </conditionalFormatting>
  <conditionalFormatting sqref="J246">
    <cfRule type="expression" dxfId="8963" priority="3279">
      <formula>J246&lt;L246*#REF!</formula>
    </cfRule>
    <cfRule type="expression" dxfId="8962" priority="3280">
      <formula>J246&gt;L246*#REF!</formula>
    </cfRule>
  </conditionalFormatting>
  <conditionalFormatting sqref="J247">
    <cfRule type="expression" dxfId="8961" priority="3277">
      <formula>J247&lt;L247*#REF!</formula>
    </cfRule>
    <cfRule type="expression" dxfId="8960" priority="3278">
      <formula>J247&gt;L247*#REF!</formula>
    </cfRule>
  </conditionalFormatting>
  <conditionalFormatting sqref="J248">
    <cfRule type="expression" dxfId="8959" priority="3273">
      <formula>J248&gt;L248+#REF!</formula>
    </cfRule>
    <cfRule type="expression" dxfId="8958" priority="3274">
      <formula>J248&lt;L248-#REF!</formula>
    </cfRule>
  </conditionalFormatting>
  <conditionalFormatting sqref="J249">
    <cfRule type="expression" dxfId="8957" priority="3271">
      <formula>J249&gt;L249+#REF!</formula>
    </cfRule>
    <cfRule type="expression" dxfId="8956" priority="3272">
      <formula>J249&lt;L249-#REF!</formula>
    </cfRule>
  </conditionalFormatting>
  <conditionalFormatting sqref="J250">
    <cfRule type="expression" dxfId="8955" priority="3269">
      <formula>J250&gt;L250+#REF!</formula>
    </cfRule>
    <cfRule type="expression" dxfId="8954" priority="3270">
      <formula>J250&lt;L250-#REF!</formula>
    </cfRule>
  </conditionalFormatting>
  <conditionalFormatting sqref="J251">
    <cfRule type="expression" dxfId="8953" priority="3267">
      <formula>J251&gt;L251+#REF!</formula>
    </cfRule>
    <cfRule type="expression" dxfId="8952" priority="3268">
      <formula>J251&lt;L251-#REF!</formula>
    </cfRule>
  </conditionalFormatting>
  <conditionalFormatting sqref="J252">
    <cfRule type="expression" dxfId="8951" priority="3265">
      <formula>J252&gt;L252+#REF!</formula>
    </cfRule>
    <cfRule type="expression" dxfId="8950" priority="3266">
      <formula>J252&lt;L252-#REF!</formula>
    </cfRule>
  </conditionalFormatting>
  <conditionalFormatting sqref="J253">
    <cfRule type="expression" dxfId="8949" priority="3263">
      <formula>J253&gt;L253+#REF!</formula>
    </cfRule>
    <cfRule type="expression" dxfId="8948" priority="3264">
      <formula>J253&lt;L253-#REF!</formula>
    </cfRule>
  </conditionalFormatting>
  <conditionalFormatting sqref="J254">
    <cfRule type="expression" dxfId="8947" priority="3261">
      <formula>J254&gt;L254+#REF!</formula>
    </cfRule>
    <cfRule type="expression" dxfId="8946" priority="3262">
      <formula>J254&lt;L254-#REF!</formula>
    </cfRule>
  </conditionalFormatting>
  <conditionalFormatting sqref="J255:J256">
    <cfRule type="expression" dxfId="8945" priority="3259">
      <formula>J255&gt;L255+#REF!</formula>
    </cfRule>
    <cfRule type="expression" dxfId="8944" priority="3260">
      <formula>J255&lt;L255-#REF!</formula>
    </cfRule>
  </conditionalFormatting>
  <conditionalFormatting sqref="J257">
    <cfRule type="expression" dxfId="8943" priority="3257">
      <formula>J257&gt;L257+#REF!</formula>
    </cfRule>
    <cfRule type="expression" dxfId="8942" priority="3258">
      <formula>J257&lt;L257-#REF!</formula>
    </cfRule>
  </conditionalFormatting>
  <conditionalFormatting sqref="J22">
    <cfRule type="expression" dxfId="8941" priority="3969">
      <formula>J22&lt;L22*#REF!</formula>
    </cfRule>
    <cfRule type="expression" dxfId="8940" priority="3970">
      <formula>J22&gt;L22*#REF!</formula>
    </cfRule>
  </conditionalFormatting>
  <conditionalFormatting sqref="J23">
    <cfRule type="expression" dxfId="8939" priority="3967">
      <formula>J23&lt;L23*#REF!</formula>
    </cfRule>
    <cfRule type="expression" dxfId="8938" priority="3968">
      <formula>J23&gt;L23*#REF!</formula>
    </cfRule>
  </conditionalFormatting>
  <conditionalFormatting sqref="J34">
    <cfRule type="expression" dxfId="8937" priority="3965">
      <formula>J34&lt;L34*#REF!</formula>
    </cfRule>
    <cfRule type="expression" dxfId="8936" priority="3966">
      <formula>J34&gt;L34*#REF!</formula>
    </cfRule>
  </conditionalFormatting>
  <conditionalFormatting sqref="J24">
    <cfRule type="expression" dxfId="8935" priority="3963">
      <formula>J24&gt;L24+#REF!</formula>
    </cfRule>
    <cfRule type="expression" dxfId="8934" priority="3964">
      <formula>J24&lt;L24-#REF!</formula>
    </cfRule>
  </conditionalFormatting>
  <conditionalFormatting sqref="J25">
    <cfRule type="expression" dxfId="8933" priority="3961">
      <formula>J25&gt;L25+#REF!</formula>
    </cfRule>
    <cfRule type="expression" dxfId="8932" priority="3962">
      <formula>J25&lt;L25-#REF!</formula>
    </cfRule>
  </conditionalFormatting>
  <conditionalFormatting sqref="J26">
    <cfRule type="expression" dxfId="8931" priority="3959">
      <formula>J26&gt;L26+#REF!</formula>
    </cfRule>
    <cfRule type="expression" dxfId="8930" priority="3960">
      <formula>J26&lt;L26-#REF!</formula>
    </cfRule>
  </conditionalFormatting>
  <conditionalFormatting sqref="J27">
    <cfRule type="expression" dxfId="8929" priority="3957">
      <formula>J27&gt;L27+#REF!</formula>
    </cfRule>
    <cfRule type="expression" dxfId="8928" priority="3958">
      <formula>J27&lt;L27-#REF!</formula>
    </cfRule>
  </conditionalFormatting>
  <conditionalFormatting sqref="J28">
    <cfRule type="expression" dxfId="8927" priority="3955">
      <formula>J28&gt;L28+#REF!</formula>
    </cfRule>
    <cfRule type="expression" dxfId="8926" priority="3956">
      <formula>J28&lt;L28-#REF!</formula>
    </cfRule>
  </conditionalFormatting>
  <conditionalFormatting sqref="J29">
    <cfRule type="expression" dxfId="8925" priority="3953">
      <formula>J29&gt;L29+#REF!</formula>
    </cfRule>
    <cfRule type="expression" dxfId="8924" priority="3954">
      <formula>J29&lt;L29-#REF!</formula>
    </cfRule>
  </conditionalFormatting>
  <conditionalFormatting sqref="J30">
    <cfRule type="expression" dxfId="8923" priority="3951">
      <formula>J30&gt;L30+#REF!</formula>
    </cfRule>
    <cfRule type="expression" dxfId="8922" priority="3952">
      <formula>J30&lt;L30-#REF!</formula>
    </cfRule>
  </conditionalFormatting>
  <conditionalFormatting sqref="J31:J32">
    <cfRule type="expression" dxfId="8921" priority="3949">
      <formula>J31&gt;L31+#REF!</formula>
    </cfRule>
    <cfRule type="expression" dxfId="8920" priority="3950">
      <formula>J31&lt;L31-#REF!</formula>
    </cfRule>
  </conditionalFormatting>
  <conditionalFormatting sqref="J33">
    <cfRule type="expression" dxfId="8919" priority="3947">
      <formula>J33&gt;L33+#REF!</formula>
    </cfRule>
    <cfRule type="expression" dxfId="8918" priority="3948">
      <formula>J33&lt;L33-#REF!</formula>
    </cfRule>
  </conditionalFormatting>
  <conditionalFormatting sqref="J36">
    <cfRule type="expression" dxfId="8917" priority="3945">
      <formula>J36&lt;L36*#REF!</formula>
    </cfRule>
    <cfRule type="expression" dxfId="8916" priority="3946">
      <formula>J36&gt;L36*#REF!</formula>
    </cfRule>
  </conditionalFormatting>
  <conditionalFormatting sqref="J37">
    <cfRule type="expression" dxfId="8915" priority="3943">
      <formula>J37&lt;L37*#REF!</formula>
    </cfRule>
    <cfRule type="expression" dxfId="8914" priority="3944">
      <formula>J37&gt;L37*#REF!</formula>
    </cfRule>
  </conditionalFormatting>
  <conditionalFormatting sqref="J38">
    <cfRule type="expression" dxfId="8913" priority="3939">
      <formula>J38&gt;L38+#REF!</formula>
    </cfRule>
    <cfRule type="expression" dxfId="8912" priority="3940">
      <formula>J38&lt;L38-#REF!</formula>
    </cfRule>
  </conditionalFormatting>
  <conditionalFormatting sqref="J39">
    <cfRule type="expression" dxfId="8911" priority="3937">
      <formula>J39&gt;L39+#REF!</formula>
    </cfRule>
    <cfRule type="expression" dxfId="8910" priority="3938">
      <formula>J39&lt;L39-#REF!</formula>
    </cfRule>
  </conditionalFormatting>
  <conditionalFormatting sqref="J40">
    <cfRule type="expression" dxfId="8909" priority="3935">
      <formula>J40&gt;L40+#REF!</formula>
    </cfRule>
    <cfRule type="expression" dxfId="8908" priority="3936">
      <formula>J40&lt;L40-#REF!</formula>
    </cfRule>
  </conditionalFormatting>
  <conditionalFormatting sqref="J41">
    <cfRule type="expression" dxfId="8907" priority="3933">
      <formula>J41&gt;L41+#REF!</formula>
    </cfRule>
    <cfRule type="expression" dxfId="8906" priority="3934">
      <formula>J41&lt;L41-#REF!</formula>
    </cfRule>
  </conditionalFormatting>
  <conditionalFormatting sqref="J42">
    <cfRule type="expression" dxfId="8905" priority="3931">
      <formula>J42&gt;L42+#REF!</formula>
    </cfRule>
    <cfRule type="expression" dxfId="8904" priority="3932">
      <formula>J42&lt;L42-#REF!</formula>
    </cfRule>
  </conditionalFormatting>
  <conditionalFormatting sqref="J43">
    <cfRule type="expression" dxfId="8903" priority="3929">
      <formula>J43&gt;L43+#REF!</formula>
    </cfRule>
    <cfRule type="expression" dxfId="8902" priority="3930">
      <formula>J43&lt;L43-#REF!</formula>
    </cfRule>
  </conditionalFormatting>
  <conditionalFormatting sqref="J44">
    <cfRule type="expression" dxfId="8901" priority="3927">
      <formula>J44&gt;L44+#REF!</formula>
    </cfRule>
    <cfRule type="expression" dxfId="8900" priority="3928">
      <formula>J44&lt;L44-#REF!</formula>
    </cfRule>
  </conditionalFormatting>
  <conditionalFormatting sqref="J45:J46">
    <cfRule type="expression" dxfId="8899" priority="3925">
      <formula>J45&gt;L45+#REF!</formula>
    </cfRule>
    <cfRule type="expression" dxfId="8898" priority="3926">
      <formula>J45&lt;L45-#REF!</formula>
    </cfRule>
  </conditionalFormatting>
  <conditionalFormatting sqref="J47">
    <cfRule type="expression" dxfId="8897" priority="3923">
      <formula>J47&gt;L47+#REF!</formula>
    </cfRule>
    <cfRule type="expression" dxfId="8896" priority="3924">
      <formula>J47&lt;L47-#REF!</formula>
    </cfRule>
  </conditionalFormatting>
  <conditionalFormatting sqref="J50">
    <cfRule type="expression" dxfId="8895" priority="3921">
      <formula>J50&lt;L50*#REF!</formula>
    </cfRule>
    <cfRule type="expression" dxfId="8894" priority="3922">
      <formula>J50&gt;L50*#REF!</formula>
    </cfRule>
  </conditionalFormatting>
  <conditionalFormatting sqref="J51">
    <cfRule type="expression" dxfId="8893" priority="3919">
      <formula>J51&lt;L51*#REF!</formula>
    </cfRule>
    <cfRule type="expression" dxfId="8892" priority="3920">
      <formula>J51&gt;L51*#REF!</formula>
    </cfRule>
  </conditionalFormatting>
  <conditionalFormatting sqref="J52">
    <cfRule type="expression" dxfId="8891" priority="3915">
      <formula>J52&gt;L52+#REF!</formula>
    </cfRule>
    <cfRule type="expression" dxfId="8890" priority="3916">
      <formula>J52&lt;L52-#REF!</formula>
    </cfRule>
  </conditionalFormatting>
  <conditionalFormatting sqref="J53">
    <cfRule type="expression" dxfId="8889" priority="3913">
      <formula>J53&gt;L53+#REF!</formula>
    </cfRule>
    <cfRule type="expression" dxfId="8888" priority="3914">
      <formula>J53&lt;L53-#REF!</formula>
    </cfRule>
  </conditionalFormatting>
  <conditionalFormatting sqref="J54">
    <cfRule type="expression" dxfId="8887" priority="3911">
      <formula>J54&gt;L54+#REF!</formula>
    </cfRule>
    <cfRule type="expression" dxfId="8886" priority="3912">
      <formula>J54&lt;L54-#REF!</formula>
    </cfRule>
  </conditionalFormatting>
  <conditionalFormatting sqref="J55">
    <cfRule type="expression" dxfId="8885" priority="3909">
      <formula>J55&gt;L55+#REF!</formula>
    </cfRule>
    <cfRule type="expression" dxfId="8884" priority="3910">
      <formula>J55&lt;L55-#REF!</formula>
    </cfRule>
  </conditionalFormatting>
  <conditionalFormatting sqref="J56">
    <cfRule type="expression" dxfId="8883" priority="3907">
      <formula>J56&gt;L56+#REF!</formula>
    </cfRule>
    <cfRule type="expression" dxfId="8882" priority="3908">
      <formula>J56&lt;L56-#REF!</formula>
    </cfRule>
  </conditionalFormatting>
  <conditionalFormatting sqref="J57">
    <cfRule type="expression" dxfId="8881" priority="3905">
      <formula>J57&gt;L57+#REF!</formula>
    </cfRule>
    <cfRule type="expression" dxfId="8880" priority="3906">
      <formula>J57&lt;L57-#REF!</formula>
    </cfRule>
  </conditionalFormatting>
  <conditionalFormatting sqref="J58">
    <cfRule type="expression" dxfId="8879" priority="3903">
      <formula>J58&gt;L58+#REF!</formula>
    </cfRule>
    <cfRule type="expression" dxfId="8878" priority="3904">
      <formula>J58&lt;L58-#REF!</formula>
    </cfRule>
  </conditionalFormatting>
  <conditionalFormatting sqref="J59:J60">
    <cfRule type="expression" dxfId="8877" priority="3901">
      <formula>J59&gt;L59+#REF!</formula>
    </cfRule>
    <cfRule type="expression" dxfId="8876" priority="3902">
      <formula>J59&lt;L59-#REF!</formula>
    </cfRule>
  </conditionalFormatting>
  <conditionalFormatting sqref="J61">
    <cfRule type="expression" dxfId="8875" priority="3899">
      <formula>J61&gt;L61+#REF!</formula>
    </cfRule>
    <cfRule type="expression" dxfId="8874" priority="3900">
      <formula>J61&lt;L61-#REF!</formula>
    </cfRule>
  </conditionalFormatting>
  <conditionalFormatting sqref="J64">
    <cfRule type="expression" dxfId="8873" priority="3897">
      <formula>J64&lt;L64*#REF!</formula>
    </cfRule>
    <cfRule type="expression" dxfId="8872" priority="3898">
      <formula>J64&gt;L64*#REF!</formula>
    </cfRule>
  </conditionalFormatting>
  <conditionalFormatting sqref="J65">
    <cfRule type="expression" dxfId="8871" priority="3895">
      <formula>J65&lt;L65*#REF!</formula>
    </cfRule>
    <cfRule type="expression" dxfId="8870" priority="3896">
      <formula>J65&gt;L65*#REF!</formula>
    </cfRule>
  </conditionalFormatting>
  <conditionalFormatting sqref="J66">
    <cfRule type="expression" dxfId="8869" priority="3891">
      <formula>J66&gt;L66+#REF!</formula>
    </cfRule>
    <cfRule type="expression" dxfId="8868" priority="3892">
      <formula>J66&lt;L66-#REF!</formula>
    </cfRule>
  </conditionalFormatting>
  <conditionalFormatting sqref="J67">
    <cfRule type="expression" dxfId="8867" priority="3889">
      <formula>J67&gt;L67+#REF!</formula>
    </cfRule>
    <cfRule type="expression" dxfId="8866" priority="3890">
      <formula>J67&lt;L67-#REF!</formula>
    </cfRule>
  </conditionalFormatting>
  <conditionalFormatting sqref="J68">
    <cfRule type="expression" dxfId="8865" priority="3887">
      <formula>J68&gt;L68+#REF!</formula>
    </cfRule>
    <cfRule type="expression" dxfId="8864" priority="3888">
      <formula>J68&lt;L68-#REF!</formula>
    </cfRule>
  </conditionalFormatting>
  <conditionalFormatting sqref="J69">
    <cfRule type="expression" dxfId="8863" priority="3885">
      <formula>J69&gt;L69+#REF!</formula>
    </cfRule>
    <cfRule type="expression" dxfId="8862" priority="3886">
      <formula>J69&lt;L69-#REF!</formula>
    </cfRule>
  </conditionalFormatting>
  <conditionalFormatting sqref="J70">
    <cfRule type="expression" dxfId="8861" priority="3883">
      <formula>J70&gt;L70+#REF!</formula>
    </cfRule>
    <cfRule type="expression" dxfId="8860" priority="3884">
      <formula>J70&lt;L70-#REF!</formula>
    </cfRule>
  </conditionalFormatting>
  <conditionalFormatting sqref="J71">
    <cfRule type="expression" dxfId="8859" priority="3881">
      <formula>J71&gt;L71+#REF!</formula>
    </cfRule>
    <cfRule type="expression" dxfId="8858" priority="3882">
      <formula>J71&lt;L71-#REF!</formula>
    </cfRule>
  </conditionalFormatting>
  <conditionalFormatting sqref="J72">
    <cfRule type="expression" dxfId="8857" priority="3879">
      <formula>J72&gt;L72+#REF!</formula>
    </cfRule>
    <cfRule type="expression" dxfId="8856" priority="3880">
      <formula>J72&lt;L72-#REF!</formula>
    </cfRule>
  </conditionalFormatting>
  <conditionalFormatting sqref="J73:J74">
    <cfRule type="expression" dxfId="8855" priority="3877">
      <formula>J73&gt;L73+#REF!</formula>
    </cfRule>
    <cfRule type="expression" dxfId="8854" priority="3878">
      <formula>J73&lt;L73-#REF!</formula>
    </cfRule>
  </conditionalFormatting>
  <conditionalFormatting sqref="J75">
    <cfRule type="expression" dxfId="8853" priority="3875">
      <formula>J75&gt;L75+#REF!</formula>
    </cfRule>
    <cfRule type="expression" dxfId="8852" priority="3876">
      <formula>J75&lt;L75-#REF!</formula>
    </cfRule>
  </conditionalFormatting>
  <conditionalFormatting sqref="J78">
    <cfRule type="expression" dxfId="8851" priority="3873">
      <formula>J78&lt;L78*#REF!</formula>
    </cfRule>
    <cfRule type="expression" dxfId="8850" priority="3874">
      <formula>J78&gt;L78*#REF!</formula>
    </cfRule>
  </conditionalFormatting>
  <conditionalFormatting sqref="J79">
    <cfRule type="expression" dxfId="8849" priority="3871">
      <formula>J79&lt;L79*#REF!</formula>
    </cfRule>
    <cfRule type="expression" dxfId="8848" priority="3872">
      <formula>J79&gt;L79*#REF!</formula>
    </cfRule>
  </conditionalFormatting>
  <conditionalFormatting sqref="J202">
    <cfRule type="expression" dxfId="8847" priority="3707">
      <formula>J202&lt;L202*#REF!</formula>
    </cfRule>
    <cfRule type="expression" dxfId="8846" priority="3708">
      <formula>J202&gt;L202*#REF!</formula>
    </cfRule>
  </conditionalFormatting>
  <conditionalFormatting sqref="J80">
    <cfRule type="expression" dxfId="8845" priority="3867">
      <formula>J80&gt;L80+#REF!</formula>
    </cfRule>
    <cfRule type="expression" dxfId="8844" priority="3868">
      <formula>J80&lt;L80-#REF!</formula>
    </cfRule>
  </conditionalFormatting>
  <conditionalFormatting sqref="J81">
    <cfRule type="expression" dxfId="8843" priority="3865">
      <formula>J81&gt;L81+#REF!</formula>
    </cfRule>
    <cfRule type="expression" dxfId="8842" priority="3866">
      <formula>J81&lt;L81-#REF!</formula>
    </cfRule>
  </conditionalFormatting>
  <conditionalFormatting sqref="J82">
    <cfRule type="expression" dxfId="8841" priority="3863">
      <formula>J82&gt;L82+#REF!</formula>
    </cfRule>
    <cfRule type="expression" dxfId="8840" priority="3864">
      <formula>J82&lt;L82-#REF!</formula>
    </cfRule>
  </conditionalFormatting>
  <conditionalFormatting sqref="J83">
    <cfRule type="expression" dxfId="8839" priority="3861">
      <formula>J83&gt;L83+#REF!</formula>
    </cfRule>
    <cfRule type="expression" dxfId="8838" priority="3862">
      <formula>J83&lt;L83-#REF!</formula>
    </cfRule>
  </conditionalFormatting>
  <conditionalFormatting sqref="J84">
    <cfRule type="expression" dxfId="8837" priority="3859">
      <formula>J84&gt;L84+#REF!</formula>
    </cfRule>
    <cfRule type="expression" dxfId="8836" priority="3860">
      <formula>J84&lt;L84-#REF!</formula>
    </cfRule>
  </conditionalFormatting>
  <conditionalFormatting sqref="J85">
    <cfRule type="expression" dxfId="8835" priority="3857">
      <formula>J85&gt;L85+#REF!</formula>
    </cfRule>
    <cfRule type="expression" dxfId="8834" priority="3858">
      <formula>J85&lt;L85-#REF!</formula>
    </cfRule>
  </conditionalFormatting>
  <conditionalFormatting sqref="J86">
    <cfRule type="expression" dxfId="8833" priority="3855">
      <formula>J86&gt;L86+#REF!</formula>
    </cfRule>
    <cfRule type="expression" dxfId="8832" priority="3856">
      <formula>J86&lt;L86-#REF!</formula>
    </cfRule>
  </conditionalFormatting>
  <conditionalFormatting sqref="J87:J88">
    <cfRule type="expression" dxfId="8831" priority="3853">
      <formula>J87&gt;L87+#REF!</formula>
    </cfRule>
    <cfRule type="expression" dxfId="8830" priority="3854">
      <formula>J87&lt;L87-#REF!</formula>
    </cfRule>
  </conditionalFormatting>
  <conditionalFormatting sqref="J89">
    <cfRule type="expression" dxfId="8829" priority="3851">
      <formula>J89&gt;L89+#REF!</formula>
    </cfRule>
    <cfRule type="expression" dxfId="8828" priority="3852">
      <formula>J89&lt;L89-#REF!</formula>
    </cfRule>
  </conditionalFormatting>
  <conditionalFormatting sqref="J106">
    <cfRule type="expression" dxfId="8827" priority="3825">
      <formula>J106&lt;L106*#REF!</formula>
    </cfRule>
    <cfRule type="expression" dxfId="8826" priority="3826">
      <formula>J106&gt;L106*#REF!</formula>
    </cfRule>
  </conditionalFormatting>
  <conditionalFormatting sqref="J107">
    <cfRule type="expression" dxfId="8825" priority="3823">
      <formula>J107&lt;L107*#REF!</formula>
    </cfRule>
    <cfRule type="expression" dxfId="8824" priority="3824">
      <formula>J107&gt;L107*#REF!</formula>
    </cfRule>
  </conditionalFormatting>
  <conditionalFormatting sqref="J216">
    <cfRule type="expression" dxfId="8823" priority="3659">
      <formula>J216&lt;L216*#REF!</formula>
    </cfRule>
    <cfRule type="expression" dxfId="8822" priority="3660">
      <formula>J216&gt;L216*#REF!</formula>
    </cfRule>
  </conditionalFormatting>
  <conditionalFormatting sqref="J111">
    <cfRule type="expression" dxfId="8821" priority="3819">
      <formula>J111&gt;L111+#REF!</formula>
    </cfRule>
    <cfRule type="expression" dxfId="8820" priority="3820">
      <formula>J111&lt;L111-#REF!</formula>
    </cfRule>
  </conditionalFormatting>
  <conditionalFormatting sqref="J112">
    <cfRule type="expression" dxfId="8819" priority="3817">
      <formula>J112&gt;L112+#REF!</formula>
    </cfRule>
    <cfRule type="expression" dxfId="8818" priority="3818">
      <formula>J112&lt;L112-#REF!</formula>
    </cfRule>
  </conditionalFormatting>
  <conditionalFormatting sqref="J113">
    <cfRule type="expression" dxfId="8817" priority="3815">
      <formula>J113&gt;L113+#REF!</formula>
    </cfRule>
    <cfRule type="expression" dxfId="8816" priority="3816">
      <formula>J113&lt;L113-#REF!</formula>
    </cfRule>
  </conditionalFormatting>
  <conditionalFormatting sqref="J114">
    <cfRule type="expression" dxfId="8815" priority="3813">
      <formula>J114&gt;L114+#REF!</formula>
    </cfRule>
    <cfRule type="expression" dxfId="8814" priority="3814">
      <formula>J114&lt;L114-#REF!</formula>
    </cfRule>
  </conditionalFormatting>
  <conditionalFormatting sqref="J115:J116">
    <cfRule type="expression" dxfId="8813" priority="3811">
      <formula>J115&gt;L115+#REF!</formula>
    </cfRule>
    <cfRule type="expression" dxfId="8812" priority="3812">
      <formula>J115&lt;L115-#REF!</formula>
    </cfRule>
  </conditionalFormatting>
  <conditionalFormatting sqref="J117">
    <cfRule type="expression" dxfId="8811" priority="3809">
      <formula>J117&gt;L117+#REF!</formula>
    </cfRule>
    <cfRule type="expression" dxfId="8810" priority="3810">
      <formula>J117&lt;L117-#REF!</formula>
    </cfRule>
  </conditionalFormatting>
  <conditionalFormatting sqref="J120">
    <cfRule type="expression" dxfId="8809" priority="3807">
      <formula>J120&lt;L120*#REF!</formula>
    </cfRule>
    <cfRule type="expression" dxfId="8808" priority="3808">
      <formula>J120&gt;L120*#REF!</formula>
    </cfRule>
  </conditionalFormatting>
  <conditionalFormatting sqref="J121">
    <cfRule type="expression" dxfId="8807" priority="3805">
      <formula>J121&lt;L121*#REF!</formula>
    </cfRule>
    <cfRule type="expression" dxfId="8806" priority="3806">
      <formula>J121&gt;L121*#REF!</formula>
    </cfRule>
  </conditionalFormatting>
  <conditionalFormatting sqref="J122">
    <cfRule type="expression" dxfId="8805" priority="3801">
      <formula>J122&gt;L122+#REF!</formula>
    </cfRule>
    <cfRule type="expression" dxfId="8804" priority="3802">
      <formula>J122&lt;L122-#REF!</formula>
    </cfRule>
  </conditionalFormatting>
  <conditionalFormatting sqref="J123">
    <cfRule type="expression" dxfId="8803" priority="3799">
      <formula>J123&gt;L123+#REF!</formula>
    </cfRule>
    <cfRule type="expression" dxfId="8802" priority="3800">
      <formula>J123&lt;L123-#REF!</formula>
    </cfRule>
  </conditionalFormatting>
  <conditionalFormatting sqref="J124">
    <cfRule type="expression" dxfId="8801" priority="3797">
      <formula>J124&gt;L124+#REF!</formula>
    </cfRule>
    <cfRule type="expression" dxfId="8800" priority="3798">
      <formula>J124&lt;L124-#REF!</formula>
    </cfRule>
  </conditionalFormatting>
  <conditionalFormatting sqref="J125">
    <cfRule type="expression" dxfId="8799" priority="3795">
      <formula>J125&gt;L125+#REF!</formula>
    </cfRule>
    <cfRule type="expression" dxfId="8798" priority="3796">
      <formula>J125&lt;L125-#REF!</formula>
    </cfRule>
  </conditionalFormatting>
  <conditionalFormatting sqref="J126">
    <cfRule type="expression" dxfId="8797" priority="3793">
      <formula>J126&gt;L126+#REF!</formula>
    </cfRule>
    <cfRule type="expression" dxfId="8796" priority="3794">
      <formula>J126&lt;L126-#REF!</formula>
    </cfRule>
  </conditionalFormatting>
  <conditionalFormatting sqref="J127">
    <cfRule type="expression" dxfId="8795" priority="3791">
      <formula>J127&gt;L127+#REF!</formula>
    </cfRule>
    <cfRule type="expression" dxfId="8794" priority="3792">
      <formula>J127&lt;L127-#REF!</formula>
    </cfRule>
  </conditionalFormatting>
  <conditionalFormatting sqref="J128">
    <cfRule type="expression" dxfId="8793" priority="3789">
      <formula>J128&gt;L128+#REF!</formula>
    </cfRule>
    <cfRule type="expression" dxfId="8792" priority="3790">
      <formula>J128&lt;L128-#REF!</formula>
    </cfRule>
  </conditionalFormatting>
  <conditionalFormatting sqref="J129:J130">
    <cfRule type="expression" dxfId="8791" priority="3787">
      <formula>J129&gt;L129+#REF!</formula>
    </cfRule>
    <cfRule type="expression" dxfId="8790" priority="3788">
      <formula>J129&lt;L129-#REF!</formula>
    </cfRule>
  </conditionalFormatting>
  <conditionalFormatting sqref="J131">
    <cfRule type="expression" dxfId="8789" priority="3785">
      <formula>J131&gt;L131+#REF!</formula>
    </cfRule>
    <cfRule type="expression" dxfId="8788" priority="3786">
      <formula>J131&lt;L131-#REF!</formula>
    </cfRule>
  </conditionalFormatting>
  <conditionalFormatting sqref="J148">
    <cfRule type="expression" dxfId="8787" priority="3759">
      <formula>J148&lt;L148*#REF!</formula>
    </cfRule>
    <cfRule type="expression" dxfId="8786" priority="3760">
      <formula>J148&gt;L148*#REF!</formula>
    </cfRule>
  </conditionalFormatting>
  <conditionalFormatting sqref="J149">
    <cfRule type="expression" dxfId="8785" priority="3757">
      <formula>J149&lt;L149*#REF!</formula>
    </cfRule>
    <cfRule type="expression" dxfId="8784" priority="3758">
      <formula>J149&gt;L149*#REF!</formula>
    </cfRule>
  </conditionalFormatting>
  <conditionalFormatting sqref="J150">
    <cfRule type="expression" dxfId="8783" priority="3753">
      <formula>J150&gt;L150+#REF!</formula>
    </cfRule>
    <cfRule type="expression" dxfId="8782" priority="3754">
      <formula>J150&lt;L150-#REF!</formula>
    </cfRule>
  </conditionalFormatting>
  <conditionalFormatting sqref="J151">
    <cfRule type="expression" dxfId="8781" priority="3751">
      <formula>J151&gt;L151+#REF!</formula>
    </cfRule>
    <cfRule type="expression" dxfId="8780" priority="3752">
      <formula>J151&lt;L151-#REF!</formula>
    </cfRule>
  </conditionalFormatting>
  <conditionalFormatting sqref="J152">
    <cfRule type="expression" dxfId="8779" priority="3749">
      <formula>J152&gt;L152+#REF!</formula>
    </cfRule>
    <cfRule type="expression" dxfId="8778" priority="3750">
      <formula>J152&lt;L152-#REF!</formula>
    </cfRule>
  </conditionalFormatting>
  <conditionalFormatting sqref="J153">
    <cfRule type="expression" dxfId="8777" priority="3747">
      <formula>J153&gt;L153+#REF!</formula>
    </cfRule>
    <cfRule type="expression" dxfId="8776" priority="3748">
      <formula>J153&lt;L153-#REF!</formula>
    </cfRule>
  </conditionalFormatting>
  <conditionalFormatting sqref="J154">
    <cfRule type="expression" dxfId="8775" priority="3745">
      <formula>J154&gt;L154+#REF!</formula>
    </cfRule>
    <cfRule type="expression" dxfId="8774" priority="3746">
      <formula>J154&lt;L154-#REF!</formula>
    </cfRule>
  </conditionalFormatting>
  <conditionalFormatting sqref="J155">
    <cfRule type="expression" dxfId="8773" priority="3743">
      <formula>J155&gt;L155+#REF!</formula>
    </cfRule>
    <cfRule type="expression" dxfId="8772" priority="3744">
      <formula>J155&lt;L155-#REF!</formula>
    </cfRule>
  </conditionalFormatting>
  <conditionalFormatting sqref="J156">
    <cfRule type="expression" dxfId="8771" priority="3741">
      <formula>J156&gt;L156+#REF!</formula>
    </cfRule>
    <cfRule type="expression" dxfId="8770" priority="3742">
      <formula>J156&lt;L156-#REF!</formula>
    </cfRule>
  </conditionalFormatting>
  <conditionalFormatting sqref="J157:J158">
    <cfRule type="expression" dxfId="8769" priority="3739">
      <formula>J157&gt;L157+#REF!</formula>
    </cfRule>
    <cfRule type="expression" dxfId="8768" priority="3740">
      <formula>J157&lt;L157-#REF!</formula>
    </cfRule>
  </conditionalFormatting>
  <conditionalFormatting sqref="J159">
    <cfRule type="expression" dxfId="8767" priority="3737">
      <formula>J159&gt;L159+#REF!</formula>
    </cfRule>
    <cfRule type="expression" dxfId="8766" priority="3738">
      <formula>J159&lt;L159-#REF!</formula>
    </cfRule>
  </conditionalFormatting>
  <conditionalFormatting sqref="J162">
    <cfRule type="expression" dxfId="8765" priority="3735">
      <formula>J162&lt;L162*#REF!</formula>
    </cfRule>
    <cfRule type="expression" dxfId="8764" priority="3736">
      <formula>J162&gt;L162*#REF!</formula>
    </cfRule>
  </conditionalFormatting>
  <conditionalFormatting sqref="J163">
    <cfRule type="expression" dxfId="8763" priority="3733">
      <formula>J163&lt;L163*#REF!</formula>
    </cfRule>
    <cfRule type="expression" dxfId="8762" priority="3734">
      <formula>J163&gt;L163*#REF!</formula>
    </cfRule>
  </conditionalFormatting>
  <conditionalFormatting sqref="J164">
    <cfRule type="expression" dxfId="8761" priority="3729">
      <formula>J164&gt;L164+#REF!</formula>
    </cfRule>
    <cfRule type="expression" dxfId="8760" priority="3730">
      <formula>J164&lt;L164-#REF!</formula>
    </cfRule>
  </conditionalFormatting>
  <conditionalFormatting sqref="J165">
    <cfRule type="expression" dxfId="8759" priority="3727">
      <formula>J165&gt;L165+#REF!</formula>
    </cfRule>
    <cfRule type="expression" dxfId="8758" priority="3728">
      <formula>J165&lt;L165-#REF!</formula>
    </cfRule>
  </conditionalFormatting>
  <conditionalFormatting sqref="J166">
    <cfRule type="expression" dxfId="8757" priority="3725">
      <formula>J166&gt;L166+#REF!</formula>
    </cfRule>
    <cfRule type="expression" dxfId="8756" priority="3726">
      <formula>J166&lt;L166-#REF!</formula>
    </cfRule>
  </conditionalFormatting>
  <conditionalFormatting sqref="J167">
    <cfRule type="expression" dxfId="8755" priority="3723">
      <formula>J167&gt;L167+#REF!</formula>
    </cfRule>
    <cfRule type="expression" dxfId="8754" priority="3724">
      <formula>J167&lt;L167-#REF!</formula>
    </cfRule>
  </conditionalFormatting>
  <conditionalFormatting sqref="J168">
    <cfRule type="expression" dxfId="8753" priority="3721">
      <formula>J168&gt;L168+#REF!</formula>
    </cfRule>
    <cfRule type="expression" dxfId="8752" priority="3722">
      <formula>J168&lt;L168-#REF!</formula>
    </cfRule>
  </conditionalFormatting>
  <conditionalFormatting sqref="J169">
    <cfRule type="expression" dxfId="8751" priority="3719">
      <formula>J169&gt;L169+#REF!</formula>
    </cfRule>
    <cfRule type="expression" dxfId="8750" priority="3720">
      <formula>J169&lt;L169-#REF!</formula>
    </cfRule>
  </conditionalFormatting>
  <conditionalFormatting sqref="J170">
    <cfRule type="expression" dxfId="8749" priority="3717">
      <formula>J170&gt;L170+#REF!</formula>
    </cfRule>
    <cfRule type="expression" dxfId="8748" priority="3718">
      <formula>J170&lt;L170-#REF!</formula>
    </cfRule>
  </conditionalFormatting>
  <conditionalFormatting sqref="J171:J172">
    <cfRule type="expression" dxfId="8747" priority="3715">
      <formula>J171&gt;L171+#REF!</formula>
    </cfRule>
    <cfRule type="expression" dxfId="8746" priority="3716">
      <formula>J171&lt;L171-#REF!</formula>
    </cfRule>
  </conditionalFormatting>
  <conditionalFormatting sqref="J173">
    <cfRule type="expression" dxfId="8745" priority="3713">
      <formula>J173&gt;L173+#REF!</formula>
    </cfRule>
    <cfRule type="expression" dxfId="8744" priority="3714">
      <formula>J173&lt;L173-#REF!</formula>
    </cfRule>
  </conditionalFormatting>
  <conditionalFormatting sqref="J190">
    <cfRule type="expression" dxfId="8743" priority="3711">
      <formula>J190&lt;L190*#REF!</formula>
    </cfRule>
    <cfRule type="expression" dxfId="8742" priority="3712">
      <formula>J190&gt;L190*#REF!</formula>
    </cfRule>
  </conditionalFormatting>
  <conditionalFormatting sqref="J191">
    <cfRule type="expression" dxfId="8741" priority="3709">
      <formula>J191&lt;L191*#REF!</formula>
    </cfRule>
    <cfRule type="expression" dxfId="8740" priority="3710">
      <formula>J191&gt;L191*#REF!</formula>
    </cfRule>
  </conditionalFormatting>
  <conditionalFormatting sqref="J192">
    <cfRule type="expression" dxfId="8739" priority="3705">
      <formula>J192&gt;L192+#REF!</formula>
    </cfRule>
    <cfRule type="expression" dxfId="8738" priority="3706">
      <formula>J192&lt;L192-#REF!</formula>
    </cfRule>
  </conditionalFormatting>
  <conditionalFormatting sqref="J193">
    <cfRule type="expression" dxfId="8737" priority="3703">
      <formula>J193&gt;L193+#REF!</formula>
    </cfRule>
    <cfRule type="expression" dxfId="8736" priority="3704">
      <formula>J193&lt;L193-#REF!</formula>
    </cfRule>
  </conditionalFormatting>
  <conditionalFormatting sqref="J194">
    <cfRule type="expression" dxfId="8735" priority="3701">
      <formula>J194&gt;L194+#REF!</formula>
    </cfRule>
    <cfRule type="expression" dxfId="8734" priority="3702">
      <formula>J194&lt;L194-#REF!</formula>
    </cfRule>
  </conditionalFormatting>
  <conditionalFormatting sqref="J195">
    <cfRule type="expression" dxfId="8733" priority="3699">
      <formula>J195&gt;L195+#REF!</formula>
    </cfRule>
    <cfRule type="expression" dxfId="8732" priority="3700">
      <formula>J195&lt;L195-#REF!</formula>
    </cfRule>
  </conditionalFormatting>
  <conditionalFormatting sqref="J196">
    <cfRule type="expression" dxfId="8731" priority="3697">
      <formula>J196&gt;L196+#REF!</formula>
    </cfRule>
    <cfRule type="expression" dxfId="8730" priority="3698">
      <formula>J196&lt;L196-#REF!</formula>
    </cfRule>
  </conditionalFormatting>
  <conditionalFormatting sqref="J197">
    <cfRule type="expression" dxfId="8729" priority="3695">
      <formula>J197&gt;L197+#REF!</formula>
    </cfRule>
    <cfRule type="expression" dxfId="8728" priority="3696">
      <formula>J197&lt;L197-#REF!</formula>
    </cfRule>
  </conditionalFormatting>
  <conditionalFormatting sqref="J198">
    <cfRule type="expression" dxfId="8727" priority="3693">
      <formula>J198&gt;L198+#REF!</formula>
    </cfRule>
    <cfRule type="expression" dxfId="8726" priority="3694">
      <formula>J198&lt;L198-#REF!</formula>
    </cfRule>
  </conditionalFormatting>
  <conditionalFormatting sqref="J199:J200">
    <cfRule type="expression" dxfId="8725" priority="3691">
      <formula>J199&gt;L199+#REF!</formula>
    </cfRule>
    <cfRule type="expression" dxfId="8724" priority="3692">
      <formula>J199&lt;L199-#REF!</formula>
    </cfRule>
  </conditionalFormatting>
  <conditionalFormatting sqref="J201">
    <cfRule type="expression" dxfId="8723" priority="3689">
      <formula>J201&gt;L201+#REF!</formula>
    </cfRule>
    <cfRule type="expression" dxfId="8722" priority="3690">
      <formula>J201&lt;L201-#REF!</formula>
    </cfRule>
  </conditionalFormatting>
  <conditionalFormatting sqref="J176">
    <cfRule type="expression" dxfId="8721" priority="3687">
      <formula>J176&lt;L176*#REF!</formula>
    </cfRule>
    <cfRule type="expression" dxfId="8720" priority="3688">
      <formula>J176&gt;L176*#REF!</formula>
    </cfRule>
  </conditionalFormatting>
  <conditionalFormatting sqref="J177">
    <cfRule type="expression" dxfId="8719" priority="3685">
      <formula>J177&lt;L177*#REF!</formula>
    </cfRule>
    <cfRule type="expression" dxfId="8718" priority="3686">
      <formula>J177&gt;L177*#REF!</formula>
    </cfRule>
  </conditionalFormatting>
  <conditionalFormatting sqref="J178">
    <cfRule type="expression" dxfId="8717" priority="3681">
      <formula>J178&gt;L178+#REF!</formula>
    </cfRule>
    <cfRule type="expression" dxfId="8716" priority="3682">
      <formula>J178&lt;L178-#REF!</formula>
    </cfRule>
  </conditionalFormatting>
  <conditionalFormatting sqref="J179">
    <cfRule type="expression" dxfId="8715" priority="3679">
      <formula>J179&gt;L179+#REF!</formula>
    </cfRule>
    <cfRule type="expression" dxfId="8714" priority="3680">
      <formula>J179&lt;L179-#REF!</formula>
    </cfRule>
  </conditionalFormatting>
  <conditionalFormatting sqref="J180">
    <cfRule type="expression" dxfId="8713" priority="3677">
      <formula>J180&gt;L180+#REF!</formula>
    </cfRule>
    <cfRule type="expression" dxfId="8712" priority="3678">
      <formula>J180&lt;L180-#REF!</formula>
    </cfRule>
  </conditionalFormatting>
  <conditionalFormatting sqref="J181">
    <cfRule type="expression" dxfId="8711" priority="3675">
      <formula>J181&gt;L181+#REF!</formula>
    </cfRule>
    <cfRule type="expression" dxfId="8710" priority="3676">
      <formula>J181&lt;L181-#REF!</formula>
    </cfRule>
  </conditionalFormatting>
  <conditionalFormatting sqref="J182">
    <cfRule type="expression" dxfId="8709" priority="3673">
      <formula>J182&gt;L182+#REF!</formula>
    </cfRule>
    <cfRule type="expression" dxfId="8708" priority="3674">
      <formula>J182&lt;L182-#REF!</formula>
    </cfRule>
  </conditionalFormatting>
  <conditionalFormatting sqref="J183">
    <cfRule type="expression" dxfId="8707" priority="3671">
      <formula>J183&gt;L183+#REF!</formula>
    </cfRule>
    <cfRule type="expression" dxfId="8706" priority="3672">
      <formula>J183&lt;L183-#REF!</formula>
    </cfRule>
  </conditionalFormatting>
  <conditionalFormatting sqref="J184">
    <cfRule type="expression" dxfId="8705" priority="3669">
      <formula>J184&gt;L184+#REF!</formula>
    </cfRule>
    <cfRule type="expression" dxfId="8704" priority="3670">
      <formula>J184&lt;L184-#REF!</formula>
    </cfRule>
  </conditionalFormatting>
  <conditionalFormatting sqref="J185:J186">
    <cfRule type="expression" dxfId="8703" priority="3667">
      <formula>J185&gt;L185+#REF!</formula>
    </cfRule>
    <cfRule type="expression" dxfId="8702" priority="3668">
      <formula>J185&lt;L185-#REF!</formula>
    </cfRule>
  </conditionalFormatting>
  <conditionalFormatting sqref="J187">
    <cfRule type="expression" dxfId="8701" priority="3665">
      <formula>J187&gt;L187+#REF!</formula>
    </cfRule>
    <cfRule type="expression" dxfId="8700" priority="3666">
      <formula>J187&lt;L187-#REF!</formula>
    </cfRule>
  </conditionalFormatting>
  <conditionalFormatting sqref="J230">
    <cfRule type="expression" dxfId="8699" priority="3611">
      <formula>J230&lt;L230*#REF!</formula>
    </cfRule>
    <cfRule type="expression" dxfId="8698" priority="3612">
      <formula>J230&gt;L230*#REF!</formula>
    </cfRule>
  </conditionalFormatting>
  <conditionalFormatting sqref="F232">
    <cfRule type="expression" dxfId="8697" priority="3471">
      <formula>F232&lt;H232*#REF!</formula>
    </cfRule>
    <cfRule type="expression" dxfId="8696" priority="3472">
      <formula>F232&gt;H232*#REF!</formula>
    </cfRule>
  </conditionalFormatting>
  <conditionalFormatting sqref="F233">
    <cfRule type="expression" dxfId="8695" priority="3469">
      <formula>F233&lt;H233*#REF!</formula>
    </cfRule>
    <cfRule type="expression" dxfId="8694" priority="3470">
      <formula>F233&gt;H233*#REF!</formula>
    </cfRule>
  </conditionalFormatting>
  <conditionalFormatting sqref="F244">
    <cfRule type="expression" dxfId="8693" priority="3467">
      <formula>F244&lt;H244*#REF!</formula>
    </cfRule>
    <cfRule type="expression" dxfId="8692" priority="3468">
      <formula>F244&gt;H244*#REF!</formula>
    </cfRule>
  </conditionalFormatting>
  <conditionalFormatting sqref="F234">
    <cfRule type="expression" dxfId="8691" priority="3465">
      <formula>F234&gt;H234+#REF!</formula>
    </cfRule>
    <cfRule type="expression" dxfId="8690" priority="3466">
      <formula>F234&lt;H234-#REF!</formula>
    </cfRule>
  </conditionalFormatting>
  <conditionalFormatting sqref="F235">
    <cfRule type="expression" dxfId="8689" priority="3463">
      <formula>F235&gt;H235+#REF!</formula>
    </cfRule>
    <cfRule type="expression" dxfId="8688" priority="3464">
      <formula>F235&lt;H235-#REF!</formula>
    </cfRule>
  </conditionalFormatting>
  <conditionalFormatting sqref="F236">
    <cfRule type="expression" dxfId="8687" priority="3461">
      <formula>F236&gt;H236+#REF!</formula>
    </cfRule>
    <cfRule type="expression" dxfId="8686" priority="3462">
      <formula>F236&lt;H236-#REF!</formula>
    </cfRule>
  </conditionalFormatting>
  <conditionalFormatting sqref="F237">
    <cfRule type="expression" dxfId="8685" priority="3459">
      <formula>F237&gt;H237+#REF!</formula>
    </cfRule>
    <cfRule type="expression" dxfId="8684" priority="3460">
      <formula>F237&lt;H237-#REF!</formula>
    </cfRule>
  </conditionalFormatting>
  <conditionalFormatting sqref="F238">
    <cfRule type="expression" dxfId="8683" priority="3457">
      <formula>F238&gt;H238+#REF!</formula>
    </cfRule>
    <cfRule type="expression" dxfId="8682" priority="3458">
      <formula>F238&lt;H238-#REF!</formula>
    </cfRule>
  </conditionalFormatting>
  <conditionalFormatting sqref="F239">
    <cfRule type="expression" dxfId="8681" priority="3455">
      <formula>F239&gt;H239+#REF!</formula>
    </cfRule>
    <cfRule type="expression" dxfId="8680" priority="3456">
      <formula>F239&lt;H239-#REF!</formula>
    </cfRule>
  </conditionalFormatting>
  <conditionalFormatting sqref="F240">
    <cfRule type="expression" dxfId="8679" priority="3453">
      <formula>F240&gt;H240+#REF!</formula>
    </cfRule>
    <cfRule type="expression" dxfId="8678" priority="3454">
      <formula>F240&lt;H240-#REF!</formula>
    </cfRule>
  </conditionalFormatting>
  <conditionalFormatting sqref="F241:F242">
    <cfRule type="expression" dxfId="8677" priority="3451">
      <formula>F241&gt;H241+#REF!</formula>
    </cfRule>
    <cfRule type="expression" dxfId="8676" priority="3452">
      <formula>F241&lt;H241-#REF!</formula>
    </cfRule>
  </conditionalFormatting>
  <conditionalFormatting sqref="F243">
    <cfRule type="expression" dxfId="8675" priority="3449">
      <formula>F243&gt;H243+#REF!</formula>
    </cfRule>
    <cfRule type="expression" dxfId="8674" priority="3450">
      <formula>F243&lt;H243-#REF!</formula>
    </cfRule>
  </conditionalFormatting>
  <conditionalFormatting sqref="F246">
    <cfRule type="expression" dxfId="8673" priority="3303">
      <formula>F246&lt;H246*#REF!</formula>
    </cfRule>
    <cfRule type="expression" dxfId="8672" priority="3304">
      <formula>F246&gt;H246*#REF!</formula>
    </cfRule>
  </conditionalFormatting>
  <conditionalFormatting sqref="F247">
    <cfRule type="expression" dxfId="8671" priority="3301">
      <formula>F247&lt;H247*#REF!</formula>
    </cfRule>
    <cfRule type="expression" dxfId="8670" priority="3302">
      <formula>F247&gt;H247*#REF!</formula>
    </cfRule>
  </conditionalFormatting>
  <conditionalFormatting sqref="F258">
    <cfRule type="expression" dxfId="8669" priority="3299">
      <formula>F258&lt;H258*#REF!</formula>
    </cfRule>
    <cfRule type="expression" dxfId="8668" priority="3300">
      <formula>F258&gt;H258*#REF!</formula>
    </cfRule>
  </conditionalFormatting>
  <conditionalFormatting sqref="F248">
    <cfRule type="expression" dxfId="8667" priority="3297">
      <formula>F248&gt;H248+#REF!</formula>
    </cfRule>
    <cfRule type="expression" dxfId="8666" priority="3298">
      <formula>F248&lt;H248-#REF!</formula>
    </cfRule>
  </conditionalFormatting>
  <conditionalFormatting sqref="F249">
    <cfRule type="expression" dxfId="8665" priority="3295">
      <formula>F249&gt;H249+#REF!</formula>
    </cfRule>
    <cfRule type="expression" dxfId="8664" priority="3296">
      <formula>F249&lt;H249-#REF!</formula>
    </cfRule>
  </conditionalFormatting>
  <conditionalFormatting sqref="F250">
    <cfRule type="expression" dxfId="8663" priority="3293">
      <formula>F250&gt;H250+#REF!</formula>
    </cfRule>
    <cfRule type="expression" dxfId="8662" priority="3294">
      <formula>F250&lt;H250-#REF!</formula>
    </cfRule>
  </conditionalFormatting>
  <conditionalFormatting sqref="F251">
    <cfRule type="expression" dxfId="8661" priority="3291">
      <formula>F251&gt;H251+#REF!</formula>
    </cfRule>
    <cfRule type="expression" dxfId="8660" priority="3292">
      <formula>F251&lt;H251-#REF!</formula>
    </cfRule>
  </conditionalFormatting>
  <conditionalFormatting sqref="F252">
    <cfRule type="expression" dxfId="8659" priority="3289">
      <formula>F252&gt;H252+#REF!</formula>
    </cfRule>
    <cfRule type="expression" dxfId="8658" priority="3290">
      <formula>F252&lt;H252-#REF!</formula>
    </cfRule>
  </conditionalFormatting>
  <conditionalFormatting sqref="F253">
    <cfRule type="expression" dxfId="8657" priority="3287">
      <formula>F253&gt;H253+#REF!</formula>
    </cfRule>
    <cfRule type="expression" dxfId="8656" priority="3288">
      <formula>F253&lt;H253-#REF!</formula>
    </cfRule>
  </conditionalFormatting>
  <conditionalFormatting sqref="F254">
    <cfRule type="expression" dxfId="8655" priority="3285">
      <formula>F254&gt;H254+#REF!</formula>
    </cfRule>
    <cfRule type="expression" dxfId="8654" priority="3286">
      <formula>F254&lt;H254-#REF!</formula>
    </cfRule>
  </conditionalFormatting>
  <conditionalFormatting sqref="F255:F256">
    <cfRule type="expression" dxfId="8653" priority="3283">
      <formula>F255&gt;H255+#REF!</formula>
    </cfRule>
    <cfRule type="expression" dxfId="8652" priority="3284">
      <formula>F255&lt;H255-#REF!</formula>
    </cfRule>
  </conditionalFormatting>
  <conditionalFormatting sqref="F257">
    <cfRule type="expression" dxfId="8651" priority="3281">
      <formula>F257&gt;H257+#REF!</formula>
    </cfRule>
    <cfRule type="expression" dxfId="8650" priority="3282">
      <formula>F257&lt;H257-#REF!</formula>
    </cfRule>
  </conditionalFormatting>
  <conditionalFormatting sqref="J258">
    <cfRule type="expression" dxfId="8649" priority="3275">
      <formula>J258&lt;L258*#REF!</formula>
    </cfRule>
    <cfRule type="expression" dxfId="8648" priority="3276">
      <formula>J258&gt;L258*#REF!</formula>
    </cfRule>
  </conditionalFormatting>
  <conditionalFormatting sqref="J108">
    <cfRule type="expression" dxfId="8647" priority="3253">
      <formula>J108&gt;L108+#REF!</formula>
    </cfRule>
    <cfRule type="expression" dxfId="8646" priority="3254">
      <formula>J108&lt;L108-#REF!</formula>
    </cfRule>
  </conditionalFormatting>
  <conditionalFormatting sqref="J109">
    <cfRule type="expression" dxfId="8645" priority="3251">
      <formula>J109&gt;L109+#REF!</formula>
    </cfRule>
    <cfRule type="expression" dxfId="8644" priority="3252">
      <formula>J109&lt;L109-#REF!</formula>
    </cfRule>
  </conditionalFormatting>
  <conditionalFormatting sqref="J110">
    <cfRule type="expression" dxfId="8643" priority="3249">
      <formula>J110&gt;L110+#REF!</formula>
    </cfRule>
    <cfRule type="expression" dxfId="8642" priority="3250">
      <formula>J110&lt;L110-#REF!</formula>
    </cfRule>
  </conditionalFormatting>
  <conditionalFormatting sqref="K67">
    <cfRule type="expression" dxfId="8641" priority="3207">
      <formula>K67&gt;M67+#REF!</formula>
    </cfRule>
    <cfRule type="expression" dxfId="8640" priority="3208">
      <formula>K67&lt;M67-#REF!</formula>
    </cfRule>
  </conditionalFormatting>
  <conditionalFormatting sqref="O120">
    <cfRule type="expression" dxfId="8639" priority="3005">
      <formula>O120&lt;Q120*#REF!</formula>
    </cfRule>
    <cfRule type="expression" dxfId="8638" priority="3006">
      <formula>O120&gt;Q120*#REF!</formula>
    </cfRule>
  </conditionalFormatting>
  <conditionalFormatting sqref="O121">
    <cfRule type="expression" dxfId="8637" priority="3003">
      <formula>O121&lt;Q121*#REF!</formula>
    </cfRule>
    <cfRule type="expression" dxfId="8636" priority="3004">
      <formula>O121&gt;Q121*#REF!</formula>
    </cfRule>
  </conditionalFormatting>
  <conditionalFormatting sqref="O132">
    <cfRule type="expression" dxfId="8635" priority="3001">
      <formula>O132&lt;Q132*#REF!</formula>
    </cfRule>
    <cfRule type="expression" dxfId="8634" priority="3002">
      <formula>O132&gt;Q132*#REF!</formula>
    </cfRule>
  </conditionalFormatting>
  <conditionalFormatting sqref="O122">
    <cfRule type="expression" dxfId="8633" priority="2999">
      <formula>O122&gt;Q122+#REF!</formula>
    </cfRule>
    <cfRule type="expression" dxfId="8632" priority="3000">
      <formula>O122&lt;Q122-#REF!</formula>
    </cfRule>
  </conditionalFormatting>
  <conditionalFormatting sqref="O123">
    <cfRule type="expression" dxfId="8631" priority="2997">
      <formula>O123&gt;Q123+#REF!</formula>
    </cfRule>
    <cfRule type="expression" dxfId="8630" priority="2998">
      <formula>O123&lt;Q123-#REF!</formula>
    </cfRule>
  </conditionalFormatting>
  <conditionalFormatting sqref="O124">
    <cfRule type="expression" dxfId="8629" priority="2995">
      <formula>O124&gt;Q124+#REF!</formula>
    </cfRule>
    <cfRule type="expression" dxfId="8628" priority="2996">
      <formula>O124&lt;Q124-#REF!</formula>
    </cfRule>
  </conditionalFormatting>
  <conditionalFormatting sqref="O125">
    <cfRule type="expression" dxfId="8627" priority="2993">
      <formula>O125&gt;Q125+#REF!</formula>
    </cfRule>
    <cfRule type="expression" dxfId="8626" priority="2994">
      <formula>O125&lt;Q125-#REF!</formula>
    </cfRule>
  </conditionalFormatting>
  <conditionalFormatting sqref="O126">
    <cfRule type="expression" dxfId="8625" priority="2991">
      <formula>O126&gt;Q126+#REF!</formula>
    </cfRule>
    <cfRule type="expression" dxfId="8624" priority="2992">
      <formula>O126&lt;Q126-#REF!</formula>
    </cfRule>
  </conditionalFormatting>
  <conditionalFormatting sqref="O127">
    <cfRule type="expression" dxfId="8623" priority="2989">
      <formula>O127&gt;Q127+#REF!</formula>
    </cfRule>
    <cfRule type="expression" dxfId="8622" priority="2990">
      <formula>O127&lt;Q127-#REF!</formula>
    </cfRule>
  </conditionalFormatting>
  <conditionalFormatting sqref="O128">
    <cfRule type="expression" dxfId="8621" priority="2987">
      <formula>O128&gt;Q128+#REF!</formula>
    </cfRule>
    <cfRule type="expression" dxfId="8620" priority="2988">
      <formula>O128&lt;Q128-#REF!</formula>
    </cfRule>
  </conditionalFormatting>
  <conditionalFormatting sqref="O129:O130">
    <cfRule type="expression" dxfId="8619" priority="2985">
      <formula>O129&gt;Q129+#REF!</formula>
    </cfRule>
    <cfRule type="expression" dxfId="8618" priority="2986">
      <formula>O129&lt;Q129-#REF!</formula>
    </cfRule>
  </conditionalFormatting>
  <conditionalFormatting sqref="O131">
    <cfRule type="expression" dxfId="8617" priority="2983">
      <formula>O131&gt;Q131+#REF!</formula>
    </cfRule>
    <cfRule type="expression" dxfId="8616" priority="2984">
      <formula>O131&lt;Q131-#REF!</formula>
    </cfRule>
  </conditionalFormatting>
  <conditionalFormatting sqref="O134">
    <cfRule type="expression" dxfId="8615" priority="2981">
      <formula>O134&lt;Q134*#REF!</formula>
    </cfRule>
    <cfRule type="expression" dxfId="8614" priority="2982">
      <formula>O134&gt;Q134*#REF!</formula>
    </cfRule>
  </conditionalFormatting>
  <conditionalFormatting sqref="O135">
    <cfRule type="expression" dxfId="8613" priority="2979">
      <formula>O135&lt;Q135*#REF!</formula>
    </cfRule>
    <cfRule type="expression" dxfId="8612" priority="2980">
      <formula>O135&gt;Q135*#REF!</formula>
    </cfRule>
  </conditionalFormatting>
  <conditionalFormatting sqref="O146">
    <cfRule type="expression" dxfId="8611" priority="2977">
      <formula>O146&lt;Q146*#REF!</formula>
    </cfRule>
    <cfRule type="expression" dxfId="8610" priority="2978">
      <formula>O146&gt;Q146*#REF!</formula>
    </cfRule>
  </conditionalFormatting>
  <conditionalFormatting sqref="O136">
    <cfRule type="expression" dxfId="8609" priority="2975">
      <formula>O136&gt;Q136+#REF!</formula>
    </cfRule>
    <cfRule type="expression" dxfId="8608" priority="2976">
      <formula>O136&lt;Q136-#REF!</formula>
    </cfRule>
  </conditionalFormatting>
  <conditionalFormatting sqref="O137">
    <cfRule type="expression" dxfId="8607" priority="2973">
      <formula>O137&gt;Q137+#REF!</formula>
    </cfRule>
    <cfRule type="expression" dxfId="8606" priority="2974">
      <formula>O137&lt;Q137-#REF!</formula>
    </cfRule>
  </conditionalFormatting>
  <conditionalFormatting sqref="O138">
    <cfRule type="expression" dxfId="8605" priority="2971">
      <formula>O138&gt;Q138+#REF!</formula>
    </cfRule>
    <cfRule type="expression" dxfId="8604" priority="2972">
      <formula>O138&lt;Q138-#REF!</formula>
    </cfRule>
  </conditionalFormatting>
  <conditionalFormatting sqref="O139">
    <cfRule type="expression" dxfId="8603" priority="2969">
      <formula>O139&gt;Q139+#REF!</formula>
    </cfRule>
    <cfRule type="expression" dxfId="8602" priority="2970">
      <formula>O139&lt;Q139-#REF!</formula>
    </cfRule>
  </conditionalFormatting>
  <conditionalFormatting sqref="O140">
    <cfRule type="expression" dxfId="8601" priority="2967">
      <formula>O140&gt;Q140+#REF!</formula>
    </cfRule>
    <cfRule type="expression" dxfId="8600" priority="2968">
      <formula>O140&lt;Q140-#REF!</formula>
    </cfRule>
  </conditionalFormatting>
  <conditionalFormatting sqref="O141">
    <cfRule type="expression" dxfId="8599" priority="2965">
      <formula>O141&gt;Q141+#REF!</formula>
    </cfRule>
    <cfRule type="expression" dxfId="8598" priority="2966">
      <formula>O141&lt;Q141-#REF!</formula>
    </cfRule>
  </conditionalFormatting>
  <conditionalFormatting sqref="O142">
    <cfRule type="expression" dxfId="8597" priority="2963">
      <formula>O142&gt;Q142+#REF!</formula>
    </cfRule>
    <cfRule type="expression" dxfId="8596" priority="2964">
      <formula>O142&lt;Q142-#REF!</formula>
    </cfRule>
  </conditionalFormatting>
  <conditionalFormatting sqref="O143:O144">
    <cfRule type="expression" dxfId="8595" priority="2961">
      <formula>O143&gt;Q143+#REF!</formula>
    </cfRule>
    <cfRule type="expression" dxfId="8594" priority="2962">
      <formula>O143&lt;Q143-#REF!</formula>
    </cfRule>
  </conditionalFormatting>
  <conditionalFormatting sqref="O145">
    <cfRule type="expression" dxfId="8593" priority="2959">
      <formula>O145&gt;Q145+#REF!</formula>
    </cfRule>
    <cfRule type="expression" dxfId="8592" priority="2960">
      <formula>O145&lt;Q145-#REF!</formula>
    </cfRule>
  </conditionalFormatting>
  <conditionalFormatting sqref="O8">
    <cfRule type="expression" dxfId="8591" priority="3197">
      <formula>O8&lt;Q8*#REF!</formula>
    </cfRule>
    <cfRule type="expression" dxfId="8590" priority="3198">
      <formula>O8&gt;Q8*#REF!</formula>
    </cfRule>
  </conditionalFormatting>
  <conditionalFormatting sqref="O9">
    <cfRule type="expression" dxfId="8589" priority="3195">
      <formula>O9&lt;Q9*#REF!</formula>
    </cfRule>
    <cfRule type="expression" dxfId="8588" priority="3196">
      <formula>O9&gt;Q9*#REF!</formula>
    </cfRule>
  </conditionalFormatting>
  <conditionalFormatting sqref="O20">
    <cfRule type="expression" dxfId="8587" priority="3193">
      <formula>O20&lt;Q20*#REF!</formula>
    </cfRule>
    <cfRule type="expression" dxfId="8586" priority="3194">
      <formula>O20&gt;Q20*#REF!</formula>
    </cfRule>
  </conditionalFormatting>
  <conditionalFormatting sqref="O10">
    <cfRule type="expression" dxfId="8585" priority="3191">
      <formula>O10&gt;Q10+#REF!</formula>
    </cfRule>
    <cfRule type="expression" dxfId="8584" priority="3192">
      <formula>O10&lt;Q10-#REF!</formula>
    </cfRule>
  </conditionalFormatting>
  <conditionalFormatting sqref="O11">
    <cfRule type="expression" dxfId="8583" priority="3189">
      <formula>O11&gt;Q11+#REF!</formula>
    </cfRule>
    <cfRule type="expression" dxfId="8582" priority="3190">
      <formula>O11&lt;Q11-#REF!</formula>
    </cfRule>
  </conditionalFormatting>
  <conditionalFormatting sqref="O12">
    <cfRule type="expression" dxfId="8581" priority="3187">
      <formula>O12&gt;Q12+#REF!</formula>
    </cfRule>
    <cfRule type="expression" dxfId="8580" priority="3188">
      <formula>O12&lt;Q12-#REF!</formula>
    </cfRule>
  </conditionalFormatting>
  <conditionalFormatting sqref="O13">
    <cfRule type="expression" dxfId="8579" priority="3185">
      <formula>O13&gt;Q13+#REF!</formula>
    </cfRule>
    <cfRule type="expression" dxfId="8578" priority="3186">
      <formula>O13&lt;Q13-#REF!</formula>
    </cfRule>
  </conditionalFormatting>
  <conditionalFormatting sqref="O14">
    <cfRule type="expression" dxfId="8577" priority="3183">
      <formula>O14&gt;Q14+#REF!</formula>
    </cfRule>
    <cfRule type="expression" dxfId="8576" priority="3184">
      <formula>O14&lt;Q14-#REF!</formula>
    </cfRule>
  </conditionalFormatting>
  <conditionalFormatting sqref="O15">
    <cfRule type="expression" dxfId="8575" priority="3181">
      <formula>O15&gt;Q15+#REF!</formula>
    </cfRule>
    <cfRule type="expression" dxfId="8574" priority="3182">
      <formula>O15&lt;Q15-#REF!</formula>
    </cfRule>
  </conditionalFormatting>
  <conditionalFormatting sqref="O16">
    <cfRule type="expression" dxfId="8573" priority="3179">
      <formula>O16&gt;Q16+#REF!</formula>
    </cfRule>
    <cfRule type="expression" dxfId="8572" priority="3180">
      <formula>O16&lt;Q16-#REF!</formula>
    </cfRule>
  </conditionalFormatting>
  <conditionalFormatting sqref="O17:O18">
    <cfRule type="expression" dxfId="8571" priority="3177">
      <formula>O17&gt;Q17+#REF!</formula>
    </cfRule>
    <cfRule type="expression" dxfId="8570" priority="3178">
      <formula>O17&lt;Q17-#REF!</formula>
    </cfRule>
  </conditionalFormatting>
  <conditionalFormatting sqref="O19">
    <cfRule type="expression" dxfId="8569" priority="3175">
      <formula>O19&gt;Q19+#REF!</formula>
    </cfRule>
    <cfRule type="expression" dxfId="8568" priority="3176">
      <formula>O19&lt;Q19-#REF!</formula>
    </cfRule>
  </conditionalFormatting>
  <conditionalFormatting sqref="O22">
    <cfRule type="expression" dxfId="8567" priority="3173">
      <formula>O22&lt;Q22*#REF!</formula>
    </cfRule>
    <cfRule type="expression" dxfId="8566" priority="3174">
      <formula>O22&gt;Q22*#REF!</formula>
    </cfRule>
  </conditionalFormatting>
  <conditionalFormatting sqref="O23">
    <cfRule type="expression" dxfId="8565" priority="3171">
      <formula>O23&lt;Q23*#REF!</formula>
    </cfRule>
    <cfRule type="expression" dxfId="8564" priority="3172">
      <formula>O23&gt;Q23*#REF!</formula>
    </cfRule>
  </conditionalFormatting>
  <conditionalFormatting sqref="O34">
    <cfRule type="expression" dxfId="8563" priority="3169">
      <formula>O34&lt;Q34*#REF!</formula>
    </cfRule>
    <cfRule type="expression" dxfId="8562" priority="3170">
      <formula>O34&gt;Q34*#REF!</formula>
    </cfRule>
  </conditionalFormatting>
  <conditionalFormatting sqref="O24">
    <cfRule type="expression" dxfId="8561" priority="3167">
      <formula>O24&gt;Q24+#REF!</formula>
    </cfRule>
    <cfRule type="expression" dxfId="8560" priority="3168">
      <formula>O24&lt;Q24-#REF!</formula>
    </cfRule>
  </conditionalFormatting>
  <conditionalFormatting sqref="O25">
    <cfRule type="expression" dxfId="8559" priority="3165">
      <formula>O25&gt;Q25+#REF!</formula>
    </cfRule>
    <cfRule type="expression" dxfId="8558" priority="3166">
      <formula>O25&lt;Q25-#REF!</formula>
    </cfRule>
  </conditionalFormatting>
  <conditionalFormatting sqref="O26">
    <cfRule type="expression" dxfId="8557" priority="3163">
      <formula>O26&gt;Q26+#REF!</formula>
    </cfRule>
    <cfRule type="expression" dxfId="8556" priority="3164">
      <formula>O26&lt;Q26-#REF!</formula>
    </cfRule>
  </conditionalFormatting>
  <conditionalFormatting sqref="O27">
    <cfRule type="expression" dxfId="8555" priority="3161">
      <formula>O27&gt;Q27+#REF!</formula>
    </cfRule>
    <cfRule type="expression" dxfId="8554" priority="3162">
      <formula>O27&lt;Q27-#REF!</formula>
    </cfRule>
  </conditionalFormatting>
  <conditionalFormatting sqref="O28">
    <cfRule type="expression" dxfId="8553" priority="3159">
      <formula>O28&gt;Q28+#REF!</formula>
    </cfRule>
    <cfRule type="expression" dxfId="8552" priority="3160">
      <formula>O28&lt;Q28-#REF!</formula>
    </cfRule>
  </conditionalFormatting>
  <conditionalFormatting sqref="O29">
    <cfRule type="expression" dxfId="8551" priority="3157">
      <formula>O29&gt;Q29+#REF!</formula>
    </cfRule>
    <cfRule type="expression" dxfId="8550" priority="3158">
      <formula>O29&lt;Q29-#REF!</formula>
    </cfRule>
  </conditionalFormatting>
  <conditionalFormatting sqref="O30">
    <cfRule type="expression" dxfId="8549" priority="3155">
      <formula>O30&gt;Q30+#REF!</formula>
    </cfRule>
    <cfRule type="expression" dxfId="8548" priority="3156">
      <formula>O30&lt;Q30-#REF!</formula>
    </cfRule>
  </conditionalFormatting>
  <conditionalFormatting sqref="O31:O32">
    <cfRule type="expression" dxfId="8547" priority="3153">
      <formula>O31&gt;Q31+#REF!</formula>
    </cfRule>
    <cfRule type="expression" dxfId="8546" priority="3154">
      <formula>O31&lt;Q31-#REF!</formula>
    </cfRule>
  </conditionalFormatting>
  <conditionalFormatting sqref="O33">
    <cfRule type="expression" dxfId="8545" priority="3151">
      <formula>O33&gt;Q33+#REF!</formula>
    </cfRule>
    <cfRule type="expression" dxfId="8544" priority="3152">
      <formula>O33&lt;Q33-#REF!</formula>
    </cfRule>
  </conditionalFormatting>
  <conditionalFormatting sqref="O36">
    <cfRule type="expression" dxfId="8543" priority="3149">
      <formula>O36&lt;Q36*#REF!</formula>
    </cfRule>
    <cfRule type="expression" dxfId="8542" priority="3150">
      <formula>O36&gt;Q36*#REF!</formula>
    </cfRule>
  </conditionalFormatting>
  <conditionalFormatting sqref="O37">
    <cfRule type="expression" dxfId="8541" priority="3147">
      <formula>O37&lt;Q37*#REF!</formula>
    </cfRule>
    <cfRule type="expression" dxfId="8540" priority="3148">
      <formula>O37&gt;Q37*#REF!</formula>
    </cfRule>
  </conditionalFormatting>
  <conditionalFormatting sqref="O48">
    <cfRule type="expression" dxfId="8539" priority="3145">
      <formula>O48&lt;Q48*#REF!</formula>
    </cfRule>
    <cfRule type="expression" dxfId="8538" priority="3146">
      <formula>O48&gt;Q48*#REF!</formula>
    </cfRule>
  </conditionalFormatting>
  <conditionalFormatting sqref="O38">
    <cfRule type="expression" dxfId="8537" priority="3143">
      <formula>O38&gt;Q38+#REF!</formula>
    </cfRule>
    <cfRule type="expression" dxfId="8536" priority="3144">
      <formula>O38&lt;Q38-#REF!</formula>
    </cfRule>
  </conditionalFormatting>
  <conditionalFormatting sqref="O39">
    <cfRule type="expression" dxfId="8535" priority="3141">
      <formula>O39&gt;Q39+#REF!</formula>
    </cfRule>
    <cfRule type="expression" dxfId="8534" priority="3142">
      <formula>O39&lt;Q39-#REF!</formula>
    </cfRule>
  </conditionalFormatting>
  <conditionalFormatting sqref="O40">
    <cfRule type="expression" dxfId="8533" priority="3139">
      <formula>O40&gt;Q40+#REF!</formula>
    </cfRule>
    <cfRule type="expression" dxfId="8532" priority="3140">
      <formula>O40&lt;Q40-#REF!</formula>
    </cfRule>
  </conditionalFormatting>
  <conditionalFormatting sqref="O41">
    <cfRule type="expression" dxfId="8531" priority="3137">
      <formula>O41&gt;Q41+#REF!</formula>
    </cfRule>
    <cfRule type="expression" dxfId="8530" priority="3138">
      <formula>O41&lt;Q41-#REF!</formula>
    </cfRule>
  </conditionalFormatting>
  <conditionalFormatting sqref="O42">
    <cfRule type="expression" dxfId="8529" priority="3135">
      <formula>O42&gt;Q42+#REF!</formula>
    </cfRule>
    <cfRule type="expression" dxfId="8528" priority="3136">
      <formula>O42&lt;Q42-#REF!</formula>
    </cfRule>
  </conditionalFormatting>
  <conditionalFormatting sqref="O43">
    <cfRule type="expression" dxfId="8527" priority="3133">
      <formula>O43&gt;Q43+#REF!</formula>
    </cfRule>
    <cfRule type="expression" dxfId="8526" priority="3134">
      <formula>O43&lt;Q43-#REF!</formula>
    </cfRule>
  </conditionalFormatting>
  <conditionalFormatting sqref="O44">
    <cfRule type="expression" dxfId="8525" priority="3131">
      <formula>O44&gt;Q44+#REF!</formula>
    </cfRule>
    <cfRule type="expression" dxfId="8524" priority="3132">
      <formula>O44&lt;Q44-#REF!</formula>
    </cfRule>
  </conditionalFormatting>
  <conditionalFormatting sqref="O45:O46">
    <cfRule type="expression" dxfId="8523" priority="3129">
      <formula>O45&gt;Q45+#REF!</formula>
    </cfRule>
    <cfRule type="expression" dxfId="8522" priority="3130">
      <formula>O45&lt;Q45-#REF!</formula>
    </cfRule>
  </conditionalFormatting>
  <conditionalFormatting sqref="O47">
    <cfRule type="expression" dxfId="8521" priority="3127">
      <formula>O47&gt;Q47+#REF!</formula>
    </cfRule>
    <cfRule type="expression" dxfId="8520" priority="3128">
      <formula>O47&lt;Q47-#REF!</formula>
    </cfRule>
  </conditionalFormatting>
  <conditionalFormatting sqref="O50">
    <cfRule type="expression" dxfId="8519" priority="3125">
      <formula>O50&lt;Q50*#REF!</formula>
    </cfRule>
    <cfRule type="expression" dxfId="8518" priority="3126">
      <formula>O50&gt;Q50*#REF!</formula>
    </cfRule>
  </conditionalFormatting>
  <conditionalFormatting sqref="O51">
    <cfRule type="expression" dxfId="8517" priority="3123">
      <formula>O51&lt;Q51*#REF!</formula>
    </cfRule>
    <cfRule type="expression" dxfId="8516" priority="3124">
      <formula>O51&gt;Q51*#REF!</formula>
    </cfRule>
  </conditionalFormatting>
  <conditionalFormatting sqref="O62">
    <cfRule type="expression" dxfId="8515" priority="3121">
      <formula>O62&lt;Q62*#REF!</formula>
    </cfRule>
    <cfRule type="expression" dxfId="8514" priority="3122">
      <formula>O62&gt;Q62*#REF!</formula>
    </cfRule>
  </conditionalFormatting>
  <conditionalFormatting sqref="O52">
    <cfRule type="expression" dxfId="8513" priority="3119">
      <formula>O52&gt;Q52+#REF!</formula>
    </cfRule>
    <cfRule type="expression" dxfId="8512" priority="3120">
      <formula>O52&lt;Q52-#REF!</formula>
    </cfRule>
  </conditionalFormatting>
  <conditionalFormatting sqref="O53">
    <cfRule type="expression" dxfId="8511" priority="3117">
      <formula>O53&gt;Q53+#REF!</formula>
    </cfRule>
    <cfRule type="expression" dxfId="8510" priority="3118">
      <formula>O53&lt;Q53-#REF!</formula>
    </cfRule>
  </conditionalFormatting>
  <conditionalFormatting sqref="O54">
    <cfRule type="expression" dxfId="8509" priority="3115">
      <formula>O54&gt;Q54+#REF!</formula>
    </cfRule>
    <cfRule type="expression" dxfId="8508" priority="3116">
      <formula>O54&lt;Q54-#REF!</formula>
    </cfRule>
  </conditionalFormatting>
  <conditionalFormatting sqref="O55">
    <cfRule type="expression" dxfId="8507" priority="3113">
      <formula>O55&gt;Q55+#REF!</formula>
    </cfRule>
    <cfRule type="expression" dxfId="8506" priority="3114">
      <formula>O55&lt;Q55-#REF!</formula>
    </cfRule>
  </conditionalFormatting>
  <conditionalFormatting sqref="O56">
    <cfRule type="expression" dxfId="8505" priority="3111">
      <formula>O56&gt;Q56+#REF!</formula>
    </cfRule>
    <cfRule type="expression" dxfId="8504" priority="3112">
      <formula>O56&lt;Q56-#REF!</formula>
    </cfRule>
  </conditionalFormatting>
  <conditionalFormatting sqref="O57">
    <cfRule type="expression" dxfId="8503" priority="3109">
      <formula>O57&gt;Q57+#REF!</formula>
    </cfRule>
    <cfRule type="expression" dxfId="8502" priority="3110">
      <formula>O57&lt;Q57-#REF!</formula>
    </cfRule>
  </conditionalFormatting>
  <conditionalFormatting sqref="O58">
    <cfRule type="expression" dxfId="8501" priority="3107">
      <formula>O58&gt;Q58+#REF!</formula>
    </cfRule>
    <cfRule type="expression" dxfId="8500" priority="3108">
      <formula>O58&lt;Q58-#REF!</formula>
    </cfRule>
  </conditionalFormatting>
  <conditionalFormatting sqref="O59:O60">
    <cfRule type="expression" dxfId="8499" priority="3105">
      <formula>O59&gt;Q59+#REF!</formula>
    </cfRule>
    <cfRule type="expression" dxfId="8498" priority="3106">
      <formula>O59&lt;Q59-#REF!</formula>
    </cfRule>
  </conditionalFormatting>
  <conditionalFormatting sqref="O61">
    <cfRule type="expression" dxfId="8497" priority="3103">
      <formula>O61&gt;Q61+#REF!</formula>
    </cfRule>
    <cfRule type="expression" dxfId="8496" priority="3104">
      <formula>O61&lt;Q61-#REF!</formula>
    </cfRule>
  </conditionalFormatting>
  <conditionalFormatting sqref="O64">
    <cfRule type="expression" dxfId="8495" priority="3101">
      <formula>O64&lt;Q64*#REF!</formula>
    </cfRule>
    <cfRule type="expression" dxfId="8494" priority="3102">
      <formula>O64&gt;Q64*#REF!</formula>
    </cfRule>
  </conditionalFormatting>
  <conditionalFormatting sqref="O65">
    <cfRule type="expression" dxfId="8493" priority="3099">
      <formula>O65&lt;Q65*#REF!</formula>
    </cfRule>
    <cfRule type="expression" dxfId="8492" priority="3100">
      <formula>O65&gt;Q65*#REF!</formula>
    </cfRule>
  </conditionalFormatting>
  <conditionalFormatting sqref="O76">
    <cfRule type="expression" dxfId="8491" priority="3097">
      <formula>O76&lt;Q76*#REF!</formula>
    </cfRule>
    <cfRule type="expression" dxfId="8490" priority="3098">
      <formula>O76&gt;Q76*#REF!</formula>
    </cfRule>
  </conditionalFormatting>
  <conditionalFormatting sqref="O66">
    <cfRule type="expression" dxfId="8489" priority="3095">
      <formula>O66&gt;Q66+#REF!</formula>
    </cfRule>
    <cfRule type="expression" dxfId="8488" priority="3096">
      <formula>O66&lt;Q66-#REF!</formula>
    </cfRule>
  </conditionalFormatting>
  <conditionalFormatting sqref="O67">
    <cfRule type="expression" dxfId="8487" priority="3093">
      <formula>O67&gt;Q67+#REF!</formula>
    </cfRule>
    <cfRule type="expression" dxfId="8486" priority="3094">
      <formula>O67&lt;Q67-#REF!</formula>
    </cfRule>
  </conditionalFormatting>
  <conditionalFormatting sqref="O68">
    <cfRule type="expression" dxfId="8485" priority="3091">
      <formula>O68&gt;Q68+#REF!</formula>
    </cfRule>
    <cfRule type="expression" dxfId="8484" priority="3092">
      <formula>O68&lt;Q68-#REF!</formula>
    </cfRule>
  </conditionalFormatting>
  <conditionalFormatting sqref="O69">
    <cfRule type="expression" dxfId="8483" priority="3089">
      <formula>O69&gt;Q69+#REF!</formula>
    </cfRule>
    <cfRule type="expression" dxfId="8482" priority="3090">
      <formula>O69&lt;Q69-#REF!</formula>
    </cfRule>
  </conditionalFormatting>
  <conditionalFormatting sqref="O70">
    <cfRule type="expression" dxfId="8481" priority="3087">
      <formula>O70&gt;Q70+#REF!</formula>
    </cfRule>
    <cfRule type="expression" dxfId="8480" priority="3088">
      <formula>O70&lt;Q70-#REF!</formula>
    </cfRule>
  </conditionalFormatting>
  <conditionalFormatting sqref="O71">
    <cfRule type="expression" dxfId="8479" priority="3085">
      <formula>O71&gt;Q71+#REF!</formula>
    </cfRule>
    <cfRule type="expression" dxfId="8478" priority="3086">
      <formula>O71&lt;Q71-#REF!</formula>
    </cfRule>
  </conditionalFormatting>
  <conditionalFormatting sqref="O72">
    <cfRule type="expression" dxfId="8477" priority="3083">
      <formula>O72&gt;Q72+#REF!</formula>
    </cfRule>
    <cfRule type="expression" dxfId="8476" priority="3084">
      <formula>O72&lt;Q72-#REF!</formula>
    </cfRule>
  </conditionalFormatting>
  <conditionalFormatting sqref="O73:O74">
    <cfRule type="expression" dxfId="8475" priority="3081">
      <formula>O73&gt;Q73+#REF!</formula>
    </cfRule>
    <cfRule type="expression" dxfId="8474" priority="3082">
      <formula>O73&lt;Q73-#REF!</formula>
    </cfRule>
  </conditionalFormatting>
  <conditionalFormatting sqref="O75">
    <cfRule type="expression" dxfId="8473" priority="3079">
      <formula>O75&gt;Q75+#REF!</formula>
    </cfRule>
    <cfRule type="expression" dxfId="8472" priority="3080">
      <formula>O75&lt;Q75-#REF!</formula>
    </cfRule>
  </conditionalFormatting>
  <conditionalFormatting sqref="O78">
    <cfRule type="expression" dxfId="8471" priority="3077">
      <formula>O78&lt;Q78*#REF!</formula>
    </cfRule>
    <cfRule type="expression" dxfId="8470" priority="3078">
      <formula>O78&gt;Q78*#REF!</formula>
    </cfRule>
  </conditionalFormatting>
  <conditionalFormatting sqref="O79">
    <cfRule type="expression" dxfId="8469" priority="3075">
      <formula>O79&lt;Q79*#REF!</formula>
    </cfRule>
    <cfRule type="expression" dxfId="8468" priority="3076">
      <formula>O79&gt;Q79*#REF!</formula>
    </cfRule>
  </conditionalFormatting>
  <conditionalFormatting sqref="O90">
    <cfRule type="expression" dxfId="8467" priority="3073">
      <formula>O90&lt;Q90*#REF!</formula>
    </cfRule>
    <cfRule type="expression" dxfId="8466" priority="3074">
      <formula>O90&gt;Q90*#REF!</formula>
    </cfRule>
  </conditionalFormatting>
  <conditionalFormatting sqref="O80">
    <cfRule type="expression" dxfId="8465" priority="3071">
      <formula>O80&gt;Q80+#REF!</formula>
    </cfRule>
    <cfRule type="expression" dxfId="8464" priority="3072">
      <formula>O80&lt;Q80-#REF!</formula>
    </cfRule>
  </conditionalFormatting>
  <conditionalFormatting sqref="O81">
    <cfRule type="expression" dxfId="8463" priority="3069">
      <formula>O81&gt;Q81+#REF!</formula>
    </cfRule>
    <cfRule type="expression" dxfId="8462" priority="3070">
      <formula>O81&lt;Q81-#REF!</formula>
    </cfRule>
  </conditionalFormatting>
  <conditionalFormatting sqref="O82">
    <cfRule type="expression" dxfId="8461" priority="3067">
      <formula>O82&gt;Q82+#REF!</formula>
    </cfRule>
    <cfRule type="expression" dxfId="8460" priority="3068">
      <formula>O82&lt;Q82-#REF!</formula>
    </cfRule>
  </conditionalFormatting>
  <conditionalFormatting sqref="O83">
    <cfRule type="expression" dxfId="8459" priority="3065">
      <formula>O83&gt;Q83+#REF!</formula>
    </cfRule>
    <cfRule type="expression" dxfId="8458" priority="3066">
      <formula>O83&lt;Q83-#REF!</formula>
    </cfRule>
  </conditionalFormatting>
  <conditionalFormatting sqref="O84">
    <cfRule type="expression" dxfId="8457" priority="3063">
      <formula>O84&gt;Q84+#REF!</formula>
    </cfRule>
    <cfRule type="expression" dxfId="8456" priority="3064">
      <formula>O84&lt;Q84-#REF!</formula>
    </cfRule>
  </conditionalFormatting>
  <conditionalFormatting sqref="O85">
    <cfRule type="expression" dxfId="8455" priority="3061">
      <formula>O85&gt;Q85+#REF!</formula>
    </cfRule>
    <cfRule type="expression" dxfId="8454" priority="3062">
      <formula>O85&lt;Q85-#REF!</formula>
    </cfRule>
  </conditionalFormatting>
  <conditionalFormatting sqref="O86">
    <cfRule type="expression" dxfId="8453" priority="3059">
      <formula>O86&gt;Q86+#REF!</formula>
    </cfRule>
    <cfRule type="expression" dxfId="8452" priority="3060">
      <formula>O86&lt;Q86-#REF!</formula>
    </cfRule>
  </conditionalFormatting>
  <conditionalFormatting sqref="O87:O88">
    <cfRule type="expression" dxfId="8451" priority="3057">
      <formula>O87&gt;Q87+#REF!</formula>
    </cfRule>
    <cfRule type="expression" dxfId="8450" priority="3058">
      <formula>O87&lt;Q87-#REF!</formula>
    </cfRule>
  </conditionalFormatting>
  <conditionalFormatting sqref="O89">
    <cfRule type="expression" dxfId="8449" priority="3055">
      <formula>O89&gt;Q89+#REF!</formula>
    </cfRule>
    <cfRule type="expression" dxfId="8448" priority="3056">
      <formula>O89&lt;Q89-#REF!</formula>
    </cfRule>
  </conditionalFormatting>
  <conditionalFormatting sqref="O92">
    <cfRule type="expression" dxfId="8447" priority="3053">
      <formula>O92&lt;Q92*#REF!</formula>
    </cfRule>
    <cfRule type="expression" dxfId="8446" priority="3054">
      <formula>O92&gt;Q92*#REF!</formula>
    </cfRule>
  </conditionalFormatting>
  <conditionalFormatting sqref="O93">
    <cfRule type="expression" dxfId="8445" priority="3051">
      <formula>O93&lt;Q93*#REF!</formula>
    </cfRule>
    <cfRule type="expression" dxfId="8444" priority="3052">
      <formula>O93&gt;Q93*#REF!</formula>
    </cfRule>
  </conditionalFormatting>
  <conditionalFormatting sqref="O104">
    <cfRule type="expression" dxfId="8443" priority="3049">
      <formula>O104&lt;Q104*#REF!</formula>
    </cfRule>
    <cfRule type="expression" dxfId="8442" priority="3050">
      <formula>O104&gt;Q104*#REF!</formula>
    </cfRule>
  </conditionalFormatting>
  <conditionalFormatting sqref="O94">
    <cfRule type="expression" dxfId="8441" priority="3047">
      <formula>O94&gt;Q94+#REF!</formula>
    </cfRule>
    <cfRule type="expression" dxfId="8440" priority="3048">
      <formula>O94&lt;Q94-#REF!</formula>
    </cfRule>
  </conditionalFormatting>
  <conditionalFormatting sqref="O95">
    <cfRule type="expression" dxfId="8439" priority="3045">
      <formula>O95&gt;Q95+#REF!</formula>
    </cfRule>
    <cfRule type="expression" dxfId="8438" priority="3046">
      <formula>O95&lt;Q95-#REF!</formula>
    </cfRule>
  </conditionalFormatting>
  <conditionalFormatting sqref="O96">
    <cfRule type="expression" dxfId="8437" priority="3043">
      <formula>O96&gt;Q96+#REF!</formula>
    </cfRule>
    <cfRule type="expression" dxfId="8436" priority="3044">
      <formula>O96&lt;Q96-#REF!</formula>
    </cfRule>
  </conditionalFormatting>
  <conditionalFormatting sqref="O97">
    <cfRule type="expression" dxfId="8435" priority="3041">
      <formula>O97&gt;Q97+#REF!</formula>
    </cfRule>
    <cfRule type="expression" dxfId="8434" priority="3042">
      <formula>O97&lt;Q97-#REF!</formula>
    </cfRule>
  </conditionalFormatting>
  <conditionalFormatting sqref="O98">
    <cfRule type="expression" dxfId="8433" priority="3039">
      <formula>O98&gt;Q98+#REF!</formula>
    </cfRule>
    <cfRule type="expression" dxfId="8432" priority="3040">
      <formula>O98&lt;Q98-#REF!</formula>
    </cfRule>
  </conditionalFormatting>
  <conditionalFormatting sqref="O99">
    <cfRule type="expression" dxfId="8431" priority="3037">
      <formula>O99&gt;Q99+#REF!</formula>
    </cfRule>
    <cfRule type="expression" dxfId="8430" priority="3038">
      <formula>O99&lt;Q99-#REF!</formula>
    </cfRule>
  </conditionalFormatting>
  <conditionalFormatting sqref="O100">
    <cfRule type="expression" dxfId="8429" priority="3035">
      <formula>O100&gt;Q100+#REF!</formula>
    </cfRule>
    <cfRule type="expression" dxfId="8428" priority="3036">
      <formula>O100&lt;Q100-#REF!</formula>
    </cfRule>
  </conditionalFormatting>
  <conditionalFormatting sqref="O101:O102">
    <cfRule type="expression" dxfId="8427" priority="3033">
      <formula>O101&gt;Q101+#REF!</formula>
    </cfRule>
    <cfRule type="expression" dxfId="8426" priority="3034">
      <formula>O101&lt;Q101-#REF!</formula>
    </cfRule>
  </conditionalFormatting>
  <conditionalFormatting sqref="O103">
    <cfRule type="expression" dxfId="8425" priority="3031">
      <formula>O103&gt;Q103+#REF!</formula>
    </cfRule>
    <cfRule type="expression" dxfId="8424" priority="3032">
      <formula>O103&lt;Q103-#REF!</formula>
    </cfRule>
  </conditionalFormatting>
  <conditionalFormatting sqref="O106">
    <cfRule type="expression" dxfId="8423" priority="3029">
      <formula>O106&lt;Q106*#REF!</formula>
    </cfRule>
    <cfRule type="expression" dxfId="8422" priority="3030">
      <formula>O106&gt;Q106*#REF!</formula>
    </cfRule>
  </conditionalFormatting>
  <conditionalFormatting sqref="O107">
    <cfRule type="expression" dxfId="8421" priority="3027">
      <formula>O107&lt;Q107*#REF!</formula>
    </cfRule>
    <cfRule type="expression" dxfId="8420" priority="3028">
      <formula>O107&gt;Q107*#REF!</formula>
    </cfRule>
  </conditionalFormatting>
  <conditionalFormatting sqref="O118">
    <cfRule type="expression" dxfId="8419" priority="3025">
      <formula>O118&lt;Q118*#REF!</formula>
    </cfRule>
    <cfRule type="expression" dxfId="8418" priority="3026">
      <formula>O118&gt;Q118*#REF!</formula>
    </cfRule>
  </conditionalFormatting>
  <conditionalFormatting sqref="O108">
    <cfRule type="expression" dxfId="8417" priority="3023">
      <formula>O108&gt;Q108+#REF!</formula>
    </cfRule>
    <cfRule type="expression" dxfId="8416" priority="3024">
      <formula>O108&lt;Q108-#REF!</formula>
    </cfRule>
  </conditionalFormatting>
  <conditionalFormatting sqref="O109">
    <cfRule type="expression" dxfId="8415" priority="3021">
      <formula>O109&gt;Q109+#REF!</formula>
    </cfRule>
    <cfRule type="expression" dxfId="8414" priority="3022">
      <formula>O109&lt;Q109-#REF!</formula>
    </cfRule>
  </conditionalFormatting>
  <conditionalFormatting sqref="O110">
    <cfRule type="expression" dxfId="8413" priority="3019">
      <formula>O110&gt;Q110+#REF!</formula>
    </cfRule>
    <cfRule type="expression" dxfId="8412" priority="3020">
      <formula>O110&lt;Q110-#REF!</formula>
    </cfRule>
  </conditionalFormatting>
  <conditionalFormatting sqref="O111">
    <cfRule type="expression" dxfId="8411" priority="3017">
      <formula>O111&gt;Q111+#REF!</formula>
    </cfRule>
    <cfRule type="expression" dxfId="8410" priority="3018">
      <formula>O111&lt;Q111-#REF!</formula>
    </cfRule>
  </conditionalFormatting>
  <conditionalFormatting sqref="O112">
    <cfRule type="expression" dxfId="8409" priority="3015">
      <formula>O112&gt;Q112+#REF!</formula>
    </cfRule>
    <cfRule type="expression" dxfId="8408" priority="3016">
      <formula>O112&lt;Q112-#REF!</formula>
    </cfRule>
  </conditionalFormatting>
  <conditionalFormatting sqref="O113">
    <cfRule type="expression" dxfId="8407" priority="3013">
      <formula>O113&gt;Q113+#REF!</formula>
    </cfRule>
    <cfRule type="expression" dxfId="8406" priority="3014">
      <formula>O113&lt;Q113-#REF!</formula>
    </cfRule>
  </conditionalFormatting>
  <conditionalFormatting sqref="O114">
    <cfRule type="expression" dxfId="8405" priority="3011">
      <formula>O114&gt;Q114+#REF!</formula>
    </cfRule>
    <cfRule type="expression" dxfId="8404" priority="3012">
      <formula>O114&lt;Q114-#REF!</formula>
    </cfRule>
  </conditionalFormatting>
  <conditionalFormatting sqref="O115:O116">
    <cfRule type="expression" dxfId="8403" priority="3009">
      <formula>O115&gt;Q115+#REF!</formula>
    </cfRule>
    <cfRule type="expression" dxfId="8402" priority="3010">
      <formula>O115&lt;Q115-#REF!</formula>
    </cfRule>
  </conditionalFormatting>
  <conditionalFormatting sqref="O117">
    <cfRule type="expression" dxfId="8401" priority="3007">
      <formula>O117&gt;Q117+#REF!</formula>
    </cfRule>
    <cfRule type="expression" dxfId="8400" priority="3008">
      <formula>O117&lt;Q117-#REF!</formula>
    </cfRule>
  </conditionalFormatting>
  <conditionalFormatting sqref="O260">
    <cfRule type="expression" dxfId="8399" priority="2837">
      <formula>O260&lt;Q260*#REF!</formula>
    </cfRule>
    <cfRule type="expression" dxfId="8398" priority="2838">
      <formula>O260&gt;Q260*#REF!</formula>
    </cfRule>
  </conditionalFormatting>
  <conditionalFormatting sqref="O261">
    <cfRule type="expression" dxfId="8397" priority="2835">
      <formula>O261&lt;Q261*#REF!</formula>
    </cfRule>
    <cfRule type="expression" dxfId="8396" priority="2836">
      <formula>O261&gt;Q261*#REF!</formula>
    </cfRule>
  </conditionalFormatting>
  <conditionalFormatting sqref="O272">
    <cfRule type="expression" dxfId="8395" priority="2833">
      <formula>O272&lt;Q272*#REF!</formula>
    </cfRule>
    <cfRule type="expression" dxfId="8394" priority="2834">
      <formula>O272&gt;Q272*#REF!</formula>
    </cfRule>
  </conditionalFormatting>
  <conditionalFormatting sqref="O262">
    <cfRule type="expression" dxfId="8393" priority="2831">
      <formula>O262&gt;Q262+#REF!</formula>
    </cfRule>
    <cfRule type="expression" dxfId="8392" priority="2832">
      <formula>O262&lt;Q262-#REF!</formula>
    </cfRule>
  </conditionalFormatting>
  <conditionalFormatting sqref="O263">
    <cfRule type="expression" dxfId="8391" priority="2829">
      <formula>O263&gt;Q263+#REF!</formula>
    </cfRule>
    <cfRule type="expression" dxfId="8390" priority="2830">
      <formula>O263&lt;Q263-#REF!</formula>
    </cfRule>
  </conditionalFormatting>
  <conditionalFormatting sqref="O264">
    <cfRule type="expression" dxfId="8389" priority="2827">
      <formula>O264&gt;Q264+#REF!</formula>
    </cfRule>
    <cfRule type="expression" dxfId="8388" priority="2828">
      <formula>O264&lt;Q264-#REF!</formula>
    </cfRule>
  </conditionalFormatting>
  <conditionalFormatting sqref="O265">
    <cfRule type="expression" dxfId="8387" priority="2825">
      <formula>O265&gt;Q265+#REF!</formula>
    </cfRule>
    <cfRule type="expression" dxfId="8386" priority="2826">
      <formula>O265&lt;Q265-#REF!</formula>
    </cfRule>
  </conditionalFormatting>
  <conditionalFormatting sqref="O266">
    <cfRule type="expression" dxfId="8385" priority="2823">
      <formula>O266&gt;Q266+#REF!</formula>
    </cfRule>
    <cfRule type="expression" dxfId="8384" priority="2824">
      <formula>O266&lt;Q266-#REF!</formula>
    </cfRule>
  </conditionalFormatting>
  <conditionalFormatting sqref="O267">
    <cfRule type="expression" dxfId="8383" priority="2821">
      <formula>O267&gt;Q267+#REF!</formula>
    </cfRule>
    <cfRule type="expression" dxfId="8382" priority="2822">
      <formula>O267&lt;Q267-#REF!</formula>
    </cfRule>
  </conditionalFormatting>
  <conditionalFormatting sqref="O268">
    <cfRule type="expression" dxfId="8381" priority="2819">
      <formula>O268&gt;Q268+#REF!</formula>
    </cfRule>
    <cfRule type="expression" dxfId="8380" priority="2820">
      <formula>O268&lt;Q268-#REF!</formula>
    </cfRule>
  </conditionalFormatting>
  <conditionalFormatting sqref="O269:O270">
    <cfRule type="expression" dxfId="8379" priority="2817">
      <formula>O269&gt;Q269+#REF!</formula>
    </cfRule>
    <cfRule type="expression" dxfId="8378" priority="2818">
      <formula>O269&lt;Q269-#REF!</formula>
    </cfRule>
  </conditionalFormatting>
  <conditionalFormatting sqref="O271">
    <cfRule type="expression" dxfId="8377" priority="2815">
      <formula>O271&gt;Q271+#REF!</formula>
    </cfRule>
    <cfRule type="expression" dxfId="8376" priority="2816">
      <formula>O271&lt;Q271-#REF!</formula>
    </cfRule>
  </conditionalFormatting>
  <conditionalFormatting sqref="O148">
    <cfRule type="expression" dxfId="8375" priority="2957">
      <formula>O148&lt;Q148*#REF!</formula>
    </cfRule>
    <cfRule type="expression" dxfId="8374" priority="2958">
      <formula>O148&gt;Q148*#REF!</formula>
    </cfRule>
  </conditionalFormatting>
  <conditionalFormatting sqref="O149">
    <cfRule type="expression" dxfId="8373" priority="2955">
      <formula>O149&lt;Q149*#REF!</formula>
    </cfRule>
    <cfRule type="expression" dxfId="8372" priority="2956">
      <formula>O149&gt;Q149*#REF!</formula>
    </cfRule>
  </conditionalFormatting>
  <conditionalFormatting sqref="O160">
    <cfRule type="expression" dxfId="8371" priority="2953">
      <formula>O160&lt;Q160*#REF!</formula>
    </cfRule>
    <cfRule type="expression" dxfId="8370" priority="2954">
      <formula>O160&gt;Q160*#REF!</formula>
    </cfRule>
  </conditionalFormatting>
  <conditionalFormatting sqref="O150">
    <cfRule type="expression" dxfId="8369" priority="2951">
      <formula>O150&gt;Q150+#REF!</formula>
    </cfRule>
    <cfRule type="expression" dxfId="8368" priority="2952">
      <formula>O150&lt;Q150-#REF!</formula>
    </cfRule>
  </conditionalFormatting>
  <conditionalFormatting sqref="O151">
    <cfRule type="expression" dxfId="8367" priority="2949">
      <formula>O151&gt;Q151+#REF!</formula>
    </cfRule>
    <cfRule type="expression" dxfId="8366" priority="2950">
      <formula>O151&lt;Q151-#REF!</formula>
    </cfRule>
  </conditionalFormatting>
  <conditionalFormatting sqref="O152">
    <cfRule type="expression" dxfId="8365" priority="2947">
      <formula>O152&gt;Q152+#REF!</formula>
    </cfRule>
    <cfRule type="expression" dxfId="8364" priority="2948">
      <formula>O152&lt;Q152-#REF!</formula>
    </cfRule>
  </conditionalFormatting>
  <conditionalFormatting sqref="O153">
    <cfRule type="expression" dxfId="8363" priority="2945">
      <formula>O153&gt;Q153+#REF!</formula>
    </cfRule>
    <cfRule type="expression" dxfId="8362" priority="2946">
      <formula>O153&lt;Q153-#REF!</formula>
    </cfRule>
  </conditionalFormatting>
  <conditionalFormatting sqref="O154">
    <cfRule type="expression" dxfId="8361" priority="2943">
      <formula>O154&gt;Q154+#REF!</formula>
    </cfRule>
    <cfRule type="expression" dxfId="8360" priority="2944">
      <formula>O154&lt;Q154-#REF!</formula>
    </cfRule>
  </conditionalFormatting>
  <conditionalFormatting sqref="O155">
    <cfRule type="expression" dxfId="8359" priority="2941">
      <formula>O155&gt;Q155+#REF!</formula>
    </cfRule>
    <cfRule type="expression" dxfId="8358" priority="2942">
      <formula>O155&lt;Q155-#REF!</formula>
    </cfRule>
  </conditionalFormatting>
  <conditionalFormatting sqref="O156">
    <cfRule type="expression" dxfId="8357" priority="2939">
      <formula>O156&gt;Q156+#REF!</formula>
    </cfRule>
    <cfRule type="expression" dxfId="8356" priority="2940">
      <formula>O156&lt;Q156-#REF!</formula>
    </cfRule>
  </conditionalFormatting>
  <conditionalFormatting sqref="O157:O158">
    <cfRule type="expression" dxfId="8355" priority="2937">
      <formula>O157&gt;Q157+#REF!</formula>
    </cfRule>
    <cfRule type="expression" dxfId="8354" priority="2938">
      <formula>O157&lt;Q157-#REF!</formula>
    </cfRule>
  </conditionalFormatting>
  <conditionalFormatting sqref="O159">
    <cfRule type="expression" dxfId="8353" priority="2935">
      <formula>O159&gt;Q159+#REF!</formula>
    </cfRule>
    <cfRule type="expression" dxfId="8352" priority="2936">
      <formula>O159&lt;Q159-#REF!</formula>
    </cfRule>
  </conditionalFormatting>
  <conditionalFormatting sqref="O162">
    <cfRule type="expression" dxfId="8351" priority="2933">
      <formula>O162&lt;Q162*#REF!</formula>
    </cfRule>
    <cfRule type="expression" dxfId="8350" priority="2934">
      <formula>O162&gt;Q162*#REF!</formula>
    </cfRule>
  </conditionalFormatting>
  <conditionalFormatting sqref="O163">
    <cfRule type="expression" dxfId="8349" priority="2931">
      <formula>O163&lt;Q163*#REF!</formula>
    </cfRule>
    <cfRule type="expression" dxfId="8348" priority="2932">
      <formula>O163&gt;Q163*#REF!</formula>
    </cfRule>
  </conditionalFormatting>
  <conditionalFormatting sqref="O174">
    <cfRule type="expression" dxfId="8347" priority="2929">
      <formula>O174&lt;Q174*#REF!</formula>
    </cfRule>
    <cfRule type="expression" dxfId="8346" priority="2930">
      <formula>O174&gt;Q174*#REF!</formula>
    </cfRule>
  </conditionalFormatting>
  <conditionalFormatting sqref="O164">
    <cfRule type="expression" dxfId="8345" priority="2927">
      <formula>O164&gt;Q164+#REF!</formula>
    </cfRule>
    <cfRule type="expression" dxfId="8344" priority="2928">
      <formula>O164&lt;Q164-#REF!</formula>
    </cfRule>
  </conditionalFormatting>
  <conditionalFormatting sqref="O165">
    <cfRule type="expression" dxfId="8343" priority="2925">
      <formula>O165&gt;Q165+#REF!</formula>
    </cfRule>
    <cfRule type="expression" dxfId="8342" priority="2926">
      <formula>O165&lt;Q165-#REF!</formula>
    </cfRule>
  </conditionalFormatting>
  <conditionalFormatting sqref="O166">
    <cfRule type="expression" dxfId="8341" priority="2923">
      <formula>O166&gt;Q166+#REF!</formula>
    </cfRule>
    <cfRule type="expression" dxfId="8340" priority="2924">
      <formula>O166&lt;Q166-#REF!</formula>
    </cfRule>
  </conditionalFormatting>
  <conditionalFormatting sqref="O167">
    <cfRule type="expression" dxfId="8339" priority="2921">
      <formula>O167&gt;Q167+#REF!</formula>
    </cfRule>
    <cfRule type="expression" dxfId="8338" priority="2922">
      <formula>O167&lt;Q167-#REF!</formula>
    </cfRule>
  </conditionalFormatting>
  <conditionalFormatting sqref="O168">
    <cfRule type="expression" dxfId="8337" priority="2919">
      <formula>O168&gt;Q168+#REF!</formula>
    </cfRule>
    <cfRule type="expression" dxfId="8336" priority="2920">
      <formula>O168&lt;Q168-#REF!</formula>
    </cfRule>
  </conditionalFormatting>
  <conditionalFormatting sqref="O169">
    <cfRule type="expression" dxfId="8335" priority="2917">
      <formula>O169&gt;Q169+#REF!</formula>
    </cfRule>
    <cfRule type="expression" dxfId="8334" priority="2918">
      <formula>O169&lt;Q169-#REF!</formula>
    </cfRule>
  </conditionalFormatting>
  <conditionalFormatting sqref="O170">
    <cfRule type="expression" dxfId="8333" priority="2915">
      <formula>O170&gt;Q170+#REF!</formula>
    </cfRule>
    <cfRule type="expression" dxfId="8332" priority="2916">
      <formula>O170&lt;Q170-#REF!</formula>
    </cfRule>
  </conditionalFormatting>
  <conditionalFormatting sqref="O171:O172">
    <cfRule type="expression" dxfId="8331" priority="2913">
      <formula>O171&gt;Q171+#REF!</formula>
    </cfRule>
    <cfRule type="expression" dxfId="8330" priority="2914">
      <formula>O171&lt;Q171-#REF!</formula>
    </cfRule>
  </conditionalFormatting>
  <conditionalFormatting sqref="O173">
    <cfRule type="expression" dxfId="8329" priority="2911">
      <formula>O173&gt;Q173+#REF!</formula>
    </cfRule>
    <cfRule type="expression" dxfId="8328" priority="2912">
      <formula>O173&lt;Q173-#REF!</formula>
    </cfRule>
  </conditionalFormatting>
  <conditionalFormatting sqref="O176">
    <cfRule type="expression" dxfId="8327" priority="2909">
      <formula>O176&lt;Q176*#REF!</formula>
    </cfRule>
    <cfRule type="expression" dxfId="8326" priority="2910">
      <formula>O176&gt;Q176*#REF!</formula>
    </cfRule>
  </conditionalFormatting>
  <conditionalFormatting sqref="O177">
    <cfRule type="expression" dxfId="8325" priority="2907">
      <formula>O177&lt;Q177*#REF!</formula>
    </cfRule>
    <cfRule type="expression" dxfId="8324" priority="2908">
      <formula>O177&gt;Q177*#REF!</formula>
    </cfRule>
  </conditionalFormatting>
  <conditionalFormatting sqref="O188">
    <cfRule type="expression" dxfId="8323" priority="2905">
      <formula>O188&lt;Q188*#REF!</formula>
    </cfRule>
    <cfRule type="expression" dxfId="8322" priority="2906">
      <formula>O188&gt;Q188*#REF!</formula>
    </cfRule>
  </conditionalFormatting>
  <conditionalFormatting sqref="O178">
    <cfRule type="expression" dxfId="8321" priority="2903">
      <formula>O178&gt;Q178+#REF!</formula>
    </cfRule>
    <cfRule type="expression" dxfId="8320" priority="2904">
      <formula>O178&lt;Q178-#REF!</formula>
    </cfRule>
  </conditionalFormatting>
  <conditionalFormatting sqref="O179">
    <cfRule type="expression" dxfId="8319" priority="2901">
      <formula>O179&gt;Q179+#REF!</formula>
    </cfRule>
    <cfRule type="expression" dxfId="8318" priority="2902">
      <formula>O179&lt;Q179-#REF!</formula>
    </cfRule>
  </conditionalFormatting>
  <conditionalFormatting sqref="O180">
    <cfRule type="expression" dxfId="8317" priority="2899">
      <formula>O180&gt;Q180+#REF!</formula>
    </cfRule>
    <cfRule type="expression" dxfId="8316" priority="2900">
      <formula>O180&lt;Q180-#REF!</formula>
    </cfRule>
  </conditionalFormatting>
  <conditionalFormatting sqref="O181">
    <cfRule type="expression" dxfId="8315" priority="2897">
      <formula>O181&gt;Q181+#REF!</formula>
    </cfRule>
    <cfRule type="expression" dxfId="8314" priority="2898">
      <formula>O181&lt;Q181-#REF!</formula>
    </cfRule>
  </conditionalFormatting>
  <conditionalFormatting sqref="O182">
    <cfRule type="expression" dxfId="8313" priority="2895">
      <formula>O182&gt;Q182+#REF!</formula>
    </cfRule>
    <cfRule type="expression" dxfId="8312" priority="2896">
      <formula>O182&lt;Q182-#REF!</formula>
    </cfRule>
  </conditionalFormatting>
  <conditionalFormatting sqref="O183">
    <cfRule type="expression" dxfId="8311" priority="2893">
      <formula>O183&gt;Q183+#REF!</formula>
    </cfRule>
    <cfRule type="expression" dxfId="8310" priority="2894">
      <formula>O183&lt;Q183-#REF!</formula>
    </cfRule>
  </conditionalFormatting>
  <conditionalFormatting sqref="O184">
    <cfRule type="expression" dxfId="8309" priority="2891">
      <formula>O184&gt;Q184+#REF!</formula>
    </cfRule>
    <cfRule type="expression" dxfId="8308" priority="2892">
      <formula>O184&lt;Q184-#REF!</formula>
    </cfRule>
  </conditionalFormatting>
  <conditionalFormatting sqref="O185:O186">
    <cfRule type="expression" dxfId="8307" priority="2889">
      <formula>O185&gt;Q185+#REF!</formula>
    </cfRule>
    <cfRule type="expression" dxfId="8306" priority="2890">
      <formula>O185&lt;Q185-#REF!</formula>
    </cfRule>
  </conditionalFormatting>
  <conditionalFormatting sqref="O187">
    <cfRule type="expression" dxfId="8305" priority="2887">
      <formula>O187&gt;Q187+#REF!</formula>
    </cfRule>
    <cfRule type="expression" dxfId="8304" priority="2888">
      <formula>O187&lt;Q187-#REF!</formula>
    </cfRule>
  </conditionalFormatting>
  <conditionalFormatting sqref="O190">
    <cfRule type="expression" dxfId="8303" priority="2885">
      <formula>O190&lt;Q190*#REF!</formula>
    </cfRule>
    <cfRule type="expression" dxfId="8302" priority="2886">
      <formula>O190&gt;Q190*#REF!</formula>
    </cfRule>
  </conditionalFormatting>
  <conditionalFormatting sqref="O191">
    <cfRule type="expression" dxfId="8301" priority="2883">
      <formula>O191&lt;Q191*#REF!</formula>
    </cfRule>
    <cfRule type="expression" dxfId="8300" priority="2884">
      <formula>O191&gt;Q191*#REF!</formula>
    </cfRule>
  </conditionalFormatting>
  <conditionalFormatting sqref="O202">
    <cfRule type="expression" dxfId="8299" priority="2881">
      <formula>O202&lt;Q202*#REF!</formula>
    </cfRule>
    <cfRule type="expression" dxfId="8298" priority="2882">
      <formula>O202&gt;Q202*#REF!</formula>
    </cfRule>
  </conditionalFormatting>
  <conditionalFormatting sqref="O192">
    <cfRule type="expression" dxfId="8297" priority="2879">
      <formula>O192&gt;Q192+#REF!</formula>
    </cfRule>
    <cfRule type="expression" dxfId="8296" priority="2880">
      <formula>O192&lt;Q192-#REF!</formula>
    </cfRule>
  </conditionalFormatting>
  <conditionalFormatting sqref="O193">
    <cfRule type="expression" dxfId="8295" priority="2877">
      <formula>O193&gt;Q193+#REF!</formula>
    </cfRule>
    <cfRule type="expression" dxfId="8294" priority="2878">
      <formula>O193&lt;Q193-#REF!</formula>
    </cfRule>
  </conditionalFormatting>
  <conditionalFormatting sqref="O194">
    <cfRule type="expression" dxfId="8293" priority="2875">
      <formula>O194&gt;Q194+#REF!</formula>
    </cfRule>
    <cfRule type="expression" dxfId="8292" priority="2876">
      <formula>O194&lt;Q194-#REF!</formula>
    </cfRule>
  </conditionalFormatting>
  <conditionalFormatting sqref="O195">
    <cfRule type="expression" dxfId="8291" priority="2873">
      <formula>O195&gt;Q195+#REF!</formula>
    </cfRule>
    <cfRule type="expression" dxfId="8290" priority="2874">
      <formula>O195&lt;Q195-#REF!</formula>
    </cfRule>
  </conditionalFormatting>
  <conditionalFormatting sqref="O196">
    <cfRule type="expression" dxfId="8289" priority="2871">
      <formula>O196&gt;Q196+#REF!</formula>
    </cfRule>
    <cfRule type="expression" dxfId="8288" priority="2872">
      <formula>O196&lt;Q196-#REF!</formula>
    </cfRule>
  </conditionalFormatting>
  <conditionalFormatting sqref="O197">
    <cfRule type="expression" dxfId="8287" priority="2869">
      <formula>O197&gt;Q197+#REF!</formula>
    </cfRule>
    <cfRule type="expression" dxfId="8286" priority="2870">
      <formula>O197&lt;Q197-#REF!</formula>
    </cfRule>
  </conditionalFormatting>
  <conditionalFormatting sqref="O198">
    <cfRule type="expression" dxfId="8285" priority="2867">
      <formula>O198&gt;Q198+#REF!</formula>
    </cfRule>
    <cfRule type="expression" dxfId="8284" priority="2868">
      <formula>O198&lt;Q198-#REF!</formula>
    </cfRule>
  </conditionalFormatting>
  <conditionalFormatting sqref="O199:O200">
    <cfRule type="expression" dxfId="8283" priority="2865">
      <formula>O199&gt;Q199+#REF!</formula>
    </cfRule>
    <cfRule type="expression" dxfId="8282" priority="2866">
      <formula>O199&lt;Q199-#REF!</formula>
    </cfRule>
  </conditionalFormatting>
  <conditionalFormatting sqref="O201">
    <cfRule type="expression" dxfId="8281" priority="2863">
      <formula>O201&gt;Q201+#REF!</formula>
    </cfRule>
    <cfRule type="expression" dxfId="8280" priority="2864">
      <formula>O201&lt;Q201-#REF!</formula>
    </cfRule>
  </conditionalFormatting>
  <conditionalFormatting sqref="O204">
    <cfRule type="expression" dxfId="8279" priority="2861">
      <formula>O204&lt;Q204*#REF!</formula>
    </cfRule>
    <cfRule type="expression" dxfId="8278" priority="2862">
      <formula>O204&gt;Q204*#REF!</formula>
    </cfRule>
  </conditionalFormatting>
  <conditionalFormatting sqref="O205">
    <cfRule type="expression" dxfId="8277" priority="2859">
      <formula>O205&lt;Q205*#REF!</formula>
    </cfRule>
    <cfRule type="expression" dxfId="8276" priority="2860">
      <formula>O205&gt;Q205*#REF!</formula>
    </cfRule>
  </conditionalFormatting>
  <conditionalFormatting sqref="O216">
    <cfRule type="expression" dxfId="8275" priority="2857">
      <formula>O216&lt;Q216*#REF!</formula>
    </cfRule>
    <cfRule type="expression" dxfId="8274" priority="2858">
      <formula>O216&gt;Q216*#REF!</formula>
    </cfRule>
  </conditionalFormatting>
  <conditionalFormatting sqref="O206">
    <cfRule type="expression" dxfId="8273" priority="2855">
      <formula>O206&gt;Q206+#REF!</formula>
    </cfRule>
    <cfRule type="expression" dxfId="8272" priority="2856">
      <formula>O206&lt;Q206-#REF!</formula>
    </cfRule>
  </conditionalFormatting>
  <conditionalFormatting sqref="O207">
    <cfRule type="expression" dxfId="8271" priority="2853">
      <formula>O207&gt;Q207+#REF!</formula>
    </cfRule>
    <cfRule type="expression" dxfId="8270" priority="2854">
      <formula>O207&lt;Q207-#REF!</formula>
    </cfRule>
  </conditionalFormatting>
  <conditionalFormatting sqref="O208">
    <cfRule type="expression" dxfId="8269" priority="2851">
      <formula>O208&gt;Q208+#REF!</formula>
    </cfRule>
    <cfRule type="expression" dxfId="8268" priority="2852">
      <formula>O208&lt;Q208-#REF!</formula>
    </cfRule>
  </conditionalFormatting>
  <conditionalFormatting sqref="O209">
    <cfRule type="expression" dxfId="8267" priority="2849">
      <formula>O209&gt;Q209+#REF!</formula>
    </cfRule>
    <cfRule type="expression" dxfId="8266" priority="2850">
      <formula>O209&lt;Q209-#REF!</formula>
    </cfRule>
  </conditionalFormatting>
  <conditionalFormatting sqref="O210">
    <cfRule type="expression" dxfId="8265" priority="2847">
      <formula>O210&gt;Q210+#REF!</formula>
    </cfRule>
    <cfRule type="expression" dxfId="8264" priority="2848">
      <formula>O210&lt;Q210-#REF!</formula>
    </cfRule>
  </conditionalFormatting>
  <conditionalFormatting sqref="O211">
    <cfRule type="expression" dxfId="8263" priority="2845">
      <formula>O211&gt;Q211+#REF!</formula>
    </cfRule>
    <cfRule type="expression" dxfId="8262" priority="2846">
      <formula>O211&lt;Q211-#REF!</formula>
    </cfRule>
  </conditionalFormatting>
  <conditionalFormatting sqref="O212">
    <cfRule type="expression" dxfId="8261" priority="2843">
      <formula>O212&gt;Q212+#REF!</formula>
    </cfRule>
    <cfRule type="expression" dxfId="8260" priority="2844">
      <formula>O212&lt;Q212-#REF!</formula>
    </cfRule>
  </conditionalFormatting>
  <conditionalFormatting sqref="O213:O214">
    <cfRule type="expression" dxfId="8259" priority="2841">
      <formula>O213&gt;Q213+#REF!</formula>
    </cfRule>
    <cfRule type="expression" dxfId="8258" priority="2842">
      <formula>O213&lt;Q213-#REF!</formula>
    </cfRule>
  </conditionalFormatting>
  <conditionalFormatting sqref="O215">
    <cfRule type="expression" dxfId="8257" priority="2839">
      <formula>O215&gt;Q215+#REF!</formula>
    </cfRule>
    <cfRule type="expression" dxfId="8256" priority="2840">
      <formula>O215&lt;Q215-#REF!</formula>
    </cfRule>
  </conditionalFormatting>
  <conditionalFormatting sqref="O218">
    <cfRule type="expression" dxfId="8255" priority="2813">
      <formula>O218&lt;Q218*#REF!</formula>
    </cfRule>
    <cfRule type="expression" dxfId="8254" priority="2814">
      <formula>O218&gt;Q218*#REF!</formula>
    </cfRule>
  </conditionalFormatting>
  <conditionalFormatting sqref="O219">
    <cfRule type="expression" dxfId="8253" priority="2811">
      <formula>O219&lt;Q219*#REF!</formula>
    </cfRule>
    <cfRule type="expression" dxfId="8252" priority="2812">
      <formula>O219&gt;Q219*#REF!</formula>
    </cfRule>
  </conditionalFormatting>
  <conditionalFormatting sqref="O230">
    <cfRule type="expression" dxfId="8251" priority="2809">
      <formula>O230&lt;Q230*#REF!</formula>
    </cfRule>
    <cfRule type="expression" dxfId="8250" priority="2810">
      <formula>O230&gt;Q230*#REF!</formula>
    </cfRule>
  </conditionalFormatting>
  <conditionalFormatting sqref="O220">
    <cfRule type="expression" dxfId="8249" priority="2807">
      <formula>O220&gt;Q220+#REF!</formula>
    </cfRule>
    <cfRule type="expression" dxfId="8248" priority="2808">
      <formula>O220&lt;Q220-#REF!</formula>
    </cfRule>
  </conditionalFormatting>
  <conditionalFormatting sqref="O221">
    <cfRule type="expression" dxfId="8247" priority="2805">
      <formula>O221&gt;Q221+#REF!</formula>
    </cfRule>
    <cfRule type="expression" dxfId="8246" priority="2806">
      <formula>O221&lt;Q221-#REF!</formula>
    </cfRule>
  </conditionalFormatting>
  <conditionalFormatting sqref="O222">
    <cfRule type="expression" dxfId="8245" priority="2803">
      <formula>O222&gt;Q222+#REF!</formula>
    </cfRule>
    <cfRule type="expression" dxfId="8244" priority="2804">
      <formula>O222&lt;Q222-#REF!</formula>
    </cfRule>
  </conditionalFormatting>
  <conditionalFormatting sqref="O223">
    <cfRule type="expression" dxfId="8243" priority="2801">
      <formula>O223&gt;Q223+#REF!</formula>
    </cfRule>
    <cfRule type="expression" dxfId="8242" priority="2802">
      <formula>O223&lt;Q223-#REF!</formula>
    </cfRule>
  </conditionalFormatting>
  <conditionalFormatting sqref="O224">
    <cfRule type="expression" dxfId="8241" priority="2799">
      <formula>O224&gt;Q224+#REF!</formula>
    </cfRule>
    <cfRule type="expression" dxfId="8240" priority="2800">
      <formula>O224&lt;Q224-#REF!</formula>
    </cfRule>
  </conditionalFormatting>
  <conditionalFormatting sqref="O225">
    <cfRule type="expression" dxfId="8239" priority="2797">
      <formula>O225&gt;Q225+#REF!</formula>
    </cfRule>
    <cfRule type="expression" dxfId="8238" priority="2798">
      <formula>O225&lt;Q225-#REF!</formula>
    </cfRule>
  </conditionalFormatting>
  <conditionalFormatting sqref="O226">
    <cfRule type="expression" dxfId="8237" priority="2795">
      <formula>O226&gt;Q226+#REF!</formula>
    </cfRule>
    <cfRule type="expression" dxfId="8236" priority="2796">
      <formula>O226&lt;Q226-#REF!</formula>
    </cfRule>
  </conditionalFormatting>
  <conditionalFormatting sqref="O227:O228">
    <cfRule type="expression" dxfId="8235" priority="2793">
      <formula>O227&gt;Q227+#REF!</formula>
    </cfRule>
    <cfRule type="expression" dxfId="8234" priority="2794">
      <formula>O227&lt;Q227-#REF!</formula>
    </cfRule>
  </conditionalFormatting>
  <conditionalFormatting sqref="O229">
    <cfRule type="expression" dxfId="8233" priority="2791">
      <formula>O229&gt;Q229+#REF!</formula>
    </cfRule>
    <cfRule type="expression" dxfId="8232" priority="2792">
      <formula>O229&lt;Q229-#REF!</formula>
    </cfRule>
  </conditionalFormatting>
  <conditionalFormatting sqref="O232">
    <cfRule type="expression" dxfId="8231" priority="2789">
      <formula>O232&lt;Q232*#REF!</formula>
    </cfRule>
    <cfRule type="expression" dxfId="8230" priority="2790">
      <formula>O232&gt;Q232*#REF!</formula>
    </cfRule>
  </conditionalFormatting>
  <conditionalFormatting sqref="O233">
    <cfRule type="expression" dxfId="8229" priority="2787">
      <formula>O233&lt;Q233*#REF!</formula>
    </cfRule>
    <cfRule type="expression" dxfId="8228" priority="2788">
      <formula>O233&gt;Q233*#REF!</formula>
    </cfRule>
  </conditionalFormatting>
  <conditionalFormatting sqref="O244">
    <cfRule type="expression" dxfId="8227" priority="2785">
      <formula>O244&lt;Q244*#REF!</formula>
    </cfRule>
    <cfRule type="expression" dxfId="8226" priority="2786">
      <formula>O244&gt;Q244*#REF!</formula>
    </cfRule>
  </conditionalFormatting>
  <conditionalFormatting sqref="O234">
    <cfRule type="expression" dxfId="8225" priority="2783">
      <formula>O234&gt;Q234+#REF!</formula>
    </cfRule>
    <cfRule type="expression" dxfId="8224" priority="2784">
      <formula>O234&lt;Q234-#REF!</formula>
    </cfRule>
  </conditionalFormatting>
  <conditionalFormatting sqref="O235">
    <cfRule type="expression" dxfId="8223" priority="2781">
      <formula>O235&gt;Q235+#REF!</formula>
    </cfRule>
    <cfRule type="expression" dxfId="8222" priority="2782">
      <formula>O235&lt;Q235-#REF!</formula>
    </cfRule>
  </conditionalFormatting>
  <conditionalFormatting sqref="O236">
    <cfRule type="expression" dxfId="8221" priority="2779">
      <formula>O236&gt;Q236+#REF!</formula>
    </cfRule>
    <cfRule type="expression" dxfId="8220" priority="2780">
      <formula>O236&lt;Q236-#REF!</formula>
    </cfRule>
  </conditionalFormatting>
  <conditionalFormatting sqref="O237">
    <cfRule type="expression" dxfId="8219" priority="2777">
      <formula>O237&gt;Q237+#REF!</formula>
    </cfRule>
    <cfRule type="expression" dxfId="8218" priority="2778">
      <formula>O237&lt;Q237-#REF!</formula>
    </cfRule>
  </conditionalFormatting>
  <conditionalFormatting sqref="O238">
    <cfRule type="expression" dxfId="8217" priority="2775">
      <formula>O238&gt;Q238+#REF!</formula>
    </cfRule>
    <cfRule type="expression" dxfId="8216" priority="2776">
      <formula>O238&lt;Q238-#REF!</formula>
    </cfRule>
  </conditionalFormatting>
  <conditionalFormatting sqref="O239">
    <cfRule type="expression" dxfId="8215" priority="2773">
      <formula>O239&gt;Q239+#REF!</formula>
    </cfRule>
    <cfRule type="expression" dxfId="8214" priority="2774">
      <formula>O239&lt;Q239-#REF!</formula>
    </cfRule>
  </conditionalFormatting>
  <conditionalFormatting sqref="O240">
    <cfRule type="expression" dxfId="8213" priority="2771">
      <formula>O240&gt;Q240+#REF!</formula>
    </cfRule>
    <cfRule type="expression" dxfId="8212" priority="2772">
      <formula>O240&lt;Q240-#REF!</formula>
    </cfRule>
  </conditionalFormatting>
  <conditionalFormatting sqref="O241:O242">
    <cfRule type="expression" dxfId="8211" priority="2769">
      <formula>O241&gt;Q241+#REF!</formula>
    </cfRule>
    <cfRule type="expression" dxfId="8210" priority="2770">
      <formula>O241&lt;Q241-#REF!</formula>
    </cfRule>
  </conditionalFormatting>
  <conditionalFormatting sqref="O243">
    <cfRule type="expression" dxfId="8209" priority="2767">
      <formula>O243&gt;Q243+#REF!</formula>
    </cfRule>
    <cfRule type="expression" dxfId="8208" priority="2768">
      <formula>O243&lt;Q243-#REF!</formula>
    </cfRule>
  </conditionalFormatting>
  <conditionalFormatting sqref="O246">
    <cfRule type="expression" dxfId="8207" priority="2765">
      <formula>O246&lt;Q246*#REF!</formula>
    </cfRule>
    <cfRule type="expression" dxfId="8206" priority="2766">
      <formula>O246&gt;Q246*#REF!</formula>
    </cfRule>
  </conditionalFormatting>
  <conditionalFormatting sqref="O247">
    <cfRule type="expression" dxfId="8205" priority="2763">
      <formula>O247&lt;Q247*#REF!</formula>
    </cfRule>
    <cfRule type="expression" dxfId="8204" priority="2764">
      <formula>O247&gt;Q247*#REF!</formula>
    </cfRule>
  </conditionalFormatting>
  <conditionalFormatting sqref="O258">
    <cfRule type="expression" dxfId="8203" priority="2761">
      <formula>O258&lt;Q258*#REF!</formula>
    </cfRule>
    <cfRule type="expression" dxfId="8202" priority="2762">
      <formula>O258&gt;Q258*#REF!</formula>
    </cfRule>
  </conditionalFormatting>
  <conditionalFormatting sqref="O248">
    <cfRule type="expression" dxfId="8201" priority="2759">
      <formula>O248&gt;Q248+#REF!</formula>
    </cfRule>
    <cfRule type="expression" dxfId="8200" priority="2760">
      <formula>O248&lt;Q248-#REF!</formula>
    </cfRule>
  </conditionalFormatting>
  <conditionalFormatting sqref="O249">
    <cfRule type="expression" dxfId="8199" priority="2757">
      <formula>O249&gt;Q249+#REF!</formula>
    </cfRule>
    <cfRule type="expression" dxfId="8198" priority="2758">
      <formula>O249&lt;Q249-#REF!</formula>
    </cfRule>
  </conditionalFormatting>
  <conditionalFormatting sqref="O250">
    <cfRule type="expression" dxfId="8197" priority="2755">
      <formula>O250&gt;Q250+#REF!</formula>
    </cfRule>
    <cfRule type="expression" dxfId="8196" priority="2756">
      <formula>O250&lt;Q250-#REF!</formula>
    </cfRule>
  </conditionalFormatting>
  <conditionalFormatting sqref="O251">
    <cfRule type="expression" dxfId="8195" priority="2753">
      <formula>O251&gt;Q251+#REF!</formula>
    </cfRule>
    <cfRule type="expression" dxfId="8194" priority="2754">
      <formula>O251&lt;Q251-#REF!</formula>
    </cfRule>
  </conditionalFormatting>
  <conditionalFormatting sqref="O252">
    <cfRule type="expression" dxfId="8193" priority="2751">
      <formula>O252&gt;Q252+#REF!</formula>
    </cfRule>
    <cfRule type="expression" dxfId="8192" priority="2752">
      <formula>O252&lt;Q252-#REF!</formula>
    </cfRule>
  </conditionalFormatting>
  <conditionalFormatting sqref="O253">
    <cfRule type="expression" dxfId="8191" priority="2749">
      <formula>O253&gt;Q253+#REF!</formula>
    </cfRule>
    <cfRule type="expression" dxfId="8190" priority="2750">
      <formula>O253&lt;Q253-#REF!</formula>
    </cfRule>
  </conditionalFormatting>
  <conditionalFormatting sqref="O254">
    <cfRule type="expression" dxfId="8189" priority="2747">
      <formula>O254&gt;Q254+#REF!</formula>
    </cfRule>
    <cfRule type="expression" dxfId="8188" priority="2748">
      <formula>O254&lt;Q254-#REF!</formula>
    </cfRule>
  </conditionalFormatting>
  <conditionalFormatting sqref="O255:O256">
    <cfRule type="expression" dxfId="8187" priority="2745">
      <formula>O255&gt;Q255+#REF!</formula>
    </cfRule>
    <cfRule type="expression" dxfId="8186" priority="2746">
      <formula>O255&lt;Q255-#REF!</formula>
    </cfRule>
  </conditionalFormatting>
  <conditionalFormatting sqref="O257">
    <cfRule type="expression" dxfId="8185" priority="2743">
      <formula>O257&gt;Q257+#REF!</formula>
    </cfRule>
    <cfRule type="expression" dxfId="8184" priority="2744">
      <formula>O257&lt;Q257-#REF!</formula>
    </cfRule>
  </conditionalFormatting>
  <conditionalFormatting sqref="K227:K228">
    <cfRule type="expression" dxfId="8183" priority="2741">
      <formula>K227&gt;M227+#REF!</formula>
    </cfRule>
    <cfRule type="expression" dxfId="8182" priority="2742">
      <formula>K227&lt;M227-#REF!</formula>
    </cfRule>
  </conditionalFormatting>
  <conditionalFormatting sqref="S260">
    <cfRule type="expression" dxfId="8181" priority="397">
      <formula>S260&lt;U260*#REF!</formula>
    </cfRule>
    <cfRule type="expression" dxfId="8180" priority="398">
      <formula>S260&gt;U260*#REF!</formula>
    </cfRule>
  </conditionalFormatting>
  <conditionalFormatting sqref="S261">
    <cfRule type="expression" dxfId="8179" priority="395">
      <formula>S261&lt;U261*#REF!</formula>
    </cfRule>
    <cfRule type="expression" dxfId="8178" priority="396">
      <formula>S261&gt;U261*#REF!</formula>
    </cfRule>
  </conditionalFormatting>
  <conditionalFormatting sqref="S272">
    <cfRule type="expression" dxfId="8177" priority="393">
      <formula>S272&lt;U272*#REF!</formula>
    </cfRule>
    <cfRule type="expression" dxfId="8176" priority="394">
      <formula>S272&gt;U272*#REF!</formula>
    </cfRule>
  </conditionalFormatting>
  <conditionalFormatting sqref="S262">
    <cfRule type="expression" dxfId="8175" priority="391">
      <formula>S262&gt;U262+#REF!</formula>
    </cfRule>
    <cfRule type="expression" dxfId="8174" priority="392">
      <formula>S262&lt;U262-#REF!</formula>
    </cfRule>
  </conditionalFormatting>
  <conditionalFormatting sqref="S263">
    <cfRule type="expression" dxfId="8173" priority="389">
      <formula>S263&gt;U263+#REF!</formula>
    </cfRule>
    <cfRule type="expression" dxfId="8172" priority="390">
      <formula>S263&lt;U263-#REF!</formula>
    </cfRule>
  </conditionalFormatting>
  <conditionalFormatting sqref="S264">
    <cfRule type="expression" dxfId="8171" priority="387">
      <formula>S264&gt;U264+#REF!</formula>
    </cfRule>
    <cfRule type="expression" dxfId="8170" priority="388">
      <formula>S264&lt;U264-#REF!</formula>
    </cfRule>
  </conditionalFormatting>
  <conditionalFormatting sqref="S265">
    <cfRule type="expression" dxfId="8169" priority="385">
      <formula>S265&gt;U265+#REF!</formula>
    </cfRule>
    <cfRule type="expression" dxfId="8168" priority="386">
      <formula>S265&lt;U265-#REF!</formula>
    </cfRule>
  </conditionalFormatting>
  <conditionalFormatting sqref="S266">
    <cfRule type="expression" dxfId="8167" priority="383">
      <formula>S266&gt;U266+#REF!</formula>
    </cfRule>
    <cfRule type="expression" dxfId="8166" priority="384">
      <formula>S266&lt;U266-#REF!</formula>
    </cfRule>
  </conditionalFormatting>
  <conditionalFormatting sqref="S267">
    <cfRule type="expression" dxfId="8165" priority="381">
      <formula>S267&gt;U267+#REF!</formula>
    </cfRule>
    <cfRule type="expression" dxfId="8164" priority="382">
      <formula>S267&lt;U267-#REF!</formula>
    </cfRule>
  </conditionalFormatting>
  <conditionalFormatting sqref="S268">
    <cfRule type="expression" dxfId="8163" priority="379">
      <formula>S268&gt;U268+#REF!</formula>
    </cfRule>
    <cfRule type="expression" dxfId="8162" priority="380">
      <formula>S268&lt;U268-#REF!</formula>
    </cfRule>
  </conditionalFormatting>
  <conditionalFormatting sqref="S269:S270">
    <cfRule type="expression" dxfId="8161" priority="377">
      <formula>S269&gt;U269+#REF!</formula>
    </cfRule>
    <cfRule type="expression" dxfId="8160" priority="378">
      <formula>S269&lt;U269-#REF!</formula>
    </cfRule>
  </conditionalFormatting>
  <conditionalFormatting sqref="S271">
    <cfRule type="expression" dxfId="8159" priority="375">
      <formula>S271&gt;U271+#REF!</formula>
    </cfRule>
    <cfRule type="expression" dxfId="8158" priority="376">
      <formula>S271&lt;U271-#REF!</formula>
    </cfRule>
  </conditionalFormatting>
  <conditionalFormatting sqref="S8">
    <cfRule type="expression" dxfId="8157" priority="751">
      <formula>S8&lt;U8*#REF!</formula>
    </cfRule>
    <cfRule type="expression" dxfId="8156" priority="752">
      <formula>S8&gt;U8*#REF!</formula>
    </cfRule>
  </conditionalFormatting>
  <conditionalFormatting sqref="S9">
    <cfRule type="expression" dxfId="8155" priority="749">
      <formula>S9&lt;U9*#REF!</formula>
    </cfRule>
    <cfRule type="expression" dxfId="8154" priority="750">
      <formula>S9&gt;U9*#REF!</formula>
    </cfRule>
  </conditionalFormatting>
  <conditionalFormatting sqref="S20">
    <cfRule type="expression" dxfId="8153" priority="747">
      <formula>S20&lt;U20*#REF!</formula>
    </cfRule>
    <cfRule type="expression" dxfId="8152" priority="748">
      <formula>S20&gt;U20*#REF!</formula>
    </cfRule>
  </conditionalFormatting>
  <conditionalFormatting sqref="S10">
    <cfRule type="expression" dxfId="8151" priority="745">
      <formula>S10&gt;U10+#REF!</formula>
    </cfRule>
    <cfRule type="expression" dxfId="8150" priority="746">
      <formula>S10&lt;U10-#REF!</formula>
    </cfRule>
  </conditionalFormatting>
  <conditionalFormatting sqref="S11">
    <cfRule type="expression" dxfId="8149" priority="743">
      <formula>S11&gt;U11+#REF!</formula>
    </cfRule>
    <cfRule type="expression" dxfId="8148" priority="744">
      <formula>S11&lt;U11-#REF!</formula>
    </cfRule>
  </conditionalFormatting>
  <conditionalFormatting sqref="S12">
    <cfRule type="expression" dxfId="8147" priority="741">
      <formula>S12&gt;U12+#REF!</formula>
    </cfRule>
    <cfRule type="expression" dxfId="8146" priority="742">
      <formula>S12&lt;U12-#REF!</formula>
    </cfRule>
  </conditionalFormatting>
  <conditionalFormatting sqref="S13">
    <cfRule type="expression" dxfId="8145" priority="739">
      <formula>S13&gt;U13+#REF!</formula>
    </cfRule>
    <cfRule type="expression" dxfId="8144" priority="740">
      <formula>S13&lt;U13-#REF!</formula>
    </cfRule>
  </conditionalFormatting>
  <conditionalFormatting sqref="S14">
    <cfRule type="expression" dxfId="8143" priority="737">
      <formula>S14&gt;U14+#REF!</formula>
    </cfRule>
    <cfRule type="expression" dxfId="8142" priority="738">
      <formula>S14&lt;U14-#REF!</formula>
    </cfRule>
  </conditionalFormatting>
  <conditionalFormatting sqref="S15">
    <cfRule type="expression" dxfId="8141" priority="735">
      <formula>S15&gt;U15+#REF!</formula>
    </cfRule>
    <cfRule type="expression" dxfId="8140" priority="736">
      <formula>S15&lt;U15-#REF!</formula>
    </cfRule>
  </conditionalFormatting>
  <conditionalFormatting sqref="S16">
    <cfRule type="expression" dxfId="8139" priority="733">
      <formula>S16&gt;U16+#REF!</formula>
    </cfRule>
    <cfRule type="expression" dxfId="8138" priority="734">
      <formula>S16&lt;U16-#REF!</formula>
    </cfRule>
  </conditionalFormatting>
  <conditionalFormatting sqref="S17:S18">
    <cfRule type="expression" dxfId="8137" priority="731">
      <formula>S17&gt;U17+#REF!</formula>
    </cfRule>
    <cfRule type="expression" dxfId="8136" priority="732">
      <formula>S17&lt;U17-#REF!</formula>
    </cfRule>
  </conditionalFormatting>
  <conditionalFormatting sqref="S19">
    <cfRule type="expression" dxfId="8135" priority="729">
      <formula>S19&gt;U19+#REF!</formula>
    </cfRule>
    <cfRule type="expression" dxfId="8134" priority="730">
      <formula>S19&lt;U19-#REF!</formula>
    </cfRule>
  </conditionalFormatting>
  <conditionalFormatting sqref="S134">
    <cfRule type="expression" dxfId="8133" priority="541">
      <formula>S134&lt;U134*#REF!</formula>
    </cfRule>
    <cfRule type="expression" dxfId="8132" priority="542">
      <formula>S134&gt;U134*#REF!</formula>
    </cfRule>
  </conditionalFormatting>
  <conditionalFormatting sqref="S135">
    <cfRule type="expression" dxfId="8131" priority="539">
      <formula>S135&lt;U135*#REF!</formula>
    </cfRule>
    <cfRule type="expression" dxfId="8130" priority="540">
      <formula>S135&gt;U135*#REF!</formula>
    </cfRule>
  </conditionalFormatting>
  <conditionalFormatting sqref="S136">
    <cfRule type="expression" dxfId="8129" priority="535">
      <formula>S136&gt;U136+#REF!</formula>
    </cfRule>
    <cfRule type="expression" dxfId="8128" priority="536">
      <formula>S136&lt;U136-#REF!</formula>
    </cfRule>
  </conditionalFormatting>
  <conditionalFormatting sqref="S137">
    <cfRule type="expression" dxfId="8127" priority="533">
      <formula>S137&gt;U137+#REF!</formula>
    </cfRule>
    <cfRule type="expression" dxfId="8126" priority="534">
      <formula>S137&lt;U137-#REF!</formula>
    </cfRule>
  </conditionalFormatting>
  <conditionalFormatting sqref="S138">
    <cfRule type="expression" dxfId="8125" priority="531">
      <formula>S138&gt;U138+#REF!</formula>
    </cfRule>
    <cfRule type="expression" dxfId="8124" priority="532">
      <formula>S138&lt;U138-#REF!</formula>
    </cfRule>
  </conditionalFormatting>
  <conditionalFormatting sqref="S139">
    <cfRule type="expression" dxfId="8123" priority="529">
      <formula>S139&gt;U139+#REF!</formula>
    </cfRule>
    <cfRule type="expression" dxfId="8122" priority="530">
      <formula>S139&lt;U139-#REF!</formula>
    </cfRule>
  </conditionalFormatting>
  <conditionalFormatting sqref="S140">
    <cfRule type="expression" dxfId="8121" priority="527">
      <formula>S140&gt;U140+#REF!</formula>
    </cfRule>
    <cfRule type="expression" dxfId="8120" priority="528">
      <formula>S140&lt;U140-#REF!</formula>
    </cfRule>
  </conditionalFormatting>
  <conditionalFormatting sqref="S141">
    <cfRule type="expression" dxfId="8119" priority="525">
      <formula>S141&gt;U141+#REF!</formula>
    </cfRule>
    <cfRule type="expression" dxfId="8118" priority="526">
      <formula>S141&lt;U141-#REF!</formula>
    </cfRule>
  </conditionalFormatting>
  <conditionalFormatting sqref="S142">
    <cfRule type="expression" dxfId="8117" priority="523">
      <formula>S142&gt;U142+#REF!</formula>
    </cfRule>
    <cfRule type="expression" dxfId="8116" priority="524">
      <formula>S142&lt;U142-#REF!</formula>
    </cfRule>
  </conditionalFormatting>
  <conditionalFormatting sqref="S143:S144">
    <cfRule type="expression" dxfId="8115" priority="521">
      <formula>S143&gt;U143+#REF!</formula>
    </cfRule>
    <cfRule type="expression" dxfId="8114" priority="522">
      <formula>S143&lt;U143-#REF!</formula>
    </cfRule>
  </conditionalFormatting>
  <conditionalFormatting sqref="S145">
    <cfRule type="expression" dxfId="8113" priority="519">
      <formula>S145&gt;U145+#REF!</formula>
    </cfRule>
    <cfRule type="expression" dxfId="8112" priority="520">
      <formula>S145&lt;U145-#REF!</formula>
    </cfRule>
  </conditionalFormatting>
  <conditionalFormatting sqref="S92">
    <cfRule type="expression" dxfId="8111" priority="607">
      <formula>S92&lt;U92*#REF!</formula>
    </cfRule>
    <cfRule type="expression" dxfId="8110" priority="608">
      <formula>S92&gt;U92*#REF!</formula>
    </cfRule>
  </conditionalFormatting>
  <conditionalFormatting sqref="S93">
    <cfRule type="expression" dxfId="8109" priority="605">
      <formula>S93&lt;U93*#REF!</formula>
    </cfRule>
    <cfRule type="expression" dxfId="8108" priority="606">
      <formula>S93&gt;U93*#REF!</formula>
    </cfRule>
  </conditionalFormatting>
  <conditionalFormatting sqref="S104">
    <cfRule type="expression" dxfId="8107" priority="603">
      <formula>S104&lt;U104*#REF!</formula>
    </cfRule>
    <cfRule type="expression" dxfId="8106" priority="604">
      <formula>S104&gt;U104*#REF!</formula>
    </cfRule>
  </conditionalFormatting>
  <conditionalFormatting sqref="S94">
    <cfRule type="expression" dxfId="8105" priority="601">
      <formula>S94&gt;U94+#REF!</formula>
    </cfRule>
    <cfRule type="expression" dxfId="8104" priority="602">
      <formula>S94&lt;U94-#REF!</formula>
    </cfRule>
  </conditionalFormatting>
  <conditionalFormatting sqref="S95">
    <cfRule type="expression" dxfId="8103" priority="599">
      <formula>S95&gt;U95+#REF!</formula>
    </cfRule>
    <cfRule type="expression" dxfId="8102" priority="600">
      <formula>S95&lt;U95-#REF!</formula>
    </cfRule>
  </conditionalFormatting>
  <conditionalFormatting sqref="S96">
    <cfRule type="expression" dxfId="8101" priority="597">
      <formula>S96&gt;U96+#REF!</formula>
    </cfRule>
    <cfRule type="expression" dxfId="8100" priority="598">
      <formula>S96&lt;U96-#REF!</formula>
    </cfRule>
  </conditionalFormatting>
  <conditionalFormatting sqref="S97">
    <cfRule type="expression" dxfId="8099" priority="595">
      <formula>S97&gt;U97+#REF!</formula>
    </cfRule>
    <cfRule type="expression" dxfId="8098" priority="596">
      <formula>S97&lt;U97-#REF!</formula>
    </cfRule>
  </conditionalFormatting>
  <conditionalFormatting sqref="S98">
    <cfRule type="expression" dxfId="8097" priority="593">
      <formula>S98&gt;U98+#REF!</formula>
    </cfRule>
    <cfRule type="expression" dxfId="8096" priority="594">
      <formula>S98&lt;U98-#REF!</formula>
    </cfRule>
  </conditionalFormatting>
  <conditionalFormatting sqref="S99">
    <cfRule type="expression" dxfId="8095" priority="591">
      <formula>S99&gt;U99+#REF!</formula>
    </cfRule>
    <cfRule type="expression" dxfId="8094" priority="592">
      <formula>S99&lt;U99-#REF!</formula>
    </cfRule>
  </conditionalFormatting>
  <conditionalFormatting sqref="S100">
    <cfRule type="expression" dxfId="8093" priority="589">
      <formula>S100&gt;U100+#REF!</formula>
    </cfRule>
    <cfRule type="expression" dxfId="8092" priority="590">
      <formula>S100&lt;U100-#REF!</formula>
    </cfRule>
  </conditionalFormatting>
  <conditionalFormatting sqref="S101:S102">
    <cfRule type="expression" dxfId="8091" priority="587">
      <formula>S101&gt;U101+#REF!</formula>
    </cfRule>
    <cfRule type="expression" dxfId="8090" priority="588">
      <formula>S101&lt;U101-#REF!</formula>
    </cfRule>
  </conditionalFormatting>
  <conditionalFormatting sqref="S103">
    <cfRule type="expression" dxfId="8089" priority="585">
      <formula>S103&gt;U103+#REF!</formula>
    </cfRule>
    <cfRule type="expression" dxfId="8088" priority="586">
      <formula>S103&lt;U103-#REF!</formula>
    </cfRule>
  </conditionalFormatting>
  <conditionalFormatting sqref="S160">
    <cfRule type="expression" dxfId="8087" priority="513">
      <formula>S160&lt;U160*#REF!</formula>
    </cfRule>
    <cfRule type="expression" dxfId="8086" priority="514">
      <formula>S160&gt;U160*#REF!</formula>
    </cfRule>
  </conditionalFormatting>
  <conditionalFormatting sqref="S146">
    <cfRule type="expression" dxfId="8085" priority="537">
      <formula>S146&lt;U146*#REF!</formula>
    </cfRule>
    <cfRule type="expression" dxfId="8084" priority="538">
      <formula>S146&gt;U146*#REF!</formula>
    </cfRule>
  </conditionalFormatting>
  <conditionalFormatting sqref="S204">
    <cfRule type="expression" dxfId="8083" priority="421">
      <formula>S204&lt;U204*#REF!</formula>
    </cfRule>
    <cfRule type="expression" dxfId="8082" priority="422">
      <formula>S204&gt;U204*#REF!</formula>
    </cfRule>
  </conditionalFormatting>
  <conditionalFormatting sqref="S205">
    <cfRule type="expression" dxfId="8081" priority="419">
      <formula>S205&lt;U205*#REF!</formula>
    </cfRule>
    <cfRule type="expression" dxfId="8080" priority="420">
      <formula>S205&gt;U205*#REF!</formula>
    </cfRule>
  </conditionalFormatting>
  <conditionalFormatting sqref="S206">
    <cfRule type="expression" dxfId="8079" priority="415">
      <formula>S206&gt;U206+#REF!</formula>
    </cfRule>
    <cfRule type="expression" dxfId="8078" priority="416">
      <formula>S206&lt;U206-#REF!</formula>
    </cfRule>
  </conditionalFormatting>
  <conditionalFormatting sqref="S207">
    <cfRule type="expression" dxfId="8077" priority="413">
      <formula>S207&gt;U207+#REF!</formula>
    </cfRule>
    <cfRule type="expression" dxfId="8076" priority="414">
      <formula>S207&lt;U207-#REF!</formula>
    </cfRule>
  </conditionalFormatting>
  <conditionalFormatting sqref="S208">
    <cfRule type="expression" dxfId="8075" priority="411">
      <formula>S208&gt;U208+#REF!</formula>
    </cfRule>
    <cfRule type="expression" dxfId="8074" priority="412">
      <formula>S208&lt;U208-#REF!</formula>
    </cfRule>
  </conditionalFormatting>
  <conditionalFormatting sqref="S209">
    <cfRule type="expression" dxfId="8073" priority="409">
      <formula>S209&gt;U209+#REF!</formula>
    </cfRule>
    <cfRule type="expression" dxfId="8072" priority="410">
      <formula>S209&lt;U209-#REF!</formula>
    </cfRule>
  </conditionalFormatting>
  <conditionalFormatting sqref="S210">
    <cfRule type="expression" dxfId="8071" priority="407">
      <formula>S210&gt;U210+#REF!</formula>
    </cfRule>
    <cfRule type="expression" dxfId="8070" priority="408">
      <formula>S210&lt;U210-#REF!</formula>
    </cfRule>
  </conditionalFormatting>
  <conditionalFormatting sqref="S211">
    <cfRule type="expression" dxfId="8069" priority="405">
      <formula>S211&gt;U211+#REF!</formula>
    </cfRule>
    <cfRule type="expression" dxfId="8068" priority="406">
      <formula>S211&lt;U211-#REF!</formula>
    </cfRule>
  </conditionalFormatting>
  <conditionalFormatting sqref="S212">
    <cfRule type="expression" dxfId="8067" priority="403">
      <formula>S212&gt;U212+#REF!</formula>
    </cfRule>
    <cfRule type="expression" dxfId="8066" priority="404">
      <formula>S212&lt;U212-#REF!</formula>
    </cfRule>
  </conditionalFormatting>
  <conditionalFormatting sqref="S213:S214">
    <cfRule type="expression" dxfId="8065" priority="401">
      <formula>S213&gt;U213+#REF!</formula>
    </cfRule>
    <cfRule type="expression" dxfId="8064" priority="402">
      <formula>S213&lt;U213-#REF!</formula>
    </cfRule>
  </conditionalFormatting>
  <conditionalFormatting sqref="S215">
    <cfRule type="expression" dxfId="8063" priority="399">
      <formula>S215&gt;U215+#REF!</formula>
    </cfRule>
    <cfRule type="expression" dxfId="8062" priority="400">
      <formula>S215&lt;U215-#REF!</formula>
    </cfRule>
  </conditionalFormatting>
  <conditionalFormatting sqref="S48">
    <cfRule type="expression" dxfId="8061" priority="699">
      <formula>S48&lt;U48*#REF!</formula>
    </cfRule>
    <cfRule type="expression" dxfId="8060" priority="700">
      <formula>S48&gt;U48*#REF!</formula>
    </cfRule>
  </conditionalFormatting>
  <conditionalFormatting sqref="S62">
    <cfRule type="expression" dxfId="8059" priority="675">
      <formula>S62&lt;U62*#REF!</formula>
    </cfRule>
    <cfRule type="expression" dxfId="8058" priority="676">
      <formula>S62&gt;U62*#REF!</formula>
    </cfRule>
  </conditionalFormatting>
  <conditionalFormatting sqref="S76">
    <cfRule type="expression" dxfId="8057" priority="651">
      <formula>S76&lt;U76*#REF!</formula>
    </cfRule>
    <cfRule type="expression" dxfId="8056" priority="652">
      <formula>S76&gt;U76*#REF!</formula>
    </cfRule>
  </conditionalFormatting>
  <conditionalFormatting sqref="S90">
    <cfRule type="expression" dxfId="8055" priority="627">
      <formula>S90&lt;U90*#REF!</formula>
    </cfRule>
    <cfRule type="expression" dxfId="8054" priority="628">
      <formula>S90&gt;U90*#REF!</formula>
    </cfRule>
  </conditionalFormatting>
  <conditionalFormatting sqref="S118">
    <cfRule type="expression" dxfId="8053" priority="579">
      <formula>S118&lt;U118*#REF!</formula>
    </cfRule>
    <cfRule type="expression" dxfId="8052" priority="580">
      <formula>S118&gt;U118*#REF!</formula>
    </cfRule>
  </conditionalFormatting>
  <conditionalFormatting sqref="S218">
    <cfRule type="expression" dxfId="8051" priority="373">
      <formula>S218&lt;U218*#REF!</formula>
    </cfRule>
    <cfRule type="expression" dxfId="8050" priority="374">
      <formula>S218&gt;U218*#REF!</formula>
    </cfRule>
  </conditionalFormatting>
  <conditionalFormatting sqref="S219">
    <cfRule type="expression" dxfId="8049" priority="371">
      <formula>S219&lt;U219*#REF!</formula>
    </cfRule>
    <cfRule type="expression" dxfId="8048" priority="372">
      <formula>S219&gt;U219*#REF!</formula>
    </cfRule>
  </conditionalFormatting>
  <conditionalFormatting sqref="S132">
    <cfRule type="expression" dxfId="8047" priority="561">
      <formula>S132&lt;U132*#REF!</formula>
    </cfRule>
    <cfRule type="expression" dxfId="8046" priority="562">
      <formula>S132&gt;U132*#REF!</formula>
    </cfRule>
  </conditionalFormatting>
  <conditionalFormatting sqref="S227:S228">
    <cfRule type="expression" dxfId="8045" priority="353">
      <formula>S227&gt;U227+#REF!</formula>
    </cfRule>
    <cfRule type="expression" dxfId="8044" priority="354">
      <formula>S227&lt;U227-#REF!</formula>
    </cfRule>
  </conditionalFormatting>
  <conditionalFormatting sqref="S174">
    <cfRule type="expression" dxfId="8043" priority="489">
      <formula>S174&lt;U174*#REF!</formula>
    </cfRule>
    <cfRule type="expression" dxfId="8042" priority="490">
      <formula>S174&gt;U174*#REF!</formula>
    </cfRule>
  </conditionalFormatting>
  <conditionalFormatting sqref="S188">
    <cfRule type="expression" dxfId="8041" priority="441">
      <formula>S188&lt;U188*#REF!</formula>
    </cfRule>
    <cfRule type="expression" dxfId="8040" priority="442">
      <formula>S188&gt;U188*#REF!</formula>
    </cfRule>
  </conditionalFormatting>
  <conditionalFormatting sqref="S232">
    <cfRule type="expression" dxfId="8039" priority="229">
      <formula>S232&lt;U232*#REF!</formula>
    </cfRule>
    <cfRule type="expression" dxfId="8038" priority="230">
      <formula>S232&gt;U232*#REF!</formula>
    </cfRule>
  </conditionalFormatting>
  <conditionalFormatting sqref="S233">
    <cfRule type="expression" dxfId="8037" priority="227">
      <formula>S233&lt;U233*#REF!</formula>
    </cfRule>
    <cfRule type="expression" dxfId="8036" priority="228">
      <formula>S233&gt;U233*#REF!</formula>
    </cfRule>
  </conditionalFormatting>
  <conditionalFormatting sqref="S244">
    <cfRule type="expression" dxfId="8035" priority="225">
      <formula>S244&lt;U244*#REF!</formula>
    </cfRule>
    <cfRule type="expression" dxfId="8034" priority="226">
      <formula>S244&gt;U244*#REF!</formula>
    </cfRule>
  </conditionalFormatting>
  <conditionalFormatting sqref="S234">
    <cfRule type="expression" dxfId="8033" priority="223">
      <formula>S234&gt;U234+#REF!</formula>
    </cfRule>
    <cfRule type="expression" dxfId="8032" priority="224">
      <formula>S234&lt;U234-#REF!</formula>
    </cfRule>
  </conditionalFormatting>
  <conditionalFormatting sqref="S235">
    <cfRule type="expression" dxfId="8031" priority="221">
      <formula>S235&gt;U235+#REF!</formula>
    </cfRule>
    <cfRule type="expression" dxfId="8030" priority="222">
      <formula>S235&lt;U235-#REF!</formula>
    </cfRule>
  </conditionalFormatting>
  <conditionalFormatting sqref="S236">
    <cfRule type="expression" dxfId="8029" priority="219">
      <formula>S236&gt;U236+#REF!</formula>
    </cfRule>
    <cfRule type="expression" dxfId="8028" priority="220">
      <formula>S236&lt;U236-#REF!</formula>
    </cfRule>
  </conditionalFormatting>
  <conditionalFormatting sqref="S237">
    <cfRule type="expression" dxfId="8027" priority="217">
      <formula>S237&gt;U237+#REF!</formula>
    </cfRule>
    <cfRule type="expression" dxfId="8026" priority="218">
      <formula>S237&lt;U237-#REF!</formula>
    </cfRule>
  </conditionalFormatting>
  <conditionalFormatting sqref="S238">
    <cfRule type="expression" dxfId="8025" priority="215">
      <formula>S238&gt;U238+#REF!</formula>
    </cfRule>
    <cfRule type="expression" dxfId="8024" priority="216">
      <formula>S238&lt;U238-#REF!</formula>
    </cfRule>
  </conditionalFormatting>
  <conditionalFormatting sqref="S239">
    <cfRule type="expression" dxfId="8023" priority="213">
      <formula>S239&gt;U239+#REF!</formula>
    </cfRule>
    <cfRule type="expression" dxfId="8022" priority="214">
      <formula>S239&lt;U239-#REF!</formula>
    </cfRule>
  </conditionalFormatting>
  <conditionalFormatting sqref="S240">
    <cfRule type="expression" dxfId="8021" priority="211">
      <formula>S240&gt;U240+#REF!</formula>
    </cfRule>
    <cfRule type="expression" dxfId="8020" priority="212">
      <formula>S240&lt;U240-#REF!</formula>
    </cfRule>
  </conditionalFormatting>
  <conditionalFormatting sqref="S241:S242">
    <cfRule type="expression" dxfId="8019" priority="209">
      <formula>S241&gt;U241+#REF!</formula>
    </cfRule>
    <cfRule type="expression" dxfId="8018" priority="210">
      <formula>S241&lt;U241-#REF!</formula>
    </cfRule>
  </conditionalFormatting>
  <conditionalFormatting sqref="S243">
    <cfRule type="expression" dxfId="8017" priority="207">
      <formula>S243&gt;U243+#REF!</formula>
    </cfRule>
    <cfRule type="expression" dxfId="8016" priority="208">
      <formula>S243&lt;U243-#REF!</formula>
    </cfRule>
  </conditionalFormatting>
  <conditionalFormatting sqref="S246">
    <cfRule type="expression" dxfId="8015" priority="85">
      <formula>S246&lt;U246*#REF!</formula>
    </cfRule>
    <cfRule type="expression" dxfId="8014" priority="86">
      <formula>S246&gt;U246*#REF!</formula>
    </cfRule>
  </conditionalFormatting>
  <conditionalFormatting sqref="S247">
    <cfRule type="expression" dxfId="8013" priority="83">
      <formula>S247&lt;U247*#REF!</formula>
    </cfRule>
    <cfRule type="expression" dxfId="8012" priority="84">
      <formula>S247&gt;U247*#REF!</formula>
    </cfRule>
  </conditionalFormatting>
  <conditionalFormatting sqref="S248">
    <cfRule type="expression" dxfId="8011" priority="79">
      <formula>S248&gt;U248+#REF!</formula>
    </cfRule>
    <cfRule type="expression" dxfId="8010" priority="80">
      <formula>S248&lt;U248-#REF!</formula>
    </cfRule>
  </conditionalFormatting>
  <conditionalFormatting sqref="S249">
    <cfRule type="expression" dxfId="8009" priority="77">
      <formula>S249&gt;U249+#REF!</formula>
    </cfRule>
    <cfRule type="expression" dxfId="8008" priority="78">
      <formula>S249&lt;U249-#REF!</formula>
    </cfRule>
  </conditionalFormatting>
  <conditionalFormatting sqref="S250">
    <cfRule type="expression" dxfId="8007" priority="75">
      <formula>S250&gt;U250+#REF!</formula>
    </cfRule>
    <cfRule type="expression" dxfId="8006" priority="76">
      <formula>S250&lt;U250-#REF!</formula>
    </cfRule>
  </conditionalFormatting>
  <conditionalFormatting sqref="S251">
    <cfRule type="expression" dxfId="8005" priority="73">
      <formula>S251&gt;U251+#REF!</formula>
    </cfRule>
    <cfRule type="expression" dxfId="8004" priority="74">
      <formula>S251&lt;U251-#REF!</formula>
    </cfRule>
  </conditionalFormatting>
  <conditionalFormatting sqref="S252">
    <cfRule type="expression" dxfId="8003" priority="71">
      <formula>S252&gt;U252+#REF!</formula>
    </cfRule>
    <cfRule type="expression" dxfId="8002" priority="72">
      <formula>S252&lt;U252-#REF!</formula>
    </cfRule>
  </conditionalFormatting>
  <conditionalFormatting sqref="S253">
    <cfRule type="expression" dxfId="8001" priority="69">
      <formula>S253&gt;U253+#REF!</formula>
    </cfRule>
    <cfRule type="expression" dxfId="8000" priority="70">
      <formula>S253&lt;U253-#REF!</formula>
    </cfRule>
  </conditionalFormatting>
  <conditionalFormatting sqref="S254">
    <cfRule type="expression" dxfId="7999" priority="67">
      <formula>S254&gt;U254+#REF!</formula>
    </cfRule>
    <cfRule type="expression" dxfId="7998" priority="68">
      <formula>S254&lt;U254-#REF!</formula>
    </cfRule>
  </conditionalFormatting>
  <conditionalFormatting sqref="S255:S256">
    <cfRule type="expression" dxfId="7997" priority="65">
      <formula>S255&gt;U255+#REF!</formula>
    </cfRule>
    <cfRule type="expression" dxfId="7996" priority="66">
      <formula>S255&lt;U255-#REF!</formula>
    </cfRule>
  </conditionalFormatting>
  <conditionalFormatting sqref="S257">
    <cfRule type="expression" dxfId="7995" priority="63">
      <formula>S257&gt;U257+#REF!</formula>
    </cfRule>
    <cfRule type="expression" dxfId="7994" priority="64">
      <formula>S257&lt;U257-#REF!</formula>
    </cfRule>
  </conditionalFormatting>
  <conditionalFormatting sqref="S22">
    <cfRule type="expression" dxfId="7993" priority="727">
      <formula>S22&lt;U22*#REF!</formula>
    </cfRule>
    <cfRule type="expression" dxfId="7992" priority="728">
      <formula>S22&gt;U22*#REF!</formula>
    </cfRule>
  </conditionalFormatting>
  <conditionalFormatting sqref="S23">
    <cfRule type="expression" dxfId="7991" priority="725">
      <formula>S23&lt;U23*#REF!</formula>
    </cfRule>
    <cfRule type="expression" dxfId="7990" priority="726">
      <formula>S23&gt;U23*#REF!</formula>
    </cfRule>
  </conditionalFormatting>
  <conditionalFormatting sqref="S34">
    <cfRule type="expression" dxfId="7989" priority="723">
      <formula>S34&lt;U34*#REF!</formula>
    </cfRule>
    <cfRule type="expression" dxfId="7988" priority="724">
      <formula>S34&gt;U34*#REF!</formula>
    </cfRule>
  </conditionalFormatting>
  <conditionalFormatting sqref="S24">
    <cfRule type="expression" dxfId="7987" priority="721">
      <formula>S24&gt;U24+#REF!</formula>
    </cfRule>
    <cfRule type="expression" dxfId="7986" priority="722">
      <formula>S24&lt;U24-#REF!</formula>
    </cfRule>
  </conditionalFormatting>
  <conditionalFormatting sqref="S25">
    <cfRule type="expression" dxfId="7985" priority="719">
      <formula>S25&gt;U25+#REF!</formula>
    </cfRule>
    <cfRule type="expression" dxfId="7984" priority="720">
      <formula>S25&lt;U25-#REF!</formula>
    </cfRule>
  </conditionalFormatting>
  <conditionalFormatting sqref="S26">
    <cfRule type="expression" dxfId="7983" priority="717">
      <formula>S26&gt;U26+#REF!</formula>
    </cfRule>
    <cfRule type="expression" dxfId="7982" priority="718">
      <formula>S26&lt;U26-#REF!</formula>
    </cfRule>
  </conditionalFormatting>
  <conditionalFormatting sqref="S27">
    <cfRule type="expression" dxfId="7981" priority="715">
      <formula>S27&gt;U27+#REF!</formula>
    </cfRule>
    <cfRule type="expression" dxfId="7980" priority="716">
      <formula>S27&lt;U27-#REF!</formula>
    </cfRule>
  </conditionalFormatting>
  <conditionalFormatting sqref="S28">
    <cfRule type="expression" dxfId="7979" priority="713">
      <formula>S28&gt;U28+#REF!</formula>
    </cfRule>
    <cfRule type="expression" dxfId="7978" priority="714">
      <formula>S28&lt;U28-#REF!</formula>
    </cfRule>
  </conditionalFormatting>
  <conditionalFormatting sqref="S29">
    <cfRule type="expression" dxfId="7977" priority="711">
      <formula>S29&gt;U29+#REF!</formula>
    </cfRule>
    <cfRule type="expression" dxfId="7976" priority="712">
      <formula>S29&lt;U29-#REF!</formula>
    </cfRule>
  </conditionalFormatting>
  <conditionalFormatting sqref="S30">
    <cfRule type="expression" dxfId="7975" priority="709">
      <formula>S30&gt;U30+#REF!</formula>
    </cfRule>
    <cfRule type="expression" dxfId="7974" priority="710">
      <formula>S30&lt;U30-#REF!</formula>
    </cfRule>
  </conditionalFormatting>
  <conditionalFormatting sqref="S31:S32">
    <cfRule type="expression" dxfId="7973" priority="707">
      <formula>S31&gt;U31+#REF!</formula>
    </cfRule>
    <cfRule type="expression" dxfId="7972" priority="708">
      <formula>S31&lt;U31-#REF!</formula>
    </cfRule>
  </conditionalFormatting>
  <conditionalFormatting sqref="S33">
    <cfRule type="expression" dxfId="7971" priority="705">
      <formula>S33&gt;U33+#REF!</formula>
    </cfRule>
    <cfRule type="expression" dxfId="7970" priority="706">
      <formula>S33&lt;U33-#REF!</formula>
    </cfRule>
  </conditionalFormatting>
  <conditionalFormatting sqref="S36">
    <cfRule type="expression" dxfId="7969" priority="703">
      <formula>S36&lt;U36*#REF!</formula>
    </cfRule>
    <cfRule type="expression" dxfId="7968" priority="704">
      <formula>S36&gt;U36*#REF!</formula>
    </cfRule>
  </conditionalFormatting>
  <conditionalFormatting sqref="S37">
    <cfRule type="expression" dxfId="7967" priority="701">
      <formula>S37&lt;U37*#REF!</formula>
    </cfRule>
    <cfRule type="expression" dxfId="7966" priority="702">
      <formula>S37&gt;U37*#REF!</formula>
    </cfRule>
  </conditionalFormatting>
  <conditionalFormatting sqref="S38">
    <cfRule type="expression" dxfId="7965" priority="697">
      <formula>S38&gt;U38+#REF!</formula>
    </cfRule>
    <cfRule type="expression" dxfId="7964" priority="698">
      <formula>S38&lt;U38-#REF!</formula>
    </cfRule>
  </conditionalFormatting>
  <conditionalFormatting sqref="S39">
    <cfRule type="expression" dxfId="7963" priority="695">
      <formula>S39&gt;U39+#REF!</formula>
    </cfRule>
    <cfRule type="expression" dxfId="7962" priority="696">
      <formula>S39&lt;U39-#REF!</formula>
    </cfRule>
  </conditionalFormatting>
  <conditionalFormatting sqref="S40">
    <cfRule type="expression" dxfId="7961" priority="693">
      <formula>S40&gt;U40+#REF!</formula>
    </cfRule>
    <cfRule type="expression" dxfId="7960" priority="694">
      <formula>S40&lt;U40-#REF!</formula>
    </cfRule>
  </conditionalFormatting>
  <conditionalFormatting sqref="S41">
    <cfRule type="expression" dxfId="7959" priority="691">
      <formula>S41&gt;U41+#REF!</formula>
    </cfRule>
    <cfRule type="expression" dxfId="7958" priority="692">
      <formula>S41&lt;U41-#REF!</formula>
    </cfRule>
  </conditionalFormatting>
  <conditionalFormatting sqref="S42">
    <cfRule type="expression" dxfId="7957" priority="689">
      <formula>S42&gt;U42+#REF!</formula>
    </cfRule>
    <cfRule type="expression" dxfId="7956" priority="690">
      <formula>S42&lt;U42-#REF!</formula>
    </cfRule>
  </conditionalFormatting>
  <conditionalFormatting sqref="S43">
    <cfRule type="expression" dxfId="7955" priority="687">
      <formula>S43&gt;U43+#REF!</formula>
    </cfRule>
    <cfRule type="expression" dxfId="7954" priority="688">
      <formula>S43&lt;U43-#REF!</formula>
    </cfRule>
  </conditionalFormatting>
  <conditionalFormatting sqref="S44">
    <cfRule type="expression" dxfId="7953" priority="685">
      <formula>S44&gt;U44+#REF!</formula>
    </cfRule>
    <cfRule type="expression" dxfId="7952" priority="686">
      <formula>S44&lt;U44-#REF!</formula>
    </cfRule>
  </conditionalFormatting>
  <conditionalFormatting sqref="S45:S46">
    <cfRule type="expression" dxfId="7951" priority="683">
      <formula>S45&gt;U45+#REF!</formula>
    </cfRule>
    <cfRule type="expression" dxfId="7950" priority="684">
      <formula>S45&lt;U45-#REF!</formula>
    </cfRule>
  </conditionalFormatting>
  <conditionalFormatting sqref="S47">
    <cfRule type="expression" dxfId="7949" priority="681">
      <formula>S47&gt;U47+#REF!</formula>
    </cfRule>
    <cfRule type="expression" dxfId="7948" priority="682">
      <formula>S47&lt;U47-#REF!</formula>
    </cfRule>
  </conditionalFormatting>
  <conditionalFormatting sqref="S50">
    <cfRule type="expression" dxfId="7947" priority="679">
      <formula>S50&lt;U50*#REF!</formula>
    </cfRule>
    <cfRule type="expression" dxfId="7946" priority="680">
      <formula>S50&gt;U50*#REF!</formula>
    </cfRule>
  </conditionalFormatting>
  <conditionalFormatting sqref="S51">
    <cfRule type="expression" dxfId="7945" priority="677">
      <formula>S51&lt;U51*#REF!</formula>
    </cfRule>
    <cfRule type="expression" dxfId="7944" priority="678">
      <formula>S51&gt;U51*#REF!</formula>
    </cfRule>
  </conditionalFormatting>
  <conditionalFormatting sqref="S52">
    <cfRule type="expression" dxfId="7943" priority="673">
      <formula>S52&gt;U52+#REF!</formula>
    </cfRule>
    <cfRule type="expression" dxfId="7942" priority="674">
      <formula>S52&lt;U52-#REF!</formula>
    </cfRule>
  </conditionalFormatting>
  <conditionalFormatting sqref="S53">
    <cfRule type="expression" dxfId="7941" priority="671">
      <formula>S53&gt;U53+#REF!</formula>
    </cfRule>
    <cfRule type="expression" dxfId="7940" priority="672">
      <formula>S53&lt;U53-#REF!</formula>
    </cfRule>
  </conditionalFormatting>
  <conditionalFormatting sqref="S54">
    <cfRule type="expression" dxfId="7939" priority="669">
      <formula>S54&gt;U54+#REF!</formula>
    </cfRule>
    <cfRule type="expression" dxfId="7938" priority="670">
      <formula>S54&lt;U54-#REF!</formula>
    </cfRule>
  </conditionalFormatting>
  <conditionalFormatting sqref="S55">
    <cfRule type="expression" dxfId="7937" priority="667">
      <formula>S55&gt;U55+#REF!</formula>
    </cfRule>
    <cfRule type="expression" dxfId="7936" priority="668">
      <formula>S55&lt;U55-#REF!</formula>
    </cfRule>
  </conditionalFormatting>
  <conditionalFormatting sqref="S56">
    <cfRule type="expression" dxfId="7935" priority="665">
      <formula>S56&gt;U56+#REF!</formula>
    </cfRule>
    <cfRule type="expression" dxfId="7934" priority="666">
      <formula>S56&lt;U56-#REF!</formula>
    </cfRule>
  </conditionalFormatting>
  <conditionalFormatting sqref="S57">
    <cfRule type="expression" dxfId="7933" priority="663">
      <formula>S57&gt;U57+#REF!</formula>
    </cfRule>
    <cfRule type="expression" dxfId="7932" priority="664">
      <formula>S57&lt;U57-#REF!</formula>
    </cfRule>
  </conditionalFormatting>
  <conditionalFormatting sqref="S58">
    <cfRule type="expression" dxfId="7931" priority="661">
      <formula>S58&gt;U58+#REF!</formula>
    </cfRule>
    <cfRule type="expression" dxfId="7930" priority="662">
      <formula>S58&lt;U58-#REF!</formula>
    </cfRule>
  </conditionalFormatting>
  <conditionalFormatting sqref="S59:S60">
    <cfRule type="expression" dxfId="7929" priority="659">
      <formula>S59&gt;U59+#REF!</formula>
    </cfRule>
    <cfRule type="expression" dxfId="7928" priority="660">
      <formula>S59&lt;U59-#REF!</formula>
    </cfRule>
  </conditionalFormatting>
  <conditionalFormatting sqref="S61">
    <cfRule type="expression" dxfId="7927" priority="657">
      <formula>S61&gt;U61+#REF!</formula>
    </cfRule>
    <cfRule type="expression" dxfId="7926" priority="658">
      <formula>S61&lt;U61-#REF!</formula>
    </cfRule>
  </conditionalFormatting>
  <conditionalFormatting sqref="S64">
    <cfRule type="expression" dxfId="7925" priority="655">
      <formula>S64&lt;U64*#REF!</formula>
    </cfRule>
    <cfRule type="expression" dxfId="7924" priority="656">
      <formula>S64&gt;U64*#REF!</formula>
    </cfRule>
  </conditionalFormatting>
  <conditionalFormatting sqref="S65">
    <cfRule type="expression" dxfId="7923" priority="653">
      <formula>S65&lt;U65*#REF!</formula>
    </cfRule>
    <cfRule type="expression" dxfId="7922" priority="654">
      <formula>S65&gt;U65*#REF!</formula>
    </cfRule>
  </conditionalFormatting>
  <conditionalFormatting sqref="S66">
    <cfRule type="expression" dxfId="7921" priority="649">
      <formula>S66&gt;U66+#REF!</formula>
    </cfRule>
    <cfRule type="expression" dxfId="7920" priority="650">
      <formula>S66&lt;U66-#REF!</formula>
    </cfRule>
  </conditionalFormatting>
  <conditionalFormatting sqref="S67">
    <cfRule type="expression" dxfId="7919" priority="647">
      <formula>S67&gt;U67+#REF!</formula>
    </cfRule>
    <cfRule type="expression" dxfId="7918" priority="648">
      <formula>S67&lt;U67-#REF!</formula>
    </cfRule>
  </conditionalFormatting>
  <conditionalFormatting sqref="S68">
    <cfRule type="expression" dxfId="7917" priority="645">
      <formula>S68&gt;U68+#REF!</formula>
    </cfRule>
    <cfRule type="expression" dxfId="7916" priority="646">
      <formula>S68&lt;U68-#REF!</formula>
    </cfRule>
  </conditionalFormatting>
  <conditionalFormatting sqref="S69">
    <cfRule type="expression" dxfId="7915" priority="643">
      <formula>S69&gt;U69+#REF!</formula>
    </cfRule>
    <cfRule type="expression" dxfId="7914" priority="644">
      <formula>S69&lt;U69-#REF!</formula>
    </cfRule>
  </conditionalFormatting>
  <conditionalFormatting sqref="S70">
    <cfRule type="expression" dxfId="7913" priority="641">
      <formula>S70&gt;U70+#REF!</formula>
    </cfRule>
    <cfRule type="expression" dxfId="7912" priority="642">
      <formula>S70&lt;U70-#REF!</formula>
    </cfRule>
  </conditionalFormatting>
  <conditionalFormatting sqref="S71">
    <cfRule type="expression" dxfId="7911" priority="639">
      <formula>S71&gt;U71+#REF!</formula>
    </cfRule>
    <cfRule type="expression" dxfId="7910" priority="640">
      <formula>S71&lt;U71-#REF!</formula>
    </cfRule>
  </conditionalFormatting>
  <conditionalFormatting sqref="S72">
    <cfRule type="expression" dxfId="7909" priority="637">
      <formula>S72&gt;U72+#REF!</formula>
    </cfRule>
    <cfRule type="expression" dxfId="7908" priority="638">
      <formula>S72&lt;U72-#REF!</formula>
    </cfRule>
  </conditionalFormatting>
  <conditionalFormatting sqref="S73:S74">
    <cfRule type="expression" dxfId="7907" priority="635">
      <formula>S73&gt;U73+#REF!</formula>
    </cfRule>
    <cfRule type="expression" dxfId="7906" priority="636">
      <formula>S73&lt;U73-#REF!</formula>
    </cfRule>
  </conditionalFormatting>
  <conditionalFormatting sqref="S75">
    <cfRule type="expression" dxfId="7905" priority="633">
      <formula>S75&gt;U75+#REF!</formula>
    </cfRule>
    <cfRule type="expression" dxfId="7904" priority="634">
      <formula>S75&lt;U75-#REF!</formula>
    </cfRule>
  </conditionalFormatting>
  <conditionalFormatting sqref="S78">
    <cfRule type="expression" dxfId="7903" priority="631">
      <formula>S78&lt;U78*#REF!</formula>
    </cfRule>
    <cfRule type="expression" dxfId="7902" priority="632">
      <formula>S78&gt;U78*#REF!</formula>
    </cfRule>
  </conditionalFormatting>
  <conditionalFormatting sqref="S79">
    <cfRule type="expression" dxfId="7901" priority="629">
      <formula>S79&lt;U79*#REF!</formula>
    </cfRule>
    <cfRule type="expression" dxfId="7900" priority="630">
      <formula>S79&gt;U79*#REF!</formula>
    </cfRule>
  </conditionalFormatting>
  <conditionalFormatting sqref="S202">
    <cfRule type="expression" dxfId="7899" priority="465">
      <formula>S202&lt;U202*#REF!</formula>
    </cfRule>
    <cfRule type="expression" dxfId="7898" priority="466">
      <formula>S202&gt;U202*#REF!</formula>
    </cfRule>
  </conditionalFormatting>
  <conditionalFormatting sqref="S80">
    <cfRule type="expression" dxfId="7897" priority="625">
      <formula>S80&gt;U80+#REF!</formula>
    </cfRule>
    <cfRule type="expression" dxfId="7896" priority="626">
      <formula>S80&lt;U80-#REF!</formula>
    </cfRule>
  </conditionalFormatting>
  <conditionalFormatting sqref="S81">
    <cfRule type="expression" dxfId="7895" priority="623">
      <formula>S81&gt;U81+#REF!</formula>
    </cfRule>
    <cfRule type="expression" dxfId="7894" priority="624">
      <formula>S81&lt;U81-#REF!</formula>
    </cfRule>
  </conditionalFormatting>
  <conditionalFormatting sqref="S82">
    <cfRule type="expression" dxfId="7893" priority="621">
      <formula>S82&gt;U82+#REF!</formula>
    </cfRule>
    <cfRule type="expression" dxfId="7892" priority="622">
      <formula>S82&lt;U82-#REF!</formula>
    </cfRule>
  </conditionalFormatting>
  <conditionalFormatting sqref="S83">
    <cfRule type="expression" dxfId="7891" priority="619">
      <formula>S83&gt;U83+#REF!</formula>
    </cfRule>
    <cfRule type="expression" dxfId="7890" priority="620">
      <formula>S83&lt;U83-#REF!</formula>
    </cfRule>
  </conditionalFormatting>
  <conditionalFormatting sqref="S84">
    <cfRule type="expression" dxfId="7889" priority="617">
      <formula>S84&gt;U84+#REF!</formula>
    </cfRule>
    <cfRule type="expression" dxfId="7888" priority="618">
      <formula>S84&lt;U84-#REF!</formula>
    </cfRule>
  </conditionalFormatting>
  <conditionalFormatting sqref="S85">
    <cfRule type="expression" dxfId="7887" priority="615">
      <formula>S85&gt;U85+#REF!</formula>
    </cfRule>
    <cfRule type="expression" dxfId="7886" priority="616">
      <formula>S85&lt;U85-#REF!</formula>
    </cfRule>
  </conditionalFormatting>
  <conditionalFormatting sqref="S86">
    <cfRule type="expression" dxfId="7885" priority="613">
      <formula>S86&gt;U86+#REF!</formula>
    </cfRule>
    <cfRule type="expression" dxfId="7884" priority="614">
      <formula>S86&lt;U86-#REF!</formula>
    </cfRule>
  </conditionalFormatting>
  <conditionalFormatting sqref="S87:S88">
    <cfRule type="expression" dxfId="7883" priority="611">
      <formula>S87&gt;U87+#REF!</formula>
    </cfRule>
    <cfRule type="expression" dxfId="7882" priority="612">
      <formula>S87&lt;U87-#REF!</formula>
    </cfRule>
  </conditionalFormatting>
  <conditionalFormatting sqref="S89">
    <cfRule type="expression" dxfId="7881" priority="609">
      <formula>S89&gt;U89+#REF!</formula>
    </cfRule>
    <cfRule type="expression" dxfId="7880" priority="610">
      <formula>S89&lt;U89-#REF!</formula>
    </cfRule>
  </conditionalFormatting>
  <conditionalFormatting sqref="S106">
    <cfRule type="expression" dxfId="7879" priority="583">
      <formula>S106&lt;U106*#REF!</formula>
    </cfRule>
    <cfRule type="expression" dxfId="7878" priority="584">
      <formula>S106&gt;U106*#REF!</formula>
    </cfRule>
  </conditionalFormatting>
  <conditionalFormatting sqref="S107">
    <cfRule type="expression" dxfId="7877" priority="581">
      <formula>S107&lt;U107*#REF!</formula>
    </cfRule>
    <cfRule type="expression" dxfId="7876" priority="582">
      <formula>S107&gt;U107*#REF!</formula>
    </cfRule>
  </conditionalFormatting>
  <conditionalFormatting sqref="S216">
    <cfRule type="expression" dxfId="7875" priority="417">
      <formula>S216&lt;U216*#REF!</formula>
    </cfRule>
    <cfRule type="expression" dxfId="7874" priority="418">
      <formula>S216&gt;U216*#REF!</formula>
    </cfRule>
  </conditionalFormatting>
  <conditionalFormatting sqref="S111">
    <cfRule type="expression" dxfId="7873" priority="577">
      <formula>S111&gt;U111+#REF!</formula>
    </cfRule>
    <cfRule type="expression" dxfId="7872" priority="578">
      <formula>S111&lt;U111-#REF!</formula>
    </cfRule>
  </conditionalFormatting>
  <conditionalFormatting sqref="S112">
    <cfRule type="expression" dxfId="7871" priority="575">
      <formula>S112&gt;U112+#REF!</formula>
    </cfRule>
    <cfRule type="expression" dxfId="7870" priority="576">
      <formula>S112&lt;U112-#REF!</formula>
    </cfRule>
  </conditionalFormatting>
  <conditionalFormatting sqref="S113">
    <cfRule type="expression" dxfId="7869" priority="573">
      <formula>S113&gt;U113+#REF!</formula>
    </cfRule>
    <cfRule type="expression" dxfId="7868" priority="574">
      <formula>S113&lt;U113-#REF!</formula>
    </cfRule>
  </conditionalFormatting>
  <conditionalFormatting sqref="S114">
    <cfRule type="expression" dxfId="7867" priority="571">
      <formula>S114&gt;U114+#REF!</formula>
    </cfRule>
    <cfRule type="expression" dxfId="7866" priority="572">
      <formula>S114&lt;U114-#REF!</formula>
    </cfRule>
  </conditionalFormatting>
  <conditionalFormatting sqref="S115:S116">
    <cfRule type="expression" dxfId="7865" priority="569">
      <formula>S115&gt;U115+#REF!</formula>
    </cfRule>
    <cfRule type="expression" dxfId="7864" priority="570">
      <formula>S115&lt;U115-#REF!</formula>
    </cfRule>
  </conditionalFormatting>
  <conditionalFormatting sqref="S117">
    <cfRule type="expression" dxfId="7863" priority="567">
      <formula>S117&gt;U117+#REF!</formula>
    </cfRule>
    <cfRule type="expression" dxfId="7862" priority="568">
      <formula>S117&lt;U117-#REF!</formula>
    </cfRule>
  </conditionalFormatting>
  <conditionalFormatting sqref="S120">
    <cfRule type="expression" dxfId="7861" priority="565">
      <formula>S120&lt;U120*#REF!</formula>
    </cfRule>
    <cfRule type="expression" dxfId="7860" priority="566">
      <formula>S120&gt;U120*#REF!</formula>
    </cfRule>
  </conditionalFormatting>
  <conditionalFormatting sqref="S121">
    <cfRule type="expression" dxfId="7859" priority="563">
      <formula>S121&lt;U121*#REF!</formula>
    </cfRule>
    <cfRule type="expression" dxfId="7858" priority="564">
      <formula>S121&gt;U121*#REF!</formula>
    </cfRule>
  </conditionalFormatting>
  <conditionalFormatting sqref="S122">
    <cfRule type="expression" dxfId="7857" priority="559">
      <formula>S122&gt;U122+#REF!</formula>
    </cfRule>
    <cfRule type="expression" dxfId="7856" priority="560">
      <formula>S122&lt;U122-#REF!</formula>
    </cfRule>
  </conditionalFormatting>
  <conditionalFormatting sqref="S123">
    <cfRule type="expression" dxfId="7855" priority="557">
      <formula>S123&gt;U123+#REF!</formula>
    </cfRule>
    <cfRule type="expression" dxfId="7854" priority="558">
      <formula>S123&lt;U123-#REF!</formula>
    </cfRule>
  </conditionalFormatting>
  <conditionalFormatting sqref="S124">
    <cfRule type="expression" dxfId="7853" priority="555">
      <formula>S124&gt;U124+#REF!</formula>
    </cfRule>
    <cfRule type="expression" dxfId="7852" priority="556">
      <formula>S124&lt;U124-#REF!</formula>
    </cfRule>
  </conditionalFormatting>
  <conditionalFormatting sqref="S125">
    <cfRule type="expression" dxfId="7851" priority="553">
      <formula>S125&gt;U125+#REF!</formula>
    </cfRule>
    <cfRule type="expression" dxfId="7850" priority="554">
      <formula>S125&lt;U125-#REF!</formula>
    </cfRule>
  </conditionalFormatting>
  <conditionalFormatting sqref="S126">
    <cfRule type="expression" dxfId="7849" priority="551">
      <formula>S126&gt;U126+#REF!</formula>
    </cfRule>
    <cfRule type="expression" dxfId="7848" priority="552">
      <formula>S126&lt;U126-#REF!</formula>
    </cfRule>
  </conditionalFormatting>
  <conditionalFormatting sqref="S127">
    <cfRule type="expression" dxfId="7847" priority="549">
      <formula>S127&gt;U127+#REF!</formula>
    </cfRule>
    <cfRule type="expression" dxfId="7846" priority="550">
      <formula>S127&lt;U127-#REF!</formula>
    </cfRule>
  </conditionalFormatting>
  <conditionalFormatting sqref="S128">
    <cfRule type="expression" dxfId="7845" priority="547">
      <formula>S128&gt;U128+#REF!</formula>
    </cfRule>
    <cfRule type="expression" dxfId="7844" priority="548">
      <formula>S128&lt;U128-#REF!</formula>
    </cfRule>
  </conditionalFormatting>
  <conditionalFormatting sqref="S129:S130">
    <cfRule type="expression" dxfId="7843" priority="545">
      <formula>S129&gt;U129+#REF!</formula>
    </cfRule>
    <cfRule type="expression" dxfId="7842" priority="546">
      <formula>S129&lt;U129-#REF!</formula>
    </cfRule>
  </conditionalFormatting>
  <conditionalFormatting sqref="S131">
    <cfRule type="expression" dxfId="7841" priority="543">
      <formula>S131&gt;U131+#REF!</formula>
    </cfRule>
    <cfRule type="expression" dxfId="7840" priority="544">
      <formula>S131&lt;U131-#REF!</formula>
    </cfRule>
  </conditionalFormatting>
  <conditionalFormatting sqref="S148">
    <cfRule type="expression" dxfId="7839" priority="517">
      <formula>S148&lt;U148*#REF!</formula>
    </cfRule>
    <cfRule type="expression" dxfId="7838" priority="518">
      <formula>S148&gt;U148*#REF!</formula>
    </cfRule>
  </conditionalFormatting>
  <conditionalFormatting sqref="S149">
    <cfRule type="expression" dxfId="7837" priority="515">
      <formula>S149&lt;U149*#REF!</formula>
    </cfRule>
    <cfRule type="expression" dxfId="7836" priority="516">
      <formula>S149&gt;U149*#REF!</formula>
    </cfRule>
  </conditionalFormatting>
  <conditionalFormatting sqref="S150">
    <cfRule type="expression" dxfId="7835" priority="511">
      <formula>S150&gt;U150+#REF!</formula>
    </cfRule>
    <cfRule type="expression" dxfId="7834" priority="512">
      <formula>S150&lt;U150-#REF!</formula>
    </cfRule>
  </conditionalFormatting>
  <conditionalFormatting sqref="S151">
    <cfRule type="expression" dxfId="7833" priority="509">
      <formula>S151&gt;U151+#REF!</formula>
    </cfRule>
    <cfRule type="expression" dxfId="7832" priority="510">
      <formula>S151&lt;U151-#REF!</formula>
    </cfRule>
  </conditionalFormatting>
  <conditionalFormatting sqref="S152">
    <cfRule type="expression" dxfId="7831" priority="507">
      <formula>S152&gt;U152+#REF!</formula>
    </cfRule>
    <cfRule type="expression" dxfId="7830" priority="508">
      <formula>S152&lt;U152-#REF!</formula>
    </cfRule>
  </conditionalFormatting>
  <conditionalFormatting sqref="S153">
    <cfRule type="expression" dxfId="7829" priority="505">
      <formula>S153&gt;U153+#REF!</formula>
    </cfRule>
    <cfRule type="expression" dxfId="7828" priority="506">
      <formula>S153&lt;U153-#REF!</formula>
    </cfRule>
  </conditionalFormatting>
  <conditionalFormatting sqref="S154">
    <cfRule type="expression" dxfId="7827" priority="503">
      <formula>S154&gt;U154+#REF!</formula>
    </cfRule>
    <cfRule type="expression" dxfId="7826" priority="504">
      <formula>S154&lt;U154-#REF!</formula>
    </cfRule>
  </conditionalFormatting>
  <conditionalFormatting sqref="S155">
    <cfRule type="expression" dxfId="7825" priority="501">
      <formula>S155&gt;U155+#REF!</formula>
    </cfRule>
    <cfRule type="expression" dxfId="7824" priority="502">
      <formula>S155&lt;U155-#REF!</formula>
    </cfRule>
  </conditionalFormatting>
  <conditionalFormatting sqref="S156">
    <cfRule type="expression" dxfId="7823" priority="499">
      <formula>S156&gt;U156+#REF!</formula>
    </cfRule>
    <cfRule type="expression" dxfId="7822" priority="500">
      <formula>S156&lt;U156-#REF!</formula>
    </cfRule>
  </conditionalFormatting>
  <conditionalFormatting sqref="S157:S158">
    <cfRule type="expression" dxfId="7821" priority="497">
      <formula>S157&gt;U157+#REF!</formula>
    </cfRule>
    <cfRule type="expression" dxfId="7820" priority="498">
      <formula>S157&lt;U157-#REF!</formula>
    </cfRule>
  </conditionalFormatting>
  <conditionalFormatting sqref="S159">
    <cfRule type="expression" dxfId="7819" priority="495">
      <formula>S159&gt;U159+#REF!</formula>
    </cfRule>
    <cfRule type="expression" dxfId="7818" priority="496">
      <formula>S159&lt;U159-#REF!</formula>
    </cfRule>
  </conditionalFormatting>
  <conditionalFormatting sqref="S162">
    <cfRule type="expression" dxfId="7817" priority="493">
      <formula>S162&lt;U162*#REF!</formula>
    </cfRule>
    <cfRule type="expression" dxfId="7816" priority="494">
      <formula>S162&gt;U162*#REF!</formula>
    </cfRule>
  </conditionalFormatting>
  <conditionalFormatting sqref="S163">
    <cfRule type="expression" dxfId="7815" priority="491">
      <formula>S163&lt;U163*#REF!</formula>
    </cfRule>
    <cfRule type="expression" dxfId="7814" priority="492">
      <formula>S163&gt;U163*#REF!</formula>
    </cfRule>
  </conditionalFormatting>
  <conditionalFormatting sqref="S164">
    <cfRule type="expression" dxfId="7813" priority="487">
      <formula>S164&gt;U164+#REF!</formula>
    </cfRule>
    <cfRule type="expression" dxfId="7812" priority="488">
      <formula>S164&lt;U164-#REF!</formula>
    </cfRule>
  </conditionalFormatting>
  <conditionalFormatting sqref="S165">
    <cfRule type="expression" dxfId="7811" priority="485">
      <formula>S165&gt;U165+#REF!</formula>
    </cfRule>
    <cfRule type="expression" dxfId="7810" priority="486">
      <formula>S165&lt;U165-#REF!</formula>
    </cfRule>
  </conditionalFormatting>
  <conditionalFormatting sqref="S166">
    <cfRule type="expression" dxfId="7809" priority="483">
      <formula>S166&gt;U166+#REF!</formula>
    </cfRule>
    <cfRule type="expression" dxfId="7808" priority="484">
      <formula>S166&lt;U166-#REF!</formula>
    </cfRule>
  </conditionalFormatting>
  <conditionalFormatting sqref="S167">
    <cfRule type="expression" dxfId="7807" priority="481">
      <formula>S167&gt;U167+#REF!</formula>
    </cfRule>
    <cfRule type="expression" dxfId="7806" priority="482">
      <formula>S167&lt;U167-#REF!</formula>
    </cfRule>
  </conditionalFormatting>
  <conditionalFormatting sqref="S168">
    <cfRule type="expression" dxfId="7805" priority="479">
      <formula>S168&gt;U168+#REF!</formula>
    </cfRule>
    <cfRule type="expression" dxfId="7804" priority="480">
      <formula>S168&lt;U168-#REF!</formula>
    </cfRule>
  </conditionalFormatting>
  <conditionalFormatting sqref="S169">
    <cfRule type="expression" dxfId="7803" priority="477">
      <formula>S169&gt;U169+#REF!</formula>
    </cfRule>
    <cfRule type="expression" dxfId="7802" priority="478">
      <formula>S169&lt;U169-#REF!</formula>
    </cfRule>
  </conditionalFormatting>
  <conditionalFormatting sqref="S170">
    <cfRule type="expression" dxfId="7801" priority="475">
      <formula>S170&gt;U170+#REF!</formula>
    </cfRule>
    <cfRule type="expression" dxfId="7800" priority="476">
      <formula>S170&lt;U170-#REF!</formula>
    </cfRule>
  </conditionalFormatting>
  <conditionalFormatting sqref="S171:S172">
    <cfRule type="expression" dxfId="7799" priority="473">
      <formula>S171&gt;U171+#REF!</formula>
    </cfRule>
    <cfRule type="expression" dxfId="7798" priority="474">
      <formula>S171&lt;U171-#REF!</formula>
    </cfRule>
  </conditionalFormatting>
  <conditionalFormatting sqref="S173">
    <cfRule type="expression" dxfId="7797" priority="471">
      <formula>S173&gt;U173+#REF!</formula>
    </cfRule>
    <cfRule type="expression" dxfId="7796" priority="472">
      <formula>S173&lt;U173-#REF!</formula>
    </cfRule>
  </conditionalFormatting>
  <conditionalFormatting sqref="S190">
    <cfRule type="expression" dxfId="7795" priority="469">
      <formula>S190&lt;U190*#REF!</formula>
    </cfRule>
    <cfRule type="expression" dxfId="7794" priority="470">
      <formula>S190&gt;U190*#REF!</formula>
    </cfRule>
  </conditionalFormatting>
  <conditionalFormatting sqref="S191">
    <cfRule type="expression" dxfId="7793" priority="467">
      <formula>S191&lt;U191*#REF!</formula>
    </cfRule>
    <cfRule type="expression" dxfId="7792" priority="468">
      <formula>S191&gt;U191*#REF!</formula>
    </cfRule>
  </conditionalFormatting>
  <conditionalFormatting sqref="S192">
    <cfRule type="expression" dxfId="7791" priority="463">
      <formula>S192&gt;U192+#REF!</formula>
    </cfRule>
    <cfRule type="expression" dxfId="7790" priority="464">
      <formula>S192&lt;U192-#REF!</formula>
    </cfRule>
  </conditionalFormatting>
  <conditionalFormatting sqref="S193">
    <cfRule type="expression" dxfId="7789" priority="461">
      <formula>S193&gt;U193+#REF!</formula>
    </cfRule>
    <cfRule type="expression" dxfId="7788" priority="462">
      <formula>S193&lt;U193-#REF!</formula>
    </cfRule>
  </conditionalFormatting>
  <conditionalFormatting sqref="S194">
    <cfRule type="expression" dxfId="7787" priority="459">
      <formula>S194&gt;U194+#REF!</formula>
    </cfRule>
    <cfRule type="expression" dxfId="7786" priority="460">
      <formula>S194&lt;U194-#REF!</formula>
    </cfRule>
  </conditionalFormatting>
  <conditionalFormatting sqref="S195">
    <cfRule type="expression" dxfId="7785" priority="457">
      <formula>S195&gt;U195+#REF!</formula>
    </cfRule>
    <cfRule type="expression" dxfId="7784" priority="458">
      <formula>S195&lt;U195-#REF!</formula>
    </cfRule>
  </conditionalFormatting>
  <conditionalFormatting sqref="S196">
    <cfRule type="expression" dxfId="7783" priority="455">
      <formula>S196&gt;U196+#REF!</formula>
    </cfRule>
    <cfRule type="expression" dxfId="7782" priority="456">
      <formula>S196&lt;U196-#REF!</formula>
    </cfRule>
  </conditionalFormatting>
  <conditionalFormatting sqref="S197">
    <cfRule type="expression" dxfId="7781" priority="453">
      <formula>S197&gt;U197+#REF!</formula>
    </cfRule>
    <cfRule type="expression" dxfId="7780" priority="454">
      <formula>S197&lt;U197-#REF!</formula>
    </cfRule>
  </conditionalFormatting>
  <conditionalFormatting sqref="S198">
    <cfRule type="expression" dxfId="7779" priority="451">
      <formula>S198&gt;U198+#REF!</formula>
    </cfRule>
    <cfRule type="expression" dxfId="7778" priority="452">
      <formula>S198&lt;U198-#REF!</formula>
    </cfRule>
  </conditionalFormatting>
  <conditionalFormatting sqref="S199:S200">
    <cfRule type="expression" dxfId="7777" priority="449">
      <formula>S199&gt;U199+#REF!</formula>
    </cfRule>
    <cfRule type="expression" dxfId="7776" priority="450">
      <formula>S199&lt;U199-#REF!</formula>
    </cfRule>
  </conditionalFormatting>
  <conditionalFormatting sqref="S201">
    <cfRule type="expression" dxfId="7775" priority="447">
      <formula>S201&gt;U201+#REF!</formula>
    </cfRule>
    <cfRule type="expression" dxfId="7774" priority="448">
      <formula>S201&lt;U201-#REF!</formula>
    </cfRule>
  </conditionalFormatting>
  <conditionalFormatting sqref="S176">
    <cfRule type="expression" dxfId="7773" priority="445">
      <formula>S176&lt;U176*#REF!</formula>
    </cfRule>
    <cfRule type="expression" dxfId="7772" priority="446">
      <formula>S176&gt;U176*#REF!</formula>
    </cfRule>
  </conditionalFormatting>
  <conditionalFormatting sqref="S177">
    <cfRule type="expression" dxfId="7771" priority="443">
      <formula>S177&lt;U177*#REF!</formula>
    </cfRule>
    <cfRule type="expression" dxfId="7770" priority="444">
      <formula>S177&gt;U177*#REF!</formula>
    </cfRule>
  </conditionalFormatting>
  <conditionalFormatting sqref="S178">
    <cfRule type="expression" dxfId="7769" priority="439">
      <formula>S178&gt;U178+#REF!</formula>
    </cfRule>
    <cfRule type="expression" dxfId="7768" priority="440">
      <formula>S178&lt;U178-#REF!</formula>
    </cfRule>
  </conditionalFormatting>
  <conditionalFormatting sqref="S179">
    <cfRule type="expression" dxfId="7767" priority="437">
      <formula>S179&gt;U179+#REF!</formula>
    </cfRule>
    <cfRule type="expression" dxfId="7766" priority="438">
      <formula>S179&lt;U179-#REF!</formula>
    </cfRule>
  </conditionalFormatting>
  <conditionalFormatting sqref="S180">
    <cfRule type="expression" dxfId="7765" priority="435">
      <formula>S180&gt;U180+#REF!</formula>
    </cfRule>
    <cfRule type="expression" dxfId="7764" priority="436">
      <formula>S180&lt;U180-#REF!</formula>
    </cfRule>
  </conditionalFormatting>
  <conditionalFormatting sqref="S181">
    <cfRule type="expression" dxfId="7763" priority="433">
      <formula>S181&gt;U181+#REF!</formula>
    </cfRule>
    <cfRule type="expression" dxfId="7762" priority="434">
      <formula>S181&lt;U181-#REF!</formula>
    </cfRule>
  </conditionalFormatting>
  <conditionalFormatting sqref="S182">
    <cfRule type="expression" dxfId="7761" priority="431">
      <formula>S182&gt;U182+#REF!</formula>
    </cfRule>
    <cfRule type="expression" dxfId="7760" priority="432">
      <formula>S182&lt;U182-#REF!</formula>
    </cfRule>
  </conditionalFormatting>
  <conditionalFormatting sqref="S183">
    <cfRule type="expression" dxfId="7759" priority="429">
      <formula>S183&gt;U183+#REF!</formula>
    </cfRule>
    <cfRule type="expression" dxfId="7758" priority="430">
      <formula>S183&lt;U183-#REF!</formula>
    </cfRule>
  </conditionalFormatting>
  <conditionalFormatting sqref="S184">
    <cfRule type="expression" dxfId="7757" priority="427">
      <formula>S184&gt;U184+#REF!</formula>
    </cfRule>
    <cfRule type="expression" dxfId="7756" priority="428">
      <formula>S184&lt;U184-#REF!</formula>
    </cfRule>
  </conditionalFormatting>
  <conditionalFormatting sqref="S185:S186">
    <cfRule type="expression" dxfId="7755" priority="425">
      <formula>S185&gt;U185+#REF!</formula>
    </cfRule>
    <cfRule type="expression" dxfId="7754" priority="426">
      <formula>S185&lt;U185-#REF!</formula>
    </cfRule>
  </conditionalFormatting>
  <conditionalFormatting sqref="S187">
    <cfRule type="expression" dxfId="7753" priority="423">
      <formula>S187&gt;U187+#REF!</formula>
    </cfRule>
    <cfRule type="expression" dxfId="7752" priority="424">
      <formula>S187&lt;U187-#REF!</formula>
    </cfRule>
  </conditionalFormatting>
  <conditionalFormatting sqref="S230">
    <cfRule type="expression" dxfId="7751" priority="369">
      <formula>S230&lt;U230*#REF!</formula>
    </cfRule>
    <cfRule type="expression" dxfId="7750" priority="370">
      <formula>S230&gt;U230*#REF!</formula>
    </cfRule>
  </conditionalFormatting>
  <conditionalFormatting sqref="S258">
    <cfRule type="expression" dxfId="7749" priority="81">
      <formula>S258&lt;U258*#REF!</formula>
    </cfRule>
    <cfRule type="expression" dxfId="7748" priority="82">
      <formula>S258&gt;U258*#REF!</formula>
    </cfRule>
  </conditionalFormatting>
  <conditionalFormatting sqref="S108">
    <cfRule type="expression" dxfId="7747" priority="59">
      <formula>S108&gt;U108+#REF!</formula>
    </cfRule>
    <cfRule type="expression" dxfId="7746" priority="60">
      <formula>S108&lt;U108-#REF!</formula>
    </cfRule>
  </conditionalFormatting>
  <conditionalFormatting sqref="S109">
    <cfRule type="expression" dxfId="7745" priority="57">
      <formula>S109&gt;U109+#REF!</formula>
    </cfRule>
    <cfRule type="expression" dxfId="7744" priority="58">
      <formula>S109&lt;U109-#REF!</formula>
    </cfRule>
  </conditionalFormatting>
  <conditionalFormatting sqref="S110">
    <cfRule type="expression" dxfId="7743" priority="55">
      <formula>S110&gt;U110+#REF!</formula>
    </cfRule>
    <cfRule type="expression" dxfId="7742" priority="56">
      <formula>S110&lt;U110-#REF!</formula>
    </cfRule>
  </conditionalFormatting>
  <conditionalFormatting sqref="T67">
    <cfRule type="expression" dxfId="7741" priority="13">
      <formula>T67&gt;V67+#REF!</formula>
    </cfRule>
    <cfRule type="expression" dxfId="7740" priority="14">
      <formula>T67&lt;V67-#REF!</formula>
    </cfRule>
  </conditionalFormatting>
  <conditionalFormatting sqref="T227:T228">
    <cfRule type="expression" dxfId="7739" priority="3">
      <formula>T227&gt;V227+#REF!</formula>
    </cfRule>
    <cfRule type="expression" dxfId="7738" priority="4">
      <formula>T227&lt;V227-#REF!</formula>
    </cfRule>
  </conditionalFormatting>
  <conditionalFormatting sqref="L220 U220">
    <cfRule type="expression" dxfId="7737" priority="9125">
      <formula>L220&gt;#REF!+#REF!</formula>
    </cfRule>
    <cfRule type="expression" dxfId="7736" priority="9126">
      <formula>L220&lt;#REF!-#REF!</formula>
    </cfRule>
  </conditionalFormatting>
  <conditionalFormatting sqref="L221 U221">
    <cfRule type="expression" dxfId="7735" priority="9129">
      <formula>L221&gt;#REF!+#REF!</formula>
    </cfRule>
    <cfRule type="expression" dxfId="7734" priority="9130">
      <formula>L221&lt;#REF!-#REF!</formula>
    </cfRule>
  </conditionalFormatting>
  <conditionalFormatting sqref="L222 U222">
    <cfRule type="expression" dxfId="7733" priority="9133">
      <formula>L222&gt;#REF!+#REF!</formula>
    </cfRule>
    <cfRule type="expression" dxfId="7732" priority="9134">
      <formula>L222&lt;#REF!-#REF!</formula>
    </cfRule>
  </conditionalFormatting>
  <conditionalFormatting sqref="L223 U223">
    <cfRule type="expression" dxfId="7731" priority="9137">
      <formula>L223&gt;#REF!+#REF!</formula>
    </cfRule>
    <cfRule type="expression" dxfId="7730" priority="9138">
      <formula>L223&lt;#REF!-#REF!</formula>
    </cfRule>
  </conditionalFormatting>
  <conditionalFormatting sqref="L224 U224">
    <cfRule type="expression" dxfId="7729" priority="9141">
      <formula>L224&gt;#REF!+#REF!</formula>
    </cfRule>
    <cfRule type="expression" dxfId="7728" priority="9142">
      <formula>L224&lt;#REF!-#REF!</formula>
    </cfRule>
  </conditionalFormatting>
  <conditionalFormatting sqref="L225 U225">
    <cfRule type="expression" dxfId="7727" priority="9145">
      <formula>L225&gt;#REF!+#REF!</formula>
    </cfRule>
    <cfRule type="expression" dxfId="7726" priority="9146">
      <formula>L225&lt;#REF!-#REF!</formula>
    </cfRule>
  </conditionalFormatting>
  <conditionalFormatting sqref="L226 U226">
    <cfRule type="expression" dxfId="7725" priority="9149">
      <formula>L226&gt;#REF!+#REF!</formula>
    </cfRule>
    <cfRule type="expression" dxfId="7724" priority="9150">
      <formula>L226&lt;#REF!-#REF!</formula>
    </cfRule>
  </conditionalFormatting>
  <conditionalFormatting sqref="L229 U229">
    <cfRule type="expression" dxfId="7723" priority="9153">
      <formula>L229&gt;#REF!+#REF!</formula>
    </cfRule>
    <cfRule type="expression" dxfId="7722" priority="9154">
      <formula>L229&lt;#REF!-#REF!</formula>
    </cfRule>
  </conditionalFormatting>
  <conditionalFormatting sqref="L227:L228 U227:U228">
    <cfRule type="expression" dxfId="7721" priority="9155">
      <formula>L227&gt;#REF!+#REF!</formula>
    </cfRule>
    <cfRule type="expression" dxfId="7720" priority="9156">
      <formula>L227&lt;#REF!-#REF!</formula>
    </cfRule>
  </conditionalFormatting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ustomProperties>
    <customPr name="_pios_id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F461-F4B1-4DF1-A7B8-6024E3B7E384}">
  <sheetPr codeName="Sheet8"/>
  <dimension ref="A1:T272"/>
  <sheetViews>
    <sheetView zoomScale="70" zoomScaleNormal="70" zoomScaleSheetLayoutView="55" workbookViewId="0">
      <pane xSplit="5" ySplit="6" topLeftCell="F7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2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0.54296875" style="3" customWidth="1" collapsed="1"/>
    <col min="11" max="12" width="10.54296875" style="3" customWidth="1"/>
    <col min="13" max="13" width="0.54296875" style="3" customWidth="1"/>
    <col min="14" max="16" width="10.54296875" style="3" hidden="1" customWidth="1" outlineLevel="1"/>
    <col min="17" max="17" width="0.54296875" style="3" hidden="1" customWidth="1" outlineLevel="1"/>
    <col min="18" max="18" width="12.7265625" style="3" customWidth="1" collapsed="1"/>
    <col min="19" max="20" width="10.54296875" style="3" customWidth="1"/>
    <col min="21" max="16384" width="9.26953125" style="1"/>
  </cols>
  <sheetData>
    <row r="1" spans="2:20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s="10" customFormat="1" ht="40.15" customHeight="1" thickBot="1" x14ac:dyDescent="0.3">
      <c r="B3" s="206" t="e">
        <f>#REF!</f>
        <v>#REF!</v>
      </c>
      <c r="C3" s="206"/>
      <c r="D3" s="206"/>
      <c r="F3" s="207" t="s">
        <v>110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</row>
    <row r="4" spans="2:20" s="11" customFormat="1" ht="23" x14ac:dyDescent="0.25">
      <c r="E4" s="12"/>
      <c r="F4" s="205" t="s">
        <v>5</v>
      </c>
      <c r="G4" s="205"/>
      <c r="H4" s="205"/>
      <c r="I4" s="12"/>
      <c r="J4" s="30" t="s">
        <v>6</v>
      </c>
      <c r="K4" s="30"/>
      <c r="L4" s="30"/>
      <c r="M4" s="12"/>
      <c r="N4" s="205" t="s">
        <v>5</v>
      </c>
      <c r="O4" s="205"/>
      <c r="P4" s="205"/>
      <c r="Q4" s="12"/>
      <c r="R4" s="30" t="s">
        <v>13</v>
      </c>
      <c r="S4" s="30"/>
      <c r="T4" s="30"/>
    </row>
    <row r="6" spans="2:20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N6" s="5" t="s">
        <v>15</v>
      </c>
      <c r="O6" s="5" t="s">
        <v>16</v>
      </c>
      <c r="P6" s="5" t="s">
        <v>17</v>
      </c>
      <c r="R6" s="5" t="s">
        <v>15</v>
      </c>
      <c r="S6" s="5" t="s">
        <v>16</v>
      </c>
      <c r="T6" s="5" t="s">
        <v>17</v>
      </c>
    </row>
    <row r="7" spans="2:20" ht="16.5" customHeight="1" x14ac:dyDescent="0.25"/>
    <row r="8" spans="2:20" ht="19.5" customHeight="1" x14ac:dyDescent="0.25">
      <c r="B8" s="202" t="s">
        <v>18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>
        <f>+[1]H7!$C$29/1000</f>
        <v>149.91227384000001</v>
      </c>
      <c r="K8" s="19">
        <f>+[1]H7!$C$30/1000</f>
        <v>141.66420727000002</v>
      </c>
      <c r="L8" s="19">
        <f>+[1]H7!$C$31/1000</f>
        <v>145.62270000000001</v>
      </c>
      <c r="M8" s="6"/>
      <c r="N8" s="19">
        <v>308.77775735</v>
      </c>
      <c r="O8" s="19">
        <v>319.04885065999997</v>
      </c>
      <c r="P8" s="19">
        <v>351.71136493159179</v>
      </c>
      <c r="Q8" s="6"/>
      <c r="R8" s="19">
        <f>+[1]H7!$EA$29/1000</f>
        <v>32.389182960000007</v>
      </c>
      <c r="S8" s="19">
        <f>+[1]H7!$EA$30/1000</f>
        <v>30.534907289999996</v>
      </c>
      <c r="T8" s="19">
        <f>+[1]H7!$EA$31/1000</f>
        <v>32.064839999999997</v>
      </c>
    </row>
    <row r="9" spans="2:20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>
        <f>+[1]H7!$N$29/1000</f>
        <v>117.42066268000002</v>
      </c>
      <c r="K9" s="19">
        <f>+[1]H7!$N$30/1000</f>
        <v>108.72969808999997</v>
      </c>
      <c r="L9" s="19">
        <f>+[1]H7!$N$31/1000</f>
        <v>114.1271689175602</v>
      </c>
      <c r="M9" s="6"/>
      <c r="N9" s="19">
        <v>291.98232567999997</v>
      </c>
      <c r="O9" s="19">
        <v>304.56705160000001</v>
      </c>
      <c r="P9" s="19">
        <v>319.59759065403762</v>
      </c>
      <c r="Q9" s="6"/>
      <c r="R9" s="19">
        <f>+[1]H7!$EL$29/1000</f>
        <v>41.130874230000018</v>
      </c>
      <c r="S9" s="19">
        <f>+[1]H7!$EL$30/1000</f>
        <v>38.374635449999985</v>
      </c>
      <c r="T9" s="19">
        <f>+[1]H7!$EL$31/1000</f>
        <v>38.042389639186737</v>
      </c>
    </row>
    <row r="10" spans="2:20" ht="19.5" customHeight="1" x14ac:dyDescent="0.25">
      <c r="B10" s="202"/>
      <c r="C10" s="9"/>
      <c r="D10" s="14" t="s">
        <v>82</v>
      </c>
      <c r="E10" s="6"/>
      <c r="F10" s="20" t="str">
        <f>IFERROR((F24*F23+F38*F37)/F9,"n/a")</f>
        <v>n/a</v>
      </c>
      <c r="G10" s="20" t="str">
        <f>IFERROR((G24*G23+G38*G37)/G9,"n/a")</f>
        <v>n/a</v>
      </c>
      <c r="H10" s="20" t="str">
        <f>IFERROR((H24*H23+H38*H37)/H9,"n/a")</f>
        <v>n/a</v>
      </c>
      <c r="I10" s="6"/>
      <c r="J10" s="20">
        <f>-(SUM([1]H7!$O$29,[1]H7!$R$29:$V$29,[1]H7!$Y$29:$AB$29)/1000)/J9</f>
        <v>0.5949966623127787</v>
      </c>
      <c r="K10" s="20">
        <f>-(SUM([1]H7!$O$30,[1]H7!$R$30:$V$30,[1]H7!$Y$30:$AB$30)/1000)/K9</f>
        <v>0.58504758415666325</v>
      </c>
      <c r="L10" s="20">
        <f>-(SUM([1]H7!$O$31,[1]H7!$R$31:$V$31,[1]H7!$Y$31:$AB$31)/1000)/L9</f>
        <v>0.58799963661642762</v>
      </c>
      <c r="M10" s="6"/>
      <c r="N10" s="20" t="str">
        <f>IFERROR((N24*N23+N38*N37)/N9,"n/a")</f>
        <v>n/a</v>
      </c>
      <c r="O10" s="20" t="str">
        <f>IFERROR((O24*O23+O38*O37)/O9,"n/a")</f>
        <v>n/a</v>
      </c>
      <c r="P10" s="20" t="str">
        <f>IFERROR((P24*P23+P38*P37)/P9,"n/a")</f>
        <v>n/a</v>
      </c>
      <c r="Q10" s="6"/>
      <c r="R10" s="20">
        <f>-(SUM([1]H7!$EM$29,[1]H7!$EP$29:$ET$29,[1]H7!$EW$29:$EZ$29)/1000)/R9</f>
        <v>0.60043728448198064</v>
      </c>
      <c r="S10" s="20">
        <f>-(SUM([1]H7!$EM$30,[1]H7!$EP$30:$ET$30,[1]H7!$EW$30:$EZ$30)/1000)/S9</f>
        <v>0.60604916265565778</v>
      </c>
      <c r="T10" s="20">
        <f>-(SUM([1]H7!$EM$31,[1]H7!$EP$31:$ET$31,[1]H7!$EW$31:$EZ$31)/1000)/T9</f>
        <v>0.58799963661642729</v>
      </c>
    </row>
    <row r="11" spans="2:20" ht="19.5" customHeight="1" x14ac:dyDescent="0.25">
      <c r="B11" s="202"/>
      <c r="C11" s="9"/>
      <c r="D11" s="14" t="s">
        <v>83</v>
      </c>
      <c r="E11" s="6"/>
      <c r="F11" s="20">
        <f>IFERROR((F25*F23+F39*F37)/F9,"n/a")</f>
        <v>0</v>
      </c>
      <c r="G11" s="20">
        <f>IFERROR((G25*G23+G39*G37)/G9,"n/a")</f>
        <v>0</v>
      </c>
      <c r="H11" s="20">
        <f>IFERROR((H25*H23+H39*H37)/H9,"n/a")</f>
        <v>0</v>
      </c>
      <c r="I11" s="6"/>
      <c r="J11" s="20">
        <f>-(SUM([1]H7!$Q$29,[1]H7!$X$29)/1000)/J9</f>
        <v>8.6646671093760341E-2</v>
      </c>
      <c r="K11" s="20">
        <f>-(SUM([1]H7!$Q$30,[1]H7!$X$30)/1000)/K9</f>
        <v>8.7826827206470739E-2</v>
      </c>
      <c r="L11" s="20">
        <f>-(SUM([1]H7!$Q$31,[1]H7!$X$31)/1000)/L9</f>
        <v>7.9395397727506561E-2</v>
      </c>
      <c r="M11" s="6"/>
      <c r="N11" s="20">
        <f>IFERROR((N25*N23+N39*N37)/N9,"n/a")</f>
        <v>0</v>
      </c>
      <c r="O11" s="20">
        <f>IFERROR((O25*O23+O39*O37)/O9,"n/a")</f>
        <v>0</v>
      </c>
      <c r="P11" s="20">
        <f>IFERROR((P25*P23+P39*P37)/P9,"n/a")</f>
        <v>0</v>
      </c>
      <c r="Q11" s="6"/>
      <c r="R11" s="20">
        <f>-(SUM([1]H7!$EO$29,[1]H7!$EV$29)/1000)/R9</f>
        <v>0.10076878322089851</v>
      </c>
      <c r="S11" s="20">
        <f>-(SUM([1]H7!$EO$30,[1]H7!$EV$30)/1000)/S9</f>
        <v>7.9380718867816336E-2</v>
      </c>
      <c r="T11" s="20">
        <f>-(SUM([1]H7!$EO$31,[1]H7!$EV$31)/1000)/T9</f>
        <v>7.9395397727506561E-2</v>
      </c>
    </row>
    <row r="12" spans="2:20" ht="19.5" customHeight="1" x14ac:dyDescent="0.25">
      <c r="B12" s="202"/>
      <c r="C12" s="9"/>
      <c r="D12" s="14" t="s">
        <v>84</v>
      </c>
      <c r="E12" s="6"/>
      <c r="F12" s="20" t="str">
        <f>IFERROR((F26*F23+F40*F37)/F9,"n/a")</f>
        <v>n/a</v>
      </c>
      <c r="G12" s="20" t="str">
        <f>IFERROR((G26*G23+G40*G37)/G9,"n/a")</f>
        <v>n/a</v>
      </c>
      <c r="H12" s="20" t="str">
        <f>IFERROR((H26*H23+H40*H37)/H9,"n/a")</f>
        <v>n/a</v>
      </c>
      <c r="I12" s="6"/>
      <c r="J12" s="20">
        <f>-(SUM([1]H7!$P$29,[1]H7!$W$29)/1000)/J9</f>
        <v>2.1716791080879626E-5</v>
      </c>
      <c r="K12" s="20">
        <f>-(SUM([1]H7!$P$30,[1]H7!$W$30)/1000)/K9</f>
        <v>0</v>
      </c>
      <c r="L12" s="20">
        <f>-(SUM([1]H7!$P$31,[1]H7!$W$31)/1000)/L9</f>
        <v>1.2828078352346535E-2</v>
      </c>
      <c r="M12" s="6"/>
      <c r="N12" s="20" t="str">
        <f>IFERROR((N26*N23+N40*N37)/N9,"n/a")</f>
        <v>n/a</v>
      </c>
      <c r="O12" s="20" t="str">
        <f>IFERROR((O26*O23+O40*O37)/O9,"n/a")</f>
        <v>n/a</v>
      </c>
      <c r="P12" s="20" t="str">
        <f>IFERROR((P26*P23+P40*P37)/P9,"n/a")</f>
        <v>n/a</v>
      </c>
      <c r="Q12" s="6"/>
      <c r="R12" s="20">
        <f>-(SUM([1]H7!$EN$29,[1]H7!$EU$29)/1000)/R9</f>
        <v>6.1997223441948669E-5</v>
      </c>
      <c r="S12" s="20">
        <f>-(SUM([1]H7!$EN$30,[1]H7!$EU$30)/1000)/S9</f>
        <v>0</v>
      </c>
      <c r="T12" s="20">
        <f>-(SUM([1]H7!$EN$31,[1]H7!$EU$31)/1000)/T9</f>
        <v>1.2828078352346534E-2</v>
      </c>
    </row>
    <row r="13" spans="2:20" ht="19.5" hidden="1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>
        <f>+J10+J11+J12</f>
        <v>0.68166505019761992</v>
      </c>
      <c r="K13" s="20">
        <f>+K10+K11+K12</f>
        <v>0.67287441136313397</v>
      </c>
      <c r="L13" s="20">
        <f>+L10+L11+L12</f>
        <v>0.68022311269628077</v>
      </c>
      <c r="M13" s="7"/>
      <c r="N13" s="20">
        <v>0.67948662172598684</v>
      </c>
      <c r="O13" s="20">
        <v>0.5750002022871471</v>
      </c>
      <c r="P13" s="20">
        <v>0.68456678107585633</v>
      </c>
      <c r="Q13" s="7"/>
      <c r="R13" s="20">
        <f>+R10+R11+R12</f>
        <v>0.7012680649263211</v>
      </c>
      <c r="S13" s="20">
        <f>+S10+S11+S12</f>
        <v>0.68542988152347406</v>
      </c>
      <c r="T13" s="20">
        <f>+T10+T11+T12</f>
        <v>0.68022311269628044</v>
      </c>
    </row>
    <row r="14" spans="2:20" ht="20.149999999999999" customHeight="1" collapsed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>
        <f>-(SUM([1]H7!$AC$29:$AK$29)/1000)/J9</f>
        <v>2.8939395438949196E-2</v>
      </c>
      <c r="K14" s="20">
        <f>-(SUM([1]H7!$AC$30:$AK$30)/1000)/K9</f>
        <v>9.331885564145331E-4</v>
      </c>
      <c r="L14" s="20">
        <f>-(SUM([1]H7!$AC$31:$AK$31)/1000)/L9</f>
        <v>-1.6450341379128361E-2</v>
      </c>
      <c r="M14" s="7"/>
      <c r="N14" s="20">
        <v>-3.3474603975556953E-2</v>
      </c>
      <c r="O14" s="20">
        <v>8.7141373502398565E-3</v>
      </c>
      <c r="P14" s="20">
        <v>-1.7991374679117461E-2</v>
      </c>
      <c r="Q14" s="7"/>
      <c r="R14" s="20">
        <f>-(SUM([1]H7!$FA$29:$FI$29)/1000)/R9</f>
        <v>-1.1790501881583929E-2</v>
      </c>
      <c r="S14" s="20">
        <f>-(SUM([1]H7!$FA$30:$FI$30)/1000)/S9</f>
        <v>-6.2871346182391361E-2</v>
      </c>
      <c r="T14" s="20">
        <f>-(SUM([1]H7!$FA$31:$FI$31)/1000)/T9</f>
        <v>-1.6450341379128357E-2</v>
      </c>
    </row>
    <row r="15" spans="2:20" ht="20.149999999999999" hidden="1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>
        <f>-(SUM([1]H7!$AL$29:$AN$29)/1000)/J9</f>
        <v>0.15077856874517173</v>
      </c>
      <c r="K15" s="20">
        <f>-(SUM([1]H7!$AL$30:$AN$30)/1000)/K9</f>
        <v>0.14997419459863057</v>
      </c>
      <c r="L15" s="20">
        <f>-(SUM([1]H7!$AL$31:$AN$31)/1000)/L9</f>
        <v>0.15089464737941199</v>
      </c>
      <c r="M15" s="7"/>
      <c r="N15" s="20">
        <v>0.10971062914646212</v>
      </c>
      <c r="O15" s="20">
        <v>0.10711780380908412</v>
      </c>
      <c r="P15" s="20">
        <v>0.10908321960910883</v>
      </c>
      <c r="Q15" s="7"/>
      <c r="R15" s="20">
        <f>-(SUM([1]H7!$FJ$29:$FL$29)/1000)/R9</f>
        <v>0.15123057013612132</v>
      </c>
      <c r="S15" s="20">
        <f>-(SUM([1]H7!$FJ$30:$FL$30)/1000)/S9</f>
        <v>0.14765633480434803</v>
      </c>
      <c r="T15" s="20">
        <f>-(SUM([1]H7!$FJ$31:$FL$31)/1000)/T9</f>
        <v>0.15089464737941194</v>
      </c>
    </row>
    <row r="16" spans="2:20" ht="20.149999999999999" hidden="1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>
        <f>-(SUM([1]H7!$AO$29:$AR$29)/1000)/J9</f>
        <v>8.9190378175099533E-2</v>
      </c>
      <c r="K16" s="20">
        <f>-(SUM([1]H7!$AO$30:$AR$30)/1000)/K9</f>
        <v>9.3024836614811215E-2</v>
      </c>
      <c r="L16" s="20">
        <f>-(SUM([1]H7!$AO$31:$AR$31)/1000)/L9</f>
        <v>0.10841661603098222</v>
      </c>
      <c r="M16" s="7"/>
      <c r="N16" s="20">
        <v>0.14013215918021796</v>
      </c>
      <c r="O16" s="20">
        <v>0.13455948276317095</v>
      </c>
      <c r="P16" s="20">
        <v>0.12388498551332087</v>
      </c>
      <c r="Q16" s="7"/>
      <c r="R16" s="20">
        <f>-(SUM([1]H7!$FM$29:$FP$29)/1000)/R9</f>
        <v>8.7861877668628352E-2</v>
      </c>
      <c r="S16" s="20">
        <f>-(SUM([1]H7!$FM$30:$FP$30)/1000)/S9</f>
        <v>8.5923573509803883E-2</v>
      </c>
      <c r="T16" s="20">
        <f>-(SUM([1]H7!$FM$31:$FP$31)/1000)/T9</f>
        <v>0.10841661603098222</v>
      </c>
    </row>
    <row r="17" spans="2:20" ht="20.149999999999999" customHeight="1" collapsed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>
        <f>+J15+J16</f>
        <v>0.23996894692027126</v>
      </c>
      <c r="K17" s="20">
        <f>+K15+K16</f>
        <v>0.2429990312134418</v>
      </c>
      <c r="L17" s="20">
        <f>+L15+L16</f>
        <v>0.25931126341039423</v>
      </c>
      <c r="M17" s="7"/>
      <c r="N17" s="20">
        <v>0.24984278832668008</v>
      </c>
      <c r="O17" s="20">
        <v>0.24167728657225507</v>
      </c>
      <c r="P17" s="20">
        <v>0.23296820512242974</v>
      </c>
      <c r="Q17" s="7"/>
      <c r="R17" s="20">
        <f>+R15+R16</f>
        <v>0.23909244780474967</v>
      </c>
      <c r="S17" s="20">
        <f>+S15+S16</f>
        <v>0.23357990831415193</v>
      </c>
      <c r="T17" s="20">
        <f>+T15+T16</f>
        <v>0.25931126341039418</v>
      </c>
    </row>
    <row r="18" spans="2:20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>
        <f>-(SUM([1]H7!$AT$29:$BJ$29)/1000/J9)</f>
        <v>2.0985033074759601E-2</v>
      </c>
      <c r="K18" s="20">
        <f>-(SUM([1]H7!$AT$30:$BJ$30)/1000/K9)</f>
        <v>1.2437768004106871E-2</v>
      </c>
      <c r="L18" s="20">
        <f>-(SUM([1]H7!$AT$31:$BJ$31)/1000/L9)</f>
        <v>3.2712134321273588E-2</v>
      </c>
      <c r="M18" s="7"/>
      <c r="N18" s="20"/>
      <c r="O18" s="20"/>
      <c r="P18" s="20"/>
      <c r="Q18" s="7"/>
      <c r="R18" s="20">
        <f>-(SUM([1]H7!$FR$29:$GH$29)/1000/R9)</f>
        <v>2.809992619016612E-2</v>
      </c>
      <c r="S18" s="20">
        <f>-(SUM([1]H7!$FR$30:$GH$30)/1000/S9)</f>
        <v>1.3917003086474949E-2</v>
      </c>
      <c r="T18" s="20">
        <f>-(SUM([1]H7!$FR$31:$GH$31)/1000/T9)</f>
        <v>3.2712134321273588E-2</v>
      </c>
    </row>
    <row r="19" spans="2:20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>
        <f>+J13+J14+J17+J18</f>
        <v>0.9715584256316</v>
      </c>
      <c r="K19" s="20">
        <f>+K13+K14+K17+K18</f>
        <v>0.92924439913709722</v>
      </c>
      <c r="L19" s="20">
        <f>+L13+L14+L17+L18</f>
        <v>0.95579616904882025</v>
      </c>
      <c r="M19" s="8"/>
      <c r="N19" s="20">
        <v>0.89585480607710977</v>
      </c>
      <c r="O19" s="20">
        <v>0.8253916262096419</v>
      </c>
      <c r="P19" s="20">
        <v>0.8995436115191684</v>
      </c>
      <c r="Q19" s="8"/>
      <c r="R19" s="20">
        <f>+R13+R14+R17+R18</f>
        <v>0.95666993703965297</v>
      </c>
      <c r="S19" s="20">
        <f>+S13+S14+S17+S18</f>
        <v>0.87005544674170954</v>
      </c>
      <c r="T19" s="20">
        <f>+T13+T14+T17+T18</f>
        <v>0.95579616904881981</v>
      </c>
    </row>
    <row r="20" spans="2:20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>
        <f>+[1]H7!$BK$29/1000</f>
        <v>3.3396285100000336</v>
      </c>
      <c r="K20" s="19">
        <f>+[1]H7!$BK$30/1000</f>
        <v>7.6932351199999935</v>
      </c>
      <c r="L20" s="19">
        <f>+[1]H7!$BK$31/1000</f>
        <v>5.0448580817685702</v>
      </c>
      <c r="M20" s="6"/>
      <c r="N20" s="19">
        <v>30.408555930000066</v>
      </c>
      <c r="O20" s="19">
        <v>53.179957590000015</v>
      </c>
      <c r="P20" s="19">
        <v>32.105619724279762</v>
      </c>
      <c r="Q20" s="6"/>
      <c r="R20" s="19">
        <f>+[1]H7!$GI$29/1000</f>
        <v>1.7822033700000262</v>
      </c>
      <c r="S20" s="19">
        <f>+[1]H7!$GI$30/1000</f>
        <v>4.9865748599999895</v>
      </c>
      <c r="T20" s="19">
        <f>+[1]H7!$GI$31/1000</f>
        <v>1.6816193605895369</v>
      </c>
    </row>
    <row r="21" spans="2:20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2:20" ht="19.5" hidden="1" customHeight="1" outlineLevel="1" x14ac:dyDescent="0.25">
      <c r="B22" s="202" t="s">
        <v>91</v>
      </c>
      <c r="C22" s="9"/>
      <c r="D22" s="14" t="s">
        <v>19</v>
      </c>
      <c r="E22" s="6"/>
      <c r="F22" s="19">
        <v>174.58809877999997</v>
      </c>
      <c r="G22" s="19">
        <v>185.33950579999998</v>
      </c>
      <c r="H22" s="19">
        <v>204.63270105388938</v>
      </c>
      <c r="I22" s="6"/>
      <c r="J22" s="19">
        <f>+[1]H7!$C$21/1000</f>
        <v>85.558392770000012</v>
      </c>
      <c r="K22" s="19">
        <f>+[1]H7!$C$22/1000</f>
        <v>78.801979589999988</v>
      </c>
      <c r="L22" s="19">
        <f>+[1]H7!$C$23/1000</f>
        <v>78.149570000000011</v>
      </c>
      <c r="M22" s="6"/>
      <c r="N22" s="19">
        <v>174.58809877999997</v>
      </c>
      <c r="O22" s="19">
        <v>185.33950579999998</v>
      </c>
      <c r="P22" s="19">
        <v>204.63270105388938</v>
      </c>
      <c r="Q22" s="6"/>
      <c r="R22" s="19">
        <f>+[1]H7!$EA$21/1000</f>
        <v>18.64125997</v>
      </c>
      <c r="S22" s="19">
        <f>+[1]H7!$EA$22/1000</f>
        <v>16.736018029999993</v>
      </c>
      <c r="T22" s="19">
        <f>+[1]H7!$EA$23/1000</f>
        <v>17.352580000000003</v>
      </c>
    </row>
    <row r="23" spans="2:20" ht="20.149999999999999" hidden="1" customHeight="1" outlineLevel="1" x14ac:dyDescent="0.25">
      <c r="B23" s="202"/>
      <c r="C23" s="9"/>
      <c r="D23" s="14" t="s">
        <v>20</v>
      </c>
      <c r="E23" s="6"/>
      <c r="F23" s="19">
        <v>160.90258041999999</v>
      </c>
      <c r="G23" s="19">
        <v>173.06633202</v>
      </c>
      <c r="H23" s="19">
        <v>181.1039563404037</v>
      </c>
      <c r="I23" s="6"/>
      <c r="J23" s="19">
        <f>+[1]H7!$N$21/1000</f>
        <v>67.304319830000026</v>
      </c>
      <c r="K23" s="19">
        <f>+[1]H7!$N$22/1000</f>
        <v>60.242664669999982</v>
      </c>
      <c r="L23" s="19">
        <f>+[1]H7!$N$23/1000</f>
        <v>61.380374515919613</v>
      </c>
      <c r="M23" s="6"/>
      <c r="N23" s="19">
        <v>160.90258041999999</v>
      </c>
      <c r="O23" s="19">
        <v>173.06633202</v>
      </c>
      <c r="P23" s="19">
        <v>181.1039563404037</v>
      </c>
      <c r="Q23" s="6"/>
      <c r="R23" s="19">
        <f>+[1]H7!$EL$21/1000</f>
        <v>23.734999630000011</v>
      </c>
      <c r="S23" s="19">
        <f>+[1]H7!$EL$22/1000</f>
        <v>21.288036449999993</v>
      </c>
      <c r="T23" s="19">
        <f>+[1]H7!$EL$23/1000</f>
        <v>20.460124838639874</v>
      </c>
    </row>
    <row r="24" spans="2:20" ht="19.5" hidden="1" customHeight="1" outlineLevel="1" x14ac:dyDescent="0.25">
      <c r="B24" s="202"/>
      <c r="C24" s="9"/>
      <c r="D24" s="14" t="s">
        <v>92</v>
      </c>
      <c r="E24" s="6"/>
      <c r="F24" s="20">
        <f>F27-F25-F26</f>
        <v>0.84420093000022511</v>
      </c>
      <c r="G24" s="20">
        <f>G27-G25-G26</f>
        <v>0.70110498335388471</v>
      </c>
      <c r="H24" s="20">
        <f>H27-H25-H26</f>
        <v>0.78019367284740149</v>
      </c>
      <c r="I24" s="6"/>
      <c r="J24" s="20">
        <f>-(SUM([1]H7!$O$21,[1]H7!$R$21:$V$21,[1]H7!$Y$21:$AB$21)/1000)/J23</f>
        <v>0.63425450029029207</v>
      </c>
      <c r="K24" s="20">
        <f>-(SUM([1]H7!$O$22,[1]H7!$R$22:$V$22,[1]H7!$Y$22:$AB$22)/1000)/K23</f>
        <v>0.59526574480188654</v>
      </c>
      <c r="L24" s="20">
        <f>-(SUM([1]H7!$O$23,[1]H7!$R$23:$V$23,[1]H7!$Y$23:$AB$23)/1000)/L23</f>
        <v>0.62298721012018343</v>
      </c>
      <c r="M24" s="6"/>
      <c r="N24" s="20">
        <f>N27-N25-N26</f>
        <v>0.84420093000022511</v>
      </c>
      <c r="O24" s="20">
        <f>O27-O25-O26</f>
        <v>0.70110498335388471</v>
      </c>
      <c r="P24" s="20">
        <f>P27-P25-P26</f>
        <v>0.78019367284740149</v>
      </c>
      <c r="Q24" s="6"/>
      <c r="R24" s="20">
        <f>-(SUM([1]H7!$EM$21,[1]H7!$EP$21:$ET$21,[1]H7!$EW$21:$EZ$21)/1000)/R23</f>
        <v>0.63555687828890362</v>
      </c>
      <c r="S24" s="20">
        <f>-(SUM([1]H7!$EM$22,[1]H7!$EP$22:$ET$22,[1]H7!$EW$22:$EZ$22)/1000)/S23</f>
        <v>0.628620093408785</v>
      </c>
      <c r="T24" s="20">
        <f>-(SUM([1]H7!$EM$23,[1]H7!$EP$23:$ET$23,[1]H7!$EW$23:$EZ$23)/1000)/T23</f>
        <v>0.62298721012018321</v>
      </c>
    </row>
    <row r="25" spans="2:20" ht="19.5" hidden="1" customHeight="1" outlineLevel="1" x14ac:dyDescent="0.25">
      <c r="B25" s="202"/>
      <c r="C25" s="9"/>
      <c r="D25" s="14" t="s">
        <v>93</v>
      </c>
      <c r="E25" s="6"/>
      <c r="F25" s="20">
        <f>IFERROR(SUM(INDEX(LL_TOT_BR_YTD,2,Month),INDEX(LL_IBNR_TOT_BR_YTD,2,Month))/F23,0)</f>
        <v>0</v>
      </c>
      <c r="G25" s="20">
        <f>IFERROR(SUM(INDEX(LL_TOT_BR_YTD_PREV,2,Month),INDEX(LL_IBNR_TOT_BR_YTD_PREV,2,Month))/G23,0)</f>
        <v>0</v>
      </c>
      <c r="H25" s="20">
        <f>IFERROR(SUM(INDEX(LL_TOT_BR_YTD_PLAN,2,Month),INDEX(LL_IBNR_TOT_BR_YTD_PLAN,2,Month))/H23,0)</f>
        <v>0</v>
      </c>
      <c r="I25" s="6"/>
      <c r="J25" s="20">
        <f>-(SUM([1]H7!$Q$21,[1]H7!$X$21)/1000)/J23</f>
        <v>0.15116577308178017</v>
      </c>
      <c r="K25" s="20">
        <f>-(SUM([1]H7!$Q$22,[1]H7!$X$22)/1000)/K23</f>
        <v>0.15851530570024108</v>
      </c>
      <c r="L25" s="20">
        <f>-(SUM([1]H7!$Q$23,[1]H7!$X$23)/1000)/L23</f>
        <v>0.14762327599310934</v>
      </c>
      <c r="M25" s="6"/>
      <c r="N25" s="20">
        <f>IFERROR(SUM(INDEX(LL_TOT_BR_YTD,2,Month),INDEX(LL_IBNR_TOT_BR_YTD,2,Month))/N23,0)</f>
        <v>0</v>
      </c>
      <c r="O25" s="20">
        <f>IFERROR(SUM(INDEX(LL_TOT_BR_YTD_PREV,2,Month),INDEX(LL_IBNR_TOT_BR_YTD_PREV,2,Month))/O23,0)</f>
        <v>0</v>
      </c>
      <c r="P25" s="20">
        <f>IFERROR(SUM(INDEX(LL_TOT_BR_YTD_PLAN,2,Month),INDEX(LL_IBNR_TOT_BR_YTD_PLAN,2,Month))/P23,0)</f>
        <v>0</v>
      </c>
      <c r="Q25" s="6"/>
      <c r="R25" s="20">
        <f>-(SUM([1]H7!$EO$21,[1]H7!$EV$21)/1000)/R23</f>
        <v>0.17462431908910506</v>
      </c>
      <c r="S25" s="20">
        <f>-(SUM([1]H7!$EO$22,[1]H7!$EV$22)/1000)/S23</f>
        <v>0.1430947450445289</v>
      </c>
      <c r="T25" s="20">
        <f>-(SUM([1]H7!$EO$23,[1]H7!$EV$23)/1000)/T23</f>
        <v>0.14762327599310932</v>
      </c>
    </row>
    <row r="26" spans="2:20" ht="19.5" hidden="1" customHeight="1" outlineLevel="1" x14ac:dyDescent="0.25">
      <c r="B26" s="202"/>
      <c r="C26" s="9"/>
      <c r="D26" s="14" t="s">
        <v>94</v>
      </c>
      <c r="E26" s="6"/>
      <c r="F26" s="20">
        <f>0</f>
        <v>0</v>
      </c>
      <c r="G26" s="20">
        <f>0</f>
        <v>0</v>
      </c>
      <c r="H26" s="20">
        <f>0</f>
        <v>0</v>
      </c>
      <c r="I26" s="6"/>
      <c r="J26" s="20">
        <f>-(SUM([1]H7!$P$21,[1]H7!$W$21)/1000)/J23</f>
        <v>0</v>
      </c>
      <c r="K26" s="20">
        <f>-(SUM([1]H7!$P$22,[1]H7!$W$22)/1000)/K23</f>
        <v>0</v>
      </c>
      <c r="L26" s="20">
        <f>-(SUM([1]H7!$P$23,[1]H7!$W$23)/1000)/L23</f>
        <v>0</v>
      </c>
      <c r="M26" s="6"/>
      <c r="N26" s="20">
        <f>0</f>
        <v>0</v>
      </c>
      <c r="O26" s="20">
        <f>0</f>
        <v>0</v>
      </c>
      <c r="P26" s="20">
        <f>0</f>
        <v>0</v>
      </c>
      <c r="Q26" s="6"/>
      <c r="R26" s="20">
        <f>-(SUM([1]H7!$EN$21,[1]H7!$EU$21)/1000)/R23</f>
        <v>0</v>
      </c>
      <c r="S26" s="20">
        <f>-(SUM([1]H7!$EN$22,[1]H7!$EU$22)/1000)/S23</f>
        <v>0</v>
      </c>
      <c r="T26" s="20">
        <f>-(SUM([1]H7!$EN$23,[1]H7!$EU$23)/1000)/T23</f>
        <v>0</v>
      </c>
    </row>
    <row r="27" spans="2:20" ht="19.5" hidden="1" customHeight="1" outlineLevel="2" x14ac:dyDescent="0.25">
      <c r="B27" s="202"/>
      <c r="C27" s="9"/>
      <c r="D27" s="14" t="s">
        <v>95</v>
      </c>
      <c r="E27" s="7"/>
      <c r="F27" s="20">
        <v>0.84420093000022511</v>
      </c>
      <c r="G27" s="20">
        <v>0.70110498335388471</v>
      </c>
      <c r="H27" s="20">
        <v>0.78019367284740149</v>
      </c>
      <c r="I27" s="7"/>
      <c r="J27" s="20">
        <f>+J24+J25+J26</f>
        <v>0.78542027337207221</v>
      </c>
      <c r="K27" s="20">
        <f>+K24+K25+K26</f>
        <v>0.75378105050212763</v>
      </c>
      <c r="L27" s="20">
        <f>+L24+L25+L26</f>
        <v>0.77061048611329275</v>
      </c>
      <c r="M27" s="7"/>
      <c r="N27" s="20">
        <v>0.84420093000022511</v>
      </c>
      <c r="O27" s="20">
        <v>0.70110498335388471</v>
      </c>
      <c r="P27" s="20">
        <v>0.78019367284740149</v>
      </c>
      <c r="Q27" s="7"/>
      <c r="R27" s="20">
        <f>+R24+R25+R26</f>
        <v>0.81018119737800864</v>
      </c>
      <c r="S27" s="20">
        <f>+S24+S25+S26</f>
        <v>0.7717148384533139</v>
      </c>
      <c r="T27" s="20">
        <f>+T24+T25+T26</f>
        <v>0.77061048611329253</v>
      </c>
    </row>
    <row r="28" spans="2:20" ht="20.149999999999999" hidden="1" customHeight="1" outlineLevel="1" x14ac:dyDescent="0.25">
      <c r="B28" s="202"/>
      <c r="C28" s="9"/>
      <c r="D28" s="14" t="s">
        <v>96</v>
      </c>
      <c r="E28" s="7"/>
      <c r="F28" s="20">
        <v>-5.5435126252899945E-2</v>
      </c>
      <c r="G28" s="20">
        <v>7.5310574551806638E-3</v>
      </c>
      <c r="H28" s="20">
        <v>-2.1166480350811253E-2</v>
      </c>
      <c r="I28" s="7"/>
      <c r="J28" s="20">
        <f>-(SUM([1]H7!$AC$21:$AK$21)/1000)/J23</f>
        <v>3.8629473956010442E-2</v>
      </c>
      <c r="K28" s="20">
        <f>-(SUM([1]H7!$AC$22:$AK$22)/1000)/K23</f>
        <v>1.6770184478627308E-2</v>
      </c>
      <c r="L28" s="20">
        <f>-(SUM([1]H7!$AC$23:$AK$23)/1000)/L23</f>
        <v>-2.1902526962464124E-2</v>
      </c>
      <c r="M28" s="7"/>
      <c r="N28" s="20">
        <v>-5.5435126252899945E-2</v>
      </c>
      <c r="O28" s="20">
        <v>7.5310574551806638E-3</v>
      </c>
      <c r="P28" s="20">
        <v>-2.1166480350811253E-2</v>
      </c>
      <c r="Q28" s="7"/>
      <c r="R28" s="20">
        <f>-(SUM([1]H7!$FA$21:$FI$21)/1000)/R23</f>
        <v>3.040357115017106E-2</v>
      </c>
      <c r="S28" s="20">
        <f>-(SUM([1]H7!$FA$22:$FI$22)/1000)/S23</f>
        <v>-0.10453516204872951</v>
      </c>
      <c r="T28" s="20">
        <f>-(SUM([1]H7!$FA$23:$FI$23)/1000)/T23</f>
        <v>-2.1902526962464239E-2</v>
      </c>
    </row>
    <row r="29" spans="2:20" ht="19.5" hidden="1" customHeight="1" outlineLevel="2" x14ac:dyDescent="0.25">
      <c r="B29" s="202"/>
      <c r="C29" s="9"/>
      <c r="D29" s="15" t="s">
        <v>87</v>
      </c>
      <c r="E29" s="7"/>
      <c r="F29" s="20">
        <v>8.2992445149998054E-2</v>
      </c>
      <c r="G29" s="20">
        <v>8.0171038110385201E-2</v>
      </c>
      <c r="H29" s="20">
        <v>8.2820650937018431E-2</v>
      </c>
      <c r="I29" s="7"/>
      <c r="J29" s="20">
        <f>-(SUM([1]H7!$AL$21:$AN$21)/1000)/J23</f>
        <v>0.13063192083669256</v>
      </c>
      <c r="K29" s="20">
        <f>-(SUM([1]H7!$AL$22:$AN$22)/1000)/K23</f>
        <v>0.13193992735115853</v>
      </c>
      <c r="L29" s="20">
        <f>-(SUM([1]H7!$AL$23:$AN$23)/1000)/L23</f>
        <v>0.1307235348551383</v>
      </c>
      <c r="M29" s="7"/>
      <c r="N29" s="20">
        <v>8.2992445149998054E-2</v>
      </c>
      <c r="O29" s="20">
        <v>8.0171038110385201E-2</v>
      </c>
      <c r="P29" s="20">
        <v>8.2820650937018431E-2</v>
      </c>
      <c r="Q29" s="7"/>
      <c r="R29" s="20">
        <f>-(SUM([1]H7!$FJ$21:$FL$21)/1000)/R23</f>
        <v>0.13286317839306402</v>
      </c>
      <c r="S29" s="20">
        <f>-(SUM([1]H7!$FJ$22:$FL$22)/1000)/S23</f>
        <v>0.12968940073380986</v>
      </c>
      <c r="T29" s="20">
        <f>-(SUM([1]H7!$FJ$23:$FL$23)/1000)/T23</f>
        <v>0.13072353485513827</v>
      </c>
    </row>
    <row r="30" spans="2:20" ht="20.149999999999999" hidden="1" customHeight="1" outlineLevel="2" x14ac:dyDescent="0.25">
      <c r="B30" s="202"/>
      <c r="C30" s="9"/>
      <c r="D30" s="15" t="s">
        <v>88</v>
      </c>
      <c r="E30" s="7"/>
      <c r="F30" s="20">
        <v>0.12293509736367968</v>
      </c>
      <c r="G30" s="20">
        <v>0.12278302216253326</v>
      </c>
      <c r="H30" s="20">
        <v>0.10688355881031411</v>
      </c>
      <c r="I30" s="7"/>
      <c r="J30" s="20">
        <f>-(SUM([1]H7!$AO$21:$AR$21)/1000)/J23</f>
        <v>7.9635487343725192E-2</v>
      </c>
      <c r="K30" s="20">
        <f>-(SUM([1]H7!$AO$22:$AR$22)/1000)/K23</f>
        <v>8.3436657683289714E-2</v>
      </c>
      <c r="L30" s="20">
        <f>-(SUM([1]H7!$AO$23:$AR$23)/1000)/L23</f>
        <v>0.10252739258233627</v>
      </c>
      <c r="M30" s="7"/>
      <c r="N30" s="20">
        <v>0.12293509736367968</v>
      </c>
      <c r="O30" s="20">
        <v>0.12278302216253326</v>
      </c>
      <c r="P30" s="20">
        <v>0.10688355881031411</v>
      </c>
      <c r="Q30" s="7"/>
      <c r="R30" s="20">
        <f>-(SUM([1]H7!$FM$21:$FP$21)/1000)/R23</f>
        <v>7.6998722076660059E-2</v>
      </c>
      <c r="S30" s="20">
        <f>-(SUM([1]H7!$FM$22:$FP$22)/1000)/S23</f>
        <v>7.6334550808231094E-2</v>
      </c>
      <c r="T30" s="20">
        <f>-(SUM([1]H7!$FM$23:$FP$23)/1000)/T23</f>
        <v>0.10252739258233627</v>
      </c>
    </row>
    <row r="31" spans="2:20" ht="20.149999999999999" hidden="1" customHeight="1" outlineLevel="1" x14ac:dyDescent="0.25">
      <c r="B31" s="202"/>
      <c r="C31" s="9"/>
      <c r="D31" s="14" t="s">
        <v>97</v>
      </c>
      <c r="E31" s="7"/>
      <c r="F31" s="20">
        <v>0.20592754251367776</v>
      </c>
      <c r="G31" s="20">
        <v>0.20295406027291846</v>
      </c>
      <c r="H31" s="20">
        <v>0.18970420974733251</v>
      </c>
      <c r="I31" s="7"/>
      <c r="J31" s="20">
        <f>+J29+J30</f>
        <v>0.21026740818041775</v>
      </c>
      <c r="K31" s="20">
        <f>+K29+K30</f>
        <v>0.21537658503444823</v>
      </c>
      <c r="L31" s="20">
        <f>+L29+L30</f>
        <v>0.23325092743747455</v>
      </c>
      <c r="M31" s="7"/>
      <c r="N31" s="20">
        <v>0.20592754251367776</v>
      </c>
      <c r="O31" s="20">
        <v>0.20295406027291846</v>
      </c>
      <c r="P31" s="20">
        <v>0.18970420974733251</v>
      </c>
      <c r="Q31" s="7"/>
      <c r="R31" s="20">
        <f>+R29+R30</f>
        <v>0.20986190046972408</v>
      </c>
      <c r="S31" s="20">
        <f>+S29+S30</f>
        <v>0.20602395154204095</v>
      </c>
      <c r="T31" s="20">
        <f>+T29+T30</f>
        <v>0.23325092743747455</v>
      </c>
    </row>
    <row r="32" spans="2:20" ht="20.149999999999999" hidden="1" customHeight="1" outlineLevel="1" x14ac:dyDescent="0.25">
      <c r="B32" s="202"/>
      <c r="C32" s="9"/>
      <c r="D32" s="14" t="s">
        <v>90</v>
      </c>
      <c r="E32" s="7"/>
      <c r="F32" s="20"/>
      <c r="G32" s="20"/>
      <c r="H32" s="20"/>
      <c r="I32" s="7"/>
      <c r="J32" s="20">
        <f>-(SUM([1]H7!$AT$21:$BJ$21)/1000/J23)</f>
        <v>1.3203934193892165E-2</v>
      </c>
      <c r="K32" s="20">
        <f>-(SUM([1]H7!$AT$22:$BJ$22)/1000/K23)</f>
        <v>-7.2830530057627013E-3</v>
      </c>
      <c r="L32" s="20">
        <f>-(SUM([1]H7!$AT$23:$BJ$23)/1000/L23)</f>
        <v>3.0898047693793146E-2</v>
      </c>
      <c r="M32" s="7"/>
      <c r="N32" s="20"/>
      <c r="O32" s="20"/>
      <c r="P32" s="20"/>
      <c r="Q32" s="7"/>
      <c r="R32" s="20">
        <f>-(SUM([1]H7!$FR$21:$GH$21)/1000/R23)</f>
        <v>3.4110158104940599E-2</v>
      </c>
      <c r="S32" s="20">
        <f>-(SUM([1]H7!$FR$22:$GH$22)/1000/S23)</f>
        <v>-5.1200823643835413E-3</v>
      </c>
      <c r="T32" s="20">
        <f>-(SUM([1]H7!$FR$23:$GH$23)/1000/T23)</f>
        <v>3.0898047693793111E-2</v>
      </c>
    </row>
    <row r="33" spans="2:20" ht="20.149999999999999" hidden="1" customHeight="1" outlineLevel="1" x14ac:dyDescent="0.25">
      <c r="B33" s="202"/>
      <c r="C33" s="9"/>
      <c r="D33" s="14" t="s">
        <v>79</v>
      </c>
      <c r="E33" s="8"/>
      <c r="F33" s="20">
        <v>0.99469334626100292</v>
      </c>
      <c r="G33" s="20">
        <v>0.91159010108198379</v>
      </c>
      <c r="H33" s="20">
        <v>0.94873140224392272</v>
      </c>
      <c r="I33" s="8"/>
      <c r="J33" s="20">
        <f>+J27+J28+J31+J32</f>
        <v>1.0475210897023925</v>
      </c>
      <c r="K33" s="20">
        <f>+K27+K28+K31+K32</f>
        <v>0.97864476700944047</v>
      </c>
      <c r="L33" s="20">
        <f>+L27+L28+L31+L32</f>
        <v>1.0128569342820963</v>
      </c>
      <c r="M33" s="8"/>
      <c r="N33" s="20">
        <v>0.99469334626100292</v>
      </c>
      <c r="O33" s="20">
        <v>0.91159010108198379</v>
      </c>
      <c r="P33" s="20">
        <v>0.94873140224392272</v>
      </c>
      <c r="Q33" s="8"/>
      <c r="R33" s="20">
        <f>+R27+R28+R31+R32</f>
        <v>1.0845568271028443</v>
      </c>
      <c r="S33" s="20">
        <f>+S27+S28+S31+S32</f>
        <v>0.86808354558224177</v>
      </c>
      <c r="T33" s="20">
        <f>+T27+T28+T31+T32</f>
        <v>1.0128569342820959</v>
      </c>
    </row>
    <row r="34" spans="2:20" ht="19.5" hidden="1" customHeight="1" outlineLevel="1" x14ac:dyDescent="0.25">
      <c r="B34" s="202"/>
      <c r="C34" s="9"/>
      <c r="D34" s="14" t="s">
        <v>34</v>
      </c>
      <c r="E34" s="6"/>
      <c r="F34" s="19">
        <v>0.85385428000004637</v>
      </c>
      <c r="G34" s="19">
        <v>15.300776920000013</v>
      </c>
      <c r="H34" s="19">
        <v>9.284945889650345</v>
      </c>
      <c r="I34" s="6"/>
      <c r="J34" s="19">
        <f>+[1]H7!$BK$21/1000</f>
        <v>-3.1983746199999672</v>
      </c>
      <c r="K34" s="19">
        <f>+[1]H7!$BK$22/1000</f>
        <v>1.2864961400000001</v>
      </c>
      <c r="L34" s="19">
        <f>+[1]H7!$BK$23/1000</f>
        <v>-0.78916344136165573</v>
      </c>
      <c r="M34" s="6"/>
      <c r="N34" s="19">
        <v>0.85385428000004637</v>
      </c>
      <c r="O34" s="19">
        <v>15.300776920000013</v>
      </c>
      <c r="P34" s="19">
        <v>9.284945889650345</v>
      </c>
      <c r="Q34" s="6"/>
      <c r="R34" s="19">
        <f>+[1]H7!$GI$21/1000</f>
        <v>-2.0069562599999804</v>
      </c>
      <c r="S34" s="19">
        <f>+[1]H7!$GI$22/1000</f>
        <v>2.808242289999995</v>
      </c>
      <c r="T34" s="19">
        <f>+[1]H7!$GI$23/1000</f>
        <v>-0.26305448045387697</v>
      </c>
    </row>
    <row r="35" spans="2:20" ht="7.5" hidden="1" customHeight="1" outlineLevel="2" x14ac:dyDescent="0.25"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2:20" ht="19.5" hidden="1" customHeight="1" outlineLevel="1" x14ac:dyDescent="0.25">
      <c r="B36" s="202" t="s">
        <v>98</v>
      </c>
      <c r="C36" s="9"/>
      <c r="D36" s="14" t="s">
        <v>19</v>
      </c>
      <c r="E36" s="6"/>
      <c r="F36" s="19">
        <v>134.18965857000001</v>
      </c>
      <c r="G36" s="19">
        <v>133.70934485999999</v>
      </c>
      <c r="H36" s="19">
        <v>147.07866387770241</v>
      </c>
      <c r="I36" s="6"/>
      <c r="J36" s="19">
        <f>+[1]H7!$C$25/1000</f>
        <v>64.35388107</v>
      </c>
      <c r="K36" s="19">
        <f>+[1]H7!$C$26/1000</f>
        <v>62.862227680000011</v>
      </c>
      <c r="L36" s="19">
        <f>+[1]H7!$C$27/1000</f>
        <v>67.473129999999998</v>
      </c>
      <c r="M36" s="6"/>
      <c r="N36" s="19">
        <v>134.18965857000001</v>
      </c>
      <c r="O36" s="19">
        <v>133.70934485999999</v>
      </c>
      <c r="P36" s="19">
        <v>147.07866387770241</v>
      </c>
      <c r="Q36" s="6"/>
      <c r="R36" s="19">
        <f>+[1]H7!$EA$25/1000</f>
        <v>13.747922990000006</v>
      </c>
      <c r="S36" s="19">
        <f>+[1]H7!$EA$26/1000</f>
        <v>13.798889260000003</v>
      </c>
      <c r="T36" s="19">
        <f>+[1]H7!$EA$27/1000</f>
        <v>14.712259999999995</v>
      </c>
    </row>
    <row r="37" spans="2:20" ht="20.149999999999999" hidden="1" customHeight="1" outlineLevel="1" x14ac:dyDescent="0.25">
      <c r="B37" s="202"/>
      <c r="C37" s="9"/>
      <c r="D37" s="14" t="s">
        <v>20</v>
      </c>
      <c r="E37" s="6"/>
      <c r="F37" s="19">
        <v>131.07974526000004</v>
      </c>
      <c r="G37" s="19">
        <v>131.50071958000001</v>
      </c>
      <c r="H37" s="19">
        <v>138.49363431363389</v>
      </c>
      <c r="I37" s="6"/>
      <c r="J37" s="19">
        <f>+[1]H7!$N$25/1000</f>
        <v>50.116342850000002</v>
      </c>
      <c r="K37" s="19">
        <f>+[1]H7!$N$26/1000</f>
        <v>48.487033419999996</v>
      </c>
      <c r="L37" s="19">
        <f>+[1]H7!$N$27/1000</f>
        <v>52.746794401640592</v>
      </c>
      <c r="M37" s="6"/>
      <c r="N37" s="19">
        <v>131.07974526000004</v>
      </c>
      <c r="O37" s="19">
        <v>131.50071958000001</v>
      </c>
      <c r="P37" s="19">
        <v>138.49363431363389</v>
      </c>
      <c r="Q37" s="6"/>
      <c r="R37" s="19">
        <f>+[1]H7!$EL$25/1000</f>
        <v>17.395874600000006</v>
      </c>
      <c r="S37" s="19">
        <f>+[1]H7!$EL$26/1000</f>
        <v>17.086598999999996</v>
      </c>
      <c r="T37" s="19">
        <f>+[1]H7!$EL$27/1000</f>
        <v>17.582264800546866</v>
      </c>
    </row>
    <row r="38" spans="2:20" ht="19.5" hidden="1" customHeight="1" outlineLevel="1" x14ac:dyDescent="0.25">
      <c r="B38" s="202"/>
      <c r="C38" s="9"/>
      <c r="D38" s="14" t="s">
        <v>92</v>
      </c>
      <c r="E38" s="6"/>
      <c r="F38" s="20" t="e">
        <f>F41-F39-F40</f>
        <v>#REF!</v>
      </c>
      <c r="G38" s="20" t="e">
        <f>G41-G39-G40</f>
        <v>#REF!</v>
      </c>
      <c r="H38" s="20" t="e">
        <f>H41-H39-H40</f>
        <v>#REF!</v>
      </c>
      <c r="I38" s="6"/>
      <c r="J38" s="20">
        <f>-(SUM([1]H7!$O$25,[1]H7!$R$25:$V$25,[1]H7!$Y$25:$AB$25)/1000)/J37</f>
        <v>0.54227489666078044</v>
      </c>
      <c r="K38" s="20">
        <f>-(SUM([1]H7!$O$26,[1]H7!$R$26:$V$26,[1]H7!$Y$26:$AB$26)/1000)/K37</f>
        <v>0.57235204100057313</v>
      </c>
      <c r="L38" s="20">
        <f>-(SUM([1]H7!$O$27,[1]H7!$R$27:$V$27,[1]H7!$Y$27:$AB$27)/1000)/L37</f>
        <v>0.54728530715952661</v>
      </c>
      <c r="M38" s="6"/>
      <c r="N38" s="20" t="e">
        <f>N41-N39-N40</f>
        <v>#REF!</v>
      </c>
      <c r="O38" s="20" t="e">
        <f>O41-O39-O40</f>
        <v>#REF!</v>
      </c>
      <c r="P38" s="20" t="e">
        <f>P41-P39-P40</f>
        <v>#REF!</v>
      </c>
      <c r="Q38" s="6"/>
      <c r="R38" s="20">
        <f>-(SUM([1]H7!$EM$25,[1]H7!$EP$25:$ET$25,[1]H7!$EW$25:$EZ$25)/1000)/R37</f>
        <v>0.55251997275261988</v>
      </c>
      <c r="S38" s="20">
        <f>-(SUM([1]H7!$EM$26,[1]H7!$EP$26:$ET$26,[1]H7!$EW$26:$EZ$26)/1000)/S37</f>
        <v>0.57792824774549945</v>
      </c>
      <c r="T38" s="20">
        <f>-(SUM([1]H7!$EM$27,[1]H7!$EP$27:$ET$27,[1]H7!$EW$27:$EZ$27)/1000)/T37</f>
        <v>0.54728530715952661</v>
      </c>
    </row>
    <row r="39" spans="2:20" ht="19.5" hidden="1" customHeight="1" outlineLevel="1" x14ac:dyDescent="0.25">
      <c r="B39" s="202"/>
      <c r="C39" s="9"/>
      <c r="D39" s="14" t="s">
        <v>93</v>
      </c>
      <c r="E39" s="6"/>
      <c r="F39" s="20">
        <f>0</f>
        <v>0</v>
      </c>
      <c r="G39" s="20">
        <f>0</f>
        <v>0</v>
      </c>
      <c r="H39" s="20">
        <f>0</f>
        <v>0</v>
      </c>
      <c r="I39" s="6"/>
      <c r="J39" s="20">
        <f>-(SUM([1]H7!$Q$25,[1]H7!$X$25)/1000)/J37</f>
        <v>0</v>
      </c>
      <c r="K39" s="20">
        <f>-(SUM([1]H7!$Q$26,[1]H7!$X$26)/1000)/K37</f>
        <v>0</v>
      </c>
      <c r="L39" s="20">
        <f>-(SUM([1]H7!$Q$27,[1]H7!$X$27)/1000)/L37</f>
        <v>0</v>
      </c>
      <c r="M39" s="6"/>
      <c r="N39" s="20">
        <f>0</f>
        <v>0</v>
      </c>
      <c r="O39" s="20">
        <f>0</f>
        <v>0</v>
      </c>
      <c r="P39" s="20">
        <f>0</f>
        <v>0</v>
      </c>
      <c r="Q39" s="6"/>
      <c r="R39" s="20">
        <f>-(SUM([1]H7!$EO$25,[1]H7!$EV$25)/1000)/R37</f>
        <v>0</v>
      </c>
      <c r="S39" s="20">
        <f>-(SUM([1]H7!$EO$26,[1]H7!$EV$26)/1000)/S37</f>
        <v>0</v>
      </c>
      <c r="T39" s="20">
        <f>-(SUM([1]H7!$EO$27,[1]H7!$EV$27)/1000)/T37</f>
        <v>0</v>
      </c>
    </row>
    <row r="40" spans="2:20" ht="19.5" hidden="1" customHeight="1" outlineLevel="1" x14ac:dyDescent="0.25">
      <c r="B40" s="202"/>
      <c r="C40" s="9"/>
      <c r="D40" s="14" t="s">
        <v>94</v>
      </c>
      <c r="E40" s="6"/>
      <c r="F40" s="20" t="e">
        <f>INDEX(NatCat_TOT_BR_YTD,2,Month)/F37</f>
        <v>#REF!</v>
      </c>
      <c r="G40" s="20" t="e">
        <f>INDEX(NatCat_TOT_BR_YTD_PREV,2,Month)/G37</f>
        <v>#REF!</v>
      </c>
      <c r="H40" s="20" t="e">
        <f>INDEX(NatCat_TOT_BR_YTD_PLAN,2,Month)/H37</f>
        <v>#REF!</v>
      </c>
      <c r="I40" s="6"/>
      <c r="J40" s="20">
        <f>-(SUM([1]H7!$P$25,[1]H7!$W$25)/1000)/J37</f>
        <v>5.0881605779420905E-5</v>
      </c>
      <c r="K40" s="20">
        <f>-(SUM([1]H7!$P$26,[1]H7!$W$26)/1000)/K37</f>
        <v>0</v>
      </c>
      <c r="L40" s="20">
        <f>-(SUM([1]H7!$P$27,[1]H7!$W$27)/1000)/L37</f>
        <v>2.7755852874358073E-2</v>
      </c>
      <c r="M40" s="6"/>
      <c r="N40" s="20" t="e">
        <f>INDEX(NatCat_TOT_BR_YTD,2,Month)/N37</f>
        <v>#REF!</v>
      </c>
      <c r="O40" s="20" t="e">
        <f>INDEX(NatCat_TOT_BR_YTD_PREV,2,Month)/O37</f>
        <v>#REF!</v>
      </c>
      <c r="P40" s="20" t="e">
        <f>INDEX(NatCat_TOT_BR_YTD_PLAN,2,Month)/P37</f>
        <v>#REF!</v>
      </c>
      <c r="Q40" s="6"/>
      <c r="R40" s="20">
        <f>-(SUM([1]H7!$EN$25,[1]H7!$EU$25)/1000)/R37</f>
        <v>1.4658647861257856E-4</v>
      </c>
      <c r="S40" s="20">
        <f>-(SUM([1]H7!$EN$26,[1]H7!$EU$26)/1000)/S37</f>
        <v>0</v>
      </c>
      <c r="T40" s="20">
        <f>-(SUM([1]H7!$EN$27,[1]H7!$EU$27)/1000)/T37</f>
        <v>2.775585287435807E-2</v>
      </c>
    </row>
    <row r="41" spans="2:20" ht="19.5" hidden="1" customHeight="1" outlineLevel="2" x14ac:dyDescent="0.25">
      <c r="B41" s="202"/>
      <c r="C41" s="9"/>
      <c r="D41" s="14" t="s">
        <v>95</v>
      </c>
      <c r="E41" s="7"/>
      <c r="F41" s="20">
        <v>0.47729705246148252</v>
      </c>
      <c r="G41" s="20">
        <v>0.40903539251948479</v>
      </c>
      <c r="H41" s="20">
        <v>0.55951837348520128</v>
      </c>
      <c r="I41" s="7"/>
      <c r="J41" s="20">
        <f>+J38+J39+J40</f>
        <v>0.54232577826655981</v>
      </c>
      <c r="K41" s="20">
        <f>+K38+K39+K40</f>
        <v>0.57235204100057313</v>
      </c>
      <c r="L41" s="20">
        <f>+L38+L39+L40</f>
        <v>0.57504116003388472</v>
      </c>
      <c r="M41" s="7"/>
      <c r="N41" s="20">
        <v>0.47729705246148252</v>
      </c>
      <c r="O41" s="20">
        <v>0.40903539251948479</v>
      </c>
      <c r="P41" s="20">
        <v>0.55951837348520128</v>
      </c>
      <c r="Q41" s="7"/>
      <c r="R41" s="20">
        <f>+R38+R39+R40</f>
        <v>0.55266655923123242</v>
      </c>
      <c r="S41" s="20">
        <f>+S38+S39+S40</f>
        <v>0.57792824774549945</v>
      </c>
      <c r="T41" s="20">
        <f>+T38+T39+T40</f>
        <v>0.57504116003388472</v>
      </c>
    </row>
    <row r="42" spans="2:20" ht="20.149999999999999" hidden="1" customHeight="1" outlineLevel="1" x14ac:dyDescent="0.25">
      <c r="B42" s="202"/>
      <c r="C42" s="9"/>
      <c r="D42" s="14" t="s">
        <v>96</v>
      </c>
      <c r="E42" s="7"/>
      <c r="F42" s="20">
        <v>-6.5176954555824203E-3</v>
      </c>
      <c r="G42" s="20">
        <v>1.0271172920679748E-2</v>
      </c>
      <c r="H42" s="20">
        <v>-1.3839384576522607E-2</v>
      </c>
      <c r="I42" s="7"/>
      <c r="J42" s="20">
        <f>-(SUM([1]H7!$AC$25:$AK$25)/1000)/J37</f>
        <v>1.5925992891957404E-2</v>
      </c>
      <c r="K42" s="20">
        <f>-(SUM([1]H7!$AC$26:$AK$26)/1000)/K37</f>
        <v>-1.8743470695097905E-2</v>
      </c>
      <c r="L42" s="20">
        <f>-(SUM([1]H7!$AC$27:$AK$27)/1000)/L37</f>
        <v>-1.0105743629979855E-2</v>
      </c>
      <c r="M42" s="7"/>
      <c r="N42" s="20">
        <v>-6.5176954555824203E-3</v>
      </c>
      <c r="O42" s="20">
        <v>1.0271172920679748E-2</v>
      </c>
      <c r="P42" s="20">
        <v>-1.3839384576522607E-2</v>
      </c>
      <c r="Q42" s="7"/>
      <c r="R42" s="20">
        <f>-(SUM([1]H7!$FA$25:$FI$25)/1000)/R37</f>
        <v>-6.936026085173097E-2</v>
      </c>
      <c r="S42" s="20">
        <f>-(SUM([1]H7!$FA$26:$FI$26)/1000)/S37</f>
        <v>-1.0962781417179759E-2</v>
      </c>
      <c r="T42" s="20">
        <f>-(SUM([1]H7!$FA$27:$FI$27)/1000)/T37</f>
        <v>-1.0105743629979812E-2</v>
      </c>
    </row>
    <row r="43" spans="2:20" ht="20.149999999999999" hidden="1" customHeight="1" outlineLevel="2" x14ac:dyDescent="0.25">
      <c r="B43" s="202"/>
      <c r="C43" s="9"/>
      <c r="D43" s="15" t="s">
        <v>87</v>
      </c>
      <c r="E43" s="7"/>
      <c r="F43" s="20">
        <v>0.14250764702775406</v>
      </c>
      <c r="G43" s="20">
        <v>0.14258208046225504</v>
      </c>
      <c r="H43" s="20">
        <v>0.14342599004580675</v>
      </c>
      <c r="I43" s="7"/>
      <c r="J43" s="20">
        <f>-(SUM([1]H7!$AL$25:$AN$25)/1000)/J37</f>
        <v>0.17783474158669588</v>
      </c>
      <c r="K43" s="20">
        <f>-(SUM([1]H7!$AL$26:$AN$26)/1000)/K37</f>
        <v>0.1723808513422557</v>
      </c>
      <c r="L43" s="20">
        <f>-(SUM([1]H7!$AL$27:$AN$27)/1000)/L37</f>
        <v>0.17436736179149695</v>
      </c>
      <c r="M43" s="7"/>
      <c r="N43" s="20">
        <v>0.14250764702775406</v>
      </c>
      <c r="O43" s="20">
        <v>0.14258208046225504</v>
      </c>
      <c r="P43" s="20">
        <v>0.14342599004580675</v>
      </c>
      <c r="Q43" s="7"/>
      <c r="R43" s="20">
        <f>-(SUM([1]H7!$FJ$25:$FL$25)/1000)/R37</f>
        <v>0.17629111157193564</v>
      </c>
      <c r="S43" s="20">
        <f>-(SUM([1]H7!$FJ$26:$FL$26)/1000)/S37</f>
        <v>0.1700411726172073</v>
      </c>
      <c r="T43" s="20">
        <f>-(SUM([1]H7!$FJ$27:$FL$27)/1000)/T37</f>
        <v>0.17436736179149692</v>
      </c>
    </row>
    <row r="44" spans="2:20" ht="20.149999999999999" hidden="1" customHeight="1" outlineLevel="2" x14ac:dyDescent="0.25">
      <c r="B44" s="202"/>
      <c r="C44" s="9"/>
      <c r="D44" s="15" t="s">
        <v>88</v>
      </c>
      <c r="E44" s="7"/>
      <c r="F44" s="20">
        <v>0.1612418402864387</v>
      </c>
      <c r="G44" s="20">
        <v>0.15005832449453124</v>
      </c>
      <c r="H44" s="20">
        <v>0.14611723939708512</v>
      </c>
      <c r="I44" s="7"/>
      <c r="J44" s="20">
        <f>-(SUM([1]H7!$AO$25:$AR$25)/1000)/J37</f>
        <v>0.1020222288626154</v>
      </c>
      <c r="K44" s="20">
        <f>-(SUM([1]H7!$AO$26:$AR$26)/1000)/K37</f>
        <v>0.10493765964038639</v>
      </c>
      <c r="L44" s="20">
        <f>-(SUM([1]H7!$AO$27:$AR$27)/1000)/L37</f>
        <v>0.11526978587734886</v>
      </c>
      <c r="M44" s="7"/>
      <c r="N44" s="20">
        <v>0.1612418402864387</v>
      </c>
      <c r="O44" s="20">
        <v>0.15005832449453124</v>
      </c>
      <c r="P44" s="20">
        <v>0.14611723939708512</v>
      </c>
      <c r="Q44" s="7"/>
      <c r="R44" s="20">
        <f>-(SUM([1]H7!$FM$25:$FP$25)/1000)/R37</f>
        <v>0.10268360982551571</v>
      </c>
      <c r="S44" s="20">
        <f>-(SUM([1]H7!$FM$26:$FP$26)/1000)/S37</f>
        <v>9.787044864808965E-2</v>
      </c>
      <c r="T44" s="20">
        <f>-(SUM([1]H7!$FM$27:$FP$27)/1000)/T37</f>
        <v>0.11526978587734882</v>
      </c>
    </row>
    <row r="45" spans="2:20" ht="20.149999999999999" hidden="1" customHeight="1" outlineLevel="1" x14ac:dyDescent="0.25">
      <c r="B45" s="202"/>
      <c r="C45" s="9"/>
      <c r="D45" s="14" t="s">
        <v>97</v>
      </c>
      <c r="E45" s="7"/>
      <c r="F45" s="20">
        <v>0.30374948731419277</v>
      </c>
      <c r="G45" s="20">
        <v>0.29264040495678634</v>
      </c>
      <c r="H45" s="20">
        <v>0.2895432294428919</v>
      </c>
      <c r="I45" s="7"/>
      <c r="J45" s="20">
        <f>+J43+J44</f>
        <v>0.27985697044931129</v>
      </c>
      <c r="K45" s="20">
        <f>+K43+K44</f>
        <v>0.2773185109826421</v>
      </c>
      <c r="L45" s="20">
        <f>+L43+L44</f>
        <v>0.2896371476688458</v>
      </c>
      <c r="M45" s="7"/>
      <c r="N45" s="20">
        <v>0.30374948731419277</v>
      </c>
      <c r="O45" s="20">
        <v>0.29264040495678634</v>
      </c>
      <c r="P45" s="20">
        <v>0.2895432294428919</v>
      </c>
      <c r="Q45" s="7"/>
      <c r="R45" s="20">
        <f>+R43+R44</f>
        <v>0.27897472139745133</v>
      </c>
      <c r="S45" s="20">
        <f>+S43+S44</f>
        <v>0.26791162126529694</v>
      </c>
      <c r="T45" s="20">
        <f>+T43+T44</f>
        <v>0.28963714766884574</v>
      </c>
    </row>
    <row r="46" spans="2:20" ht="20.149999999999999" hidden="1" customHeight="1" outlineLevel="1" x14ac:dyDescent="0.25">
      <c r="B46" s="202"/>
      <c r="C46" s="9"/>
      <c r="D46" s="14" t="s">
        <v>90</v>
      </c>
      <c r="E46" s="7"/>
      <c r="F46" s="20"/>
      <c r="G46" s="20"/>
      <c r="H46" s="20"/>
      <c r="I46" s="7"/>
      <c r="J46" s="20">
        <f>-(SUM([1]H7!$AT$25:$BJ$25)/1000/J37)</f>
        <v>3.1434749433238006E-2</v>
      </c>
      <c r="K46" s="20">
        <f>-(SUM([1]H7!$AT$26:$BJ$26)/1000/K37)</f>
        <v>3.6939881730549497E-2</v>
      </c>
      <c r="L46" s="20">
        <f>-(SUM([1]H7!$AT$27:$BJ$27)/1000/L37)</f>
        <v>3.4823150125403823E-2</v>
      </c>
      <c r="M46" s="7"/>
      <c r="N46" s="20"/>
      <c r="O46" s="20"/>
      <c r="P46" s="20"/>
      <c r="Q46" s="7"/>
      <c r="R46" s="20">
        <f>-(SUM([1]H7!$FR$25:$GH$25)/1000/R37)</f>
        <v>1.9899542159265687E-2</v>
      </c>
      <c r="S46" s="20">
        <f>-(SUM([1]H7!$FR$26:$GH$26)/1000/S37)</f>
        <v>3.7635132655714582E-2</v>
      </c>
      <c r="T46" s="20">
        <f>-(SUM([1]H7!$FR$27:$GH$27)/1000/T37)</f>
        <v>3.482315012540383E-2</v>
      </c>
    </row>
    <row r="47" spans="2:20" ht="20.149999999999999" hidden="1" customHeight="1" outlineLevel="1" x14ac:dyDescent="0.25">
      <c r="B47" s="202"/>
      <c r="C47" s="9"/>
      <c r="D47" s="14" t="s">
        <v>79</v>
      </c>
      <c r="E47" s="8"/>
      <c r="F47" s="20">
        <v>0.77452884432009284</v>
      </c>
      <c r="G47" s="20">
        <v>0.71194697039695087</v>
      </c>
      <c r="H47" s="20">
        <v>0.83522221835157051</v>
      </c>
      <c r="I47" s="8"/>
      <c r="J47" s="20">
        <f>+J41+J42+J45+J46</f>
        <v>0.86954349104106654</v>
      </c>
      <c r="K47" s="20">
        <f>+K41+K42+K45+K46</f>
        <v>0.86786696301866684</v>
      </c>
      <c r="L47" s="20">
        <f>+L41+L42+L45+L46</f>
        <v>0.88939571419815444</v>
      </c>
      <c r="M47" s="8"/>
      <c r="N47" s="20">
        <v>0.77452884432009284</v>
      </c>
      <c r="O47" s="20">
        <v>0.71194697039695087</v>
      </c>
      <c r="P47" s="20">
        <v>0.83522221835157051</v>
      </c>
      <c r="Q47" s="8"/>
      <c r="R47" s="20">
        <f>+R41+R42+R45+R46</f>
        <v>0.78218056193621843</v>
      </c>
      <c r="S47" s="20">
        <f>+S41+S42+S45+S46</f>
        <v>0.87251222024933128</v>
      </c>
      <c r="T47" s="20">
        <f>+T41+T42+T45+T46</f>
        <v>0.88939571419815444</v>
      </c>
    </row>
    <row r="48" spans="2:20" ht="19.5" hidden="1" customHeight="1" outlineLevel="1" x14ac:dyDescent="0.25">
      <c r="B48" s="202"/>
      <c r="C48" s="9"/>
      <c r="D48" s="14" t="s">
        <v>34</v>
      </c>
      <c r="E48" s="6"/>
      <c r="F48" s="19">
        <v>29.55470165000002</v>
      </c>
      <c r="G48" s="19">
        <v>37.879180670000004</v>
      </c>
      <c r="H48" s="19">
        <v>22.820673834629417</v>
      </c>
      <c r="I48" s="6"/>
      <c r="J48" s="19">
        <f>+[1]H7!$BK$25/1000</f>
        <v>6.5380031300000008</v>
      </c>
      <c r="K48" s="19">
        <f>+[1]H7!$BK$26/1000</f>
        <v>6.4067389799999939</v>
      </c>
      <c r="L48" s="19">
        <f>+[1]H7!$BK$27/1000</f>
        <v>5.8340215231302262</v>
      </c>
      <c r="M48" s="6"/>
      <c r="N48" s="19">
        <v>29.55470165000002</v>
      </c>
      <c r="O48" s="19">
        <v>37.879180670000004</v>
      </c>
      <c r="P48" s="19">
        <v>22.820673834629417</v>
      </c>
      <c r="Q48" s="6"/>
      <c r="R48" s="19">
        <f>+[1]H7!$GI$25/1000</f>
        <v>3.7891596300000066</v>
      </c>
      <c r="S48" s="19">
        <f>+[1]H7!$GI$26/1000</f>
        <v>2.1783325699999949</v>
      </c>
      <c r="T48" s="19">
        <f>+[1]H7!$GI$27/1000</f>
        <v>1.9446738410434139</v>
      </c>
    </row>
    <row r="49" spans="2:20" ht="7.5" hidden="1" customHeight="1" outlineLevel="1" x14ac:dyDescent="0.25"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2:20" ht="19.5" customHeight="1" collapsed="1" x14ac:dyDescent="0.25">
      <c r="B50" s="204" t="s">
        <v>99</v>
      </c>
      <c r="C50" s="9"/>
      <c r="D50" s="14" t="s">
        <v>19</v>
      </c>
      <c r="E50" s="6"/>
      <c r="F50" s="19">
        <v>229.38382952000003</v>
      </c>
      <c r="G50" s="19">
        <v>212.12458179999999</v>
      </c>
      <c r="H50" s="19">
        <v>203.05293351311161</v>
      </c>
      <c r="I50" s="6"/>
      <c r="J50" s="19">
        <f t="shared" ref="J50:L51" si="0">J64+J78</f>
        <v>24.906184620000001</v>
      </c>
      <c r="K50" s="19">
        <f t="shared" si="0"/>
        <v>24.687024149999996</v>
      </c>
      <c r="L50" s="19">
        <f t="shared" si="0"/>
        <v>24.874369999999995</v>
      </c>
      <c r="M50" s="6"/>
      <c r="N50" s="19">
        <v>229.38382952000003</v>
      </c>
      <c r="O50" s="19">
        <v>212.12458179999999</v>
      </c>
      <c r="P50" s="19">
        <v>203.05293351311161</v>
      </c>
      <c r="Q50" s="6"/>
      <c r="R50" s="19">
        <f t="shared" ref="R50:T51" si="1">R64+R78</f>
        <v>3.1251074100000005</v>
      </c>
      <c r="S50" s="19">
        <f t="shared" si="1"/>
        <v>3.0080956299999997</v>
      </c>
      <c r="T50" s="19">
        <f t="shared" si="1"/>
        <v>3.6105499999999955</v>
      </c>
    </row>
    <row r="51" spans="2:20" ht="20.149999999999999" customHeight="1" x14ac:dyDescent="0.25">
      <c r="B51" s="204"/>
      <c r="C51" s="9"/>
      <c r="D51" s="14" t="s">
        <v>20</v>
      </c>
      <c r="E51" s="6"/>
      <c r="F51" s="19">
        <v>211.42561673000003</v>
      </c>
      <c r="G51" s="19">
        <v>196.68713613999998</v>
      </c>
      <c r="H51" s="19">
        <v>187.22452828540679</v>
      </c>
      <c r="I51" s="6"/>
      <c r="J51" s="19">
        <f t="shared" si="0"/>
        <v>14.233691739999996</v>
      </c>
      <c r="K51" s="19">
        <f t="shared" si="0"/>
        <v>14.194803819999994</v>
      </c>
      <c r="L51" s="19">
        <f t="shared" si="0"/>
        <v>15.970252807445327</v>
      </c>
      <c r="M51" s="6"/>
      <c r="N51" s="19">
        <v>211.42561673000003</v>
      </c>
      <c r="O51" s="19">
        <v>196.68713613999998</v>
      </c>
      <c r="P51" s="19">
        <v>187.22452828540679</v>
      </c>
      <c r="Q51" s="6"/>
      <c r="R51" s="19">
        <f t="shared" si="1"/>
        <v>4.8819073699999986</v>
      </c>
      <c r="S51" s="19">
        <f t="shared" si="1"/>
        <v>4.861624609999998</v>
      </c>
      <c r="T51" s="19">
        <f t="shared" si="1"/>
        <v>5.3234176024817756</v>
      </c>
    </row>
    <row r="52" spans="2:20" ht="19.5" customHeight="1" x14ac:dyDescent="0.25">
      <c r="B52" s="204"/>
      <c r="C52" s="9"/>
      <c r="D52" s="14" t="s">
        <v>92</v>
      </c>
      <c r="E52" s="6"/>
      <c r="F52" s="20" t="str">
        <f>IFERROR((F66*F65+F80*F79)/F51,"n/a")</f>
        <v>n/a</v>
      </c>
      <c r="G52" s="20" t="str">
        <f>IFERROR((G66*G65+G80*G79)/G51,"n/a")</f>
        <v>n/a</v>
      </c>
      <c r="H52" s="20" t="str">
        <f>IFERROR((H66*H65+H80*H79)/H51,"n/a")</f>
        <v>n/a</v>
      </c>
      <c r="I52" s="6"/>
      <c r="J52" s="20">
        <f>(-(SUM([1]H7!$O$33,[1]H7!$R$33:$V$33,[1]H7!$Y$33:$AB$33)/1000)-(SUM([1]H7!$O$37,[1]H7!$R$37:$V$37,[1]H7!$Y$37:$AB$37)/1000))/J51</f>
        <v>0.35674023978743546</v>
      </c>
      <c r="K52" s="20">
        <f>(-(SUM([1]H7!$O$34,[1]H7!$R$34:$V$34,[1]H7!$Y$34:$AB$34)/1000)-(SUM([1]H7!$O$38,[1]H7!$R$38:$V$38,[1]H7!$Y$38:$AB$38)/1000))/K51</f>
        <v>0.34537371037486209</v>
      </c>
      <c r="L52" s="20">
        <f>(-(SUM([1]H7!$O$35,[1]H7!$R$35:$V$35,[1]H7!$Y$35:$AB$35)/1000)-(SUM([1]H7!$O$39,[1]H7!$R$39:$V$39,[1]H7!$Y$39:$AB$39)/1000))/L51</f>
        <v>0.29867378137444678</v>
      </c>
      <c r="M52" s="6"/>
      <c r="N52" s="20" t="str">
        <f>IFERROR((N66*N65+N80*N79)/N51,"n/a")</f>
        <v>n/a</v>
      </c>
      <c r="O52" s="20" t="str">
        <f>IFERROR((O66*O65+O80*O79)/O51,"n/a")</f>
        <v>n/a</v>
      </c>
      <c r="P52" s="20" t="str">
        <f>IFERROR((P66*P65+P80*P79)/P51,"n/a")</f>
        <v>n/a</v>
      </c>
      <c r="Q52" s="6"/>
      <c r="R52" s="20">
        <f>(-(SUM([1]H7!$EM$33,[1]H7!$EP$33:$ET$33,[1]H7!$EW$33:$EZ$33)/1000)-(SUM([1]H7!$EM$37,[1]H7!$EP$37:$ET$37,[1]H7!$EW$37:$EZ$37)/1000))/R51</f>
        <v>0.49761306681438017</v>
      </c>
      <c r="S52" s="20">
        <f>(-(SUM([1]H7!$EM$34,[1]H7!$EP$34:$ET$34,[1]H7!$EW$34:$EZ$34)/1000)-(SUM([1]H7!$EM$38,[1]H7!$EP$38:$ET$38,[1]H7!$EW$38:$EZ$38)/1000))/S51</f>
        <v>0.36227059993018679</v>
      </c>
      <c r="T52" s="20">
        <f>(-(SUM([1]H7!$EM$35,[1]H7!$EP$35:$ET$35,[1]H7!$EW$35:$EZ$35)/1000)-(SUM([1]H7!$EM$39,[1]H7!$EP$39:$ET$39,[1]H7!$EW$39:$EZ$39)/1000))/T51</f>
        <v>0.29867378137444672</v>
      </c>
    </row>
    <row r="53" spans="2:20" ht="19.5" customHeight="1" x14ac:dyDescent="0.25">
      <c r="B53" s="204"/>
      <c r="C53" s="9"/>
      <c r="D53" s="14" t="s">
        <v>93</v>
      </c>
      <c r="E53" s="6"/>
      <c r="F53" s="20">
        <f>IFERROR((F67*F65+F81*F79)/F51,"n/a")</f>
        <v>0</v>
      </c>
      <c r="G53" s="20">
        <f>IFERROR((G67*G65+G81*G79)/G51,"n/a")</f>
        <v>0</v>
      </c>
      <c r="H53" s="20">
        <f>IFERROR((H67*H65+H81*H79)/H51,"n/a")</f>
        <v>0</v>
      </c>
      <c r="I53" s="6"/>
      <c r="J53" s="20">
        <f>(-(SUM([1]H7!$Q$33,[1]H7!$X$33)/1000)-(SUM([1]H7!$Q$37,[1]H7!$X$37)/1000))/J51</f>
        <v>9.3562617480990984E-2</v>
      </c>
      <c r="K53" s="20">
        <f>(-(SUM([1]H7!$Q$34,[1]H7!$X$34)/1000)-(SUM([1]H7!$Q$38,[1]H7!$X$38)/1000))/K51</f>
        <v>0.1746327112425945</v>
      </c>
      <c r="L53" s="20">
        <f>(-(SUM([1]H7!$Q$35,[1]H7!$X$35)/1000)-(SUM([1]H7!$Q$39,[1]H7!$X$39)/1000))/L51</f>
        <v>0.12904287791458963</v>
      </c>
      <c r="M53" s="6"/>
      <c r="N53" s="20">
        <f>IFERROR((N67*N65+N81*N79)/N51,"n/a")</f>
        <v>0</v>
      </c>
      <c r="O53" s="20">
        <f>IFERROR((O67*O65+O81*O79)/O51,"n/a")</f>
        <v>0</v>
      </c>
      <c r="P53" s="20">
        <f>IFERROR((P67*P65+P81*P79)/P51,"n/a")</f>
        <v>0</v>
      </c>
      <c r="Q53" s="6"/>
      <c r="R53" s="20">
        <f>(-(SUM([1]H7!$EO$33,[1]H7!$EV$33)/1000)-(SUM([1]H7!$EO$37,[1]H7!$EV$37)/1000))/R51</f>
        <v>0.1386616829050108</v>
      </c>
      <c r="S53" s="20">
        <f>(-(SUM([1]H7!$EO$34,[1]H7!$EV$34)/1000)-(SUM([1]H7!$EO$38,[1]H7!$EV$38)/1000))/S51</f>
        <v>0.16118623480062172</v>
      </c>
      <c r="T53" s="20">
        <f>(-(SUM([1]H7!$EO$35,[1]H7!$EV$35)/1000)-(SUM([1]H7!$EO$39,[1]H7!$EV$39)/1000))/T51</f>
        <v>0.12904287791458965</v>
      </c>
    </row>
    <row r="54" spans="2:20" ht="19.5" customHeight="1" x14ac:dyDescent="0.25">
      <c r="B54" s="204"/>
      <c r="C54" s="9"/>
      <c r="D54" s="14" t="s">
        <v>94</v>
      </c>
      <c r="E54" s="6"/>
      <c r="F54" s="20" t="str">
        <f>IFERROR((F68*F65+F82*F79)/F51,"n/a")</f>
        <v>n/a</v>
      </c>
      <c r="G54" s="20" t="str">
        <f>IFERROR((G68*G65+G82*G79)/G51,"n/a")</f>
        <v>n/a</v>
      </c>
      <c r="H54" s="20" t="str">
        <f>IFERROR((H68*H65+H82*H79)/H51,"n/a")</f>
        <v>n/a</v>
      </c>
      <c r="I54" s="6"/>
      <c r="J54" s="20">
        <f>(-(SUM([1]H7!$P$33,[1]H7!$W$33)/1000)-(SUM([1]H7!$P$37,[1]H7!$W$37)/1000))/J51</f>
        <v>4.9609336277504652E-4</v>
      </c>
      <c r="K54" s="20">
        <f>(-(SUM([1]H7!$P$34,[1]H7!$W$34)/1000)-(SUM([1]H7!$P$38,[1]H7!$W$38)/1000))/K51</f>
        <v>0</v>
      </c>
      <c r="L54" s="20">
        <f>(-(SUM([1]H7!$P$35,[1]H7!$W$35)/1000)-(SUM([1]H7!$P$39,[1]H7!$W$39)/1000))/L51</f>
        <v>0.12812033336063747</v>
      </c>
      <c r="M54" s="6"/>
      <c r="N54" s="20" t="str">
        <f>IFERROR((N68*N65+N82*N79)/N51,"n/a")</f>
        <v>n/a</v>
      </c>
      <c r="O54" s="20" t="str">
        <f>IFERROR((O68*O65+O82*O79)/O51,"n/a")</f>
        <v>n/a</v>
      </c>
      <c r="P54" s="20" t="str">
        <f>IFERROR((P68*P65+P82*P79)/P51,"n/a")</f>
        <v>n/a</v>
      </c>
      <c r="Q54" s="6"/>
      <c r="R54" s="20">
        <f>(-(SUM([1]H7!$EN$33,[1]H7!$EU$33)/1000)-(SUM([1]H7!$EN$37,[1]H7!$EU$37)/1000))/R51</f>
        <v>1.4464100739379664E-3</v>
      </c>
      <c r="S54" s="20">
        <f>(-(SUM([1]H7!$EN$34,[1]H7!$EU$34)/1000)-(SUM([1]H7!$EN$38,[1]H7!$EU$38)/1000))/S51</f>
        <v>0</v>
      </c>
      <c r="T54" s="20">
        <f>(-(SUM([1]H7!$EN$35,[1]H7!$EU$35)/1000)-(SUM([1]H7!$EN$39,[1]H7!$EU$39)/1000))/T51</f>
        <v>0.12812033336063744</v>
      </c>
    </row>
    <row r="55" spans="2:20" ht="19.5" hidden="1" customHeight="1" outlineLevel="1" x14ac:dyDescent="0.25">
      <c r="B55" s="204"/>
      <c r="C55" s="9"/>
      <c r="D55" s="14" t="s">
        <v>95</v>
      </c>
      <c r="E55" s="7"/>
      <c r="F55" s="20">
        <v>0.58127654633707238</v>
      </c>
      <c r="G55" s="20">
        <v>0.52862258732565415</v>
      </c>
      <c r="H55" s="20">
        <v>0.63822529577194531</v>
      </c>
      <c r="I55" s="7"/>
      <c r="J55" s="20">
        <f>+J52+J53+J54</f>
        <v>0.45079895063120151</v>
      </c>
      <c r="K55" s="20">
        <f>+K52+K53+K54</f>
        <v>0.52000642161745658</v>
      </c>
      <c r="L55" s="20">
        <f>+L52+L53+L54</f>
        <v>0.5558369926496739</v>
      </c>
      <c r="M55" s="7"/>
      <c r="N55" s="20">
        <v>0.58127654633707238</v>
      </c>
      <c r="O55" s="20">
        <v>0.52862258732565415</v>
      </c>
      <c r="P55" s="20">
        <v>0.63822529577194531</v>
      </c>
      <c r="Q55" s="7"/>
      <c r="R55" s="20">
        <f>+R52+R53+R54</f>
        <v>0.637721159793329</v>
      </c>
      <c r="S55" s="20">
        <f>+S52+S53+S54</f>
        <v>0.52345683473080851</v>
      </c>
      <c r="T55" s="20">
        <f>+T52+T53+T54</f>
        <v>0.55583699264967379</v>
      </c>
    </row>
    <row r="56" spans="2:20" ht="20.149999999999999" customHeight="1" collapsed="1" x14ac:dyDescent="0.25">
      <c r="B56" s="204"/>
      <c r="C56" s="9"/>
      <c r="D56" s="14" t="s">
        <v>96</v>
      </c>
      <c r="E56" s="7"/>
      <c r="F56" s="20">
        <v>-5.0410234222519779E-2</v>
      </c>
      <c r="G56" s="20">
        <v>-9.0336924359673568E-2</v>
      </c>
      <c r="H56" s="20">
        <v>-2.670590251069002E-3</v>
      </c>
      <c r="I56" s="7"/>
      <c r="J56" s="20">
        <f>(-(SUM([1]H7!$AC$33:$AK$33)/1000)-(SUM([1]H7!$AC$37:$AK$37)/1000))/J51</f>
        <v>6.9060532429375265E-2</v>
      </c>
      <c r="K56" s="20">
        <f>(-(SUM([1]H7!$AC$34:$AK$34)/1000)-(SUM([1]H7!$AC$38:$AK$38)/1000))/K51</f>
        <v>-0.1528042033905333</v>
      </c>
      <c r="L56" s="20">
        <f>(-(SUM([1]H7!$AC$35:$AK$35)/1000)-(SUM([1]H7!$AC$39:$AK$39)/1000))/L51</f>
        <v>-4.1178603053019146E-2</v>
      </c>
      <c r="M56" s="7"/>
      <c r="N56" s="20">
        <v>-5.0410234222519779E-2</v>
      </c>
      <c r="O56" s="20">
        <v>-9.0336924359673568E-2</v>
      </c>
      <c r="P56" s="20">
        <v>-2.670590251069002E-3</v>
      </c>
      <c r="Q56" s="7"/>
      <c r="R56" s="20">
        <f>(-(SUM([1]H7!$FA$33:$FI$33)/1000)-(SUM([1]H7!$FA$37:$FI$37)/1000))/R51</f>
        <v>0.12012390968409555</v>
      </c>
      <c r="S56" s="20">
        <f>(-(SUM([1]H7!$FA$34:$FI$34)/1000)-(SUM([1]H7!$FA$38:$FI$38)/1000))/S51</f>
        <v>1.0071156028643322E-2</v>
      </c>
      <c r="T56" s="20">
        <f>(-(SUM([1]H7!$FA$35:$FI$35)/1000)-(SUM([1]H7!$FA$39:$FI$39)/1000))/T51</f>
        <v>-4.1178603053019111E-2</v>
      </c>
    </row>
    <row r="57" spans="2:20" ht="20.149999999999999" hidden="1" customHeight="1" outlineLevel="1" x14ac:dyDescent="0.25">
      <c r="B57" s="204"/>
      <c r="C57" s="9"/>
      <c r="D57" s="15" t="s">
        <v>87</v>
      </c>
      <c r="E57" s="7"/>
      <c r="F57" s="20">
        <v>0.15730436554654667</v>
      </c>
      <c r="G57" s="20">
        <v>0.16042032742568968</v>
      </c>
      <c r="H57" s="20">
        <v>0.16278191221801697</v>
      </c>
      <c r="I57" s="7"/>
      <c r="J57" s="20">
        <f>(-(SUM([1]H7!$AL$33:$AN$33)/1000)-(SUM([1]H7!$AL$37:$AN$37)/1000))/J51</f>
        <v>0.24067696930466215</v>
      </c>
      <c r="K57" s="20">
        <f>(-(SUM([1]H7!$AL$34:$AN$34)/1000)-(SUM([1]H7!$AL$38:$AN$38)/1000))/K51</f>
        <v>0.23828932283193771</v>
      </c>
      <c r="L57" s="20">
        <f>(-(SUM([1]H7!$AL$35:$AN$35)/1000)-(SUM([1]H7!$AL$39:$AN$39)/1000))/L51</f>
        <v>0.26165138559172724</v>
      </c>
      <c r="M57" s="7"/>
      <c r="N57" s="20">
        <v>0.15730436554654667</v>
      </c>
      <c r="O57" s="20">
        <v>0.16042032742568968</v>
      </c>
      <c r="P57" s="20">
        <v>0.16278191221801697</v>
      </c>
      <c r="Q57" s="7"/>
      <c r="R57" s="20">
        <f>(-(SUM([1]H7!$FJ$33:$FL$33)/1000)-(SUM([1]H7!$FJ$37:$FL$37)/1000))/R51</f>
        <v>0.23888606882764366</v>
      </c>
      <c r="S57" s="20">
        <f>(-(SUM([1]H7!$FJ$34:$FL$34)/1000)-(SUM([1]H7!$FJ$38:$FL$38)/1000))/S51</f>
        <v>0.2365329210393316</v>
      </c>
      <c r="T57" s="20">
        <f>(-(SUM([1]H7!$FJ$35:$FL$35)/1000)-(SUM([1]H7!$FJ$39:$FL$39)/1000))/T51</f>
        <v>0.26165138559172729</v>
      </c>
    </row>
    <row r="58" spans="2:20" ht="20.149999999999999" hidden="1" customHeight="1" outlineLevel="1" x14ac:dyDescent="0.25">
      <c r="B58" s="204"/>
      <c r="C58" s="9"/>
      <c r="D58" s="15" t="s">
        <v>88</v>
      </c>
      <c r="E58" s="7"/>
      <c r="F58" s="20">
        <v>9.6659400436315324E-2</v>
      </c>
      <c r="G58" s="20">
        <v>0.1077703100771784</v>
      </c>
      <c r="H58" s="20">
        <v>0.10810289803432095</v>
      </c>
      <c r="I58" s="7"/>
      <c r="J58" s="20">
        <f>(-(SUM([1]H7!$AO$33:$AR$33)/1000)-(SUM([1]H7!$AO$37:$AR$37)/1000))/J51</f>
        <v>0.15669321921116727</v>
      </c>
      <c r="K58" s="20">
        <f>(-(SUM([1]H7!$AO$34:$AR$34)/1000)-(SUM([1]H7!$AO$38:$AR$38)/1000))/K51</f>
        <v>0.22829182643821855</v>
      </c>
      <c r="L58" s="20">
        <f>(-(SUM([1]H7!$AO$35:$AR$35)/1000)-(SUM([1]H7!$AO$39:$AR$39)/1000))/L51</f>
        <v>0.18033494294033844</v>
      </c>
      <c r="M58" s="7"/>
      <c r="N58" s="20">
        <v>9.6659400436315324E-2</v>
      </c>
      <c r="O58" s="20">
        <v>0.1077703100771784</v>
      </c>
      <c r="P58" s="20">
        <v>0.10810289803432095</v>
      </c>
      <c r="Q58" s="7"/>
      <c r="R58" s="20">
        <f>(-(SUM([1]H7!$FM$33:$FP$33)/1000)-(SUM([1]H7!$FM$37:$FP$37)/1000))/R51</f>
        <v>0.15615125651185799</v>
      </c>
      <c r="S58" s="20">
        <f>(-(SUM([1]H7!$FM$34:$FP$34)/1000)-(SUM([1]H7!$FM$38:$FP$38)/1000))/S51</f>
        <v>0.22432541331075756</v>
      </c>
      <c r="T58" s="20">
        <f>(-(SUM([1]H7!$FM$35:$FP$35)/1000)-(SUM([1]H7!$FM$39:$FP$39)/1000))/T51</f>
        <v>0.18033494294033842</v>
      </c>
    </row>
    <row r="59" spans="2:20" ht="20.149999999999999" customHeight="1" collapsed="1" x14ac:dyDescent="0.25">
      <c r="B59" s="204"/>
      <c r="C59" s="9"/>
      <c r="D59" s="14" t="s">
        <v>97</v>
      </c>
      <c r="E59" s="7"/>
      <c r="F59" s="20">
        <v>0.25396376598286197</v>
      </c>
      <c r="G59" s="20">
        <v>0.26819063750286803</v>
      </c>
      <c r="H59" s="20">
        <v>0.2708848102523379</v>
      </c>
      <c r="I59" s="7"/>
      <c r="J59" s="20">
        <f>+J57+J58</f>
        <v>0.39737018851582939</v>
      </c>
      <c r="K59" s="20">
        <f>+K57+K58</f>
        <v>0.46658114927015626</v>
      </c>
      <c r="L59" s="20">
        <f>+L57+L58</f>
        <v>0.44198632853206565</v>
      </c>
      <c r="M59" s="7"/>
      <c r="N59" s="20">
        <v>0.25396376598286197</v>
      </c>
      <c r="O59" s="20">
        <v>0.26819063750286803</v>
      </c>
      <c r="P59" s="20">
        <v>0.2708848102523379</v>
      </c>
      <c r="Q59" s="7"/>
      <c r="R59" s="20">
        <f>+R57+R58</f>
        <v>0.39503732533950164</v>
      </c>
      <c r="S59" s="20">
        <f>+S57+S58</f>
        <v>0.46085833435008916</v>
      </c>
      <c r="T59" s="20">
        <f>+T57+T58</f>
        <v>0.44198632853206571</v>
      </c>
    </row>
    <row r="60" spans="2:20" ht="20.149999999999999" customHeight="1" x14ac:dyDescent="0.25">
      <c r="B60" s="204"/>
      <c r="C60" s="9"/>
      <c r="D60" s="14" t="s">
        <v>90</v>
      </c>
      <c r="E60" s="7"/>
      <c r="F60" s="20"/>
      <c r="G60" s="20"/>
      <c r="H60" s="20"/>
      <c r="I60" s="7"/>
      <c r="J60" s="20">
        <f>(-(SUM([1]H7!$AT$33:$BJ$33)/1000)-(SUM([1]H7!$AT$37:$BJ$37)/1000))/J51</f>
        <v>8.9230539286640653E-2</v>
      </c>
      <c r="K60" s="20">
        <f>(-(SUM([1]H7!$AT$34:$BJ$34)/1000)-(SUM([1]H7!$AT$38:$BJ$38)/1000))/K51</f>
        <v>0.10652471560540398</v>
      </c>
      <c r="L60" s="20">
        <f>(-(SUM([1]H7!$AT$35:$BJ$35)/1000)-(SUM([1]H7!$AT$39:$BJ$39)/1000))/L51</f>
        <v>1.9669672579936064E-2</v>
      </c>
      <c r="M60" s="7"/>
      <c r="N60" s="20"/>
      <c r="O60" s="20"/>
      <c r="P60" s="20"/>
      <c r="Q60" s="7"/>
      <c r="R60" s="20">
        <f>(-(SUM([1]H7!$FR$33:$GH$33)/1000)-(SUM([1]H7!$FR$37:$GH$37)/1000))/R51</f>
        <v>8.0141764344865474E-2</v>
      </c>
      <c r="S60" s="20">
        <f>(-(SUM([1]H7!$FR$34:$GH$34)/1000)-(SUM([1]H7!$FR$38:$GH$38)/1000))/S51</f>
        <v>0.10803312927939164</v>
      </c>
      <c r="T60" s="20">
        <f>(-(SUM([1]H7!$FR$35:$GH$35)/1000)-(SUM([1]H7!$FR$39:$GH$39)/1000))/T51</f>
        <v>1.9669672579936036E-2</v>
      </c>
    </row>
    <row r="61" spans="2:20" ht="20.149999999999999" customHeight="1" x14ac:dyDescent="0.25">
      <c r="B61" s="204"/>
      <c r="C61" s="9"/>
      <c r="D61" s="14" t="s">
        <v>79</v>
      </c>
      <c r="E61" s="8"/>
      <c r="F61" s="20">
        <v>0.78483007809741478</v>
      </c>
      <c r="G61" s="20">
        <v>0.70647630046884868</v>
      </c>
      <c r="H61" s="20">
        <v>0.90643951577321424</v>
      </c>
      <c r="I61" s="8"/>
      <c r="J61" s="29">
        <f>+J55+J56+J59+J60</f>
        <v>1.0064602108630467</v>
      </c>
      <c r="K61" s="20">
        <f>+K55+K56+K59+K60</f>
        <v>0.94030808310248359</v>
      </c>
      <c r="L61" s="20">
        <f>+L55+L56+L59+L60</f>
        <v>0.97631439070865644</v>
      </c>
      <c r="M61" s="8"/>
      <c r="N61" s="20">
        <v>0.78483007809741478</v>
      </c>
      <c r="O61" s="20">
        <v>0.70647630046884868</v>
      </c>
      <c r="P61" s="20">
        <v>0.90643951577321424</v>
      </c>
      <c r="Q61" s="8"/>
      <c r="R61" s="29">
        <f>+R55+R56+R59+R60</f>
        <v>1.2330241591617916</v>
      </c>
      <c r="S61" s="20">
        <f>+S55+S56+S59+S60</f>
        <v>1.1024194543889325</v>
      </c>
      <c r="T61" s="20">
        <f>+T55+T56+T59+T60</f>
        <v>0.97631439070865633</v>
      </c>
    </row>
    <row r="62" spans="2:20" ht="19.5" customHeight="1" x14ac:dyDescent="0.25">
      <c r="B62" s="204"/>
      <c r="C62" s="9"/>
      <c r="D62" s="14" t="s">
        <v>34</v>
      </c>
      <c r="E62" s="6"/>
      <c r="F62" s="19">
        <v>45.460953930000031</v>
      </c>
      <c r="G62" s="19">
        <v>57.734353569999982</v>
      </c>
      <c r="H62" s="19">
        <v>17.516817525514227</v>
      </c>
      <c r="I62" s="6"/>
      <c r="J62" s="19">
        <f>+J76+J90</f>
        <v>-9.1952650000008226E-2</v>
      </c>
      <c r="K62" s="19">
        <f>+K76+K90</f>
        <v>0.84731504999998775</v>
      </c>
      <c r="L62" s="19">
        <f>+L76+L90</f>
        <v>0.37826516828113038</v>
      </c>
      <c r="M62" s="6"/>
      <c r="N62" s="19">
        <v>45.460953930000031</v>
      </c>
      <c r="O62" s="19">
        <v>57.734353569999982</v>
      </c>
      <c r="P62" s="19">
        <v>17.516817525514227</v>
      </c>
      <c r="Q62" s="6"/>
      <c r="R62" s="19">
        <f>+R76+R90</f>
        <v>-1.1376023600000034</v>
      </c>
      <c r="S62" s="19">
        <f>+S76+S90</f>
        <v>-0.49792494000000881</v>
      </c>
      <c r="T62" s="19">
        <f>+T76+T90</f>
        <v>0.1260883894270437</v>
      </c>
    </row>
    <row r="63" spans="2:20" ht="7.5" customHeight="1" x14ac:dyDescent="0.25"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2:20" ht="19.5" hidden="1" customHeight="1" outlineLevel="1" x14ac:dyDescent="0.25">
      <c r="B64" s="204" t="s">
        <v>100</v>
      </c>
      <c r="C64" s="9"/>
      <c r="D64" s="14" t="s">
        <v>19</v>
      </c>
      <c r="E64" s="6"/>
      <c r="F64" s="19">
        <v>208.45630805000005</v>
      </c>
      <c r="G64" s="19">
        <v>192.14014261</v>
      </c>
      <c r="H64" s="19">
        <v>184.88788181612301</v>
      </c>
      <c r="I64" s="6"/>
      <c r="J64" s="19">
        <f>+[1]H7!$C$33/1000</f>
        <v>24.903721190000002</v>
      </c>
      <c r="K64" s="19">
        <f>+[1]H7!$C$34/1000</f>
        <v>24.683340409999996</v>
      </c>
      <c r="L64" s="19">
        <f>+[1]H7!$C$35/1000</f>
        <v>24.874369999999995</v>
      </c>
      <c r="M64" s="6"/>
      <c r="N64" s="19">
        <v>208.45630805000005</v>
      </c>
      <c r="O64" s="19">
        <v>192.14014261</v>
      </c>
      <c r="P64" s="19">
        <v>184.88788181612301</v>
      </c>
      <c r="Q64" s="6"/>
      <c r="R64" s="19">
        <f>+[1]H7!$EA$33/1000</f>
        <v>3.1250048700000006</v>
      </c>
      <c r="S64" s="19">
        <f>+[1]H7!$EA$34/1000</f>
        <v>3.0079467299999996</v>
      </c>
      <c r="T64" s="19">
        <f>+[1]H7!$EA$35/1000</f>
        <v>3.6105499999999955</v>
      </c>
    </row>
    <row r="65" spans="2:20" ht="20.149999999999999" hidden="1" customHeight="1" outlineLevel="1" x14ac:dyDescent="0.25">
      <c r="B65" s="204"/>
      <c r="C65" s="9"/>
      <c r="D65" s="14" t="s">
        <v>20</v>
      </c>
      <c r="E65" s="6"/>
      <c r="F65" s="19">
        <v>191.27992135000002</v>
      </c>
      <c r="G65" s="19">
        <v>178.36638785999997</v>
      </c>
      <c r="H65" s="19">
        <v>170.14364820475578</v>
      </c>
      <c r="I65" s="6"/>
      <c r="J65" s="19">
        <f>+[1]H7!$N$33/1000</f>
        <v>14.232206809999996</v>
      </c>
      <c r="K65" s="19">
        <f>+[1]H7!$N$34/1000</f>
        <v>14.192690099999993</v>
      </c>
      <c r="L65" s="19">
        <f>+[1]H7!$N$35/1000</f>
        <v>15.970252807445327</v>
      </c>
      <c r="M65" s="6"/>
      <c r="N65" s="19">
        <v>191.27992135000002</v>
      </c>
      <c r="O65" s="19">
        <v>178.36638785999997</v>
      </c>
      <c r="P65" s="19">
        <v>170.14364820475578</v>
      </c>
      <c r="Q65" s="6"/>
      <c r="R65" s="19">
        <f>+[1]H7!$EL$33/1000</f>
        <v>4.8814390099999985</v>
      </c>
      <c r="S65" s="19">
        <f>+[1]H7!$EL$34/1000</f>
        <v>4.8610576299999977</v>
      </c>
      <c r="T65" s="19">
        <f>+[1]H7!$EL$35/1000</f>
        <v>5.3234176024817756</v>
      </c>
    </row>
    <row r="66" spans="2:20" ht="19.5" hidden="1" customHeight="1" outlineLevel="1" x14ac:dyDescent="0.25">
      <c r="B66" s="204"/>
      <c r="C66" s="9"/>
      <c r="D66" s="14" t="s">
        <v>92</v>
      </c>
      <c r="E66" s="6"/>
      <c r="F66" s="20" t="e">
        <f>F69-F67-F68</f>
        <v>#REF!</v>
      </c>
      <c r="G66" s="20" t="e">
        <f>G69-G67-G68</f>
        <v>#REF!</v>
      </c>
      <c r="H66" s="20" t="e">
        <f>H69-H67-H68</f>
        <v>#REF!</v>
      </c>
      <c r="I66" s="6"/>
      <c r="J66" s="20">
        <f>-(SUM([1]H7!$O$33,[1]H7!$R$33:$V$33,[1]H7!$Y$33:$AB$33)/1000)/J65</f>
        <v>0.35818271701941634</v>
      </c>
      <c r="K66" s="20">
        <f>-(SUM([1]H7!$O$34,[1]H7!$R$34:$V$34,[1]H7!$Y$34:$AB$34)/1000)/K65</f>
        <v>0.34542482001750086</v>
      </c>
      <c r="L66" s="20">
        <f>-(SUM([1]H7!$O$35,[1]H7!$R$35:$V$35,[1]H7!$Y$35:$AB$35)/1000)/L65</f>
        <v>0.29867378137444678</v>
      </c>
      <c r="M66" s="6"/>
      <c r="N66" s="20" t="e">
        <f>N69-N67-N68</f>
        <v>#REF!</v>
      </c>
      <c r="O66" s="20" t="e">
        <f>O69-O67-O68</f>
        <v>#REF!</v>
      </c>
      <c r="P66" s="20" t="e">
        <f>P69-P67-P68</f>
        <v>#REF!</v>
      </c>
      <c r="Q66" s="6"/>
      <c r="R66" s="20">
        <f>-(SUM([1]H7!$EM$33,[1]H7!$EP$33:$ET$33,[1]H7!$EW$33:$EZ$33)/1000)/R65</f>
        <v>0.5017579638446461</v>
      </c>
      <c r="S66" s="20">
        <f>-(SUM([1]H7!$EM$34,[1]H7!$EP$34:$ET$34,[1]H7!$EW$34:$EZ$34)/1000)/S65</f>
        <v>0.36231888781373295</v>
      </c>
      <c r="T66" s="20">
        <f>-(SUM([1]H7!$EM$35,[1]H7!$EP$35:$ET$35,[1]H7!$EW$35:$EZ$35)/1000)/T65</f>
        <v>0.29867378137444672</v>
      </c>
    </row>
    <row r="67" spans="2:20" ht="19.5" hidden="1" customHeight="1" outlineLevel="1" x14ac:dyDescent="0.25">
      <c r="B67" s="204"/>
      <c r="C67" s="9"/>
      <c r="D67" s="14" t="s">
        <v>93</v>
      </c>
      <c r="E67" s="6"/>
      <c r="F67" s="20">
        <f>IFERROR(SUM(INDEX(LL_TOT_BR_YTD,1,Month),INDEX(LL_IBNR_TOT_BR_YTD,1,Month))/F65,0)</f>
        <v>0</v>
      </c>
      <c r="G67" s="20">
        <f>IFERROR(SUM(INDEX(LL_TOT_BR_YTD_PREV,1,Month),INDEX(LL_IBNR_TOT_BR_YTD_PREV,1,Month))/G65,0)</f>
        <v>0</v>
      </c>
      <c r="H67" s="20">
        <f>IFERROR(SUM(INDEX(LL_TOT_BR_YTD_PLAN,1,Month),INDEX(LL_IBNR_TOT_BR_YTD_PLAN,1,Month))/H65,0)</f>
        <v>0</v>
      </c>
      <c r="I67" s="6"/>
      <c r="J67" s="20">
        <f>-(SUM([1]H7!$Q$33,[1]H7!$X$33)/1000)/J65</f>
        <v>9.3572379420192045E-2</v>
      </c>
      <c r="K67" s="20">
        <f>-(SUM([1]H7!$Q$34,[1]H7!$X$34)/1000)/K65</f>
        <v>0.17465871932505153</v>
      </c>
      <c r="L67" s="20">
        <f>-(SUM([1]H7!$Q$35,[1]H7!$X$35)/1000)/L65</f>
        <v>0.12904287791458963</v>
      </c>
      <c r="M67" s="6"/>
      <c r="N67" s="20">
        <f>IFERROR(SUM(INDEX(LL_TOT_BR_YTD,1,Month),INDEX(LL_IBNR_TOT_BR_YTD,1,Month))/N65,0)</f>
        <v>0</v>
      </c>
      <c r="O67" s="20">
        <f>IFERROR(SUM(INDEX(LL_TOT_BR_YTD_PREV,1,Month),INDEX(LL_IBNR_TOT_BR_YTD_PREV,1,Month))/O65,0)</f>
        <v>0</v>
      </c>
      <c r="P67" s="20">
        <f>IFERROR(SUM(INDEX(LL_TOT_BR_YTD_PLAN,1,Month),INDEX(LL_IBNR_TOT_BR_YTD_PLAN,1,Month))/P65,0)</f>
        <v>0</v>
      </c>
      <c r="Q67" s="6"/>
      <c r="R67" s="20">
        <f>-(SUM([1]H7!$EO$33,[1]H7!$EV$33)/1000)/R65</f>
        <v>0.138674987093729</v>
      </c>
      <c r="S67" s="20">
        <f>-(SUM([1]H7!$EO$34,[1]H7!$EV$34)/1000)/S65</f>
        <v>0.16120503510672041</v>
      </c>
      <c r="T67" s="20">
        <f>-(SUM([1]H7!$EO$35,[1]H7!$EV$35)/1000)/T65</f>
        <v>0.12904287791458965</v>
      </c>
    </row>
    <row r="68" spans="2:20" ht="19.5" hidden="1" customHeight="1" outlineLevel="1" x14ac:dyDescent="0.25">
      <c r="B68" s="204"/>
      <c r="C68" s="9"/>
      <c r="D68" s="14" t="s">
        <v>94</v>
      </c>
      <c r="E68" s="6"/>
      <c r="F68" s="20" t="e">
        <f>INDEX(NatCat_TOT_BR_YTD,1,Month)/F65</f>
        <v>#REF!</v>
      </c>
      <c r="G68" s="20" t="e">
        <f>INDEX(NatCat_TOT_BR_YTD_PREV,1,Month)/G65</f>
        <v>#REF!</v>
      </c>
      <c r="H68" s="20" t="e">
        <f>INDEX(NatCat_TOT_BR_YTD_PLAN,1,Month)/H65</f>
        <v>#REF!</v>
      </c>
      <c r="I68" s="6"/>
      <c r="J68" s="20">
        <f>-(SUM([1]H7!$P$33,[1]H7!$W$33)/1000)/J65</f>
        <v>4.9614512311882311E-4</v>
      </c>
      <c r="K68" s="20">
        <f>-(SUM([1]H7!$P$34,[1]H7!$W$34)/1000)/K65</f>
        <v>0</v>
      </c>
      <c r="L68" s="20">
        <f>-(SUM([1]H7!$P$35,[1]H7!$W$35)/1000)/L65</f>
        <v>0.12812033336063747</v>
      </c>
      <c r="M68" s="6"/>
      <c r="N68" s="20" t="e">
        <f>INDEX(NatCat_TOT_BR_YTD,1,Month)/N65</f>
        <v>#REF!</v>
      </c>
      <c r="O68" s="20" t="e">
        <f>INDEX(NatCat_TOT_BR_YTD_PREV,1,Month)/O65</f>
        <v>#REF!</v>
      </c>
      <c r="P68" s="20" t="e">
        <f>INDEX(NatCat_TOT_BR_YTD_PLAN,1,Month)/P65</f>
        <v>#REF!</v>
      </c>
      <c r="Q68" s="6"/>
      <c r="R68" s="20">
        <f>-(SUM([1]H7!$EN$33,[1]H7!$EU$33)/1000)/R65</f>
        <v>1.4465488528146136E-3</v>
      </c>
      <c r="S68" s="20">
        <f>-(SUM([1]H7!$EN$34,[1]H7!$EU$34)/1000)/S65</f>
        <v>0</v>
      </c>
      <c r="T68" s="20">
        <f>-(SUM([1]H7!$EN$35,[1]H7!$EU$35)/1000)/T65</f>
        <v>0.12812033336063744</v>
      </c>
    </row>
    <row r="69" spans="2:20" ht="19.5" hidden="1" customHeight="1" outlineLevel="2" x14ac:dyDescent="0.25">
      <c r="B69" s="204"/>
      <c r="C69" s="9"/>
      <c r="D69" s="14" t="s">
        <v>95</v>
      </c>
      <c r="E69" s="7"/>
      <c r="F69" s="20">
        <v>0.57724464214915872</v>
      </c>
      <c r="G69" s="20">
        <v>0.51933459976050433</v>
      </c>
      <c r="H69" s="20">
        <v>0.6506701480974969</v>
      </c>
      <c r="I69" s="7"/>
      <c r="J69" s="20">
        <f>+J66+J67+J68</f>
        <v>0.45225124156272717</v>
      </c>
      <c r="K69" s="20">
        <f>+K66+K67+K68</f>
        <v>0.52008353934255236</v>
      </c>
      <c r="L69" s="20">
        <f>+L66+L67+L68</f>
        <v>0.5558369926496739</v>
      </c>
      <c r="M69" s="7"/>
      <c r="N69" s="20">
        <v>0.57724464214915872</v>
      </c>
      <c r="O69" s="20">
        <v>0.51933459976050433</v>
      </c>
      <c r="P69" s="20">
        <v>0.6506701480974969</v>
      </c>
      <c r="Q69" s="7"/>
      <c r="R69" s="20">
        <f>+R66+R67+R68</f>
        <v>0.64187949979118963</v>
      </c>
      <c r="S69" s="20">
        <f>+S66+S67+S68</f>
        <v>0.52352392292045336</v>
      </c>
      <c r="T69" s="20">
        <f>+T66+T67+T68</f>
        <v>0.55583699264967379</v>
      </c>
    </row>
    <row r="70" spans="2:20" ht="20.149999999999999" hidden="1" customHeight="1" outlineLevel="1" x14ac:dyDescent="0.25">
      <c r="B70" s="204"/>
      <c r="C70" s="9"/>
      <c r="D70" s="14" t="s">
        <v>96</v>
      </c>
      <c r="E70" s="7"/>
      <c r="F70" s="20">
        <v>-5.2351025655626104E-2</v>
      </c>
      <c r="G70" s="20">
        <v>-9.3800548302475445E-2</v>
      </c>
      <c r="H70" s="20">
        <v>-2.9386933057782183E-3</v>
      </c>
      <c r="I70" s="7"/>
      <c r="J70" s="20">
        <f>-(SUM([1]H7!$AC$33:$AK$33)/1000)/J65</f>
        <v>6.9064800921059752E-2</v>
      </c>
      <c r="K70" s="20">
        <f>-(SUM([1]H7!$AC$34:$AK$34)/1000)/K65</f>
        <v>-0.1528266878736399</v>
      </c>
      <c r="L70" s="20">
        <f>-(SUM([1]H7!$AC$35:$AK$35)/1000)/L65</f>
        <v>-4.1178603053019146E-2</v>
      </c>
      <c r="M70" s="7"/>
      <c r="N70" s="20">
        <v>-5.2351025655626104E-2</v>
      </c>
      <c r="O70" s="20">
        <v>-9.3800548302475445E-2</v>
      </c>
      <c r="P70" s="20">
        <v>-2.9386933057782183E-3</v>
      </c>
      <c r="Q70" s="7"/>
      <c r="R70" s="20">
        <f>-(SUM([1]H7!$FA$33:$FI$33)/1000)/R65</f>
        <v>0.12013543522691691</v>
      </c>
      <c r="S70" s="20">
        <f>-(SUM([1]H7!$FA$34:$FI$34)/1000)/S65</f>
        <v>1.0068954891201781E-2</v>
      </c>
      <c r="T70" s="20">
        <f>-(SUM([1]H7!$FA$35:$FI$35)/1000)/T65</f>
        <v>-4.1178603053019111E-2</v>
      </c>
    </row>
    <row r="71" spans="2:20" ht="20.149999999999999" hidden="1" customHeight="1" outlineLevel="2" x14ac:dyDescent="0.25">
      <c r="B71" s="204"/>
      <c r="C71" s="9"/>
      <c r="D71" s="15" t="s">
        <v>87</v>
      </c>
      <c r="E71" s="7"/>
      <c r="F71" s="20">
        <v>0.1593842372206726</v>
      </c>
      <c r="G71" s="20">
        <v>0.16249233029683222</v>
      </c>
      <c r="H71" s="20">
        <v>0.16586500507764584</v>
      </c>
      <c r="I71" s="7"/>
      <c r="J71" s="20">
        <f>-(SUM([1]H7!$AL$33:$AN$33)/1000)/J65</f>
        <v>0.24060349429393957</v>
      </c>
      <c r="K71" s="20">
        <f>-(SUM([1]H7!$AL$34:$AN$34)/1000)/K65</f>
        <v>0.23826990698542785</v>
      </c>
      <c r="L71" s="20">
        <f>-(SUM([1]H7!$AL$35:$AN$35)/1000)/L65</f>
        <v>0.26165138559172724</v>
      </c>
      <c r="M71" s="7"/>
      <c r="N71" s="20">
        <v>0.1593842372206726</v>
      </c>
      <c r="O71" s="20">
        <v>0.16249233029683222</v>
      </c>
      <c r="P71" s="20">
        <v>0.16586500507764584</v>
      </c>
      <c r="Q71" s="7"/>
      <c r="R71" s="20">
        <f>-(SUM([1]H7!$FJ$33:$FL$33)/1000)/R65</f>
        <v>0.23869818051869932</v>
      </c>
      <c r="S71" s="20">
        <f>-(SUM([1]H7!$FJ$34:$FL$34)/1000)/S65</f>
        <v>0.23651766498394741</v>
      </c>
      <c r="T71" s="20">
        <f>-(SUM([1]H7!$FJ$35:$FL$35)/1000)/T65</f>
        <v>0.26165138559172729</v>
      </c>
    </row>
    <row r="72" spans="2:20" ht="20.149999999999999" hidden="1" customHeight="1" outlineLevel="2" x14ac:dyDescent="0.25">
      <c r="B72" s="204"/>
      <c r="C72" s="9"/>
      <c r="D72" s="15" t="s">
        <v>88</v>
      </c>
      <c r="E72" s="7"/>
      <c r="F72" s="20">
        <v>9.5952978914166626E-2</v>
      </c>
      <c r="G72" s="20">
        <v>0.10808077408133257</v>
      </c>
      <c r="H72" s="20">
        <v>0.10585752916389896</v>
      </c>
      <c r="I72" s="7"/>
      <c r="J72" s="20">
        <f>-(SUM([1]H7!$AO$33:$AR$33)/1000)/J65</f>
        <v>0.15670955669593739</v>
      </c>
      <c r="K72" s="20">
        <f>-(SUM([1]H7!$AO$34:$AR$34)/1000)/K65</f>
        <v>0.22829110529229421</v>
      </c>
      <c r="L72" s="20">
        <f>-(SUM([1]H7!$AO$35:$AR$35)/1000)/L65</f>
        <v>0.18033494294033844</v>
      </c>
      <c r="M72" s="7"/>
      <c r="N72" s="20">
        <v>9.5952978914166626E-2</v>
      </c>
      <c r="O72" s="20">
        <v>0.10808077408133257</v>
      </c>
      <c r="P72" s="20">
        <v>0.10585752916389896</v>
      </c>
      <c r="Q72" s="7"/>
      <c r="R72" s="20">
        <f>-(SUM([1]H7!$FM$33:$FP$33)/1000)/R65</f>
        <v>0.15616623877474198</v>
      </c>
      <c r="S72" s="20">
        <f>-(SUM([1]H7!$FM$34:$FP$34)/1000)/S65</f>
        <v>0.22431805853739706</v>
      </c>
      <c r="T72" s="20">
        <f>-(SUM([1]H7!$FM$35:$FP$35)/1000)/T65</f>
        <v>0.18033494294033842</v>
      </c>
    </row>
    <row r="73" spans="2:20" ht="20.149999999999999" hidden="1" customHeight="1" outlineLevel="1" x14ac:dyDescent="0.25">
      <c r="B73" s="204"/>
      <c r="C73" s="9"/>
      <c r="D73" s="14" t="s">
        <v>97</v>
      </c>
      <c r="E73" s="7"/>
      <c r="F73" s="20">
        <v>0.25533721613483923</v>
      </c>
      <c r="G73" s="20">
        <v>0.27057310437816473</v>
      </c>
      <c r="H73" s="20">
        <v>0.27172253424154474</v>
      </c>
      <c r="I73" s="7"/>
      <c r="J73" s="20">
        <f>+J71+J72</f>
        <v>0.39731305098987696</v>
      </c>
      <c r="K73" s="20">
        <f>+K71+K72</f>
        <v>0.46656101227772206</v>
      </c>
      <c r="L73" s="20">
        <f>+L71+L72</f>
        <v>0.44198632853206565</v>
      </c>
      <c r="M73" s="7"/>
      <c r="N73" s="20">
        <v>0.25533721613483923</v>
      </c>
      <c r="O73" s="20">
        <v>0.27057310437816473</v>
      </c>
      <c r="P73" s="20">
        <v>0.27172253424154474</v>
      </c>
      <c r="Q73" s="7"/>
      <c r="R73" s="20">
        <f>+R71+R72</f>
        <v>0.39486441929344129</v>
      </c>
      <c r="S73" s="20">
        <f>+S71+S72</f>
        <v>0.4608357235213445</v>
      </c>
      <c r="T73" s="20">
        <f>+T71+T72</f>
        <v>0.44198632853206571</v>
      </c>
    </row>
    <row r="74" spans="2:20" ht="20.149999999999999" hidden="1" customHeight="1" outlineLevel="1" x14ac:dyDescent="0.25">
      <c r="B74" s="204"/>
      <c r="C74" s="9"/>
      <c r="D74" s="14" t="s">
        <v>90</v>
      </c>
      <c r="E74" s="7"/>
      <c r="F74" s="20"/>
      <c r="G74" s="20"/>
      <c r="H74" s="20"/>
      <c r="I74" s="7"/>
      <c r="J74" s="20">
        <f>-(SUM([1]H7!$AT$33:$BJ$33)/1000/J65)</f>
        <v>8.9239849234596852E-2</v>
      </c>
      <c r="K74" s="20">
        <f>-(SUM([1]H7!$AT$34:$BJ$34)/1000/K65)</f>
        <v>0.10654058035128958</v>
      </c>
      <c r="L74" s="20">
        <f>-(SUM([1]H7!$AT$35:$BJ$35)/1000/L65)</f>
        <v>1.9669672579936064E-2</v>
      </c>
      <c r="M74" s="7"/>
      <c r="N74" s="20"/>
      <c r="O74" s="20"/>
      <c r="P74" s="20"/>
      <c r="Q74" s="7"/>
      <c r="R74" s="20">
        <f>-(SUM([1]H7!$FR$33:$GH$33)/1000/R65)</f>
        <v>8.0149453716108598E-2</v>
      </c>
      <c r="S74" s="20">
        <f>-(SUM([1]H7!$FR$34:$GH$34)/1000/S65)</f>
        <v>0.10804572995774214</v>
      </c>
      <c r="T74" s="20">
        <f>-(SUM([1]H7!$FR$35:$GH$35)/1000/T65)</f>
        <v>1.9669672579936036E-2</v>
      </c>
    </row>
    <row r="75" spans="2:20" ht="20.149999999999999" hidden="1" customHeight="1" outlineLevel="1" x14ac:dyDescent="0.25">
      <c r="B75" s="204"/>
      <c r="C75" s="9"/>
      <c r="D75" s="14" t="s">
        <v>79</v>
      </c>
      <c r="E75" s="8"/>
      <c r="F75" s="20">
        <v>0.7802308326283719</v>
      </c>
      <c r="G75" s="20">
        <v>0.69610715583619387</v>
      </c>
      <c r="H75" s="20">
        <v>0.91945398903326336</v>
      </c>
      <c r="I75" s="8"/>
      <c r="J75" s="20">
        <f>+J69+J70+J73+J74</f>
        <v>1.0078689427082608</v>
      </c>
      <c r="K75" s="20">
        <f>+K69+K70+K73+K74</f>
        <v>0.94035844409792402</v>
      </c>
      <c r="L75" s="20">
        <f>+L69+L70+L73+L74</f>
        <v>0.97631439070865644</v>
      </c>
      <c r="M75" s="8"/>
      <c r="N75" s="20">
        <v>0.7802308326283719</v>
      </c>
      <c r="O75" s="20">
        <v>0.69610715583619387</v>
      </c>
      <c r="P75" s="20">
        <v>0.91945398903326336</v>
      </c>
      <c r="Q75" s="8"/>
      <c r="R75" s="20">
        <f>+R69+R70+R73+R74</f>
        <v>1.2370288080276564</v>
      </c>
      <c r="S75" s="20">
        <f>+S69+S70+S73+S74</f>
        <v>1.1024743312907417</v>
      </c>
      <c r="T75" s="20">
        <f>+T69+T70+T73+T74</f>
        <v>0.97631439070865633</v>
      </c>
    </row>
    <row r="76" spans="2:20" ht="19.5" hidden="1" customHeight="1" outlineLevel="1" x14ac:dyDescent="0.25">
      <c r="B76" s="204"/>
      <c r="C76" s="9"/>
      <c r="D76" s="14" t="s">
        <v>34</v>
      </c>
      <c r="E76" s="6"/>
      <c r="F76" s="19">
        <v>42.037429050000036</v>
      </c>
      <c r="G76" s="19">
        <v>54.204268909999989</v>
      </c>
      <c r="H76" s="19">
        <v>13.704392154220848</v>
      </c>
      <c r="I76" s="6"/>
      <c r="J76" s="19">
        <f>+[1]H7!$BK$33/1000</f>
        <v>-0.11199242000000822</v>
      </c>
      <c r="K76" s="19">
        <f>+[1]H7!$BK$34/1000</f>
        <v>0.84647411999998778</v>
      </c>
      <c r="L76" s="19">
        <f>+[1]H7!$BK$35/1000</f>
        <v>0.37826516828113038</v>
      </c>
      <c r="M76" s="6"/>
      <c r="N76" s="19">
        <v>42.037429050000036</v>
      </c>
      <c r="O76" s="19">
        <v>54.204268909999989</v>
      </c>
      <c r="P76" s="19">
        <v>13.704392154220848</v>
      </c>
      <c r="Q76" s="6"/>
      <c r="R76" s="19">
        <f>+[1]H7!$GI$33/1000</f>
        <v>-1.1570416700000035</v>
      </c>
      <c r="S76" s="19">
        <f>+[1]H7!$GI$34/1000</f>
        <v>-0.49813363000000882</v>
      </c>
      <c r="T76" s="19">
        <f>+[1]H7!$GI$35/1000</f>
        <v>0.1260883894270437</v>
      </c>
    </row>
    <row r="77" spans="2:20" ht="7.5" hidden="1" customHeight="1" outlineLevel="2" x14ac:dyDescent="0.25"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2:20" ht="19.5" hidden="1" customHeight="1" outlineLevel="1" x14ac:dyDescent="0.25">
      <c r="B78" s="204" t="s">
        <v>101</v>
      </c>
      <c r="C78" s="9"/>
      <c r="D78" s="14" t="s">
        <v>19</v>
      </c>
      <c r="E78" s="6"/>
      <c r="F78" s="19">
        <v>20.927521469999995</v>
      </c>
      <c r="G78" s="19">
        <v>19.98443919</v>
      </c>
      <c r="H78" s="19">
        <v>18.16505169698857</v>
      </c>
      <c r="I78" s="6"/>
      <c r="J78" s="19">
        <f>+[1]H7!$C$37/1000</f>
        <v>2.46343E-3</v>
      </c>
      <c r="K78" s="19">
        <f>+[1]H7!$C$38/1000</f>
        <v>3.6837400000000005E-3</v>
      </c>
      <c r="L78" s="19">
        <f>+[1]H7!$C$39/1000</f>
        <v>0</v>
      </c>
      <c r="M78" s="6"/>
      <c r="N78" s="19">
        <v>20.927521469999995</v>
      </c>
      <c r="O78" s="19">
        <v>19.98443919</v>
      </c>
      <c r="P78" s="19">
        <v>18.16505169698857</v>
      </c>
      <c r="Q78" s="6"/>
      <c r="R78" s="19">
        <f>+[1]H7!$EA$37/1000</f>
        <v>1.0253999999999986E-4</v>
      </c>
      <c r="S78" s="19">
        <f>+[1]H7!$EA$38/1000</f>
        <v>1.4890000000000026E-4</v>
      </c>
      <c r="T78" s="19">
        <f>+[1]H7!$EA$39/1000</f>
        <v>0</v>
      </c>
    </row>
    <row r="79" spans="2:20" ht="20.149999999999999" hidden="1" customHeight="1" outlineLevel="1" x14ac:dyDescent="0.25">
      <c r="B79" s="204"/>
      <c r="C79" s="9"/>
      <c r="D79" s="14" t="s">
        <v>20</v>
      </c>
      <c r="E79" s="6"/>
      <c r="F79" s="19">
        <v>20.145695379999996</v>
      </c>
      <c r="G79" s="19">
        <v>18.32074828</v>
      </c>
      <c r="H79" s="19">
        <v>17.080880080651021</v>
      </c>
      <c r="I79" s="6"/>
      <c r="J79" s="19">
        <f>+[1]H7!$N$37/1000</f>
        <v>1.4849299999999998E-3</v>
      </c>
      <c r="K79" s="19">
        <f>+[1]H7!$N$38/1000</f>
        <v>2.1137199999999991E-3</v>
      </c>
      <c r="L79" s="19">
        <f>+[1]H7!$N$39/1000</f>
        <v>0</v>
      </c>
      <c r="M79" s="6"/>
      <c r="N79" s="19">
        <v>20.145695379999996</v>
      </c>
      <c r="O79" s="19">
        <v>18.32074828</v>
      </c>
      <c r="P79" s="19">
        <v>17.080880080651021</v>
      </c>
      <c r="Q79" s="6"/>
      <c r="R79" s="19">
        <f>+[1]H7!$EL$37/1000</f>
        <v>4.6835999999999991E-4</v>
      </c>
      <c r="S79" s="19">
        <f>+[1]H7!$EL$38/1000</f>
        <v>5.6698000000000024E-4</v>
      </c>
      <c r="T79" s="19">
        <f>+[1]H7!$EL$39/1000</f>
        <v>0</v>
      </c>
    </row>
    <row r="80" spans="2:20" ht="19.5" hidden="1" customHeight="1" outlineLevel="1" x14ac:dyDescent="0.25">
      <c r="B80" s="204"/>
      <c r="C80" s="9"/>
      <c r="D80" s="14" t="s">
        <v>82</v>
      </c>
      <c r="E80" s="6"/>
      <c r="F80" s="20">
        <f>F83-F81-F82</f>
        <v>0.61955878487029936</v>
      </c>
      <c r="G80" s="20">
        <f>G83-G81-G82</f>
        <v>0.61904819479349349</v>
      </c>
      <c r="H80" s="20">
        <f>H83-H81-H82</f>
        <v>0.51426139191916054</v>
      </c>
      <c r="I80" s="6"/>
      <c r="J80" s="20">
        <f>-(SUM([1]H7!$O$37,[1]H7!$R$37:$V$37,[1]H7!$Y$37:$AB$37)/1000)/J79</f>
        <v>-13.46858101055269</v>
      </c>
      <c r="K80" s="20">
        <f>-(SUM([1]H7!$O$38,[1]H7!$R$38:$V$38,[1]H7!$Y$38:$AB$38)/1000)/K79</f>
        <v>2.1951819540904183E-3</v>
      </c>
      <c r="L80" s="20" t="e">
        <f>-(SUM([1]H7!$O$39,[1]H7!$R$39:$V$39,[1]H7!$Y$39:$AB$39)/1000)/L79</f>
        <v>#DIV/0!</v>
      </c>
      <c r="M80" s="6"/>
      <c r="N80" s="20">
        <f>N83-N81-N82</f>
        <v>0.61955878487029936</v>
      </c>
      <c r="O80" s="20">
        <f>O83-O81-O82</f>
        <v>0.61904819479349349</v>
      </c>
      <c r="P80" s="20">
        <f>P83-P81-P82</f>
        <v>0.51426139191916054</v>
      </c>
      <c r="Q80" s="6"/>
      <c r="R80" s="20">
        <f>-(SUM([1]H7!$EM$37,[1]H7!$EP$37:$ET$37,[1]H7!$EW$37:$EZ$37)/1000)/R79</f>
        <v>-42.702194892817502</v>
      </c>
      <c r="S80" s="20">
        <f>-(SUM([1]H7!$EM$38,[1]H7!$EP$38:$ET$38,[1]H7!$EW$38:$EZ$38)/1000)/S79</f>
        <v>-5.1730219760838102E-2</v>
      </c>
      <c r="T80" s="20" t="e">
        <f>-(SUM([1]H7!$EM$39,[1]H7!$EP$39:$ET$39,[1]H7!$EW$39:$EZ$39)/1000)/T79</f>
        <v>#DIV/0!</v>
      </c>
    </row>
    <row r="81" spans="2:20" ht="19.5" hidden="1" customHeight="1" outlineLevel="1" x14ac:dyDescent="0.25">
      <c r="B81" s="204"/>
      <c r="C81" s="9"/>
      <c r="D81" s="14" t="s">
        <v>83</v>
      </c>
      <c r="E81" s="6"/>
      <c r="F81" s="20">
        <f>IFERROR(SUM(INDEX(LL_TOT_BR_YTD,7,Month),INDEX(LL_IBNR_TOT_BR_YTD,7,Month))/F79,0)</f>
        <v>0</v>
      </c>
      <c r="G81" s="20">
        <f>IFERROR(SUM(INDEX(LL_TOT_BR_YTD_PREV,7,Month),INDEX(LL_IBNR_TOT_BR_YTD_PREV,7,Month))/G79,0)</f>
        <v>0</v>
      </c>
      <c r="H81" s="20">
        <f>IFERROR(SUM(INDEX(LL_TOT_BR_YTD_PLAN,7,Month),INDEX(LL_IBNR_TOT_BR_YTD_PLAN,7,Month))/H79,0)</f>
        <v>0</v>
      </c>
      <c r="I81" s="6"/>
      <c r="J81" s="20">
        <f>-(SUM([1]H7!$Q$37,[1]H7!$X$37)/1000)/J79</f>
        <v>0</v>
      </c>
      <c r="K81" s="20">
        <f>-(SUM([1]H7!$Q$38,[1]H7!$X$38)/1000)/K79</f>
        <v>0</v>
      </c>
      <c r="L81" s="20" t="e">
        <f>-(SUM([1]H7!$Q$39,[1]H7!$X$39)/1000)/L79</f>
        <v>#DIV/0!</v>
      </c>
      <c r="M81" s="6"/>
      <c r="N81" s="20">
        <f>IFERROR(SUM(INDEX(LL_TOT_BR_YTD,7,Month),INDEX(LL_IBNR_TOT_BR_YTD,7,Month))/N79,0)</f>
        <v>0</v>
      </c>
      <c r="O81" s="20">
        <f>IFERROR(SUM(INDEX(LL_TOT_BR_YTD_PREV,7,Month),INDEX(LL_IBNR_TOT_BR_YTD_PREV,7,Month))/O79,0)</f>
        <v>0</v>
      </c>
      <c r="P81" s="20">
        <f>IFERROR(SUM(INDEX(LL_TOT_BR_YTD_PLAN,7,Month),INDEX(LL_IBNR_TOT_BR_YTD_PLAN,7,Month))/P79,0)</f>
        <v>0</v>
      </c>
      <c r="Q81" s="6"/>
      <c r="R81" s="20">
        <f>-(SUM([1]H7!$EO$37,[1]H7!$EV$37)/1000)/R79</f>
        <v>0</v>
      </c>
      <c r="S81" s="20">
        <f>-(SUM([1]H7!$EO$38,[1]H7!$EV$38)/1000)/S79</f>
        <v>0</v>
      </c>
      <c r="T81" s="20" t="e">
        <f>-(SUM([1]H7!$EO$39,[1]H7!$EV$39)/1000)/T79</f>
        <v>#DIV/0!</v>
      </c>
    </row>
    <row r="82" spans="2:20" ht="19.5" hidden="1" customHeight="1" outlineLevel="1" x14ac:dyDescent="0.25">
      <c r="B82" s="204"/>
      <c r="C82" s="9"/>
      <c r="D82" s="14" t="s">
        <v>84</v>
      </c>
      <c r="E82" s="6"/>
      <c r="F82" s="20">
        <f>0</f>
        <v>0</v>
      </c>
      <c r="G82" s="20">
        <f>0</f>
        <v>0</v>
      </c>
      <c r="H82" s="20">
        <f>0</f>
        <v>0</v>
      </c>
      <c r="I82" s="6"/>
      <c r="J82" s="20">
        <f>-(SUM([1]H7!$P$37,[1]H7!$W$37)/1000)/J79</f>
        <v>0</v>
      </c>
      <c r="K82" s="20">
        <f>-(SUM([1]H7!$P$38,[1]H7!$W$38)/1000)/K79</f>
        <v>0</v>
      </c>
      <c r="L82" s="20" t="e">
        <f>-(SUM([1]H7!$P$39,[1]H7!$W$39)/1000)/L79</f>
        <v>#DIV/0!</v>
      </c>
      <c r="M82" s="6"/>
      <c r="N82" s="20">
        <f>0</f>
        <v>0</v>
      </c>
      <c r="O82" s="20">
        <f>0</f>
        <v>0</v>
      </c>
      <c r="P82" s="20">
        <f>0</f>
        <v>0</v>
      </c>
      <c r="Q82" s="6"/>
      <c r="R82" s="20">
        <f>-(SUM([1]H7!$EN$37,[1]H7!$EU$37)/1000)/R79</f>
        <v>0</v>
      </c>
      <c r="S82" s="20">
        <f>-(SUM([1]H7!$EN$38,[1]H7!$EU$38)/1000)/S79</f>
        <v>0</v>
      </c>
      <c r="T82" s="20" t="e">
        <f>-(SUM([1]H7!$EN$39,[1]H7!$EU$39)/1000)/T79</f>
        <v>#DIV/0!</v>
      </c>
    </row>
    <row r="83" spans="2:20" ht="19.5" hidden="1" customHeight="1" outlineLevel="2" x14ac:dyDescent="0.25">
      <c r="B83" s="204"/>
      <c r="C83" s="9"/>
      <c r="D83" s="14" t="s">
        <v>85</v>
      </c>
      <c r="E83" s="7"/>
      <c r="F83" s="20">
        <v>0.61955878487029936</v>
      </c>
      <c r="G83" s="20">
        <v>0.61904819479349349</v>
      </c>
      <c r="H83" s="20">
        <v>0.51426139191916054</v>
      </c>
      <c r="I83" s="7"/>
      <c r="J83" s="20">
        <f>+J80+J81+J82</f>
        <v>-13.46858101055269</v>
      </c>
      <c r="K83" s="20">
        <f>+K80+K81+K82</f>
        <v>2.1951819540904183E-3</v>
      </c>
      <c r="L83" s="20" t="e">
        <f>+L80+L81+L82</f>
        <v>#DIV/0!</v>
      </c>
      <c r="M83" s="7"/>
      <c r="N83" s="20">
        <v>0.61955878487029936</v>
      </c>
      <c r="O83" s="20">
        <v>0.61904819479349349</v>
      </c>
      <c r="P83" s="20">
        <v>0.51426139191916054</v>
      </c>
      <c r="Q83" s="7"/>
      <c r="R83" s="20">
        <f>+R80+R81+R82</f>
        <v>-42.702194892817502</v>
      </c>
      <c r="S83" s="20">
        <f>+S80+S81+S82</f>
        <v>-5.1730219760838102E-2</v>
      </c>
      <c r="T83" s="20" t="e">
        <f>+T80+T81+T82</f>
        <v>#DIV/0!</v>
      </c>
    </row>
    <row r="84" spans="2:20" ht="20.149999999999999" hidden="1" customHeight="1" outlineLevel="1" x14ac:dyDescent="0.25">
      <c r="B84" s="204"/>
      <c r="C84" s="9"/>
      <c r="D84" s="14" t="s">
        <v>86</v>
      </c>
      <c r="E84" s="7"/>
      <c r="F84" s="20">
        <v>-3.1982752535792677E-2</v>
      </c>
      <c r="G84" s="20">
        <v>-5.6615916781757085E-2</v>
      </c>
      <c r="H84" s="20">
        <v>0</v>
      </c>
      <c r="I84" s="7"/>
      <c r="J84" s="20">
        <f>-(SUM([1]H7!$AC$37:$AK$37)/1000)/J79</f>
        <v>2.8149475059430416E-2</v>
      </c>
      <c r="K84" s="20">
        <f>-(SUM([1]H7!$AC$38:$AK$38)/1000)/K79</f>
        <v>-1.8308952936055877E-3</v>
      </c>
      <c r="L84" s="20" t="e">
        <f>-(SUM([1]H7!$AC$39:$AK$39)/1000)/L79</f>
        <v>#DIV/0!</v>
      </c>
      <c r="M84" s="7"/>
      <c r="N84" s="20">
        <v>-3.1982752535792677E-2</v>
      </c>
      <c r="O84" s="20">
        <v>-5.6615916781757085E-2</v>
      </c>
      <c r="P84" s="20">
        <v>0</v>
      </c>
      <c r="Q84" s="7"/>
      <c r="R84" s="20">
        <f>-(SUM([1]H7!$FA$37:$FI$37)/1000)/R79</f>
        <v>0</v>
      </c>
      <c r="S84" s="20">
        <f>-(SUM([1]H7!$FA$38:$FI$38)/1000)/S79</f>
        <v>2.89428198525521E-2</v>
      </c>
      <c r="T84" s="20" t="e">
        <f>-(SUM([1]H7!$FA$39:$FI$39)/1000)/T79</f>
        <v>#DIV/0!</v>
      </c>
    </row>
    <row r="85" spans="2:20" ht="20.149999999999999" hidden="1" customHeight="1" outlineLevel="2" x14ac:dyDescent="0.25">
      <c r="B85" s="204"/>
      <c r="C85" s="9"/>
      <c r="D85" s="15" t="s">
        <v>87</v>
      </c>
      <c r="E85" s="7"/>
      <c r="F85" s="20">
        <v>0.13755634083254961</v>
      </c>
      <c r="G85" s="20">
        <v>0.14024780706173212</v>
      </c>
      <c r="H85" s="20">
        <v>0.13207104343289405</v>
      </c>
      <c r="I85" s="7"/>
      <c r="J85" s="20">
        <f>-(SUM([1]H7!$AL$37:$AN$37)/1000)/J79</f>
        <v>0.94489302526045027</v>
      </c>
      <c r="K85" s="20">
        <f>-(SUM([1]H7!$AL$38:$AN$38)/1000)/K79</f>
        <v>0.36865810041065056</v>
      </c>
      <c r="L85" s="20" t="e">
        <f>-(SUM([1]H7!$AL$39:$AN$39)/1000)/L79</f>
        <v>#DIV/0!</v>
      </c>
      <c r="M85" s="7"/>
      <c r="N85" s="20">
        <v>0.13755634083254961</v>
      </c>
      <c r="O85" s="20">
        <v>0.14024780706173212</v>
      </c>
      <c r="P85" s="20">
        <v>0.13207104343289405</v>
      </c>
      <c r="Q85" s="7"/>
      <c r="R85" s="20">
        <f>-(SUM([1]H7!$FJ$37:$FL$37)/1000)/R79</f>
        <v>2.1971346827226923</v>
      </c>
      <c r="S85" s="20">
        <f>-(SUM([1]H7!$FJ$38:$FL$38)/1000)/S79</f>
        <v>0.3673321810293122</v>
      </c>
      <c r="T85" s="20" t="e">
        <f>-(SUM([1]H7!$FJ$39:$FL$39)/1000)/T79</f>
        <v>#DIV/0!</v>
      </c>
    </row>
    <row r="86" spans="2:20" ht="20.149999999999999" hidden="1" customHeight="1" outlineLevel="2" x14ac:dyDescent="0.25">
      <c r="B86" s="204"/>
      <c r="C86" s="9"/>
      <c r="D86" s="15" t="s">
        <v>88</v>
      </c>
      <c r="E86" s="7"/>
      <c r="F86" s="20">
        <v>0.10336675159236923</v>
      </c>
      <c r="G86" s="20">
        <v>0.10474770739003897</v>
      </c>
      <c r="H86" s="20">
        <v>0.13046914903398416</v>
      </c>
      <c r="I86" s="7"/>
      <c r="J86" s="20">
        <f>-(SUM([1]H7!$AO$37:$AR$37)/1000)/J79</f>
        <v>1.0774918683035566E-4</v>
      </c>
      <c r="K86" s="20">
        <f>-(SUM([1]H7!$AO$38:$AR$38)/1000)/K79</f>
        <v>0.23313400071911142</v>
      </c>
      <c r="L86" s="20" t="e">
        <f>-(SUM([1]H7!$AO$39:$AR$39)/1000)/L79</f>
        <v>#DIV/0!</v>
      </c>
      <c r="M86" s="7"/>
      <c r="N86" s="20">
        <v>0.10336675159236923</v>
      </c>
      <c r="O86" s="20">
        <v>0.10474770739003897</v>
      </c>
      <c r="P86" s="20">
        <v>0.13046914903398416</v>
      </c>
      <c r="Q86" s="7"/>
      <c r="R86" s="20">
        <f>-(SUM([1]H7!$FM$37:$FP$37)/1000)/R79</f>
        <v>0</v>
      </c>
      <c r="S86" s="20">
        <f>-(SUM([1]H7!$FM$38:$FP$38)/1000)/S79</f>
        <v>0.28738227097957592</v>
      </c>
      <c r="T86" s="20" t="e">
        <f>-(SUM([1]H7!$FM$39:$FP$39)/1000)/T79</f>
        <v>#DIV/0!</v>
      </c>
    </row>
    <row r="87" spans="2:20" ht="20.149999999999999" hidden="1" customHeight="1" outlineLevel="1" x14ac:dyDescent="0.25">
      <c r="B87" s="204"/>
      <c r="C87" s="9"/>
      <c r="D87" s="14" t="s">
        <v>89</v>
      </c>
      <c r="E87" s="7"/>
      <c r="F87" s="20">
        <v>0.2409230924249188</v>
      </c>
      <c r="G87" s="20">
        <v>0.24499551445177109</v>
      </c>
      <c r="H87" s="20">
        <v>0.26254019246687821</v>
      </c>
      <c r="I87" s="7"/>
      <c r="J87" s="20">
        <f>+J85+J86</f>
        <v>0.94500077444728059</v>
      </c>
      <c r="K87" s="20">
        <f>+K85+K86</f>
        <v>0.601792101129762</v>
      </c>
      <c r="L87" s="20" t="e">
        <f>+L85+L86</f>
        <v>#DIV/0!</v>
      </c>
      <c r="M87" s="7"/>
      <c r="N87" s="20">
        <v>0.2409230924249188</v>
      </c>
      <c r="O87" s="20">
        <v>0.24499551445177109</v>
      </c>
      <c r="P87" s="20">
        <v>0.26254019246687821</v>
      </c>
      <c r="Q87" s="7"/>
      <c r="R87" s="20">
        <f>+R85+R86</f>
        <v>2.1971346827226923</v>
      </c>
      <c r="S87" s="20">
        <f>+S85+S86</f>
        <v>0.65471445200888811</v>
      </c>
      <c r="T87" s="20" t="e">
        <f>+T85+T86</f>
        <v>#DIV/0!</v>
      </c>
    </row>
    <row r="88" spans="2:20" ht="20.149999999999999" hidden="1" customHeight="1" outlineLevel="1" x14ac:dyDescent="0.25">
      <c r="B88" s="204"/>
      <c r="C88" s="9"/>
      <c r="D88" s="14" t="s">
        <v>90</v>
      </c>
      <c r="E88" s="7"/>
      <c r="F88" s="20"/>
      <c r="G88" s="20"/>
      <c r="H88" s="20"/>
      <c r="I88" s="7"/>
      <c r="J88" s="20">
        <f>-(SUM([1]H7!$AT$37:$BJ$37)/1000/J79)</f>
        <v>0</v>
      </c>
      <c r="K88" s="20">
        <f>-(SUM([1]H7!$AT$38:$BJ$38)/1000/K79)</f>
        <v>0</v>
      </c>
      <c r="L88" s="20" t="e">
        <f>-(SUM([1]H7!$AT$39:$BJ$39)/1000/L79)</f>
        <v>#DIV/0!</v>
      </c>
      <c r="M88" s="7"/>
      <c r="N88" s="20"/>
      <c r="O88" s="20"/>
      <c r="P88" s="20"/>
      <c r="Q88" s="7"/>
      <c r="R88" s="20">
        <f>-(SUM([1]H7!$FR$37:$GH$37)/1000/R79)</f>
        <v>0</v>
      </c>
      <c r="S88" s="20">
        <f>-(SUM([1]H7!$FR$38:$GH$38)/1000/S79)</f>
        <v>0</v>
      </c>
      <c r="T88" s="20" t="e">
        <f>-(SUM([1]H7!$FR$39:$GH$39)/1000/T79)</f>
        <v>#DIV/0!</v>
      </c>
    </row>
    <row r="89" spans="2:20" ht="20.149999999999999" hidden="1" customHeight="1" outlineLevel="1" x14ac:dyDescent="0.25">
      <c r="B89" s="204"/>
      <c r="C89" s="9"/>
      <c r="D89" s="14" t="s">
        <v>79</v>
      </c>
      <c r="E89" s="8"/>
      <c r="F89" s="20">
        <v>0.82849912475942544</v>
      </c>
      <c r="G89" s="20">
        <v>0.80742779246350749</v>
      </c>
      <c r="H89" s="20">
        <v>0.77680158438603875</v>
      </c>
      <c r="I89" s="8"/>
      <c r="J89" s="20">
        <f>+J83+J84+J87+J88</f>
        <v>-12.495430761045979</v>
      </c>
      <c r="K89" s="20">
        <f>+K83+K84+K87+K88</f>
        <v>0.60215638779024683</v>
      </c>
      <c r="L89" s="20" t="e">
        <f>+L83+L84+L87+L88</f>
        <v>#DIV/0!</v>
      </c>
      <c r="M89" s="8"/>
      <c r="N89" s="20">
        <v>0.82849912475942544</v>
      </c>
      <c r="O89" s="20">
        <v>0.80742779246350749</v>
      </c>
      <c r="P89" s="20">
        <v>0.77680158438603875</v>
      </c>
      <c r="Q89" s="8"/>
      <c r="R89" s="20">
        <f>+R83+R84+R87+R88</f>
        <v>-40.505060210094811</v>
      </c>
      <c r="S89" s="20">
        <f>+S83+S84+S87+S88</f>
        <v>0.63192705210060207</v>
      </c>
      <c r="T89" s="20" t="e">
        <f>+T83+T84+T87+T88</f>
        <v>#DIV/0!</v>
      </c>
    </row>
    <row r="90" spans="2:20" ht="19.5" hidden="1" customHeight="1" outlineLevel="1" x14ac:dyDescent="0.25">
      <c r="B90" s="204"/>
      <c r="C90" s="9"/>
      <c r="D90" s="14" t="s">
        <v>34</v>
      </c>
      <c r="E90" s="6"/>
      <c r="F90" s="19">
        <v>3.4235248799999982</v>
      </c>
      <c r="G90" s="19">
        <v>3.5300846599999987</v>
      </c>
      <c r="H90" s="19">
        <v>3.8124253712933789</v>
      </c>
      <c r="I90" s="6"/>
      <c r="J90" s="19">
        <f>+[1]H7!$BK$37/1000</f>
        <v>2.0039770000000002E-2</v>
      </c>
      <c r="K90" s="19">
        <f>+[1]H7!$BK$38/1000</f>
        <v>8.4092999999999928E-4</v>
      </c>
      <c r="L90" s="19">
        <f>+[1]H7!$BK$39/1000</f>
        <v>0</v>
      </c>
      <c r="M90" s="6"/>
      <c r="N90" s="19">
        <v>3.4235248799999982</v>
      </c>
      <c r="O90" s="19">
        <v>3.5300846599999987</v>
      </c>
      <c r="P90" s="19">
        <v>3.8124253712933789</v>
      </c>
      <c r="Q90" s="6"/>
      <c r="R90" s="19">
        <f>+[1]H7!$GI$37/1000</f>
        <v>1.9439309999999998E-2</v>
      </c>
      <c r="S90" s="19">
        <f>+[1]H7!$GI$38/1000</f>
        <v>2.086900000000008E-4</v>
      </c>
      <c r="T90" s="19">
        <f>+[1]H7!$GI$39/1000</f>
        <v>0</v>
      </c>
    </row>
    <row r="91" spans="2:20" ht="7.5" hidden="1" customHeight="1" outlineLevel="1" x14ac:dyDescent="0.25">
      <c r="C91" s="9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2:20" ht="19.5" customHeight="1" collapsed="1" x14ac:dyDescent="0.25">
      <c r="B92" s="204" t="s">
        <v>102</v>
      </c>
      <c r="C92" s="9"/>
      <c r="D92" s="14" t="s">
        <v>19</v>
      </c>
      <c r="E92" s="6"/>
      <c r="F92" s="19">
        <v>73.936491399999994</v>
      </c>
      <c r="G92" s="19">
        <v>67.736238929999985</v>
      </c>
      <c r="H92" s="19">
        <v>64.262486641781877</v>
      </c>
      <c r="I92" s="6"/>
      <c r="J92" s="19">
        <f>+[1]H7!$C$41/1000</f>
        <v>9.8919246400000009</v>
      </c>
      <c r="K92" s="19">
        <f>+[1]H7!$C$42/1000</f>
        <v>9.6308310000000006</v>
      </c>
      <c r="L92" s="19">
        <f>+[1]H7!$C$43/1000</f>
        <v>9.6739899999999999</v>
      </c>
      <c r="M92" s="6"/>
      <c r="N92" s="19">
        <v>73.936491399999994</v>
      </c>
      <c r="O92" s="19">
        <v>67.736238929999985</v>
      </c>
      <c r="P92" s="19">
        <v>64.262486641781877</v>
      </c>
      <c r="Q92" s="6"/>
      <c r="R92" s="19">
        <f>+[1]H7!$EA$41/1000</f>
        <v>0.97941895000000112</v>
      </c>
      <c r="S92" s="19">
        <f>+[1]H7!$EA$42/1000</f>
        <v>0.84158773000000109</v>
      </c>
      <c r="T92" s="19">
        <f>+[1]H7!$EA$43/1000</f>
        <v>1.1144899999999998</v>
      </c>
    </row>
    <row r="93" spans="2:20" ht="20.149999999999999" customHeight="1" x14ac:dyDescent="0.25">
      <c r="B93" s="204"/>
      <c r="C93" s="9"/>
      <c r="D93" s="14" t="s">
        <v>20</v>
      </c>
      <c r="E93" s="6"/>
      <c r="F93" s="19">
        <v>71.393375890000002</v>
      </c>
      <c r="G93" s="19">
        <v>64.477333239999979</v>
      </c>
      <c r="H93" s="19">
        <v>61.30179304965408</v>
      </c>
      <c r="I93" s="6"/>
      <c r="J93" s="19">
        <f>+[1]H7!$N$41/1000</f>
        <v>5.5148962899999985</v>
      </c>
      <c r="K93" s="19">
        <f>+[1]H7!$N$42/1000</f>
        <v>5.4930073899999989</v>
      </c>
      <c r="L93" s="19">
        <f>+[1]H7!$N$43/1000</f>
        <v>5.5346893564587232</v>
      </c>
      <c r="M93" s="6"/>
      <c r="N93" s="19">
        <v>71.393375890000002</v>
      </c>
      <c r="O93" s="19">
        <v>64.477333239999979</v>
      </c>
      <c r="P93" s="19">
        <v>61.30179304965408</v>
      </c>
      <c r="Q93" s="6"/>
      <c r="R93" s="19">
        <f>+[1]H7!$EL$41/1000</f>
        <v>1.6719601599999996</v>
      </c>
      <c r="S93" s="19">
        <f>+[1]H7!$EL$42/1000</f>
        <v>1.5222973299999998</v>
      </c>
      <c r="T93" s="19">
        <f>+[1]H7!$EL$43/1000</f>
        <v>1.8448964521529079</v>
      </c>
    </row>
    <row r="94" spans="2:20" ht="19.5" customHeight="1" x14ac:dyDescent="0.25">
      <c r="B94" s="204"/>
      <c r="C94" s="9"/>
      <c r="D94" s="14" t="s">
        <v>92</v>
      </c>
      <c r="E94" s="6"/>
      <c r="F94" s="20">
        <f>F97-F95-F96</f>
        <v>0.60213230266957196</v>
      </c>
      <c r="G94" s="20">
        <f>G97-G95-G96</f>
        <v>0.49213122930950809</v>
      </c>
      <c r="H94" s="20">
        <f>H97-H95-H96</f>
        <v>0.56878005443336044</v>
      </c>
      <c r="I94" s="6"/>
      <c r="J94" s="20">
        <f>-(SUM([1]H7!$O$41,[1]H7!$R$41:$V$41,[1]H7!$Y$41:$AB$41)/1000)/J93</f>
        <v>0.31630048366859298</v>
      </c>
      <c r="K94" s="20">
        <f>-(SUM([1]H7!$O$42,[1]H7!$R$42:$V$42,[1]H7!$Y$42:$AB$42)/1000)/K93</f>
        <v>0.32693705225175285</v>
      </c>
      <c r="L94" s="20">
        <f>-(SUM([1]H7!$O$43,[1]H7!$R$43:$V$43,[1]H7!$Y$43:$AB$43)/1000)/L93</f>
        <v>0.36822008476632201</v>
      </c>
      <c r="M94" s="6"/>
      <c r="N94" s="20">
        <f>N97-N95-N96</f>
        <v>0.60213230266957196</v>
      </c>
      <c r="O94" s="20">
        <f>O97-O95-O96</f>
        <v>0.49213122930950809</v>
      </c>
      <c r="P94" s="20">
        <f>P97-P95-P96</f>
        <v>0.56878005443336044</v>
      </c>
      <c r="Q94" s="6"/>
      <c r="R94" s="20">
        <f>-(SUM([1]H7!$EM$41,[1]H7!$EP$41:$ET$41,[1]H7!$EW$41:$EZ$41)/1000)/R93</f>
        <v>0.39646045859539431</v>
      </c>
      <c r="S94" s="20">
        <f>-(SUM([1]H7!$EM$42,[1]H7!$EP$42:$ET$42,[1]H7!$EW$42:$EZ$42)/1000)/S93</f>
        <v>0.35668132163303351</v>
      </c>
      <c r="T94" s="20">
        <f>-(SUM([1]H7!$EM$43,[1]H7!$EP$43:$ET$43,[1]H7!$EW$43:$EZ$43)/1000)/T93</f>
        <v>0.36822008476632212</v>
      </c>
    </row>
    <row r="95" spans="2:20" ht="19.5" customHeight="1" x14ac:dyDescent="0.25">
      <c r="B95" s="204"/>
      <c r="C95" s="9"/>
      <c r="D95" s="14" t="s">
        <v>93</v>
      </c>
      <c r="E95" s="6"/>
      <c r="F95" s="20">
        <f>IFERROR(SUM(INDEX(LL_TOT_BR_YTD,4,Month),INDEX(LL_IBNR_TOT_BR_YTD,4,Month))/F93,0)</f>
        <v>0</v>
      </c>
      <c r="G95" s="20">
        <f>IFERROR(SUM(INDEX(LL_TOT_BR_YTD_PREV,4,Month),INDEX(LL_IBNR_TOT_BR_YTD_PREV,4,Month))/G93,0)</f>
        <v>0</v>
      </c>
      <c r="H95" s="20">
        <f>IFERROR(SUM(INDEX(LL_TOT_BR_YTD_PLAN,4,Month),INDEX(LL_IBNR_TOT_BR_YTD_PLAN,4,Month))/H93,0)</f>
        <v>0</v>
      </c>
      <c r="I95" s="6"/>
      <c r="J95" s="20">
        <f>-(SUM([1]H7!$Q$41,[1]H7!$X$41)/1000)/J93</f>
        <v>5.8710267440200879E-2</v>
      </c>
      <c r="K95" s="20">
        <f>-(SUM([1]H7!$Q$42,[1]H7!$X$42)/1000)/K93</f>
        <v>8.098762195845248E-2</v>
      </c>
      <c r="L95" s="20">
        <f>-(SUM([1]H7!$Q$43,[1]H7!$X$43)/1000)/L93</f>
        <v>8.9205428846176577E-2</v>
      </c>
      <c r="M95" s="6"/>
      <c r="N95" s="20">
        <f>IFERROR(SUM(INDEX(LL_TOT_BR_YTD,4,Month),INDEX(LL_IBNR_TOT_BR_YTD,4,Month))/N93,0)</f>
        <v>0</v>
      </c>
      <c r="O95" s="20">
        <f>IFERROR(SUM(INDEX(LL_TOT_BR_YTD_PREV,4,Month),INDEX(LL_IBNR_TOT_BR_YTD_PREV,4,Month))/O93,0)</f>
        <v>0</v>
      </c>
      <c r="P95" s="20">
        <f>IFERROR(SUM(INDEX(LL_TOT_BR_YTD_PLAN,4,Month),INDEX(LL_IBNR_TOT_BR_YTD_PLAN,4,Month))/P93,0)</f>
        <v>0</v>
      </c>
      <c r="Q95" s="6"/>
      <c r="R95" s="20">
        <f>-(SUM([1]H7!$EO$41,[1]H7!$EV$41)/1000)/R93</f>
        <v>0.11193167916941943</v>
      </c>
      <c r="S95" s="20">
        <f>-(SUM([1]H7!$EO$42,[1]H7!$EV$42)/1000)/S93</f>
        <v>0.10734522303679093</v>
      </c>
      <c r="T95" s="20">
        <f>-(SUM([1]H7!$EO$43,[1]H7!$EV$43)/1000)/T93</f>
        <v>8.9205428846176549E-2</v>
      </c>
    </row>
    <row r="96" spans="2:20" ht="19.5" customHeight="1" x14ac:dyDescent="0.25">
      <c r="B96" s="204"/>
      <c r="C96" s="9"/>
      <c r="D96" s="14" t="s">
        <v>94</v>
      </c>
      <c r="E96" s="6"/>
      <c r="F96" s="20">
        <f>0</f>
        <v>0</v>
      </c>
      <c r="G96" s="20">
        <f>0</f>
        <v>0</v>
      </c>
      <c r="H96" s="20">
        <f>0</f>
        <v>0</v>
      </c>
      <c r="I96" s="6"/>
      <c r="J96" s="20">
        <f>-(SUM([1]H7!$P$41,[1]H7!$W$41)/1000)/J93</f>
        <v>0</v>
      </c>
      <c r="K96" s="20">
        <f>-(SUM([1]H7!$P$42,[1]H7!$W$42)/1000)/K93</f>
        <v>0</v>
      </c>
      <c r="L96" s="20">
        <f>-(SUM([1]H7!$P$43,[1]H7!$W$43)/1000)/L93</f>
        <v>0</v>
      </c>
      <c r="M96" s="6"/>
      <c r="N96" s="20">
        <f>0</f>
        <v>0</v>
      </c>
      <c r="O96" s="20">
        <f>0</f>
        <v>0</v>
      </c>
      <c r="P96" s="20">
        <f>0</f>
        <v>0</v>
      </c>
      <c r="Q96" s="6"/>
      <c r="R96" s="20">
        <f>-(SUM([1]H7!$EN$41,[1]H7!$EU$41)/1000)/R93</f>
        <v>0</v>
      </c>
      <c r="S96" s="20">
        <f>-(SUM([1]H7!$EN$42,[1]H7!$EU$42)/1000)/S93</f>
        <v>0</v>
      </c>
      <c r="T96" s="20">
        <f>-(SUM([1]H7!$EN$43,[1]H7!$EU$43)/1000)/T93</f>
        <v>0</v>
      </c>
    </row>
    <row r="97" spans="2:20" ht="19.5" hidden="1" customHeight="1" outlineLevel="1" x14ac:dyDescent="0.25">
      <c r="B97" s="204"/>
      <c r="C97" s="9"/>
      <c r="D97" s="14" t="s">
        <v>95</v>
      </c>
      <c r="E97" s="7"/>
      <c r="F97" s="20">
        <v>0.60213230266957196</v>
      </c>
      <c r="G97" s="20">
        <v>0.49213122930950809</v>
      </c>
      <c r="H97" s="20">
        <v>0.56878005443336044</v>
      </c>
      <c r="I97" s="7"/>
      <c r="J97" s="20">
        <f>+J94+J95+J96</f>
        <v>0.37501075110879384</v>
      </c>
      <c r="K97" s="20">
        <f>+K94+K95+K96</f>
        <v>0.40792467421020534</v>
      </c>
      <c r="L97" s="20">
        <f>+L94+L95+L96</f>
        <v>0.45742551361249861</v>
      </c>
      <c r="M97" s="7"/>
      <c r="N97" s="20">
        <v>0.60213230266957196</v>
      </c>
      <c r="O97" s="20">
        <v>0.49213122930950809</v>
      </c>
      <c r="P97" s="20">
        <v>0.56878005443336044</v>
      </c>
      <c r="Q97" s="7"/>
      <c r="R97" s="20">
        <f>+R94+R95+R96</f>
        <v>0.50839213776481373</v>
      </c>
      <c r="S97" s="20">
        <f>+S94+S95+S96</f>
        <v>0.46402654466982446</v>
      </c>
      <c r="T97" s="20">
        <f>+T94+T95+T96</f>
        <v>0.45742551361249867</v>
      </c>
    </row>
    <row r="98" spans="2:20" ht="20.149999999999999" customHeight="1" collapsed="1" x14ac:dyDescent="0.25">
      <c r="B98" s="204"/>
      <c r="C98" s="9"/>
      <c r="D98" s="14" t="s">
        <v>96</v>
      </c>
      <c r="E98" s="7"/>
      <c r="F98" s="20">
        <v>-1.8108815753326363E-2</v>
      </c>
      <c r="G98" s="20">
        <v>0.34234992238025652</v>
      </c>
      <c r="H98" s="20">
        <v>-1.6312736548994677E-2</v>
      </c>
      <c r="I98" s="7"/>
      <c r="J98" s="20">
        <f>-(SUM([1]H7!$AC$41:$AK$41)/1000)/J93</f>
        <v>0.14014963280479023</v>
      </c>
      <c r="K98" s="20">
        <f>-(SUM([1]H7!$AC$42:$AK$42)/1000)/K93</f>
        <v>-0.62523264691985092</v>
      </c>
      <c r="L98" s="20">
        <f>-(SUM([1]H7!$AC$43:$AK$43)/1000)/L93</f>
        <v>-1.0773601358380909E-2</v>
      </c>
      <c r="M98" s="7"/>
      <c r="N98" s="20">
        <v>-1.8108815753326363E-2</v>
      </c>
      <c r="O98" s="20">
        <v>0.34234992238025652</v>
      </c>
      <c r="P98" s="20">
        <v>-1.6312736548994677E-2</v>
      </c>
      <c r="Q98" s="7"/>
      <c r="R98" s="20">
        <f>-(SUM([1]H7!$FA$41:$FI$41)/1000)/R93</f>
        <v>1.0376534151387915</v>
      </c>
      <c r="S98" s="20">
        <f>-(SUM([1]H7!$FA$42:$FI$42)/1000)/S93</f>
        <v>-1.052308585471933</v>
      </c>
      <c r="T98" s="20">
        <f>-(SUM([1]H7!$FA$43:$FI$43)/1000)/T93</f>
        <v>-1.0773601358380968E-2</v>
      </c>
    </row>
    <row r="99" spans="2:20" ht="20.149999999999999" hidden="1" customHeight="1" outlineLevel="1" x14ac:dyDescent="0.25">
      <c r="B99" s="204"/>
      <c r="C99" s="9"/>
      <c r="D99" s="15" t="s">
        <v>87</v>
      </c>
      <c r="E99" s="7"/>
      <c r="F99" s="20">
        <v>0.19134969189646484</v>
      </c>
      <c r="G99" s="20">
        <v>0.18797536918727567</v>
      </c>
      <c r="H99" s="20">
        <v>0.19462740988730837</v>
      </c>
      <c r="I99" s="7"/>
      <c r="J99" s="20">
        <f>-(SUM([1]H7!$AL$41:$AN$41)/1000)/J93</f>
        <v>0.23401534174634495</v>
      </c>
      <c r="K99" s="20">
        <f>-(SUM([1]H7!$AL$42:$AN$42)/1000)/K93</f>
        <v>0.23231964921860412</v>
      </c>
      <c r="L99" s="20">
        <f>-(SUM([1]H7!$AL$43:$AN$43)/1000)/L93</f>
        <v>0.23974078002738006</v>
      </c>
      <c r="M99" s="7"/>
      <c r="N99" s="20">
        <v>0.19134969189646484</v>
      </c>
      <c r="O99" s="20">
        <v>0.18797536918727567</v>
      </c>
      <c r="P99" s="20">
        <v>0.19462740988730837</v>
      </c>
      <c r="Q99" s="7"/>
      <c r="R99" s="20">
        <f>-(SUM([1]H7!$FJ$41:$FL$41)/1000)/R93</f>
        <v>0.23687839547564332</v>
      </c>
      <c r="S99" s="20">
        <f>-(SUM([1]H7!$FJ$42:$FL$42)/1000)/S93</f>
        <v>0.23895435722796673</v>
      </c>
      <c r="T99" s="20">
        <f>-(SUM([1]H7!$FJ$43:$FL$43)/1000)/T93</f>
        <v>0.23974078002738003</v>
      </c>
    </row>
    <row r="100" spans="2:20" ht="20.149999999999999" hidden="1" customHeight="1" outlineLevel="1" x14ac:dyDescent="0.25">
      <c r="B100" s="204"/>
      <c r="C100" s="9"/>
      <c r="D100" s="15" t="s">
        <v>88</v>
      </c>
      <c r="E100" s="7"/>
      <c r="F100" s="20">
        <v>0.11007667226870506</v>
      </c>
      <c r="G100" s="20">
        <v>0.13582996240556058</v>
      </c>
      <c r="H100" s="20">
        <v>0.13760084462076994</v>
      </c>
      <c r="I100" s="7"/>
      <c r="J100" s="20">
        <f>-(SUM([1]H7!$AO$41:$AR$41)/1000)/J93</f>
        <v>0.14859529117273756</v>
      </c>
      <c r="K100" s="20">
        <f>-(SUM([1]H7!$AO$42:$AR$42)/1000)/K93</f>
        <v>0.19405070743951794</v>
      </c>
      <c r="L100" s="20">
        <f>-(SUM([1]H7!$AO$43:$AR$43)/1000)/L93</f>
        <v>0.17684529506133687</v>
      </c>
      <c r="M100" s="7"/>
      <c r="N100" s="20">
        <v>0.11007667226870506</v>
      </c>
      <c r="O100" s="20">
        <v>0.13582996240556058</v>
      </c>
      <c r="P100" s="20">
        <v>0.13760084462076994</v>
      </c>
      <c r="Q100" s="7"/>
      <c r="R100" s="20">
        <f>-(SUM([1]H7!$FM$41:$FP$41)/1000)/R93</f>
        <v>0.16526356704576031</v>
      </c>
      <c r="S100" s="20">
        <f>-(SUM([1]H7!$FM$42:$FP$42)/1000)/S93</f>
        <v>0.22898834749976207</v>
      </c>
      <c r="T100" s="20">
        <f>-(SUM([1]H7!$FM$43:$FP$43)/1000)/T93</f>
        <v>0.17684529506133689</v>
      </c>
    </row>
    <row r="101" spans="2:20" ht="20.149999999999999" customHeight="1" collapsed="1" x14ac:dyDescent="0.25">
      <c r="B101" s="204"/>
      <c r="C101" s="9"/>
      <c r="D101" s="14" t="s">
        <v>97</v>
      </c>
      <c r="E101" s="7"/>
      <c r="F101" s="20">
        <v>0.30142636416516988</v>
      </c>
      <c r="G101" s="20">
        <v>0.32380533159283631</v>
      </c>
      <c r="H101" s="20">
        <v>0.3322282545080783</v>
      </c>
      <c r="I101" s="7"/>
      <c r="J101" s="20">
        <f>+J99+J100</f>
        <v>0.38261063291908248</v>
      </c>
      <c r="K101" s="20">
        <f>+K99+K100</f>
        <v>0.42637035665812206</v>
      </c>
      <c r="L101" s="20">
        <f>+L99+L100</f>
        <v>0.41658607508871692</v>
      </c>
      <c r="M101" s="7"/>
      <c r="N101" s="20">
        <v>0.30142636416516988</v>
      </c>
      <c r="O101" s="20">
        <v>0.32380533159283631</v>
      </c>
      <c r="P101" s="20">
        <v>0.3322282545080783</v>
      </c>
      <c r="Q101" s="7"/>
      <c r="R101" s="20">
        <f>+R99+R100</f>
        <v>0.40214196252140366</v>
      </c>
      <c r="S101" s="20">
        <f>+S99+S100</f>
        <v>0.46794270472772881</v>
      </c>
      <c r="T101" s="20">
        <f>+T99+T100</f>
        <v>0.41658607508871692</v>
      </c>
    </row>
    <row r="102" spans="2:20" ht="20.149999999999999" customHeight="1" x14ac:dyDescent="0.25">
      <c r="B102" s="204"/>
      <c r="C102" s="9"/>
      <c r="D102" s="14" t="s">
        <v>90</v>
      </c>
      <c r="E102" s="7"/>
      <c r="F102" s="20"/>
      <c r="G102" s="20"/>
      <c r="H102" s="20"/>
      <c r="I102" s="7"/>
      <c r="J102" s="20">
        <f>-(SUM([1]H7!$AT$41:$BJ$41)/1000/J93)</f>
        <v>2.4267069218086815E-2</v>
      </c>
      <c r="K102" s="20">
        <f>-(SUM([1]H7!$AT$42:$BJ$42)/1000/K93)</f>
        <v>5.2233019114871451E-2</v>
      </c>
      <c r="L102" s="20">
        <f>-(SUM([1]H7!$AT$43:$BJ$43)/1000/L93)</f>
        <v>1.4905135083809183E-2</v>
      </c>
      <c r="M102" s="7"/>
      <c r="N102" s="20"/>
      <c r="O102" s="20"/>
      <c r="P102" s="20"/>
      <c r="Q102" s="7"/>
      <c r="R102" s="20">
        <f>-(SUM([1]H7!$FR$41:$GH$41)/1000/R93)</f>
        <v>3.6391351573831783E-2</v>
      </c>
      <c r="S102" s="20">
        <f>-(SUM([1]H7!$FR$42:$GH$42)/1000/S93)</f>
        <v>6.4558945262027101E-2</v>
      </c>
      <c r="T102" s="20">
        <f>-(SUM([1]H7!$FR$43:$GH$43)/1000/T93)</f>
        <v>1.4905135083809192E-2</v>
      </c>
    </row>
    <row r="103" spans="2:20" ht="20.149999999999999" customHeight="1" x14ac:dyDescent="0.25">
      <c r="B103" s="204"/>
      <c r="C103" s="9"/>
      <c r="D103" s="14" t="s">
        <v>79</v>
      </c>
      <c r="E103" s="8"/>
      <c r="F103" s="20">
        <v>0.88544985108141538</v>
      </c>
      <c r="G103" s="20">
        <v>1.1582864832826012</v>
      </c>
      <c r="H103" s="20">
        <v>0.88469557239244401</v>
      </c>
      <c r="I103" s="8"/>
      <c r="J103" s="20">
        <f>+J97+J98+J101+J102</f>
        <v>0.92203808605075344</v>
      </c>
      <c r="K103" s="20">
        <f>+K97+K98+K101+K102</f>
        <v>0.26129540306334792</v>
      </c>
      <c r="L103" s="20">
        <f>+L97+L98+L101+L102</f>
        <v>0.87814312242664383</v>
      </c>
      <c r="M103" s="8"/>
      <c r="N103" s="20">
        <v>0.88544985108141538</v>
      </c>
      <c r="O103" s="20">
        <v>1.1582864832826012</v>
      </c>
      <c r="P103" s="20">
        <v>0.88469557239244401</v>
      </c>
      <c r="Q103" s="8"/>
      <c r="R103" s="20">
        <f>+R97+R98+R101+R102</f>
        <v>1.9845788669988407</v>
      </c>
      <c r="S103" s="20">
        <f>+S97+S98+S101+S102</f>
        <v>-5.5780390812352643E-2</v>
      </c>
      <c r="T103" s="20">
        <f>+T97+T98+T101+T102</f>
        <v>0.87814312242664383</v>
      </c>
    </row>
    <row r="104" spans="2:20" ht="19.5" customHeight="1" x14ac:dyDescent="0.25">
      <c r="B104" s="204"/>
      <c r="C104" s="9"/>
      <c r="D104" s="14" t="s">
        <v>34</v>
      </c>
      <c r="E104" s="6"/>
      <c r="F104" s="19">
        <v>8.1781218399999922</v>
      </c>
      <c r="G104" s="19">
        <v>-10.205890329999947</v>
      </c>
      <c r="H104" s="19">
        <v>7.0683681589072158</v>
      </c>
      <c r="I104" s="6"/>
      <c r="J104" s="19">
        <f>+[1]H7!$BK$41/1000</f>
        <v>0.42995187000000057</v>
      </c>
      <c r="K104" s="19">
        <f>+[1]H7!$BK$42/1000</f>
        <v>4.0577098099999995</v>
      </c>
      <c r="L104" s="19">
        <f>+[1]H7!$BK$43/1000</f>
        <v>0.67443996331654865</v>
      </c>
      <c r="M104" s="6"/>
      <c r="N104" s="19">
        <v>8.1781218399999922</v>
      </c>
      <c r="O104" s="19">
        <v>-10.205890329999947</v>
      </c>
      <c r="P104" s="19">
        <v>7.0683681589072158</v>
      </c>
      <c r="Q104" s="6"/>
      <c r="R104" s="19">
        <f>+[1]H7!$GI$41/1000</f>
        <v>-1.64617664</v>
      </c>
      <c r="S104" s="19">
        <f>+[1]H7!$GI$42/1000</f>
        <v>1.6072116700000001</v>
      </c>
      <c r="T104" s="19">
        <f>+[1]H7!$GI$43/1000</f>
        <v>0.22481332110551591</v>
      </c>
    </row>
    <row r="105" spans="2:20" ht="7.5" customHeight="1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2:20" ht="19.5" customHeight="1" x14ac:dyDescent="0.25">
      <c r="B106" s="204" t="s">
        <v>103</v>
      </c>
      <c r="C106" s="9"/>
      <c r="D106" s="14" t="s">
        <v>19</v>
      </c>
      <c r="E106" s="6"/>
      <c r="F106" s="19">
        <v>51.071887840000002</v>
      </c>
      <c r="G106" s="19">
        <v>47.642331730000009</v>
      </c>
      <c r="H106" s="19">
        <v>48.731214913514791</v>
      </c>
      <c r="I106" s="6"/>
      <c r="J106" s="19">
        <f t="shared" ref="J106:L107" si="2">+J120+J148+J162+J134</f>
        <v>2.4347625400000004</v>
      </c>
      <c r="K106" s="19">
        <f t="shared" si="2"/>
        <v>2.4221832599999997</v>
      </c>
      <c r="L106" s="19">
        <f t="shared" si="2"/>
        <v>2.1610399999999998</v>
      </c>
      <c r="M106" s="6"/>
      <c r="N106" s="19">
        <v>51.071887840000002</v>
      </c>
      <c r="O106" s="19">
        <v>47.642331730000009</v>
      </c>
      <c r="P106" s="19">
        <v>48.731214913514791</v>
      </c>
      <c r="Q106" s="6"/>
      <c r="R106" s="19">
        <f t="shared" ref="R106:T107" si="3">+R120+R148+R162+R134</f>
        <v>0.37529187000000008</v>
      </c>
      <c r="S106" s="19">
        <f t="shared" si="3"/>
        <v>0.36365627999999983</v>
      </c>
      <c r="T106" s="19">
        <f t="shared" si="3"/>
        <v>0.31146000000000013</v>
      </c>
    </row>
    <row r="107" spans="2:20" ht="20.149999999999999" customHeight="1" x14ac:dyDescent="0.25">
      <c r="B107" s="204"/>
      <c r="C107" s="9"/>
      <c r="D107" s="14" t="s">
        <v>20</v>
      </c>
      <c r="E107" s="6"/>
      <c r="F107" s="19">
        <v>45.131933990000007</v>
      </c>
      <c r="G107" s="19">
        <v>38.28320678</v>
      </c>
      <c r="H107" s="19">
        <v>41.985683385669191</v>
      </c>
      <c r="I107" s="6"/>
      <c r="J107" s="19">
        <f t="shared" si="2"/>
        <v>0.93941506999999991</v>
      </c>
      <c r="K107" s="19">
        <f t="shared" si="2"/>
        <v>1.5497306099999997</v>
      </c>
      <c r="L107" s="19">
        <f t="shared" si="2"/>
        <v>1.3955939497042154</v>
      </c>
      <c r="M107" s="6"/>
      <c r="N107" s="19">
        <v>45.131933990000007</v>
      </c>
      <c r="O107" s="19">
        <v>38.28320678</v>
      </c>
      <c r="P107" s="19">
        <v>41.985683385669191</v>
      </c>
      <c r="Q107" s="6"/>
      <c r="R107" s="19">
        <f t="shared" si="3"/>
        <v>0.61932410000000004</v>
      </c>
      <c r="S107" s="19">
        <f t="shared" si="3"/>
        <v>0.53641571999999993</v>
      </c>
      <c r="T107" s="19">
        <f t="shared" si="3"/>
        <v>0.46519798323473854</v>
      </c>
    </row>
    <row r="108" spans="2:20" ht="19.5" customHeight="1" x14ac:dyDescent="0.25">
      <c r="B108" s="204"/>
      <c r="C108" s="9"/>
      <c r="D108" s="14" t="s">
        <v>92</v>
      </c>
      <c r="E108" s="6"/>
      <c r="F108" s="29">
        <f>F111-F109-F110</f>
        <v>0.6596895124546821</v>
      </c>
      <c r="G108" s="20">
        <f>G111-G109-G110</f>
        <v>0.4657630109846298</v>
      </c>
      <c r="H108" s="20">
        <f>H111-H109-H110</f>
        <v>0.54568289348748922</v>
      </c>
      <c r="I108" s="6"/>
      <c r="J108" s="20">
        <f>(-(SUM([1]H7!$O$49,[1]H7!$R$49:$V$49,[1]H7!$Y$49:$AB$49)/1000)-(SUM([1]H7!$O$45,[1]H7!$R$45:$V$45,[1]H7!$Y$45:$AB$45)/1000)-(SUM([1]H7!$O$53,[1]H7!$R$53:$V$53,[1]H7!$Y$53:$AB$53)/1000)-(SUM([1]H7!$O$57,[1]H7!$R$57:$V$57,[1]H7!$Y$57:$AB$57)/1000))/J107</f>
        <v>7.5201146177056755E-2</v>
      </c>
      <c r="K108" s="20">
        <f>(-(SUM([1]H7!$O$50,[1]H7!$R$50:$V$50,[1]H7!$Y$50:$AB$50)/1000)-(SUM([1]H7!$O$46,[1]H7!$R$46:$V$46,[1]H7!$Y$46:$AB$46)/1000)-(SUM([1]H7!$O$54,[1]H7!$R$54:$V$54,[1]H7!$Y$54:$AB$54)/1000)-(SUM([1]H7!$O$58,[1]H7!$R$58:$V$58,[1]H7!$Y$58:$AB$58)/1000))/K107</f>
        <v>5.3100893451410891E-2</v>
      </c>
      <c r="L108" s="20">
        <f>(-(SUM([1]H7!$O$51,[1]H7!$R$51:$V$51,[1]H7!$Y$51:$AB$51)/1000)-(SUM([1]H7!$O$47,[1]H7!$R$47:$V$47,[1]H7!$Y$47:$AB$47)/1000)-(SUM([1]H7!$O$55,[1]H7!$R$55:$V$55,[1]H7!$Y$55:$AB$55)/1000)-(SUM([1]H7!$O$59,[1]H7!$R$59:$V$59,[1]H7!$Y$59:$AB$59)/1000))/L107</f>
        <v>0.16345535472029274</v>
      </c>
      <c r="M108" s="6"/>
      <c r="N108" s="29">
        <f>N111-N109-N110</f>
        <v>0.6596895124546821</v>
      </c>
      <c r="O108" s="20">
        <f>O111-O109-O110</f>
        <v>0.4657630109846298</v>
      </c>
      <c r="P108" s="20">
        <f>P111-P109-P110</f>
        <v>0.54568289348748922</v>
      </c>
      <c r="Q108" s="6"/>
      <c r="R108" s="20">
        <f>(-(SUM([1]H7!$EM$49,[1]H7!$EP$49:$ET$49,[1]H7!$EW$49:$EZ$49)/1000)-(SUM([1]H7!$EM$45,[1]H7!$EP$45:$ET$45,[1]H7!$EW$45:$EZ$45)/1000)-(SUM([1]H7!$EM$53,[1]H7!$EP$53:$ET$53,[1]H7!$EW$53:$EZ$53)/1000)-(SUM([1]H7!$EM$57,[1]H7!$EP$57:$ET$57,[1]H7!$EW$57:$EZ$57)/1000))/R107</f>
        <v>4.2745082905703162E-2</v>
      </c>
      <c r="S108" s="20">
        <f>(-(SUM([1]H7!$EM$50,[1]H7!$EP$50:$ET$50,[1]H7!$EW$50:$EZ$50)/1000)-(SUM([1]H7!$EM$46,[1]H7!$EP$46:$ET$46,[1]H7!$EW$46:$EZ$46)/1000)-(SUM([1]H7!$EM$54,[1]H7!$EP$54:$ET$54,[1]H7!$EW$54:$EZ$54)/1000)-(SUM([1]H7!$EM$58,[1]H7!$EP$58:$ET$58,[1]H7!$EW$58:$EZ$58)/1000))/S107</f>
        <v>3.7511260855666195E-2</v>
      </c>
      <c r="T108" s="20">
        <f>(-(SUM([1]H7!$EM$51,[1]H7!$EP$51:$ET$51,[1]H7!$EW$51:$EZ$51)/1000)-(SUM([1]H7!$EM$47,[1]H7!$EP$47:$ET$47,[1]H7!$EW$47:$EZ$47)/1000)-(SUM([1]H7!$EM$55,[1]H7!$EP$55:$ET$55,[1]H7!$EW$55:$EZ$55)/1000)-(SUM([1]H7!$EM$59,[1]H7!$EP$59:$ET$59,[1]H7!$EW$59:$EZ$59)/1000))/T107</f>
        <v>0.16345535472029271</v>
      </c>
    </row>
    <row r="109" spans="2:20" ht="19.5" customHeight="1" x14ac:dyDescent="0.25">
      <c r="B109" s="204"/>
      <c r="C109" s="9"/>
      <c r="D109" s="14" t="s">
        <v>93</v>
      </c>
      <c r="E109" s="6"/>
      <c r="F109" s="20">
        <f>IFERROR((F123*F121+F137*F135+F151*F149+F165*F163)/F107,"n/a")</f>
        <v>0</v>
      </c>
      <c r="G109" s="20">
        <f>IFERROR((G123*G121+G137*G135+G151*G149+G165*G163)/G107,"n/a")</f>
        <v>0</v>
      </c>
      <c r="H109" s="20">
        <f>IFERROR((H123*H121+H137*H135+H151*H149+H165*H163)/H107,"n/a")</f>
        <v>0</v>
      </c>
      <c r="I109" s="6"/>
      <c r="J109" s="20">
        <f>(-(SUM([1]H7!$Q$49,[1]H7!$X$49)/1000)-(SUM([1]H7!$Q$45,[1]H7!$X$45)/1000)-(SUM([1]H7!$Q$53,[1]H7!$X$53)/1000)-(SUM([1]H7!$Q$57,[1]H7!$X$57)/1000))/J107</f>
        <v>0</v>
      </c>
      <c r="K109" s="20">
        <f>(-(SUM([1]H7!$Q$50,[1]H7!$X$50)/1000)-(SUM([1]H7!$Q$46,[1]H7!$X$46)/1000)-(SUM([1]H7!$Q$54,[1]H7!$X$54)/1000)-(SUM([1]H7!$Q$58,[1]H7!$X$58)/1000))/K107</f>
        <v>0</v>
      </c>
      <c r="L109" s="20">
        <f>(-(SUM([1]H7!$Q$51,[1]H7!$X$51)/1000)-(SUM([1]H7!$Q$47,[1]H7!$X$47)/1000)-(SUM([1]H7!$Q$55,[1]H7!$X$55)/1000)-(SUM([1]H7!$Q$59,[1]H7!$X$59)/1000))/L107</f>
        <v>0</v>
      </c>
      <c r="M109" s="6"/>
      <c r="N109" s="20">
        <f>IFERROR((N123*N121+N137*N135+N151*N149+N165*N163)/N107,"n/a")</f>
        <v>0</v>
      </c>
      <c r="O109" s="20">
        <f>IFERROR((O123*O121+O137*O135+O151*O149+O165*O163)/O107,"n/a")</f>
        <v>0</v>
      </c>
      <c r="P109" s="20">
        <f>IFERROR((P123*P121+P137*P135+P151*P149+P165*P163)/P107,"n/a")</f>
        <v>0</v>
      </c>
      <c r="Q109" s="6"/>
      <c r="R109" s="20">
        <f>(-(SUM([1]H7!$EO$49,[1]H7!$EV$49)/1000)-(SUM([1]H7!$EO$45,[1]H7!$EV$45)/1000)-(SUM([1]H7!$EO$53,[1]H7!$EV$53)/1000)-(SUM([1]H7!$EO$57,[1]H7!$EV$57)/1000))/R107</f>
        <v>0</v>
      </c>
      <c r="S109" s="20">
        <f>(-(SUM([1]H7!$EO$50,[1]H7!$EV$50)/1000)-(SUM([1]H7!$EO$46,[1]H7!$EV$46)/1000)-(SUM([1]H7!$EO$54,[1]H7!$EV$54)/1000)-(SUM([1]H7!$EO$58,[1]H7!$EV$58)/1000))/S107</f>
        <v>0</v>
      </c>
      <c r="T109" s="20">
        <f>(-(SUM([1]H7!$EO$51,[1]H7!$EV$51)/1000)-(SUM([1]H7!$EO$47,[1]H7!$EV$47)/1000)-(SUM([1]H7!$EO$55,[1]H7!$EV$55)/1000)-(SUM([1]H7!$EO$59,[1]H7!$EV$59)/1000))/T107</f>
        <v>0</v>
      </c>
    </row>
    <row r="110" spans="2:20" ht="19.5" customHeight="1" x14ac:dyDescent="0.25">
      <c r="B110" s="204"/>
      <c r="C110" s="9"/>
      <c r="D110" s="14" t="s">
        <v>94</v>
      </c>
      <c r="E110" s="6"/>
      <c r="F110" s="20">
        <f>IFERROR((F124*F121+F138*F135+F152*F149+F166*F163)/F107,"n/a")</f>
        <v>0</v>
      </c>
      <c r="G110" s="20">
        <f>IFERROR((G124*G121+G138*G135+G152*G149+G166*G163)/G107,"n/a")</f>
        <v>0</v>
      </c>
      <c r="H110" s="20">
        <f>IFERROR((H124*H121+H138*H135+H152*H149+H166*H163)/H107,"n/a")</f>
        <v>0</v>
      </c>
      <c r="I110" s="6"/>
      <c r="J110" s="20">
        <f>(-(SUM([1]H7!$P$49,[1]H7!$W$49)/1000)-(SUM([1]H7!$P$45,[1]H7!$W$45)/1000)-(SUM([1]H7!$P$53,[1]H7!$W$53)/1000)-(SUM([1]H7!$P$57,[1]H7!$W$57)/1000))/J107</f>
        <v>0</v>
      </c>
      <c r="K110" s="20">
        <f>(-(SUM([1]H7!$P$50,[1]H7!$W$50)/1000)-(SUM([1]H7!$P$46,[1]H7!$W$46)/1000)-(SUM([1]H7!$P$54,[1]H7!$W$54)/1000)-(SUM([1]H7!$P$58,[1]H7!$W$58)/1000))/K107</f>
        <v>0</v>
      </c>
      <c r="L110" s="20">
        <f>(-(SUM([1]H7!$P$51,[1]H7!$W$51)/1000)-(SUM([1]H7!$P$47,[1]H7!$W$47)/1000)-(SUM([1]H7!$P$55,[1]H7!$W$55)/1000)-(SUM([1]H7!$P$59,[1]H7!$W$59)/1000))/L107</f>
        <v>0</v>
      </c>
      <c r="M110" s="6"/>
      <c r="N110" s="20">
        <f>IFERROR((N124*N121+N138*N135+N152*N149+N166*N163)/N107,"n/a")</f>
        <v>0</v>
      </c>
      <c r="O110" s="20">
        <f>IFERROR((O124*O121+O138*O135+O152*O149+O166*O163)/O107,"n/a")</f>
        <v>0</v>
      </c>
      <c r="P110" s="20">
        <f>IFERROR((P124*P121+P138*P135+P152*P149+P166*P163)/P107,"n/a")</f>
        <v>0</v>
      </c>
      <c r="Q110" s="6"/>
      <c r="R110" s="20">
        <f>(-(SUM([1]H7!$EN$49,[1]H7!$EU$49)/1000)-(SUM([1]H7!$EN$45,[1]H7!$EU$45)/1000)-(SUM([1]H7!$EN$53,[1]H7!$EU$53)/1000)-(SUM([1]H7!$EN$57,[1]H7!$EU$57)/1000))/R107</f>
        <v>0</v>
      </c>
      <c r="S110" s="20">
        <f>(-(SUM([1]H7!$EN$50,[1]H7!$EU$50)/1000)-(SUM([1]H7!$EN$46,[1]H7!$EU$46)/1000)-(SUM([1]H7!$EN$54,[1]H7!$EU$54)/1000)-(SUM([1]H7!$EN$58,[1]H7!$EU$58)/1000))/S107</f>
        <v>0</v>
      </c>
      <c r="T110" s="20">
        <f>(-(SUM([1]H7!$EN$51,[1]H7!$EU$51)/1000)-(SUM([1]H7!$EN$47,[1]H7!$EU$47)/1000)-(SUM([1]H7!$EN$55,[1]H7!$EU$55)/1000)-(SUM([1]H7!$EN$59,[1]H7!$EU$59)/1000))/T107</f>
        <v>0</v>
      </c>
    </row>
    <row r="111" spans="2:20" ht="19.5" hidden="1" customHeight="1" outlineLevel="1" x14ac:dyDescent="0.25">
      <c r="B111" s="204"/>
      <c r="C111" s="9"/>
      <c r="D111" s="14" t="s">
        <v>95</v>
      </c>
      <c r="E111" s="7"/>
      <c r="F111" s="20">
        <v>0.6596895124546821</v>
      </c>
      <c r="G111" s="20">
        <v>0.4657630109846298</v>
      </c>
      <c r="H111" s="20">
        <v>0.54568289348748922</v>
      </c>
      <c r="I111" s="7"/>
      <c r="J111" s="20">
        <f>+J108+J109+J110</f>
        <v>7.5201146177056755E-2</v>
      </c>
      <c r="K111" s="20">
        <f>+K108+K109+K110</f>
        <v>5.3100893451410891E-2</v>
      </c>
      <c r="L111" s="20">
        <f>+L108+L109+L110</f>
        <v>0.16345535472029274</v>
      </c>
      <c r="M111" s="7"/>
      <c r="N111" s="20">
        <v>0.6596895124546821</v>
      </c>
      <c r="O111" s="20">
        <v>0.4657630109846298</v>
      </c>
      <c r="P111" s="20">
        <v>0.54568289348748922</v>
      </c>
      <c r="Q111" s="7"/>
      <c r="R111" s="20">
        <f>+R108+R109+R110</f>
        <v>4.2745082905703162E-2</v>
      </c>
      <c r="S111" s="20">
        <f>+S108+S109+S110</f>
        <v>3.7511260855666195E-2</v>
      </c>
      <c r="T111" s="20">
        <f>+T108+T109+T110</f>
        <v>0.16345535472029271</v>
      </c>
    </row>
    <row r="112" spans="2:20" ht="20.149999999999999" customHeight="1" collapsed="1" x14ac:dyDescent="0.25">
      <c r="B112" s="204"/>
      <c r="C112" s="9"/>
      <c r="D112" s="14" t="s">
        <v>96</v>
      </c>
      <c r="E112" s="7"/>
      <c r="F112" s="29">
        <v>-1.1782969462771764E-2</v>
      </c>
      <c r="G112" s="20">
        <v>-3.3686937392970469E-2</v>
      </c>
      <c r="H112" s="20">
        <v>0</v>
      </c>
      <c r="I112" s="7"/>
      <c r="J112" s="20">
        <f>(-(SUM([1]H7!$AC$49:$AK$49)/1000)-(SUM([1]H7!$AC$45:$AK$45)/1000)-(SUM([1]H7!$AC$53:$AK$53)/1000)-(SUM([1]H7!$AC$57:$AK$57)/1000))/J107</f>
        <v>0.19480952120557316</v>
      </c>
      <c r="K112" s="20">
        <f>(-(SUM([1]H7!$AC$50:$AK$50)/1000)-(SUM([1]H7!$AC$46:$AK$46)/1000)-(SUM([1]H7!$AC$54:$AK$54)/1000)-(SUM([1]H7!$AC$58:$AK$58)/1000))/K107</f>
        <v>0.11101011936519729</v>
      </c>
      <c r="L112" s="20">
        <f>(-(SUM([1]H7!$AC$51:$AK$51)/1000)-(SUM([1]H7!$AC$47:$AK$47)/1000)-(SUM([1]H7!$AC$55:$AK$55)/1000)-(SUM([1]H7!$AC$59:$AK$59)/1000))/L107</f>
        <v>-3.6990012266209017E-3</v>
      </c>
      <c r="M112" s="7"/>
      <c r="N112" s="29">
        <v>-1.1782969462771764E-2</v>
      </c>
      <c r="O112" s="20">
        <v>-3.3686937392970469E-2</v>
      </c>
      <c r="P112" s="20">
        <v>0</v>
      </c>
      <c r="Q112" s="7"/>
      <c r="R112" s="20">
        <f>(-(SUM([1]H7!$FA$49:$FI$49)/1000)-(SUM([1]H7!$FA$45:$FI$45)/1000)-(SUM([1]H7!$FA$53:$FI$53)/1000)-(SUM([1]H7!$FA$57:$FI$57)/1000))/R107</f>
        <v>4.8176730083650865E-2</v>
      </c>
      <c r="S112" s="20">
        <f>(-(SUM([1]H7!$FA$50:$FI$50)/1000)-(SUM([1]H7!$FA$46:$FI$46)/1000)-(SUM([1]H7!$FA$54:$FI$54)/1000)-(SUM([1]H7!$FA$58:$FI$58)/1000))/S107</f>
        <v>-1.3717457795606661E-2</v>
      </c>
      <c r="T112" s="20">
        <f>(-(SUM([1]H7!$FA$51:$FI$51)/1000)-(SUM([1]H7!$FA$47:$FI$47)/1000)-(SUM([1]H7!$FA$55:$FI$55)/1000)-(SUM([1]H7!$FA$59:$FI$59)/1000))/T107</f>
        <v>-3.6990012266208904E-3</v>
      </c>
    </row>
    <row r="113" spans="2:20" ht="20.149999999999999" hidden="1" customHeight="1" outlineLevel="1" x14ac:dyDescent="0.25">
      <c r="B113" s="204"/>
      <c r="C113" s="9"/>
      <c r="D113" s="15" t="s">
        <v>87</v>
      </c>
      <c r="E113" s="7"/>
      <c r="F113" s="20">
        <v>-5.7148291065290515E-3</v>
      </c>
      <c r="G113" s="20">
        <v>0.11587391138606176</v>
      </c>
      <c r="H113" s="20">
        <v>0.1448214404409871</v>
      </c>
      <c r="I113" s="7"/>
      <c r="J113" s="20">
        <f>(-(SUM([1]H7!$AL$49:$AN$49)/1000)-(SUM([1]H7!$AL$45:$AN$45)/1000)-(SUM([1]H7!$AL$53:$AN$53)/1000)-(SUM([1]H7!$AL$57:$AN$57)/1000))/J107</f>
        <v>0.21021127540566281</v>
      </c>
      <c r="K113" s="20">
        <f>(-(SUM([1]H7!$AL$50:$AN$50)/1000)-(SUM([1]H7!$AL$46:$AN$46)/1000)-(SUM([1]H7!$AL$54:$AN$54)/1000)-(SUM([1]H7!$AL$58:$AN$58)/1000))/K107</f>
        <v>0.19899363025422856</v>
      </c>
      <c r="L113" s="20">
        <f>(-(SUM([1]H7!$AL$51:$AN$51)/1000)-(SUM([1]H7!$AL$47:$AN$47)/1000)-(SUM([1]H7!$AL$55:$AN$55)/1000)-(SUM([1]H7!$AL$59:$AN$59)/1000))/L107</f>
        <v>0.18712910566232124</v>
      </c>
      <c r="M113" s="7"/>
      <c r="N113" s="20">
        <v>-5.7148291065290515E-3</v>
      </c>
      <c r="O113" s="20">
        <v>0.11587391138606176</v>
      </c>
      <c r="P113" s="20">
        <v>0.1448214404409871</v>
      </c>
      <c r="Q113" s="7"/>
      <c r="R113" s="20">
        <f>(-(SUM([1]H7!$FJ$49:$FL$49)/1000)-(SUM([1]H7!$FJ$45:$FL$45)/1000)-(SUM([1]H7!$FJ$53:$FL$53)/1000)-(SUM([1]H7!$FJ$57:$FL$57)/1000))/R107</f>
        <v>0.19545213887203811</v>
      </c>
      <c r="S113" s="20">
        <f>(-(SUM([1]H7!$FJ$50:$FL$50)/1000)-(SUM([1]H7!$FJ$46:$FL$46)/1000)-(SUM([1]H7!$FJ$54:$FL$54)/1000)-(SUM([1]H7!$FJ$58:$FL$58)/1000))/S107</f>
        <v>0.1982051905563097</v>
      </c>
      <c r="T113" s="20">
        <f>(-(SUM([1]H7!$FJ$51:$FL$51)/1000)-(SUM([1]H7!$FJ$47:$FL$47)/1000)-(SUM([1]H7!$FJ$55:$FL$55)/1000)-(SUM([1]H7!$FJ$59:$FL$59)/1000))/T107</f>
        <v>0.18712910566232119</v>
      </c>
    </row>
    <row r="114" spans="2:20" ht="20.149999999999999" hidden="1" customHeight="1" outlineLevel="1" x14ac:dyDescent="0.25">
      <c r="B114" s="204"/>
      <c r="C114" s="9"/>
      <c r="D114" s="15" t="s">
        <v>88</v>
      </c>
      <c r="E114" s="7"/>
      <c r="F114" s="20">
        <v>0.11242637355457143</v>
      </c>
      <c r="G114" s="20">
        <v>0.14681821724862304</v>
      </c>
      <c r="H114" s="20">
        <v>0.13151486945869179</v>
      </c>
      <c r="I114" s="7"/>
      <c r="J114" s="20">
        <f>(-(SUM([1]H7!$AO$49:$AR$49)/1000)-(SUM([1]H7!$AO$45:$AR$45)/1000)-(SUM([1]H7!$AO$53:$AR$53)/1000)-(SUM([1]H7!$AO$57:$AR$57)/1000))/J107</f>
        <v>0.1883235383907563</v>
      </c>
      <c r="K114" s="20">
        <f>(-(SUM([1]H7!$AO$50:$AR$50)/1000)-(SUM([1]H7!$AO$46:$AR$46)/1000)-(SUM([1]H7!$AO$54:$AR$54)/1000)-(SUM([1]H7!$AO$58:$AR$58)/1000))/K107</f>
        <v>0.14536051527045724</v>
      </c>
      <c r="L114" s="20">
        <f>(-(SUM([1]H7!$AO$51:$AR$51)/1000)-(SUM([1]H7!$AO$47:$AR$47)/1000)-(SUM([1]H7!$AO$55:$AR$55)/1000)-(SUM([1]H7!$AO$59:$AR$59)/1000))/L107</f>
        <v>0.13098244948286614</v>
      </c>
      <c r="M114" s="7"/>
      <c r="N114" s="20">
        <v>0.11242637355457143</v>
      </c>
      <c r="O114" s="20">
        <v>0.14681821724862304</v>
      </c>
      <c r="P114" s="20">
        <v>0.13151486945869179</v>
      </c>
      <c r="Q114" s="7"/>
      <c r="R114" s="20">
        <f>(-(SUM([1]H7!$FM$49:$FP$49)/1000)-(SUM([1]H7!$FM$45:$FP$45)/1000)-(SUM([1]H7!$FM$53:$FP$53)/1000)-(SUM([1]H7!$FM$57:$FP$57)/1000))/R107</f>
        <v>9.6222559399836052E-2</v>
      </c>
      <c r="S114" s="20">
        <f>(-(SUM([1]H7!$FM$50:$FP$50)/1000)-(SUM([1]H7!$FM$46:$FP$46)/1000)-(SUM([1]H7!$FM$54:$FP$54)/1000)-(SUM([1]H7!$FM$58:$FP$58)/1000))/S107</f>
        <v>0.13468244368379065</v>
      </c>
      <c r="T114" s="20">
        <f>(-(SUM([1]H7!$FM$51:$FP$51)/1000)-(SUM([1]H7!$FM$47:$FP$47)/1000)-(SUM([1]H7!$FM$55:$FP$55)/1000)-(SUM([1]H7!$FM$59:$FP$59)/1000))/T107</f>
        <v>0.13098244948286614</v>
      </c>
    </row>
    <row r="115" spans="2:20" ht="20.149999999999999" customHeight="1" collapsed="1" x14ac:dyDescent="0.25">
      <c r="B115" s="204"/>
      <c r="C115" s="9"/>
      <c r="D115" s="14" t="s">
        <v>97</v>
      </c>
      <c r="E115" s="7"/>
      <c r="F115" s="20">
        <v>1.451905429413257E-4</v>
      </c>
      <c r="G115" s="20">
        <v>0.2649351713999753</v>
      </c>
      <c r="H115" s="20">
        <v>0.27633630989967889</v>
      </c>
      <c r="I115" s="7"/>
      <c r="J115" s="20">
        <f>+J113+J114</f>
        <v>0.39853481379641909</v>
      </c>
      <c r="K115" s="20">
        <f>+K113+K114</f>
        <v>0.3443541455246858</v>
      </c>
      <c r="L115" s="20">
        <f>+L113+L114</f>
        <v>0.31811155514518741</v>
      </c>
      <c r="M115" s="7"/>
      <c r="N115" s="20">
        <v>1.451905429413257E-4</v>
      </c>
      <c r="O115" s="20">
        <v>0.2649351713999753</v>
      </c>
      <c r="P115" s="20">
        <v>0.27633630989967889</v>
      </c>
      <c r="Q115" s="7"/>
      <c r="R115" s="20">
        <f>+R113+R114</f>
        <v>0.29167469827187414</v>
      </c>
      <c r="S115" s="20">
        <f>+S113+S114</f>
        <v>0.33288763424010037</v>
      </c>
      <c r="T115" s="20">
        <f>+T113+T114</f>
        <v>0.3181115551451873</v>
      </c>
    </row>
    <row r="116" spans="2:20" ht="20.149999999999999" customHeight="1" x14ac:dyDescent="0.25">
      <c r="B116" s="204"/>
      <c r="C116" s="9"/>
      <c r="D116" s="14" t="s">
        <v>90</v>
      </c>
      <c r="E116" s="7"/>
      <c r="F116" s="20"/>
      <c r="G116" s="20"/>
      <c r="H116" s="20"/>
      <c r="I116" s="7"/>
      <c r="J116" s="20">
        <f>(-(SUM([1]H7!$AT$49:$BJ$49)/1000)-(SUM([1]H7!$AT$45:$BJ$45)/1000)-(SUM([1]H7!$AT$53:$BJ$53)/1000)-(SUM([1]H7!$AT$57:$BJ$57)/1000))/J107</f>
        <v>1.2164682859515976</v>
      </c>
      <c r="K116" s="20">
        <f>(-(SUM([1]H7!$AT$50:$BJ$50)/1000)-(SUM([1]H7!$AT$46:$BJ$46)/1000)-(SUM([1]H7!$AT$54:$BJ$54)/1000)-(SUM([1]H7!$AT$58:$BJ$58)/1000))/K107</f>
        <v>0.77465880989470814</v>
      </c>
      <c r="L116" s="20">
        <f>(-(SUM([1]H7!$AT$51:$BJ$51)/1000)-(SUM([1]H7!$AT$47:$BJ$47)/1000)-(SUM([1]H7!$AT$55:$BJ$55)/1000)-(SUM([1]H7!$AT$59:$BJ$59)/1000))/L107</f>
        <v>0.37967900280469297</v>
      </c>
      <c r="M116" s="7"/>
      <c r="N116" s="20"/>
      <c r="O116" s="20"/>
      <c r="P116" s="20"/>
      <c r="Q116" s="7"/>
      <c r="R116" s="20">
        <f>(-(SUM([1]H7!$FR$49:$GH$49)/1000)-(SUM([1]H7!$FR$45:$GH$45)/1000)-(SUM([1]H7!$FR$53:$GH$53)/1000)-(SUM([1]H7!$FR$57:$GH$57)/1000))/R107</f>
        <v>0.41903061741017328</v>
      </c>
      <c r="S116" s="20">
        <f>(-(SUM([1]H7!$FR$50:$GH$50)/1000)-(SUM([1]H7!$FR$46:$GH$46)/1000)-(SUM([1]H7!$FR$54:$GH$54)/1000)-(SUM([1]H7!$FR$58:$GH$58)/1000))/S107</f>
        <v>0.44608015961948311</v>
      </c>
      <c r="T116" s="20">
        <f>(-(SUM([1]H7!$FR$51:$GH$51)/1000)-(SUM([1]H7!$FR$47:$GH$47)/1000)-(SUM([1]H7!$FR$55:$GH$55)/1000)-(SUM([1]H7!$FR$59:$GH$59)/1000))/T107</f>
        <v>0.37967900280469291</v>
      </c>
    </row>
    <row r="117" spans="2:20" ht="20.149999999999999" customHeight="1" x14ac:dyDescent="0.25">
      <c r="B117" s="204"/>
      <c r="C117" s="9"/>
      <c r="D117" s="14" t="s">
        <v>79</v>
      </c>
      <c r="E117" s="8"/>
      <c r="F117" s="29">
        <v>7.1749404772184005E-3</v>
      </c>
      <c r="G117" s="20">
        <v>0.69787692012147562</v>
      </c>
      <c r="H117" s="20">
        <v>0.82201920338716805</v>
      </c>
      <c r="I117" s="8"/>
      <c r="J117" s="20">
        <f>+J111+J112+J115+J116</f>
        <v>1.8850137671306466</v>
      </c>
      <c r="K117" s="20">
        <f>+K111+K112+K115+K116</f>
        <v>1.2831239682360023</v>
      </c>
      <c r="L117" s="20">
        <f>+L111+L112+L115+L116</f>
        <v>0.85754691144355222</v>
      </c>
      <c r="M117" s="8"/>
      <c r="N117" s="29">
        <v>7.1749404772184005E-3</v>
      </c>
      <c r="O117" s="20">
        <v>0.69787692012147562</v>
      </c>
      <c r="P117" s="20">
        <v>0.82201920338716805</v>
      </c>
      <c r="Q117" s="8"/>
      <c r="R117" s="20">
        <f>+R111+R112+R115+R116</f>
        <v>0.8016271286714014</v>
      </c>
      <c r="S117" s="20">
        <f>+S111+S112+S115+S116</f>
        <v>0.80276159691964299</v>
      </c>
      <c r="T117" s="20">
        <f>+T111+T112+T115+T116</f>
        <v>0.857546911443552</v>
      </c>
    </row>
    <row r="118" spans="2:20" ht="19.5" customHeight="1" x14ac:dyDescent="0.25">
      <c r="B118" s="204"/>
      <c r="C118" s="9"/>
      <c r="D118" s="14" t="s">
        <v>34</v>
      </c>
      <c r="E118" s="6"/>
      <c r="F118" s="19">
        <v>5.1917347400000144</v>
      </c>
      <c r="G118" s="19">
        <v>11.483272660000011</v>
      </c>
      <c r="H118" s="19">
        <v>7.4726453753155475</v>
      </c>
      <c r="I118" s="6"/>
      <c r="J118" s="19">
        <f>+J132+J160+J174+J146</f>
        <v>-0.83139527000000024</v>
      </c>
      <c r="K118" s="19">
        <f>+K132+K160+K174+K146</f>
        <v>-0.43876588</v>
      </c>
      <c r="L118" s="19">
        <f>+L132+L160+L174+L146</f>
        <v>0.19880666850605727</v>
      </c>
      <c r="M118" s="6"/>
      <c r="N118" s="19">
        <v>5.1917347400000144</v>
      </c>
      <c r="O118" s="19">
        <v>11.483272660000011</v>
      </c>
      <c r="P118" s="19">
        <v>7.4726453753155475</v>
      </c>
      <c r="Q118" s="6"/>
      <c r="R118" s="19">
        <f>+R132+R160+R174+R146</f>
        <v>0.12285710000000016</v>
      </c>
      <c r="S118" s="19">
        <f>+S132+S160+S174+S146</f>
        <v>0.10580177999999987</v>
      </c>
      <c r="T118" s="19">
        <f>+T132+T160+T174+T146</f>
        <v>6.6268889502019188E-2</v>
      </c>
    </row>
    <row r="119" spans="2:20" ht="7.5" customHeight="1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2:20" ht="19.5" hidden="1" customHeight="1" outlineLevel="1" x14ac:dyDescent="0.25">
      <c r="B120" s="204" t="s">
        <v>104</v>
      </c>
      <c r="C120" s="9"/>
      <c r="D120" s="14" t="s">
        <v>19</v>
      </c>
      <c r="E120" s="6"/>
      <c r="F120" s="19">
        <v>2.5782758100000001</v>
      </c>
      <c r="G120" s="19">
        <v>2.733616</v>
      </c>
      <c r="H120" s="19">
        <v>2.7646412205329307</v>
      </c>
      <c r="I120" s="6"/>
      <c r="J120" s="19">
        <f>+[1]H7!$C$49/1000</f>
        <v>0.10787987999999998</v>
      </c>
      <c r="K120" s="19">
        <f>+[1]H7!$C$50/1000</f>
        <v>0.11686347</v>
      </c>
      <c r="L120" s="19">
        <f>+[1]H7!$C$51/1000</f>
        <v>1.686E-2</v>
      </c>
      <c r="M120" s="6"/>
      <c r="N120" s="19">
        <v>2.5782758100000001</v>
      </c>
      <c r="O120" s="19">
        <v>2.733616</v>
      </c>
      <c r="P120" s="19">
        <v>2.7646412205329307</v>
      </c>
      <c r="Q120" s="6"/>
      <c r="R120" s="19">
        <f>+[1]H7!$EA$49/1000</f>
        <v>2.9582059999999997E-2</v>
      </c>
      <c r="S120" s="19">
        <f>+[1]H7!$EA$50/1000</f>
        <v>3.2628829999999991E-2</v>
      </c>
      <c r="T120" s="19">
        <f>+[1]H7!$EA$51/1000</f>
        <v>4.8899999999999985E-3</v>
      </c>
    </row>
    <row r="121" spans="2:20" ht="20.149999999999999" hidden="1" customHeight="1" outlineLevel="1" x14ac:dyDescent="0.25">
      <c r="B121" s="204"/>
      <c r="C121" s="9"/>
      <c r="D121" s="14" t="s">
        <v>20</v>
      </c>
      <c r="E121" s="6"/>
      <c r="F121" s="19">
        <v>2.3170537099999997</v>
      </c>
      <c r="G121" s="19">
        <v>2.45186583</v>
      </c>
      <c r="H121" s="19">
        <v>2.2151859576361677</v>
      </c>
      <c r="I121" s="6"/>
      <c r="J121" s="19">
        <f>+[1]H7!$N$49/1000</f>
        <v>9.9852920000000053E-2</v>
      </c>
      <c r="K121" s="19">
        <f>+[1]H7!$N$50/1000</f>
        <v>0.10783339999999997</v>
      </c>
      <c r="L121" s="19">
        <f>+[1]H7!$N$51/1000</f>
        <v>1.6100000000000021E-2</v>
      </c>
      <c r="M121" s="6"/>
      <c r="N121" s="19">
        <v>2.3170537099999997</v>
      </c>
      <c r="O121" s="19">
        <v>2.45186583</v>
      </c>
      <c r="P121" s="19">
        <v>2.2151859576361677</v>
      </c>
      <c r="Q121" s="6"/>
      <c r="R121" s="19">
        <f>+[1]H7!$EL$49/1000</f>
        <v>3.2268470000000063E-2</v>
      </c>
      <c r="S121" s="19">
        <f>+[1]H7!$EL$50/1000</f>
        <v>3.4828909999999991E-2</v>
      </c>
      <c r="T121" s="19">
        <f>+[1]H7!$EL$51/1000</f>
        <v>5.3666666666666724E-3</v>
      </c>
    </row>
    <row r="122" spans="2:20" ht="19.5" hidden="1" customHeight="1" outlineLevel="1" x14ac:dyDescent="0.25">
      <c r="B122" s="204"/>
      <c r="C122" s="9"/>
      <c r="D122" s="14" t="s">
        <v>92</v>
      </c>
      <c r="E122" s="6"/>
      <c r="F122" s="20">
        <f>F125-F123-F124</f>
        <v>0.27694958784533319</v>
      </c>
      <c r="G122" s="20">
        <f>G125-G123-G124</f>
        <v>0.22719697105122597</v>
      </c>
      <c r="H122" s="20">
        <f>H125-H123-H124</f>
        <v>0.19726891102097802</v>
      </c>
      <c r="I122" s="6"/>
      <c r="J122" s="20">
        <f>-(SUM([1]H7!$O$49,[1]H7!$R$49:$V$49,[1]H7!$Y$49:$AB$49)/1000)/J121</f>
        <v>2.7893225355853375E-2</v>
      </c>
      <c r="K122" s="20">
        <f>-(SUM([1]H7!$O$50,[1]H7!$R$50:$V$50,[1]H7!$Y$50:$AB$50)/1000)/K121</f>
        <v>2.9307246177900387E-3</v>
      </c>
      <c r="L122" s="20">
        <f>-(SUM([1]H7!$O$51,[1]H7!$R$51:$V$51,[1]H7!$Y$51:$AB$51)/1000)/L121</f>
        <v>8.1382315814840808E-4</v>
      </c>
      <c r="M122" s="6"/>
      <c r="N122" s="20">
        <f>N125-N123-N124</f>
        <v>0.27694958784533319</v>
      </c>
      <c r="O122" s="20">
        <f>O125-O123-O124</f>
        <v>0.22719697105122597</v>
      </c>
      <c r="P122" s="20">
        <f>P125-P123-P124</f>
        <v>0.19726891102097802</v>
      </c>
      <c r="Q122" s="6"/>
      <c r="R122" s="20">
        <f>-(SUM([1]H7!$EM$49,[1]H7!$EP$49:$ET$49,[1]H7!$EW$49:$EZ$49)/1000)/R121</f>
        <v>-6.8110139712232898E-2</v>
      </c>
      <c r="S122" s="20">
        <f>-(SUM([1]H7!$EM$50,[1]H7!$EP$50:$ET$50,[1]H7!$EW$50:$EZ$50)/1000)/S121</f>
        <v>-0.18312315831876458</v>
      </c>
      <c r="T122" s="20">
        <f>-(SUM([1]H7!$EM$51,[1]H7!$EP$51:$ET$51,[1]H7!$EW$51:$EZ$51)/1000)/T121</f>
        <v>8.1382315814840841E-4</v>
      </c>
    </row>
    <row r="123" spans="2:20" ht="19.5" hidden="1" customHeight="1" outlineLevel="1" x14ac:dyDescent="0.25">
      <c r="B123" s="204"/>
      <c r="C123" s="9"/>
      <c r="D123" s="14" t="s">
        <v>93</v>
      </c>
      <c r="E123" s="6"/>
      <c r="F123" s="20">
        <f>IFERROR(SUM(INDEX(LL_TOT_BR_YTD,5,Month),INDEX(LL_IBNR_TOT_BR_YTD,5,Month))/F121,0)</f>
        <v>0</v>
      </c>
      <c r="G123" s="20">
        <f>IFERROR(SUM(INDEX(LL_TOT_BR_YTD_PREV,5,Month),INDEX(LL_IBNR_TOT_BR_YTD_PREV,5,Month))/G121,0)</f>
        <v>0</v>
      </c>
      <c r="H123" s="20">
        <f>IFERROR(SUM(INDEX(LL_TOT_BR_YTD_PLAN,5,Month),INDEX(LL_IBNR_TOT_BR_YTD_PLAN,5,Month))/H121,0)</f>
        <v>0</v>
      </c>
      <c r="I123" s="6"/>
      <c r="J123" s="20">
        <f>-(SUM([1]H7!$Q$49,[1]H7!$X$49)/1000)/J121</f>
        <v>0</v>
      </c>
      <c r="K123" s="20">
        <f>-(SUM([1]H7!$Q$50,[1]H7!$X$50)/1000)/K121</f>
        <v>0</v>
      </c>
      <c r="L123" s="20">
        <f>-(SUM([1]H7!$Q$51,[1]H7!$X$51)/1000)/L121</f>
        <v>0</v>
      </c>
      <c r="M123" s="6"/>
      <c r="N123" s="20">
        <f>IFERROR(SUM(INDEX(LL_TOT_BR_YTD,5,Month),INDEX(LL_IBNR_TOT_BR_YTD,5,Month))/N121,0)</f>
        <v>0</v>
      </c>
      <c r="O123" s="20">
        <f>IFERROR(SUM(INDEX(LL_TOT_BR_YTD_PREV,5,Month),INDEX(LL_IBNR_TOT_BR_YTD_PREV,5,Month))/O121,0)</f>
        <v>0</v>
      </c>
      <c r="P123" s="20">
        <f>IFERROR(SUM(INDEX(LL_TOT_BR_YTD_PLAN,5,Month),INDEX(LL_IBNR_TOT_BR_YTD_PLAN,5,Month))/P121,0)</f>
        <v>0</v>
      </c>
      <c r="Q123" s="6"/>
      <c r="R123" s="20">
        <f>-(SUM([1]H7!$EO$49,[1]H7!$EV$49)/1000)/R121</f>
        <v>0</v>
      </c>
      <c r="S123" s="20">
        <f>-(SUM([1]H7!$EO$50,[1]H7!$EV$50)/1000)/S121</f>
        <v>0</v>
      </c>
      <c r="T123" s="20">
        <f>-(SUM([1]H7!$EO$51,[1]H7!$EV$51)/1000)/T121</f>
        <v>0</v>
      </c>
    </row>
    <row r="124" spans="2:20" ht="19.5" hidden="1" customHeight="1" outlineLevel="1" x14ac:dyDescent="0.25">
      <c r="B124" s="204"/>
      <c r="C124" s="9"/>
      <c r="D124" s="14" t="s">
        <v>94</v>
      </c>
      <c r="E124" s="6"/>
      <c r="F124" s="20">
        <f>0</f>
        <v>0</v>
      </c>
      <c r="G124" s="20">
        <f>0</f>
        <v>0</v>
      </c>
      <c r="H124" s="20">
        <f>0</f>
        <v>0</v>
      </c>
      <c r="I124" s="6"/>
      <c r="J124" s="20">
        <f>-(SUM([1]H7!$P$49,[1]H7!$W$49)/1000)/J121</f>
        <v>0</v>
      </c>
      <c r="K124" s="20">
        <f>-(SUM([1]H7!$P$50,[1]H7!$W$50)/1000)/K121</f>
        <v>0</v>
      </c>
      <c r="L124" s="20">
        <f>-(SUM([1]H7!$P$51,[1]H7!$W$51)/1000)/L121</f>
        <v>0</v>
      </c>
      <c r="M124" s="6"/>
      <c r="N124" s="20">
        <f>0</f>
        <v>0</v>
      </c>
      <c r="O124" s="20">
        <f>0</f>
        <v>0</v>
      </c>
      <c r="P124" s="20">
        <f>0</f>
        <v>0</v>
      </c>
      <c r="Q124" s="6"/>
      <c r="R124" s="20">
        <f>-(SUM([1]H7!$EN$49,[1]H7!$EU$49)/1000)/R121</f>
        <v>0</v>
      </c>
      <c r="S124" s="20">
        <f>-(SUM([1]H7!$EN$50,[1]H7!$EU$50)/1000)/S121</f>
        <v>0</v>
      </c>
      <c r="T124" s="20">
        <f>-(SUM([1]H7!$EN$51,[1]H7!$EU$51)/1000)/T121</f>
        <v>0</v>
      </c>
    </row>
    <row r="125" spans="2:20" ht="19.5" hidden="1" customHeight="1" outlineLevel="2" x14ac:dyDescent="0.25">
      <c r="B125" s="204"/>
      <c r="C125" s="9"/>
      <c r="D125" s="14" t="s">
        <v>95</v>
      </c>
      <c r="E125" s="7"/>
      <c r="F125" s="20">
        <v>0.27694958784533319</v>
      </c>
      <c r="G125" s="20">
        <v>0.22719697105122597</v>
      </c>
      <c r="H125" s="20">
        <v>0.19726891102097802</v>
      </c>
      <c r="I125" s="7"/>
      <c r="J125" s="20">
        <f>+J122+J123+J124</f>
        <v>2.7893225355853375E-2</v>
      </c>
      <c r="K125" s="20">
        <f>+K122+K123+K124</f>
        <v>2.9307246177900387E-3</v>
      </c>
      <c r="L125" s="20">
        <f>+L122+L123+L124</f>
        <v>8.1382315814840808E-4</v>
      </c>
      <c r="M125" s="7"/>
      <c r="N125" s="20">
        <v>0.27694958784533319</v>
      </c>
      <c r="O125" s="20">
        <v>0.22719697105122597</v>
      </c>
      <c r="P125" s="20">
        <v>0.19726891102097802</v>
      </c>
      <c r="Q125" s="7"/>
      <c r="R125" s="20">
        <f>+R122+R123+R124</f>
        <v>-6.8110139712232898E-2</v>
      </c>
      <c r="S125" s="20">
        <f>+S122+S123+S124</f>
        <v>-0.18312315831876458</v>
      </c>
      <c r="T125" s="20">
        <f>+T122+T123+T124</f>
        <v>8.1382315814840841E-4</v>
      </c>
    </row>
    <row r="126" spans="2:20" ht="20.149999999999999" hidden="1" customHeight="1" outlineLevel="1" x14ac:dyDescent="0.25">
      <c r="B126" s="204"/>
      <c r="C126" s="9"/>
      <c r="D126" s="14" t="s">
        <v>96</v>
      </c>
      <c r="E126" s="7"/>
      <c r="F126" s="20">
        <v>7.8264970387760285E-2</v>
      </c>
      <c r="G126" s="20">
        <v>-6.9985089681681309E-2</v>
      </c>
      <c r="H126" s="20">
        <v>0</v>
      </c>
      <c r="I126" s="7"/>
      <c r="J126" s="20">
        <f>-(SUM([1]H7!$AC$49:$AK$49)/1000)/J121</f>
        <v>2.2954090876861675</v>
      </c>
      <c r="K126" s="20">
        <f>-(SUM([1]H7!$AC$50:$AK$50)/1000)/K121</f>
        <v>3.0824824219583178</v>
      </c>
      <c r="L126" s="20">
        <f>-(SUM([1]H7!$AC$51:$AK$51)/1000)/L121</f>
        <v>5.872539790502868E-5</v>
      </c>
      <c r="M126" s="7"/>
      <c r="N126" s="20">
        <v>7.8264970387760285E-2</v>
      </c>
      <c r="O126" s="20">
        <v>-6.9985089681681309E-2</v>
      </c>
      <c r="P126" s="20">
        <v>0</v>
      </c>
      <c r="Q126" s="7"/>
      <c r="R126" s="20">
        <f>-(SUM([1]H7!$FA$49:$FI$49)/1000)/R121</f>
        <v>0.97501337993403259</v>
      </c>
      <c r="S126" s="20">
        <f>-(SUM([1]H7!$FA$50:$FI$50)/1000)/S121</f>
        <v>0.95428740089770347</v>
      </c>
      <c r="T126" s="20">
        <f>-(SUM([1]H7!$FA$51:$FI$51)/1000)/T121</f>
        <v>5.8725397905028687E-5</v>
      </c>
    </row>
    <row r="127" spans="2:20" ht="20.149999999999999" hidden="1" customHeight="1" outlineLevel="2" x14ac:dyDescent="0.25">
      <c r="B127" s="204"/>
      <c r="C127" s="9"/>
      <c r="D127" s="15" t="s">
        <v>87</v>
      </c>
      <c r="E127" s="7"/>
      <c r="F127" s="20">
        <v>0.18303060398198542</v>
      </c>
      <c r="G127" s="20">
        <v>0.18614404769448578</v>
      </c>
      <c r="H127" s="20">
        <v>0.20438203736246632</v>
      </c>
      <c r="I127" s="7"/>
      <c r="J127" s="20">
        <f>-(SUM([1]H7!$AL$49:$AN$49)/1000)/J121</f>
        <v>0.27388292700904476</v>
      </c>
      <c r="K127" s="20">
        <f>-(SUM([1]H7!$AL$50:$AN$50)/1000)/K121</f>
        <v>0.25421084747397349</v>
      </c>
      <c r="L127" s="20">
        <f>-(SUM([1]H7!$AL$51:$AN$51)/1000)/L121</f>
        <v>0.25988731019807038</v>
      </c>
      <c r="M127" s="7"/>
      <c r="N127" s="20">
        <v>0.18303060398198542</v>
      </c>
      <c r="O127" s="20">
        <v>0.18614404769448578</v>
      </c>
      <c r="P127" s="20">
        <v>0.20438203736246632</v>
      </c>
      <c r="Q127" s="7"/>
      <c r="R127" s="20">
        <f>-(SUM([1]H7!$FJ$49:$FL$49)/1000)/R121</f>
        <v>0.27537841118590295</v>
      </c>
      <c r="S127" s="20">
        <f>-(SUM([1]H7!$FJ$50:$FL$50)/1000)/S121</f>
        <v>0.26164556972928549</v>
      </c>
      <c r="T127" s="20">
        <f>-(SUM([1]H7!$FJ$51:$FL$51)/1000)/T121</f>
        <v>0.25988731019807038</v>
      </c>
    </row>
    <row r="128" spans="2:20" ht="20.149999999999999" hidden="1" customHeight="1" outlineLevel="2" x14ac:dyDescent="0.25">
      <c r="B128" s="204"/>
      <c r="C128" s="9"/>
      <c r="D128" s="15" t="s">
        <v>88</v>
      </c>
      <c r="E128" s="7"/>
      <c r="F128" s="20">
        <v>6.9275062251362332E-2</v>
      </c>
      <c r="G128" s="20">
        <v>3.175185160927016E-2</v>
      </c>
      <c r="H128" s="20">
        <v>8.4249843678186484E-2</v>
      </c>
      <c r="I128" s="7"/>
      <c r="J128" s="20">
        <f>-(SUM([1]H7!$AO$49:$AR$49)/1000)/J121</f>
        <v>2.7085437261123647E-2</v>
      </c>
      <c r="K128" s="20">
        <f>-(SUM([1]H7!$AO$50:$AR$50)/1000)/K121</f>
        <v>8.82715373900851E-2</v>
      </c>
      <c r="L128" s="20">
        <f>-(SUM([1]H7!$AO$51:$AR$51)/1000)/L121</f>
        <v>0.17338782987484386</v>
      </c>
      <c r="M128" s="7"/>
      <c r="N128" s="20">
        <v>6.9275062251362332E-2</v>
      </c>
      <c r="O128" s="20">
        <v>3.175185160927016E-2</v>
      </c>
      <c r="P128" s="20">
        <v>8.4249843678186484E-2</v>
      </c>
      <c r="Q128" s="7"/>
      <c r="R128" s="20">
        <f>-(SUM([1]H7!$FM$49:$FP$49)/1000)/R121</f>
        <v>2.973211931027403E-2</v>
      </c>
      <c r="S128" s="20">
        <f>-(SUM([1]H7!$FM$50:$FP$50)/1000)/S121</f>
        <v>8.8173014889067772E-2</v>
      </c>
      <c r="T128" s="20">
        <f>-(SUM([1]H7!$FM$51:$FP$51)/1000)/T121</f>
        <v>0.17338782987484391</v>
      </c>
    </row>
    <row r="129" spans="2:20" ht="20.149999999999999" hidden="1" customHeight="1" outlineLevel="1" x14ac:dyDescent="0.25">
      <c r="B129" s="204"/>
      <c r="C129" s="9"/>
      <c r="D129" s="14" t="s">
        <v>97</v>
      </c>
      <c r="E129" s="7"/>
      <c r="F129" s="20">
        <v>0.25230566623334771</v>
      </c>
      <c r="G129" s="20">
        <v>0.21789589930375597</v>
      </c>
      <c r="H129" s="20">
        <v>0.28863188104065279</v>
      </c>
      <c r="I129" s="7"/>
      <c r="J129" s="20">
        <f>+J127+J128</f>
        <v>0.30096836427016843</v>
      </c>
      <c r="K129" s="20">
        <f>+K127+K128</f>
        <v>0.34248238486405858</v>
      </c>
      <c r="L129" s="20">
        <f>+L127+L128</f>
        <v>0.43327514007291423</v>
      </c>
      <c r="M129" s="7"/>
      <c r="N129" s="20">
        <v>0.25230566623334771</v>
      </c>
      <c r="O129" s="20">
        <v>0.21789589930375597</v>
      </c>
      <c r="P129" s="20">
        <v>0.28863188104065279</v>
      </c>
      <c r="Q129" s="7"/>
      <c r="R129" s="20">
        <f>+R127+R128</f>
        <v>0.30511053049617698</v>
      </c>
      <c r="S129" s="20">
        <f>+S127+S128</f>
        <v>0.34981858461835325</v>
      </c>
      <c r="T129" s="20">
        <f>+T127+T128</f>
        <v>0.43327514007291429</v>
      </c>
    </row>
    <row r="130" spans="2:20" ht="20.149999999999999" hidden="1" customHeight="1" outlineLevel="1" x14ac:dyDescent="0.25">
      <c r="B130" s="204"/>
      <c r="C130" s="9"/>
      <c r="D130" s="14" t="s">
        <v>90</v>
      </c>
      <c r="E130" s="7"/>
      <c r="F130" s="20"/>
      <c r="G130" s="20"/>
      <c r="H130" s="20"/>
      <c r="I130" s="7"/>
      <c r="J130" s="20">
        <f>-(SUM([1]H7!$AT$49:$BJ$49)/1000/J121)</f>
        <v>2.3729100761399863E-2</v>
      </c>
      <c r="K130" s="20">
        <f>-(SUM([1]H7!$AT$50:$BJ$50)/1000/K121)</f>
        <v>6.4796528719302221E-2</v>
      </c>
      <c r="L130" s="20">
        <f>-(SUM([1]H7!$AT$51:$BJ$51)/1000/L121)</f>
        <v>7.9327228100372099E-2</v>
      </c>
      <c r="M130" s="7"/>
      <c r="N130" s="20"/>
      <c r="O130" s="20"/>
      <c r="P130" s="20"/>
      <c r="Q130" s="7"/>
      <c r="R130" s="20">
        <f>-(SUM([1]H7!$FR$49:$GH$49)/1000/R121)</f>
        <v>1.0639512812352101</v>
      </c>
      <c r="S130" s="20">
        <f>-(SUM([1]H7!$FR$50:$GH$50)/1000/S121)</f>
        <v>8.7097471611945393E-2</v>
      </c>
      <c r="T130" s="20">
        <f>-(SUM([1]H7!$FR$51:$GH$51)/1000/T121)</f>
        <v>7.9327228100372113E-2</v>
      </c>
    </row>
    <row r="131" spans="2:20" ht="20.149999999999999" hidden="1" customHeight="1" outlineLevel="1" x14ac:dyDescent="0.25">
      <c r="B131" s="204"/>
      <c r="C131" s="9"/>
      <c r="D131" s="14" t="s">
        <v>79</v>
      </c>
      <c r="E131" s="8"/>
      <c r="F131" s="20">
        <v>0.60752022446644127</v>
      </c>
      <c r="G131" s="20">
        <v>0.37510778067330053</v>
      </c>
      <c r="H131" s="20">
        <v>0.48590079206163078</v>
      </c>
      <c r="I131" s="8"/>
      <c r="J131" s="20">
        <f>+J125+J126+J129+J130</f>
        <v>2.6479997780735891</v>
      </c>
      <c r="K131" s="20">
        <f>+K125+K126+K129+K130</f>
        <v>3.4926920601594684</v>
      </c>
      <c r="L131" s="20">
        <f>+L125+L126+L129+L130</f>
        <v>0.51347491672933976</v>
      </c>
      <c r="M131" s="8"/>
      <c r="N131" s="20">
        <v>0.60752022446644127</v>
      </c>
      <c r="O131" s="20">
        <v>0.37510778067330053</v>
      </c>
      <c r="P131" s="20">
        <v>0.48590079206163078</v>
      </c>
      <c r="Q131" s="8"/>
      <c r="R131" s="20">
        <f>+R125+R126+R129+R130</f>
        <v>2.2759650519531869</v>
      </c>
      <c r="S131" s="20">
        <f>+S125+S126+S129+S130</f>
        <v>1.2080802988092376</v>
      </c>
      <c r="T131" s="20">
        <f>+T125+T126+T129+T130</f>
        <v>0.51347491672933987</v>
      </c>
    </row>
    <row r="132" spans="2:20" ht="19.5" hidden="1" customHeight="1" outlineLevel="1" x14ac:dyDescent="0.25">
      <c r="B132" s="204"/>
      <c r="C132" s="9"/>
      <c r="D132" s="14" t="s">
        <v>34</v>
      </c>
      <c r="E132" s="6"/>
      <c r="F132" s="19">
        <v>0.9093967199999996</v>
      </c>
      <c r="G132" s="19">
        <v>1.5321518799999998</v>
      </c>
      <c r="H132" s="19">
        <v>1.1388253462569518</v>
      </c>
      <c r="I132" s="6"/>
      <c r="J132" s="19">
        <f>+[1]H7!$BK$49/1000</f>
        <v>-0.16455758999999998</v>
      </c>
      <c r="K132" s="19">
        <f>+[1]H7!$BK$50/1000</f>
        <v>-0.26879545999999993</v>
      </c>
      <c r="L132" s="19">
        <f>+[1]H7!$BK$51/1000</f>
        <v>7.8330538406576403E-3</v>
      </c>
      <c r="M132" s="6"/>
      <c r="N132" s="19">
        <v>0.9093967199999996</v>
      </c>
      <c r="O132" s="19">
        <v>1.5321518799999998</v>
      </c>
      <c r="P132" s="19">
        <v>1.1388253462569518</v>
      </c>
      <c r="Q132" s="6"/>
      <c r="R132" s="19">
        <f>+[1]H7!$GI$49/1000</f>
        <v>-4.1173439999999922E-2</v>
      </c>
      <c r="S132" s="19">
        <f>+[1]H7!$GI$50/1000</f>
        <v>-7.2472100000000308E-3</v>
      </c>
      <c r="T132" s="19">
        <f>+[1]H7!$GI$51/1000</f>
        <v>2.6110179468858794E-3</v>
      </c>
    </row>
    <row r="133" spans="2:20" ht="7.5" hidden="1" customHeight="1" outlineLevel="1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2:20" ht="19.5" hidden="1" customHeight="1" outlineLevel="1" x14ac:dyDescent="0.25">
      <c r="B134" s="204" t="s">
        <v>105</v>
      </c>
      <c r="C134" s="9"/>
      <c r="D134" s="14" t="s">
        <v>19</v>
      </c>
      <c r="E134" s="6"/>
      <c r="F134" s="19">
        <v>3.9291138499999994</v>
      </c>
      <c r="G134" s="19">
        <v>4.1917961400000001</v>
      </c>
      <c r="H134" s="19">
        <v>4.4139901662291425</v>
      </c>
      <c r="I134" s="6"/>
      <c r="J134" s="19">
        <f>+[1]H7!$C$57/1000</f>
        <v>1.8515454900000001</v>
      </c>
      <c r="K134" s="19">
        <f>+[1]H7!$C$58/1000</f>
        <v>1.8421648699999997</v>
      </c>
      <c r="L134" s="19">
        <f>+[1]H7!$C$59/1000</f>
        <v>1.67513</v>
      </c>
      <c r="M134" s="6"/>
      <c r="N134" s="19">
        <v>3.9291138499999994</v>
      </c>
      <c r="O134" s="19">
        <v>4.1917961400000001</v>
      </c>
      <c r="P134" s="19">
        <v>4.4139901662291425</v>
      </c>
      <c r="Q134" s="6"/>
      <c r="R134" s="19">
        <f>+[1]H7!$EA$57/1000</f>
        <v>0.28267289000000007</v>
      </c>
      <c r="S134" s="19">
        <f>+[1]H7!$EA$58/1000</f>
        <v>0.28943585999999982</v>
      </c>
      <c r="T134" s="19">
        <f>+[1]H7!$EA$59/1000</f>
        <v>0.25268000000000007</v>
      </c>
    </row>
    <row r="135" spans="2:20" ht="20.149999999999999" hidden="1" customHeight="1" outlineLevel="1" x14ac:dyDescent="0.25">
      <c r="B135" s="204"/>
      <c r="C135" s="9"/>
      <c r="D135" s="14" t="s">
        <v>20</v>
      </c>
      <c r="E135" s="6"/>
      <c r="F135" s="19">
        <v>3.9370871899999997</v>
      </c>
      <c r="G135" s="19">
        <v>4.2753675999999992</v>
      </c>
      <c r="H135" s="19">
        <v>4.4615854579151879</v>
      </c>
      <c r="I135" s="6"/>
      <c r="J135" s="19">
        <f>+[1]H7!$N$57/1000</f>
        <v>1.1937286300000001</v>
      </c>
      <c r="K135" s="19">
        <f>+[1]H7!$N$58/1000</f>
        <v>1.1827088899999998</v>
      </c>
      <c r="L135" s="19">
        <f>+[1]H7!$N$59/1000</f>
        <v>1.122198744404993</v>
      </c>
      <c r="M135" s="6"/>
      <c r="N135" s="19">
        <v>3.9370871899999997</v>
      </c>
      <c r="O135" s="19">
        <v>4.2753675999999992</v>
      </c>
      <c r="P135" s="19">
        <v>4.4615854579151879</v>
      </c>
      <c r="Q135" s="6"/>
      <c r="R135" s="19">
        <f>+[1]H7!$EL$57/1000</f>
        <v>0.41797353000000009</v>
      </c>
      <c r="S135" s="19">
        <f>+[1]H7!$EL$58/1000</f>
        <v>0.41973381999999992</v>
      </c>
      <c r="T135" s="19">
        <f>+[1]H7!$EL$59/1000</f>
        <v>0.37406624813499773</v>
      </c>
    </row>
    <row r="136" spans="2:20" ht="19.5" hidden="1" customHeight="1" outlineLevel="1" x14ac:dyDescent="0.25">
      <c r="B136" s="204"/>
      <c r="C136" s="9"/>
      <c r="D136" s="14" t="s">
        <v>92</v>
      </c>
      <c r="E136" s="6"/>
      <c r="F136" s="20">
        <f>F139-F137-F138</f>
        <v>0.49361970822901691</v>
      </c>
      <c r="G136" s="20">
        <f>G139-G137-G138</f>
        <v>0.20816248876470886</v>
      </c>
      <c r="H136" s="20">
        <f>H139-H137-H138</f>
        <v>0.28562485264551746</v>
      </c>
      <c r="I136" s="6"/>
      <c r="J136" s="20">
        <f>-(SUM([1]H7!$O$57,[1]H7!$R$57:$V$57,[1]H7!$Y$57:$AB$57)/1000)/J135</f>
        <v>2.5253897110602098E-2</v>
      </c>
      <c r="K136" s="20">
        <f>-(SUM([1]H7!$O$58,[1]H7!$R$58:$V$58,[1]H7!$Y$58:$AB$58)/1000)/K135</f>
        <v>3.3613825292206946E-2</v>
      </c>
      <c r="L136" s="20">
        <f>-(SUM([1]H7!$O$59,[1]H7!$R$59:$V$59,[1]H7!$Y$59:$AB$59)/1000)/L135</f>
        <v>0.15675987639965633</v>
      </c>
      <c r="M136" s="6"/>
      <c r="N136" s="20">
        <f>N139-N137-N138</f>
        <v>0.49361970822901691</v>
      </c>
      <c r="O136" s="20">
        <f>O139-O137-O138</f>
        <v>0.20816248876470886</v>
      </c>
      <c r="P136" s="20">
        <f>P139-P137-P138</f>
        <v>0.28562485264551746</v>
      </c>
      <c r="Q136" s="6"/>
      <c r="R136" s="20">
        <f>-(SUM([1]H7!$EM$57,[1]H7!$EP$57:$ET$57,[1]H7!$EW$57:$EZ$57)/1000)/R135</f>
        <v>2.7845806407884244E-2</v>
      </c>
      <c r="S136" s="20">
        <f>-(SUM([1]H7!$EM$58,[1]H7!$EP$58:$ET$58,[1]H7!$EW$58:$EZ$58)/1000)/S135</f>
        <v>3.1577989117007529E-2</v>
      </c>
      <c r="T136" s="20">
        <f>-(SUM([1]H7!$EM$59,[1]H7!$EP$59:$ET$59,[1]H7!$EW$59:$EZ$59)/1000)/T135</f>
        <v>0.1567598763996563</v>
      </c>
    </row>
    <row r="137" spans="2:20" ht="19.5" hidden="1" customHeight="1" outlineLevel="1" x14ac:dyDescent="0.25">
      <c r="B137" s="204"/>
      <c r="C137" s="9"/>
      <c r="D137" s="14" t="s">
        <v>93</v>
      </c>
      <c r="E137" s="6"/>
      <c r="F137" s="20">
        <f>IFERROR(SUM(INDEX(LL_TOT_BR_YTD,6,Month),INDEX(LL_IBNR_TOT_BR_YTD,6,Month))/F135,0)</f>
        <v>0</v>
      </c>
      <c r="G137" s="20">
        <f>IFERROR(SUM(INDEX(LL_TOT_BR_YTD_PREV,6,Month),INDEX(LL_IBNR_TOT_BR_YTD_PREV,6,Month))/G135,0)</f>
        <v>0</v>
      </c>
      <c r="H137" s="20">
        <f>IFERROR(SUM(INDEX(LL_TOT_BR_YTD_PLAN,6,Month),INDEX(LL_IBNR_TOT_BR_YTD_PLAN,6,Month))/H135,0)</f>
        <v>0</v>
      </c>
      <c r="I137" s="6"/>
      <c r="J137" s="20">
        <f>-(SUM([1]H7!$Q$57,[1]H7!$X$57)/1000)/J135</f>
        <v>0</v>
      </c>
      <c r="K137" s="20">
        <f>-(SUM([1]H7!$Q$58,[1]H7!$X$58)/1000)/K135</f>
        <v>0</v>
      </c>
      <c r="L137" s="20">
        <f>-(SUM([1]H7!$Q$59,[1]H7!$X$59)/1000)/L135</f>
        <v>0</v>
      </c>
      <c r="M137" s="6"/>
      <c r="N137" s="20">
        <f>IFERROR(SUM(INDEX(LL_TOT_BR_YTD,6,Month),INDEX(LL_IBNR_TOT_BR_YTD,6,Month))/N135,0)</f>
        <v>0</v>
      </c>
      <c r="O137" s="20">
        <f>IFERROR(SUM(INDEX(LL_TOT_BR_YTD_PREV,6,Month),INDEX(LL_IBNR_TOT_BR_YTD_PREV,6,Month))/O135,0)</f>
        <v>0</v>
      </c>
      <c r="P137" s="20">
        <f>IFERROR(SUM(INDEX(LL_TOT_BR_YTD_PLAN,6,Month),INDEX(LL_IBNR_TOT_BR_YTD_PLAN,6,Month))/P135,0)</f>
        <v>0</v>
      </c>
      <c r="Q137" s="6"/>
      <c r="R137" s="20">
        <f>-(SUM([1]H7!$EO$57,[1]H7!$EV$57)/1000)/R135</f>
        <v>0</v>
      </c>
      <c r="S137" s="20">
        <f>-(SUM([1]H7!$EO$58,[1]H7!$EV$58)/1000)/S135</f>
        <v>0</v>
      </c>
      <c r="T137" s="20">
        <f>-(SUM([1]H7!$EO$59,[1]H7!$EV$59)/1000)/T135</f>
        <v>0</v>
      </c>
    </row>
    <row r="138" spans="2:20" ht="19.5" hidden="1" customHeight="1" outlineLevel="1" x14ac:dyDescent="0.25">
      <c r="B138" s="204"/>
      <c r="C138" s="9"/>
      <c r="D138" s="14" t="s">
        <v>94</v>
      </c>
      <c r="E138" s="6"/>
      <c r="F138" s="20">
        <f>0</f>
        <v>0</v>
      </c>
      <c r="G138" s="20">
        <f>0</f>
        <v>0</v>
      </c>
      <c r="H138" s="20">
        <f>0</f>
        <v>0</v>
      </c>
      <c r="I138" s="6"/>
      <c r="J138" s="20">
        <f>-(SUM([1]H7!$P$57,[1]H7!$W$57)/1000)/J135</f>
        <v>0</v>
      </c>
      <c r="K138" s="20">
        <f>-(SUM([1]H7!$P$58,[1]H7!$W$58)/1000)/K135</f>
        <v>0</v>
      </c>
      <c r="L138" s="20">
        <f>-(SUM([1]H7!$P$59,[1]H7!$W$59)/1000)/L135</f>
        <v>0</v>
      </c>
      <c r="M138" s="6"/>
      <c r="N138" s="20">
        <f>0</f>
        <v>0</v>
      </c>
      <c r="O138" s="20">
        <f>0</f>
        <v>0</v>
      </c>
      <c r="P138" s="20">
        <f>0</f>
        <v>0</v>
      </c>
      <c r="Q138" s="6"/>
      <c r="R138" s="20">
        <f>-(SUM([1]H7!$EN$57,[1]H7!$EU$57)/1000)/R135</f>
        <v>0</v>
      </c>
      <c r="S138" s="20">
        <f>-(SUM([1]H7!$EN$58,[1]H7!$EU$58)/1000)/S135</f>
        <v>0</v>
      </c>
      <c r="T138" s="20">
        <f>-(SUM([1]H7!$EN$59,[1]H7!$EU$59)/1000)/T135</f>
        <v>0</v>
      </c>
    </row>
    <row r="139" spans="2:20" ht="19.5" hidden="1" customHeight="1" outlineLevel="2" x14ac:dyDescent="0.25">
      <c r="B139" s="204"/>
      <c r="C139" s="9"/>
      <c r="D139" s="14" t="s">
        <v>95</v>
      </c>
      <c r="E139" s="7"/>
      <c r="F139" s="20">
        <v>0.49361970822901691</v>
      </c>
      <c r="G139" s="20">
        <v>0.20816248876470886</v>
      </c>
      <c r="H139" s="20">
        <v>0.28562485264551746</v>
      </c>
      <c r="I139" s="7"/>
      <c r="J139" s="20">
        <f>+J136+J137+J138</f>
        <v>2.5253897110602098E-2</v>
      </c>
      <c r="K139" s="20">
        <f>+K136+K137+K138</f>
        <v>3.3613825292206946E-2</v>
      </c>
      <c r="L139" s="20">
        <f>+L136+L137+L138</f>
        <v>0.15675987639965633</v>
      </c>
      <c r="M139" s="7"/>
      <c r="N139" s="20">
        <v>0.49361970822901691</v>
      </c>
      <c r="O139" s="20">
        <v>0.20816248876470886</v>
      </c>
      <c r="P139" s="20">
        <v>0.28562485264551746</v>
      </c>
      <c r="Q139" s="7"/>
      <c r="R139" s="20">
        <f>+R136+R137+R138</f>
        <v>2.7845806407884244E-2</v>
      </c>
      <c r="S139" s="20">
        <f>+S136+S137+S138</f>
        <v>3.1577989117007529E-2</v>
      </c>
      <c r="T139" s="20">
        <f>+T136+T137+T138</f>
        <v>0.1567598763996563</v>
      </c>
    </row>
    <row r="140" spans="2:20" ht="20.149999999999999" hidden="1" customHeight="1" outlineLevel="1" x14ac:dyDescent="0.25">
      <c r="B140" s="204"/>
      <c r="C140" s="9"/>
      <c r="D140" s="14" t="s">
        <v>96</v>
      </c>
      <c r="E140" s="7"/>
      <c r="F140" s="20">
        <v>-0.24777656498889986</v>
      </c>
      <c r="G140" s="20">
        <v>-0.21788168577597833</v>
      </c>
      <c r="H140" s="20">
        <v>0</v>
      </c>
      <c r="I140" s="7"/>
      <c r="J140" s="20">
        <f>-(SUM([1]H7!$AC$57:$AK$57)/1000)/J135</f>
        <v>-1.5134562031908369E-2</v>
      </c>
      <c r="K140" s="20">
        <f>-(SUM([1]H7!$AC$58:$AK$58)/1000)/K135</f>
        <v>-8.5638402532004342E-3</v>
      </c>
      <c r="L140" s="20">
        <f>-(SUM([1]H7!$AC$59:$AK$59)/1000)/L135</f>
        <v>-1.4951604444465307E-3</v>
      </c>
      <c r="M140" s="7"/>
      <c r="N140" s="20">
        <v>-0.24777656498889986</v>
      </c>
      <c r="O140" s="20">
        <v>-0.21788168577597833</v>
      </c>
      <c r="P140" s="20">
        <v>0</v>
      </c>
      <c r="Q140" s="7"/>
      <c r="R140" s="20">
        <f>-(SUM([1]H7!$FA$57:$FI$57)/1000)/R135</f>
        <v>4.0762150655808266E-3</v>
      </c>
      <c r="S140" s="20">
        <f>-(SUM([1]H7!$FA$58:$FI$58)/1000)/S135</f>
        <v>-2.3596216287741615E-2</v>
      </c>
      <c r="T140" s="20">
        <f>-(SUM([1]H7!$FA$59:$FI$59)/1000)/T135</f>
        <v>-1.4951604444465305E-3</v>
      </c>
    </row>
    <row r="141" spans="2:20" ht="20.149999999999999" hidden="1" customHeight="1" outlineLevel="2" x14ac:dyDescent="0.25">
      <c r="B141" s="204"/>
      <c r="C141" s="9"/>
      <c r="D141" s="15" t="s">
        <v>87</v>
      </c>
      <c r="E141" s="7"/>
      <c r="F141" s="20">
        <v>0.1658069858493533</v>
      </c>
      <c r="G141" s="20">
        <v>0.21963125229278538</v>
      </c>
      <c r="H141" s="20">
        <v>0.16717916113669204</v>
      </c>
      <c r="I141" s="7"/>
      <c r="J141" s="20">
        <f>-(SUM([1]H7!$AL$57:$AN$57)/1000)/J135</f>
        <v>0.18766656371473639</v>
      </c>
      <c r="K141" s="20">
        <f>-(SUM([1]H7!$AL$58:$AN$58)/1000)/K135</f>
        <v>0.18666600197788322</v>
      </c>
      <c r="L141" s="20">
        <f>-(SUM([1]H7!$AL$59:$AN$59)/1000)/L135</f>
        <v>0.17466090942962509</v>
      </c>
      <c r="M141" s="7"/>
      <c r="N141" s="20">
        <v>0.1658069858493533</v>
      </c>
      <c r="O141" s="20">
        <v>0.21963125229278538</v>
      </c>
      <c r="P141" s="20">
        <v>0.16717916113669204</v>
      </c>
      <c r="Q141" s="7"/>
      <c r="R141" s="20">
        <f>-(SUM([1]H7!$FJ$57:$FL$57)/1000)/R135</f>
        <v>0.18713838170565492</v>
      </c>
      <c r="S141" s="20">
        <f>-(SUM([1]H7!$FJ$58:$FL$58)/1000)/S135</f>
        <v>0.18680534249062911</v>
      </c>
      <c r="T141" s="20">
        <f>-(SUM([1]H7!$FJ$59:$FL$59)/1000)/T135</f>
        <v>0.17466090942962503</v>
      </c>
    </row>
    <row r="142" spans="2:20" ht="20.149999999999999" hidden="1" customHeight="1" outlineLevel="2" x14ac:dyDescent="0.25">
      <c r="B142" s="204"/>
      <c r="C142" s="9"/>
      <c r="D142" s="15" t="s">
        <v>88</v>
      </c>
      <c r="E142" s="7"/>
      <c r="F142" s="20">
        <v>0.16807597293774948</v>
      </c>
      <c r="G142" s="20">
        <v>0.18193374529946854</v>
      </c>
      <c r="H142" s="20">
        <v>0.15908397356614867</v>
      </c>
      <c r="I142" s="7"/>
      <c r="J142" s="20">
        <f>-(SUM([1]H7!$AO$57:$AR$57)/1000)/J135</f>
        <v>0.10571958050465791</v>
      </c>
      <c r="K142" s="20">
        <f>-(SUM([1]H7!$AO$58:$AR$58)/1000)/K135</f>
        <v>0.15450128222169701</v>
      </c>
      <c r="L142" s="20">
        <f>-(SUM([1]H7!$AO$59:$AR$59)/1000)/L135</f>
        <v>0.11291969268749147</v>
      </c>
      <c r="M142" s="7"/>
      <c r="N142" s="20">
        <v>0.16807597293774948</v>
      </c>
      <c r="O142" s="20">
        <v>0.18193374529946854</v>
      </c>
      <c r="P142" s="20">
        <v>0.15908397356614867</v>
      </c>
      <c r="Q142" s="7"/>
      <c r="R142" s="20">
        <f>-(SUM([1]H7!$FM$57:$FP$57)/1000)/R135</f>
        <v>9.9281717672408579E-2</v>
      </c>
      <c r="S142" s="20">
        <f>-(SUM([1]H7!$FM$58:$FP$58)/1000)/S135</f>
        <v>0.14045048835950369</v>
      </c>
      <c r="T142" s="20">
        <f>-(SUM([1]H7!$FM$59:$FP$59)/1000)/T135</f>
        <v>0.11291969268749148</v>
      </c>
    </row>
    <row r="143" spans="2:20" ht="20.149999999999999" hidden="1" customHeight="1" outlineLevel="1" x14ac:dyDescent="0.25">
      <c r="B143" s="204"/>
      <c r="C143" s="9"/>
      <c r="D143" s="14" t="s">
        <v>97</v>
      </c>
      <c r="E143" s="7"/>
      <c r="F143" s="20">
        <v>0.33388295878710278</v>
      </c>
      <c r="G143" s="20" t="e">
        <v>#VALUE!</v>
      </c>
      <c r="H143" s="20">
        <v>0.32626313470284068</v>
      </c>
      <c r="I143" s="7"/>
      <c r="J143" s="20">
        <f>+J141+J142</f>
        <v>0.2933861442193943</v>
      </c>
      <c r="K143" s="20">
        <f>+K141+K142</f>
        <v>0.3411672841995802</v>
      </c>
      <c r="L143" s="20">
        <f>+L141+L142</f>
        <v>0.28758060211711656</v>
      </c>
      <c r="M143" s="7"/>
      <c r="N143" s="20">
        <v>0.33388295878710278</v>
      </c>
      <c r="O143" s="20" t="e">
        <v>#VALUE!</v>
      </c>
      <c r="P143" s="20">
        <v>0.32626313470284068</v>
      </c>
      <c r="Q143" s="7"/>
      <c r="R143" s="20">
        <f>+R141+R142</f>
        <v>0.28642009937806351</v>
      </c>
      <c r="S143" s="20">
        <f>+S141+S142</f>
        <v>0.32725583085013277</v>
      </c>
      <c r="T143" s="20">
        <f>+T141+T142</f>
        <v>0.2875806021171165</v>
      </c>
    </row>
    <row r="144" spans="2:20" ht="20.149999999999999" hidden="1" customHeight="1" outlineLevel="1" x14ac:dyDescent="0.25">
      <c r="B144" s="204"/>
      <c r="C144" s="9"/>
      <c r="D144" s="14" t="s">
        <v>90</v>
      </c>
      <c r="E144" s="7"/>
      <c r="F144" s="20"/>
      <c r="G144" s="20"/>
      <c r="H144" s="20"/>
      <c r="I144" s="7"/>
      <c r="J144" s="20">
        <f>-(SUM([1]H7!$AT$57:$BJ$57)/1000/J135)</f>
        <v>0.87488505658107563</v>
      </c>
      <c r="K144" s="20">
        <f>-(SUM([1]H7!$AT$58:$BJ$58)/1000/K135)</f>
        <v>0.89887479411776472</v>
      </c>
      <c r="L144" s="20">
        <f>-(SUM([1]H7!$AT$59:$BJ$59)/1000/L135)</f>
        <v>0.45767339198998486</v>
      </c>
      <c r="M144" s="7"/>
      <c r="N144" s="20"/>
      <c r="O144" s="20"/>
      <c r="P144" s="20"/>
      <c r="Q144" s="7"/>
      <c r="R144" s="20">
        <f>-(SUM([1]H7!$FR$57:$GH$57)/1000/R135)</f>
        <v>0.45331363447824047</v>
      </c>
      <c r="S144" s="20">
        <f>-(SUM([1]H7!$FR$58:$GH$58)/1000/S135)</f>
        <v>0.46668386169120218</v>
      </c>
      <c r="T144" s="20">
        <f>-(SUM([1]H7!$FR$59:$GH$59)/1000/T135)</f>
        <v>0.4576733919899848</v>
      </c>
    </row>
    <row r="145" spans="2:20" ht="20.149999999999999" hidden="1" customHeight="1" outlineLevel="1" x14ac:dyDescent="0.25">
      <c r="B145" s="204"/>
      <c r="C145" s="9"/>
      <c r="D145" s="14" t="s">
        <v>79</v>
      </c>
      <c r="E145" s="8"/>
      <c r="F145" s="20">
        <v>0.57972610202721986</v>
      </c>
      <c r="G145" s="20" t="e">
        <v>#VALUE!</v>
      </c>
      <c r="H145" s="20">
        <v>0.61188798734835825</v>
      </c>
      <c r="I145" s="8"/>
      <c r="J145" s="20">
        <f>+J139+J140+J143+J144</f>
        <v>1.1783905358791635</v>
      </c>
      <c r="K145" s="20">
        <f>+K139+K140+K143+K144</f>
        <v>1.2650920633563514</v>
      </c>
      <c r="L145" s="20">
        <f>+L139+L140+L143+L144</f>
        <v>0.90051871006231121</v>
      </c>
      <c r="M145" s="8"/>
      <c r="N145" s="20">
        <v>0.57972610202721986</v>
      </c>
      <c r="O145" s="20" t="e">
        <v>#VALUE!</v>
      </c>
      <c r="P145" s="20">
        <v>0.61188798734835825</v>
      </c>
      <c r="Q145" s="8"/>
      <c r="R145" s="20">
        <f>+R139+R140+R143+R144</f>
        <v>0.77165575532976904</v>
      </c>
      <c r="S145" s="20">
        <f>+S139+S140+S143+S144</f>
        <v>0.80192146537060083</v>
      </c>
      <c r="T145" s="20">
        <f>+T139+T140+T143+T144</f>
        <v>0.9005187100623111</v>
      </c>
    </row>
    <row r="146" spans="2:20" ht="19.5" hidden="1" customHeight="1" outlineLevel="1" x14ac:dyDescent="0.25">
      <c r="B146" s="204"/>
      <c r="C146" s="9"/>
      <c r="D146" s="14" t="s">
        <v>34</v>
      </c>
      <c r="E146" s="6"/>
      <c r="F146" s="19">
        <v>1.6546549799999999</v>
      </c>
      <c r="G146" s="19">
        <v>2.3881635999999977</v>
      </c>
      <c r="H146" s="19">
        <v>1.7315949116887599</v>
      </c>
      <c r="I146" s="6"/>
      <c r="J146" s="19">
        <f>+[1]H7!$BK$57/1000</f>
        <v>-0.21294989</v>
      </c>
      <c r="K146" s="19">
        <f>+[1]H7!$BK$58/1000</f>
        <v>-0.31352674000000003</v>
      </c>
      <c r="L146" s="19">
        <f>+[1]H7!$BK$59/1000</f>
        <v>0.1116377786598633</v>
      </c>
      <c r="M146" s="6"/>
      <c r="N146" s="19">
        <v>1.6546549799999999</v>
      </c>
      <c r="O146" s="19">
        <v>2.3881635999999977</v>
      </c>
      <c r="P146" s="19">
        <v>1.7315949116887599</v>
      </c>
      <c r="Q146" s="6"/>
      <c r="R146" s="19">
        <f>+[1]H7!$GI$57/1000</f>
        <v>9.5441850000000134E-2</v>
      </c>
      <c r="S146" s="19">
        <f>+[1]H7!$GI$58/1000</f>
        <v>8.3140259999999938E-2</v>
      </c>
      <c r="T146" s="19">
        <f>+[1]H7!$GI$59/1000</f>
        <v>3.7212592886621182E-2</v>
      </c>
    </row>
    <row r="147" spans="2:20" ht="7.5" hidden="1" customHeight="1" outlineLevel="1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2:20" ht="19.5" hidden="1" customHeight="1" outlineLevel="1" x14ac:dyDescent="0.25">
      <c r="B148" s="204" t="s">
        <v>106</v>
      </c>
      <c r="C148" s="9"/>
      <c r="D148" s="14" t="s">
        <v>19</v>
      </c>
      <c r="E148" s="6"/>
      <c r="F148" s="19">
        <v>39.956381669999999</v>
      </c>
      <c r="G148" s="19">
        <v>35.901614680000009</v>
      </c>
      <c r="H148" s="19">
        <v>36.922681321660534</v>
      </c>
      <c r="I148" s="6"/>
      <c r="J148" s="19">
        <f>+[1]H7!$C$45/1000</f>
        <v>0</v>
      </c>
      <c r="K148" s="19">
        <f>+[1]H7!$C$46/1000</f>
        <v>0</v>
      </c>
      <c r="L148" s="19">
        <f>+[1]H7!$C$47/1000</f>
        <v>0</v>
      </c>
      <c r="M148" s="6"/>
      <c r="N148" s="19">
        <v>39.956381669999999</v>
      </c>
      <c r="O148" s="19">
        <v>35.901614680000009</v>
      </c>
      <c r="P148" s="19">
        <v>36.922681321660534</v>
      </c>
      <c r="Q148" s="6"/>
      <c r="R148" s="19">
        <f>+[1]H7!$EA$45/1000</f>
        <v>0</v>
      </c>
      <c r="S148" s="19">
        <f>+[1]H7!$EA$46/1000</f>
        <v>0</v>
      </c>
      <c r="T148" s="19">
        <f>+[1]H7!$EA$47/1000</f>
        <v>0</v>
      </c>
    </row>
    <row r="149" spans="2:20" ht="20.149999999999999" hidden="1" customHeight="1" outlineLevel="1" x14ac:dyDescent="0.25">
      <c r="B149" s="204"/>
      <c r="C149" s="9"/>
      <c r="D149" s="14" t="s">
        <v>20</v>
      </c>
      <c r="E149" s="6"/>
      <c r="F149" s="19">
        <v>38.89488166000001</v>
      </c>
      <c r="G149" s="19">
        <v>34.339636540000008</v>
      </c>
      <c r="H149" s="19">
        <v>34.780579715753724</v>
      </c>
      <c r="I149" s="6"/>
      <c r="J149" s="19">
        <f>+[1]H7!$N$45/1000</f>
        <v>0</v>
      </c>
      <c r="K149" s="19">
        <f>+[1]H7!$N$46/1000</f>
        <v>0</v>
      </c>
      <c r="L149" s="19">
        <f>+[1]H7!$N$47/1000</f>
        <v>0</v>
      </c>
      <c r="M149" s="6"/>
      <c r="N149" s="19">
        <v>38.89488166000001</v>
      </c>
      <c r="O149" s="19">
        <v>34.339636540000008</v>
      </c>
      <c r="P149" s="19">
        <v>34.780579715753724</v>
      </c>
      <c r="Q149" s="6"/>
      <c r="R149" s="19">
        <f>+[1]H7!$EL$45/1000</f>
        <v>0</v>
      </c>
      <c r="S149" s="19">
        <f>+[1]H7!$EL$46/1000</f>
        <v>0</v>
      </c>
      <c r="T149" s="19">
        <f>+[1]H7!$EL$47/1000</f>
        <v>0</v>
      </c>
    </row>
    <row r="150" spans="2:20" ht="19.5" hidden="1" customHeight="1" outlineLevel="1" x14ac:dyDescent="0.25">
      <c r="B150" s="204"/>
      <c r="C150" s="9"/>
      <c r="D150" s="14" t="s">
        <v>92</v>
      </c>
      <c r="E150" s="6"/>
      <c r="F150" s="20">
        <f>F153-F151-F152</f>
        <v>0.69867287237299669</v>
      </c>
      <c r="G150" s="20">
        <f>G153-G151-G152</f>
        <v>0.47692328662020228</v>
      </c>
      <c r="H150" s="20">
        <f>H153-H151-H152</f>
        <v>0.60636957427339333</v>
      </c>
      <c r="I150" s="6"/>
      <c r="J150" s="20" t="e">
        <f>-(SUM([1]H7!$O$45,[1]H7!$R$45:$V$45,[1]H7!$Y$45:$AB$45)/1000)/J149</f>
        <v>#DIV/0!</v>
      </c>
      <c r="K150" s="20" t="e">
        <f>-(SUM([1]H7!$O$46,[1]H7!$R$46:$V$46,[1]H7!$Y$46:$AB$46)/1000)/K149</f>
        <v>#DIV/0!</v>
      </c>
      <c r="L150" s="20" t="e">
        <f>-(SUM([1]H7!$O$47,[1]H7!$R$47:$V$47,[1]H7!$Y$47:$AB$47)/1000)/L149</f>
        <v>#DIV/0!</v>
      </c>
      <c r="M150" s="6"/>
      <c r="N150" s="20">
        <f>N153-N151-N152</f>
        <v>0.69867287237299669</v>
      </c>
      <c r="O150" s="20">
        <f>O153-O151-O152</f>
        <v>0.47692328662020228</v>
      </c>
      <c r="P150" s="20">
        <f>P153-P151-P152</f>
        <v>0.60636957427339333</v>
      </c>
      <c r="Q150" s="6"/>
      <c r="R150" s="20" t="e">
        <f>-(SUM([1]H7!$EM$45,[1]H7!$EP$45:$ET$45,[1]H7!$EW$45:$EZ$45)/1000)/R149</f>
        <v>#DIV/0!</v>
      </c>
      <c r="S150" s="20" t="e">
        <f>-(SUM([1]H7!$EM$46,[1]H7!$EP$46:$ET$46,[1]H7!$EW$46:$EZ$46)/1000)/S149</f>
        <v>#DIV/0!</v>
      </c>
      <c r="T150" s="20" t="e">
        <f>-(SUM([1]H7!$EM$47,[1]H7!$EP$47:$ET$47,[1]H7!$EW$47:$EZ$47)/1000)/T149</f>
        <v>#DIV/0!</v>
      </c>
    </row>
    <row r="151" spans="2:20" ht="19.5" hidden="1" customHeight="1" outlineLevel="1" x14ac:dyDescent="0.25">
      <c r="B151" s="204"/>
      <c r="C151" s="9"/>
      <c r="D151" s="14" t="s">
        <v>93</v>
      </c>
      <c r="E151" s="6"/>
      <c r="F151" s="20">
        <f>IFERROR(SUM(INDEX(LL_TOT_BR_YTD,8,Month),INDEX(LL_IBNR_TOT_BR_YTD,8,Month))/F149,0)</f>
        <v>0</v>
      </c>
      <c r="G151" s="20">
        <f>IFERROR(SUM(INDEX(LL_TOT_BR_YTD_PREV,8,Month),INDEX(LL_IBNR_TOT_BR_YTD_PREV,8,Month))/G149,0)</f>
        <v>0</v>
      </c>
      <c r="H151" s="20">
        <f>IFERROR(SUM(INDEX(LL_TOT_BR_YTD_PLAN,8,Month),INDEX(LL_IBNR_TOT_BR_YTD_PLAN,8,Month))/H149,0)</f>
        <v>0</v>
      </c>
      <c r="I151" s="6"/>
      <c r="J151" s="20" t="e">
        <f>-(SUM([1]H7!$Q$45,[1]H7!$X$45)/1000)/J149</f>
        <v>#DIV/0!</v>
      </c>
      <c r="K151" s="20" t="e">
        <f>-(SUM([1]H7!$Q$46,[1]H7!$X$46)/1000)/K149</f>
        <v>#DIV/0!</v>
      </c>
      <c r="L151" s="20" t="e">
        <f>-(SUM([1]H7!$Q$47,[1]H7!$X$47)/1000)/L149</f>
        <v>#DIV/0!</v>
      </c>
      <c r="M151" s="6"/>
      <c r="N151" s="20">
        <f>IFERROR(SUM(INDEX(LL_TOT_BR_YTD,8,Month),INDEX(LL_IBNR_TOT_BR_YTD,8,Month))/N149,0)</f>
        <v>0</v>
      </c>
      <c r="O151" s="20">
        <f>IFERROR(SUM(INDEX(LL_TOT_BR_YTD_PREV,8,Month),INDEX(LL_IBNR_TOT_BR_YTD_PREV,8,Month))/O149,0)</f>
        <v>0</v>
      </c>
      <c r="P151" s="20">
        <f>IFERROR(SUM(INDEX(LL_TOT_BR_YTD_PLAN,8,Month),INDEX(LL_IBNR_TOT_BR_YTD_PLAN,8,Month))/P149,0)</f>
        <v>0</v>
      </c>
      <c r="Q151" s="6"/>
      <c r="R151" s="20" t="e">
        <f>-(SUM([1]H7!$EO$45,[1]H7!$EV$45)/1000)/R149</f>
        <v>#DIV/0!</v>
      </c>
      <c r="S151" s="20" t="e">
        <f>-(SUM([1]H7!$EO$46,[1]H7!$EV$46)/1000)/S149</f>
        <v>#DIV/0!</v>
      </c>
      <c r="T151" s="20" t="e">
        <f>-(SUM([1]H7!$EO$47,[1]H7!$EV$47)/1000)/T149</f>
        <v>#DIV/0!</v>
      </c>
    </row>
    <row r="152" spans="2:20" ht="19.5" hidden="1" customHeight="1" outlineLevel="1" x14ac:dyDescent="0.25">
      <c r="B152" s="204"/>
      <c r="C152" s="9"/>
      <c r="D152" s="14" t="s">
        <v>94</v>
      </c>
      <c r="E152" s="6"/>
      <c r="F152" s="20">
        <f>0</f>
        <v>0</v>
      </c>
      <c r="G152" s="20">
        <f>0</f>
        <v>0</v>
      </c>
      <c r="H152" s="20">
        <f>0</f>
        <v>0</v>
      </c>
      <c r="I152" s="6"/>
      <c r="J152" s="20" t="e">
        <f>-(SUM([1]H7!$P$45,[1]H7!$W$45)/1000)/J149</f>
        <v>#DIV/0!</v>
      </c>
      <c r="K152" s="20" t="e">
        <f>-(SUM([1]H7!$P$46,[1]H7!$W$46)/1000)/K149</f>
        <v>#DIV/0!</v>
      </c>
      <c r="L152" s="20" t="e">
        <f>-(SUM([1]H7!$P$47,[1]H7!$W$47)/1000)/L149</f>
        <v>#DIV/0!</v>
      </c>
      <c r="M152" s="6"/>
      <c r="N152" s="20">
        <f>0</f>
        <v>0</v>
      </c>
      <c r="O152" s="20">
        <f>0</f>
        <v>0</v>
      </c>
      <c r="P152" s="20">
        <f>0</f>
        <v>0</v>
      </c>
      <c r="Q152" s="6"/>
      <c r="R152" s="20" t="e">
        <f>-(SUM([1]H7!$EN$45,[1]H7!$EU$45)/1000)/R149</f>
        <v>#DIV/0!</v>
      </c>
      <c r="S152" s="20" t="e">
        <f>-(SUM([1]H7!$EN$46,[1]H7!$EU$46)/1000)/S149</f>
        <v>#DIV/0!</v>
      </c>
      <c r="T152" s="20" t="e">
        <f>-(SUM([1]H7!$EN$47,[1]H7!$EU$47)/1000)/T149</f>
        <v>#DIV/0!</v>
      </c>
    </row>
    <row r="153" spans="2:20" ht="19.5" hidden="1" customHeight="1" outlineLevel="2" x14ac:dyDescent="0.25">
      <c r="B153" s="204"/>
      <c r="C153" s="9"/>
      <c r="D153" s="14" t="s">
        <v>95</v>
      </c>
      <c r="E153" s="7"/>
      <c r="F153" s="20">
        <v>0.69867287237299669</v>
      </c>
      <c r="G153" s="20">
        <v>0.47692328662020228</v>
      </c>
      <c r="H153" s="20">
        <v>0.60636957427339333</v>
      </c>
      <c r="I153" s="7"/>
      <c r="J153" s="20" t="e">
        <f>+J150+J151+J152</f>
        <v>#DIV/0!</v>
      </c>
      <c r="K153" s="20" t="e">
        <f>+K150+K151+K152</f>
        <v>#DIV/0!</v>
      </c>
      <c r="L153" s="20" t="e">
        <f>+L150+L151+L152</f>
        <v>#DIV/0!</v>
      </c>
      <c r="M153" s="7"/>
      <c r="N153" s="20">
        <v>0.69867287237299669</v>
      </c>
      <c r="O153" s="20">
        <v>0.47692328662020228</v>
      </c>
      <c r="P153" s="20">
        <v>0.60636957427339333</v>
      </c>
      <c r="Q153" s="7"/>
      <c r="R153" s="20" t="e">
        <f>+R150+R151+R152</f>
        <v>#DIV/0!</v>
      </c>
      <c r="S153" s="20" t="e">
        <f>+S150+S151+S152</f>
        <v>#DIV/0!</v>
      </c>
      <c r="T153" s="20" t="e">
        <f>+T150+T151+T152</f>
        <v>#DIV/0!</v>
      </c>
    </row>
    <row r="154" spans="2:20" ht="20.149999999999999" hidden="1" customHeight="1" outlineLevel="1" x14ac:dyDescent="0.25">
      <c r="B154" s="204"/>
      <c r="C154" s="9"/>
      <c r="D154" s="14" t="s">
        <v>96</v>
      </c>
      <c r="E154" s="7"/>
      <c r="F154" s="20">
        <v>5.6663226777895473E-3</v>
      </c>
      <c r="G154" s="20">
        <v>-2.030074194838988E-3</v>
      </c>
      <c r="H154" s="20">
        <v>0</v>
      </c>
      <c r="I154" s="7"/>
      <c r="J154" s="20" t="e">
        <f>-(SUM([1]H7!$AC$45:$AK$45)/1000)/J149</f>
        <v>#DIV/0!</v>
      </c>
      <c r="K154" s="20" t="e">
        <f>-(SUM([1]H7!$AC$46:$AK$46)/1000)/K149</f>
        <v>#DIV/0!</v>
      </c>
      <c r="L154" s="20" t="e">
        <f>-(SUM([1]H7!$AC$47:$AK$47)/1000)/L149</f>
        <v>#DIV/0!</v>
      </c>
      <c r="M154" s="7"/>
      <c r="N154" s="20">
        <v>5.6663226777895473E-3</v>
      </c>
      <c r="O154" s="20">
        <v>-2.030074194838988E-3</v>
      </c>
      <c r="P154" s="20">
        <v>0</v>
      </c>
      <c r="Q154" s="7"/>
      <c r="R154" s="20" t="e">
        <f>-(SUM([1]H7!$FA$45:$FI$45)/1000)/R149</f>
        <v>#DIV/0!</v>
      </c>
      <c r="S154" s="20" t="e">
        <f>-(SUM([1]H7!$FA$46:$FI$46)/1000)/S149</f>
        <v>#DIV/0!</v>
      </c>
      <c r="T154" s="20" t="e">
        <f>-(SUM([1]H7!$FA$47:$FI$47)/1000)/T149</f>
        <v>#DIV/0!</v>
      </c>
    </row>
    <row r="155" spans="2:20" ht="20.149999999999999" hidden="1" customHeight="1" outlineLevel="2" x14ac:dyDescent="0.25">
      <c r="B155" s="204"/>
      <c r="C155" s="9"/>
      <c r="D155" s="15" t="s">
        <v>87</v>
      </c>
      <c r="E155" s="7"/>
      <c r="F155" s="20">
        <v>0.14842470046481682</v>
      </c>
      <c r="G155" s="20">
        <v>0.14479700052177655</v>
      </c>
      <c r="H155" s="20">
        <v>0.14035990349661451</v>
      </c>
      <c r="I155" s="7"/>
      <c r="J155" s="20" t="e">
        <f>-(SUM([1]H7!$AL$45:$AN$45)/1000)/J149</f>
        <v>#DIV/0!</v>
      </c>
      <c r="K155" s="20" t="e">
        <f>-(SUM([1]H7!$AL$46:$AN$46)/1000)/K149</f>
        <v>#DIV/0!</v>
      </c>
      <c r="L155" s="20" t="e">
        <f>-(SUM([1]H7!$AL$47:$AN$47)/1000)/L149</f>
        <v>#DIV/0!</v>
      </c>
      <c r="M155" s="7"/>
      <c r="N155" s="20">
        <v>0.14842470046481682</v>
      </c>
      <c r="O155" s="20">
        <v>0.14479700052177655</v>
      </c>
      <c r="P155" s="20">
        <v>0.14035990349661451</v>
      </c>
      <c r="Q155" s="7"/>
      <c r="R155" s="20" t="e">
        <f>-(SUM([1]H7!$FJ$45:$FL$45)/1000)/R149</f>
        <v>#DIV/0!</v>
      </c>
      <c r="S155" s="20" t="e">
        <f>-(SUM([1]H7!$FJ$46:$FL$46)/1000)/S149</f>
        <v>#DIV/0!</v>
      </c>
      <c r="T155" s="20" t="e">
        <f>-(SUM([1]H7!$FJ$47:$FL$47)/1000)/T149</f>
        <v>#DIV/0!</v>
      </c>
    </row>
    <row r="156" spans="2:20" ht="20.149999999999999" hidden="1" customHeight="1" outlineLevel="2" x14ac:dyDescent="0.25">
      <c r="B156" s="204"/>
      <c r="C156" s="9"/>
      <c r="D156" s="15" t="s">
        <v>88</v>
      </c>
      <c r="E156" s="7"/>
      <c r="F156" s="20">
        <v>0.10688467614687169</v>
      </c>
      <c r="G156" s="20">
        <v>0.1200591187154131</v>
      </c>
      <c r="H156" s="20">
        <v>0.12893493499093631</v>
      </c>
      <c r="I156" s="7"/>
      <c r="J156" s="20" t="e">
        <f>-(SUM([1]H7!$AO$45:$AR$45)/1000)/J149</f>
        <v>#DIV/0!</v>
      </c>
      <c r="K156" s="20" t="e">
        <f>-(SUM([1]H7!$AO$46:$AR$46)/1000)/K149</f>
        <v>#DIV/0!</v>
      </c>
      <c r="L156" s="20" t="e">
        <f>-(SUM([1]H7!$AO$47:$AR$47)/1000)/L149</f>
        <v>#DIV/0!</v>
      </c>
      <c r="M156" s="7"/>
      <c r="N156" s="20">
        <v>0.10688467614687169</v>
      </c>
      <c r="O156" s="20">
        <v>0.1200591187154131</v>
      </c>
      <c r="P156" s="20">
        <v>0.12893493499093631</v>
      </c>
      <c r="Q156" s="7"/>
      <c r="R156" s="20" t="e">
        <f>-(SUM([1]H7!$FM$45:$FP$45)/1000)/R149</f>
        <v>#DIV/0!</v>
      </c>
      <c r="S156" s="20" t="e">
        <f>-(SUM([1]H7!$FM$46:$FP$46)/1000)/S149</f>
        <v>#DIV/0!</v>
      </c>
      <c r="T156" s="20" t="e">
        <f>-(SUM([1]H7!$FM$47:$FP$47)/1000)/T149</f>
        <v>#DIV/0!</v>
      </c>
    </row>
    <row r="157" spans="2:20" ht="20.149999999999999" hidden="1" customHeight="1" outlineLevel="1" x14ac:dyDescent="0.25">
      <c r="B157" s="204"/>
      <c r="C157" s="9"/>
      <c r="D157" s="14" t="s">
        <v>97</v>
      </c>
      <c r="E157" s="7"/>
      <c r="F157" s="20">
        <v>0.25530937661168845</v>
      </c>
      <c r="G157" s="20">
        <v>0.2648561192371896</v>
      </c>
      <c r="H157" s="20">
        <v>0.26929483848755081</v>
      </c>
      <c r="I157" s="7"/>
      <c r="J157" s="20" t="e">
        <f>+J155+J156</f>
        <v>#DIV/0!</v>
      </c>
      <c r="K157" s="20" t="e">
        <f>+K155+K156</f>
        <v>#DIV/0!</v>
      </c>
      <c r="L157" s="20" t="e">
        <f>+L155+L156</f>
        <v>#DIV/0!</v>
      </c>
      <c r="M157" s="7"/>
      <c r="N157" s="20">
        <v>0.25530937661168845</v>
      </c>
      <c r="O157" s="20">
        <v>0.2648561192371896</v>
      </c>
      <c r="P157" s="20">
        <v>0.26929483848755081</v>
      </c>
      <c r="Q157" s="7"/>
      <c r="R157" s="20" t="e">
        <f>+R155+R156</f>
        <v>#DIV/0!</v>
      </c>
      <c r="S157" s="20" t="e">
        <f>+S155+S156</f>
        <v>#DIV/0!</v>
      </c>
      <c r="T157" s="20" t="e">
        <f>+T155+T156</f>
        <v>#DIV/0!</v>
      </c>
    </row>
    <row r="158" spans="2:20" ht="20.149999999999999" hidden="1" customHeight="1" outlineLevel="1" x14ac:dyDescent="0.25">
      <c r="B158" s="204"/>
      <c r="C158" s="9"/>
      <c r="D158" s="14" t="s">
        <v>90</v>
      </c>
      <c r="E158" s="7"/>
      <c r="F158" s="20"/>
      <c r="G158" s="20"/>
      <c r="H158" s="20"/>
      <c r="I158" s="7"/>
      <c r="J158" s="20" t="e">
        <f>-(SUM([1]H7!$AT$45:$BJ$45)/1000/J149)</f>
        <v>#DIV/0!</v>
      </c>
      <c r="K158" s="20" t="e">
        <f>-(SUM([1]H7!$AT$46:$BJ$46)/1000/K149)</f>
        <v>#DIV/0!</v>
      </c>
      <c r="L158" s="20" t="e">
        <f>-(SUM([1]H7!$AT$47:$BJ$47)/1000/L149)</f>
        <v>#DIV/0!</v>
      </c>
      <c r="M158" s="7"/>
      <c r="N158" s="20"/>
      <c r="O158" s="20"/>
      <c r="P158" s="20"/>
      <c r="Q158" s="7"/>
      <c r="R158" s="20" t="e">
        <f>-(SUM([1]H7!$FR$45:$GH$45)/1000/R149)</f>
        <v>#DIV/0!</v>
      </c>
      <c r="S158" s="20" t="e">
        <f>-(SUM([1]H7!$FR$46:$GH$46)/1000/S149)</f>
        <v>#DIV/0!</v>
      </c>
      <c r="T158" s="20" t="e">
        <f>-(SUM([1]H7!$FR$47:$GH$47)/1000/T149)</f>
        <v>#DIV/0!</v>
      </c>
    </row>
    <row r="159" spans="2:20" ht="20.149999999999999" hidden="1" customHeight="1" outlineLevel="1" x14ac:dyDescent="0.25">
      <c r="B159" s="204"/>
      <c r="C159" s="9"/>
      <c r="D159" s="14" t="s">
        <v>79</v>
      </c>
      <c r="E159" s="8"/>
      <c r="F159" s="20">
        <v>0.95964857166247464</v>
      </c>
      <c r="G159" s="20">
        <v>0.73974933166255308</v>
      </c>
      <c r="H159" s="20">
        <v>0.8756644127609442</v>
      </c>
      <c r="I159" s="8"/>
      <c r="J159" s="20" t="e">
        <f>+J153+J154+J157+J158</f>
        <v>#DIV/0!</v>
      </c>
      <c r="K159" s="20" t="e">
        <f>+K153+K154+K157+K158</f>
        <v>#DIV/0!</v>
      </c>
      <c r="L159" s="20" t="e">
        <f>+L153+L154+L157+L158</f>
        <v>#DIV/0!</v>
      </c>
      <c r="M159" s="8"/>
      <c r="N159" s="20">
        <v>0.95964857166247464</v>
      </c>
      <c r="O159" s="20">
        <v>0.73974933166255308</v>
      </c>
      <c r="P159" s="20">
        <v>0.8756644127609442</v>
      </c>
      <c r="Q159" s="8"/>
      <c r="R159" s="20" t="e">
        <f>+R153+R154+R157+R158</f>
        <v>#DIV/0!</v>
      </c>
      <c r="S159" s="20" t="e">
        <f>+S153+S154+S157+S158</f>
        <v>#DIV/0!</v>
      </c>
      <c r="T159" s="20" t="e">
        <f>+T153+T154+T157+T158</f>
        <v>#DIV/0!</v>
      </c>
    </row>
    <row r="160" spans="2:20" ht="19.5" hidden="1" customHeight="1" outlineLevel="1" x14ac:dyDescent="0.25">
      <c r="B160" s="204"/>
      <c r="C160" s="9"/>
      <c r="D160" s="14" t="s">
        <v>34</v>
      </c>
      <c r="E160" s="6"/>
      <c r="F160" s="19">
        <v>1.5694640300000162</v>
      </c>
      <c r="G160" s="19">
        <v>8.946853150000015</v>
      </c>
      <c r="H160" s="19">
        <v>4.3244638034730354</v>
      </c>
      <c r="I160" s="6"/>
      <c r="J160" s="19">
        <f>+[1]H7!$BK$45/1000</f>
        <v>-8.2054980000000013E-2</v>
      </c>
      <c r="K160" s="19">
        <f>+[1]H7!$BK$46/1000</f>
        <v>-0.12418120999999999</v>
      </c>
      <c r="L160" s="19">
        <f>+[1]H7!$BK$47/1000</f>
        <v>-8.8812571213669877E-3</v>
      </c>
      <c r="M160" s="6"/>
      <c r="N160" s="19">
        <v>1.5694640300000162</v>
      </c>
      <c r="O160" s="19">
        <v>8.946853150000015</v>
      </c>
      <c r="P160" s="19">
        <v>4.3244638034730354</v>
      </c>
      <c r="Q160" s="6"/>
      <c r="R160" s="19">
        <f>+[1]H7!$GI$45/1000</f>
        <v>-3.3434470000000008E-2</v>
      </c>
      <c r="S160" s="19">
        <f>+[1]H7!$GI$46/1000</f>
        <v>-3.7979739999999998E-2</v>
      </c>
      <c r="T160" s="19">
        <f>+[1]H7!$GI$47/1000</f>
        <v>-2.9604190404556628E-3</v>
      </c>
    </row>
    <row r="161" spans="2:20" ht="7.5" hidden="1" customHeight="1" outlineLevel="1" x14ac:dyDescent="0.25">
      <c r="D161" s="21"/>
      <c r="E161" s="2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2:20" ht="19.5" hidden="1" customHeight="1" outlineLevel="1" x14ac:dyDescent="0.25">
      <c r="B162" s="204" t="s">
        <v>107</v>
      </c>
      <c r="C162" s="9"/>
      <c r="D162" s="14" t="s">
        <v>19</v>
      </c>
      <c r="E162" s="6"/>
      <c r="F162" s="19">
        <v>4.6081165099999994</v>
      </c>
      <c r="G162" s="19">
        <v>4.81530491</v>
      </c>
      <c r="H162" s="19">
        <v>4.6299022050921828</v>
      </c>
      <c r="I162" s="6"/>
      <c r="J162" s="19">
        <f>+[1]H7!$C$53/1000</f>
        <v>0.47533717000000014</v>
      </c>
      <c r="K162" s="19">
        <f>+[1]H7!$C$54/1000</f>
        <v>0.46315492000000003</v>
      </c>
      <c r="L162" s="19">
        <f>+[1]H7!$C$55/1000</f>
        <v>0.46905000000000002</v>
      </c>
      <c r="M162" s="6"/>
      <c r="N162" s="19">
        <v>4.6081165099999994</v>
      </c>
      <c r="O162" s="19">
        <v>4.81530491</v>
      </c>
      <c r="P162" s="19">
        <v>4.6299022050921828</v>
      </c>
      <c r="Q162" s="6"/>
      <c r="R162" s="19">
        <f>+[1]H7!$EA$53/1000</f>
        <v>6.303692000000001E-2</v>
      </c>
      <c r="S162" s="19">
        <f>+[1]H7!$EA$54/1000</f>
        <v>4.1591589999999998E-2</v>
      </c>
      <c r="T162" s="19">
        <f>+[1]H7!$EA$55/1000</f>
        <v>5.3890000000000042E-2</v>
      </c>
    </row>
    <row r="163" spans="2:20" ht="20.149999999999999" hidden="1" customHeight="1" outlineLevel="1" x14ac:dyDescent="0.25">
      <c r="B163" s="204"/>
      <c r="C163" s="9"/>
      <c r="D163" s="14" t="s">
        <v>20</v>
      </c>
      <c r="E163" s="6"/>
      <c r="F163" s="19">
        <v>-1.7088570000000278E-2</v>
      </c>
      <c r="G163" s="19">
        <v>-2.7836631900000022</v>
      </c>
      <c r="H163" s="19">
        <v>0.52833225436411024</v>
      </c>
      <c r="I163" s="6"/>
      <c r="J163" s="19">
        <f>+[1]H7!$N$53/1000</f>
        <v>-0.35416648000000023</v>
      </c>
      <c r="K163" s="19">
        <f>+[1]H7!$N$54/1000</f>
        <v>0.25918831999999997</v>
      </c>
      <c r="L163" s="19">
        <f>+[1]H7!$N$55/1000</f>
        <v>0.2572952052992224</v>
      </c>
      <c r="M163" s="6"/>
      <c r="N163" s="19">
        <v>-1.7088570000000278E-2</v>
      </c>
      <c r="O163" s="19">
        <v>-2.7836631900000022</v>
      </c>
      <c r="P163" s="19">
        <v>0.52833225436411024</v>
      </c>
      <c r="Q163" s="6"/>
      <c r="R163" s="19">
        <f>+[1]H7!$EL$53/1000</f>
        <v>0.16908209999999996</v>
      </c>
      <c r="S163" s="19">
        <f>+[1]H7!$EL$54/1000</f>
        <v>8.1852989999999973E-2</v>
      </c>
      <c r="T163" s="19">
        <f>+[1]H7!$EL$55/1000</f>
        <v>8.5765068433074132E-2</v>
      </c>
    </row>
    <row r="164" spans="2:20" ht="19.5" hidden="1" customHeight="1" outlineLevel="1" x14ac:dyDescent="0.25">
      <c r="B164" s="204"/>
      <c r="C164" s="9"/>
      <c r="D164" s="14" t="s">
        <v>92</v>
      </c>
      <c r="E164" s="6"/>
      <c r="F164" s="20">
        <f>F167-F165-F166</f>
        <v>-0.76858040198798272</v>
      </c>
      <c r="G164" s="20">
        <f>G167-G165-G166</f>
        <v>-2.335659724695354E-3</v>
      </c>
      <c r="H164" s="20">
        <f>H167-H165-H166</f>
        <v>0.20755285761585987</v>
      </c>
      <c r="I164" s="6"/>
      <c r="J164" s="20">
        <f>-(SUM([1]H7!$O$53,[1]H7!$R$53:$V$53,[1]H7!$Y$53:$AB$53)/1000)/J163</f>
        <v>-0.10648543024173256</v>
      </c>
      <c r="K164" s="20">
        <f>-(SUM([1]H7!$O$54,[1]H7!$R$54:$V$54,[1]H7!$Y$54:$AB$54)/1000)/K163</f>
        <v>0.16289576629070324</v>
      </c>
      <c r="L164" s="20">
        <f>-(SUM([1]H7!$O$55,[1]H7!$R$55:$V$55,[1]H7!$Y$55:$AB$55)/1000)/L163</f>
        <v>0.20283496931892583</v>
      </c>
      <c r="M164" s="6"/>
      <c r="N164" s="20">
        <f>N167-N165-N166</f>
        <v>-0.76858040198798272</v>
      </c>
      <c r="O164" s="20">
        <f>O167-O165-O166</f>
        <v>-2.335659724695354E-3</v>
      </c>
      <c r="P164" s="20">
        <f>P167-P165-P166</f>
        <v>0.20755285761585987</v>
      </c>
      <c r="Q164" s="6"/>
      <c r="R164" s="20">
        <f>-(SUM([1]H7!$EM$53,[1]H7!$EP$53:$ET$53,[1]H7!$EW$53:$EZ$53)/1000)/R163</f>
        <v>0.10073248439663336</v>
      </c>
      <c r="S164" s="20">
        <f>-(SUM([1]H7!$EM$54,[1]H7!$EP$54:$ET$54,[1]H7!$EW$54:$EZ$54)/1000)/S163</f>
        <v>0.16181766848101706</v>
      </c>
      <c r="T164" s="20">
        <f>-(SUM([1]H7!$EM$55,[1]H7!$EP$55:$ET$55,[1]H7!$EW$55:$EZ$55)/1000)/T163</f>
        <v>0.20283496931892581</v>
      </c>
    </row>
    <row r="165" spans="2:20" ht="19.5" hidden="1" customHeight="1" outlineLevel="1" x14ac:dyDescent="0.25">
      <c r="B165" s="204"/>
      <c r="C165" s="9"/>
      <c r="D165" s="14" t="s">
        <v>93</v>
      </c>
      <c r="E165" s="6"/>
      <c r="F165" s="20">
        <f>0</f>
        <v>0</v>
      </c>
      <c r="G165" s="20">
        <f>0</f>
        <v>0</v>
      </c>
      <c r="H165" s="20">
        <f>0</f>
        <v>0</v>
      </c>
      <c r="I165" s="6"/>
      <c r="J165" s="20">
        <f>-(SUM([1]H7!$Q$53,[1]H7!$X$53)/1000)/J163</f>
        <v>0</v>
      </c>
      <c r="K165" s="20">
        <f>-(SUM([1]H7!$Q$54,[1]H7!$X$54)/1000)/K163</f>
        <v>0</v>
      </c>
      <c r="L165" s="20">
        <f>-(SUM([1]H7!$Q$55,[1]H7!$X$55)/1000)/L163</f>
        <v>0</v>
      </c>
      <c r="M165" s="6"/>
      <c r="N165" s="20">
        <f>0</f>
        <v>0</v>
      </c>
      <c r="O165" s="20">
        <f>0</f>
        <v>0</v>
      </c>
      <c r="P165" s="20">
        <f>0</f>
        <v>0</v>
      </c>
      <c r="Q165" s="6"/>
      <c r="R165" s="20">
        <f>-(SUM([1]H7!$EO$53,[1]H7!$EV$53)/1000)/R163</f>
        <v>0</v>
      </c>
      <c r="S165" s="20">
        <f>-(SUM([1]H7!$EO$54,[1]H7!$EV$54)/1000)/S163</f>
        <v>0</v>
      </c>
      <c r="T165" s="20">
        <f>-(SUM([1]H7!$EO$55,[1]H7!$EV$55)/1000)/T163</f>
        <v>0</v>
      </c>
    </row>
    <row r="166" spans="2:20" ht="19.5" hidden="1" customHeight="1" outlineLevel="1" x14ac:dyDescent="0.25">
      <c r="B166" s="204"/>
      <c r="C166" s="9"/>
      <c r="D166" s="14" t="s">
        <v>94</v>
      </c>
      <c r="E166" s="6"/>
      <c r="F166" s="20">
        <f>0</f>
        <v>0</v>
      </c>
      <c r="G166" s="20">
        <f>0</f>
        <v>0</v>
      </c>
      <c r="H166" s="20">
        <f>0</f>
        <v>0</v>
      </c>
      <c r="I166" s="6"/>
      <c r="J166" s="20">
        <f>-(SUM([1]H7!$P$53,[1]H7!$W$53)/1000)/J163</f>
        <v>0</v>
      </c>
      <c r="K166" s="20">
        <f>-(SUM([1]H7!$P$54,[1]H7!$W$54)/1000)/K163</f>
        <v>0</v>
      </c>
      <c r="L166" s="20">
        <f>-(SUM([1]H7!$P$55,[1]H7!$W$55)/1000)/L163</f>
        <v>0</v>
      </c>
      <c r="M166" s="6"/>
      <c r="N166" s="20">
        <f>0</f>
        <v>0</v>
      </c>
      <c r="O166" s="20">
        <f>0</f>
        <v>0</v>
      </c>
      <c r="P166" s="20">
        <f>0</f>
        <v>0</v>
      </c>
      <c r="Q166" s="6"/>
      <c r="R166" s="20">
        <f>-(SUM([1]H7!$EN$53,[1]H7!$EU$53)/1000)/R163</f>
        <v>0</v>
      </c>
      <c r="S166" s="20">
        <f>-(SUM([1]H7!$EN$54,[1]H7!$EU$54)/1000)/S163</f>
        <v>0</v>
      </c>
      <c r="T166" s="20">
        <f>-(SUM([1]H7!$EN$55,[1]H7!$EU$55)/1000)/T163</f>
        <v>0</v>
      </c>
    </row>
    <row r="167" spans="2:20" ht="19.5" hidden="1" customHeight="1" outlineLevel="2" x14ac:dyDescent="0.25">
      <c r="B167" s="204"/>
      <c r="C167" s="9"/>
      <c r="D167" s="14" t="s">
        <v>95</v>
      </c>
      <c r="E167" s="7"/>
      <c r="F167" s="20">
        <v>-0.76858040198798272</v>
      </c>
      <c r="G167" s="20">
        <v>-2.335659724695354E-3</v>
      </c>
      <c r="H167" s="20">
        <v>0.20755285761585987</v>
      </c>
      <c r="I167" s="7"/>
      <c r="J167" s="20">
        <f>+J164+J165+J166</f>
        <v>-0.10648543024173256</v>
      </c>
      <c r="K167" s="20">
        <f>+K164+K165+K166</f>
        <v>0.16289576629070324</v>
      </c>
      <c r="L167" s="20">
        <f>+L164+L165+L166</f>
        <v>0.20283496931892583</v>
      </c>
      <c r="M167" s="7"/>
      <c r="N167" s="20">
        <v>-0.76858040198798272</v>
      </c>
      <c r="O167" s="20">
        <v>-2.335659724695354E-3</v>
      </c>
      <c r="P167" s="20">
        <v>0.20755285761585987</v>
      </c>
      <c r="Q167" s="7"/>
      <c r="R167" s="20">
        <f>+R164+R165+R166</f>
        <v>0.10073248439663336</v>
      </c>
      <c r="S167" s="20">
        <f>+S164+S165+S166</f>
        <v>0.16181766848101706</v>
      </c>
      <c r="T167" s="20">
        <f>+T164+T165+T166</f>
        <v>0.20283496931892581</v>
      </c>
    </row>
    <row r="168" spans="2:20" ht="20.149999999999999" hidden="1" customHeight="1" outlineLevel="1" x14ac:dyDescent="0.25">
      <c r="B168" s="204"/>
      <c r="C168" s="9"/>
      <c r="D168" s="14" t="s">
        <v>96</v>
      </c>
      <c r="E168" s="7"/>
      <c r="F168" s="20">
        <v>-2.4574701101379057</v>
      </c>
      <c r="G168" s="20">
        <v>4.1963995651356077E-2</v>
      </c>
      <c r="H168" s="20">
        <v>0</v>
      </c>
      <c r="I168" s="7"/>
      <c r="J168" s="20">
        <f>-(SUM([1]H7!$AC$53:$AK$53)/1000)/J163</f>
        <v>7.9425190097041312E-2</v>
      </c>
      <c r="K168" s="20">
        <f>-(SUM([1]H7!$AC$54:$AK$54)/1000)/K163</f>
        <v>-0.57961813248374772</v>
      </c>
      <c r="L168" s="20">
        <f>-(SUM([1]H7!$AC$55:$AK$55)/1000)/L163</f>
        <v>-1.3546237805837177E-2</v>
      </c>
      <c r="M168" s="7"/>
      <c r="N168" s="20">
        <v>-2.4574701101379057</v>
      </c>
      <c r="O168" s="20">
        <v>4.1963995651356077E-2</v>
      </c>
      <c r="P168" s="20">
        <v>0</v>
      </c>
      <c r="Q168" s="7"/>
      <c r="R168" s="20">
        <f>-(SUM([1]H7!$FA$53:$FI$53)/1000)/R163</f>
        <v>-1.9688246124220102E-2</v>
      </c>
      <c r="S168" s="20">
        <f>-(SUM([1]H7!$FA$54:$FI$54)/1000)/S163</f>
        <v>-0.37495172748118288</v>
      </c>
      <c r="T168" s="20">
        <f>-(SUM([1]H7!$FA$55:$FI$55)/1000)/T163</f>
        <v>-1.3546237805837122E-2</v>
      </c>
    </row>
    <row r="169" spans="2:20" ht="20.149999999999999" hidden="1" customHeight="1" outlineLevel="2" x14ac:dyDescent="0.25">
      <c r="B169" s="204"/>
      <c r="C169" s="9"/>
      <c r="D169" s="15" t="s">
        <v>87</v>
      </c>
      <c r="E169" s="7"/>
      <c r="F169" s="20" t="e">
        <v>#VALUE!</v>
      </c>
      <c r="G169" s="20">
        <v>0.69392591637496137</v>
      </c>
      <c r="H169" s="20">
        <v>0</v>
      </c>
      <c r="I169" s="7"/>
      <c r="J169" s="20">
        <f>-(SUM([1]H7!$AL$53:$AN$53)/1000)/J163</f>
        <v>0.15217510138170046</v>
      </c>
      <c r="K169" s="20">
        <f>-(SUM([1]H7!$AL$54:$AN$54)/1000)/K163</f>
        <v>0.2322734296051612</v>
      </c>
      <c r="L169" s="20">
        <f>-(SUM([1]H7!$AL$55:$AN$55)/1000)/L163</f>
        <v>0.23695664539199329</v>
      </c>
      <c r="M169" s="7"/>
      <c r="N169" s="20" t="e">
        <v>#VALUE!</v>
      </c>
      <c r="O169" s="20">
        <v>0.69392591637496137</v>
      </c>
      <c r="P169" s="20">
        <v>0</v>
      </c>
      <c r="Q169" s="7"/>
      <c r="R169" s="20">
        <f>-(SUM([1]H7!$FJ$53:$FL$53)/1000)/R163</f>
        <v>0.20075034554219529</v>
      </c>
      <c r="S169" s="20">
        <f>-(SUM([1]H7!$FJ$54:$FL$54)/1000)/S163</f>
        <v>0.22966821370850343</v>
      </c>
      <c r="T169" s="20">
        <f>-(SUM([1]H7!$FJ$55:$FL$55)/1000)/T163</f>
        <v>0.23695664539199324</v>
      </c>
    </row>
    <row r="170" spans="2:20" ht="20.149999999999999" hidden="1" customHeight="1" outlineLevel="2" x14ac:dyDescent="0.25">
      <c r="B170" s="204"/>
      <c r="C170" s="9"/>
      <c r="D170" s="15" t="s">
        <v>88</v>
      </c>
      <c r="E170" s="7"/>
      <c r="F170" s="20">
        <v>-5.5305411745979018</v>
      </c>
      <c r="G170" s="20">
        <v>-0.23070346739757674</v>
      </c>
      <c r="H170" s="20">
        <v>0.26671487523132692</v>
      </c>
      <c r="I170" s="7"/>
      <c r="J170" s="20">
        <f>-(SUM([1]H7!$AO$53:$AR$53)/1000)/J163</f>
        <v>-0.13555466909234315</v>
      </c>
      <c r="K170" s="20">
        <f>-(SUM([1]H7!$AO$54:$AR$54)/1000)/K163</f>
        <v>0.12740149710449913</v>
      </c>
      <c r="L170" s="20">
        <f>-(SUM([1]H7!$AO$55:$AR$55)/1000)/L163</f>
        <v>0.20711008796401184</v>
      </c>
      <c r="M170" s="7"/>
      <c r="N170" s="20">
        <v>-5.5305411745979018</v>
      </c>
      <c r="O170" s="20">
        <v>-0.23070346739757674</v>
      </c>
      <c r="P170" s="20">
        <v>0.26671487523132692</v>
      </c>
      <c r="Q170" s="7"/>
      <c r="R170" s="20">
        <f>-(SUM([1]H7!$FM$53:$FP$53)/1000)/R163</f>
        <v>0.10134964020437411</v>
      </c>
      <c r="S170" s="20">
        <f>-(SUM([1]H7!$FM$54:$FP$54)/1000)/S163</f>
        <v>0.12489452126305958</v>
      </c>
      <c r="T170" s="20">
        <f>-(SUM([1]H7!$FM$55:$FP$55)/1000)/T163</f>
        <v>0.20711008796401184</v>
      </c>
    </row>
    <row r="171" spans="2:20" ht="20.149999999999999" hidden="1" customHeight="1" outlineLevel="1" x14ac:dyDescent="0.25">
      <c r="B171" s="204"/>
      <c r="C171" s="9"/>
      <c r="D171" s="14" t="s">
        <v>97</v>
      </c>
      <c r="E171" s="7"/>
      <c r="F171" s="20" t="e">
        <v>#VALUE!</v>
      </c>
      <c r="G171" s="20">
        <v>0.46322244897738468</v>
      </c>
      <c r="H171" s="20">
        <v>0.26671487523132692</v>
      </c>
      <c r="I171" s="7"/>
      <c r="J171" s="20">
        <f>+J169+J170</f>
        <v>1.6620432289357306E-2</v>
      </c>
      <c r="K171" s="20">
        <f>+K169+K170</f>
        <v>0.35967492670966034</v>
      </c>
      <c r="L171" s="20">
        <f>+L169+L170</f>
        <v>0.44406673335600511</v>
      </c>
      <c r="M171" s="7"/>
      <c r="N171" s="20" t="e">
        <v>#VALUE!</v>
      </c>
      <c r="O171" s="20">
        <v>0.46322244897738468</v>
      </c>
      <c r="P171" s="20">
        <v>0.26671487523132692</v>
      </c>
      <c r="Q171" s="7"/>
      <c r="R171" s="20">
        <f>+R169+R170</f>
        <v>0.30209998574656938</v>
      </c>
      <c r="S171" s="20">
        <f>+S169+S170</f>
        <v>0.35456273497156299</v>
      </c>
      <c r="T171" s="20">
        <f>+T169+T170</f>
        <v>0.44406673335600511</v>
      </c>
    </row>
    <row r="172" spans="2:20" ht="20.149999999999999" hidden="1" customHeight="1" outlineLevel="1" x14ac:dyDescent="0.25">
      <c r="B172" s="204"/>
      <c r="C172" s="9"/>
      <c r="D172" s="14" t="s">
        <v>90</v>
      </c>
      <c r="E172" s="7"/>
      <c r="F172" s="20"/>
      <c r="G172" s="20"/>
      <c r="H172" s="20"/>
      <c r="I172" s="7"/>
      <c r="J172" s="20">
        <f>-(SUM([1]H7!$AT$53:$BJ$53)/1000/J163)</f>
        <v>-3.9441620788054223E-2</v>
      </c>
      <c r="K172" s="20">
        <f>-(SUM([1]H7!$AT$54:$BJ$54)/1000/K163)</f>
        <v>2.4062889870963323E-2</v>
      </c>
      <c r="L172" s="20">
        <f>-(SUM([1]H7!$AT$55:$BJ$55)/1000/L163)</f>
        <v>2.3781196405604485E-2</v>
      </c>
      <c r="M172" s="7"/>
      <c r="N172" s="20"/>
      <c r="O172" s="20"/>
      <c r="P172" s="20"/>
      <c r="Q172" s="7"/>
      <c r="R172" s="20">
        <f>-(SUM([1]H7!$FR$53:$GH$53)/1000/R163)</f>
        <v>1.3461566895608708E-2</v>
      </c>
      <c r="S172" s="20">
        <f>-(SUM([1]H7!$FR$54:$GH$54)/1000/S163)</f>
        <v>2.9176209690079741E-2</v>
      </c>
      <c r="T172" s="20">
        <f>-(SUM([1]H7!$FR$55:$GH$55)/1000/T163)</f>
        <v>2.3781196405604482E-2</v>
      </c>
    </row>
    <row r="173" spans="2:20" ht="20.149999999999999" hidden="1" customHeight="1" outlineLevel="1" x14ac:dyDescent="0.25">
      <c r="B173" s="204"/>
      <c r="C173" s="9"/>
      <c r="D173" s="14" t="s">
        <v>79</v>
      </c>
      <c r="E173" s="8"/>
      <c r="F173" s="20" t="e">
        <v>#VALUE!</v>
      </c>
      <c r="G173" s="20">
        <v>0.50285078490404533</v>
      </c>
      <c r="H173" s="20">
        <v>0.47426773284718676</v>
      </c>
      <c r="I173" s="8"/>
      <c r="J173" s="20">
        <f>+J167+J168+J171+J172</f>
        <v>-4.9881428643388161E-2</v>
      </c>
      <c r="K173" s="20">
        <f>+K167+K168+K171+K172</f>
        <v>-3.2984549612420824E-2</v>
      </c>
      <c r="L173" s="20">
        <f>+L167+L168+L171+L172</f>
        <v>0.65713666127469827</v>
      </c>
      <c r="M173" s="8"/>
      <c r="N173" s="20" t="e">
        <v>#VALUE!</v>
      </c>
      <c r="O173" s="20">
        <v>0.50285078490404533</v>
      </c>
      <c r="P173" s="20">
        <v>0.47426773284718676</v>
      </c>
      <c r="Q173" s="8"/>
      <c r="R173" s="20">
        <f>+R167+R168+R171+R172</f>
        <v>0.39660579091459136</v>
      </c>
      <c r="S173" s="20">
        <f>+S167+S168+S171+S172</f>
        <v>0.17060488566147691</v>
      </c>
      <c r="T173" s="20">
        <f>+T167+T168+T171+T172</f>
        <v>0.65713666127469827</v>
      </c>
    </row>
    <row r="174" spans="2:20" ht="19.5" hidden="1" customHeight="1" outlineLevel="1" x14ac:dyDescent="0.25">
      <c r="B174" s="204"/>
      <c r="C174" s="9"/>
      <c r="D174" s="14" t="s">
        <v>34</v>
      </c>
      <c r="E174" s="6"/>
      <c r="F174" s="19">
        <v>1.0582190099999995</v>
      </c>
      <c r="G174" s="19">
        <v>-1.3838959700000022</v>
      </c>
      <c r="H174" s="19">
        <v>0.27776131389680048</v>
      </c>
      <c r="I174" s="6"/>
      <c r="J174" s="19">
        <f>+[1]H7!$BK$53/1000</f>
        <v>-0.37183281000000024</v>
      </c>
      <c r="K174" s="19">
        <f>+[1]H7!$BK$54/1000</f>
        <v>0.26773752999999995</v>
      </c>
      <c r="L174" s="19">
        <f>+[1]H7!$BK$55/1000</f>
        <v>8.8217093126903318E-2</v>
      </c>
      <c r="M174" s="6"/>
      <c r="N174" s="19">
        <v>1.0582190099999995</v>
      </c>
      <c r="O174" s="19">
        <v>-1.3838959700000022</v>
      </c>
      <c r="P174" s="19">
        <v>0.27776131389680048</v>
      </c>
      <c r="Q174" s="6"/>
      <c r="R174" s="19">
        <f>+[1]H7!$GI$53/1000</f>
        <v>0.10202315999999996</v>
      </c>
      <c r="S174" s="19">
        <f>+[1]H7!$GI$54/1000</f>
        <v>6.7888469999999965E-2</v>
      </c>
      <c r="T174" s="19">
        <f>+[1]H7!$GI$55/1000</f>
        <v>2.9405697708967789E-2</v>
      </c>
    </row>
    <row r="175" spans="2:20" ht="7.5" hidden="1" customHeight="1" outlineLevel="1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2:20" ht="19.5" customHeight="1" collapsed="1" x14ac:dyDescent="0.25">
      <c r="B176" s="224" t="s">
        <v>46</v>
      </c>
      <c r="C176" s="9"/>
      <c r="D176" s="17" t="s">
        <v>19</v>
      </c>
      <c r="E176" s="6"/>
      <c r="F176" s="23">
        <v>0</v>
      </c>
      <c r="G176" s="23">
        <v>0</v>
      </c>
      <c r="H176" s="23">
        <v>0</v>
      </c>
      <c r="I176" s="6"/>
      <c r="J176" s="23"/>
      <c r="K176" s="23"/>
      <c r="L176" s="23"/>
      <c r="M176" s="6"/>
      <c r="N176" s="23">
        <v>0</v>
      </c>
      <c r="O176" s="23">
        <v>0</v>
      </c>
      <c r="P176" s="23">
        <v>0</v>
      </c>
      <c r="Q176" s="6"/>
      <c r="R176" s="23"/>
      <c r="S176" s="23"/>
      <c r="T176" s="23"/>
    </row>
    <row r="177" spans="2:20" ht="20.149999999999999" customHeight="1" x14ac:dyDescent="0.25">
      <c r="B177" s="224"/>
      <c r="C177" s="9"/>
      <c r="D177" s="17" t="s">
        <v>20</v>
      </c>
      <c r="E177" s="6"/>
      <c r="F177" s="23">
        <v>0</v>
      </c>
      <c r="G177" s="23">
        <v>0</v>
      </c>
      <c r="H177" s="23">
        <v>0</v>
      </c>
      <c r="I177" s="6"/>
      <c r="J177" s="23"/>
      <c r="K177" s="23"/>
      <c r="L177" s="23"/>
      <c r="M177" s="6"/>
      <c r="N177" s="23">
        <v>0</v>
      </c>
      <c r="O177" s="23">
        <v>0</v>
      </c>
      <c r="P177" s="23">
        <v>0</v>
      </c>
      <c r="Q177" s="6"/>
      <c r="R177" s="23"/>
      <c r="S177" s="23"/>
      <c r="T177" s="23"/>
    </row>
    <row r="178" spans="2:20" ht="19.5" customHeight="1" x14ac:dyDescent="0.25">
      <c r="B178" s="224"/>
      <c r="C178" s="9"/>
      <c r="D178" s="17" t="s">
        <v>92</v>
      </c>
      <c r="E178" s="6"/>
      <c r="F178" s="24">
        <f>0</f>
        <v>0</v>
      </c>
      <c r="G178" s="24">
        <f>0</f>
        <v>0</v>
      </c>
      <c r="H178" s="24">
        <f>0</f>
        <v>0</v>
      </c>
      <c r="I178" s="6"/>
      <c r="J178" s="24"/>
      <c r="K178" s="24"/>
      <c r="L178" s="24"/>
      <c r="M178" s="6"/>
      <c r="N178" s="24">
        <f>0</f>
        <v>0</v>
      </c>
      <c r="O178" s="24">
        <f>0</f>
        <v>0</v>
      </c>
      <c r="P178" s="24">
        <f>0</f>
        <v>0</v>
      </c>
      <c r="Q178" s="6"/>
      <c r="R178" s="24"/>
      <c r="S178" s="24"/>
      <c r="T178" s="24"/>
    </row>
    <row r="179" spans="2:20" ht="19.5" customHeight="1" x14ac:dyDescent="0.25">
      <c r="B179" s="224"/>
      <c r="C179" s="9"/>
      <c r="D179" s="17" t="s">
        <v>93</v>
      </c>
      <c r="E179" s="6"/>
      <c r="F179" s="24">
        <f>0</f>
        <v>0</v>
      </c>
      <c r="G179" s="24">
        <f>0</f>
        <v>0</v>
      </c>
      <c r="H179" s="24">
        <f>0</f>
        <v>0</v>
      </c>
      <c r="I179" s="6"/>
      <c r="J179" s="24"/>
      <c r="K179" s="24"/>
      <c r="L179" s="24"/>
      <c r="M179" s="6"/>
      <c r="N179" s="24">
        <f>0</f>
        <v>0</v>
      </c>
      <c r="O179" s="24">
        <f>0</f>
        <v>0</v>
      </c>
      <c r="P179" s="24">
        <f>0</f>
        <v>0</v>
      </c>
      <c r="Q179" s="6"/>
      <c r="R179" s="24"/>
      <c r="S179" s="24"/>
      <c r="T179" s="24"/>
    </row>
    <row r="180" spans="2:20" ht="19.5" customHeight="1" x14ac:dyDescent="0.25">
      <c r="B180" s="224"/>
      <c r="C180" s="9"/>
      <c r="D180" s="17" t="s">
        <v>94</v>
      </c>
      <c r="E180" s="6"/>
      <c r="F180" s="24">
        <f>0</f>
        <v>0</v>
      </c>
      <c r="G180" s="24">
        <f>0</f>
        <v>0</v>
      </c>
      <c r="H180" s="24">
        <f>0</f>
        <v>0</v>
      </c>
      <c r="I180" s="6"/>
      <c r="J180" s="24"/>
      <c r="K180" s="24"/>
      <c r="L180" s="24"/>
      <c r="M180" s="6"/>
      <c r="N180" s="24">
        <f>0</f>
        <v>0</v>
      </c>
      <c r="O180" s="24">
        <f>0</f>
        <v>0</v>
      </c>
      <c r="P180" s="24">
        <f>0</f>
        <v>0</v>
      </c>
      <c r="Q180" s="6"/>
      <c r="R180" s="24"/>
      <c r="S180" s="24"/>
      <c r="T180" s="24"/>
    </row>
    <row r="181" spans="2:20" ht="19.5" hidden="1" customHeight="1" outlineLevel="1" x14ac:dyDescent="0.25">
      <c r="B181" s="224"/>
      <c r="C181" s="9"/>
      <c r="D181" s="17" t="s">
        <v>95</v>
      </c>
      <c r="E181" s="7"/>
      <c r="F181" s="24">
        <v>0</v>
      </c>
      <c r="G181" s="24">
        <v>0</v>
      </c>
      <c r="H181" s="24">
        <v>0</v>
      </c>
      <c r="I181" s="7"/>
      <c r="J181" s="24"/>
      <c r="K181" s="24"/>
      <c r="L181" s="24"/>
      <c r="M181" s="7"/>
      <c r="N181" s="24">
        <v>0</v>
      </c>
      <c r="O181" s="24">
        <v>0</v>
      </c>
      <c r="P181" s="24">
        <v>0</v>
      </c>
      <c r="Q181" s="7"/>
      <c r="R181" s="24"/>
      <c r="S181" s="24"/>
      <c r="T181" s="24"/>
    </row>
    <row r="182" spans="2:20" ht="20.149999999999999" customHeight="1" collapsed="1" x14ac:dyDescent="0.25">
      <c r="B182" s="224"/>
      <c r="C182" s="9"/>
      <c r="D182" s="17" t="s">
        <v>96</v>
      </c>
      <c r="E182" s="7"/>
      <c r="F182" s="24">
        <v>0</v>
      </c>
      <c r="G182" s="24">
        <v>0</v>
      </c>
      <c r="H182" s="24">
        <v>0</v>
      </c>
      <c r="I182" s="7"/>
      <c r="J182" s="24"/>
      <c r="K182" s="24"/>
      <c r="L182" s="24"/>
      <c r="M182" s="7"/>
      <c r="N182" s="24">
        <v>0</v>
      </c>
      <c r="O182" s="24">
        <v>0</v>
      </c>
      <c r="P182" s="24">
        <v>0</v>
      </c>
      <c r="Q182" s="7"/>
      <c r="R182" s="24"/>
      <c r="S182" s="24"/>
      <c r="T182" s="24"/>
    </row>
    <row r="183" spans="2:20" ht="20.149999999999999" hidden="1" customHeight="1" outlineLevel="1" x14ac:dyDescent="0.25">
      <c r="B183" s="224"/>
      <c r="C183" s="9"/>
      <c r="D183" s="18" t="s">
        <v>87</v>
      </c>
      <c r="E183" s="7"/>
      <c r="F183" s="24">
        <v>0</v>
      </c>
      <c r="G183" s="24">
        <v>0</v>
      </c>
      <c r="H183" s="24">
        <v>0</v>
      </c>
      <c r="I183" s="7"/>
      <c r="J183" s="24"/>
      <c r="K183" s="24"/>
      <c r="L183" s="24"/>
      <c r="M183" s="7"/>
      <c r="N183" s="24">
        <v>0</v>
      </c>
      <c r="O183" s="24">
        <v>0</v>
      </c>
      <c r="P183" s="24">
        <v>0</v>
      </c>
      <c r="Q183" s="7"/>
      <c r="R183" s="24"/>
      <c r="S183" s="24"/>
      <c r="T183" s="24"/>
    </row>
    <row r="184" spans="2:20" ht="20.149999999999999" hidden="1" customHeight="1" outlineLevel="1" x14ac:dyDescent="0.25">
      <c r="B184" s="224"/>
      <c r="C184" s="9"/>
      <c r="D184" s="18" t="s">
        <v>88</v>
      </c>
      <c r="E184" s="7"/>
      <c r="F184" s="24">
        <v>0</v>
      </c>
      <c r="G184" s="24">
        <v>0</v>
      </c>
      <c r="H184" s="24">
        <v>0</v>
      </c>
      <c r="I184" s="7"/>
      <c r="J184" s="24"/>
      <c r="K184" s="24"/>
      <c r="L184" s="24"/>
      <c r="M184" s="7"/>
      <c r="N184" s="24">
        <v>0</v>
      </c>
      <c r="O184" s="24">
        <v>0</v>
      </c>
      <c r="P184" s="24">
        <v>0</v>
      </c>
      <c r="Q184" s="7"/>
      <c r="R184" s="24"/>
      <c r="S184" s="24"/>
      <c r="T184" s="24"/>
    </row>
    <row r="185" spans="2:20" ht="20.149999999999999" customHeight="1" collapsed="1" x14ac:dyDescent="0.25">
      <c r="B185" s="224"/>
      <c r="C185" s="9"/>
      <c r="D185" s="17" t="s">
        <v>97</v>
      </c>
      <c r="E185" s="7"/>
      <c r="F185" s="24">
        <v>0</v>
      </c>
      <c r="G185" s="24">
        <v>0</v>
      </c>
      <c r="H185" s="24">
        <v>0</v>
      </c>
      <c r="I185" s="7"/>
      <c r="J185" s="24"/>
      <c r="K185" s="24"/>
      <c r="L185" s="24"/>
      <c r="M185" s="7"/>
      <c r="N185" s="24">
        <v>0</v>
      </c>
      <c r="O185" s="24">
        <v>0</v>
      </c>
      <c r="P185" s="24">
        <v>0</v>
      </c>
      <c r="Q185" s="7"/>
      <c r="R185" s="24"/>
      <c r="S185" s="24"/>
      <c r="T185" s="24"/>
    </row>
    <row r="186" spans="2:20" ht="20.149999999999999" customHeight="1" x14ac:dyDescent="0.25">
      <c r="B186" s="224"/>
      <c r="C186" s="9"/>
      <c r="D186" s="17" t="s">
        <v>90</v>
      </c>
      <c r="E186" s="7"/>
      <c r="F186" s="24"/>
      <c r="G186" s="24"/>
      <c r="H186" s="24"/>
      <c r="I186" s="7"/>
      <c r="J186" s="24"/>
      <c r="K186" s="24"/>
      <c r="L186" s="24"/>
      <c r="M186" s="7"/>
      <c r="N186" s="24"/>
      <c r="O186" s="24"/>
      <c r="P186" s="24"/>
      <c r="Q186" s="7"/>
      <c r="R186" s="24"/>
      <c r="S186" s="24"/>
      <c r="T186" s="24"/>
    </row>
    <row r="187" spans="2:20" ht="20.149999999999999" customHeight="1" x14ac:dyDescent="0.25">
      <c r="B187" s="224"/>
      <c r="C187" s="9"/>
      <c r="D187" s="17" t="s">
        <v>79</v>
      </c>
      <c r="E187" s="8"/>
      <c r="F187" s="24">
        <v>0</v>
      </c>
      <c r="G187" s="24">
        <v>0</v>
      </c>
      <c r="H187" s="24">
        <v>0</v>
      </c>
      <c r="I187" s="8"/>
      <c r="J187" s="24"/>
      <c r="K187" s="24"/>
      <c r="L187" s="24"/>
      <c r="M187" s="8"/>
      <c r="N187" s="24">
        <v>0</v>
      </c>
      <c r="O187" s="24">
        <v>0</v>
      </c>
      <c r="P187" s="24">
        <v>0</v>
      </c>
      <c r="Q187" s="8"/>
      <c r="R187" s="24"/>
      <c r="S187" s="24"/>
      <c r="T187" s="24"/>
    </row>
    <row r="188" spans="2:20" ht="19.5" customHeight="1" x14ac:dyDescent="0.25">
      <c r="B188" s="224"/>
      <c r="C188" s="9"/>
      <c r="D188" s="17" t="s">
        <v>34</v>
      </c>
      <c r="E188" s="6"/>
      <c r="F188" s="23">
        <v>0</v>
      </c>
      <c r="G188" s="23">
        <v>0</v>
      </c>
      <c r="H188" s="23">
        <v>0</v>
      </c>
      <c r="I188" s="6"/>
      <c r="J188" s="23"/>
      <c r="K188" s="23"/>
      <c r="L188" s="23"/>
      <c r="M188" s="6"/>
      <c r="N188" s="23">
        <v>0</v>
      </c>
      <c r="O188" s="23">
        <v>0</v>
      </c>
      <c r="P188" s="23">
        <v>0</v>
      </c>
      <c r="Q188" s="6"/>
      <c r="R188" s="23"/>
      <c r="S188" s="23"/>
      <c r="T188" s="23"/>
    </row>
    <row r="189" spans="2:20" ht="7.5" customHeight="1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2:20" ht="19.5" customHeight="1" x14ac:dyDescent="0.25">
      <c r="B190" s="225" t="s">
        <v>108</v>
      </c>
      <c r="C190" s="9"/>
      <c r="D190" s="16" t="s">
        <v>19</v>
      </c>
      <c r="E190" s="6"/>
      <c r="F190" s="25">
        <v>663.1699661099999</v>
      </c>
      <c r="G190" s="25">
        <v>646.55200311999999</v>
      </c>
      <c r="H190" s="25">
        <v>667.75800000000004</v>
      </c>
      <c r="I190" s="6"/>
      <c r="J190" s="25">
        <f>(+[1]H7!$C$61)/1000</f>
        <v>1.7132766399999997</v>
      </c>
      <c r="K190" s="25">
        <f>(+[1]H7!$C$62)/1000</f>
        <v>1.5457304800000002</v>
      </c>
      <c r="L190" s="25">
        <f>(+[1]H7!$C$63)/1000</f>
        <v>0.54830999999999996</v>
      </c>
      <c r="M190" s="6"/>
      <c r="N190" s="25">
        <v>663.1699661099999</v>
      </c>
      <c r="O190" s="25">
        <v>646.55200311999999</v>
      </c>
      <c r="P190" s="25">
        <v>667.75800000000004</v>
      </c>
      <c r="Q190" s="6"/>
      <c r="R190" s="25">
        <f>(+[1]H7!$EA$61)/1000</f>
        <v>0.43405786999999962</v>
      </c>
      <c r="S190" s="25">
        <f>(+[1]H7!$EA$62)/1000</f>
        <v>0.37590065000000006</v>
      </c>
      <c r="T190" s="25">
        <f>(+[1]H7!$EA$63)/1000</f>
        <v>0.10448999999999996</v>
      </c>
    </row>
    <row r="191" spans="2:20" ht="20.149999999999999" customHeight="1" x14ac:dyDescent="0.25">
      <c r="B191" s="225"/>
      <c r="C191" s="9"/>
      <c r="D191" s="16" t="s">
        <v>20</v>
      </c>
      <c r="E191" s="6"/>
      <c r="F191" s="25">
        <v>619.93325228999993</v>
      </c>
      <c r="G191" s="25">
        <v>604.01472775999991</v>
      </c>
      <c r="H191" s="25">
        <v>610.10959537476765</v>
      </c>
      <c r="I191" s="6"/>
      <c r="J191" s="25">
        <f>(+[1]H7!$N$61)/1000</f>
        <v>1.4146491899999993</v>
      </c>
      <c r="K191" s="25">
        <f>(+[1]H7!$N$62)/1000</f>
        <v>1.2866427999999996</v>
      </c>
      <c r="L191" s="25">
        <f>(+[1]H7!$N$63)/1000</f>
        <v>0.40999612242528699</v>
      </c>
      <c r="M191" s="6"/>
      <c r="N191" s="25">
        <v>619.93325228999993</v>
      </c>
      <c r="O191" s="25">
        <v>604.01472775999991</v>
      </c>
      <c r="P191" s="25">
        <v>610.10959537476765</v>
      </c>
      <c r="Q191" s="6"/>
      <c r="R191" s="25">
        <f>(+[1]H7!$EL$61)/1000</f>
        <v>0.47227068999999983</v>
      </c>
      <c r="S191" s="25">
        <f>(+[1]H7!$EL$62)/1000</f>
        <v>0.43104332999999995</v>
      </c>
      <c r="T191" s="25">
        <f>(+[1]H7!$EL$63)/1000</f>
        <v>0.1366653741417623</v>
      </c>
    </row>
    <row r="192" spans="2:20" ht="19.5" customHeight="1" x14ac:dyDescent="0.25">
      <c r="B192" s="225"/>
      <c r="C192" s="9"/>
      <c r="D192" s="16" t="s">
        <v>92</v>
      </c>
      <c r="E192" s="6"/>
      <c r="F192" s="26" t="str">
        <f>IFERROR(F195-F193-F194,"n/a")</f>
        <v>n/a</v>
      </c>
      <c r="G192" s="26" t="str">
        <f>IFERROR(G195-G193-G194,"n/a")</f>
        <v>n/a</v>
      </c>
      <c r="H192" s="26" t="str">
        <f>IFERROR(H195-H193-H194,"n/a")</f>
        <v>n/a</v>
      </c>
      <c r="I192" s="6"/>
      <c r="J192" s="26">
        <f>(-(SUM([1]H7!$O$61,[1]H7!$R$61:$V$61,[1]H7!$Y$61:$AB$61)/1000))/J191</f>
        <v>0.48164596199288134</v>
      </c>
      <c r="K192" s="26">
        <f>(-(SUM([1]H7!$O$62,[1]H7!$R$62:$V$62,[1]H7!$Y$62:$AB$62)/1000))/K191</f>
        <v>0.53244045666753836</v>
      </c>
      <c r="L192" s="26">
        <f>(-(SUM([1]H7!$O$63,[1]H7!$R$63:$V$63,[1]H7!$Y$63:$AB$63)/1000))/L191</f>
        <v>0.46701172649289702</v>
      </c>
      <c r="M192" s="6"/>
      <c r="N192" s="26" t="str">
        <f>IFERROR(N195-N193-N194,"n/a")</f>
        <v>n/a</v>
      </c>
      <c r="O192" s="26" t="str">
        <f>IFERROR(O195-O193-O194,"n/a")</f>
        <v>n/a</v>
      </c>
      <c r="P192" s="26" t="str">
        <f>IFERROR(P195-P193-P194,"n/a")</f>
        <v>n/a</v>
      </c>
      <c r="Q192" s="6"/>
      <c r="R192" s="26">
        <f>(-(SUM([1]H7!$EM$61,[1]H7!$EP$61:$ET$61,[1]H7!$EW$61:$EZ$61)/1000))/R191</f>
        <v>0.51964238983367828</v>
      </c>
      <c r="S192" s="26">
        <f>(-(SUM([1]H7!$EM$62,[1]H7!$EP$62:$ET$62,[1]H7!$EW$62:$EZ$62)/1000))/S191</f>
        <v>0.51904250554114817</v>
      </c>
      <c r="T192" s="26">
        <f>(-(SUM([1]H7!$EM$63,[1]H7!$EP$63:$ET$63,[1]H7!$EW$63:$EZ$63)/1000))/T191</f>
        <v>0.46701172649289718</v>
      </c>
    </row>
    <row r="193" spans="2:20" ht="19.5" customHeight="1" x14ac:dyDescent="0.25">
      <c r="B193" s="225"/>
      <c r="C193" s="9"/>
      <c r="D193" s="16" t="s">
        <v>93</v>
      </c>
      <c r="E193" s="6"/>
      <c r="F193" s="26">
        <f>(F179*F177+F109*F107+F95*F93+F53*F51+F11*F9)/F191</f>
        <v>0</v>
      </c>
      <c r="G193" s="26">
        <f>(G179*G177+G109*G107+G95*G93+G53*G51+G11*G9)/G191</f>
        <v>0</v>
      </c>
      <c r="H193" s="26">
        <f>(H179*H177+H109*H107+H95*H93+H53*H51+H11*H9)/H191</f>
        <v>0</v>
      </c>
      <c r="I193" s="6"/>
      <c r="J193" s="26">
        <f>-(SUM([1]H7!$Q$61,[1]H7!$X$61)/1000)/J191</f>
        <v>0</v>
      </c>
      <c r="K193" s="26">
        <f>-(SUM([1]H7!$Q$62,[1]H7!$X$62)/1000)/K191</f>
        <v>0</v>
      </c>
      <c r="L193" s="26">
        <f>-(SUM([1]H7!$Q$63,[1]H7!$X$63)/1000)/L191</f>
        <v>0</v>
      </c>
      <c r="M193" s="6"/>
      <c r="N193" s="26">
        <f>(N179*N177+N109*N107+N95*N93+N53*N51+N11*N9)/N191</f>
        <v>0</v>
      </c>
      <c r="O193" s="26">
        <f>(O179*O177+O109*O107+O95*O93+O53*O51+O11*O9)/O191</f>
        <v>0</v>
      </c>
      <c r="P193" s="26">
        <f>(P179*P177+P109*P107+P95*P93+P53*P51+P11*P9)/P191</f>
        <v>0</v>
      </c>
      <c r="Q193" s="6"/>
      <c r="R193" s="26">
        <f>-(SUM([1]H7!$EO$61,[1]H7!$EV$61)/1000)/R191</f>
        <v>0</v>
      </c>
      <c r="S193" s="26">
        <f>-(SUM([1]H7!$EO$62,[1]H7!$EV$62)/1000)/S191</f>
        <v>0</v>
      </c>
      <c r="T193" s="26">
        <f>-(SUM([1]H7!$EO$63,[1]H7!$EV$63)/1000)/T191</f>
        <v>0</v>
      </c>
    </row>
    <row r="194" spans="2:20" ht="19.5" customHeight="1" x14ac:dyDescent="0.25">
      <c r="B194" s="225"/>
      <c r="C194" s="9"/>
      <c r="D194" s="16" t="s">
        <v>94</v>
      </c>
      <c r="E194" s="6"/>
      <c r="F194" s="26" t="e">
        <f>(F180*F177+F110*F107+F96*F93+F54*F51+F12*F9)/F191</f>
        <v>#VALUE!</v>
      </c>
      <c r="G194" s="26" t="e">
        <f>(G180*G177+G110*G107+G96*G93+G54*G51+G12*G9)/G191</f>
        <v>#VALUE!</v>
      </c>
      <c r="H194" s="26" t="e">
        <f>(H180*H177+H110*H107+H96*H93+H54*H51+H12*H9)/H191</f>
        <v>#VALUE!</v>
      </c>
      <c r="I194" s="6"/>
      <c r="J194" s="26">
        <f>(-(SUM([1]H7!$P$61,[1]H7!$W$61)/1000))/J191</f>
        <v>0</v>
      </c>
      <c r="K194" s="26">
        <f>(-(SUM([1]H7!$P$62,[1]H7!$W$62)/1000))/K191</f>
        <v>0</v>
      </c>
      <c r="L194" s="26">
        <f>(-(SUM([1]H7!$P$63,[1]H7!$W$63)/1000))/L191</f>
        <v>0</v>
      </c>
      <c r="M194" s="6"/>
      <c r="N194" s="26" t="e">
        <f>(N180*N177+N110*N107+N96*N93+N54*N51+N12*N9)/N191</f>
        <v>#VALUE!</v>
      </c>
      <c r="O194" s="26" t="e">
        <f>(O180*O177+O110*O107+O96*O93+O54*O51+O12*O9)/O191</f>
        <v>#VALUE!</v>
      </c>
      <c r="P194" s="26" t="e">
        <f>(P180*P177+P110*P107+P96*P93+P54*P51+P12*P9)/P191</f>
        <v>#VALUE!</v>
      </c>
      <c r="Q194" s="6"/>
      <c r="R194" s="26">
        <f>(-(SUM([1]H7!$EN$61,[1]H7!$EU$61)/1000))/R191</f>
        <v>0</v>
      </c>
      <c r="S194" s="26">
        <f>(-(SUM([1]H7!$EN$62,[1]H7!$EU$62)/1000))/S191</f>
        <v>0</v>
      </c>
      <c r="T194" s="26">
        <f>(-(SUM([1]H7!$EN$63,[1]H7!$EU$63)/1000))/T191</f>
        <v>0</v>
      </c>
    </row>
    <row r="195" spans="2:20" ht="19.5" hidden="1" customHeight="1" outlineLevel="1" x14ac:dyDescent="0.25">
      <c r="B195" s="225"/>
      <c r="C195" s="9"/>
      <c r="D195" s="16" t="s">
        <v>95</v>
      </c>
      <c r="E195" s="7"/>
      <c r="F195" s="26">
        <v>0.63569160649838707</v>
      </c>
      <c r="G195" s="26">
        <v>0.54412843744530481</v>
      </c>
      <c r="H195" s="26">
        <v>0.64915456698178076</v>
      </c>
      <c r="I195" s="7"/>
      <c r="J195" s="26">
        <f>+J192+J193+J194</f>
        <v>0.48164596199288134</v>
      </c>
      <c r="K195" s="26">
        <f>+K192+K193+K194</f>
        <v>0.53244045666753836</v>
      </c>
      <c r="L195" s="26">
        <f>+L192+L193+L194</f>
        <v>0.46701172649289702</v>
      </c>
      <c r="M195" s="7"/>
      <c r="N195" s="26">
        <v>0.63569160649838707</v>
      </c>
      <c r="O195" s="26">
        <v>0.54412843744530481</v>
      </c>
      <c r="P195" s="26">
        <v>0.64915456698178076</v>
      </c>
      <c r="Q195" s="7"/>
      <c r="R195" s="26">
        <f>+R192+R193+R194</f>
        <v>0.51964238983367828</v>
      </c>
      <c r="S195" s="26">
        <f>+S192+S193+S194</f>
        <v>0.51904250554114817</v>
      </c>
      <c r="T195" s="26">
        <f>+T192+T193+T194</f>
        <v>0.46701172649289718</v>
      </c>
    </row>
    <row r="196" spans="2:20" ht="20.149999999999999" customHeight="1" collapsed="1" x14ac:dyDescent="0.25">
      <c r="B196" s="225"/>
      <c r="C196" s="9"/>
      <c r="D196" s="16" t="s">
        <v>96</v>
      </c>
      <c r="E196" s="7"/>
      <c r="F196" s="26">
        <v>-3.5901680040206309E-2</v>
      </c>
      <c r="G196" s="26">
        <v>9.3873443136520355E-3</v>
      </c>
      <c r="H196" s="26">
        <v>-1.1883110927876153E-2</v>
      </c>
      <c r="I196" s="7"/>
      <c r="J196" s="26">
        <f>(-(SUM([1]H7!$AC$61:$AK$61)/1000))/J191</f>
        <v>-0.2662791614082074</v>
      </c>
      <c r="K196" s="26">
        <f>(-(SUM([1]H7!$AC$62:$AK$62)/1000))/K191</f>
        <v>-0.38273574452831838</v>
      </c>
      <c r="L196" s="26">
        <f>(-(SUM([1]H7!$AC$63:$AK$63)/1000))/L191</f>
        <v>-3.181219491823823E-2</v>
      </c>
      <c r="M196" s="7"/>
      <c r="N196" s="26">
        <v>-3.5901680040206309E-2</v>
      </c>
      <c r="O196" s="26">
        <v>9.3873443136520355E-3</v>
      </c>
      <c r="P196" s="26">
        <v>-1.1883110927876153E-2</v>
      </c>
      <c r="Q196" s="7"/>
      <c r="R196" s="26">
        <f>(-(SUM([1]H7!$FA$61:$FI$61)/1000))/R191</f>
        <v>1.0133401672672087</v>
      </c>
      <c r="S196" s="26">
        <f>(-(SUM([1]H7!$FA$62:$FI$62)/1000))/S191</f>
        <v>-0.35241760961711233</v>
      </c>
      <c r="T196" s="26">
        <f>(-(SUM([1]H7!$FA$63:$FI$63)/1000))/T191</f>
        <v>-3.1812194918238182E-2</v>
      </c>
    </row>
    <row r="197" spans="2:20" ht="20.149999999999999" hidden="1" customHeight="1" outlineLevel="1" x14ac:dyDescent="0.25">
      <c r="B197" s="225"/>
      <c r="C197" s="9"/>
      <c r="D197" s="13" t="s">
        <v>87</v>
      </c>
      <c r="E197" s="7"/>
      <c r="F197" s="26">
        <v>0.13643040047871993</v>
      </c>
      <c r="G197" s="26">
        <v>0.13366121748289339</v>
      </c>
      <c r="H197" s="26">
        <v>0.13661633561685846</v>
      </c>
      <c r="I197" s="7"/>
      <c r="J197" s="26">
        <f>(-(SUM([1]H7!$AL$61:$AN$61)/1000))/J191</f>
        <v>0.25009410990437853</v>
      </c>
      <c r="K197" s="26">
        <f>(-(SUM([1]H7!$AL$62:$AN$62)/1000))/K191</f>
        <v>0.24482796623895914</v>
      </c>
      <c r="L197" s="26">
        <f>(-(SUM([1]H7!$AL$63:$AN$63)/1000))/L191</f>
        <v>0.21239362206698101</v>
      </c>
      <c r="M197" s="7"/>
      <c r="N197" s="26">
        <v>0.13643040047871993</v>
      </c>
      <c r="O197" s="26">
        <v>0.13366121748289339</v>
      </c>
      <c r="P197" s="26">
        <v>0.13661633561685846</v>
      </c>
      <c r="Q197" s="7"/>
      <c r="R197" s="26">
        <f>(-(SUM([1]H7!$FJ$61:$FL$61)/1000))/R191</f>
        <v>0.24808414428598152</v>
      </c>
      <c r="S197" s="26">
        <f>(-(SUM([1]H7!$FJ$62:$FL$62)/1000))/S191</f>
        <v>0.24427699646808146</v>
      </c>
      <c r="T197" s="26">
        <f>(-(SUM([1]H7!$FJ$63:$FL$63)/1000))/T191</f>
        <v>0.21239362206698112</v>
      </c>
    </row>
    <row r="198" spans="2:20" ht="20.149999999999999" hidden="1" customHeight="1" outlineLevel="1" x14ac:dyDescent="0.25">
      <c r="B198" s="225"/>
      <c r="C198" s="9"/>
      <c r="D198" s="13" t="s">
        <v>88</v>
      </c>
      <c r="E198" s="7"/>
      <c r="F198" s="26">
        <v>0.11982971375642451</v>
      </c>
      <c r="G198" s="26">
        <v>0.12707969296486946</v>
      </c>
      <c r="H198" s="26">
        <v>0.12094511823519646</v>
      </c>
      <c r="I198" s="7"/>
      <c r="J198" s="26">
        <f>(-(SUM([1]H7!$AO$61:$AR$61)/1000))/J191</f>
        <v>6.4226057345001586E-2</v>
      </c>
      <c r="K198" s="26">
        <f>(-(SUM([1]H7!$AO$62:$AR$62)/1000))/K191</f>
        <v>0.12002479631487467</v>
      </c>
      <c r="L198" s="26">
        <f>(-(SUM([1]H7!$AO$63:$AR$63)/1000))/L191</f>
        <v>0.2520641917942919</v>
      </c>
      <c r="M198" s="7"/>
      <c r="N198" s="26">
        <v>0.11982971375642451</v>
      </c>
      <c r="O198" s="26">
        <v>0.12707969296486946</v>
      </c>
      <c r="P198" s="26">
        <v>0.12094511823519646</v>
      </c>
      <c r="Q198" s="7"/>
      <c r="R198" s="26">
        <f>(-(SUM([1]H7!$FM$61:$FP$61)/1000))/R191</f>
        <v>6.7611098203024245E-2</v>
      </c>
      <c r="S198" s="26">
        <f>(-(SUM([1]H7!$FM$62:$FP$62)/1000))/S191</f>
        <v>0.114465754521709</v>
      </c>
      <c r="T198" s="26">
        <f>(-(SUM([1]H7!$FM$63:$FP$63)/1000))/T191</f>
        <v>0.25206419179429196</v>
      </c>
    </row>
    <row r="199" spans="2:20" ht="20.149999999999999" customHeight="1" collapsed="1" x14ac:dyDescent="0.25">
      <c r="B199" s="225"/>
      <c r="C199" s="9"/>
      <c r="D199" s="16" t="s">
        <v>97</v>
      </c>
      <c r="E199" s="7"/>
      <c r="F199" s="26">
        <v>0.25626011423514444</v>
      </c>
      <c r="G199" s="26">
        <v>0.26074091044776282</v>
      </c>
      <c r="H199" s="26">
        <v>0.25756145385205492</v>
      </c>
      <c r="I199" s="7"/>
      <c r="J199" s="26">
        <f>+J197+J198</f>
        <v>0.31432016724938011</v>
      </c>
      <c r="K199" s="26">
        <f>+K197+K198</f>
        <v>0.36485276255383381</v>
      </c>
      <c r="L199" s="26">
        <f>+L197+L198</f>
        <v>0.46445781386127294</v>
      </c>
      <c r="M199" s="7"/>
      <c r="N199" s="26">
        <v>0.25626011423514444</v>
      </c>
      <c r="O199" s="26">
        <v>0.26074091044776282</v>
      </c>
      <c r="P199" s="26">
        <v>0.25756145385205492</v>
      </c>
      <c r="Q199" s="7"/>
      <c r="R199" s="26">
        <f>+R197+R198</f>
        <v>0.31569524248900577</v>
      </c>
      <c r="S199" s="26">
        <f>+S197+S198</f>
        <v>0.35874275098979047</v>
      </c>
      <c r="T199" s="26">
        <f>+T197+T198</f>
        <v>0.46445781386127305</v>
      </c>
    </row>
    <row r="200" spans="2:20" ht="20.149999999999999" customHeight="1" x14ac:dyDescent="0.25">
      <c r="B200" s="225"/>
      <c r="C200" s="9"/>
      <c r="D200" s="16" t="s">
        <v>90</v>
      </c>
      <c r="E200" s="7"/>
      <c r="F200" s="26"/>
      <c r="G200" s="26"/>
      <c r="H200" s="26"/>
      <c r="I200" s="7"/>
      <c r="J200" s="26">
        <f>(-(SUM([1]H7!$AT$61:$BJ$61)/1000))/J191</f>
        <v>0</v>
      </c>
      <c r="K200" s="26">
        <f>(-(SUM([1]H7!$AT$62:$BJ$62)/1000))/K191</f>
        <v>0</v>
      </c>
      <c r="L200" s="26">
        <f>(-(SUM([1]H7!$AT$63:$BJ$63)/1000))/L191</f>
        <v>0</v>
      </c>
      <c r="M200" s="7"/>
      <c r="N200" s="26"/>
      <c r="O200" s="26"/>
      <c r="P200" s="26"/>
      <c r="Q200" s="7"/>
      <c r="R200" s="26">
        <f>(-(SUM([1]H7!$FR$61:$GH$61)/1000))/R191</f>
        <v>0</v>
      </c>
      <c r="S200" s="26">
        <f>(-(SUM([1]H7!$FR$62:$GH$62)/1000))/S191</f>
        <v>0</v>
      </c>
      <c r="T200" s="26">
        <f>(-(SUM([1]H7!$FR$63:$GH$63)/1000))/T191</f>
        <v>0</v>
      </c>
    </row>
    <row r="201" spans="2:20" ht="20.149999999999999" customHeight="1" x14ac:dyDescent="0.25">
      <c r="B201" s="225"/>
      <c r="C201" s="9"/>
      <c r="D201" s="16" t="s">
        <v>79</v>
      </c>
      <c r="E201" s="8"/>
      <c r="F201" s="26">
        <v>0.85605004069332524</v>
      </c>
      <c r="G201" s="26">
        <v>0.81425669220671981</v>
      </c>
      <c r="H201" s="26">
        <v>0.89483290990595954</v>
      </c>
      <c r="I201" s="8"/>
      <c r="J201" s="26">
        <f>+J195+J196+J199+J200</f>
        <v>0.52968696783405411</v>
      </c>
      <c r="K201" s="26">
        <f>+K195+K196+K199+K200</f>
        <v>0.5145574746930538</v>
      </c>
      <c r="L201" s="26">
        <f>+L195+L196+L199+L200</f>
        <v>0.89965734543593179</v>
      </c>
      <c r="M201" s="8"/>
      <c r="N201" s="26">
        <v>0.85605004069332524</v>
      </c>
      <c r="O201" s="26">
        <v>0.81425669220671981</v>
      </c>
      <c r="P201" s="26">
        <v>0.89483290990595954</v>
      </c>
      <c r="Q201" s="8"/>
      <c r="R201" s="26">
        <f>+R195+R196+R199+R200</f>
        <v>1.8486777995898926</v>
      </c>
      <c r="S201" s="26">
        <f>+S195+S196+S199+S200</f>
        <v>0.52536764691382631</v>
      </c>
      <c r="T201" s="26">
        <f>+T195+T196+T199+T200</f>
        <v>0.89965734543593201</v>
      </c>
    </row>
    <row r="202" spans="2:20" ht="19.5" customHeight="1" x14ac:dyDescent="0.25">
      <c r="B202" s="225"/>
      <c r="C202" s="9"/>
      <c r="D202" s="16" t="s">
        <v>34</v>
      </c>
      <c r="E202" s="6"/>
      <c r="F202" s="25">
        <v>89.239366440000083</v>
      </c>
      <c r="G202" s="25">
        <v>112.19169349000006</v>
      </c>
      <c r="H202" s="25">
        <v>64.163450784016746</v>
      </c>
      <c r="I202" s="6"/>
      <c r="J202" s="25">
        <f>(([1]H7!$BK$61/1000))</f>
        <v>0.66532794999999889</v>
      </c>
      <c r="K202" s="25">
        <f>(([1]H7!$BK$62/1000))</f>
        <v>0.62459113000000022</v>
      </c>
      <c r="L202" s="25">
        <f>(([1]H7!$BK$63/1000))</f>
        <v>4.1140099285128059E-2</v>
      </c>
      <c r="M202" s="6"/>
      <c r="N202" s="25">
        <v>89.239366440000083</v>
      </c>
      <c r="O202" s="25">
        <v>112.19169349000006</v>
      </c>
      <c r="P202" s="25">
        <v>64.163450784016746</v>
      </c>
      <c r="Q202" s="6"/>
      <c r="R202" s="25">
        <f>(+([1]H7!$GI$61/1000))</f>
        <v>-0.40080565000000018</v>
      </c>
      <c r="S202" s="25">
        <f>(+([1]H7!$GI$62/1000))</f>
        <v>0.2045871100000001</v>
      </c>
      <c r="T202" s="25">
        <f>(+([1]H7!$GI$63/1000))</f>
        <v>1.3713366428375976E-2</v>
      </c>
    </row>
    <row r="203" spans="2:20" ht="7.5" customHeight="1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2:20" ht="19.5" customHeight="1" x14ac:dyDescent="0.25">
      <c r="B204" s="224" t="s">
        <v>48</v>
      </c>
      <c r="C204" s="9"/>
      <c r="D204" s="17" t="s">
        <v>19</v>
      </c>
      <c r="E204" s="6"/>
      <c r="F204" s="23">
        <v>104.56900124000002</v>
      </c>
      <c r="G204" s="23">
        <v>86.957286909999993</v>
      </c>
      <c r="H204" s="23">
        <v>93.39937754566202</v>
      </c>
      <c r="I204" s="6"/>
      <c r="J204" s="23">
        <f>+[1]H7!$C$65/1000</f>
        <v>188.85842228000004</v>
      </c>
      <c r="K204" s="23">
        <f>+[1]H7!$C$66/1000</f>
        <v>179.94997616000006</v>
      </c>
      <c r="L204" s="23">
        <f>+[1]H7!$C$67/1000</f>
        <v>182.88040999999998</v>
      </c>
      <c r="M204" s="6"/>
      <c r="N204" s="23">
        <v>104.56900124000002</v>
      </c>
      <c r="O204" s="23">
        <v>86.957286909999993</v>
      </c>
      <c r="P204" s="23">
        <v>93.39937754566202</v>
      </c>
      <c r="Q204" s="6"/>
      <c r="R204" s="23">
        <f>+[1]H7!$EA$65/1000</f>
        <v>37.30305906000001</v>
      </c>
      <c r="S204" s="23">
        <f>+[1]H7!$EA$66/1000</f>
        <v>35.124147579999999</v>
      </c>
      <c r="T204" s="23">
        <f>+[1]H7!$EA$67/1000</f>
        <v>37.205829999999985</v>
      </c>
    </row>
    <row r="205" spans="2:20" ht="20.149999999999999" customHeight="1" x14ac:dyDescent="0.25">
      <c r="B205" s="224"/>
      <c r="C205" s="9"/>
      <c r="D205" s="17" t="s">
        <v>20</v>
      </c>
      <c r="E205" s="6"/>
      <c r="F205" s="23">
        <v>96.613065600000027</v>
      </c>
      <c r="G205" s="23">
        <v>80.999779810000007</v>
      </c>
      <c r="H205" s="23">
        <v>83.735445436524415</v>
      </c>
      <c r="I205" s="6"/>
      <c r="J205" s="23">
        <f>+[1]H7!$N$65/1000</f>
        <v>139.52331497</v>
      </c>
      <c r="K205" s="23">
        <f>+[1]H7!$N$66/1000</f>
        <v>131.25388270999994</v>
      </c>
      <c r="L205" s="23">
        <f>+[1]H7!$N$67/1000</f>
        <v>137.43770115359374</v>
      </c>
      <c r="M205" s="6"/>
      <c r="N205" s="23">
        <v>96.613065600000027</v>
      </c>
      <c r="O205" s="23">
        <v>80.999779810000007</v>
      </c>
      <c r="P205" s="23">
        <v>83.735445436524415</v>
      </c>
      <c r="Q205" s="6"/>
      <c r="R205" s="23">
        <f>+[1]H7!$EL$65/1000</f>
        <v>48.776336550000025</v>
      </c>
      <c r="S205" s="23">
        <f>+[1]H7!$EL$66/1000</f>
        <v>45.726016439999988</v>
      </c>
      <c r="T205" s="23">
        <f>+[1]H7!$EL$67/1000</f>
        <v>45.812567051197924</v>
      </c>
    </row>
    <row r="206" spans="2:20" ht="19.5" customHeight="1" x14ac:dyDescent="0.25">
      <c r="B206" s="224"/>
      <c r="C206" s="9"/>
      <c r="D206" s="17" t="s">
        <v>92</v>
      </c>
      <c r="E206" s="6"/>
      <c r="F206" s="24" t="e">
        <f>#REF!</f>
        <v>#REF!</v>
      </c>
      <c r="G206" s="24" t="e">
        <f>#REF!</f>
        <v>#REF!</v>
      </c>
      <c r="H206" s="24" t="e">
        <f>#REF!</f>
        <v>#REF!</v>
      </c>
      <c r="I206" s="6"/>
      <c r="J206" s="24">
        <f>-(SUM([1]H7!$O$65,[1]H7!$R$65:$V$65,[1]H7!$Y$65:$AB$65)/1000)/J205</f>
        <v>0.55502553480830497</v>
      </c>
      <c r="K206" s="24">
        <f>-(SUM([1]H7!$O$66,[1]H7!$R$66:$V$66,[1]H7!$Y$66:$AB$66)/1000)/K205</f>
        <v>0.54152896808486517</v>
      </c>
      <c r="L206" s="24">
        <f>-(SUM([1]H7!$O$67,[1]H7!$R$67:$V$67,[1]H7!$Y$67:$AB$67)/1000)/L205</f>
        <v>0.54085744383263812</v>
      </c>
      <c r="M206" s="6"/>
      <c r="N206" s="24" t="e">
        <f>#REF!</f>
        <v>#REF!</v>
      </c>
      <c r="O206" s="24" t="e">
        <f>#REF!</f>
        <v>#REF!</v>
      </c>
      <c r="P206" s="24" t="e">
        <f>#REF!</f>
        <v>#REF!</v>
      </c>
      <c r="Q206" s="6"/>
      <c r="R206" s="24">
        <f>-(SUM([1]H7!$EM$65,[1]H7!$EP$65:$ET$65,[1]H7!$EW$65:$EZ$65)/1000)/R205</f>
        <v>0.57529048583513032</v>
      </c>
      <c r="S206" s="24">
        <f>-(SUM([1]H7!$EM$66,[1]H7!$EP$66:$ET$66,[1]H7!$EW$66:$EZ$66)/1000)/S205</f>
        <v>0.5643388123090024</v>
      </c>
      <c r="T206" s="24">
        <f>-(SUM([1]H7!$EM$67,[1]H7!$EP$67:$ET$67,[1]H7!$EW$67:$EZ$67)/1000)/T205</f>
        <v>0.5408574438326379</v>
      </c>
    </row>
    <row r="207" spans="2:20" ht="19.5" customHeight="1" x14ac:dyDescent="0.25">
      <c r="B207" s="224"/>
      <c r="C207" s="9"/>
      <c r="D207" s="17" t="s">
        <v>93</v>
      </c>
      <c r="E207" s="6"/>
      <c r="F207" s="24" t="e">
        <f>#REF!</f>
        <v>#REF!</v>
      </c>
      <c r="G207" s="24" t="e">
        <f>#REF!</f>
        <v>#REF!</v>
      </c>
      <c r="H207" s="24" t="e">
        <f>#REF!</f>
        <v>#REF!</v>
      </c>
      <c r="I207" s="6"/>
      <c r="J207" s="24">
        <f>-(SUM([1]H7!$Q$65,[1]H7!$X$65)/1000)/J205</f>
        <v>8.4786059111996839E-2</v>
      </c>
      <c r="K207" s="24">
        <f>-(SUM([1]H7!$Q$66,[1]H7!$X$66)/1000)/K205</f>
        <v>9.5030538003059786E-2</v>
      </c>
      <c r="L207" s="24">
        <f>-(SUM([1]H7!$Q$67,[1]H7!$X$67)/1000)/L205</f>
        <v>8.4516428833543947E-2</v>
      </c>
      <c r="M207" s="6"/>
      <c r="N207" s="24" t="e">
        <f>#REF!</f>
        <v>#REF!</v>
      </c>
      <c r="O207" s="24" t="e">
        <f>#REF!</f>
        <v>#REF!</v>
      </c>
      <c r="P207" s="24" t="e">
        <f>#REF!</f>
        <v>#REF!</v>
      </c>
      <c r="Q207" s="6"/>
      <c r="R207" s="24">
        <f>-(SUM([1]H7!$EO$65,[1]H7!$EV$65)/1000)/R205</f>
        <v>0.10268887134970076</v>
      </c>
      <c r="S207" s="24">
        <f>-(SUM([1]H7!$EO$66,[1]H7!$EV$66)/1000)/S205</f>
        <v>8.7329812905707183E-2</v>
      </c>
      <c r="T207" s="24">
        <f>-(SUM([1]H7!$EO$67,[1]H7!$EV$67)/1000)/T205</f>
        <v>8.4516428833543919E-2</v>
      </c>
    </row>
    <row r="208" spans="2:20" ht="19.5" customHeight="1" x14ac:dyDescent="0.25">
      <c r="B208" s="224"/>
      <c r="C208" s="9"/>
      <c r="D208" s="17" t="s">
        <v>94</v>
      </c>
      <c r="E208" s="6"/>
      <c r="F208" s="24" t="e">
        <f>#REF!</f>
        <v>#REF!</v>
      </c>
      <c r="G208" s="24" t="e">
        <f>#REF!</f>
        <v>#REF!</v>
      </c>
      <c r="H208" s="24" t="e">
        <f>#REF!</f>
        <v>#REF!</v>
      </c>
      <c r="I208" s="6"/>
      <c r="J208" s="24">
        <f>-(SUM([1]H7!$P$65,[1]H7!$W$65)/1000)/J205</f>
        <v>6.8886264650940869E-5</v>
      </c>
      <c r="K208" s="24">
        <f>-(SUM([1]H7!$P$66,[1]H7!$W$66)/1000)/K205</f>
        <v>0</v>
      </c>
      <c r="L208" s="24">
        <f>-(SUM([1]H7!$P$67,[1]H7!$W$67)/1000)/L205</f>
        <v>2.5539908984847849E-2</v>
      </c>
      <c r="M208" s="6"/>
      <c r="N208" s="24" t="e">
        <f>#REF!</f>
        <v>#REF!</v>
      </c>
      <c r="O208" s="24" t="e">
        <f>#REF!</f>
        <v>#REF!</v>
      </c>
      <c r="P208" s="24" t="e">
        <f>#REF!</f>
        <v>#REF!</v>
      </c>
      <c r="Q208" s="6"/>
      <c r="R208" s="24">
        <f>-(SUM([1]H7!$EN$65,[1]H7!$EU$65)/1000)/R205</f>
        <v>1.9704718885863099E-4</v>
      </c>
      <c r="S208" s="24">
        <f>-(SUM([1]H7!$EN$66,[1]H7!$EU$66)/1000)/S205</f>
        <v>0</v>
      </c>
      <c r="T208" s="24">
        <f>-(SUM([1]H7!$EN$67,[1]H7!$EU$67)/1000)/T205</f>
        <v>2.5539908984847839E-2</v>
      </c>
    </row>
    <row r="209" spans="2:20" ht="19.5" hidden="1" customHeight="1" outlineLevel="1" x14ac:dyDescent="0.25">
      <c r="B209" s="224"/>
      <c r="C209" s="9"/>
      <c r="D209" s="17" t="s">
        <v>95</v>
      </c>
      <c r="E209" s="7"/>
      <c r="F209" s="24">
        <v>0.79243570416214992</v>
      </c>
      <c r="G209" s="24">
        <v>0.8148559316435503</v>
      </c>
      <c r="H209" s="24">
        <v>0.75170059448810467</v>
      </c>
      <c r="I209" s="7"/>
      <c r="J209" s="24">
        <f>+J206+J207+J208</f>
        <v>0.6398804801849528</v>
      </c>
      <c r="K209" s="24">
        <f>+K206+K207+K208</f>
        <v>0.636559506087925</v>
      </c>
      <c r="L209" s="24">
        <f>+L206+L207+L208</f>
        <v>0.65091378165102987</v>
      </c>
      <c r="M209" s="7"/>
      <c r="N209" s="24">
        <v>0.79243570416214992</v>
      </c>
      <c r="O209" s="24">
        <v>0.8148559316435503</v>
      </c>
      <c r="P209" s="24">
        <v>0.75170059448810467</v>
      </c>
      <c r="Q209" s="7"/>
      <c r="R209" s="24">
        <f>+R206+R207+R208</f>
        <v>0.67817640437368965</v>
      </c>
      <c r="S209" s="24">
        <f>+S206+S207+S208</f>
        <v>0.65166862521470958</v>
      </c>
      <c r="T209" s="24">
        <f>+T206+T207+T208</f>
        <v>0.65091378165102964</v>
      </c>
    </row>
    <row r="210" spans="2:20" ht="20.149999999999999" customHeight="1" collapsed="1" x14ac:dyDescent="0.25">
      <c r="B210" s="224"/>
      <c r="C210" s="9"/>
      <c r="D210" s="17" t="s">
        <v>96</v>
      </c>
      <c r="E210" s="7"/>
      <c r="F210" s="24">
        <v>-1.0319356743400948E-2</v>
      </c>
      <c r="G210" s="24">
        <v>1.8135499546365962E-2</v>
      </c>
      <c r="H210" s="24">
        <v>0</v>
      </c>
      <c r="I210" s="7"/>
      <c r="J210" s="24">
        <f>-(SUM([1]H7!$AC$65:$AK$65)/1000)/J205</f>
        <v>3.5551731343729596E-2</v>
      </c>
      <c r="K210" s="24">
        <f>-(SUM([1]H7!$AC$66:$AK$66)/1000)/K205</f>
        <v>-4.4359650318797191E-2</v>
      </c>
      <c r="L210" s="24">
        <f>-(SUM([1]H7!$AC$67:$AK$67)/1000)/L205</f>
        <v>-1.9011503288202676E-2</v>
      </c>
      <c r="M210" s="7"/>
      <c r="N210" s="24">
        <v>-1.0319356743400948E-2</v>
      </c>
      <c r="O210" s="24">
        <v>1.8135499546365962E-2</v>
      </c>
      <c r="P210" s="24">
        <v>0</v>
      </c>
      <c r="Q210" s="7"/>
      <c r="R210" s="24">
        <f>-(SUM([1]H7!$FA$65:$FI$65)/1000)/R205</f>
        <v>4.807255640440232E-2</v>
      </c>
      <c r="S210" s="24">
        <f>-(SUM([1]H7!$FA$66:$FI$66)/1000)/S205</f>
        <v>-9.0208927021065866E-2</v>
      </c>
      <c r="T210" s="24">
        <f>-(SUM([1]H7!$FA$67:$FI$67)/1000)/T205</f>
        <v>-1.9011503288202669E-2</v>
      </c>
    </row>
    <row r="211" spans="2:20" ht="20.149999999999999" hidden="1" customHeight="1" outlineLevel="1" x14ac:dyDescent="0.25">
      <c r="B211" s="224"/>
      <c r="C211" s="9"/>
      <c r="D211" s="18" t="s">
        <v>87</v>
      </c>
      <c r="E211" s="7"/>
      <c r="F211" s="24">
        <v>5.3524374761171015E-2</v>
      </c>
      <c r="G211" s="24">
        <v>5.8053249663519033E-2</v>
      </c>
      <c r="H211" s="24">
        <v>5.3861513322713016E-2</v>
      </c>
      <c r="I211" s="7"/>
      <c r="J211" s="24">
        <f>-(SUM([1]H7!$AL$65:$AN$65)/1000)/J205</f>
        <v>0.16464690983682131</v>
      </c>
      <c r="K211" s="24">
        <f>-(SUM([1]H7!$AL$66:$AN$66)/1000)/K205</f>
        <v>0.1644800508317093</v>
      </c>
      <c r="L211" s="24">
        <f>-(SUM([1]H7!$AL$67:$AN$67)/1000)/L205</f>
        <v>0.16789385332074572</v>
      </c>
      <c r="M211" s="7"/>
      <c r="N211" s="24">
        <v>5.3524374761171015E-2</v>
      </c>
      <c r="O211" s="24">
        <v>5.8053249663519033E-2</v>
      </c>
      <c r="P211" s="24">
        <v>5.3861513322713016E-2</v>
      </c>
      <c r="Q211" s="7"/>
      <c r="R211" s="24">
        <f>-(SUM([1]H7!$FJ$65:$FL$65)/1000)/R205</f>
        <v>0.16443890864534397</v>
      </c>
      <c r="S211" s="24">
        <f>-(SUM([1]H7!$FJ$66:$FL$66)/1000)/S205</f>
        <v>0.16164903036543646</v>
      </c>
      <c r="T211" s="24">
        <f>-(SUM([1]H7!$FJ$67:$FL$67)/1000)/T205</f>
        <v>0.16789385332074566</v>
      </c>
    </row>
    <row r="212" spans="2:20" ht="19.5" hidden="1" customHeight="1" outlineLevel="1" x14ac:dyDescent="0.25">
      <c r="B212" s="224"/>
      <c r="C212" s="9"/>
      <c r="D212" s="18" t="s">
        <v>88</v>
      </c>
      <c r="E212" s="7"/>
      <c r="F212" s="24">
        <v>9.9075295256959517E-2</v>
      </c>
      <c r="G212" s="24">
        <v>0.11209148693116676</v>
      </c>
      <c r="H212" s="24">
        <v>0.11658092181995375</v>
      </c>
      <c r="I212" s="7"/>
      <c r="J212" s="24">
        <f>-(SUM([1]H7!$AO$65:$AR$65)/1000)/J205</f>
        <v>9.8839217108374872E-2</v>
      </c>
      <c r="K212" s="24">
        <f>-(SUM([1]H7!$AO$66:$AR$66)/1000)/K205</f>
        <v>0.11276421264201095</v>
      </c>
      <c r="L212" s="24">
        <f>-(SUM([1]H7!$AO$67:$AR$67)/1000)/L205</f>
        <v>0.12018684370397822</v>
      </c>
      <c r="M212" s="7"/>
      <c r="N212" s="24">
        <v>9.9075295256959517E-2</v>
      </c>
      <c r="O212" s="24">
        <v>0.11209148693116676</v>
      </c>
      <c r="P212" s="24">
        <v>0.11658092181995375</v>
      </c>
      <c r="Q212" s="7"/>
      <c r="R212" s="24">
        <f>-(SUM([1]H7!$FM$65:$FP$65)/1000)/R205</f>
        <v>9.7260063701934532E-2</v>
      </c>
      <c r="S212" s="24">
        <f>-(SUM([1]H7!$FM$66:$FP$66)/1000)/S205</f>
        <v>0.10624248443715953</v>
      </c>
      <c r="T212" s="24">
        <f>-(SUM([1]H7!$FM$67:$FP$67)/1000)/T205</f>
        <v>0.1201868437039782</v>
      </c>
    </row>
    <row r="213" spans="2:20" ht="20.149999999999999" customHeight="1" collapsed="1" x14ac:dyDescent="0.25">
      <c r="B213" s="224"/>
      <c r="C213" s="9"/>
      <c r="D213" s="17" t="s">
        <v>97</v>
      </c>
      <c r="E213" s="7"/>
      <c r="F213" s="24">
        <v>0.15259967001813052</v>
      </c>
      <c r="G213" s="24">
        <v>0.17014473659468576</v>
      </c>
      <c r="H213" s="24">
        <v>0.17044243514266674</v>
      </c>
      <c r="I213" s="7"/>
      <c r="J213" s="24">
        <f>+J211+J212</f>
        <v>0.26348612694519619</v>
      </c>
      <c r="K213" s="24">
        <f>+K211+K212</f>
        <v>0.27724426347372022</v>
      </c>
      <c r="L213" s="24">
        <f>+L211+L212</f>
        <v>0.28808069702472394</v>
      </c>
      <c r="M213" s="7"/>
      <c r="N213" s="24">
        <v>0.15259967001813052</v>
      </c>
      <c r="O213" s="24">
        <v>0.17014473659468576</v>
      </c>
      <c r="P213" s="24">
        <v>0.17044243514266674</v>
      </c>
      <c r="Q213" s="7"/>
      <c r="R213" s="24">
        <f>+R211+R212</f>
        <v>0.26169897234727851</v>
      </c>
      <c r="S213" s="24">
        <f>+S211+S212</f>
        <v>0.26789151480259599</v>
      </c>
      <c r="T213" s="24">
        <f>+T211+T212</f>
        <v>0.28808069702472383</v>
      </c>
    </row>
    <row r="214" spans="2:20" ht="20.149999999999999" customHeight="1" x14ac:dyDescent="0.25">
      <c r="B214" s="224"/>
      <c r="C214" s="9"/>
      <c r="D214" s="17" t="s">
        <v>90</v>
      </c>
      <c r="E214" s="7"/>
      <c r="F214" s="24"/>
      <c r="G214" s="24"/>
      <c r="H214" s="24"/>
      <c r="I214" s="7"/>
      <c r="J214" s="24">
        <f>-(SUM([1]H7!$AT$65:$BJ$65)/1000/J205)</f>
        <v>3.5913391902116114E-2</v>
      </c>
      <c r="K214" s="24">
        <f>-(SUM([1]H7!$AT$66:$BJ$66)/1000/K205)</f>
        <v>3.3156207954741473E-2</v>
      </c>
      <c r="L214" s="24">
        <f>-(SUM([1]H7!$AT$67:$BJ$67)/1000/L205)</f>
        <v>3.3905150447186561E-2</v>
      </c>
      <c r="M214" s="7"/>
      <c r="N214" s="24"/>
      <c r="O214" s="24"/>
      <c r="P214" s="24"/>
      <c r="Q214" s="7"/>
      <c r="R214" s="24">
        <f>-(SUM([1]H7!$FR$65:$GH$65)/1000/R205)</f>
        <v>3.8284544967533175E-2</v>
      </c>
      <c r="S214" s="24">
        <f>-(SUM([1]H7!$FR$66:$GH$66)/1000/S205)</f>
        <v>3.0548008961875865E-2</v>
      </c>
      <c r="T214" s="24">
        <f>-(SUM([1]H7!$FR$67:$GH$67)/1000/T205)</f>
        <v>3.390515044718654E-2</v>
      </c>
    </row>
    <row r="215" spans="2:20" ht="20.149999999999999" customHeight="1" x14ac:dyDescent="0.25">
      <c r="B215" s="224"/>
      <c r="C215" s="9"/>
      <c r="D215" s="17" t="s">
        <v>79</v>
      </c>
      <c r="E215" s="8"/>
      <c r="F215" s="24">
        <v>0.93471601743687949</v>
      </c>
      <c r="G215" s="24">
        <v>1.003136167784602</v>
      </c>
      <c r="H215" s="24">
        <v>0.92214302963077155</v>
      </c>
      <c r="I215" s="8"/>
      <c r="J215" s="24">
        <f>+J209+J210+J213+J214</f>
        <v>0.97483173037599469</v>
      </c>
      <c r="K215" s="24">
        <f>+K209+K210+K213+K214</f>
        <v>0.90260032719758954</v>
      </c>
      <c r="L215" s="24">
        <f>+L209+L210+L213+L214</f>
        <v>0.9538881258347377</v>
      </c>
      <c r="M215" s="8"/>
      <c r="N215" s="24">
        <v>0.93471601743687949</v>
      </c>
      <c r="O215" s="24">
        <v>1.003136167784602</v>
      </c>
      <c r="P215" s="24">
        <v>0.92214302963077155</v>
      </c>
      <c r="Q215" s="8"/>
      <c r="R215" s="24">
        <f>+R209+R210+R213+R214</f>
        <v>1.0262324780929035</v>
      </c>
      <c r="S215" s="24">
        <f>+S209+S210+S213+S214</f>
        <v>0.85989922195811552</v>
      </c>
      <c r="T215" s="24">
        <f>+T209+T210+T213+T214</f>
        <v>0.95388812583473737</v>
      </c>
    </row>
    <row r="216" spans="2:20" ht="19.5" customHeight="1" x14ac:dyDescent="0.25">
      <c r="B216" s="224"/>
      <c r="C216" s="9"/>
      <c r="D216" s="17" t="s">
        <v>34</v>
      </c>
      <c r="E216" s="6"/>
      <c r="F216" s="23">
        <v>6.3072856900000263</v>
      </c>
      <c r="G216" s="23">
        <v>-0.25402889999998773</v>
      </c>
      <c r="H216" s="23">
        <v>6.5193880942056417</v>
      </c>
      <c r="I216" s="6"/>
      <c r="J216" s="23">
        <f>+[1]H7!$BK$65/1000</f>
        <v>3.5115604100000244</v>
      </c>
      <c r="K216" s="23">
        <f>+[1]H7!$BK$66/1000</f>
        <v>12.784085229999985</v>
      </c>
      <c r="L216" s="23">
        <f>+[1]H7!$BK$67/1000</f>
        <v>6.3375099811574342</v>
      </c>
      <c r="M216" s="6"/>
      <c r="N216" s="23">
        <v>6.3072856900000263</v>
      </c>
      <c r="O216" s="23">
        <v>-0.25402889999998773</v>
      </c>
      <c r="P216" s="23">
        <v>6.5193880942056417</v>
      </c>
      <c r="Q216" s="6"/>
      <c r="R216" s="23">
        <f>+[1]H7!$GI$65/1000</f>
        <v>-1.2795241799999775</v>
      </c>
      <c r="S216" s="23">
        <f>+[1]H7!$GI$66/1000</f>
        <v>6.406250479999982</v>
      </c>
      <c r="T216" s="23">
        <f>+[1]H7!$GI$67/1000</f>
        <v>2.112503327052492</v>
      </c>
    </row>
    <row r="217" spans="2:20" ht="7.5" customHeight="1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2:20" ht="19.5" customHeight="1" x14ac:dyDescent="0.25">
      <c r="B218" s="224" t="s">
        <v>49</v>
      </c>
      <c r="C218" s="9"/>
      <c r="D218" s="17" t="s">
        <v>19</v>
      </c>
      <c r="E218" s="6"/>
      <c r="F218" s="23">
        <v>0</v>
      </c>
      <c r="G218" s="23">
        <v>0</v>
      </c>
      <c r="H218" s="23">
        <v>0</v>
      </c>
      <c r="I218" s="6"/>
      <c r="J218" s="23"/>
      <c r="K218" s="23"/>
      <c r="L218" s="23"/>
      <c r="M218" s="6"/>
      <c r="N218" s="23">
        <v>0</v>
      </c>
      <c r="O218" s="23">
        <v>0</v>
      </c>
      <c r="P218" s="23">
        <v>0</v>
      </c>
      <c r="Q218" s="6"/>
      <c r="R218" s="23">
        <f t="shared" ref="R218:T219" si="4">+R232+R246</f>
        <v>9.9054457100000004</v>
      </c>
      <c r="S218" s="23">
        <f t="shared" si="4"/>
        <v>8.0574293600000022</v>
      </c>
      <c r="T218" s="23">
        <f t="shared" si="4"/>
        <v>9.171739999999998</v>
      </c>
    </row>
    <row r="219" spans="2:20" ht="20.149999999999999" customHeight="1" x14ac:dyDescent="0.25">
      <c r="B219" s="224"/>
      <c r="C219" s="9"/>
      <c r="D219" s="17" t="s">
        <v>20</v>
      </c>
      <c r="E219" s="6"/>
      <c r="F219" s="23">
        <v>0</v>
      </c>
      <c r="G219" s="23">
        <v>0</v>
      </c>
      <c r="H219" s="23">
        <v>0</v>
      </c>
      <c r="I219" s="6"/>
      <c r="J219" s="23"/>
      <c r="K219" s="23"/>
      <c r="L219" s="23"/>
      <c r="M219" s="6"/>
      <c r="N219" s="23">
        <v>0</v>
      </c>
      <c r="O219" s="23">
        <v>0</v>
      </c>
      <c r="P219" s="23">
        <v>0</v>
      </c>
      <c r="Q219" s="6"/>
      <c r="R219" s="23">
        <f t="shared" si="4"/>
        <v>12.607068770000016</v>
      </c>
      <c r="S219" s="23">
        <f t="shared" si="4"/>
        <v>12.567821860000009</v>
      </c>
      <c r="T219" s="23">
        <f t="shared" si="4"/>
        <v>11.419078124999999</v>
      </c>
    </row>
    <row r="220" spans="2:20" ht="19.5" customHeight="1" x14ac:dyDescent="0.25">
      <c r="B220" s="224"/>
      <c r="C220" s="9"/>
      <c r="D220" s="17" t="s">
        <v>92</v>
      </c>
      <c r="E220" s="6"/>
      <c r="F220" s="24">
        <f>0</f>
        <v>0</v>
      </c>
      <c r="G220" s="24">
        <f>0</f>
        <v>0</v>
      </c>
      <c r="H220" s="24">
        <f>0</f>
        <v>0</v>
      </c>
      <c r="I220" s="6"/>
      <c r="J220" s="24"/>
      <c r="K220" s="24"/>
      <c r="L220" s="24"/>
      <c r="M220" s="6"/>
      <c r="N220" s="24">
        <f>0</f>
        <v>0</v>
      </c>
      <c r="O220" s="24">
        <f>0</f>
        <v>0</v>
      </c>
      <c r="P220" s="24">
        <f>0</f>
        <v>0</v>
      </c>
      <c r="Q220" s="6"/>
      <c r="R220" s="24">
        <f>(-(SUM([1]H7!$EM$69,[1]H7!$EP$69:$ET$69,[1]H7!$EW$69:$EZ$69)/1000)-(SUM([1]H7!$EM$73,[1]H7!$EP$73:$ET$73,[1]H7!$EW$73:$EZ$73)/1000))/R219</f>
        <v>0.82895779666632163</v>
      </c>
      <c r="S220" s="24">
        <f>(-(SUM([1]H7!$EM$70,[1]H7!$EP$70:$ET$70,[1]H7!$EW$70:$EZ$70)/1000)-(SUM([1]H7!$EM$74,[1]H7!$EP$74:$ET$74,[1]H7!$EW$74:$EZ$74)/1000))/S219</f>
        <v>0.72614814099537173</v>
      </c>
      <c r="T220" s="24">
        <f>(-(SUM([1]H7!$EM$71,[1]H7!$EP$71:$ET$71,[1]H7!$EW$71:$EZ$71)/1000)-(SUM([1]H7!$EM$75,[1]H7!$EP$75:$ET$75,[1]H7!$EW$75:$EZ$75)/1000))/T219</f>
        <v>0.81009954856045452</v>
      </c>
    </row>
    <row r="221" spans="2:20" ht="19.5" customHeight="1" x14ac:dyDescent="0.25">
      <c r="B221" s="224"/>
      <c r="C221" s="9"/>
      <c r="D221" s="17" t="s">
        <v>93</v>
      </c>
      <c r="E221" s="6"/>
      <c r="F221" s="24">
        <f>0</f>
        <v>0</v>
      </c>
      <c r="G221" s="24">
        <f>0</f>
        <v>0</v>
      </c>
      <c r="H221" s="24">
        <f>0</f>
        <v>0</v>
      </c>
      <c r="I221" s="6"/>
      <c r="J221" s="24"/>
      <c r="K221" s="24"/>
      <c r="L221" s="24"/>
      <c r="M221" s="6"/>
      <c r="N221" s="24">
        <f>0</f>
        <v>0</v>
      </c>
      <c r="O221" s="24">
        <f>0</f>
        <v>0</v>
      </c>
      <c r="P221" s="24">
        <f>0</f>
        <v>0</v>
      </c>
      <c r="Q221" s="6"/>
      <c r="R221" s="24">
        <f>(-(SUM([1]H7!$EO$69,[1]H7!$EV$69)/1000)-(SUM([1]H7!$EO$73,[1]H7!$EV$73)/1000))/R219</f>
        <v>0</v>
      </c>
      <c r="S221" s="24">
        <f>(-(SUM([1]H7!$EO$70,[1]H7!$EV$70)/1000)-(SUM([1]H7!$EO$74,[1]H7!$EV$74)/1000))/S219</f>
        <v>0</v>
      </c>
      <c r="T221" s="24">
        <f>(-(SUM([1]H7!$EO$71,[1]H7!$EV$71)/1000)-(SUM([1]H7!$EO$75,[1]H7!$EV$75)/1000))/T219</f>
        <v>9.4553327391519518E-3</v>
      </c>
    </row>
    <row r="222" spans="2:20" ht="19.5" customHeight="1" x14ac:dyDescent="0.25">
      <c r="B222" s="224"/>
      <c r="C222" s="9"/>
      <c r="D222" s="17" t="s">
        <v>94</v>
      </c>
      <c r="E222" s="6"/>
      <c r="F222" s="24">
        <f>0</f>
        <v>0</v>
      </c>
      <c r="G222" s="24">
        <f>0</f>
        <v>0</v>
      </c>
      <c r="H222" s="24">
        <f>0</f>
        <v>0</v>
      </c>
      <c r="I222" s="6"/>
      <c r="J222" s="24"/>
      <c r="K222" s="24"/>
      <c r="L222" s="24"/>
      <c r="M222" s="6"/>
      <c r="N222" s="24">
        <f>0</f>
        <v>0</v>
      </c>
      <c r="O222" s="24">
        <f>0</f>
        <v>0</v>
      </c>
      <c r="P222" s="24">
        <f>0</f>
        <v>0</v>
      </c>
      <c r="Q222" s="6"/>
      <c r="R222" s="24">
        <f>(-(SUM([1]H7!$EN$69,[1]H7!$EU$69)/1000)-(SUM([1]H7!$EN$73,[1]H7!$EU$73)/1000))/R219</f>
        <v>0</v>
      </c>
      <c r="S222" s="24">
        <f>(-(SUM([1]H7!$EN$70,[1]H7!$EU$70)/1000)-(SUM([1]H7!$EN$74,[1]H7!$EU$74)/1000))/S219</f>
        <v>0</v>
      </c>
      <c r="T222" s="24">
        <f>(-(SUM([1]H7!$EN$71,[1]H7!$EU$71)/1000)-(SUM([1]H7!$EN$75,[1]H7!$EU$75)/1000))/T219</f>
        <v>0</v>
      </c>
    </row>
    <row r="223" spans="2:20" ht="19.5" hidden="1" customHeight="1" outlineLevel="1" x14ac:dyDescent="0.25">
      <c r="B223" s="224"/>
      <c r="C223" s="9"/>
      <c r="D223" s="17" t="s">
        <v>95</v>
      </c>
      <c r="E223" s="7"/>
      <c r="F223" s="24">
        <v>0</v>
      </c>
      <c r="G223" s="24">
        <v>0</v>
      </c>
      <c r="H223" s="24">
        <v>0</v>
      </c>
      <c r="I223" s="7"/>
      <c r="J223" s="24"/>
      <c r="K223" s="24"/>
      <c r="L223" s="24"/>
      <c r="M223" s="7"/>
      <c r="N223" s="24">
        <v>0</v>
      </c>
      <c r="O223" s="24">
        <v>0</v>
      </c>
      <c r="P223" s="24">
        <v>0</v>
      </c>
      <c r="Q223" s="7"/>
      <c r="R223" s="24">
        <f>+R220+R221+R222</f>
        <v>0.82895779666632163</v>
      </c>
      <c r="S223" s="24">
        <f>+S220+S221+S222</f>
        <v>0.72614814099537173</v>
      </c>
      <c r="T223" s="24">
        <f>+T220+T221+T222</f>
        <v>0.81955488129960652</v>
      </c>
    </row>
    <row r="224" spans="2:20" ht="20.149999999999999" customHeight="1" collapsed="1" x14ac:dyDescent="0.25">
      <c r="B224" s="224"/>
      <c r="C224" s="9"/>
      <c r="D224" s="17" t="s">
        <v>96</v>
      </c>
      <c r="E224" s="7"/>
      <c r="F224" s="24">
        <v>0</v>
      </c>
      <c r="G224" s="24">
        <v>0</v>
      </c>
      <c r="H224" s="24">
        <v>0</v>
      </c>
      <c r="I224" s="7"/>
      <c r="J224" s="24"/>
      <c r="K224" s="24"/>
      <c r="L224" s="24"/>
      <c r="M224" s="7"/>
      <c r="N224" s="24">
        <v>0</v>
      </c>
      <c r="O224" s="24">
        <v>0</v>
      </c>
      <c r="P224" s="24">
        <v>0</v>
      </c>
      <c r="Q224" s="7"/>
      <c r="R224" s="24">
        <f>(-(SUM([1]H7!$FA$69:$FI$69)/1000)-(SUM([1]H7!$FA$73:$FI$73)/1000))/R219</f>
        <v>5.7684063065517509E-2</v>
      </c>
      <c r="S224" s="24">
        <f>(-(SUM([1]H7!$FA$70:$FI$70)/1000)-(SUM([1]H7!$FA$74:$FI$74)/1000))/S219</f>
        <v>0.17355199606560992</v>
      </c>
      <c r="T224" s="24">
        <f>(-(SUM([1]H7!$FA$71:$FI$71)/1000)-(SUM([1]H7!$FA$75:$FI$75)/1000))/T219</f>
        <v>-1.6955713113417242E-2</v>
      </c>
    </row>
    <row r="225" spans="2:20" ht="20.149999999999999" hidden="1" customHeight="1" outlineLevel="1" x14ac:dyDescent="0.25">
      <c r="B225" s="224"/>
      <c r="C225" s="9"/>
      <c r="D225" s="18" t="s">
        <v>87</v>
      </c>
      <c r="E225" s="7"/>
      <c r="F225" s="24">
        <v>0</v>
      </c>
      <c r="G225" s="24">
        <v>0</v>
      </c>
      <c r="H225" s="24">
        <v>0</v>
      </c>
      <c r="I225" s="7"/>
      <c r="J225" s="24"/>
      <c r="K225" s="24"/>
      <c r="L225" s="24"/>
      <c r="M225" s="7"/>
      <c r="N225" s="24">
        <v>0</v>
      </c>
      <c r="O225" s="24">
        <v>0</v>
      </c>
      <c r="P225" s="24">
        <v>0</v>
      </c>
      <c r="Q225" s="7"/>
      <c r="R225" s="24">
        <f>(-(SUM([1]H7!$FJ$69:$FL$69)/1000)-(SUM([1]H7!$FJ$73:$FL$73)/1000))/R219</f>
        <v>3.8724801847812643E-2</v>
      </c>
      <c r="S225" s="24">
        <f>(-(SUM([1]H7!$FJ$70:$FL$70)/1000)-(SUM([1]H7!$FJ$74:$FL$74)/1000))/S219</f>
        <v>9.3147877415888147E-2</v>
      </c>
      <c r="T225" s="24">
        <f>(-(SUM([1]H7!$FJ$71:$FL$71)/1000)-(SUM([1]H7!$FJ$75:$FL$75)/1000))/T219</f>
        <v>3.7777349036220917E-2</v>
      </c>
    </row>
    <row r="226" spans="2:20" ht="19.5" hidden="1" customHeight="1" outlineLevel="1" x14ac:dyDescent="0.25">
      <c r="B226" s="224"/>
      <c r="C226" s="9"/>
      <c r="D226" s="18" t="s">
        <v>88</v>
      </c>
      <c r="E226" s="7"/>
      <c r="F226" s="24">
        <v>0</v>
      </c>
      <c r="G226" s="24">
        <v>0</v>
      </c>
      <c r="H226" s="24">
        <v>0</v>
      </c>
      <c r="I226" s="7"/>
      <c r="J226" s="24"/>
      <c r="K226" s="24"/>
      <c r="L226" s="24"/>
      <c r="M226" s="7"/>
      <c r="N226" s="24">
        <v>0</v>
      </c>
      <c r="O226" s="24">
        <v>0</v>
      </c>
      <c r="P226" s="24">
        <v>0</v>
      </c>
      <c r="Q226" s="7"/>
      <c r="R226" s="24">
        <f>(-(SUM([1]H7!$FM$69:$FP$69)/1000)-(SUM([1]H7!$FM$73:$FP$73)/1000))/R219</f>
        <v>8.255132172171048E-2</v>
      </c>
      <c r="S226" s="24">
        <f>(-(SUM([1]H7!$FM$70:$FP$70)/1000)-(SUM([1]H7!$FM$74:$FP$74)/1000))/S219</f>
        <v>7.2437182842118919E-2</v>
      </c>
      <c r="T226" s="24">
        <f>(-(SUM([1]H7!$FM$71:$FP$71)/1000)-(SUM([1]H7!$FM$75:$FP$75)/1000))/T219</f>
        <v>0.1043909678905179</v>
      </c>
    </row>
    <row r="227" spans="2:20" ht="20.149999999999999" customHeight="1" collapsed="1" x14ac:dyDescent="0.25">
      <c r="B227" s="224"/>
      <c r="C227" s="9"/>
      <c r="D227" s="17" t="s">
        <v>97</v>
      </c>
      <c r="E227" s="7"/>
      <c r="F227" s="24">
        <v>0</v>
      </c>
      <c r="G227" s="24">
        <v>0</v>
      </c>
      <c r="H227" s="24">
        <v>0</v>
      </c>
      <c r="I227" s="7"/>
      <c r="J227" s="24"/>
      <c r="K227" s="24"/>
      <c r="L227" s="24"/>
      <c r="M227" s="7"/>
      <c r="N227" s="24">
        <v>0</v>
      </c>
      <c r="O227" s="24">
        <v>0</v>
      </c>
      <c r="P227" s="24">
        <v>0</v>
      </c>
      <c r="Q227" s="7"/>
      <c r="R227" s="24">
        <f>+R225+R226</f>
        <v>0.12127612356952312</v>
      </c>
      <c r="S227" s="24">
        <f>+S225+S226</f>
        <v>0.16558506025800707</v>
      </c>
      <c r="T227" s="24">
        <f>+T225+T226</f>
        <v>0.14216831692673881</v>
      </c>
    </row>
    <row r="228" spans="2:20" ht="20.149999999999999" customHeight="1" x14ac:dyDescent="0.25">
      <c r="B228" s="224"/>
      <c r="C228" s="9"/>
      <c r="D228" s="17" t="s">
        <v>90</v>
      </c>
      <c r="E228" s="7"/>
      <c r="F228" s="24"/>
      <c r="G228" s="24"/>
      <c r="H228" s="24"/>
      <c r="I228" s="7"/>
      <c r="J228" s="24"/>
      <c r="K228" s="24"/>
      <c r="L228" s="24"/>
      <c r="M228" s="7"/>
      <c r="N228" s="24"/>
      <c r="O228" s="24"/>
      <c r="P228" s="24"/>
      <c r="Q228" s="7"/>
      <c r="R228" s="24">
        <f>(-(SUM([1]H7!$FR$69:$GH$69)/1000)-(SUM([1]H7!$FR$73:$GH$73)/1000))/R219</f>
        <v>-3.7755986636059252E-2</v>
      </c>
      <c r="S228" s="24">
        <f>(-(SUM([1]H7!$FR$70:$GH$70)/1000)-(SUM([1]H7!$FR$74:$GH$74)/1000))/S219</f>
        <v>2.981287005606869E-2</v>
      </c>
      <c r="T228" s="24">
        <f>(-(SUM([1]H7!$FR$71:$GH$71)/1000)-(SUM([1]H7!$FR$75:$GH$75)/1000))/T219</f>
        <v>2.3184376792808086E-2</v>
      </c>
    </row>
    <row r="229" spans="2:20" ht="20.149999999999999" customHeight="1" x14ac:dyDescent="0.25">
      <c r="B229" s="224"/>
      <c r="C229" s="9"/>
      <c r="D229" s="17" t="s">
        <v>79</v>
      </c>
      <c r="E229" s="8"/>
      <c r="F229" s="24">
        <v>0</v>
      </c>
      <c r="G229" s="24">
        <v>0</v>
      </c>
      <c r="H229" s="24">
        <v>0</v>
      </c>
      <c r="I229" s="8"/>
      <c r="J229" s="24"/>
      <c r="K229" s="24"/>
      <c r="L229" s="24"/>
      <c r="M229" s="8"/>
      <c r="N229" s="24">
        <v>0</v>
      </c>
      <c r="O229" s="24">
        <v>0</v>
      </c>
      <c r="P229" s="24">
        <v>0</v>
      </c>
      <c r="Q229" s="8"/>
      <c r="R229" s="24">
        <f>+R223+R224+R227+R228</f>
        <v>0.97016199666530301</v>
      </c>
      <c r="S229" s="24">
        <f>+S223+S224+S227+S228</f>
        <v>1.0950980673750574</v>
      </c>
      <c r="T229" s="24">
        <f>+T223+T224+T227+T228</f>
        <v>0.96795186190573612</v>
      </c>
    </row>
    <row r="230" spans="2:20" ht="19.5" customHeight="1" x14ac:dyDescent="0.25">
      <c r="B230" s="224"/>
      <c r="C230" s="9"/>
      <c r="D230" s="17" t="s">
        <v>34</v>
      </c>
      <c r="E230" s="6"/>
      <c r="F230" s="23">
        <v>0</v>
      </c>
      <c r="G230" s="23">
        <v>0</v>
      </c>
      <c r="H230" s="23">
        <v>0</v>
      </c>
      <c r="I230" s="6"/>
      <c r="J230" s="23"/>
      <c r="K230" s="23"/>
      <c r="L230" s="23"/>
      <c r="M230" s="6"/>
      <c r="N230" s="23">
        <v>0</v>
      </c>
      <c r="O230" s="23">
        <v>0</v>
      </c>
      <c r="P230" s="23">
        <v>0</v>
      </c>
      <c r="Q230" s="6"/>
      <c r="R230" s="23">
        <f>+R244+R258</f>
        <v>0.37616976000001939</v>
      </c>
      <c r="S230" s="23">
        <f>+S244+S258</f>
        <v>-1.1951755699999986</v>
      </c>
      <c r="T230" s="23">
        <f>+T244+T258</f>
        <v>0.36596019265918767</v>
      </c>
    </row>
    <row r="231" spans="2:20" ht="7.5" hidden="1" customHeight="1" outlineLevel="1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2:20" ht="19.5" hidden="1" customHeight="1" outlineLevel="1" x14ac:dyDescent="0.25">
      <c r="B232" s="224" t="s">
        <v>50</v>
      </c>
      <c r="C232" s="9"/>
      <c r="D232" s="17" t="s">
        <v>19</v>
      </c>
      <c r="E232" s="6"/>
      <c r="F232" s="23"/>
      <c r="G232" s="23"/>
      <c r="H232" s="23"/>
      <c r="I232" s="6"/>
      <c r="J232" s="23"/>
      <c r="K232" s="23"/>
      <c r="L232" s="23"/>
      <c r="M232" s="6"/>
      <c r="N232" s="23"/>
      <c r="O232" s="23"/>
      <c r="P232" s="23"/>
      <c r="Q232" s="6"/>
      <c r="R232" s="23">
        <f>+[1]H7!$EA$69/1000</f>
        <v>9.9054457100000004</v>
      </c>
      <c r="S232" s="23">
        <f>+[1]H7!$EA$70/1000</f>
        <v>8.0574293600000022</v>
      </c>
      <c r="T232" s="23">
        <f>+[1]H7!$EA$71/1000</f>
        <v>9.171739999999998</v>
      </c>
    </row>
    <row r="233" spans="2:20" ht="20.149999999999999" hidden="1" customHeight="1" outlineLevel="1" x14ac:dyDescent="0.25">
      <c r="B233" s="224"/>
      <c r="C233" s="9"/>
      <c r="D233" s="17" t="s">
        <v>20</v>
      </c>
      <c r="E233" s="6"/>
      <c r="F233" s="23"/>
      <c r="G233" s="23"/>
      <c r="H233" s="23"/>
      <c r="I233" s="6"/>
      <c r="J233" s="23"/>
      <c r="K233" s="23"/>
      <c r="L233" s="23"/>
      <c r="M233" s="6"/>
      <c r="N233" s="23"/>
      <c r="O233" s="23"/>
      <c r="P233" s="23"/>
      <c r="Q233" s="6"/>
      <c r="R233" s="23">
        <f>+[1]H7!$EL$69/1000</f>
        <v>12.607068770000016</v>
      </c>
      <c r="S233" s="23">
        <f>+[1]H7!$EL$70/1000</f>
        <v>12.567821860000009</v>
      </c>
      <c r="T233" s="23">
        <f>+[1]H7!$EL$71/1000</f>
        <v>11.419078124999999</v>
      </c>
    </row>
    <row r="234" spans="2:20" ht="19.5" hidden="1" customHeight="1" outlineLevel="1" x14ac:dyDescent="0.25">
      <c r="B234" s="224"/>
      <c r="C234" s="9"/>
      <c r="D234" s="17" t="s">
        <v>92</v>
      </c>
      <c r="E234" s="6"/>
      <c r="F234" s="24"/>
      <c r="G234" s="24"/>
      <c r="H234" s="24"/>
      <c r="I234" s="6"/>
      <c r="J234" s="24"/>
      <c r="K234" s="24"/>
      <c r="L234" s="24"/>
      <c r="M234" s="6"/>
      <c r="N234" s="24"/>
      <c r="O234" s="24"/>
      <c r="P234" s="24"/>
      <c r="Q234" s="6"/>
      <c r="R234" s="24">
        <f>-(SUM([1]H7!$EM$69,[1]H7!$EP$69:$ET$69,[1]H7!$EW$69:$EZ$69)/1000)/R233</f>
        <v>0.82895779666632163</v>
      </c>
      <c r="S234" s="24">
        <f>-(SUM([1]H7!$EM$70,[1]H7!$EP$70:$ET$70,[1]H7!$EW$70:$EZ$70)/1000)/S233</f>
        <v>0.72614814099537173</v>
      </c>
      <c r="T234" s="24">
        <f>-(SUM([1]H7!$EM$71,[1]H7!$EP$71:$ET$71,[1]H7!$EW$71:$EZ$71)/1000)/T233</f>
        <v>0.81009954856045452</v>
      </c>
    </row>
    <row r="235" spans="2:20" ht="19.5" hidden="1" customHeight="1" outlineLevel="1" x14ac:dyDescent="0.25">
      <c r="B235" s="224"/>
      <c r="C235" s="9"/>
      <c r="D235" s="17" t="s">
        <v>93</v>
      </c>
      <c r="E235" s="6"/>
      <c r="F235" s="24"/>
      <c r="G235" s="24"/>
      <c r="H235" s="24"/>
      <c r="I235" s="6"/>
      <c r="J235" s="24"/>
      <c r="K235" s="24"/>
      <c r="L235" s="24"/>
      <c r="M235" s="6"/>
      <c r="N235" s="24"/>
      <c r="O235" s="24"/>
      <c r="P235" s="24"/>
      <c r="Q235" s="6"/>
      <c r="R235" s="24">
        <f>-(SUM([1]H7!$EO$69,[1]H7!$EV$69)/1000)/R233</f>
        <v>0</v>
      </c>
      <c r="S235" s="24">
        <f>-(SUM([1]H7!$EO$70,[1]H7!$EV$70)/1000)/S233</f>
        <v>0</v>
      </c>
      <c r="T235" s="24">
        <f>-(SUM([1]H7!$EO$71,[1]H7!$EV$71)/1000)/T233</f>
        <v>9.4553327391519518E-3</v>
      </c>
    </row>
    <row r="236" spans="2:20" ht="19.5" hidden="1" customHeight="1" outlineLevel="1" x14ac:dyDescent="0.25">
      <c r="B236" s="224"/>
      <c r="C236" s="9"/>
      <c r="D236" s="17" t="s">
        <v>94</v>
      </c>
      <c r="E236" s="6"/>
      <c r="F236" s="24"/>
      <c r="G236" s="24"/>
      <c r="H236" s="24"/>
      <c r="I236" s="6"/>
      <c r="J236" s="24"/>
      <c r="K236" s="24"/>
      <c r="L236" s="24"/>
      <c r="M236" s="6"/>
      <c r="N236" s="24"/>
      <c r="O236" s="24"/>
      <c r="P236" s="24"/>
      <c r="Q236" s="6"/>
      <c r="R236" s="24">
        <f>-(SUM([1]H7!$EN$69,[1]H7!$EU$69)/1000)/R233</f>
        <v>0</v>
      </c>
      <c r="S236" s="24">
        <f>-(SUM([1]H7!$EN$70,[1]H7!$EU$70)/1000)/S233</f>
        <v>0</v>
      </c>
      <c r="T236" s="24">
        <f>-(SUM([1]H7!$EN$71,[1]H7!$EU$71)/1000)/T233</f>
        <v>0</v>
      </c>
    </row>
    <row r="237" spans="2:20" ht="19.5" hidden="1" customHeight="1" outlineLevel="2" x14ac:dyDescent="0.25">
      <c r="B237" s="224"/>
      <c r="C237" s="9"/>
      <c r="D237" s="17" t="s">
        <v>95</v>
      </c>
      <c r="E237" s="7"/>
      <c r="F237" s="24"/>
      <c r="G237" s="24"/>
      <c r="H237" s="24"/>
      <c r="I237" s="7"/>
      <c r="J237" s="24"/>
      <c r="K237" s="24"/>
      <c r="L237" s="24"/>
      <c r="M237" s="7"/>
      <c r="N237" s="24"/>
      <c r="O237" s="24"/>
      <c r="P237" s="24"/>
      <c r="Q237" s="7"/>
      <c r="R237" s="24">
        <f>+R234+R235+R236</f>
        <v>0.82895779666632163</v>
      </c>
      <c r="S237" s="24">
        <f>+S234+S235+S236</f>
        <v>0.72614814099537173</v>
      </c>
      <c r="T237" s="24">
        <f>+T234+T235+T236</f>
        <v>0.81955488129960652</v>
      </c>
    </row>
    <row r="238" spans="2:20" ht="20.149999999999999" hidden="1" customHeight="1" outlineLevel="1" x14ac:dyDescent="0.25">
      <c r="B238" s="224"/>
      <c r="C238" s="9"/>
      <c r="D238" s="17" t="s">
        <v>96</v>
      </c>
      <c r="E238" s="7"/>
      <c r="F238" s="24"/>
      <c r="G238" s="24"/>
      <c r="H238" s="24"/>
      <c r="I238" s="7"/>
      <c r="J238" s="24"/>
      <c r="K238" s="24"/>
      <c r="L238" s="24"/>
      <c r="M238" s="7"/>
      <c r="N238" s="24"/>
      <c r="O238" s="24"/>
      <c r="P238" s="24"/>
      <c r="Q238" s="7"/>
      <c r="R238" s="24">
        <f>-(SUM([1]H7!$FA$69:$FI$69)/1000)/R233</f>
        <v>5.7684063065517509E-2</v>
      </c>
      <c r="S238" s="24">
        <f>-(SUM([1]H7!$FA$70:$FI$70)/1000)/S233</f>
        <v>0.17355199606560992</v>
      </c>
      <c r="T238" s="24">
        <f>-(SUM([1]H7!$FA$71:$FI$71)/1000)/T233</f>
        <v>-1.6955713113417242E-2</v>
      </c>
    </row>
    <row r="239" spans="2:20" ht="20.149999999999999" hidden="1" customHeight="1" outlineLevel="2" x14ac:dyDescent="0.25">
      <c r="B239" s="224"/>
      <c r="C239" s="9"/>
      <c r="D239" s="18" t="s">
        <v>87</v>
      </c>
      <c r="E239" s="7"/>
      <c r="F239" s="24"/>
      <c r="G239" s="24"/>
      <c r="H239" s="24"/>
      <c r="I239" s="7"/>
      <c r="J239" s="24"/>
      <c r="K239" s="24"/>
      <c r="L239" s="24"/>
      <c r="M239" s="7"/>
      <c r="N239" s="24"/>
      <c r="O239" s="24"/>
      <c r="P239" s="24"/>
      <c r="Q239" s="7"/>
      <c r="R239" s="24">
        <f>-(SUM([1]H7!$FJ$69:$FL$69)/1000)/R233</f>
        <v>3.8724801847812643E-2</v>
      </c>
      <c r="S239" s="24">
        <f>-(SUM([1]H7!$FJ$70:$FL$70)/1000)/S233</f>
        <v>9.3147877415888147E-2</v>
      </c>
      <c r="T239" s="24">
        <f>-(SUM([1]H7!$FJ$71:$FL$71)/1000)/T233</f>
        <v>3.7777349036220917E-2</v>
      </c>
    </row>
    <row r="240" spans="2:20" ht="19.5" hidden="1" customHeight="1" outlineLevel="2" x14ac:dyDescent="0.25">
      <c r="B240" s="224"/>
      <c r="C240" s="9"/>
      <c r="D240" s="18" t="s">
        <v>88</v>
      </c>
      <c r="E240" s="7"/>
      <c r="F240" s="24"/>
      <c r="G240" s="24"/>
      <c r="H240" s="24"/>
      <c r="I240" s="7"/>
      <c r="J240" s="24"/>
      <c r="K240" s="24"/>
      <c r="L240" s="24"/>
      <c r="M240" s="7"/>
      <c r="N240" s="24"/>
      <c r="O240" s="24"/>
      <c r="P240" s="24"/>
      <c r="Q240" s="7"/>
      <c r="R240" s="24">
        <f>-(SUM([1]H7!$FM$69:$FP$69)/1000)/R233</f>
        <v>8.255132172171048E-2</v>
      </c>
      <c r="S240" s="24">
        <f>-(SUM([1]H7!$FM$70:$FP$70)/1000)/S233</f>
        <v>7.2437182842118919E-2</v>
      </c>
      <c r="T240" s="24">
        <f>-(SUM([1]H7!$FM$71:$FP$71)/1000)/T233</f>
        <v>0.1043909678905179</v>
      </c>
    </row>
    <row r="241" spans="2:20" ht="20.149999999999999" hidden="1" customHeight="1" outlineLevel="1" x14ac:dyDescent="0.25">
      <c r="B241" s="224"/>
      <c r="C241" s="9"/>
      <c r="D241" s="17" t="s">
        <v>97</v>
      </c>
      <c r="E241" s="7"/>
      <c r="F241" s="24"/>
      <c r="G241" s="24"/>
      <c r="H241" s="24"/>
      <c r="I241" s="7"/>
      <c r="J241" s="24"/>
      <c r="K241" s="24"/>
      <c r="L241" s="24"/>
      <c r="M241" s="7"/>
      <c r="N241" s="24"/>
      <c r="O241" s="24"/>
      <c r="P241" s="24"/>
      <c r="Q241" s="7"/>
      <c r="R241" s="24">
        <f>+R239+R240</f>
        <v>0.12127612356952312</v>
      </c>
      <c r="S241" s="24">
        <f>+S239+S240</f>
        <v>0.16558506025800707</v>
      </c>
      <c r="T241" s="24">
        <f>+T239+T240</f>
        <v>0.14216831692673881</v>
      </c>
    </row>
    <row r="242" spans="2:20" ht="20.149999999999999" hidden="1" customHeight="1" outlineLevel="1" x14ac:dyDescent="0.25">
      <c r="B242" s="224"/>
      <c r="C242" s="9"/>
      <c r="D242" s="17" t="s">
        <v>90</v>
      </c>
      <c r="E242" s="7"/>
      <c r="F242" s="24"/>
      <c r="G242" s="24"/>
      <c r="H242" s="24"/>
      <c r="I242" s="7"/>
      <c r="J242" s="24"/>
      <c r="K242" s="24"/>
      <c r="L242" s="24"/>
      <c r="M242" s="7"/>
      <c r="N242" s="24"/>
      <c r="O242" s="24"/>
      <c r="P242" s="24"/>
      <c r="Q242" s="7"/>
      <c r="R242" s="24">
        <f>-(SUM([1]H7!$FR$69:$GH$69)/1000/R233)</f>
        <v>-3.7755986636059252E-2</v>
      </c>
      <c r="S242" s="24">
        <f>-(SUM([1]H7!$FR$70:$GH$70)/1000/S233)</f>
        <v>2.981287005606869E-2</v>
      </c>
      <c r="T242" s="24">
        <f>-(SUM([1]H7!$FR$71:$GH$71)/1000/T233)</f>
        <v>2.3184376792808086E-2</v>
      </c>
    </row>
    <row r="243" spans="2:20" ht="20.149999999999999" hidden="1" customHeight="1" outlineLevel="1" x14ac:dyDescent="0.25">
      <c r="B243" s="224"/>
      <c r="C243" s="9"/>
      <c r="D243" s="17" t="s">
        <v>79</v>
      </c>
      <c r="E243" s="8"/>
      <c r="F243" s="24"/>
      <c r="G243" s="24"/>
      <c r="H243" s="24"/>
      <c r="I243" s="8"/>
      <c r="J243" s="24"/>
      <c r="K243" s="24"/>
      <c r="L243" s="24"/>
      <c r="M243" s="8"/>
      <c r="N243" s="24"/>
      <c r="O243" s="24"/>
      <c r="P243" s="24"/>
      <c r="Q243" s="8"/>
      <c r="R243" s="24">
        <f>+R237+R238+R241+R242</f>
        <v>0.97016199666530301</v>
      </c>
      <c r="S243" s="24">
        <f>+S237+S238+S241+S242</f>
        <v>1.0950980673750574</v>
      </c>
      <c r="T243" s="24">
        <f>+T237+T238+T241+T242</f>
        <v>0.96795186190573612</v>
      </c>
    </row>
    <row r="244" spans="2:20" ht="19.5" hidden="1" customHeight="1" outlineLevel="1" x14ac:dyDescent="0.25">
      <c r="B244" s="224"/>
      <c r="C244" s="9"/>
      <c r="D244" s="17" t="s">
        <v>34</v>
      </c>
      <c r="E244" s="6"/>
      <c r="F244" s="23"/>
      <c r="G244" s="23"/>
      <c r="H244" s="23"/>
      <c r="I244" s="6"/>
      <c r="J244" s="23"/>
      <c r="K244" s="23"/>
      <c r="L244" s="23"/>
      <c r="M244" s="6"/>
      <c r="N244" s="23"/>
      <c r="O244" s="23"/>
      <c r="P244" s="23"/>
      <c r="Q244" s="6"/>
      <c r="R244" s="23">
        <f>+[1]H7!$GI$69/1000</f>
        <v>0.37616976000001939</v>
      </c>
      <c r="S244" s="23">
        <f>+[1]H7!$GI$70/1000</f>
        <v>-1.1951755699999986</v>
      </c>
      <c r="T244" s="23">
        <f>+[1]H7!$GI$71/1000</f>
        <v>0.36596019265918767</v>
      </c>
    </row>
    <row r="245" spans="2:20" ht="7.5" hidden="1" customHeight="1" outlineLevel="1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2:20" ht="19.5" hidden="1" customHeight="1" outlineLevel="1" x14ac:dyDescent="0.25">
      <c r="B246" s="224" t="s">
        <v>51</v>
      </c>
      <c r="C246" s="9"/>
      <c r="D246" s="17" t="s">
        <v>19</v>
      </c>
      <c r="E246" s="6"/>
      <c r="F246" s="23"/>
      <c r="G246" s="23"/>
      <c r="H246" s="23"/>
      <c r="I246" s="6"/>
      <c r="J246" s="23"/>
      <c r="K246" s="23"/>
      <c r="L246" s="23"/>
      <c r="M246" s="6"/>
      <c r="N246" s="23"/>
      <c r="O246" s="23"/>
      <c r="P246" s="23"/>
      <c r="Q246" s="6"/>
      <c r="R246" s="23">
        <f>+[1]H7!$EA$73/1000</f>
        <v>0</v>
      </c>
      <c r="S246" s="23">
        <f>+[1]H7!$EA$74/1000</f>
        <v>0</v>
      </c>
      <c r="T246" s="23">
        <f>+[1]H7!$EA$75/1000</f>
        <v>0</v>
      </c>
    </row>
    <row r="247" spans="2:20" ht="20.149999999999999" hidden="1" customHeight="1" outlineLevel="1" x14ac:dyDescent="0.25">
      <c r="B247" s="224"/>
      <c r="C247" s="9"/>
      <c r="D247" s="17" t="s">
        <v>20</v>
      </c>
      <c r="E247" s="6"/>
      <c r="F247" s="23"/>
      <c r="G247" s="23"/>
      <c r="H247" s="23"/>
      <c r="I247" s="6"/>
      <c r="J247" s="23"/>
      <c r="K247" s="23"/>
      <c r="L247" s="23"/>
      <c r="M247" s="6"/>
      <c r="N247" s="23"/>
      <c r="O247" s="23"/>
      <c r="P247" s="23"/>
      <c r="Q247" s="6"/>
      <c r="R247" s="23">
        <f>+[1]H7!$EL$73/1000</f>
        <v>0</v>
      </c>
      <c r="S247" s="23">
        <f>+[1]H7!$EL$74/1000</f>
        <v>0</v>
      </c>
      <c r="T247" s="23">
        <f>+[1]H7!$EL$75/1000</f>
        <v>0</v>
      </c>
    </row>
    <row r="248" spans="2:20" ht="19.5" hidden="1" customHeight="1" outlineLevel="1" x14ac:dyDescent="0.25">
      <c r="B248" s="224"/>
      <c r="C248" s="9"/>
      <c r="D248" s="17" t="s">
        <v>92</v>
      </c>
      <c r="E248" s="6"/>
      <c r="F248" s="24"/>
      <c r="G248" s="24"/>
      <c r="H248" s="24"/>
      <c r="I248" s="6"/>
      <c r="J248" s="24"/>
      <c r="K248" s="24"/>
      <c r="L248" s="24"/>
      <c r="M248" s="6"/>
      <c r="N248" s="24"/>
      <c r="O248" s="24"/>
      <c r="P248" s="24"/>
      <c r="Q248" s="6"/>
      <c r="R248" s="24" t="e">
        <f>-(SUM([1]H7!$EM$73,[1]H7!$EP$73:$ET$73,[1]H7!$EW$73:$EZ$73)/1000)/R247</f>
        <v>#DIV/0!</v>
      </c>
      <c r="S248" s="24" t="e">
        <f>-(SUM([1]H7!$EM$74,[1]H7!$EP$74:$ET$74,[1]H7!$EW$74:$EZ$74)/1000)/S247</f>
        <v>#DIV/0!</v>
      </c>
      <c r="T248" s="24" t="e">
        <f>-(SUM([1]H7!$EM$75,[1]H7!$EP$75:$ET$75,[1]H7!$EW$75:$EZ$75)/1000)/T247</f>
        <v>#DIV/0!</v>
      </c>
    </row>
    <row r="249" spans="2:20" ht="19.5" hidden="1" customHeight="1" outlineLevel="1" x14ac:dyDescent="0.25">
      <c r="B249" s="224"/>
      <c r="C249" s="9"/>
      <c r="D249" s="17" t="s">
        <v>93</v>
      </c>
      <c r="E249" s="6"/>
      <c r="F249" s="24"/>
      <c r="G249" s="24"/>
      <c r="H249" s="24"/>
      <c r="I249" s="6"/>
      <c r="J249" s="24"/>
      <c r="K249" s="24"/>
      <c r="L249" s="24"/>
      <c r="M249" s="6"/>
      <c r="N249" s="24"/>
      <c r="O249" s="24"/>
      <c r="P249" s="24"/>
      <c r="Q249" s="6"/>
      <c r="R249" s="24" t="e">
        <f>-(SUM([1]H7!$EO$73,[1]H7!$EV$73)/1000)/R247</f>
        <v>#DIV/0!</v>
      </c>
      <c r="S249" s="24" t="e">
        <f>-(SUM([1]H7!$EO$74,[1]H7!$EV$74)/1000)/S247</f>
        <v>#DIV/0!</v>
      </c>
      <c r="T249" s="24" t="e">
        <f>-(SUM([1]H7!$EO$75,[1]H7!$EV$75)/1000)/T247</f>
        <v>#DIV/0!</v>
      </c>
    </row>
    <row r="250" spans="2:20" ht="19.5" hidden="1" customHeight="1" outlineLevel="1" x14ac:dyDescent="0.25">
      <c r="B250" s="224"/>
      <c r="C250" s="9"/>
      <c r="D250" s="17" t="s">
        <v>94</v>
      </c>
      <c r="E250" s="6"/>
      <c r="F250" s="24"/>
      <c r="G250" s="24"/>
      <c r="H250" s="24"/>
      <c r="I250" s="6"/>
      <c r="J250" s="24"/>
      <c r="K250" s="24"/>
      <c r="L250" s="24"/>
      <c r="M250" s="6"/>
      <c r="N250" s="24"/>
      <c r="O250" s="24"/>
      <c r="P250" s="24"/>
      <c r="Q250" s="6"/>
      <c r="R250" s="24" t="e">
        <f>-(SUM([1]H7!$EN$73,[1]H7!$EU$73)/1000)/R247</f>
        <v>#DIV/0!</v>
      </c>
      <c r="S250" s="24" t="e">
        <f>-(SUM([1]H7!$EN$74,[1]H7!$EU$74)/1000)/S247</f>
        <v>#DIV/0!</v>
      </c>
      <c r="T250" s="24" t="e">
        <f>-(SUM([1]H7!$EN$75,[1]H7!$EU$75)/1000)/T247</f>
        <v>#DIV/0!</v>
      </c>
    </row>
    <row r="251" spans="2:20" ht="19.5" hidden="1" customHeight="1" outlineLevel="2" x14ac:dyDescent="0.25">
      <c r="B251" s="224"/>
      <c r="C251" s="9"/>
      <c r="D251" s="17" t="s">
        <v>95</v>
      </c>
      <c r="E251" s="7"/>
      <c r="F251" s="24"/>
      <c r="G251" s="24"/>
      <c r="H251" s="24"/>
      <c r="I251" s="7"/>
      <c r="J251" s="24"/>
      <c r="K251" s="24"/>
      <c r="L251" s="24"/>
      <c r="M251" s="7"/>
      <c r="N251" s="24"/>
      <c r="O251" s="24"/>
      <c r="P251" s="24"/>
      <c r="Q251" s="7"/>
      <c r="R251" s="24" t="e">
        <f>+R248+R249+R250</f>
        <v>#DIV/0!</v>
      </c>
      <c r="S251" s="24" t="e">
        <f>+S248+S249+S250</f>
        <v>#DIV/0!</v>
      </c>
      <c r="T251" s="24" t="e">
        <f>+T248+T249+T250</f>
        <v>#DIV/0!</v>
      </c>
    </row>
    <row r="252" spans="2:20" ht="20.149999999999999" hidden="1" customHeight="1" outlineLevel="1" x14ac:dyDescent="0.25">
      <c r="B252" s="224"/>
      <c r="C252" s="9"/>
      <c r="D252" s="17" t="s">
        <v>96</v>
      </c>
      <c r="E252" s="7"/>
      <c r="F252" s="24"/>
      <c r="G252" s="24"/>
      <c r="H252" s="24"/>
      <c r="I252" s="7"/>
      <c r="J252" s="24"/>
      <c r="K252" s="24"/>
      <c r="L252" s="24"/>
      <c r="M252" s="7"/>
      <c r="N252" s="24"/>
      <c r="O252" s="24"/>
      <c r="P252" s="24"/>
      <c r="Q252" s="7"/>
      <c r="R252" s="24" t="e">
        <f>-(SUM([1]H7!$FA$73:$FI$73)/1000)/R247</f>
        <v>#DIV/0!</v>
      </c>
      <c r="S252" s="24" t="e">
        <f>-(SUM([1]H7!$FA$74:$FI$74)/1000)/S247</f>
        <v>#DIV/0!</v>
      </c>
      <c r="T252" s="24" t="e">
        <f>-(SUM([1]H7!$FA$75:$FI$75)/1000)/T247</f>
        <v>#DIV/0!</v>
      </c>
    </row>
    <row r="253" spans="2:20" ht="20.149999999999999" hidden="1" customHeight="1" outlineLevel="2" x14ac:dyDescent="0.25">
      <c r="B253" s="224"/>
      <c r="C253" s="9"/>
      <c r="D253" s="18" t="s">
        <v>87</v>
      </c>
      <c r="E253" s="7"/>
      <c r="F253" s="24"/>
      <c r="G253" s="24"/>
      <c r="H253" s="24"/>
      <c r="I253" s="7"/>
      <c r="J253" s="24"/>
      <c r="K253" s="24"/>
      <c r="L253" s="24"/>
      <c r="M253" s="7"/>
      <c r="N253" s="24"/>
      <c r="O253" s="24"/>
      <c r="P253" s="24"/>
      <c r="Q253" s="7"/>
      <c r="R253" s="24" t="e">
        <f>-(SUM([1]H7!$FJ$73:$FL$73)/1000)/R247</f>
        <v>#DIV/0!</v>
      </c>
      <c r="S253" s="24" t="e">
        <f>-(SUM([1]H7!$FJ$74:$FL$74)/1000)/S247</f>
        <v>#DIV/0!</v>
      </c>
      <c r="T253" s="24" t="e">
        <f>-(SUM([1]H7!$FJ$75:$FL$75)/1000)/T247</f>
        <v>#DIV/0!</v>
      </c>
    </row>
    <row r="254" spans="2:20" ht="19.5" hidden="1" customHeight="1" outlineLevel="2" x14ac:dyDescent="0.25">
      <c r="B254" s="224"/>
      <c r="C254" s="9"/>
      <c r="D254" s="18" t="s">
        <v>88</v>
      </c>
      <c r="E254" s="7"/>
      <c r="F254" s="24"/>
      <c r="G254" s="24"/>
      <c r="H254" s="24"/>
      <c r="I254" s="7"/>
      <c r="J254" s="24"/>
      <c r="K254" s="24"/>
      <c r="L254" s="24"/>
      <c r="M254" s="7"/>
      <c r="N254" s="24"/>
      <c r="O254" s="24"/>
      <c r="P254" s="24"/>
      <c r="Q254" s="7"/>
      <c r="R254" s="24" t="e">
        <f>-(SUM([1]H7!$FM$73:$FP$73)/1000)/R247</f>
        <v>#DIV/0!</v>
      </c>
      <c r="S254" s="24" t="e">
        <f>-(SUM([1]H7!$FM$74:$FP$74)/1000)/S247</f>
        <v>#DIV/0!</v>
      </c>
      <c r="T254" s="24" t="e">
        <f>-(SUM([1]H7!$FM$75:$FP$75)/1000)/T247</f>
        <v>#DIV/0!</v>
      </c>
    </row>
    <row r="255" spans="2:20" ht="20.149999999999999" hidden="1" customHeight="1" outlineLevel="1" x14ac:dyDescent="0.25">
      <c r="B255" s="224"/>
      <c r="C255" s="9"/>
      <c r="D255" s="17" t="s">
        <v>97</v>
      </c>
      <c r="E255" s="7"/>
      <c r="F255" s="24"/>
      <c r="G255" s="24"/>
      <c r="H255" s="24"/>
      <c r="I255" s="7"/>
      <c r="J255" s="24"/>
      <c r="K255" s="24"/>
      <c r="L255" s="24"/>
      <c r="M255" s="7"/>
      <c r="N255" s="24"/>
      <c r="O255" s="24"/>
      <c r="P255" s="24"/>
      <c r="Q255" s="7"/>
      <c r="R255" s="24" t="e">
        <f>+R253+R254</f>
        <v>#DIV/0!</v>
      </c>
      <c r="S255" s="24" t="e">
        <f>+S253+S254</f>
        <v>#DIV/0!</v>
      </c>
      <c r="T255" s="24" t="e">
        <f>+T253+T254</f>
        <v>#DIV/0!</v>
      </c>
    </row>
    <row r="256" spans="2:20" ht="20.149999999999999" hidden="1" customHeight="1" outlineLevel="1" x14ac:dyDescent="0.25">
      <c r="B256" s="224"/>
      <c r="C256" s="9"/>
      <c r="D256" s="17" t="s">
        <v>90</v>
      </c>
      <c r="E256" s="7"/>
      <c r="F256" s="24"/>
      <c r="G256" s="24"/>
      <c r="H256" s="24"/>
      <c r="I256" s="7"/>
      <c r="J256" s="24"/>
      <c r="K256" s="24"/>
      <c r="L256" s="24"/>
      <c r="M256" s="7"/>
      <c r="N256" s="24"/>
      <c r="O256" s="24"/>
      <c r="P256" s="24"/>
      <c r="Q256" s="7"/>
      <c r="R256" s="24" t="e">
        <f>-(SUM([1]H7!$FR$73:$GH$73)/1000/R247)</f>
        <v>#DIV/0!</v>
      </c>
      <c r="S256" s="24" t="e">
        <f>-(SUM([1]H7!$FR$74:$GH$74)/1000/S247)</f>
        <v>#DIV/0!</v>
      </c>
      <c r="T256" s="24" t="e">
        <f>-(SUM([1]H7!$FR$75:$GH$75)/1000/T247)</f>
        <v>#DIV/0!</v>
      </c>
    </row>
    <row r="257" spans="2:20" ht="20.149999999999999" hidden="1" customHeight="1" outlineLevel="1" x14ac:dyDescent="0.25">
      <c r="B257" s="224"/>
      <c r="C257" s="9"/>
      <c r="D257" s="17" t="s">
        <v>79</v>
      </c>
      <c r="E257" s="8"/>
      <c r="F257" s="24"/>
      <c r="G257" s="24"/>
      <c r="H257" s="24"/>
      <c r="I257" s="8"/>
      <c r="J257" s="24"/>
      <c r="K257" s="24"/>
      <c r="L257" s="24"/>
      <c r="M257" s="8"/>
      <c r="N257" s="24"/>
      <c r="O257" s="24"/>
      <c r="P257" s="24"/>
      <c r="Q257" s="8"/>
      <c r="R257" s="24" t="e">
        <f>+R251+R252+R255+R256</f>
        <v>#DIV/0!</v>
      </c>
      <c r="S257" s="24" t="e">
        <f>+S251+S252+S255+S256</f>
        <v>#DIV/0!</v>
      </c>
      <c r="T257" s="24" t="e">
        <f>+T251+T252+T255+T256</f>
        <v>#DIV/0!</v>
      </c>
    </row>
    <row r="258" spans="2:20" ht="19.5" hidden="1" customHeight="1" outlineLevel="1" x14ac:dyDescent="0.25">
      <c r="B258" s="224"/>
      <c r="C258" s="9"/>
      <c r="D258" s="17" t="s">
        <v>34</v>
      </c>
      <c r="E258" s="6"/>
      <c r="F258" s="23"/>
      <c r="G258" s="23"/>
      <c r="H258" s="23"/>
      <c r="I258" s="6"/>
      <c r="J258" s="23"/>
      <c r="K258" s="23"/>
      <c r="L258" s="23"/>
      <c r="M258" s="6"/>
      <c r="N258" s="23"/>
      <c r="O258" s="23"/>
      <c r="P258" s="23"/>
      <c r="Q258" s="6"/>
      <c r="R258" s="23">
        <f>+[1]H7!$GI$73/1000</f>
        <v>0</v>
      </c>
      <c r="S258" s="23">
        <f>+[1]H7!$GI$74/1000</f>
        <v>0</v>
      </c>
      <c r="T258" s="23">
        <f>+[1]H7!$GI$75/1000</f>
        <v>0</v>
      </c>
    </row>
    <row r="259" spans="2:20" ht="7.5" customHeight="1" collapsed="1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2:20" ht="19.5" customHeight="1" x14ac:dyDescent="0.25">
      <c r="B260" s="225" t="s">
        <v>109</v>
      </c>
      <c r="C260" s="9"/>
      <c r="D260" s="16" t="s">
        <v>19</v>
      </c>
      <c r="E260" s="6"/>
      <c r="F260" s="25">
        <v>767.73896734999994</v>
      </c>
      <c r="G260" s="25">
        <v>733.50929002999999</v>
      </c>
      <c r="H260" s="25">
        <v>761.15737754566203</v>
      </c>
      <c r="I260" s="6"/>
      <c r="J260" s="25">
        <f>+[1]H7!$C$81/1000</f>
        <v>64.406278970000002</v>
      </c>
      <c r="K260" s="25">
        <f>+[1]H7!$C$82/1000</f>
        <v>59.630830390000035</v>
      </c>
      <c r="L260" s="25">
        <f>+[1]H7!$C$83/1000</f>
        <v>56.759920000000001</v>
      </c>
      <c r="M260" s="6"/>
      <c r="N260" s="25">
        <v>767.73896734999994</v>
      </c>
      <c r="O260" s="25">
        <v>733.50929002999999</v>
      </c>
      <c r="P260" s="25">
        <v>761.15737754566203</v>
      </c>
      <c r="Q260" s="6"/>
      <c r="R260" s="25">
        <f>+[1]H7!$EA$81/1000</f>
        <v>9.9054457100000004</v>
      </c>
      <c r="S260" s="25">
        <f>+[1]H7!$EA$82/1000</f>
        <v>8.0574293600000022</v>
      </c>
      <c r="T260" s="25">
        <f>+[1]H7!$EA$83/1000</f>
        <v>9.171739999999998</v>
      </c>
    </row>
    <row r="261" spans="2:20" ht="20.149999999999999" customHeight="1" x14ac:dyDescent="0.25">
      <c r="B261" s="225"/>
      <c r="C261" s="9"/>
      <c r="D261" s="16" t="s">
        <v>20</v>
      </c>
      <c r="E261" s="6"/>
      <c r="F261" s="25">
        <v>716.54631788999995</v>
      </c>
      <c r="G261" s="25">
        <v>685.01450756999998</v>
      </c>
      <c r="H261" s="25">
        <v>693.84504081129205</v>
      </c>
      <c r="I261" s="6"/>
      <c r="J261" s="25">
        <f>+[1]H7!$N$81/1000</f>
        <v>34.75387793000003</v>
      </c>
      <c r="K261" s="25">
        <f>+[1]H7!$N$82/1000</f>
        <v>33.016125740000035</v>
      </c>
      <c r="L261" s="25">
        <f>+[1]H7!$N$83/1000</f>
        <v>34.257234375000003</v>
      </c>
      <c r="M261" s="6"/>
      <c r="N261" s="25">
        <v>716.54631788999995</v>
      </c>
      <c r="O261" s="25">
        <v>685.01450756999998</v>
      </c>
      <c r="P261" s="25">
        <v>693.84504081129205</v>
      </c>
      <c r="Q261" s="6"/>
      <c r="R261" s="25">
        <f>+[1]H7!$EL$81/1000</f>
        <v>12.607068770000016</v>
      </c>
      <c r="S261" s="25">
        <f>+[1]H7!$EL$82/1000</f>
        <v>12.567821860000009</v>
      </c>
      <c r="T261" s="25">
        <f>+[1]H7!$EL$83/1000</f>
        <v>11.419078124999999</v>
      </c>
    </row>
    <row r="262" spans="2:20" ht="19.5" customHeight="1" x14ac:dyDescent="0.25">
      <c r="B262" s="225"/>
      <c r="C262" s="9"/>
      <c r="D262" s="16" t="s">
        <v>92</v>
      </c>
      <c r="E262" s="6"/>
      <c r="F262" s="26" t="e">
        <f>F265-F264-F263</f>
        <v>#VALUE!</v>
      </c>
      <c r="G262" s="26" t="e">
        <f>G265-G264-G263</f>
        <v>#VALUE!</v>
      </c>
      <c r="H262" s="26" t="e">
        <f>H265-H264-H263</f>
        <v>#VALUE!</v>
      </c>
      <c r="I262" s="6"/>
      <c r="J262" s="26">
        <f>-(SUM([1]H7!$O$81,[1]H7!$R$81:$V$81,[1]H7!$Y$81:$AB$81)/1000)/J261</f>
        <v>0.8174273373814539</v>
      </c>
      <c r="K262" s="26">
        <f>-(SUM([1]H7!$O$82,[1]H7!$R$82:$V$82,[1]H7!$Y$82:$AB$82)/1000)/K261</f>
        <v>0.75547780791799135</v>
      </c>
      <c r="L262" s="26">
        <f>-(SUM([1]H7!$O$83,[1]H7!$R$83:$V$83,[1]H7!$Y$83:$AB$83)/1000)/L261</f>
        <v>0.81009954856045419</v>
      </c>
      <c r="M262" s="6"/>
      <c r="N262" s="26" t="e">
        <f>N265-N264-N263</f>
        <v>#VALUE!</v>
      </c>
      <c r="O262" s="26" t="e">
        <f>O265-O264-O263</f>
        <v>#VALUE!</v>
      </c>
      <c r="P262" s="26" t="e">
        <f>P265-P264-P263</f>
        <v>#VALUE!</v>
      </c>
      <c r="Q262" s="6"/>
      <c r="R262" s="26">
        <f>-(SUM([1]H7!$EM$81,[1]H7!$EP$81:$ET$81,[1]H7!$EW$81:$EZ$81)/1000)/R261</f>
        <v>0.82895779666632163</v>
      </c>
      <c r="S262" s="26">
        <f>-(SUM([1]H7!$EM$82,[1]H7!$EP$82:$ET$82,[1]H7!$EW$82:$EZ$82)/1000)/S261</f>
        <v>0.72614814099537173</v>
      </c>
      <c r="T262" s="26">
        <f>-(SUM([1]H7!$EM$83,[1]H7!$EP$83:$ET$83,[1]H7!$EW$83:$EZ$83)/1000)/T261</f>
        <v>0.81009954856045452</v>
      </c>
    </row>
    <row r="263" spans="2:20" ht="19.5" customHeight="1" x14ac:dyDescent="0.25">
      <c r="B263" s="225"/>
      <c r="C263" s="9"/>
      <c r="D263" s="16" t="s">
        <v>93</v>
      </c>
      <c r="E263" s="6"/>
      <c r="F263" s="26" t="e">
        <f>(F193*F191+F207*F205+F221*F219)/F261</f>
        <v>#REF!</v>
      </c>
      <c r="G263" s="26" t="e">
        <f>(G193*G191+G207*G205+G221*G219)/G261</f>
        <v>#REF!</v>
      </c>
      <c r="H263" s="26" t="e">
        <f>(H193*H191+H207*H205+H221*H219)/H261</f>
        <v>#REF!</v>
      </c>
      <c r="I263" s="6"/>
      <c r="J263" s="26">
        <f>-(SUM([1]H7!$Q$81,[1]H7!$X$81)/1000)/J261</f>
        <v>0</v>
      </c>
      <c r="K263" s="26">
        <f>-(SUM([1]H7!$Q$82,[1]H7!$X$82)/1000)/K261</f>
        <v>0</v>
      </c>
      <c r="L263" s="26">
        <f>-(SUM([1]H7!$Q$83,[1]H7!$X$83)/1000)/L261</f>
        <v>9.45533273915195E-3</v>
      </c>
      <c r="M263" s="6"/>
      <c r="N263" s="26" t="e">
        <f>(N193*N191+N207*N205+N221*N219)/N261</f>
        <v>#REF!</v>
      </c>
      <c r="O263" s="26" t="e">
        <f>(O193*O191+O207*O205+O221*O219)/O261</f>
        <v>#REF!</v>
      </c>
      <c r="P263" s="26" t="e">
        <f>(P193*P191+P207*P205+P221*P219)/P261</f>
        <v>#REF!</v>
      </c>
      <c r="Q263" s="6"/>
      <c r="R263" s="26">
        <f>-(SUM([1]H7!$EO$81,[1]H7!$EV$81)/1000)/R261</f>
        <v>0</v>
      </c>
      <c r="S263" s="26">
        <f>-(SUM([1]H7!$EO$82,[1]H7!$EV$82)/1000)/S261</f>
        <v>0</v>
      </c>
      <c r="T263" s="26">
        <f>-(SUM([1]H7!$EO$83,[1]H7!$EV$83)/1000)/T261</f>
        <v>9.4553327391519518E-3</v>
      </c>
    </row>
    <row r="264" spans="2:20" ht="19.5" customHeight="1" x14ac:dyDescent="0.25">
      <c r="B264" s="225"/>
      <c r="C264" s="9"/>
      <c r="D264" s="16" t="s">
        <v>94</v>
      </c>
      <c r="E264" s="6"/>
      <c r="F264" s="26" t="e">
        <f>(F194*F191+F208*F205+F219*F222)/F261</f>
        <v>#VALUE!</v>
      </c>
      <c r="G264" s="26" t="e">
        <f>(G194*G191+G208*G205+G219*G222)/G261</f>
        <v>#VALUE!</v>
      </c>
      <c r="H264" s="26" t="e">
        <f>(H194*H191+H208*H205+H219*H222)/H261</f>
        <v>#VALUE!</v>
      </c>
      <c r="I264" s="6"/>
      <c r="J264" s="26">
        <f>-(SUM([1]H7!$P$81,[1]H7!$W$81)/1000)/J261</f>
        <v>0</v>
      </c>
      <c r="K264" s="26">
        <f>-(SUM([1]H7!$P$82,[1]H7!$W$82)/1000)/K261</f>
        <v>0</v>
      </c>
      <c r="L264" s="26">
        <f>-(SUM([1]H7!$P$83,[1]H7!$W$83)/1000)/L261</f>
        <v>0</v>
      </c>
      <c r="M264" s="6"/>
      <c r="N264" s="26" t="e">
        <f>(N194*N191+N208*N205+N219*N222)/N261</f>
        <v>#VALUE!</v>
      </c>
      <c r="O264" s="26" t="e">
        <f>(O194*O191+O208*O205+O219*O222)/O261</f>
        <v>#VALUE!</v>
      </c>
      <c r="P264" s="26" t="e">
        <f>(P194*P191+P208*P205+P219*P222)/P261</f>
        <v>#VALUE!</v>
      </c>
      <c r="Q264" s="6"/>
      <c r="R264" s="26">
        <f>-(SUM([1]H7!$EN$81,[1]H7!$EU$81)/1000)/R261</f>
        <v>0</v>
      </c>
      <c r="S264" s="26">
        <f>-(SUM([1]H7!$EN$82,[1]H7!$EU$82)/1000)/S261</f>
        <v>0</v>
      </c>
      <c r="T264" s="26">
        <f>-(SUM([1]H7!$EN$83,[1]H7!$EU$83)/1000)/T261</f>
        <v>0</v>
      </c>
    </row>
    <row r="265" spans="2:20" ht="19.5" hidden="1" customHeight="1" outlineLevel="1" x14ac:dyDescent="0.25">
      <c r="B265" s="225"/>
      <c r="C265" s="9"/>
      <c r="D265" s="16" t="s">
        <v>95</v>
      </c>
      <c r="E265" s="7"/>
      <c r="F265" s="26">
        <v>0.65682565940175663</v>
      </c>
      <c r="G265" s="26">
        <v>0.57614070459620159</v>
      </c>
      <c r="H265" s="26">
        <v>0.6615301505572545</v>
      </c>
      <c r="I265" s="7"/>
      <c r="J265" s="26">
        <f>+J262+J263+J264</f>
        <v>0.8174273373814539</v>
      </c>
      <c r="K265" s="26">
        <f>+K262+K263+K264</f>
        <v>0.75547780791799135</v>
      </c>
      <c r="L265" s="26">
        <f>+L262+L263+L264</f>
        <v>0.81955488129960619</v>
      </c>
      <c r="M265" s="7"/>
      <c r="N265" s="26">
        <v>0.65682565940175663</v>
      </c>
      <c r="O265" s="26">
        <v>0.57614070459620159</v>
      </c>
      <c r="P265" s="26">
        <v>0.6615301505572545</v>
      </c>
      <c r="Q265" s="7"/>
      <c r="R265" s="26">
        <f>+R262+R263+R264</f>
        <v>0.82895779666632163</v>
      </c>
      <c r="S265" s="26">
        <f>+S262+S263+S264</f>
        <v>0.72614814099537173</v>
      </c>
      <c r="T265" s="26">
        <f>+T262+T263+T264</f>
        <v>0.81955488129960652</v>
      </c>
    </row>
    <row r="266" spans="2:20" ht="20.149999999999999" customHeight="1" collapsed="1" x14ac:dyDescent="0.25">
      <c r="B266" s="225"/>
      <c r="C266" s="9"/>
      <c r="D266" s="16" t="s">
        <v>96</v>
      </c>
      <c r="E266" s="7"/>
      <c r="F266" s="26">
        <v>-3.2452375205101303E-2</v>
      </c>
      <c r="G266" s="26">
        <v>1.0421772985983643E-2</v>
      </c>
      <c r="H266" s="26">
        <v>-1.04490189791121E-2</v>
      </c>
      <c r="I266" s="7"/>
      <c r="J266" s="26">
        <f>-(SUM([1]H7!$AC$81:$AK$81)/1000)/J261</f>
        <v>1.404540986715731E-2</v>
      </c>
      <c r="K266" s="26">
        <f>-(SUM([1]H7!$AC$82:$AK$82)/1000)/K261</f>
        <v>7.2623857471412839E-2</v>
      </c>
      <c r="L266" s="26">
        <f>-(SUM([1]H7!$AC$83:$AK$83)/1000)/L261</f>
        <v>-1.6955713113417283E-2</v>
      </c>
      <c r="M266" s="7"/>
      <c r="N266" s="26">
        <v>-3.2452375205101303E-2</v>
      </c>
      <c r="O266" s="26">
        <v>1.0421772985983643E-2</v>
      </c>
      <c r="P266" s="26">
        <v>-1.04490189791121E-2</v>
      </c>
      <c r="Q266" s="7"/>
      <c r="R266" s="26">
        <f>-(SUM([1]H7!$FA$81:$FI$81)/1000)/R261</f>
        <v>5.7684063065517509E-2</v>
      </c>
      <c r="S266" s="26">
        <f>-(SUM([1]H7!$FA$82:$FI$82)/1000)/S261</f>
        <v>0.17355199606560992</v>
      </c>
      <c r="T266" s="26">
        <f>-(SUM([1]H7!$FA$83:$FI$83)/1000)/T261</f>
        <v>-1.6955713113417242E-2</v>
      </c>
    </row>
    <row r="267" spans="2:20" ht="20.149999999999999" hidden="1" customHeight="1" outlineLevel="1" x14ac:dyDescent="0.25">
      <c r="B267" s="225"/>
      <c r="C267" s="9"/>
      <c r="D267" s="13" t="s">
        <v>87</v>
      </c>
      <c r="E267" s="7"/>
      <c r="F267" s="26">
        <v>0.12525205080151947</v>
      </c>
      <c r="G267" s="26">
        <v>0.12472092690864583</v>
      </c>
      <c r="H267" s="26">
        <v>0.12662921817818915</v>
      </c>
      <c r="I267" s="7"/>
      <c r="J267" s="26">
        <f>-(SUM([1]H7!$AL$81:$AN$81)/1000)/J261</f>
        <v>3.7733476035144736E-2</v>
      </c>
      <c r="K267" s="26">
        <f>-(SUM([1]H7!$AL$82:$AN$82)/1000)/K261</f>
        <v>3.6923486407827034E-2</v>
      </c>
      <c r="L267" s="26">
        <f>-(SUM([1]H7!$AL$83:$AN$83)/1000)/L261</f>
        <v>3.7777349036220903E-2</v>
      </c>
      <c r="M267" s="7"/>
      <c r="N267" s="26">
        <v>0.12525205080151947</v>
      </c>
      <c r="O267" s="26">
        <v>0.12472092690864583</v>
      </c>
      <c r="P267" s="26">
        <v>0.12662921817818915</v>
      </c>
      <c r="Q267" s="7"/>
      <c r="R267" s="26">
        <f>-(SUM([1]H7!$FJ$81:$FL$81)/1000)/R261</f>
        <v>3.8724801847812643E-2</v>
      </c>
      <c r="S267" s="26">
        <f>-(SUM([1]H7!$FJ$82:$FL$82)/1000)/S261</f>
        <v>9.3147877415888147E-2</v>
      </c>
      <c r="T267" s="26">
        <f>-(SUM([1]H7!$FJ$83:$FL$83)/1000)/T261</f>
        <v>3.7777349036220917E-2</v>
      </c>
    </row>
    <row r="268" spans="2:20" ht="20.149999999999999" hidden="1" customHeight="1" outlineLevel="1" x14ac:dyDescent="0.25">
      <c r="B268" s="225"/>
      <c r="C268" s="9"/>
      <c r="D268" s="13" t="s">
        <v>88</v>
      </c>
      <c r="E268" s="7"/>
      <c r="F268" s="26">
        <v>0.11703136290887124</v>
      </c>
      <c r="G268" s="26">
        <v>0.12530740730513432</v>
      </c>
      <c r="H268" s="26">
        <v>0.12041843301110733</v>
      </c>
      <c r="I268" s="7"/>
      <c r="J268" s="26">
        <f>-(SUM([1]H7!$AO$81:$AR$81)/1000)/J261</f>
        <v>9.2989002450582003E-2</v>
      </c>
      <c r="K268" s="26">
        <f>-(SUM([1]H7!$AO$82:$AR$82)/1000)/K261</f>
        <v>8.3793781311180482E-2</v>
      </c>
      <c r="L268" s="26">
        <f>-(SUM([1]H7!$AO$83:$AR$83)/1000)/L261</f>
        <v>0.10439096789051788</v>
      </c>
      <c r="M268" s="7"/>
      <c r="N268" s="26">
        <v>0.11703136290887124</v>
      </c>
      <c r="O268" s="26">
        <v>0.12530740730513432</v>
      </c>
      <c r="P268" s="26">
        <v>0.12041843301110733</v>
      </c>
      <c r="Q268" s="7"/>
      <c r="R268" s="26">
        <f>-(SUM([1]H7!$FM$81:$FP$81)/1000)/R261</f>
        <v>8.255132172171048E-2</v>
      </c>
      <c r="S268" s="26">
        <f>-(SUM([1]H7!$FM$82:$FP$82)/1000)/S261</f>
        <v>7.2437182842118919E-2</v>
      </c>
      <c r="T268" s="26">
        <f>-(SUM([1]H7!$FM$83:$FP$83)/1000)/T261</f>
        <v>0.1043909678905179</v>
      </c>
    </row>
    <row r="269" spans="2:20" ht="20.149999999999999" customHeight="1" collapsed="1" x14ac:dyDescent="0.25">
      <c r="B269" s="225"/>
      <c r="C269" s="9"/>
      <c r="D269" s="16" t="s">
        <v>97</v>
      </c>
      <c r="E269" s="7"/>
      <c r="F269" s="26">
        <v>0.24228341371039072</v>
      </c>
      <c r="G269" s="26">
        <v>0.25002833421378012</v>
      </c>
      <c r="H269" s="26">
        <v>0.24704765118929647</v>
      </c>
      <c r="I269" s="7"/>
      <c r="J269" s="26">
        <f>+J267+J268</f>
        <v>0.13072247848572674</v>
      </c>
      <c r="K269" s="26">
        <f>+K267+K268</f>
        <v>0.12071726771900751</v>
      </c>
      <c r="L269" s="26">
        <f>+L267+L268</f>
        <v>0.14216831692673879</v>
      </c>
      <c r="M269" s="7"/>
      <c r="N269" s="26">
        <v>0.24228341371039072</v>
      </c>
      <c r="O269" s="26">
        <v>0.25002833421378012</v>
      </c>
      <c r="P269" s="26">
        <v>0.24704765118929647</v>
      </c>
      <c r="Q269" s="7"/>
      <c r="R269" s="26">
        <f>+R267+R268</f>
        <v>0.12127612356952312</v>
      </c>
      <c r="S269" s="26">
        <f>+S267+S268</f>
        <v>0.16558506025800707</v>
      </c>
      <c r="T269" s="26">
        <f>+T267+T268</f>
        <v>0.14216831692673881</v>
      </c>
    </row>
    <row r="270" spans="2:20" ht="20.149999999999999" customHeight="1" x14ac:dyDescent="0.25">
      <c r="B270" s="225"/>
      <c r="C270" s="9"/>
      <c r="D270" s="16" t="s">
        <v>90</v>
      </c>
      <c r="E270" s="7"/>
      <c r="F270" s="26"/>
      <c r="G270" s="26"/>
      <c r="H270" s="26"/>
      <c r="I270" s="7"/>
      <c r="J270" s="26">
        <f>-(SUM([1]H7!$AT$81:$BJ$81)/1000/J261)</f>
        <v>-1.1403124589383271E-3</v>
      </c>
      <c r="K270" s="26">
        <f>-(SUM([1]H7!$AT$82:$BJ$82)/1000/K261)</f>
        <v>2.2901978141060961E-2</v>
      </c>
      <c r="L270" s="26">
        <f>-(SUM([1]H7!$AT$83:$BJ$83)/1000/L261)</f>
        <v>2.3184376792808058E-2</v>
      </c>
      <c r="M270" s="7"/>
      <c r="N270" s="26"/>
      <c r="O270" s="26"/>
      <c r="P270" s="26"/>
      <c r="Q270" s="7"/>
      <c r="R270" s="26">
        <f>-(SUM([1]H7!$FR$81:$GH$81)/1000/R261)</f>
        <v>-3.7755986636059252E-2</v>
      </c>
      <c r="S270" s="26">
        <f>-(SUM([1]H7!$FR$82:$GH$82)/1000/S261)</f>
        <v>2.981287005606869E-2</v>
      </c>
      <c r="T270" s="26">
        <f>-(SUM([1]H7!$FR$83:$GH$83)/1000/T261)</f>
        <v>2.3184376792808086E-2</v>
      </c>
    </row>
    <row r="271" spans="2:20" ht="20.149999999999999" customHeight="1" x14ac:dyDescent="0.25">
      <c r="B271" s="225"/>
      <c r="C271" s="9"/>
      <c r="D271" s="16" t="s">
        <v>79</v>
      </c>
      <c r="E271" s="8"/>
      <c r="F271" s="26">
        <v>0.86665669790704614</v>
      </c>
      <c r="G271" s="26">
        <v>0.83659081179596551</v>
      </c>
      <c r="H271" s="26">
        <v>0.8981287827674389</v>
      </c>
      <c r="I271" s="8"/>
      <c r="J271" s="26">
        <f>+J265+J266+J269+J270</f>
        <v>0.9610549132753996</v>
      </c>
      <c r="K271" s="26">
        <f>+K265+K266+K269+K270</f>
        <v>0.97172091124947269</v>
      </c>
      <c r="L271" s="26">
        <f>+L265+L266+L269+L270</f>
        <v>0.96795186190573579</v>
      </c>
      <c r="M271" s="8"/>
      <c r="N271" s="26">
        <v>0.86665669790704614</v>
      </c>
      <c r="O271" s="26">
        <v>0.83659081179596551</v>
      </c>
      <c r="P271" s="26">
        <v>0.8981287827674389</v>
      </c>
      <c r="Q271" s="8"/>
      <c r="R271" s="26">
        <f>+R265+R266+R269+R270</f>
        <v>0.97016199666530301</v>
      </c>
      <c r="S271" s="26">
        <f>+S265+S266+S269+S270</f>
        <v>1.0950980673750574</v>
      </c>
      <c r="T271" s="26">
        <f>+T265+T266+T269+T270</f>
        <v>0.96795186190573612</v>
      </c>
    </row>
    <row r="272" spans="2:20" ht="19.5" customHeight="1" x14ac:dyDescent="0.25">
      <c r="B272" s="225"/>
      <c r="C272" s="9"/>
      <c r="D272" s="16" t="s">
        <v>34</v>
      </c>
      <c r="E272" s="6"/>
      <c r="F272" s="25">
        <v>95.546652130000155</v>
      </c>
      <c r="G272" s="25">
        <v>111.93766459000008</v>
      </c>
      <c r="H272" s="25">
        <v>70.68283887822237</v>
      </c>
      <c r="I272" s="6"/>
      <c r="J272" s="25">
        <f>+[1]H7!$BK$81/1000</f>
        <v>1.353492790000018</v>
      </c>
      <c r="K272" s="25">
        <f>+[1]H7!$BK$82/1000</f>
        <v>0.93366595000002961</v>
      </c>
      <c r="L272" s="25">
        <f>+[1]H7!$BK$83/1000</f>
        <v>1.097880577977576</v>
      </c>
      <c r="M272" s="6"/>
      <c r="N272" s="25">
        <v>95.546652130000155</v>
      </c>
      <c r="O272" s="25">
        <v>111.93766459000008</v>
      </c>
      <c r="P272" s="25">
        <v>70.68283887822237</v>
      </c>
      <c r="Q272" s="6"/>
      <c r="R272" s="25">
        <f>+[1]H7!$GI$81/1000</f>
        <v>0.37616976000001939</v>
      </c>
      <c r="S272" s="25">
        <f>+[1]H7!$GI$82/1000</f>
        <v>-1.1951755699999986</v>
      </c>
      <c r="T272" s="25">
        <f>+[1]H7!$GI$83/1000</f>
        <v>0.36596019265918767</v>
      </c>
    </row>
  </sheetData>
  <mergeCells count="23">
    <mergeCell ref="B260:B272"/>
    <mergeCell ref="B190:B202"/>
    <mergeCell ref="B204:B216"/>
    <mergeCell ref="B218:B230"/>
    <mergeCell ref="B148:B160"/>
    <mergeCell ref="B162:B174"/>
    <mergeCell ref="B176:B188"/>
    <mergeCell ref="B92:B104"/>
    <mergeCell ref="B3:D3"/>
    <mergeCell ref="F3:T3"/>
    <mergeCell ref="B232:B244"/>
    <mergeCell ref="B246:B258"/>
    <mergeCell ref="B106:B118"/>
    <mergeCell ref="B120:B132"/>
    <mergeCell ref="B134:B146"/>
    <mergeCell ref="B64:B76"/>
    <mergeCell ref="B78:B90"/>
    <mergeCell ref="F4:H4"/>
    <mergeCell ref="N4:P4"/>
    <mergeCell ref="B22:B34"/>
    <mergeCell ref="B36:B48"/>
    <mergeCell ref="B50:B62"/>
    <mergeCell ref="B8:B20"/>
  </mergeCells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ustomProperties>
    <customPr name="_pios_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D16F-23BF-4F5A-AAD2-803A75071C83}">
  <sheetPr codeName="Sheet9"/>
  <dimension ref="A1:AA272"/>
  <sheetViews>
    <sheetView zoomScale="70" zoomScaleNormal="70" zoomScaleSheetLayoutView="55" workbookViewId="0">
      <pane xSplit="5" ySplit="6" topLeftCell="F155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2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1.453125" style="3" bestFit="1" customWidth="1" collapsed="1"/>
    <col min="11" max="12" width="10.54296875" style="3" customWidth="1"/>
    <col min="13" max="13" width="0.54296875" style="3" customWidth="1"/>
    <col min="14" max="14" width="13.7265625" style="3" bestFit="1" customWidth="1"/>
    <col min="15" max="16" width="10.54296875" style="3" customWidth="1"/>
    <col min="17" max="17" width="0.54296875" style="3" customWidth="1"/>
    <col min="18" max="19" width="9.26953125" style="1"/>
    <col min="20" max="20" width="11.54296875" style="1" bestFit="1" customWidth="1"/>
    <col min="21" max="16384" width="9.26953125" style="1"/>
  </cols>
  <sheetData>
    <row r="1" spans="2:17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s="10" customFormat="1" ht="40.15" customHeight="1" thickBot="1" x14ac:dyDescent="0.3">
      <c r="B3" s="206" t="e">
        <f>#REF!</f>
        <v>#REF!</v>
      </c>
      <c r="C3" s="206"/>
      <c r="D3" s="206"/>
      <c r="F3" s="207" t="s">
        <v>4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</row>
    <row r="4" spans="2:17" s="11" customFormat="1" ht="23" x14ac:dyDescent="0.25">
      <c r="E4" s="12"/>
      <c r="F4" s="205" t="s">
        <v>5</v>
      </c>
      <c r="G4" s="205"/>
      <c r="H4" s="205"/>
      <c r="I4" s="12"/>
      <c r="J4" s="30" t="s">
        <v>80</v>
      </c>
      <c r="K4" s="30"/>
      <c r="L4" s="30"/>
      <c r="M4" s="12"/>
      <c r="N4" s="30" t="s">
        <v>81</v>
      </c>
      <c r="O4" s="30"/>
      <c r="P4" s="30"/>
      <c r="Q4" s="12"/>
    </row>
    <row r="6" spans="2:17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N6" s="5" t="s">
        <v>15</v>
      </c>
      <c r="O6" s="5" t="s">
        <v>16</v>
      </c>
      <c r="P6" s="5" t="s">
        <v>17</v>
      </c>
    </row>
    <row r="7" spans="2:17" ht="16.5" customHeight="1" x14ac:dyDescent="0.25"/>
    <row r="8" spans="2:17" ht="19.5" customHeight="1" x14ac:dyDescent="0.25">
      <c r="B8" s="202" t="s">
        <v>18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/>
      <c r="K8" s="19"/>
      <c r="L8" s="19"/>
      <c r="M8" s="6"/>
      <c r="N8" s="19"/>
      <c r="O8" s="19"/>
      <c r="P8" s="19"/>
      <c r="Q8" s="6"/>
    </row>
    <row r="9" spans="2:17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/>
      <c r="K9" s="19"/>
      <c r="L9" s="19"/>
      <c r="M9" s="6"/>
      <c r="N9" s="19"/>
      <c r="O9" s="19"/>
      <c r="P9" s="19"/>
      <c r="Q9" s="6"/>
    </row>
    <row r="10" spans="2:17" ht="19.5" customHeight="1" x14ac:dyDescent="0.25">
      <c r="B10" s="202"/>
      <c r="C10" s="9"/>
      <c r="D10" s="14" t="s">
        <v>82</v>
      </c>
      <c r="E10" s="6"/>
      <c r="F10" s="20" t="str">
        <f>IFERROR((F24*F23+F38*F37)/F9,"n/a")</f>
        <v>n/a</v>
      </c>
      <c r="G10" s="20" t="str">
        <f>IFERROR((G24*G23+G38*G37)/G9,"n/a")</f>
        <v>n/a</v>
      </c>
      <c r="H10" s="20" t="str">
        <f>IFERROR((H24*H23+H38*H37)/H9,"n/a")</f>
        <v>n/a</v>
      </c>
      <c r="I10" s="6"/>
      <c r="J10" s="20"/>
      <c r="K10" s="20"/>
      <c r="L10" s="20"/>
      <c r="M10" s="6"/>
      <c r="N10" s="20"/>
      <c r="O10" s="20"/>
      <c r="P10" s="20"/>
      <c r="Q10" s="6"/>
    </row>
    <row r="11" spans="2:17" ht="19.5" customHeight="1" x14ac:dyDescent="0.25">
      <c r="B11" s="202"/>
      <c r="C11" s="9"/>
      <c r="D11" s="14" t="s">
        <v>83</v>
      </c>
      <c r="E11" s="6"/>
      <c r="F11" s="20">
        <f>IFERROR((F25*F23+F39*F37)/F9,"n/a")</f>
        <v>0</v>
      </c>
      <c r="G11" s="20">
        <f>IFERROR((G25*G23+G39*G37)/G9,"n/a")</f>
        <v>0</v>
      </c>
      <c r="H11" s="20">
        <f>IFERROR((H25*H23+H39*H37)/H9,"n/a")</f>
        <v>0</v>
      </c>
      <c r="I11" s="6"/>
      <c r="J11" s="20"/>
      <c r="K11" s="20"/>
      <c r="L11" s="20"/>
      <c r="M11" s="6"/>
      <c r="N11" s="20"/>
      <c r="O11" s="20"/>
      <c r="P11" s="20"/>
      <c r="Q11" s="6"/>
    </row>
    <row r="12" spans="2:17" ht="19.5" customHeight="1" x14ac:dyDescent="0.25">
      <c r="B12" s="202"/>
      <c r="C12" s="9"/>
      <c r="D12" s="14" t="s">
        <v>84</v>
      </c>
      <c r="E12" s="6"/>
      <c r="F12" s="20" t="str">
        <f>IFERROR((F26*F23+F40*F37)/F9,"n/a")</f>
        <v>n/a</v>
      </c>
      <c r="G12" s="20" t="str">
        <f>IFERROR((G26*G23+G40*G37)/G9,"n/a")</f>
        <v>n/a</v>
      </c>
      <c r="H12" s="20" t="str">
        <f>IFERROR((H26*H23+H40*H37)/H9,"n/a")</f>
        <v>n/a</v>
      </c>
      <c r="I12" s="6"/>
      <c r="J12" s="20"/>
      <c r="K12" s="20"/>
      <c r="L12" s="20"/>
      <c r="M12" s="6"/>
      <c r="N12" s="20"/>
      <c r="O12" s="20"/>
      <c r="P12" s="20"/>
      <c r="Q12" s="6"/>
    </row>
    <row r="13" spans="2:17" ht="19.5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/>
      <c r="K13" s="20"/>
      <c r="L13" s="20"/>
      <c r="M13" s="7"/>
      <c r="N13" s="20"/>
      <c r="O13" s="20"/>
      <c r="P13" s="20"/>
      <c r="Q13" s="7"/>
    </row>
    <row r="14" spans="2:17" ht="20.149999999999999" customHeight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/>
      <c r="K14" s="20"/>
      <c r="L14" s="20"/>
      <c r="M14" s="7"/>
      <c r="N14" s="20"/>
      <c r="O14" s="20"/>
      <c r="P14" s="20"/>
      <c r="Q14" s="7"/>
    </row>
    <row r="15" spans="2:17" ht="20.149999999999999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/>
      <c r="K15" s="20"/>
      <c r="L15" s="20"/>
      <c r="M15" s="7"/>
      <c r="N15" s="20"/>
      <c r="O15" s="20"/>
      <c r="P15" s="20"/>
      <c r="Q15" s="7"/>
    </row>
    <row r="16" spans="2:17" ht="20.149999999999999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/>
      <c r="K16" s="20"/>
      <c r="L16" s="20"/>
      <c r="M16" s="7"/>
      <c r="N16" s="20"/>
      <c r="O16" s="20"/>
      <c r="P16" s="20"/>
      <c r="Q16" s="7"/>
    </row>
    <row r="17" spans="2:20" ht="20.149999999999999" customHeight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/>
      <c r="K17" s="20"/>
      <c r="L17" s="20"/>
      <c r="M17" s="7"/>
      <c r="N17" s="20"/>
      <c r="O17" s="20"/>
      <c r="P17" s="20"/>
      <c r="Q17" s="7"/>
    </row>
    <row r="18" spans="2:20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/>
      <c r="K18" s="20"/>
      <c r="L18" s="20"/>
      <c r="M18" s="7"/>
      <c r="N18" s="20"/>
      <c r="O18" s="20"/>
      <c r="P18" s="20"/>
      <c r="Q18" s="7"/>
    </row>
    <row r="19" spans="2:20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/>
      <c r="K19" s="20"/>
      <c r="L19" s="20"/>
      <c r="M19" s="8"/>
      <c r="N19" s="20"/>
      <c r="O19" s="20"/>
      <c r="P19" s="20"/>
      <c r="Q19" s="8"/>
    </row>
    <row r="20" spans="2:20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/>
      <c r="K20" s="19"/>
      <c r="L20" s="19"/>
      <c r="M20" s="6"/>
      <c r="N20" s="19"/>
      <c r="O20" s="19"/>
      <c r="P20" s="19"/>
      <c r="Q20" s="6"/>
      <c r="T20" s="34"/>
    </row>
    <row r="21" spans="2:20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6"/>
      <c r="O21" s="8"/>
      <c r="P21" s="8"/>
      <c r="Q21" s="8"/>
    </row>
    <row r="22" spans="2:20" ht="19.5" hidden="1" customHeight="1" outlineLevel="1" x14ac:dyDescent="0.25">
      <c r="B22" s="202" t="s">
        <v>91</v>
      </c>
      <c r="C22" s="9"/>
      <c r="D22" s="14" t="s">
        <v>19</v>
      </c>
      <c r="E22" s="6"/>
      <c r="F22" s="19">
        <v>174.58809877999997</v>
      </c>
      <c r="G22" s="19">
        <v>185.33950579999998</v>
      </c>
      <c r="H22" s="19">
        <v>204.63270105388938</v>
      </c>
      <c r="I22" s="6"/>
      <c r="J22" s="19"/>
      <c r="K22" s="19"/>
      <c r="L22" s="19"/>
      <c r="M22" s="6"/>
      <c r="N22" s="19"/>
      <c r="O22" s="19"/>
      <c r="P22" s="19"/>
      <c r="Q22" s="6"/>
    </row>
    <row r="23" spans="2:20" ht="20.149999999999999" hidden="1" customHeight="1" outlineLevel="1" x14ac:dyDescent="0.25">
      <c r="B23" s="202"/>
      <c r="C23" s="9"/>
      <c r="D23" s="14" t="s">
        <v>20</v>
      </c>
      <c r="E23" s="6"/>
      <c r="F23" s="19">
        <v>160.90258041999999</v>
      </c>
      <c r="G23" s="19">
        <v>173.06633202</v>
      </c>
      <c r="H23" s="19">
        <v>181.1039563404037</v>
      </c>
      <c r="I23" s="6"/>
      <c r="J23" s="19"/>
      <c r="K23" s="19"/>
      <c r="L23" s="19"/>
      <c r="M23" s="6"/>
      <c r="N23" s="19"/>
      <c r="O23" s="19"/>
      <c r="P23" s="19"/>
      <c r="Q23" s="6"/>
    </row>
    <row r="24" spans="2:20" ht="19.5" hidden="1" customHeight="1" outlineLevel="1" x14ac:dyDescent="0.25">
      <c r="B24" s="202"/>
      <c r="C24" s="9"/>
      <c r="D24" s="14" t="s">
        <v>92</v>
      </c>
      <c r="E24" s="6"/>
      <c r="F24" s="20">
        <f>F27-F25-F26</f>
        <v>0.84420093000022511</v>
      </c>
      <c r="G24" s="20">
        <f>G27-G25-G26</f>
        <v>0.70110498335388471</v>
      </c>
      <c r="H24" s="20">
        <f>H27-H25-H26</f>
        <v>0.78019367284740149</v>
      </c>
      <c r="I24" s="6"/>
      <c r="J24" s="20"/>
      <c r="K24" s="20"/>
      <c r="L24" s="20"/>
      <c r="M24" s="6"/>
      <c r="N24" s="20"/>
      <c r="O24" s="20"/>
      <c r="P24" s="20"/>
      <c r="Q24" s="6"/>
    </row>
    <row r="25" spans="2:20" ht="19.5" hidden="1" customHeight="1" outlineLevel="1" x14ac:dyDescent="0.25">
      <c r="B25" s="202"/>
      <c r="C25" s="9"/>
      <c r="D25" s="14" t="s">
        <v>93</v>
      </c>
      <c r="E25" s="6"/>
      <c r="F25" s="20">
        <f>IFERROR(SUM(INDEX(LL_TOT_BR_YTD,2,Month),INDEX(LL_IBNR_TOT_BR_YTD,2,Month))/F23,0)</f>
        <v>0</v>
      </c>
      <c r="G25" s="20">
        <f>IFERROR(SUM(INDEX(LL_TOT_BR_YTD_PREV,2,Month),INDEX(LL_IBNR_TOT_BR_YTD_PREV,2,Month))/G23,0)</f>
        <v>0</v>
      </c>
      <c r="H25" s="20">
        <f>IFERROR(SUM(INDEX(LL_TOT_BR_YTD_PLAN,2,Month),INDEX(LL_IBNR_TOT_BR_YTD_PLAN,2,Month))/H23,0)</f>
        <v>0</v>
      </c>
      <c r="I25" s="6"/>
      <c r="J25" s="20"/>
      <c r="K25" s="20"/>
      <c r="L25" s="20"/>
      <c r="M25" s="6"/>
      <c r="N25" s="20"/>
      <c r="O25" s="20"/>
      <c r="P25" s="20"/>
      <c r="Q25" s="6"/>
    </row>
    <row r="26" spans="2:20" ht="19.5" hidden="1" customHeight="1" outlineLevel="1" x14ac:dyDescent="0.25">
      <c r="B26" s="202"/>
      <c r="C26" s="9"/>
      <c r="D26" s="14" t="s">
        <v>94</v>
      </c>
      <c r="E26" s="6"/>
      <c r="F26" s="20">
        <f>0</f>
        <v>0</v>
      </c>
      <c r="G26" s="20">
        <f>0</f>
        <v>0</v>
      </c>
      <c r="H26" s="20">
        <f>0</f>
        <v>0</v>
      </c>
      <c r="I26" s="6"/>
      <c r="J26" s="20"/>
      <c r="K26" s="20"/>
      <c r="L26" s="20"/>
      <c r="M26" s="6"/>
      <c r="N26" s="20"/>
      <c r="O26" s="20"/>
      <c r="P26" s="20"/>
      <c r="Q26" s="6"/>
    </row>
    <row r="27" spans="2:20" ht="19.5" hidden="1" customHeight="1" outlineLevel="2" x14ac:dyDescent="0.25">
      <c r="B27" s="202"/>
      <c r="C27" s="9"/>
      <c r="D27" s="14" t="s">
        <v>95</v>
      </c>
      <c r="E27" s="7"/>
      <c r="F27" s="20">
        <v>0.84420093000022511</v>
      </c>
      <c r="G27" s="20">
        <v>0.70110498335388471</v>
      </c>
      <c r="H27" s="20">
        <v>0.78019367284740149</v>
      </c>
      <c r="I27" s="7"/>
      <c r="J27" s="20"/>
      <c r="K27" s="20"/>
      <c r="L27" s="20"/>
      <c r="M27" s="7"/>
      <c r="N27" s="20"/>
      <c r="O27" s="20"/>
      <c r="P27" s="20"/>
      <c r="Q27" s="7"/>
    </row>
    <row r="28" spans="2:20" ht="20.149999999999999" hidden="1" customHeight="1" outlineLevel="1" x14ac:dyDescent="0.25">
      <c r="B28" s="202"/>
      <c r="C28" s="9"/>
      <c r="D28" s="14" t="s">
        <v>96</v>
      </c>
      <c r="E28" s="7"/>
      <c r="F28" s="20">
        <v>-5.5435126252899945E-2</v>
      </c>
      <c r="G28" s="20">
        <v>7.5310574551806638E-3</v>
      </c>
      <c r="H28" s="20">
        <v>-2.1166480350811253E-2</v>
      </c>
      <c r="I28" s="7"/>
      <c r="J28" s="20"/>
      <c r="K28" s="20"/>
      <c r="L28" s="20"/>
      <c r="M28" s="7"/>
      <c r="N28" s="20"/>
      <c r="O28" s="20"/>
      <c r="P28" s="20"/>
      <c r="Q28" s="7"/>
    </row>
    <row r="29" spans="2:20" ht="19.5" hidden="1" customHeight="1" outlineLevel="2" x14ac:dyDescent="0.25">
      <c r="B29" s="202"/>
      <c r="C29" s="9"/>
      <c r="D29" s="15" t="s">
        <v>87</v>
      </c>
      <c r="E29" s="7"/>
      <c r="F29" s="20">
        <v>8.2992445149998054E-2</v>
      </c>
      <c r="G29" s="20">
        <v>8.0171038110385201E-2</v>
      </c>
      <c r="H29" s="20">
        <v>8.2820650937018431E-2</v>
      </c>
      <c r="I29" s="7"/>
      <c r="J29" s="20"/>
      <c r="K29" s="20"/>
      <c r="L29" s="20"/>
      <c r="M29" s="7"/>
      <c r="N29" s="20"/>
      <c r="O29" s="20"/>
      <c r="P29" s="20"/>
      <c r="Q29" s="7"/>
    </row>
    <row r="30" spans="2:20" ht="20.149999999999999" hidden="1" customHeight="1" outlineLevel="2" x14ac:dyDescent="0.25">
      <c r="B30" s="202"/>
      <c r="C30" s="9"/>
      <c r="D30" s="15" t="s">
        <v>88</v>
      </c>
      <c r="E30" s="7"/>
      <c r="F30" s="20">
        <v>0.12293509736367968</v>
      </c>
      <c r="G30" s="20">
        <v>0.12278302216253326</v>
      </c>
      <c r="H30" s="20">
        <v>0.10688355881031411</v>
      </c>
      <c r="I30" s="7"/>
      <c r="J30" s="20"/>
      <c r="K30" s="20"/>
      <c r="L30" s="20"/>
      <c r="M30" s="7"/>
      <c r="N30" s="20"/>
      <c r="O30" s="20"/>
      <c r="P30" s="20"/>
      <c r="Q30" s="7"/>
    </row>
    <row r="31" spans="2:20" ht="20.149999999999999" hidden="1" customHeight="1" outlineLevel="1" x14ac:dyDescent="0.25">
      <c r="B31" s="202"/>
      <c r="C31" s="9"/>
      <c r="D31" s="14" t="s">
        <v>97</v>
      </c>
      <c r="E31" s="7"/>
      <c r="F31" s="20">
        <v>0.20592754251367776</v>
      </c>
      <c r="G31" s="20">
        <v>0.20295406027291846</v>
      </c>
      <c r="H31" s="20">
        <v>0.18970420974733251</v>
      </c>
      <c r="I31" s="7"/>
      <c r="J31" s="20"/>
      <c r="K31" s="20"/>
      <c r="L31" s="20"/>
      <c r="M31" s="7"/>
      <c r="N31" s="20"/>
      <c r="O31" s="20"/>
      <c r="P31" s="20"/>
      <c r="Q31" s="7"/>
    </row>
    <row r="32" spans="2:20" ht="20.149999999999999" hidden="1" customHeight="1" outlineLevel="1" x14ac:dyDescent="0.25">
      <c r="B32" s="202"/>
      <c r="C32" s="9"/>
      <c r="D32" s="14" t="s">
        <v>90</v>
      </c>
      <c r="E32" s="7"/>
      <c r="F32" s="20"/>
      <c r="G32" s="20"/>
      <c r="H32" s="20"/>
      <c r="I32" s="7"/>
      <c r="J32" s="20"/>
      <c r="K32" s="20"/>
      <c r="L32" s="20"/>
      <c r="M32" s="7"/>
      <c r="N32" s="20"/>
      <c r="O32" s="20"/>
      <c r="P32" s="20"/>
      <c r="Q32" s="7"/>
    </row>
    <row r="33" spans="2:20" ht="20.149999999999999" hidden="1" customHeight="1" outlineLevel="1" x14ac:dyDescent="0.25">
      <c r="B33" s="202"/>
      <c r="C33" s="9"/>
      <c r="D33" s="14" t="s">
        <v>79</v>
      </c>
      <c r="E33" s="8"/>
      <c r="F33" s="20">
        <v>0.99469334626100292</v>
      </c>
      <c r="G33" s="20">
        <v>0.91159010108198379</v>
      </c>
      <c r="H33" s="20">
        <v>0.94873140224392272</v>
      </c>
      <c r="I33" s="8"/>
      <c r="J33" s="20"/>
      <c r="K33" s="20"/>
      <c r="L33" s="20"/>
      <c r="M33" s="8"/>
      <c r="N33" s="20"/>
      <c r="O33" s="20"/>
      <c r="P33" s="20"/>
      <c r="Q33" s="8"/>
    </row>
    <row r="34" spans="2:20" ht="19.5" hidden="1" customHeight="1" outlineLevel="1" x14ac:dyDescent="0.25">
      <c r="B34" s="202"/>
      <c r="C34" s="9"/>
      <c r="D34" s="14" t="s">
        <v>34</v>
      </c>
      <c r="E34" s="6"/>
      <c r="F34" s="19">
        <v>0.85385428000004637</v>
      </c>
      <c r="G34" s="19">
        <v>15.300776920000013</v>
      </c>
      <c r="H34" s="19">
        <v>9.284945889650345</v>
      </c>
      <c r="I34" s="6"/>
      <c r="J34" s="19"/>
      <c r="K34" s="19"/>
      <c r="L34" s="19"/>
      <c r="M34" s="6"/>
      <c r="N34" s="19"/>
      <c r="O34" s="19"/>
      <c r="P34" s="19"/>
      <c r="Q34" s="6"/>
      <c r="T34" s="34"/>
    </row>
    <row r="35" spans="2:20" ht="7.5" hidden="1" customHeight="1" outlineLevel="2" x14ac:dyDescent="0.25">
      <c r="E35" s="8"/>
      <c r="F35" s="8"/>
      <c r="G35" s="8"/>
      <c r="H35" s="8"/>
      <c r="I35" s="8"/>
      <c r="J35" s="8"/>
      <c r="K35" s="8"/>
      <c r="L35" s="8"/>
      <c r="M35" s="8"/>
      <c r="N35" s="6"/>
      <c r="O35" s="8"/>
      <c r="P35" s="8"/>
      <c r="Q35" s="8"/>
    </row>
    <row r="36" spans="2:20" ht="19.5" hidden="1" customHeight="1" outlineLevel="1" x14ac:dyDescent="0.25">
      <c r="B36" s="202" t="s">
        <v>98</v>
      </c>
      <c r="C36" s="9"/>
      <c r="D36" s="14" t="s">
        <v>19</v>
      </c>
      <c r="E36" s="6"/>
      <c r="F36" s="19">
        <v>134.18965857000001</v>
      </c>
      <c r="G36" s="19">
        <v>133.70934485999999</v>
      </c>
      <c r="H36" s="19">
        <v>147.07866387770241</v>
      </c>
      <c r="I36" s="6"/>
      <c r="J36" s="19"/>
      <c r="K36" s="19"/>
      <c r="L36" s="19"/>
      <c r="M36" s="6"/>
      <c r="N36" s="19"/>
      <c r="O36" s="19"/>
      <c r="P36" s="19"/>
      <c r="Q36" s="6"/>
    </row>
    <row r="37" spans="2:20" ht="20.149999999999999" hidden="1" customHeight="1" outlineLevel="1" x14ac:dyDescent="0.25">
      <c r="B37" s="202"/>
      <c r="C37" s="9"/>
      <c r="D37" s="14" t="s">
        <v>20</v>
      </c>
      <c r="E37" s="6"/>
      <c r="F37" s="19">
        <v>131.07974526000004</v>
      </c>
      <c r="G37" s="19">
        <v>131.50071958000001</v>
      </c>
      <c r="H37" s="19">
        <v>138.49363431363389</v>
      </c>
      <c r="I37" s="6"/>
      <c r="J37" s="19"/>
      <c r="K37" s="19"/>
      <c r="L37" s="19"/>
      <c r="M37" s="6"/>
      <c r="N37" s="19"/>
      <c r="O37" s="19"/>
      <c r="P37" s="19"/>
      <c r="Q37" s="6"/>
    </row>
    <row r="38" spans="2:20" ht="19.5" hidden="1" customHeight="1" outlineLevel="1" x14ac:dyDescent="0.25">
      <c r="B38" s="202"/>
      <c r="C38" s="9"/>
      <c r="D38" s="14" t="s">
        <v>92</v>
      </c>
      <c r="E38" s="6"/>
      <c r="F38" s="20" t="e">
        <f>F41-F39-F40</f>
        <v>#REF!</v>
      </c>
      <c r="G38" s="20" t="e">
        <f>G41-G39-G40</f>
        <v>#REF!</v>
      </c>
      <c r="H38" s="20" t="e">
        <f>H41-H39-H40</f>
        <v>#REF!</v>
      </c>
      <c r="I38" s="6"/>
      <c r="J38" s="20"/>
      <c r="K38" s="20"/>
      <c r="L38" s="20"/>
      <c r="M38" s="6"/>
      <c r="N38" s="20"/>
      <c r="O38" s="20"/>
      <c r="P38" s="20"/>
      <c r="Q38" s="6"/>
    </row>
    <row r="39" spans="2:20" ht="19.5" hidden="1" customHeight="1" outlineLevel="1" x14ac:dyDescent="0.25">
      <c r="B39" s="202"/>
      <c r="C39" s="9"/>
      <c r="D39" s="14" t="s">
        <v>93</v>
      </c>
      <c r="E39" s="6"/>
      <c r="F39" s="20">
        <f>0</f>
        <v>0</v>
      </c>
      <c r="G39" s="20">
        <f>0</f>
        <v>0</v>
      </c>
      <c r="H39" s="20">
        <f>0</f>
        <v>0</v>
      </c>
      <c r="I39" s="6"/>
      <c r="J39" s="20"/>
      <c r="K39" s="20"/>
      <c r="L39" s="20"/>
      <c r="M39" s="6"/>
      <c r="N39" s="20"/>
      <c r="O39" s="20"/>
      <c r="P39" s="20"/>
      <c r="Q39" s="6"/>
    </row>
    <row r="40" spans="2:20" ht="19.5" hidden="1" customHeight="1" outlineLevel="1" x14ac:dyDescent="0.25">
      <c r="B40" s="202"/>
      <c r="C40" s="9"/>
      <c r="D40" s="14" t="s">
        <v>94</v>
      </c>
      <c r="E40" s="6"/>
      <c r="F40" s="20" t="e">
        <f>INDEX(NatCat_TOT_BR_YTD,2,Month)/F37</f>
        <v>#REF!</v>
      </c>
      <c r="G40" s="20" t="e">
        <f>INDEX(NatCat_TOT_BR_YTD_PREV,2,Month)/G37</f>
        <v>#REF!</v>
      </c>
      <c r="H40" s="20" t="e">
        <f>INDEX(NatCat_TOT_BR_YTD_PLAN,2,Month)/H37</f>
        <v>#REF!</v>
      </c>
      <c r="I40" s="6"/>
      <c r="J40" s="20"/>
      <c r="K40" s="20"/>
      <c r="L40" s="20"/>
      <c r="M40" s="6"/>
      <c r="N40" s="20"/>
      <c r="O40" s="20"/>
      <c r="P40" s="20"/>
      <c r="Q40" s="6"/>
    </row>
    <row r="41" spans="2:20" ht="19.5" hidden="1" customHeight="1" outlineLevel="2" x14ac:dyDescent="0.25">
      <c r="B41" s="202"/>
      <c r="C41" s="9"/>
      <c r="D41" s="14" t="s">
        <v>95</v>
      </c>
      <c r="E41" s="7"/>
      <c r="F41" s="20">
        <v>0.47729705246148252</v>
      </c>
      <c r="G41" s="20">
        <v>0.40903539251948479</v>
      </c>
      <c r="H41" s="20">
        <v>0.55951837348520128</v>
      </c>
      <c r="I41" s="7"/>
      <c r="J41" s="20"/>
      <c r="K41" s="20"/>
      <c r="L41" s="20"/>
      <c r="M41" s="7"/>
      <c r="N41" s="20"/>
      <c r="O41" s="20"/>
      <c r="P41" s="20"/>
      <c r="Q41" s="7"/>
    </row>
    <row r="42" spans="2:20" ht="20.149999999999999" hidden="1" customHeight="1" outlineLevel="1" x14ac:dyDescent="0.25">
      <c r="B42" s="202"/>
      <c r="C42" s="9"/>
      <c r="D42" s="14" t="s">
        <v>96</v>
      </c>
      <c r="E42" s="7"/>
      <c r="F42" s="20">
        <v>-6.5176954555824203E-3</v>
      </c>
      <c r="G42" s="20">
        <v>1.0271172920679748E-2</v>
      </c>
      <c r="H42" s="20">
        <v>-1.3839384576522607E-2</v>
      </c>
      <c r="I42" s="7"/>
      <c r="J42" s="20"/>
      <c r="K42" s="20"/>
      <c r="L42" s="20"/>
      <c r="M42" s="7"/>
      <c r="N42" s="20"/>
      <c r="O42" s="20"/>
      <c r="P42" s="20"/>
      <c r="Q42" s="7"/>
    </row>
    <row r="43" spans="2:20" ht="20.149999999999999" hidden="1" customHeight="1" outlineLevel="2" x14ac:dyDescent="0.25">
      <c r="B43" s="202"/>
      <c r="C43" s="9"/>
      <c r="D43" s="15" t="s">
        <v>87</v>
      </c>
      <c r="E43" s="7"/>
      <c r="F43" s="20">
        <v>0.14250764702775406</v>
      </c>
      <c r="G43" s="20">
        <v>0.14258208046225504</v>
      </c>
      <c r="H43" s="20">
        <v>0.14342599004580675</v>
      </c>
      <c r="I43" s="7"/>
      <c r="J43" s="20"/>
      <c r="K43" s="20"/>
      <c r="L43" s="20"/>
      <c r="M43" s="7"/>
      <c r="N43" s="20"/>
      <c r="O43" s="20"/>
      <c r="P43" s="20"/>
      <c r="Q43" s="7"/>
    </row>
    <row r="44" spans="2:20" ht="20.149999999999999" hidden="1" customHeight="1" outlineLevel="2" x14ac:dyDescent="0.25">
      <c r="B44" s="202"/>
      <c r="C44" s="9"/>
      <c r="D44" s="15" t="s">
        <v>88</v>
      </c>
      <c r="E44" s="7"/>
      <c r="F44" s="20">
        <v>0.1612418402864387</v>
      </c>
      <c r="G44" s="20">
        <v>0.15005832449453124</v>
      </c>
      <c r="H44" s="20">
        <v>0.14611723939708512</v>
      </c>
      <c r="I44" s="7"/>
      <c r="J44" s="20"/>
      <c r="K44" s="20"/>
      <c r="L44" s="20"/>
      <c r="M44" s="7"/>
      <c r="N44" s="20"/>
      <c r="O44" s="20"/>
      <c r="P44" s="20"/>
      <c r="Q44" s="7"/>
    </row>
    <row r="45" spans="2:20" ht="20.149999999999999" hidden="1" customHeight="1" outlineLevel="1" x14ac:dyDescent="0.25">
      <c r="B45" s="202"/>
      <c r="C45" s="9"/>
      <c r="D45" s="14" t="s">
        <v>97</v>
      </c>
      <c r="E45" s="7"/>
      <c r="F45" s="20">
        <v>0.30374948731419277</v>
      </c>
      <c r="G45" s="20">
        <v>0.29264040495678634</v>
      </c>
      <c r="H45" s="20">
        <v>0.2895432294428919</v>
      </c>
      <c r="I45" s="7"/>
      <c r="J45" s="20"/>
      <c r="K45" s="20"/>
      <c r="L45" s="20"/>
      <c r="M45" s="7"/>
      <c r="N45" s="20"/>
      <c r="O45" s="20"/>
      <c r="P45" s="20"/>
      <c r="Q45" s="7"/>
    </row>
    <row r="46" spans="2:20" ht="20.149999999999999" hidden="1" customHeight="1" outlineLevel="1" x14ac:dyDescent="0.25">
      <c r="B46" s="202"/>
      <c r="C46" s="9"/>
      <c r="D46" s="14" t="s">
        <v>90</v>
      </c>
      <c r="E46" s="7"/>
      <c r="F46" s="20"/>
      <c r="G46" s="20"/>
      <c r="H46" s="20"/>
      <c r="I46" s="7"/>
      <c r="J46" s="20"/>
      <c r="K46" s="20"/>
      <c r="L46" s="20"/>
      <c r="M46" s="7"/>
      <c r="N46" s="20"/>
      <c r="O46" s="20"/>
      <c r="P46" s="20"/>
      <c r="Q46" s="7"/>
    </row>
    <row r="47" spans="2:20" ht="20.149999999999999" hidden="1" customHeight="1" outlineLevel="1" x14ac:dyDescent="0.25">
      <c r="B47" s="202"/>
      <c r="C47" s="9"/>
      <c r="D47" s="14" t="s">
        <v>79</v>
      </c>
      <c r="E47" s="8"/>
      <c r="F47" s="20">
        <v>0.77452884432009284</v>
      </c>
      <c r="G47" s="20">
        <v>0.71194697039695087</v>
      </c>
      <c r="H47" s="20">
        <v>0.83522221835157051</v>
      </c>
      <c r="I47" s="8"/>
      <c r="J47" s="20"/>
      <c r="K47" s="20"/>
      <c r="L47" s="20"/>
      <c r="M47" s="8"/>
      <c r="N47" s="20"/>
      <c r="O47" s="20"/>
      <c r="P47" s="20"/>
      <c r="Q47" s="8"/>
    </row>
    <row r="48" spans="2:20" ht="19.5" hidden="1" customHeight="1" outlineLevel="1" x14ac:dyDescent="0.25">
      <c r="B48" s="202"/>
      <c r="C48" s="9"/>
      <c r="D48" s="14" t="s">
        <v>34</v>
      </c>
      <c r="E48" s="6"/>
      <c r="F48" s="19">
        <v>29.55470165000002</v>
      </c>
      <c r="G48" s="19">
        <v>37.879180670000004</v>
      </c>
      <c r="H48" s="19">
        <v>22.820673834629417</v>
      </c>
      <c r="I48" s="6"/>
      <c r="J48" s="19"/>
      <c r="K48" s="19"/>
      <c r="L48" s="19"/>
      <c r="M48" s="6"/>
      <c r="N48" s="19"/>
      <c r="O48" s="19"/>
      <c r="P48" s="19"/>
      <c r="Q48" s="6"/>
      <c r="T48" s="34"/>
    </row>
    <row r="49" spans="2:20" ht="7.5" hidden="1" customHeight="1" outlineLevel="1" x14ac:dyDescent="0.25">
      <c r="E49" s="8"/>
      <c r="F49" s="8"/>
      <c r="G49" s="8"/>
      <c r="H49" s="8"/>
      <c r="I49" s="8"/>
      <c r="J49" s="8"/>
      <c r="K49" s="8"/>
      <c r="L49" s="8"/>
      <c r="M49" s="8"/>
      <c r="N49" s="6"/>
      <c r="O49" s="8"/>
      <c r="P49" s="8"/>
      <c r="Q49" s="8"/>
    </row>
    <row r="50" spans="2:20" ht="19.5" customHeight="1" collapsed="1" x14ac:dyDescent="0.25">
      <c r="B50" s="204" t="s">
        <v>99</v>
      </c>
      <c r="C50" s="9"/>
      <c r="D50" s="14" t="s">
        <v>19</v>
      </c>
      <c r="E50" s="6"/>
      <c r="F50" s="19">
        <v>229.38382952000003</v>
      </c>
      <c r="G50" s="19">
        <v>212.12458179999999</v>
      </c>
      <c r="H50" s="19">
        <v>203.05293351311161</v>
      </c>
      <c r="I50" s="6"/>
      <c r="J50" s="19">
        <f t="shared" ref="J50:L51" si="0">J64+J78</f>
        <v>130.20443139</v>
      </c>
      <c r="K50" s="19">
        <f t="shared" si="0"/>
        <v>131.99436487</v>
      </c>
      <c r="L50" s="19">
        <f t="shared" si="0"/>
        <v>136.35441695682491</v>
      </c>
      <c r="M50" s="6"/>
      <c r="N50" s="19">
        <f t="shared" ref="N50:P51" si="1">N64+N78</f>
        <v>24.982885559999996</v>
      </c>
      <c r="O50" s="19">
        <f t="shared" si="1"/>
        <v>25.438975470000003</v>
      </c>
      <c r="P50" s="19">
        <f t="shared" si="1"/>
        <v>32.33560754100823</v>
      </c>
      <c r="Q50" s="6"/>
    </row>
    <row r="51" spans="2:20" ht="20.149999999999999" customHeight="1" x14ac:dyDescent="0.25">
      <c r="B51" s="204"/>
      <c r="C51" s="9"/>
      <c r="D51" s="14" t="s">
        <v>20</v>
      </c>
      <c r="E51" s="6"/>
      <c r="F51" s="19">
        <v>211.42561673000003</v>
      </c>
      <c r="G51" s="19">
        <v>196.68713613999998</v>
      </c>
      <c r="H51" s="19">
        <v>187.22452828540679</v>
      </c>
      <c r="I51" s="6"/>
      <c r="J51" s="19">
        <f t="shared" si="0"/>
        <v>57.258351259999998</v>
      </c>
      <c r="K51" s="19">
        <f t="shared" si="0"/>
        <v>56.021698079999993</v>
      </c>
      <c r="L51" s="19">
        <f t="shared" si="0"/>
        <v>73.403742838172917</v>
      </c>
      <c r="M51" s="6"/>
      <c r="N51" s="19">
        <f t="shared" si="1"/>
        <v>23.022610340000011</v>
      </c>
      <c r="O51" s="19">
        <f t="shared" si="1"/>
        <v>22.775590520000002</v>
      </c>
      <c r="P51" s="19">
        <f t="shared" si="1"/>
        <v>24.467914279390975</v>
      </c>
      <c r="Q51" s="6"/>
    </row>
    <row r="52" spans="2:20" ht="19.5" customHeight="1" x14ac:dyDescent="0.25">
      <c r="B52" s="204"/>
      <c r="C52" s="9"/>
      <c r="D52" s="14" t="s">
        <v>92</v>
      </c>
      <c r="E52" s="6"/>
      <c r="F52" s="20" t="str">
        <f>IFERROR((F66*F65+F80*F79)/F51,"n/a")</f>
        <v>n/a</v>
      </c>
      <c r="G52" s="20" t="str">
        <f>IFERROR((G66*G65+G80*G79)/G51,"n/a")</f>
        <v>n/a</v>
      </c>
      <c r="H52" s="20" t="str">
        <f>IFERROR((H66*H65+H80*H79)/H51,"n/a")</f>
        <v>n/a</v>
      </c>
      <c r="I52" s="6"/>
      <c r="J52" s="20">
        <f>(-(SUM([3]H9!$O$33,[3]H9!$R$33:$V$33,[3]H9!$Y$33:$AB$33)/1000)-(SUM([3]H9!$O$37,[3]H9!$R$37:$V$37,[3]H9!$Y$37:$AB$37)/1000))/J51</f>
        <v>0.2689635252364968</v>
      </c>
      <c r="K52" s="20">
        <f>(-(SUM([3]H9!$O$34,[3]H9!$R$34:$V$34,[3]H9!$Y$34:$AB$34)/1000)-(SUM([3]H9!$O$38,[3]H9!$R$38:$V$38,[3]H9!$Y$38:$AB$38)/1000))/K51</f>
        <v>0.32580827979353449</v>
      </c>
      <c r="L52" s="20">
        <f>(-(SUM([3]H9!$O$35,[3]H9!$R$35:$V$35,[3]H9!$Y$35:$AB$35)/1000)-(SUM([3]H9!$O$39,[3]H9!$R$39:$V$39,[3]H9!$Y$39:$AB$39)/1000))/L51</f>
        <v>0.31298380875507453</v>
      </c>
      <c r="M52" s="6"/>
      <c r="N52" s="20">
        <f>(-(SUM([3]H9!$EM$33,[3]H9!$EP$33:$ET$33,[3]H9!$EW$33:$EZ$33)/1000)-(SUM([3]H9!$EM$37,[3]H9!$EP$37:$ET$37,[3]H9!$EW$37:$EZ$37)/1000))/N51</f>
        <v>0.25562049189889113</v>
      </c>
      <c r="O52" s="20">
        <f>(-(SUM([3]H9!$EM$34,[3]H9!$EP$34:$ET$34,[3]H9!$EW$34:$EZ$34)/1000)-(SUM([3]H9!$EM$38,[3]H9!$EP$38:$ET$38,[3]H9!$EW$38:$EZ$38)/1000))/O51</f>
        <v>0.24261138231697066</v>
      </c>
      <c r="P52" s="20">
        <f>(-(SUM([3]H9!$EM$35,[3]H9!$EP$35:$ET$35,[3]H9!$EW$35:$EZ$35)/1000)-(SUM([3]H9!$EM$39,[3]H9!$EP$39:$ET$39,[3]H9!$EW$39:$EZ$39)/1000))/P51</f>
        <v>0.31298380875507453</v>
      </c>
      <c r="Q52" s="6"/>
    </row>
    <row r="53" spans="2:20" ht="19.5" customHeight="1" x14ac:dyDescent="0.25">
      <c r="B53" s="204"/>
      <c r="C53" s="9"/>
      <c r="D53" s="14" t="s">
        <v>93</v>
      </c>
      <c r="E53" s="6"/>
      <c r="F53" s="20">
        <f>IFERROR((F67*F65+F81*F79)/F51,"n/a")</f>
        <v>0</v>
      </c>
      <c r="G53" s="20">
        <f>IFERROR((G67*G65+G81*G79)/G51,"n/a")</f>
        <v>0</v>
      </c>
      <c r="H53" s="20">
        <f>IFERROR((H67*H65+H81*H79)/H51,"n/a")</f>
        <v>0</v>
      </c>
      <c r="I53" s="6"/>
      <c r="J53" s="20">
        <f>(-(SUM([3]H9!$Q$33,[3]H9!$X$33)/1000)-(SUM([3]H9!$Q$37,[3]H9!$X$37)/1000))/J51</f>
        <v>0.23994648192880569</v>
      </c>
      <c r="K53" s="20">
        <f>(-(SUM([3]H9!$Q$34,[3]H9!$X$34)/1000)-(SUM([3]H9!$Q$38,[3]H9!$X$38)/1000))/K51</f>
        <v>0.21428077332286466</v>
      </c>
      <c r="L53" s="20">
        <f>(-(SUM([3]H9!$Q$35,[3]H9!$X$35)/1000)-(SUM([3]H9!$Q$39,[3]H9!$X$39)/1000))/L51</f>
        <v>0.23079517085541612</v>
      </c>
      <c r="M53" s="6"/>
      <c r="N53" s="20">
        <f>(-(SUM([3]H9!$EO$33,[3]H9!$EV$33)/1000)-(SUM([3]H9!$EO$37,[3]H9!$EV$37)/1000))/N51</f>
        <v>0.18660626213303239</v>
      </c>
      <c r="O53" s="20">
        <f>(-(SUM([3]H9!$EO$34,[3]H9!$EV$34)/1000)-(SUM([3]H9!$EO$38,[3]H9!$EV$38)/1000))/O51</f>
        <v>0.2546123085487183</v>
      </c>
      <c r="P53" s="20">
        <f>(-(SUM([3]H9!$EO$35,[3]H9!$EV$35)/1000)-(SUM([3]H9!$EO$39,[3]H9!$EV$39)/1000))/P51</f>
        <v>0.23079517085541609</v>
      </c>
      <c r="Q53" s="6"/>
    </row>
    <row r="54" spans="2:20" ht="19.5" customHeight="1" x14ac:dyDescent="0.25">
      <c r="B54" s="204"/>
      <c r="C54" s="9"/>
      <c r="D54" s="14" t="s">
        <v>94</v>
      </c>
      <c r="E54" s="6"/>
      <c r="F54" s="20" t="str">
        <f>IFERROR((F68*F65+F82*F79)/F51,"n/a")</f>
        <v>n/a</v>
      </c>
      <c r="G54" s="20" t="str">
        <f>IFERROR((G68*G65+G82*G79)/G51,"n/a")</f>
        <v>n/a</v>
      </c>
      <c r="H54" s="20" t="str">
        <f>IFERROR((H68*H65+H82*H79)/H51,"n/a")</f>
        <v>n/a</v>
      </c>
      <c r="I54" s="6"/>
      <c r="J54" s="20">
        <f>(-(SUM([3]H9!$P$33,[3]H9!$W$33)/1000)-(SUM([3]H9!$P$37,[3]H9!$W$37)/1000))/J51</f>
        <v>1.1596235403024072E-2</v>
      </c>
      <c r="K54" s="20">
        <f>(-(SUM([3]H9!$P$34,[3]H9!$W$34)/1000)-(SUM([3]H9!$P$38,[3]H9!$W$38)/1000))/K51</f>
        <v>0</v>
      </c>
      <c r="L54" s="20">
        <f>(-(SUM([3]H9!$P$35,[3]H9!$W$35)/1000)-(SUM([3]H9!$P$39,[3]H9!$W$39)/1000))/L51</f>
        <v>9.8851597666150801E-2</v>
      </c>
      <c r="M54" s="6"/>
      <c r="N54" s="20">
        <f>(-(SUM([3]H9!$EN$33,[3]H9!$EU$33)/1000)-(SUM([3]H9!$EN$37,[3]H9!$EU$37)/1000))/N51</f>
        <v>2.8840401248783835E-2</v>
      </c>
      <c r="O54" s="20">
        <f>(-(SUM([3]H9!$EN$34,[3]H9!$EU$34)/1000)-(SUM([3]H9!$EN$38,[3]H9!$EU$38)/1000))/O51</f>
        <v>0</v>
      </c>
      <c r="P54" s="20">
        <f>(-(SUM([3]H9!$EN$35,[3]H9!$EU$35)/1000)-(SUM([3]H9!$EN$39,[3]H9!$EU$39)/1000))/P51</f>
        <v>9.8851597666150814E-2</v>
      </c>
      <c r="Q54" s="6"/>
    </row>
    <row r="55" spans="2:20" ht="19.5" customHeight="1" outlineLevel="1" x14ac:dyDescent="0.25">
      <c r="B55" s="204"/>
      <c r="C55" s="9"/>
      <c r="D55" s="14" t="s">
        <v>95</v>
      </c>
      <c r="E55" s="7"/>
      <c r="F55" s="20">
        <v>0.58127654633707238</v>
      </c>
      <c r="G55" s="20">
        <v>0.52862258732565415</v>
      </c>
      <c r="H55" s="20">
        <v>0.63822529577194531</v>
      </c>
      <c r="I55" s="7"/>
      <c r="J55" s="20">
        <f>+J52+J53+J54</f>
        <v>0.52050624256832667</v>
      </c>
      <c r="K55" s="20">
        <f>+K52+K53+K54</f>
        <v>0.5400890531163991</v>
      </c>
      <c r="L55" s="20">
        <f>+L52+L53+L54</f>
        <v>0.64263057727664141</v>
      </c>
      <c r="M55" s="7"/>
      <c r="N55" s="20">
        <f>+N52+N53+N54</f>
        <v>0.47106715528070736</v>
      </c>
      <c r="O55" s="20">
        <f>+O52+O53+O54</f>
        <v>0.49722369086568896</v>
      </c>
      <c r="P55" s="20">
        <f>+P52+P53+P54</f>
        <v>0.64263057727664141</v>
      </c>
      <c r="Q55" s="7"/>
    </row>
    <row r="56" spans="2:20" ht="20.149999999999999" customHeight="1" x14ac:dyDescent="0.25">
      <c r="B56" s="204"/>
      <c r="C56" s="9"/>
      <c r="D56" s="14" t="s">
        <v>96</v>
      </c>
      <c r="E56" s="7"/>
      <c r="F56" s="20">
        <v>-5.0410234222519779E-2</v>
      </c>
      <c r="G56" s="20">
        <v>-9.0336924359673568E-2</v>
      </c>
      <c r="H56" s="20">
        <v>-2.670590251069002E-3</v>
      </c>
      <c r="I56" s="7"/>
      <c r="J56" s="20">
        <f>(-(SUM([3]H9!$AC$33:$AK$33)/1000)-(SUM([3]H9!$AC$37:$AK$37)/1000))/J51</f>
        <v>-4.5821584315035337E-2</v>
      </c>
      <c r="K56" s="20">
        <f>(-(SUM([3]H9!$AC$34:$AK$34)/1000)-(SUM([3]H9!$AC$38:$AK$38)/1000))/K51</f>
        <v>-4.2626044583473173E-3</v>
      </c>
      <c r="L56" s="20">
        <f>(-(SUM([3]H9!$AC$35:$AK$35)/1000)-(SUM([3]H9!$AC$39:$AK$39)/1000))/L51</f>
        <v>-1.6623579281435857E-2</v>
      </c>
      <c r="M56" s="7"/>
      <c r="N56" s="20">
        <f>(-(SUM([3]H9!$FA$33:$FI$33)/1000)-(SUM([3]H9!$FA$37:$FI$37)/1000))/N51</f>
        <v>-4.2366529928421472E-2</v>
      </c>
      <c r="O56" s="20">
        <f>(-(SUM([3]H9!$FA$34:$FI$34)/1000)-(SUM([3]H9!$FA$38:$FI$38)/1000))/O51</f>
        <v>-0.2048773420782416</v>
      </c>
      <c r="P56" s="20">
        <f>(-(SUM([3]H9!$FA$35:$FI$35)/1000)-(SUM([3]H9!$FA$39:$FI$39)/1000))/P51</f>
        <v>-1.662357928143577E-2</v>
      </c>
      <c r="Q56" s="7"/>
    </row>
    <row r="57" spans="2:20" ht="20.149999999999999" customHeight="1" outlineLevel="1" x14ac:dyDescent="0.25">
      <c r="B57" s="204"/>
      <c r="C57" s="9"/>
      <c r="D57" s="15" t="s">
        <v>87</v>
      </c>
      <c r="E57" s="7"/>
      <c r="F57" s="20">
        <v>0.15730436554654667</v>
      </c>
      <c r="G57" s="20">
        <v>0.16042032742568968</v>
      </c>
      <c r="H57" s="20">
        <v>0.16278191221801697</v>
      </c>
      <c r="I57" s="7"/>
      <c r="J57" s="20">
        <f>(-(SUM([3]H9!$AL$33:$AN$33)/1000)-(SUM([3]H9!$AL$37:$AN$37)/1000))/J51</f>
        <v>0.16036689370087881</v>
      </c>
      <c r="K57" s="20">
        <f>(-(SUM([3]H9!$AL$34:$AN$34)/1000)-(SUM([3]H9!$AL$38:$AN$38)/1000))/K51</f>
        <v>0.15897473631167017</v>
      </c>
      <c r="L57" s="20">
        <f>(-(SUM([3]H9!$AL$35:$AN$35)/1000)-(SUM([3]H9!$AL$39:$AN$39)/1000))/L51</f>
        <v>0.15808568512346768</v>
      </c>
      <c r="M57" s="7"/>
      <c r="N57" s="20">
        <f>(-(SUM([3]H9!$FJ$33:$FL$33)/1000)-(SUM([3]H9!$FJ$37:$FL$37)/1000))/N51</f>
        <v>0.16067697213173598</v>
      </c>
      <c r="O57" s="20">
        <f>(-(SUM([3]H9!$FJ$34:$FL$34)/1000)-(SUM([3]H9!$FJ$38:$FL$38)/1000))/O51</f>
        <v>0.14262292989275244</v>
      </c>
      <c r="P57" s="20">
        <f>(-(SUM([3]H9!$FJ$35:$FL$35)/1000)-(SUM([3]H9!$FJ$39:$FL$39)/1000))/P51</f>
        <v>0.15808568512346766</v>
      </c>
      <c r="Q57" s="7"/>
    </row>
    <row r="58" spans="2:20" ht="20.149999999999999" customHeight="1" outlineLevel="1" x14ac:dyDescent="0.25">
      <c r="B58" s="204"/>
      <c r="C58" s="9"/>
      <c r="D58" s="15" t="s">
        <v>88</v>
      </c>
      <c r="E58" s="7"/>
      <c r="F58" s="20">
        <v>9.6659400436315324E-2</v>
      </c>
      <c r="G58" s="20">
        <v>0.1077703100771784</v>
      </c>
      <c r="H58" s="20">
        <v>0.10810289803432095</v>
      </c>
      <c r="I58" s="7"/>
      <c r="J58" s="20">
        <f>(-(SUM([3]H9!$AO$33:$AR$33)/1000)-(SUM([3]H9!$AO$37:$AR$37)/1000))/J51</f>
        <v>0.13054394940676117</v>
      </c>
      <c r="K58" s="20">
        <f>(-(SUM([3]H9!$AO$34:$AR$34)/1000)-(SUM([3]H9!$AO$38:$AR$38)/1000))/K51</f>
        <v>0.11725491024244943</v>
      </c>
      <c r="L58" s="20">
        <f>(-(SUM([3]H9!$AO$35:$AR$35)/1000)-(SUM([3]H9!$AO$39:$AR$39)/1000))/L51</f>
        <v>0.11721960393246383</v>
      </c>
      <c r="M58" s="7"/>
      <c r="N58" s="20">
        <f>(-(SUM([3]H9!$FM$33:$FP$33)/1000)-(SUM([3]H9!$FM$37:$FP$37)/1000))/N51</f>
        <v>0.10849626532835627</v>
      </c>
      <c r="O58" s="20">
        <f>(-(SUM([3]H9!$FM$34:$FP$34)/1000)-(SUM([3]H9!$FM$38:$FP$38)/1000))/O51</f>
        <v>0.10014260433761958</v>
      </c>
      <c r="P58" s="20">
        <f>(-(SUM([3]H9!$FM$35:$FP$35)/1000)-(SUM([3]H9!$FM$39:$FP$39)/1000))/P51</f>
        <v>0.11721960393246385</v>
      </c>
      <c r="Q58" s="7"/>
    </row>
    <row r="59" spans="2:20" ht="20.149999999999999" customHeight="1" x14ac:dyDescent="0.25">
      <c r="B59" s="204"/>
      <c r="C59" s="9"/>
      <c r="D59" s="14" t="s">
        <v>97</v>
      </c>
      <c r="E59" s="7"/>
      <c r="F59" s="20">
        <v>0.25396376598286197</v>
      </c>
      <c r="G59" s="20">
        <v>0.26819063750286803</v>
      </c>
      <c r="H59" s="20">
        <v>0.2708848102523379</v>
      </c>
      <c r="I59" s="7"/>
      <c r="J59" s="20">
        <f>+J57+J58</f>
        <v>0.29091084310763998</v>
      </c>
      <c r="K59" s="20">
        <f>+K57+K58</f>
        <v>0.27622964655411958</v>
      </c>
      <c r="L59" s="20">
        <f>+L57+L58</f>
        <v>0.27530528905593155</v>
      </c>
      <c r="M59" s="7"/>
      <c r="N59" s="20">
        <f>+N57+N58</f>
        <v>0.26917323746009225</v>
      </c>
      <c r="O59" s="20">
        <f>+O57+O58</f>
        <v>0.242765534230372</v>
      </c>
      <c r="P59" s="20">
        <f>+P57+P58</f>
        <v>0.27530528905593149</v>
      </c>
      <c r="Q59" s="7"/>
    </row>
    <row r="60" spans="2:20" ht="20.149999999999999" customHeight="1" x14ac:dyDescent="0.25">
      <c r="B60" s="204"/>
      <c r="C60" s="9"/>
      <c r="D60" s="14" t="s">
        <v>90</v>
      </c>
      <c r="E60" s="7"/>
      <c r="F60" s="20"/>
      <c r="G60" s="20"/>
      <c r="H60" s="20"/>
      <c r="I60" s="7"/>
      <c r="J60" s="20">
        <f>(-(SUM([3]H9!$AT$33:$BJ$33)/1000)-(SUM([3]H9!$AT$37:$BJ$37)/1000))/J51</f>
        <v>0.11042873695906004</v>
      </c>
      <c r="K60" s="20">
        <f>(-(SUM([3]H9!$AT$34:$BJ$34)/1000)-(SUM([3]H9!$AT$38:$BJ$38)/1000))/K51</f>
        <v>0.13090318271909129</v>
      </c>
      <c r="L60" s="20">
        <f>(-(SUM([3]H9!$AT$35:$BJ$35)/1000)-(SUM([3]H9!$AT$39:$BJ$39)/1000))/L51</f>
        <v>2.1117457631364668E-2</v>
      </c>
      <c r="M60" s="7"/>
      <c r="N60" s="20">
        <f>(-(SUM([3]H9!$FR$33:$GH$33)/1000)-(SUM([3]H9!$FR$37:$GH$37)/1000))/N51</f>
        <v>0.14647227356930545</v>
      </c>
      <c r="O60" s="20">
        <f>(-(SUM([3]H9!$FR$34:$GH$34)/1000)-(SUM([3]H9!$FR$38:$GH$38)/1000))/O51</f>
        <v>7.7090228613751949E-2</v>
      </c>
      <c r="P60" s="20">
        <f>(-(SUM([3]H9!$FR$35:$GH$35)/1000)-(SUM([3]H9!$FR$39:$GH$39)/1000))/P51</f>
        <v>2.1117457631364654E-2</v>
      </c>
      <c r="Q60" s="7"/>
    </row>
    <row r="61" spans="2:20" ht="20.149999999999999" customHeight="1" x14ac:dyDescent="0.25">
      <c r="B61" s="204"/>
      <c r="C61" s="9"/>
      <c r="D61" s="14" t="s">
        <v>79</v>
      </c>
      <c r="E61" s="8"/>
      <c r="F61" s="20">
        <v>0.78483007809741478</v>
      </c>
      <c r="G61" s="20">
        <v>0.70647630046884868</v>
      </c>
      <c r="H61" s="20">
        <v>0.90643951577321424</v>
      </c>
      <c r="I61" s="8"/>
      <c r="J61" s="29">
        <f>+J55+J56+J59+J60</f>
        <v>0.87602423831999132</v>
      </c>
      <c r="K61" s="20">
        <f>+K55+K56+K59+K60</f>
        <v>0.94295927793126266</v>
      </c>
      <c r="L61" s="20">
        <f>+L55+L56+L59+L60</f>
        <v>0.92242974468250172</v>
      </c>
      <c r="M61" s="8"/>
      <c r="N61" s="20">
        <f>+N55+N56+N59+N60</f>
        <v>0.84434613638168365</v>
      </c>
      <c r="O61" s="20">
        <f>+O55+O56+O59+O60</f>
        <v>0.61220211163157134</v>
      </c>
      <c r="P61" s="20">
        <f>+P55+P56+P59+P60</f>
        <v>0.92242974468250183</v>
      </c>
      <c r="Q61" s="8"/>
    </row>
    <row r="62" spans="2:20" ht="19.5" customHeight="1" x14ac:dyDescent="0.25">
      <c r="B62" s="204"/>
      <c r="C62" s="9"/>
      <c r="D62" s="14" t="s">
        <v>34</v>
      </c>
      <c r="E62" s="6"/>
      <c r="F62" s="19">
        <v>45.460953930000031</v>
      </c>
      <c r="G62" s="19">
        <v>57.734353569999982</v>
      </c>
      <c r="H62" s="19">
        <v>17.516817525514227</v>
      </c>
      <c r="I62" s="6"/>
      <c r="J62" s="19">
        <f>+J76+J90</f>
        <v>7.098647709999991</v>
      </c>
      <c r="K62" s="19">
        <f>+K76+K90</f>
        <v>3.1955181099999921</v>
      </c>
      <c r="L62" s="19">
        <f>+L76+L90</f>
        <v>5.6939470732170658</v>
      </c>
      <c r="M62" s="6"/>
      <c r="N62" s="19">
        <f>+N76+N90</f>
        <v>3.5835582499999998</v>
      </c>
      <c r="O62" s="19">
        <f>+O76+O90</f>
        <v>8.832325909999998</v>
      </c>
      <c r="P62" s="19">
        <f>+P76+P90</f>
        <v>1.8979823577390154</v>
      </c>
      <c r="Q62" s="6"/>
      <c r="T62" s="34">
        <f>1-J62/J51</f>
        <v>0.87602423831999121</v>
      </c>
    </row>
    <row r="63" spans="2:20" ht="7.5" customHeight="1" x14ac:dyDescent="0.25">
      <c r="E63" s="8"/>
      <c r="F63" s="8"/>
      <c r="G63" s="8"/>
      <c r="H63" s="8"/>
      <c r="I63" s="8"/>
      <c r="J63" s="8"/>
      <c r="K63" s="8"/>
      <c r="L63" s="8"/>
      <c r="M63" s="8"/>
      <c r="N63" s="6"/>
      <c r="O63" s="8"/>
      <c r="P63" s="8"/>
      <c r="Q63" s="8"/>
    </row>
    <row r="64" spans="2:20" ht="19.5" customHeight="1" outlineLevel="1" x14ac:dyDescent="0.25">
      <c r="B64" s="204" t="s">
        <v>100</v>
      </c>
      <c r="C64" s="9"/>
      <c r="D64" s="14" t="s">
        <v>19</v>
      </c>
      <c r="E64" s="6"/>
      <c r="F64" s="19">
        <v>208.45630805000005</v>
      </c>
      <c r="G64" s="19">
        <v>192.14014261</v>
      </c>
      <c r="H64" s="19">
        <v>184.88788181612301</v>
      </c>
      <c r="I64" s="6"/>
      <c r="J64" s="19">
        <f>+[3]H9!$C$33/1000</f>
        <v>108.70809534</v>
      </c>
      <c r="K64" s="19">
        <f>+[3]H9!$C$34/1000</f>
        <v>110.62512524</v>
      </c>
      <c r="L64" s="19">
        <f>+[3]H9!$C$35/1000</f>
        <v>112.54845367250161</v>
      </c>
      <c r="M64" s="6"/>
      <c r="N64" s="19">
        <f>+[3]H9!$EA$33/1000</f>
        <v>20.722506399999997</v>
      </c>
      <c r="O64" s="19">
        <f>+[3]H9!$EA$34/1000</f>
        <v>21.99249871</v>
      </c>
      <c r="P64" s="19">
        <f>+[3]H9!$EA$35/1000</f>
        <v>28.251055588192102</v>
      </c>
      <c r="Q64" s="6"/>
    </row>
    <row r="65" spans="2:20" ht="20.149999999999999" customHeight="1" outlineLevel="1" x14ac:dyDescent="0.25">
      <c r="B65" s="204"/>
      <c r="C65" s="9"/>
      <c r="D65" s="14" t="s">
        <v>20</v>
      </c>
      <c r="E65" s="6"/>
      <c r="F65" s="19">
        <v>191.27992135000002</v>
      </c>
      <c r="G65" s="19">
        <v>178.36638785999997</v>
      </c>
      <c r="H65" s="19">
        <v>170.14364820475578</v>
      </c>
      <c r="I65" s="6"/>
      <c r="J65" s="19">
        <f>+[3]H9!$N$33/1000</f>
        <v>45.550488299999998</v>
      </c>
      <c r="K65" s="19">
        <f>+[3]H9!$N$34/1000</f>
        <v>44.933638809999991</v>
      </c>
      <c r="L65" s="19">
        <f>+[3]H9!$N$35/1000</f>
        <v>58.982087473381583</v>
      </c>
      <c r="M65" s="6"/>
      <c r="N65" s="19">
        <f>+[3]H9!$EL$33/1000</f>
        <v>18.906074310000005</v>
      </c>
      <c r="O65" s="19">
        <f>+[3]H9!$EL$34/1000</f>
        <v>18.86911091</v>
      </c>
      <c r="P65" s="19">
        <f>+[3]H9!$EL$35/1000</f>
        <v>19.660695824460525</v>
      </c>
      <c r="Q65" s="6"/>
    </row>
    <row r="66" spans="2:20" ht="19.5" customHeight="1" outlineLevel="1" x14ac:dyDescent="0.25">
      <c r="B66" s="204"/>
      <c r="C66" s="9"/>
      <c r="D66" s="14" t="s">
        <v>92</v>
      </c>
      <c r="E66" s="6"/>
      <c r="F66" s="20" t="e">
        <f>F69-F67-F68</f>
        <v>#REF!</v>
      </c>
      <c r="G66" s="20" t="e">
        <f>G69-G67-G68</f>
        <v>#REF!</v>
      </c>
      <c r="H66" s="20" t="e">
        <f>H69-H67-H68</f>
        <v>#REF!</v>
      </c>
      <c r="I66" s="6"/>
      <c r="J66" s="20">
        <f>-(SUM([3]H9!$O$33,[3]H9!$R$33:$V$33,[3]H9!$Y$33:$AB$33)/1000)/J65</f>
        <v>0.24804282645020972</v>
      </c>
      <c r="K66" s="20">
        <f>-(SUM([3]H9!$O$34,[3]H9!$R$34:$V$34,[3]H9!$Y$34:$AB$34)/1000)/K65</f>
        <v>0.27900397084616962</v>
      </c>
      <c r="L66" s="20">
        <f>-(SUM([3]H9!$O$35,[3]H9!$R$35:$V$35,[3]H9!$Y$35:$AB$35)/1000)/L65</f>
        <v>0.29807402554300066</v>
      </c>
      <c r="M66" s="6"/>
      <c r="N66" s="20">
        <f>-(SUM([3]H9!$EM$33,[3]H9!$EP$33:$ET$33,[3]H9!$EW$33:$EZ$33)/1000)/N65</f>
        <v>0.22310472871019293</v>
      </c>
      <c r="O66" s="20">
        <f>-(SUM([3]H9!$EM$34,[3]H9!$EP$34:$ET$34,[3]H9!$EW$34:$EZ$34)/1000)/O65</f>
        <v>0.1813500320955235</v>
      </c>
      <c r="P66" s="20">
        <f>-(SUM([3]H9!$EM$35,[3]H9!$EP$35:$ET$35,[3]H9!$EW$35:$EZ$35)/1000)/P65</f>
        <v>0.29807402554300072</v>
      </c>
      <c r="Q66" s="6"/>
    </row>
    <row r="67" spans="2:20" ht="19.5" customHeight="1" outlineLevel="1" x14ac:dyDescent="0.25">
      <c r="B67" s="204"/>
      <c r="C67" s="9"/>
      <c r="D67" s="14" t="s">
        <v>93</v>
      </c>
      <c r="E67" s="6"/>
      <c r="F67" s="20">
        <f>IFERROR(SUM(INDEX(LL_TOT_BR_YTD,1,Month),INDEX(LL_IBNR_TOT_BR_YTD,1,Month))/F65,0)</f>
        <v>0</v>
      </c>
      <c r="G67" s="20">
        <f>IFERROR(SUM(INDEX(LL_TOT_BR_YTD_PREV,1,Month),INDEX(LL_IBNR_TOT_BR_YTD_PREV,1,Month))/G65,0)</f>
        <v>0</v>
      </c>
      <c r="H67" s="20">
        <f>IFERROR(SUM(INDEX(LL_TOT_BR_YTD_PLAN,1,Month),INDEX(LL_IBNR_TOT_BR_YTD_PLAN,1,Month))/H65,0)</f>
        <v>0</v>
      </c>
      <c r="I67" s="6"/>
      <c r="J67" s="20">
        <f>-(SUM([3]H9!$Q$33,[3]H9!$X$33)/1000)/J65</f>
        <v>0.27154352033325618</v>
      </c>
      <c r="K67" s="20">
        <f>-(SUM([3]H9!$Q$34,[3]H9!$X$34)/1000)/K65</f>
        <v>0.26715781551105683</v>
      </c>
      <c r="L67" s="20">
        <f>-(SUM([3]H9!$Q$35,[3]H9!$X$35)/1000)/L65</f>
        <v>0.25839334835575167</v>
      </c>
      <c r="M67" s="6"/>
      <c r="N67" s="20">
        <f>-(SUM([3]H9!$EO$33,[3]H9!$EV$33)/1000)/N65</f>
        <v>0.20502211070028861</v>
      </c>
      <c r="O67" s="20">
        <f>-(SUM([3]H9!$EO$34,[3]H9!$EV$34)/1000)/O65</f>
        <v>0.30732479704617433</v>
      </c>
      <c r="P67" s="20">
        <f>-(SUM([3]H9!$EO$35,[3]H9!$EV$35)/1000)/P65</f>
        <v>0.25839334835575173</v>
      </c>
      <c r="Q67" s="6"/>
    </row>
    <row r="68" spans="2:20" ht="19.5" customHeight="1" outlineLevel="1" x14ac:dyDescent="0.25">
      <c r="B68" s="204"/>
      <c r="C68" s="9"/>
      <c r="D68" s="14" t="s">
        <v>94</v>
      </c>
      <c r="E68" s="6"/>
      <c r="F68" s="20" t="e">
        <f>INDEX(NatCat_TOT_BR_YTD,1,Month)/F65</f>
        <v>#REF!</v>
      </c>
      <c r="G68" s="20" t="e">
        <f>INDEX(NatCat_TOT_BR_YTD_PREV,1,Month)/G65</f>
        <v>#REF!</v>
      </c>
      <c r="H68" s="20" t="e">
        <f>INDEX(NatCat_TOT_BR_YTD_PLAN,1,Month)/H65</f>
        <v>#REF!</v>
      </c>
      <c r="I68" s="6"/>
      <c r="J68" s="20">
        <f>-(SUM([3]H9!$P$33,[3]H9!$W$33)/1000)/J65</f>
        <v>1.435728450796871E-2</v>
      </c>
      <c r="K68" s="20">
        <f>-(SUM([3]H9!$P$34,[3]H9!$W$34)/1000)/K65</f>
        <v>0</v>
      </c>
      <c r="L68" s="20">
        <f>-(SUM([3]H9!$P$35,[3]H9!$W$35)/1000)/L65</f>
        <v>0.11724877077891903</v>
      </c>
      <c r="M68" s="6"/>
      <c r="N68" s="20">
        <f>-(SUM([3]H9!$EN$33,[3]H9!$EU$33)/1000)/N65</f>
        <v>3.4591068948358526E-2</v>
      </c>
      <c r="O68" s="20">
        <f>-(SUM([3]H9!$EN$34,[3]H9!$EU$34)/1000)/O65</f>
        <v>0</v>
      </c>
      <c r="P68" s="20">
        <f>-(SUM([3]H9!$EN$35,[3]H9!$EU$35)/1000)/P65</f>
        <v>0.11724877077891904</v>
      </c>
      <c r="Q68" s="6"/>
    </row>
    <row r="69" spans="2:20" ht="19.5" customHeight="1" outlineLevel="2" x14ac:dyDescent="0.25">
      <c r="B69" s="204"/>
      <c r="C69" s="9"/>
      <c r="D69" s="14" t="s">
        <v>95</v>
      </c>
      <c r="E69" s="7"/>
      <c r="F69" s="20">
        <v>0.57724464214915872</v>
      </c>
      <c r="G69" s="20">
        <v>0.51933459976050433</v>
      </c>
      <c r="H69" s="20">
        <v>0.6506701480974969</v>
      </c>
      <c r="I69" s="7"/>
      <c r="J69" s="20">
        <f>+J66+J67+J68</f>
        <v>0.53394363129143463</v>
      </c>
      <c r="K69" s="20">
        <f>+K66+K67+K68</f>
        <v>0.54616178635722645</v>
      </c>
      <c r="L69" s="20">
        <f>+L66+L67+L68</f>
        <v>0.67371614467767138</v>
      </c>
      <c r="M69" s="7"/>
      <c r="N69" s="20">
        <f>+N66+N67+N68</f>
        <v>0.46271790835884008</v>
      </c>
      <c r="O69" s="20">
        <f>+O66+O67+O68</f>
        <v>0.4886748291416978</v>
      </c>
      <c r="P69" s="20">
        <f>+P66+P67+P68</f>
        <v>0.67371614467767149</v>
      </c>
      <c r="Q69" s="7"/>
    </row>
    <row r="70" spans="2:20" ht="20.149999999999999" customHeight="1" outlineLevel="1" x14ac:dyDescent="0.25">
      <c r="B70" s="204"/>
      <c r="C70" s="9"/>
      <c r="D70" s="14" t="s">
        <v>96</v>
      </c>
      <c r="E70" s="7"/>
      <c r="F70" s="20">
        <v>-5.2351025655626104E-2</v>
      </c>
      <c r="G70" s="20">
        <v>-9.3800548302475445E-2</v>
      </c>
      <c r="H70" s="20">
        <v>-2.9386933057782183E-3</v>
      </c>
      <c r="I70" s="7"/>
      <c r="J70" s="20">
        <f>-(SUM([3]H9!$AC$33:$AK$33)/1000)/J65</f>
        <v>-5.7139777138239818E-2</v>
      </c>
      <c r="K70" s="20">
        <f>-(SUM([3]H9!$AC$34:$AK$34)/1000)/K65</f>
        <v>-3.2772650490800435E-2</v>
      </c>
      <c r="L70" s="20">
        <f>-(SUM([3]H9!$AC$35:$AK$35)/1000)/L65</f>
        <v>-1.8778603838879249E-2</v>
      </c>
      <c r="M70" s="7"/>
      <c r="N70" s="20">
        <f>-(SUM([3]H9!$FA$33:$FI$33)/1000)/N65</f>
        <v>-1.1692725119728778E-2</v>
      </c>
      <c r="O70" s="20">
        <f>-(SUM([3]H9!$FA$34:$FI$34)/1000)/O65</f>
        <v>-0.33476105313750559</v>
      </c>
      <c r="P70" s="20">
        <f>-(SUM([3]H9!$FA$35:$FI$35)/1000)/P65</f>
        <v>-1.8778603838879145E-2</v>
      </c>
      <c r="Q70" s="7"/>
    </row>
    <row r="71" spans="2:20" ht="20.149999999999999" customHeight="1" outlineLevel="2" x14ac:dyDescent="0.25">
      <c r="B71" s="204"/>
      <c r="C71" s="9"/>
      <c r="D71" s="15" t="s">
        <v>87</v>
      </c>
      <c r="E71" s="7"/>
      <c r="F71" s="20">
        <v>0.1593842372206726</v>
      </c>
      <c r="G71" s="20">
        <v>0.16249233029683222</v>
      </c>
      <c r="H71" s="20">
        <v>0.16586500507764584</v>
      </c>
      <c r="I71" s="7"/>
      <c r="J71" s="20">
        <f>-(SUM([3]H9!$AL$33:$AN$33)/1000)/J65</f>
        <v>0.16217136864370341</v>
      </c>
      <c r="K71" s="20">
        <f>-(SUM([3]H9!$AL$34:$AN$34)/1000)/K65</f>
        <v>0.16064728967362255</v>
      </c>
      <c r="L71" s="20">
        <f>-(SUM([3]H9!$AL$35:$AN$35)/1000)/L65</f>
        <v>0.15761934977168973</v>
      </c>
      <c r="M71" s="7"/>
      <c r="N71" s="20">
        <f>-(SUM([3]H9!$FJ$33:$FL$33)/1000)/N65</f>
        <v>0.16194297186172429</v>
      </c>
      <c r="O71" s="20">
        <f>-(SUM([3]H9!$FJ$34:$FL$34)/1000)/O65</f>
        <v>0.14135001605118008</v>
      </c>
      <c r="P71" s="20">
        <f>-(SUM([3]H9!$FJ$35:$FL$35)/1000)/P65</f>
        <v>0.15761934977168973</v>
      </c>
      <c r="Q71" s="7"/>
    </row>
    <row r="72" spans="2:20" ht="20.149999999999999" customHeight="1" outlineLevel="2" x14ac:dyDescent="0.25">
      <c r="B72" s="204"/>
      <c r="C72" s="9"/>
      <c r="D72" s="15" t="s">
        <v>88</v>
      </c>
      <c r="E72" s="7"/>
      <c r="F72" s="20">
        <v>9.5952978914166626E-2</v>
      </c>
      <c r="G72" s="20">
        <v>0.10808077408133257</v>
      </c>
      <c r="H72" s="20">
        <v>0.10585752916389896</v>
      </c>
      <c r="I72" s="7"/>
      <c r="J72" s="20">
        <f>-(SUM([3]H9!$AO$33:$AR$33)/1000)/J65</f>
        <v>0.11358589958299083</v>
      </c>
      <c r="K72" s="20">
        <f>-(SUM([3]H9!$AO$34:$AR$34)/1000)/K65</f>
        <v>0.10219411273181953</v>
      </c>
      <c r="L72" s="20">
        <f>-(SUM([3]H9!$AO$35:$AR$35)/1000)/L65</f>
        <v>0.10449308159989161</v>
      </c>
      <c r="M72" s="7"/>
      <c r="N72" s="20">
        <f>-(SUM([3]H9!$FM$33:$FP$33)/1000)/N65</f>
        <v>9.2660176897400512E-2</v>
      </c>
      <c r="O72" s="20">
        <f>-(SUM([3]H9!$FM$34:$FP$34)/1000)/O65</f>
        <v>8.4186063539333972E-2</v>
      </c>
      <c r="P72" s="20">
        <f>-(SUM([3]H9!$FM$35:$FP$35)/1000)/P65</f>
        <v>0.10449308159989162</v>
      </c>
      <c r="Q72" s="7"/>
    </row>
    <row r="73" spans="2:20" ht="20.149999999999999" customHeight="1" outlineLevel="1" x14ac:dyDescent="0.25">
      <c r="B73" s="204"/>
      <c r="C73" s="9"/>
      <c r="D73" s="14" t="s">
        <v>97</v>
      </c>
      <c r="E73" s="7"/>
      <c r="F73" s="20">
        <v>0.25533721613483923</v>
      </c>
      <c r="G73" s="20">
        <v>0.27057310437816473</v>
      </c>
      <c r="H73" s="20">
        <v>0.27172253424154474</v>
      </c>
      <c r="I73" s="7"/>
      <c r="J73" s="20">
        <f>+J71+J72</f>
        <v>0.27575726822669422</v>
      </c>
      <c r="K73" s="20">
        <f>+K71+K72</f>
        <v>0.26284140240544207</v>
      </c>
      <c r="L73" s="20">
        <f>+L71+L72</f>
        <v>0.26211243137158136</v>
      </c>
      <c r="M73" s="7"/>
      <c r="N73" s="20">
        <f>+N71+N72</f>
        <v>0.25460314875912482</v>
      </c>
      <c r="O73" s="20">
        <f>+O71+O72</f>
        <v>0.22553607959051405</v>
      </c>
      <c r="P73" s="20">
        <f>+P71+P72</f>
        <v>0.26211243137158136</v>
      </c>
      <c r="Q73" s="7"/>
    </row>
    <row r="74" spans="2:20" ht="20.149999999999999" customHeight="1" outlineLevel="1" x14ac:dyDescent="0.25">
      <c r="B74" s="204"/>
      <c r="C74" s="9"/>
      <c r="D74" s="14" t="s">
        <v>90</v>
      </c>
      <c r="E74" s="7"/>
      <c r="F74" s="20"/>
      <c r="G74" s="20"/>
      <c r="H74" s="20"/>
      <c r="I74" s="7"/>
      <c r="J74" s="20">
        <f>-(SUM([3]H9!$AT$33:$BJ$33)/1000/J65)</f>
        <v>0.11537324310088684</v>
      </c>
      <c r="K74" s="20">
        <f>-(SUM([3]H9!$AT$34:$BJ$34)/1000/K65)</f>
        <v>0.13857644483967854</v>
      </c>
      <c r="L74" s="20">
        <f>-(SUM([3]H9!$AT$35:$BJ$35)/1000/L65)</f>
        <v>9.4510846086651029E-3</v>
      </c>
      <c r="M74" s="7"/>
      <c r="N74" s="20">
        <f>-(SUM([3]H9!$FR$33:$GH$33)/1000/N65)</f>
        <v>0.15066427134973004</v>
      </c>
      <c r="O74" s="20">
        <f>-(SUM([3]H9!$FR$34:$GH$34)/1000/O65)</f>
        <v>9.0746792902284115E-2</v>
      </c>
      <c r="P74" s="20">
        <f>-(SUM([3]H9!$FR$35:$GH$35)/1000/P65)</f>
        <v>9.4510846086650942E-3</v>
      </c>
      <c r="Q74" s="7"/>
    </row>
    <row r="75" spans="2:20" ht="20.149999999999999" customHeight="1" outlineLevel="1" x14ac:dyDescent="0.25">
      <c r="B75" s="204"/>
      <c r="C75" s="9"/>
      <c r="D75" s="14" t="s">
        <v>79</v>
      </c>
      <c r="E75" s="8"/>
      <c r="F75" s="20">
        <v>0.7802308326283719</v>
      </c>
      <c r="G75" s="20">
        <v>0.69610715583619387</v>
      </c>
      <c r="H75" s="20">
        <v>0.91945398903326336</v>
      </c>
      <c r="I75" s="8"/>
      <c r="J75" s="20">
        <f>+J69+J70+J73+J74</f>
        <v>0.86793436548077585</v>
      </c>
      <c r="K75" s="20">
        <f>+K69+K70+K73+K74</f>
        <v>0.91480698311154662</v>
      </c>
      <c r="L75" s="20">
        <f>+L69+L70+L73+L74</f>
        <v>0.92650105681903849</v>
      </c>
      <c r="M75" s="8"/>
      <c r="N75" s="20">
        <f>+N69+N70+N73+N74</f>
        <v>0.8562926033479662</v>
      </c>
      <c r="O75" s="20">
        <f>+O69+O70+O73+O74</f>
        <v>0.47019664849699033</v>
      </c>
      <c r="P75" s="20">
        <f>+P69+P70+P73+P74</f>
        <v>0.92650105681903872</v>
      </c>
      <c r="Q75" s="8"/>
    </row>
    <row r="76" spans="2:20" ht="19.5" customHeight="1" outlineLevel="1" x14ac:dyDescent="0.25">
      <c r="B76" s="204"/>
      <c r="C76" s="9"/>
      <c r="D76" s="14" t="s">
        <v>34</v>
      </c>
      <c r="E76" s="6"/>
      <c r="F76" s="19">
        <v>42.037429050000036</v>
      </c>
      <c r="G76" s="19">
        <v>54.204268909999989</v>
      </c>
      <c r="H76" s="19">
        <v>13.704392154220848</v>
      </c>
      <c r="I76" s="6"/>
      <c r="J76" s="19">
        <f>+[3]H9!$BK$33/1000</f>
        <v>6.0156541399999934</v>
      </c>
      <c r="K76" s="19">
        <f>+[3]H9!$BK$34/1000</f>
        <v>3.8280322499999926</v>
      </c>
      <c r="L76" s="19">
        <f>+[3]H9!$BK$35/1000</f>
        <v>4.3351210959005773</v>
      </c>
      <c r="M76" s="6"/>
      <c r="N76" s="19">
        <f>+[3]H9!$GI$33/1000</f>
        <v>2.7169427199999943</v>
      </c>
      <c r="O76" s="19">
        <f>+[3]H9!$GI$34/1000</f>
        <v>9.9969182000000014</v>
      </c>
      <c r="P76" s="19">
        <f>+[3]H9!$GI$35/1000</f>
        <v>1.4450403653001862</v>
      </c>
      <c r="Q76" s="6"/>
      <c r="T76" s="34">
        <f>1-J76/J65</f>
        <v>0.86793436548077585</v>
      </c>
    </row>
    <row r="77" spans="2:20" ht="7.5" customHeight="1" outlineLevel="2" x14ac:dyDescent="0.25">
      <c r="E77" s="8"/>
      <c r="F77" s="8"/>
      <c r="G77" s="8"/>
      <c r="H77" s="8"/>
      <c r="I77" s="8"/>
      <c r="J77" s="8"/>
      <c r="K77" s="8"/>
      <c r="L77" s="8"/>
      <c r="M77" s="8"/>
      <c r="N77" s="6"/>
      <c r="O77" s="8"/>
      <c r="P77" s="8"/>
      <c r="Q77" s="8"/>
    </row>
    <row r="78" spans="2:20" ht="19.5" customHeight="1" outlineLevel="1" x14ac:dyDescent="0.25">
      <c r="B78" s="204" t="s">
        <v>101</v>
      </c>
      <c r="C78" s="9"/>
      <c r="D78" s="14" t="s">
        <v>19</v>
      </c>
      <c r="E78" s="6"/>
      <c r="F78" s="19">
        <v>20.927521469999995</v>
      </c>
      <c r="G78" s="19">
        <v>19.98443919</v>
      </c>
      <c r="H78" s="19">
        <v>18.16505169698857</v>
      </c>
      <c r="I78" s="6"/>
      <c r="J78" s="19">
        <f>+[3]H9!$C$37/1000</f>
        <v>21.49633605</v>
      </c>
      <c r="K78" s="19">
        <f>+[3]H9!$C$38/1000</f>
        <v>21.369239630000006</v>
      </c>
      <c r="L78" s="19">
        <f>+[3]H9!$C$39/1000</f>
        <v>23.80596328432329</v>
      </c>
      <c r="M78" s="6"/>
      <c r="N78" s="19">
        <f>+[3]H9!$EA$37/1000</f>
        <v>4.2603791600000003</v>
      </c>
      <c r="O78" s="19">
        <f>+[3]H9!$EA$38/1000</f>
        <v>3.4464767600000012</v>
      </c>
      <c r="P78" s="19">
        <f>+[3]H9!$EA$39/1000</f>
        <v>4.0845519528161276</v>
      </c>
      <c r="Q78" s="6"/>
    </row>
    <row r="79" spans="2:20" ht="20.149999999999999" customHeight="1" outlineLevel="1" x14ac:dyDescent="0.25">
      <c r="B79" s="204"/>
      <c r="C79" s="9"/>
      <c r="D79" s="14" t="s">
        <v>20</v>
      </c>
      <c r="E79" s="6"/>
      <c r="F79" s="19">
        <v>20.145695379999996</v>
      </c>
      <c r="G79" s="19">
        <v>18.32074828</v>
      </c>
      <c r="H79" s="19">
        <v>17.080880080651021</v>
      </c>
      <c r="I79" s="6"/>
      <c r="J79" s="19">
        <f>+[3]H9!$N$37/1000</f>
        <v>11.707862959999998</v>
      </c>
      <c r="K79" s="19">
        <f>+[3]H9!$N$38/1000</f>
        <v>11.088059270000004</v>
      </c>
      <c r="L79" s="19">
        <f>+[3]H9!$N$39/1000</f>
        <v>14.421655364791338</v>
      </c>
      <c r="M79" s="6"/>
      <c r="N79" s="19">
        <f>+[3]H9!$EL$37/1000</f>
        <v>4.1165360300000069</v>
      </c>
      <c r="O79" s="19">
        <f>+[3]H9!$EL$38/1000</f>
        <v>3.9064796100000003</v>
      </c>
      <c r="P79" s="19">
        <f>+[3]H9!$EL$39/1000</f>
        <v>4.8072184549304477</v>
      </c>
      <c r="Q79" s="6"/>
    </row>
    <row r="80" spans="2:20" ht="19.5" customHeight="1" outlineLevel="1" x14ac:dyDescent="0.25">
      <c r="B80" s="204"/>
      <c r="C80" s="9"/>
      <c r="D80" s="14" t="s">
        <v>82</v>
      </c>
      <c r="E80" s="6"/>
      <c r="F80" s="20">
        <f>F83-F81-F82</f>
        <v>0.61955878487029936</v>
      </c>
      <c r="G80" s="20">
        <f>G83-G81-G82</f>
        <v>0.61904819479349349</v>
      </c>
      <c r="H80" s="20">
        <f>H83-H81-H82</f>
        <v>0.51426139191916054</v>
      </c>
      <c r="I80" s="6"/>
      <c r="J80" s="20">
        <f>-(SUM([3]H9!$O$37,[3]H9!$R$37:$V$37,[3]H9!$Y$37:$AB$37)/1000)/J79</f>
        <v>0.35035737555301888</v>
      </c>
      <c r="K80" s="20">
        <f>-(SUM([3]H9!$O$38,[3]H9!$R$38:$V$38,[3]H9!$Y$38:$AB$38)/1000)/K79</f>
        <v>0.51547969674588479</v>
      </c>
      <c r="L80" s="20">
        <f>-(SUM([3]H9!$O$39,[3]H9!$R$39:$V$39,[3]H9!$Y$39:$AB$39)/1000)/L79</f>
        <v>0.37396225508313385</v>
      </c>
      <c r="M80" s="6"/>
      <c r="N80" s="20">
        <f>-(SUM([3]H9!$EM$37,[3]H9!$EP$37:$ET$37,[3]H9!$EW$37:$EZ$37)/1000)/N79</f>
        <v>0.4049561057771181</v>
      </c>
      <c r="O80" s="20">
        <f>-(SUM([3]H9!$EM$38,[3]H9!$EP$38:$ET$38,[3]H9!$EW$38:$EZ$38)/1000)/O79</f>
        <v>0.53851647519542534</v>
      </c>
      <c r="P80" s="20">
        <f>-(SUM([3]H9!$EM$39,[3]H9!$EP$39:$ET$39,[3]H9!$EW$39:$EZ$39)/1000)/P79</f>
        <v>0.37396225508313374</v>
      </c>
      <c r="Q80" s="6"/>
    </row>
    <row r="81" spans="2:20" ht="19.5" customHeight="1" outlineLevel="1" x14ac:dyDescent="0.25">
      <c r="B81" s="204"/>
      <c r="C81" s="9"/>
      <c r="D81" s="14" t="s">
        <v>83</v>
      </c>
      <c r="E81" s="6"/>
      <c r="F81" s="20">
        <f>IFERROR(SUM(INDEX(LL_TOT_BR_YTD,7,Month),INDEX(LL_IBNR_TOT_BR_YTD,7,Month))/F79,0)</f>
        <v>0</v>
      </c>
      <c r="G81" s="20">
        <f>IFERROR(SUM(INDEX(LL_TOT_BR_YTD_PREV,7,Month),INDEX(LL_IBNR_TOT_BR_YTD_PREV,7,Month))/G79,0)</f>
        <v>0</v>
      </c>
      <c r="H81" s="20">
        <f>IFERROR(SUM(INDEX(LL_TOT_BR_YTD_PLAN,7,Month),INDEX(LL_IBNR_TOT_BR_YTD_PLAN,7,Month))/H79,0)</f>
        <v>0</v>
      </c>
      <c r="I81" s="6"/>
      <c r="J81" s="20">
        <f>-(SUM([3]H9!$Q$37,[3]H9!$X$37)/1000)/J79</f>
        <v>0.11701537715982971</v>
      </c>
      <c r="K81" s="20">
        <f>-(SUM([3]H9!$Q$38,[3]H9!$X$38)/1000)/K79</f>
        <v>0</v>
      </c>
      <c r="L81" s="20">
        <f>-(SUM([3]H9!$Q$39,[3]H9!$X$39)/1000)/L79</f>
        <v>0.11792337644235795</v>
      </c>
      <c r="M81" s="6"/>
      <c r="N81" s="20">
        <f>-(SUM([3]H9!$EO$37,[3]H9!$EV$37)/1000)/N79</f>
        <v>0.10202752919910658</v>
      </c>
      <c r="O81" s="20">
        <f>-(SUM([3]H9!$EO$38,[3]H9!$EV$38)/1000)/O79</f>
        <v>0</v>
      </c>
      <c r="P81" s="20">
        <f>-(SUM([3]H9!$EO$39,[3]H9!$EV$39)/1000)/P79</f>
        <v>0.11792337644235794</v>
      </c>
      <c r="Q81" s="6"/>
    </row>
    <row r="82" spans="2:20" ht="19.5" customHeight="1" outlineLevel="1" x14ac:dyDescent="0.25">
      <c r="B82" s="204"/>
      <c r="C82" s="9"/>
      <c r="D82" s="14" t="s">
        <v>84</v>
      </c>
      <c r="E82" s="6"/>
      <c r="F82" s="20">
        <f>0</f>
        <v>0</v>
      </c>
      <c r="G82" s="20">
        <f>0</f>
        <v>0</v>
      </c>
      <c r="H82" s="20">
        <f>0</f>
        <v>0</v>
      </c>
      <c r="I82" s="6"/>
      <c r="J82" s="20">
        <f>-(SUM([3]H9!$P$37,[3]H9!$W$37)/1000)/J79</f>
        <v>8.5412684058269858E-4</v>
      </c>
      <c r="K82" s="20">
        <f>-(SUM([3]H9!$P$38,[3]H9!$W$38)/1000)/K79</f>
        <v>0</v>
      </c>
      <c r="L82" s="20">
        <f>-(SUM([3]H9!$P$39,[3]H9!$W$39)/1000)/L79</f>
        <v>2.3610327066287275E-2</v>
      </c>
      <c r="M82" s="6"/>
      <c r="N82" s="20">
        <f>-(SUM([3]H9!$EN$37,[3]H9!$EU$37)/1000)/N79</f>
        <v>2.4292268856930138E-3</v>
      </c>
      <c r="O82" s="20">
        <f>-(SUM([3]H9!$EN$38,[3]H9!$EU$38)/1000)/O79</f>
        <v>0</v>
      </c>
      <c r="P82" s="20">
        <f>-(SUM([3]H9!$EN$39,[3]H9!$EU$39)/1000)/P79</f>
        <v>2.3610327066287268E-2</v>
      </c>
      <c r="Q82" s="6"/>
    </row>
    <row r="83" spans="2:20" ht="19.5" customHeight="1" outlineLevel="2" x14ac:dyDescent="0.25">
      <c r="B83" s="204"/>
      <c r="C83" s="9"/>
      <c r="D83" s="14" t="s">
        <v>85</v>
      </c>
      <c r="E83" s="7"/>
      <c r="F83" s="20">
        <v>0.61955878487029936</v>
      </c>
      <c r="G83" s="20">
        <v>0.61904819479349349</v>
      </c>
      <c r="H83" s="20">
        <v>0.51426139191916054</v>
      </c>
      <c r="I83" s="7"/>
      <c r="J83" s="20">
        <f>+J80+J81+J82</f>
        <v>0.46822687955343134</v>
      </c>
      <c r="K83" s="20">
        <f>+K80+K81+K82</f>
        <v>0.51547969674588479</v>
      </c>
      <c r="L83" s="20">
        <f>+L80+L81+L82</f>
        <v>0.5154959585917791</v>
      </c>
      <c r="M83" s="7"/>
      <c r="N83" s="20">
        <f>+N80+N81+N82</f>
        <v>0.5094128618619177</v>
      </c>
      <c r="O83" s="20">
        <f>+O80+O81+O82</f>
        <v>0.53851647519542534</v>
      </c>
      <c r="P83" s="20">
        <f>+P80+P81+P82</f>
        <v>0.51549595859177899</v>
      </c>
      <c r="Q83" s="7"/>
    </row>
    <row r="84" spans="2:20" ht="20.149999999999999" customHeight="1" outlineLevel="1" x14ac:dyDescent="0.25">
      <c r="B84" s="204"/>
      <c r="C84" s="9"/>
      <c r="D84" s="14" t="s">
        <v>86</v>
      </c>
      <c r="E84" s="7"/>
      <c r="F84" s="20">
        <v>-3.1982752535792677E-2</v>
      </c>
      <c r="G84" s="20">
        <v>-5.6615916781757085E-2</v>
      </c>
      <c r="H84" s="20">
        <v>0</v>
      </c>
      <c r="I84" s="7"/>
      <c r="J84" s="20">
        <f>-(SUM([3]H9!$AC$37:$AK$37)/1000)/J79</f>
        <v>-1.7871425444152766E-3</v>
      </c>
      <c r="K84" s="20">
        <f>-(SUM([3]H9!$AC$38:$AK$38)/1000)/K79</f>
        <v>0.1112725022437583</v>
      </c>
      <c r="L84" s="20">
        <f>-(SUM([3]H9!$AC$39:$AK$39)/1000)/L79</f>
        <v>-7.809899870906494E-3</v>
      </c>
      <c r="M84" s="7"/>
      <c r="N84" s="20">
        <f>-(SUM([3]H9!$FA$37:$FI$37)/1000)/N79</f>
        <v>-0.18324255502750911</v>
      </c>
      <c r="O84" s="20">
        <f>-(SUM([3]H9!$FA$38:$FI$38)/1000)/O79</f>
        <v>0.4224880595242631</v>
      </c>
      <c r="P84" s="20">
        <f>-(SUM([3]H9!$FA$39:$FI$39)/1000)/P79</f>
        <v>-7.8098998709065061E-3</v>
      </c>
      <c r="Q84" s="7"/>
    </row>
    <row r="85" spans="2:20" ht="20.149999999999999" customHeight="1" outlineLevel="2" x14ac:dyDescent="0.25">
      <c r="B85" s="204"/>
      <c r="C85" s="9"/>
      <c r="D85" s="15" t="s">
        <v>87</v>
      </c>
      <c r="E85" s="7"/>
      <c r="F85" s="20">
        <v>0.13755634083254961</v>
      </c>
      <c r="G85" s="20">
        <v>0.14024780706173212</v>
      </c>
      <c r="H85" s="20">
        <v>0.13207104343289405</v>
      </c>
      <c r="I85" s="7"/>
      <c r="J85" s="20">
        <f>-(SUM([3]H9!$AL$37:$AN$37)/1000)/J79</f>
        <v>0.15334642249690306</v>
      </c>
      <c r="K85" s="20">
        <f>-(SUM([3]H9!$AL$38:$AN$38)/1000)/K79</f>
        <v>0.15219682262755443</v>
      </c>
      <c r="L85" s="20">
        <f>-(SUM([3]H9!$AL$39:$AN$39)/1000)/L79</f>
        <v>0.15999291642353386</v>
      </c>
      <c r="M85" s="7"/>
      <c r="N85" s="20">
        <f>-(SUM([3]H9!$FJ$37:$FL$37)/1000)/N79</f>
        <v>0.15486259693930057</v>
      </c>
      <c r="O85" s="20">
        <f>-(SUM([3]H9!$FJ$38:$FL$38)/1000)/O79</f>
        <v>0.14877136911512009</v>
      </c>
      <c r="P85" s="20">
        <f>-(SUM([3]H9!$FJ$39:$FL$39)/1000)/P79</f>
        <v>0.1599929164235338</v>
      </c>
      <c r="Q85" s="7"/>
    </row>
    <row r="86" spans="2:20" ht="20.149999999999999" customHeight="1" outlineLevel="2" x14ac:dyDescent="0.25">
      <c r="B86" s="204"/>
      <c r="C86" s="9"/>
      <c r="D86" s="15" t="s">
        <v>88</v>
      </c>
      <c r="E86" s="7"/>
      <c r="F86" s="20">
        <v>0.10336675159236923</v>
      </c>
      <c r="G86" s="20">
        <v>0.10474770739003897</v>
      </c>
      <c r="H86" s="20">
        <v>0.13046914903398416</v>
      </c>
      <c r="I86" s="7"/>
      <c r="J86" s="20">
        <f>-(SUM([3]H9!$AO$37:$AR$37)/1000)/J79</f>
        <v>0.19652075941278363</v>
      </c>
      <c r="K86" s="20">
        <f>-(SUM([3]H9!$AO$38:$AR$38)/1000)/K79</f>
        <v>0.17828781230892529</v>
      </c>
      <c r="L86" s="20">
        <f>-(SUM([3]H9!$AO$39:$AR$39)/1000)/L79</f>
        <v>0.16926888915420787</v>
      </c>
      <c r="M86" s="7"/>
      <c r="N86" s="20">
        <f>-(SUM([3]H9!$FM$37:$FP$37)/1000)/N79</f>
        <v>0.18122689673142467</v>
      </c>
      <c r="O86" s="20">
        <f>-(SUM([3]H9!$FM$38:$FP$38)/1000)/O79</f>
        <v>0.17721602289381966</v>
      </c>
      <c r="P86" s="20">
        <f>-(SUM([3]H9!$FM$39:$FP$39)/1000)/P79</f>
        <v>0.16926888915420785</v>
      </c>
      <c r="Q86" s="7"/>
    </row>
    <row r="87" spans="2:20" ht="20.149999999999999" customHeight="1" outlineLevel="1" x14ac:dyDescent="0.25">
      <c r="B87" s="204"/>
      <c r="C87" s="9"/>
      <c r="D87" s="14" t="s">
        <v>89</v>
      </c>
      <c r="E87" s="7"/>
      <c r="F87" s="20">
        <v>0.2409230924249188</v>
      </c>
      <c r="G87" s="20">
        <v>0.24499551445177109</v>
      </c>
      <c r="H87" s="20">
        <v>0.26254019246687821</v>
      </c>
      <c r="I87" s="7"/>
      <c r="J87" s="20">
        <f>+J85+J86</f>
        <v>0.34986718190968669</v>
      </c>
      <c r="K87" s="20">
        <f>+K85+K86</f>
        <v>0.33048463493647973</v>
      </c>
      <c r="L87" s="20">
        <f>+L85+L86</f>
        <v>0.32926180557774176</v>
      </c>
      <c r="M87" s="7"/>
      <c r="N87" s="20">
        <f>+N85+N86</f>
        <v>0.33608949367072527</v>
      </c>
      <c r="O87" s="20">
        <f>+O85+O86</f>
        <v>0.32598739200893978</v>
      </c>
      <c r="P87" s="20">
        <f>+P85+P86</f>
        <v>0.32926180557774165</v>
      </c>
      <c r="Q87" s="7"/>
    </row>
    <row r="88" spans="2:20" ht="20.149999999999999" customHeight="1" outlineLevel="1" x14ac:dyDescent="0.25">
      <c r="B88" s="204"/>
      <c r="C88" s="9"/>
      <c r="D88" s="14" t="s">
        <v>90</v>
      </c>
      <c r="E88" s="7"/>
      <c r="F88" s="20"/>
      <c r="G88" s="20"/>
      <c r="H88" s="20"/>
      <c r="I88" s="7"/>
      <c r="J88" s="20">
        <f>-(SUM([3]H9!$AT$37:$BJ$37)/1000/J79)</f>
        <v>9.1191693449750005E-2</v>
      </c>
      <c r="K88" s="20">
        <f>-(SUM([3]H9!$AT$38:$BJ$38)/1000/K79)</f>
        <v>9.9807787192681796E-2</v>
      </c>
      <c r="L88" s="20">
        <f>-(SUM([3]H9!$AT$39:$BJ$39)/1000/L79)</f>
        <v>6.8830914701063589E-2</v>
      </c>
      <c r="M88" s="7"/>
      <c r="N88" s="20">
        <f>-(SUM([3]H9!$FR$37:$GH$37)/1000/N79)</f>
        <v>0.12721962499135472</v>
      </c>
      <c r="O88" s="20">
        <f>-(SUM([3]H9!$FR$38:$GH$38)/1000/O79)</f>
        <v>1.1126176081590288E-2</v>
      </c>
      <c r="P88" s="20">
        <f>-(SUM([3]H9!$FR$39:$GH$39)/1000/P79)</f>
        <v>6.8830914701063561E-2</v>
      </c>
      <c r="Q88" s="7"/>
    </row>
    <row r="89" spans="2:20" ht="20.149999999999999" customHeight="1" outlineLevel="1" x14ac:dyDescent="0.25">
      <c r="B89" s="204"/>
      <c r="C89" s="9"/>
      <c r="D89" s="14" t="s">
        <v>79</v>
      </c>
      <c r="E89" s="8"/>
      <c r="F89" s="20">
        <v>0.82849912475942544</v>
      </c>
      <c r="G89" s="20">
        <v>0.80742779246350749</v>
      </c>
      <c r="H89" s="20">
        <v>0.77680158438603875</v>
      </c>
      <c r="I89" s="8"/>
      <c r="J89" s="20">
        <f>+J83+J84+J87+J88</f>
        <v>0.90749861236845275</v>
      </c>
      <c r="K89" s="20">
        <f>+K83+K84+K87+K88</f>
        <v>1.0570446211188047</v>
      </c>
      <c r="L89" s="20">
        <f>+L83+L84+L87+L88</f>
        <v>0.90577877899967796</v>
      </c>
      <c r="M89" s="8"/>
      <c r="N89" s="20">
        <f>+N83+N84+N87+N88</f>
        <v>0.78947942549648864</v>
      </c>
      <c r="O89" s="20">
        <f>+O83+O84+O87+O88</f>
        <v>1.2981181028102187</v>
      </c>
      <c r="P89" s="20">
        <f>+P83+P84+P87+P88</f>
        <v>0.90577877899967763</v>
      </c>
      <c r="Q89" s="8"/>
    </row>
    <row r="90" spans="2:20" ht="19.5" customHeight="1" outlineLevel="1" x14ac:dyDescent="0.25">
      <c r="B90" s="204"/>
      <c r="C90" s="9"/>
      <c r="D90" s="14" t="s">
        <v>34</v>
      </c>
      <c r="E90" s="6"/>
      <c r="F90" s="19">
        <v>3.4235248799999982</v>
      </c>
      <c r="G90" s="19">
        <v>3.5300846599999987</v>
      </c>
      <c r="H90" s="19">
        <v>3.8124253712933789</v>
      </c>
      <c r="I90" s="6"/>
      <c r="J90" s="19">
        <f>+[3]H9!$BK$37/1000</f>
        <v>1.0829935699999971</v>
      </c>
      <c r="K90" s="19">
        <f>+[3]H9!$BK$38/1000</f>
        <v>-0.63251414000000061</v>
      </c>
      <c r="L90" s="19">
        <f>+[3]H9!$BK$39/1000</f>
        <v>1.3588259773164886</v>
      </c>
      <c r="M90" s="6"/>
      <c r="N90" s="19">
        <f>+[3]H9!$GI$37/1000</f>
        <v>0.86661553000000557</v>
      </c>
      <c r="O90" s="19">
        <f>+[3]H9!$GI$38/1000</f>
        <v>-1.164592290000003</v>
      </c>
      <c r="P90" s="19">
        <f>+[3]H9!$GI$39/1000</f>
        <v>0.4529419924388291</v>
      </c>
      <c r="Q90" s="6"/>
      <c r="T90" s="34">
        <f>1-J90/J79</f>
        <v>0.90749861236845253</v>
      </c>
    </row>
    <row r="91" spans="2:20" ht="7.5" customHeight="1" outlineLevel="1" x14ac:dyDescent="0.25">
      <c r="C91" s="9"/>
      <c r="D91" s="9"/>
      <c r="E91" s="8"/>
      <c r="F91" s="8"/>
      <c r="G91" s="8"/>
      <c r="H91" s="8"/>
      <c r="I91" s="8"/>
      <c r="J91" s="8"/>
      <c r="K91" s="8"/>
      <c r="L91" s="8"/>
      <c r="M91" s="8"/>
      <c r="N91" s="6"/>
      <c r="O91" s="8"/>
      <c r="P91" s="8"/>
      <c r="Q91" s="8"/>
    </row>
    <row r="92" spans="2:20" ht="19.5" customHeight="1" x14ac:dyDescent="0.25">
      <c r="B92" s="204" t="s">
        <v>102</v>
      </c>
      <c r="C92" s="9"/>
      <c r="D92" s="14" t="s">
        <v>19</v>
      </c>
      <c r="E92" s="6"/>
      <c r="F92" s="19">
        <v>73.936491399999994</v>
      </c>
      <c r="G92" s="19">
        <v>67.736238929999985</v>
      </c>
      <c r="H92" s="19">
        <v>64.262486641781877</v>
      </c>
      <c r="I92" s="6"/>
      <c r="J92" s="19">
        <f>+[3]H9!$C$41/1000</f>
        <v>43.196668170000002</v>
      </c>
      <c r="K92" s="19">
        <f>+[3]H9!$C$42/1000</f>
        <v>43.184557829999989</v>
      </c>
      <c r="L92" s="19">
        <f>+[3]H9!$C$43/1000</f>
        <v>45.109579333571133</v>
      </c>
      <c r="M92" s="6"/>
      <c r="N92" s="19">
        <f>+[3]H9!$EA$41/1000</f>
        <v>4.1599047399999982</v>
      </c>
      <c r="O92" s="19">
        <f>+[3]H9!$EA$42/1000</f>
        <v>4.206371389999993</v>
      </c>
      <c r="P92" s="19">
        <f>+[3]H9!$EA$43/1000</f>
        <v>3.1605332724147592</v>
      </c>
      <c r="Q92" s="6"/>
    </row>
    <row r="93" spans="2:20" ht="20.149999999999999" customHeight="1" x14ac:dyDescent="0.25">
      <c r="B93" s="204"/>
      <c r="C93" s="9"/>
      <c r="D93" s="14" t="s">
        <v>20</v>
      </c>
      <c r="E93" s="6"/>
      <c r="F93" s="19">
        <v>71.393375890000002</v>
      </c>
      <c r="G93" s="19">
        <v>64.477333239999979</v>
      </c>
      <c r="H93" s="19">
        <v>61.30179304965408</v>
      </c>
      <c r="I93" s="6"/>
      <c r="J93" s="19">
        <f>+[3]H9!$N$41/1000</f>
        <v>16.334504120000005</v>
      </c>
      <c r="K93" s="19">
        <f>+[3]H9!$N$42/1000</f>
        <v>16.868902739999989</v>
      </c>
      <c r="L93" s="19">
        <f>+[3]H9!$N$43/1000</f>
        <v>17.695976721155088</v>
      </c>
      <c r="M93" s="6"/>
      <c r="N93" s="19">
        <f>+[3]H9!$EL$41/1000</f>
        <v>6.0830518300000005</v>
      </c>
      <c r="O93" s="19">
        <f>+[3]H9!$EL$42/1000</f>
        <v>5.8202241000000035</v>
      </c>
      <c r="P93" s="19">
        <f>+[3]H9!$EL$43/1000</f>
        <v>5.8986589070516926</v>
      </c>
      <c r="Q93" s="6"/>
    </row>
    <row r="94" spans="2:20" ht="19.5" customHeight="1" x14ac:dyDescent="0.25">
      <c r="B94" s="204"/>
      <c r="C94" s="9"/>
      <c r="D94" s="14" t="s">
        <v>92</v>
      </c>
      <c r="E94" s="6"/>
      <c r="F94" s="20">
        <f>F97-F95-F96</f>
        <v>0.60213230266957196</v>
      </c>
      <c r="G94" s="20">
        <f>G97-G95-G96</f>
        <v>0.49213122930950809</v>
      </c>
      <c r="H94" s="20">
        <f>H97-H95-H96</f>
        <v>0.56878005443336044</v>
      </c>
      <c r="I94" s="6"/>
      <c r="J94" s="20">
        <f>-(SUM([3]H9!$O$41,[3]H9!$R$41:$V$41,[3]H9!$Y$41:$AB$41)/1000)/J93</f>
        <v>0.42322210090201007</v>
      </c>
      <c r="K94" s="20">
        <f>-(SUM([3]H9!$O$42,[3]H9!$R$42:$V$42,[3]H9!$Y$42:$AB$42)/1000)/K93</f>
        <v>0.46550466343811436</v>
      </c>
      <c r="L94" s="20">
        <f>-(SUM([3]H9!$O$43,[3]H9!$R$43:$V$43,[3]H9!$Y$43:$AB$43)/1000)/L93</f>
        <v>0.4438683754807729</v>
      </c>
      <c r="M94" s="6"/>
      <c r="N94" s="20">
        <f>-(SUM([3]H9!$EM$41,[3]H9!$EP$41:$ET$41,[3]H9!$EW$41:$EZ$41)/1000)/N93</f>
        <v>0.40364698202296168</v>
      </c>
      <c r="O94" s="20">
        <f>-(SUM([3]H9!$EM$42,[3]H9!$EP$42:$ET$42,[3]H9!$EW$42:$EZ$42)/1000)/O93</f>
        <v>0.38473573070838485</v>
      </c>
      <c r="P94" s="20">
        <f>-(SUM([3]H9!$EM$43,[3]H9!$EP$43:$ET$43,[3]H9!$EW$43:$EZ$43)/1000)/P93</f>
        <v>0.44386837548077318</v>
      </c>
      <c r="Q94" s="6"/>
    </row>
    <row r="95" spans="2:20" ht="19.5" customHeight="1" x14ac:dyDescent="0.25">
      <c r="B95" s="204"/>
      <c r="C95" s="9"/>
      <c r="D95" s="14" t="s">
        <v>93</v>
      </c>
      <c r="E95" s="6"/>
      <c r="F95" s="20">
        <f>IFERROR(SUM(INDEX(LL_TOT_BR_YTD,4,Month),INDEX(LL_IBNR_TOT_BR_YTD,4,Month))/F93,0)</f>
        <v>0</v>
      </c>
      <c r="G95" s="20">
        <f>IFERROR(SUM(INDEX(LL_TOT_BR_YTD_PREV,4,Month),INDEX(LL_IBNR_TOT_BR_YTD_PREV,4,Month))/G93,0)</f>
        <v>0</v>
      </c>
      <c r="H95" s="20">
        <f>IFERROR(SUM(INDEX(LL_TOT_BR_YTD_PLAN,4,Month),INDEX(LL_IBNR_TOT_BR_YTD_PLAN,4,Month))/H93,0)</f>
        <v>0</v>
      </c>
      <c r="I95" s="6"/>
      <c r="J95" s="20">
        <f>-(SUM([3]H9!$Q$41,[3]H9!$X$41)/1000)/J93</f>
        <v>0.14146533755571755</v>
      </c>
      <c r="K95" s="20">
        <f>-(SUM([3]H9!$Q$42,[3]H9!$X$42)/1000)/K93</f>
        <v>0.12130420389429683</v>
      </c>
      <c r="L95" s="20">
        <f>-(SUM([3]H9!$Q$43,[3]H9!$X$43)/1000)/L93</f>
        <v>0.12038339734457615</v>
      </c>
      <c r="M95" s="6"/>
      <c r="N95" s="20">
        <f>-(SUM([3]H9!$EO$41,[3]H9!$EV$41)/1000)/N93</f>
        <v>0.15570471595525529</v>
      </c>
      <c r="O95" s="20">
        <f>-(SUM([3]H9!$EO$42,[3]H9!$EV$42)/1000)/O93</f>
        <v>0.14116847115903108</v>
      </c>
      <c r="P95" s="20">
        <f>-(SUM([3]H9!$EO$43,[3]H9!$EV$43)/1000)/P93</f>
        <v>0.12038339734457622</v>
      </c>
      <c r="Q95" s="6"/>
    </row>
    <row r="96" spans="2:20" ht="19.5" customHeight="1" x14ac:dyDescent="0.25">
      <c r="B96" s="204"/>
      <c r="C96" s="9"/>
      <c r="D96" s="14" t="s">
        <v>94</v>
      </c>
      <c r="E96" s="6"/>
      <c r="F96" s="20">
        <f>0</f>
        <v>0</v>
      </c>
      <c r="G96" s="20">
        <f>0</f>
        <v>0</v>
      </c>
      <c r="H96" s="20">
        <f>0</f>
        <v>0</v>
      </c>
      <c r="I96" s="6"/>
      <c r="J96" s="20">
        <f>-(SUM([3]H9!$P$41,[3]H9!$W$41)/1000)/J93</f>
        <v>0</v>
      </c>
      <c r="K96" s="20">
        <f>-(SUM([3]H9!$P$42,[3]H9!$W$42)/1000)/K93</f>
        <v>0</v>
      </c>
      <c r="L96" s="20">
        <f>-(SUM([3]H9!$P$43,[3]H9!$W$43)/1000)/L93</f>
        <v>0</v>
      </c>
      <c r="M96" s="6"/>
      <c r="N96" s="20">
        <f>-(SUM([3]H9!$EN$41,[3]H9!$EU$41)/1000)/N93</f>
        <v>0</v>
      </c>
      <c r="O96" s="20">
        <f>-(SUM([3]H9!$EN$42,[3]H9!$EU$42)/1000)/O93</f>
        <v>0</v>
      </c>
      <c r="P96" s="20">
        <f>-(SUM([3]H9!$EN$43,[3]H9!$EU$43)/1000)/P93</f>
        <v>0</v>
      </c>
      <c r="Q96" s="6"/>
    </row>
    <row r="97" spans="2:20" ht="19.5" customHeight="1" outlineLevel="1" x14ac:dyDescent="0.25">
      <c r="B97" s="204"/>
      <c r="C97" s="9"/>
      <c r="D97" s="14" t="s">
        <v>95</v>
      </c>
      <c r="E97" s="7"/>
      <c r="F97" s="20">
        <v>0.60213230266957196</v>
      </c>
      <c r="G97" s="20">
        <v>0.49213122930950809</v>
      </c>
      <c r="H97" s="20">
        <v>0.56878005443336044</v>
      </c>
      <c r="I97" s="7"/>
      <c r="J97" s="20">
        <f>+J94+J95+J96</f>
        <v>0.56468743845772762</v>
      </c>
      <c r="K97" s="20">
        <f>+K94+K95+K96</f>
        <v>0.58680886733241122</v>
      </c>
      <c r="L97" s="20">
        <f>+L94+L95+L96</f>
        <v>0.56425177282534911</v>
      </c>
      <c r="M97" s="7"/>
      <c r="N97" s="20">
        <f>+N94+N95+N96</f>
        <v>0.55935169797821693</v>
      </c>
      <c r="O97" s="20">
        <f>+O94+O95+O96</f>
        <v>0.52590420186741593</v>
      </c>
      <c r="P97" s="20">
        <f>+P94+P95+P96</f>
        <v>0.56425177282534944</v>
      </c>
      <c r="Q97" s="7"/>
    </row>
    <row r="98" spans="2:20" ht="20.149999999999999" customHeight="1" x14ac:dyDescent="0.25">
      <c r="B98" s="204"/>
      <c r="C98" s="9"/>
      <c r="D98" s="14" t="s">
        <v>96</v>
      </c>
      <c r="E98" s="7"/>
      <c r="F98" s="20">
        <v>-1.8108815753326363E-2</v>
      </c>
      <c r="G98" s="20">
        <v>0.34234992238025652</v>
      </c>
      <c r="H98" s="20">
        <v>-1.6312736548994677E-2</v>
      </c>
      <c r="I98" s="7"/>
      <c r="J98" s="20">
        <f>-(SUM([3]H9!$AC$41:$AK$41)/1000)/J93</f>
        <v>-0.11107181746512662</v>
      </c>
      <c r="K98" s="20">
        <f>-(SUM([3]H9!$AC$42:$AK$42)/1000)/K93</f>
        <v>0.11892943132826465</v>
      </c>
      <c r="L98" s="20">
        <f>-(SUM([3]H9!$AC$43:$AK$43)/1000)/L93</f>
        <v>-2.8590165866967249E-2</v>
      </c>
      <c r="M98" s="7"/>
      <c r="N98" s="20">
        <f>-(SUM([3]H9!$FA$41:$FI$41)/1000)/N93</f>
        <v>-0.31275618113548109</v>
      </c>
      <c r="O98" s="20">
        <f>-(SUM([3]H9!$FA$42:$FI$42)/1000)/O93</f>
        <v>0.22343761471315235</v>
      </c>
      <c r="P98" s="20">
        <f>-(SUM([3]H9!$FA$43:$FI$43)/1000)/P93</f>
        <v>-2.859016586696728E-2</v>
      </c>
      <c r="Q98" s="7"/>
    </row>
    <row r="99" spans="2:20" ht="20.149999999999999" customHeight="1" outlineLevel="1" x14ac:dyDescent="0.25">
      <c r="B99" s="204"/>
      <c r="C99" s="9"/>
      <c r="D99" s="15" t="s">
        <v>87</v>
      </c>
      <c r="E99" s="7"/>
      <c r="F99" s="20">
        <v>0.19134969189646484</v>
      </c>
      <c r="G99" s="20">
        <v>0.18797536918727567</v>
      </c>
      <c r="H99" s="20">
        <v>0.19462740988730837</v>
      </c>
      <c r="I99" s="7"/>
      <c r="J99" s="20">
        <f>-(SUM([3]H9!$AL$41:$AN$41)/1000)/J93</f>
        <v>0.19938147531594622</v>
      </c>
      <c r="K99" s="20">
        <f>-(SUM([3]H9!$AL$42:$AN$42)/1000)/K93</f>
        <v>0.20001649793138843</v>
      </c>
      <c r="L99" s="20">
        <f>-(SUM([3]H9!$AL$43:$AN$43)/1000)/L93</f>
        <v>0.20286488120097532</v>
      </c>
      <c r="M99" s="7"/>
      <c r="N99" s="20">
        <f>-(SUM([3]H9!$FJ$41:$FL$41)/1000)/N93</f>
        <v>0.18883055612564137</v>
      </c>
      <c r="O99" s="20">
        <f>-(SUM([3]H9!$FJ$42:$FL$42)/1000)/O93</f>
        <v>0.18956213558855906</v>
      </c>
      <c r="P99" s="20">
        <f>-(SUM([3]H9!$FJ$43:$FL$43)/1000)/P93</f>
        <v>0.20286488120097546</v>
      </c>
      <c r="Q99" s="7"/>
    </row>
    <row r="100" spans="2:20" ht="20.149999999999999" customHeight="1" outlineLevel="1" x14ac:dyDescent="0.25">
      <c r="B100" s="204"/>
      <c r="C100" s="9"/>
      <c r="D100" s="15" t="s">
        <v>88</v>
      </c>
      <c r="E100" s="7"/>
      <c r="F100" s="20">
        <v>0.11007667226870506</v>
      </c>
      <c r="G100" s="20">
        <v>0.13582996240556058</v>
      </c>
      <c r="H100" s="20">
        <v>0.13760084462076994</v>
      </c>
      <c r="I100" s="7"/>
      <c r="J100" s="20">
        <f>-(SUM([3]H9!$AO$41:$AR$41)/1000)/J93</f>
        <v>0.13537766642652138</v>
      </c>
      <c r="K100" s="20">
        <f>-(SUM([3]H9!$AO$42:$AR$42)/1000)/K93</f>
        <v>0.11718501081357241</v>
      </c>
      <c r="L100" s="20">
        <f>-(SUM([3]H9!$AO$43:$AR$43)/1000)/L93</f>
        <v>0.13958397278569223</v>
      </c>
      <c r="M100" s="7"/>
      <c r="N100" s="20">
        <f>-(SUM([3]H9!$FM$41:$FP$41)/1000)/N93</f>
        <v>0.12452699420777415</v>
      </c>
      <c r="O100" s="20">
        <f>-(SUM([3]H9!$FM$42:$FP$42)/1000)/O93</f>
        <v>0.11903803497875617</v>
      </c>
      <c r="P100" s="20">
        <f>-(SUM([3]H9!$FM$43:$FP$43)/1000)/P93</f>
        <v>0.13958397278569232</v>
      </c>
      <c r="Q100" s="7"/>
    </row>
    <row r="101" spans="2:20" ht="20.149999999999999" customHeight="1" x14ac:dyDescent="0.25">
      <c r="B101" s="204"/>
      <c r="C101" s="9"/>
      <c r="D101" s="14" t="s">
        <v>97</v>
      </c>
      <c r="E101" s="7"/>
      <c r="F101" s="20">
        <v>0.30142636416516988</v>
      </c>
      <c r="G101" s="20">
        <v>0.32380533159283631</v>
      </c>
      <c r="H101" s="20">
        <v>0.3322282545080783</v>
      </c>
      <c r="I101" s="7"/>
      <c r="J101" s="20">
        <f>+J99+J100</f>
        <v>0.33475914174246757</v>
      </c>
      <c r="K101" s="20">
        <f>+K99+K100</f>
        <v>0.31720150874496084</v>
      </c>
      <c r="L101" s="20">
        <f>+L99+L100</f>
        <v>0.34244885398666758</v>
      </c>
      <c r="M101" s="7"/>
      <c r="N101" s="20">
        <f>+N99+N100</f>
        <v>0.3133575503334155</v>
      </c>
      <c r="O101" s="20">
        <f>+O99+O100</f>
        <v>0.30860017056731526</v>
      </c>
      <c r="P101" s="20">
        <f>+P99+P100</f>
        <v>0.3424488539866678</v>
      </c>
      <c r="Q101" s="7"/>
    </row>
    <row r="102" spans="2:20" ht="20.149999999999999" customHeight="1" x14ac:dyDescent="0.25">
      <c r="B102" s="204"/>
      <c r="C102" s="9"/>
      <c r="D102" s="14" t="s">
        <v>90</v>
      </c>
      <c r="E102" s="7"/>
      <c r="F102" s="20"/>
      <c r="G102" s="20"/>
      <c r="H102" s="20"/>
      <c r="I102" s="7"/>
      <c r="J102" s="20">
        <f>-(SUM([3]H9!$AT$41:$BJ$41)/1000/J93)</f>
        <v>2.2971280746782667E-2</v>
      </c>
      <c r="K102" s="20">
        <f>-(SUM([3]H9!$AT$42:$BJ$42)/1000/K93)</f>
        <v>5.4632736592564221E-2</v>
      </c>
      <c r="L102" s="20">
        <f>-(SUM([3]H9!$AT$43:$BJ$43)/1000/L93)</f>
        <v>3.3781486556533673E-2</v>
      </c>
      <c r="M102" s="7"/>
      <c r="N102" s="20">
        <f>-(SUM([3]H9!$FR$41:$GH$41)/1000/N93)</f>
        <v>4.5253257360458682E-2</v>
      </c>
      <c r="O102" s="20">
        <f>-(SUM([3]H9!$FR$42:$GH$42)/1000/O93)</f>
        <v>0.14484296919082609</v>
      </c>
      <c r="P102" s="20">
        <f>-(SUM([3]H9!$FR$43:$GH$43)/1000/P93)</f>
        <v>3.3781486556533687E-2</v>
      </c>
      <c r="Q102" s="7"/>
    </row>
    <row r="103" spans="2:20" ht="20.149999999999999" customHeight="1" x14ac:dyDescent="0.25">
      <c r="B103" s="204"/>
      <c r="C103" s="9"/>
      <c r="D103" s="14" t="s">
        <v>79</v>
      </c>
      <c r="E103" s="8"/>
      <c r="F103" s="20">
        <v>0.88544985108141538</v>
      </c>
      <c r="G103" s="20">
        <v>1.1582864832826012</v>
      </c>
      <c r="H103" s="20">
        <v>0.88469557239244401</v>
      </c>
      <c r="I103" s="8"/>
      <c r="J103" s="20">
        <f>+J97+J98+J101+J102</f>
        <v>0.81134604348185124</v>
      </c>
      <c r="K103" s="20">
        <f>+K97+K98+K101+K102</f>
        <v>1.0775725439982009</v>
      </c>
      <c r="L103" s="20">
        <f>+L97+L98+L101+L102</f>
        <v>0.91189194750158309</v>
      </c>
      <c r="M103" s="8"/>
      <c r="N103" s="20">
        <f>+N97+N98+N101+N102</f>
        <v>0.60520632453661005</v>
      </c>
      <c r="O103" s="20">
        <f>+O97+O98+O101+O102</f>
        <v>1.2027849563387096</v>
      </c>
      <c r="P103" s="20">
        <f>+P97+P98+P101+P102</f>
        <v>0.91189194750158364</v>
      </c>
      <c r="Q103" s="8"/>
    </row>
    <row r="104" spans="2:20" ht="19.5" customHeight="1" x14ac:dyDescent="0.25">
      <c r="B104" s="204"/>
      <c r="C104" s="9"/>
      <c r="D104" s="14" t="s">
        <v>34</v>
      </c>
      <c r="E104" s="6"/>
      <c r="F104" s="19">
        <v>8.1781218399999922</v>
      </c>
      <c r="G104" s="19">
        <v>-10.205890329999947</v>
      </c>
      <c r="H104" s="19">
        <v>7.0683681589072158</v>
      </c>
      <c r="I104" s="6"/>
      <c r="J104" s="19">
        <f>+[3]H9!$BK$41/1000</f>
        <v>3.0815688300000033</v>
      </c>
      <c r="K104" s="19">
        <f>+[3]H9!$BK$42/1000</f>
        <v>-1.3085637000000183</v>
      </c>
      <c r="L104" s="19">
        <f>+[3]H9!$BK$43/1000</f>
        <v>1.559158045958295</v>
      </c>
      <c r="M104" s="6"/>
      <c r="N104" s="19">
        <f>+[3]H9!$GI$41/1000</f>
        <v>2.4015503900000006</v>
      </c>
      <c r="O104" s="19">
        <f>+[3]H9!$GI$42/1000</f>
        <v>-1.1802538900000072</v>
      </c>
      <c r="P104" s="19">
        <f>+[3]H9!$GI$43/1000</f>
        <v>0.51971934865276148</v>
      </c>
      <c r="Q104" s="6"/>
      <c r="T104" s="34">
        <f>1-J104/J93</f>
        <v>0.81134604348185124</v>
      </c>
    </row>
    <row r="105" spans="2:20" ht="7.5" customHeight="1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6"/>
      <c r="O105" s="8"/>
      <c r="P105" s="8"/>
      <c r="Q105" s="8"/>
    </row>
    <row r="106" spans="2:20" ht="19.5" customHeight="1" x14ac:dyDescent="0.25">
      <c r="B106" s="204" t="s">
        <v>103</v>
      </c>
      <c r="C106" s="9"/>
      <c r="D106" s="14" t="s">
        <v>19</v>
      </c>
      <c r="E106" s="6"/>
      <c r="F106" s="19">
        <v>51.071887840000002</v>
      </c>
      <c r="G106" s="19">
        <v>47.642331730000009</v>
      </c>
      <c r="H106" s="19">
        <v>48.731214913514791</v>
      </c>
      <c r="I106" s="6"/>
      <c r="J106" s="19">
        <f t="shared" ref="J106:L107" si="2">+J120+J148+J162+J134</f>
        <v>48.827711950000008</v>
      </c>
      <c r="K106" s="19">
        <f t="shared" si="2"/>
        <v>45.795192110000002</v>
      </c>
      <c r="L106" s="19">
        <f t="shared" si="2"/>
        <v>45.988239993512501</v>
      </c>
      <c r="M106" s="6"/>
      <c r="N106" s="19">
        <f t="shared" ref="N106:P107" si="3">+N120+N148+N162+N134</f>
        <v>5.4776461700000052</v>
      </c>
      <c r="O106" s="19">
        <f t="shared" si="3"/>
        <v>4.4026545599999984</v>
      </c>
      <c r="P106" s="19">
        <f t="shared" si="3"/>
        <v>6.6046328115447865</v>
      </c>
      <c r="Q106" s="6"/>
    </row>
    <row r="107" spans="2:20" ht="20.149999999999999" customHeight="1" x14ac:dyDescent="0.25">
      <c r="B107" s="204"/>
      <c r="C107" s="9"/>
      <c r="D107" s="14" t="s">
        <v>20</v>
      </c>
      <c r="E107" s="6"/>
      <c r="F107" s="19">
        <v>45.131933990000007</v>
      </c>
      <c r="G107" s="19">
        <v>38.28320678</v>
      </c>
      <c r="H107" s="19">
        <v>41.985683385669191</v>
      </c>
      <c r="I107" s="6"/>
      <c r="J107" s="19">
        <f t="shared" si="2"/>
        <v>26.026626300000011</v>
      </c>
      <c r="K107" s="19">
        <f t="shared" si="2"/>
        <v>24.084434510000001</v>
      </c>
      <c r="L107" s="19">
        <f t="shared" si="2"/>
        <v>26.63407453171423</v>
      </c>
      <c r="M107" s="6"/>
      <c r="N107" s="19">
        <f t="shared" si="3"/>
        <v>9.3266158000000043</v>
      </c>
      <c r="O107" s="19">
        <f t="shared" si="3"/>
        <v>7.8360604700000023</v>
      </c>
      <c r="P107" s="19">
        <f t="shared" si="3"/>
        <v>8.8780248439047451</v>
      </c>
      <c r="Q107" s="6"/>
    </row>
    <row r="108" spans="2:20" ht="19.5" customHeight="1" x14ac:dyDescent="0.25">
      <c r="B108" s="204"/>
      <c r="C108" s="9"/>
      <c r="D108" s="14" t="s">
        <v>92</v>
      </c>
      <c r="E108" s="6"/>
      <c r="F108" s="29">
        <f>F111-F109-F110</f>
        <v>0.6596895124546821</v>
      </c>
      <c r="G108" s="20">
        <f>G111-G109-G110</f>
        <v>0.4657630109846298</v>
      </c>
      <c r="H108" s="20">
        <f>H111-H109-H110</f>
        <v>0.54568289348748922</v>
      </c>
      <c r="I108" s="6"/>
      <c r="J108" s="20">
        <f>(-(SUM([3]H9!$O$49,[3]H9!$R$49:$V$49,[3]H9!$Y$49:$AB$49)/1000)-(SUM([3]H9!$O$45,[3]H9!$R$45:$V$45,[3]H9!$Y$45:$AB$45)/1000)-(SUM([3]H9!$O$53,[3]H9!$R$53:$V$53,[3]H9!$Y$53:$AB$53)/1000)-(SUM([3]H9!$O$57,[3]H9!$R$57:$V$57,[3]H9!$Y$57:$AB$57)/1000))/J107</f>
        <v>0.43543046591152695</v>
      </c>
      <c r="K108" s="20">
        <f>(-(SUM([3]H9!$O$50,[3]H9!$R$50:$V$50,[3]H9!$Y$50:$AB$50)/1000)-(SUM([3]H9!$O$46,[3]H9!$R$46:$V$46,[3]H9!$Y$46:$AB$46)/1000)-(SUM([3]H9!$O$54,[3]H9!$R$54:$V$54,[3]H9!$Y$54:$AB$54)/1000)-(SUM([3]H9!$O$58,[3]H9!$R$58:$V$58,[3]H9!$Y$58:$AB$58)/1000))/K107</f>
        <v>0.50254715862124666</v>
      </c>
      <c r="L108" s="20">
        <f>(-(SUM([3]H9!$O$51,[3]H9!$R$51:$V$51,[3]H9!$Y$51:$AB$51)/1000)-(SUM([3]H9!$O$47,[3]H9!$R$47:$V$47,[3]H9!$Y$47:$AB$47)/1000)-(SUM([3]H9!$O$55,[3]H9!$R$55:$V$55,[3]H9!$Y$55:$AB$55)/1000)-(SUM([3]H9!$O$59,[3]H9!$R$59:$V$59,[3]H9!$Y$59:$AB$59)/1000))/L107</f>
        <v>0.42715443961968952</v>
      </c>
      <c r="M108" s="6"/>
      <c r="N108" s="20">
        <f>(-(SUM([3]H9!$EM$49,[3]H9!$EP$49:$ET$49,[3]H9!$EW$49:$EZ$49)/1000)-(SUM([3]H9!$EM$45,[3]H9!$EP$45:$ET$45,[3]H9!$EW$45:$EZ$45)/1000)-(SUM([3]H9!$EM$53,[3]H9!$EP$53:$ET$53,[3]H9!$EW$53:$EZ$53)/1000)-(SUM([3]H9!$EM$57,[3]H9!$EP$57:$ET$57,[3]H9!$EW$57:$EZ$57)/1000))/N107</f>
        <v>0.46758370930665061</v>
      </c>
      <c r="O108" s="20">
        <f>(-(SUM([3]H9!$EM$50,[3]H9!$EP$50:$ET$50,[3]H9!$EW$50:$EZ$50)/1000)-(SUM([3]H9!$EM$46,[3]H9!$EP$46:$ET$46,[3]H9!$EW$46:$EZ$46)/1000)-(SUM([3]H9!$EM$54,[3]H9!$EP$54:$ET$54,[3]H9!$EW$54:$EZ$54)/1000)-(SUM([3]H9!$EM$58,[3]H9!$EP$58:$ET$58,[3]H9!$EW$58:$EZ$58)/1000))/O107</f>
        <v>0.56663576385086245</v>
      </c>
      <c r="P108" s="20">
        <f>(-(SUM([3]H9!$EM$51,[3]H9!$EP$51:$ET$51,[3]H9!$EW$51:$EZ$51)/1000)-(SUM([3]H9!$EM$47,[3]H9!$EP$47:$ET$47,[3]H9!$EW$47:$EZ$47)/1000)-(SUM([3]H9!$EM$55,[3]H9!$EP$55:$ET$55,[3]H9!$EW$55:$EZ$55)/1000)-(SUM([3]H9!$EM$59,[3]H9!$EP$59:$ET$59,[3]H9!$EW$59:$EZ$59)/1000))/P107</f>
        <v>0.35192695738573676</v>
      </c>
      <c r="Q108" s="6"/>
    </row>
    <row r="109" spans="2:20" ht="19.5" customHeight="1" x14ac:dyDescent="0.25">
      <c r="B109" s="204"/>
      <c r="C109" s="9"/>
      <c r="D109" s="14" t="s">
        <v>93</v>
      </c>
      <c r="E109" s="6"/>
      <c r="F109" s="20">
        <f>IFERROR((F123*F121+F137*F135+F151*F149+F165*F163)/F107,"n/a")</f>
        <v>0</v>
      </c>
      <c r="G109" s="20">
        <f>IFERROR((G123*G121+G137*G135+G151*G149+G165*G163)/G107,"n/a")</f>
        <v>0</v>
      </c>
      <c r="H109" s="20">
        <f>IFERROR((H123*H121+H137*H135+H151*H149+H165*H163)/H107,"n/a")</f>
        <v>0</v>
      </c>
      <c r="I109" s="6"/>
      <c r="J109" s="20">
        <f>(-(SUM([3]H9!$Q$49,[3]H9!$X$49)/1000)-(SUM([3]H9!$Q$45,[3]H9!$X$45)/1000)-(SUM([3]H9!$Q$53,[3]H9!$X$53)/1000)-(SUM([3]H9!$Q$57,[3]H9!$X$57)/1000))/J107</f>
        <v>5.2292030031022348E-2</v>
      </c>
      <c r="K109" s="20">
        <f>(-(SUM([3]H9!$Q$50,[3]H9!$X$50)/1000)-(SUM([3]H9!$Q$46,[3]H9!$X$46)/1000)-(SUM([3]H9!$Q$54,[3]H9!$X$54)/1000)-(SUM([3]H9!$Q$58,[3]H9!$X$58)/1000))/K107</f>
        <v>4.0399536870836826E-2</v>
      </c>
      <c r="L109" s="20">
        <f>(-(SUM([3]H9!$Q$51,[3]H9!$X$51)/1000)-(SUM([3]H9!$Q$47,[3]H9!$X$47)/1000)-(SUM([3]H9!$Q$55,[3]H9!$X$55)/1000)-(SUM([3]H9!$Q$59,[3]H9!$X$59)/1000))/L107</f>
        <v>7.2556029215112089E-2</v>
      </c>
      <c r="M109" s="6"/>
      <c r="N109" s="20">
        <f>(-(SUM([3]H9!$EO$49,[3]H9!$EV$49)/1000)-(SUM([3]H9!$EO$45,[3]H9!$EV$45)/1000)-(SUM([3]H9!$EO$53,[3]H9!$EV$53)/1000)-(SUM([3]H9!$EO$57,[3]H9!$EV$57)/1000))/N107</f>
        <v>5.0101773231579598E-2</v>
      </c>
      <c r="O109" s="20">
        <f>(-(SUM([3]H9!$EO$50,[3]H9!$EV$50)/1000)-(SUM([3]H9!$EO$46,[3]H9!$EV$46)/1000)-(SUM([3]H9!$EO$54,[3]H9!$EV$54)/1000)-(SUM([3]H9!$EO$58,[3]H9!$EV$58)/1000))/O107</f>
        <v>5.8702967104591511E-2</v>
      </c>
      <c r="P109" s="20">
        <f>(-(SUM([3]H9!$EO$51,[3]H9!$EV$51)/1000)-(SUM([3]H9!$EO$47,[3]H9!$EV$47)/1000)-(SUM([3]H9!$EO$55,[3]H9!$EV$55)/1000)-(SUM([3]H9!$EO$59,[3]H9!$EV$59)/1000))/P107</f>
        <v>7.2556029215112075E-2</v>
      </c>
      <c r="Q109" s="6"/>
    </row>
    <row r="110" spans="2:20" ht="19.5" customHeight="1" x14ac:dyDescent="0.25">
      <c r="B110" s="204"/>
      <c r="C110" s="9"/>
      <c r="D110" s="14" t="s">
        <v>94</v>
      </c>
      <c r="E110" s="6"/>
      <c r="F110" s="20">
        <f>IFERROR((F124*F121+F138*F135+F152*F149+F166*F163)/F107,"n/a")</f>
        <v>0</v>
      </c>
      <c r="G110" s="20">
        <f>IFERROR((G124*G121+G138*G135+G152*G149+G166*G163)/G107,"n/a")</f>
        <v>0</v>
      </c>
      <c r="H110" s="20">
        <f>IFERROR((H124*H121+H138*H135+H152*H149+H166*H163)/H107,"n/a")</f>
        <v>0</v>
      </c>
      <c r="I110" s="6"/>
      <c r="J110" s="20">
        <f>(-(SUM([3]H9!$P$49,[3]H9!$W$49)/1000)-(SUM([3]H9!$P$45,[3]H9!$W$45)/1000)-(SUM([3]H9!$P$53,[3]H9!$W$53)/1000)-(SUM([3]H9!$P$57,[3]H9!$W$57)/1000))/J107</f>
        <v>0</v>
      </c>
      <c r="K110" s="20">
        <f>(-(SUM([3]H9!$P$50,[3]H9!$W$50)/1000)-(SUM([3]H9!$P$46,[3]H9!$W$46)/1000)-(SUM([3]H9!$P$54,[3]H9!$W$54)/1000)-(SUM([3]H9!$P$58,[3]H9!$W$58)/1000))/K107</f>
        <v>0</v>
      </c>
      <c r="L110" s="20">
        <f>(-(SUM([3]H9!$P$51,[3]H9!$W$51)/1000)-(SUM([3]H9!$P$47,[3]H9!$W$47)/1000)-(SUM([3]H9!$P$55,[3]H9!$W$55)/1000)-(SUM([3]H9!$P$59,[3]H9!$W$59)/1000))/L107</f>
        <v>0</v>
      </c>
      <c r="M110" s="6"/>
      <c r="N110" s="20">
        <f>(-(SUM([3]H9!$EN$49,[3]H9!$EU$49)/1000)-(SUM([3]H9!$EN$45,[3]H9!$EU$45)/1000)-(SUM([3]H9!$EN$53,[3]H9!$EU$53)/1000)-(SUM([3]H9!$EN$57,[3]H9!$EU$57)/1000))/N107</f>
        <v>0</v>
      </c>
      <c r="O110" s="20">
        <f>(-(SUM([3]H9!$EN$50,[3]H9!$EU$50)/1000)-(SUM([3]H9!$EN$46,[3]H9!$EU$46)/1000)-(SUM([3]H9!$EN$54,[3]H9!$EU$54)/1000)-(SUM([3]H9!$EN$58,[3]H9!$EU$58)/1000))/O107</f>
        <v>0</v>
      </c>
      <c r="P110" s="20">
        <f>(-(SUM([3]H9!$EN$51,[3]H9!$EU$51)/1000)-(SUM([3]H9!$EN$47,[3]H9!$EU$47)/1000)-(SUM([3]H9!$EN$55,[3]H9!$EU$55)/1000)-(SUM([3]H9!$EN$59,[3]H9!$EU$59)/1000))/P107</f>
        <v>0</v>
      </c>
      <c r="Q110" s="6"/>
    </row>
    <row r="111" spans="2:20" ht="19.5" customHeight="1" outlineLevel="1" x14ac:dyDescent="0.25">
      <c r="B111" s="204"/>
      <c r="C111" s="9"/>
      <c r="D111" s="14" t="s">
        <v>95</v>
      </c>
      <c r="E111" s="7"/>
      <c r="F111" s="20">
        <v>0.6596895124546821</v>
      </c>
      <c r="G111" s="20">
        <v>0.4657630109846298</v>
      </c>
      <c r="H111" s="20">
        <v>0.54568289348748922</v>
      </c>
      <c r="I111" s="7"/>
      <c r="J111" s="20">
        <f>+J108+J109+J110</f>
        <v>0.48772249594254929</v>
      </c>
      <c r="K111" s="20">
        <f>+K108+K109+K110</f>
        <v>0.54294669549208352</v>
      </c>
      <c r="L111" s="20">
        <f>+L108+L109+L110</f>
        <v>0.49971046883480164</v>
      </c>
      <c r="M111" s="7"/>
      <c r="N111" s="20">
        <f>+N108+N109+N110</f>
        <v>0.51768548253823021</v>
      </c>
      <c r="O111" s="20">
        <f>+O108+O109+O110</f>
        <v>0.625338730955454</v>
      </c>
      <c r="P111" s="20">
        <f>+P108+P109+P110</f>
        <v>0.42448298660084882</v>
      </c>
      <c r="Q111" s="7"/>
    </row>
    <row r="112" spans="2:20" ht="20.149999999999999" customHeight="1" x14ac:dyDescent="0.25">
      <c r="B112" s="204"/>
      <c r="C112" s="9"/>
      <c r="D112" s="14" t="s">
        <v>96</v>
      </c>
      <c r="E112" s="7"/>
      <c r="F112" s="29">
        <v>-1.1782969462771764E-2</v>
      </c>
      <c r="G112" s="20">
        <v>-3.3686937392970469E-2</v>
      </c>
      <c r="H112" s="20">
        <v>0</v>
      </c>
      <c r="I112" s="7"/>
      <c r="J112" s="20">
        <f>(-(SUM([3]H9!$AC$49:$AK$49)/1000)-(SUM([3]H9!$AC$45:$AK$45)/1000)-(SUM([3]H9!$AC$53:$AK$53)/1000)-(SUM([3]H9!$AC$57:$AK$57)/1000))/J107</f>
        <v>-0.1425266977456851</v>
      </c>
      <c r="K112" s="20">
        <f>(-(SUM([3]H9!$AC$50:$AK$50)/1000)-(SUM([3]H9!$AC$46:$AK$46)/1000)-(SUM([3]H9!$AC$54:$AK$54)/1000)-(SUM([3]H9!$AC$58:$AK$58)/1000))/K107</f>
        <v>-0.11306301415835066</v>
      </c>
      <c r="L112" s="20">
        <f>(-(SUM([3]H9!$AC$51:$AK$51)/1000)-(SUM([3]H9!$AC$47:$AK$47)/1000)-(SUM([3]H9!$AC$55:$AK$55)/1000)-(SUM([3]H9!$AC$59:$AK$59)/1000))/L107</f>
        <v>-1.7984019273569171E-2</v>
      </c>
      <c r="M112" s="7"/>
      <c r="N112" s="20">
        <f>(-(SUM([3]H9!$FA$49:$FI$49)/1000)-(SUM([3]H9!$FA$45:$FI$45)/1000)-(SUM([3]H9!$FA$53:$FI$53)/1000)-(SUM([3]H9!$FA$57:$FI$57)/1000))/N107</f>
        <v>9.7241864514243062E-2</v>
      </c>
      <c r="O112" s="20">
        <f>(-(SUM([3]H9!$FA$50:$FI$50)/1000)-(SUM([3]H9!$FA$46:$FI$46)/1000)-(SUM([3]H9!$FA$54:$FI$54)/1000)-(SUM([3]H9!$FA$58:$FI$58)/1000))/O107</f>
        <v>-8.5634599499204885E-3</v>
      </c>
      <c r="P112" s="20">
        <f>(-(SUM([3]H9!$FA$51:$FI$51)/1000)-(SUM([3]H9!$FA$47:$FI$47)/1000)-(SUM([3]H9!$FA$55:$FI$55)/1000)-(SUM([3]H9!$FA$59:$FI$59)/1000))/P107</f>
        <v>-1.7984019273569206E-2</v>
      </c>
      <c r="Q112" s="7"/>
    </row>
    <row r="113" spans="2:20" ht="20.149999999999999" customHeight="1" outlineLevel="1" x14ac:dyDescent="0.25">
      <c r="B113" s="204"/>
      <c r="C113" s="9"/>
      <c r="D113" s="15" t="s">
        <v>87</v>
      </c>
      <c r="E113" s="7"/>
      <c r="F113" s="20">
        <v>-5.7148291065290515E-3</v>
      </c>
      <c r="G113" s="20">
        <v>0.11587391138606176</v>
      </c>
      <c r="H113" s="20">
        <v>0.1448214404409871</v>
      </c>
      <c r="I113" s="7"/>
      <c r="J113" s="20">
        <f>(-(SUM([3]H9!$AL$49:$AN$49)/1000)-(SUM([3]H9!$AL$45:$AN$45)/1000)-(SUM([3]H9!$AL$53:$AN$53)/1000)-(SUM([3]H9!$AL$57:$AN$57)/1000))/J107</f>
        <v>0.15345644125992614</v>
      </c>
      <c r="K113" s="20">
        <f>(-(SUM([3]H9!$AL$50:$AN$50)/1000)-(SUM([3]H9!$AL$46:$AN$46)/1000)-(SUM([3]H9!$AL$54:$AN$54)/1000)-(SUM([3]H9!$AL$58:$AN$58)/1000))/K107</f>
        <v>0.15143152597108661</v>
      </c>
      <c r="L113" s="20">
        <f>(-(SUM([3]H9!$AL$51:$AN$51)/1000)-(SUM([3]H9!$AL$47:$AN$47)/1000)-(SUM([3]H9!$AL$55:$AN$55)/1000)-(SUM([3]H9!$AL$59:$AN$59)/1000))/L107</f>
        <v>0.1415258328440426</v>
      </c>
      <c r="M113" s="7"/>
      <c r="N113" s="20">
        <f>(-(SUM([3]H9!$FJ$49:$FL$49)/1000)-(SUM([3]H9!$FJ$45:$FL$45)/1000)-(SUM([3]H9!$FJ$53:$FL$53)/1000)-(SUM([3]H9!$FJ$57:$FL$57)/1000))/N107</f>
        <v>0.15166574997117377</v>
      </c>
      <c r="O113" s="20">
        <f>(-(SUM([3]H9!$FJ$50:$FL$50)/1000)-(SUM([3]H9!$FJ$46:$FL$46)/1000)-(SUM([3]H9!$FJ$54:$FL$54)/1000)-(SUM([3]H9!$FJ$58:$FL$58)/1000))/O107</f>
        <v>0.14547495318141657</v>
      </c>
      <c r="P113" s="20">
        <f>(-(SUM([3]H9!$FJ$51:$FL$51)/1000)-(SUM([3]H9!$FJ$47:$FL$47)/1000)-(SUM([3]H9!$FJ$55:$FL$55)/1000)-(SUM([3]H9!$FJ$59:$FL$59)/1000))/P107</f>
        <v>0.1415258328440426</v>
      </c>
      <c r="Q113" s="7"/>
    </row>
    <row r="114" spans="2:20" ht="20.149999999999999" customHeight="1" outlineLevel="1" x14ac:dyDescent="0.25">
      <c r="B114" s="204"/>
      <c r="C114" s="9"/>
      <c r="D114" s="15" t="s">
        <v>88</v>
      </c>
      <c r="E114" s="7"/>
      <c r="F114" s="20">
        <v>0.11242637355457143</v>
      </c>
      <c r="G114" s="20">
        <v>0.14681821724862304</v>
      </c>
      <c r="H114" s="20">
        <v>0.13151486945869179</v>
      </c>
      <c r="I114" s="7"/>
      <c r="J114" s="20">
        <f>(-(SUM([3]H9!$AO$49:$AR$49)/1000)-(SUM([3]H9!$AO$45:$AR$45)/1000)-(SUM([3]H9!$AO$53:$AR$53)/1000)-(SUM([3]H9!$AO$57:$AR$57)/1000))/J107</f>
        <v>9.7570380453036246E-2</v>
      </c>
      <c r="K114" s="20">
        <f>(-(SUM([3]H9!$AO$50:$AR$50)/1000)-(SUM([3]H9!$AO$46:$AR$46)/1000)-(SUM([3]H9!$AO$54:$AR$54)/1000)-(SUM([3]H9!$AO$58:$AR$58)/1000))/K107</f>
        <v>0.10886537439404469</v>
      </c>
      <c r="L114" s="20">
        <f>(-(SUM([3]H9!$AO$51:$AR$51)/1000)-(SUM([3]H9!$AO$47:$AR$47)/1000)-(SUM([3]H9!$AO$55:$AR$55)/1000)-(SUM([3]H9!$AO$59:$AR$59)/1000))/L107</f>
        <v>0.1092557690047522</v>
      </c>
      <c r="M114" s="7"/>
      <c r="N114" s="20">
        <f>(-(SUM([3]H9!$FM$49:$FP$49)/1000)-(SUM([3]H9!$FM$45:$FP$45)/1000)-(SUM([3]H9!$FM$53:$FP$53)/1000)-(SUM([3]H9!$FM$57:$FP$57)/1000))/N107</f>
        <v>9.273995182689948E-2</v>
      </c>
      <c r="O114" s="20">
        <f>(-(SUM([3]H9!$FM$50:$FP$50)/1000)-(SUM([3]H9!$FM$46:$FP$46)/1000)-(SUM([3]H9!$FM$54:$FP$54)/1000)-(SUM([3]H9!$FM$58:$FP$58)/1000))/O107</f>
        <v>0.11362339703843558</v>
      </c>
      <c r="P114" s="20">
        <f>(-(SUM([3]H9!$FM$51:$FP$51)/1000)-(SUM([3]H9!$FM$47:$FP$47)/1000)-(SUM([3]H9!$FM$55:$FP$55)/1000)-(SUM([3]H9!$FM$59:$FP$59)/1000))/P107</f>
        <v>0.10925576900475216</v>
      </c>
      <c r="Q114" s="7"/>
    </row>
    <row r="115" spans="2:20" ht="20.149999999999999" customHeight="1" x14ac:dyDescent="0.25">
      <c r="B115" s="204"/>
      <c r="C115" s="9"/>
      <c r="D115" s="14" t="s">
        <v>97</v>
      </c>
      <c r="E115" s="7"/>
      <c r="F115" s="20">
        <v>1.451905429413257E-4</v>
      </c>
      <c r="G115" s="20">
        <v>0.2649351713999753</v>
      </c>
      <c r="H115" s="20">
        <v>0.27633630989967889</v>
      </c>
      <c r="I115" s="7"/>
      <c r="J115" s="20">
        <f>+J113+J114</f>
        <v>0.25102682171296237</v>
      </c>
      <c r="K115" s="20">
        <f>+K113+K114</f>
        <v>0.26029690036513131</v>
      </c>
      <c r="L115" s="20">
        <f>+L113+L114</f>
        <v>0.25078160184879483</v>
      </c>
      <c r="M115" s="7"/>
      <c r="N115" s="20">
        <f>+N113+N114</f>
        <v>0.24440570179807325</v>
      </c>
      <c r="O115" s="20">
        <f>+O113+O114</f>
        <v>0.25909835021985217</v>
      </c>
      <c r="P115" s="20">
        <f>+P113+P114</f>
        <v>0.25078160184879478</v>
      </c>
      <c r="Q115" s="7"/>
    </row>
    <row r="116" spans="2:20" ht="20.149999999999999" customHeight="1" x14ac:dyDescent="0.25">
      <c r="B116" s="204"/>
      <c r="C116" s="9"/>
      <c r="D116" s="14" t="s">
        <v>90</v>
      </c>
      <c r="E116" s="7"/>
      <c r="F116" s="20"/>
      <c r="G116" s="20"/>
      <c r="H116" s="20"/>
      <c r="I116" s="7"/>
      <c r="J116" s="20">
        <f>(-(SUM([3]H9!$AT$49:$BJ$49)/1000)-(SUM([3]H9!$AT$45:$BJ$45)/1000)-(SUM([3]H9!$AT$53:$BJ$53)/1000)-(SUM([3]H9!$AT$57:$BJ$57)/1000))/J107</f>
        <v>7.0745112669481858E-2</v>
      </c>
      <c r="K116" s="20">
        <f>(-(SUM([3]H9!$AT$50:$BJ$50)/1000)-(SUM([3]H9!$AT$46:$BJ$46)/1000)-(SUM([3]H9!$AT$54:$BJ$54)/1000)-(SUM([3]H9!$AT$58:$BJ$58)/1000))/K107</f>
        <v>7.2910853658236865E-2</v>
      </c>
      <c r="L116" s="20">
        <f>(-(SUM([3]H9!$AT$51:$BJ$51)/1000)-(SUM([3]H9!$AT$47:$BJ$47)/1000)-(SUM([3]H9!$AT$55:$BJ$55)/1000)-(SUM([3]H9!$AT$59:$BJ$59)/1000))/L107</f>
        <v>4.7341366592720729E-2</v>
      </c>
      <c r="M116" s="7"/>
      <c r="N116" s="20">
        <f>(-(SUM([3]H9!$FR$49:$GH$49)/1000)-(SUM([3]H9!$FR$45:$GH$45)/1000)-(SUM([3]H9!$FR$53:$GH$53)/1000)-(SUM([3]H9!$FR$57:$GH$57)/1000))/N107</f>
        <v>-4.0746447387700807E-2</v>
      </c>
      <c r="O116" s="20">
        <f>(-(SUM([3]H9!$FR$50:$GH$50)/1000)-(SUM([3]H9!$FR$46:$GH$46)/1000)-(SUM([3]H9!$FR$54:$GH$54)/1000)-(SUM([3]H9!$FR$58:$GH$58)/1000))/O107</f>
        <v>8.3188321797113426E-2</v>
      </c>
      <c r="P116" s="20">
        <f>(-(SUM([3]H9!$FR$51:$GH$51)/1000)-(SUM([3]H9!$FR$47:$GH$47)/1000)-(SUM([3]H9!$FR$55:$GH$55)/1000)-(SUM([3]H9!$FR$59:$GH$59)/1000))/P107</f>
        <v>4.7341366592720723E-2</v>
      </c>
      <c r="Q116" s="7"/>
    </row>
    <row r="117" spans="2:20" ht="20.149999999999999" customHeight="1" x14ac:dyDescent="0.25">
      <c r="B117" s="204"/>
      <c r="C117" s="9"/>
      <c r="D117" s="14" t="s">
        <v>79</v>
      </c>
      <c r="E117" s="8"/>
      <c r="F117" s="29">
        <v>7.1749404772184005E-3</v>
      </c>
      <c r="G117" s="20">
        <v>0.69787692012147562</v>
      </c>
      <c r="H117" s="20">
        <v>0.82201920338716805</v>
      </c>
      <c r="I117" s="8"/>
      <c r="J117" s="20">
        <f>+J111+J112+J115+J116</f>
        <v>0.66696773257930841</v>
      </c>
      <c r="K117" s="20">
        <f>+K111+K112+K115+K116</f>
        <v>0.76309143535710111</v>
      </c>
      <c r="L117" s="20">
        <f>+L111+L112+L115+L116</f>
        <v>0.77984941800274798</v>
      </c>
      <c r="M117" s="8"/>
      <c r="N117" s="20">
        <f>+N111+N112+N115+N116</f>
        <v>0.81858660146284579</v>
      </c>
      <c r="O117" s="20">
        <f>+O111+O112+O115+O116</f>
        <v>0.95906194302249914</v>
      </c>
      <c r="P117" s="20">
        <f>+P111+P112+P115+P116</f>
        <v>0.70462193576879506</v>
      </c>
      <c r="Q117" s="8"/>
    </row>
    <row r="118" spans="2:20" ht="19.5" customHeight="1" x14ac:dyDescent="0.25">
      <c r="B118" s="204"/>
      <c r="C118" s="9"/>
      <c r="D118" s="14" t="s">
        <v>34</v>
      </c>
      <c r="E118" s="6"/>
      <c r="F118" s="19">
        <v>5.1917347400000144</v>
      </c>
      <c r="G118" s="19">
        <v>11.483272660000011</v>
      </c>
      <c r="H118" s="19">
        <v>7.4726453753155475</v>
      </c>
      <c r="I118" s="6"/>
      <c r="J118" s="19">
        <f>+J132+J160+J174+J146</f>
        <v>8.6677063700000065</v>
      </c>
      <c r="K118" s="19">
        <f>+K132+K160+K174+K146</f>
        <v>5.7058088100000015</v>
      </c>
      <c r="L118" s="19">
        <f>+L132+L160+L174+L146</f>
        <v>5.8635070091150805</v>
      </c>
      <c r="M118" s="6"/>
      <c r="N118" s="19">
        <f>+N132+N160+N174+N146</f>
        <v>1.691973069128319</v>
      </c>
      <c r="O118" s="19">
        <f>+O132+O160+O174+O146</f>
        <v>0.32079309000000222</v>
      </c>
      <c r="P118" s="19">
        <f>+P132+P160+P174+P146</f>
        <v>2.6223737925891282</v>
      </c>
      <c r="Q118" s="6"/>
      <c r="T118" s="34">
        <f>1-J118/J107</f>
        <v>0.66696773257930841</v>
      </c>
    </row>
    <row r="119" spans="2:20" ht="7.5" customHeight="1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6"/>
      <c r="O119" s="8"/>
      <c r="P119" s="8"/>
      <c r="Q119" s="8"/>
    </row>
    <row r="120" spans="2:20" ht="19.5" customHeight="1" outlineLevel="1" x14ac:dyDescent="0.25">
      <c r="B120" s="204" t="s">
        <v>104</v>
      </c>
      <c r="C120" s="9"/>
      <c r="D120" s="14" t="s">
        <v>19</v>
      </c>
      <c r="E120" s="6"/>
      <c r="F120" s="19">
        <v>2.5782758100000001</v>
      </c>
      <c r="G120" s="19">
        <v>2.733616</v>
      </c>
      <c r="H120" s="19">
        <v>2.7646412205329307</v>
      </c>
      <c r="I120" s="6"/>
      <c r="J120" s="19">
        <f>+[3]H9!$C$49/1000</f>
        <v>21.921365100000003</v>
      </c>
      <c r="K120" s="19">
        <f>+[3]H9!$C$50/1000</f>
        <v>22.424075719999998</v>
      </c>
      <c r="L120" s="19">
        <f>+[3]H9!$C$51/1000</f>
        <v>20.131249767002824</v>
      </c>
      <c r="M120" s="6"/>
      <c r="N120" s="19">
        <f>+[3]H9!$EA$49/1000</f>
        <v>3.9356805900000036</v>
      </c>
      <c r="O120" s="19">
        <f>+[3]H9!$EA$50/1000</f>
        <v>2.9771752299999972</v>
      </c>
      <c r="P120" s="19">
        <f>+[3]H9!$EA$51/1000</f>
        <v>4.3295550397380502</v>
      </c>
      <c r="Q120" s="6"/>
    </row>
    <row r="121" spans="2:20" ht="20.149999999999999" customHeight="1" outlineLevel="1" x14ac:dyDescent="0.25">
      <c r="B121" s="204"/>
      <c r="C121" s="9"/>
      <c r="D121" s="14" t="s">
        <v>20</v>
      </c>
      <c r="E121" s="6"/>
      <c r="F121" s="19">
        <v>2.3170537099999997</v>
      </c>
      <c r="G121" s="19">
        <v>2.45186583</v>
      </c>
      <c r="H121" s="19">
        <v>2.2151859576361677</v>
      </c>
      <c r="I121" s="6"/>
      <c r="J121" s="19">
        <f>+[3]H9!$N$49/1000</f>
        <v>13.685977860000001</v>
      </c>
      <c r="K121" s="19">
        <f>+[3]H9!$N$50/1000</f>
        <v>13.907735919999999</v>
      </c>
      <c r="L121" s="19">
        <f>+[3]H9!$N$51/1000</f>
        <v>14.045686262675114</v>
      </c>
      <c r="M121" s="6"/>
      <c r="N121" s="19">
        <f>+[3]H9!$EL$49/1000</f>
        <v>5.1721480100000026</v>
      </c>
      <c r="O121" s="19">
        <f>+[3]H9!$EL$50/1000</f>
        <v>4.3529354000000025</v>
      </c>
      <c r="P121" s="19">
        <f>+[3]H9!$EL$51/1000</f>
        <v>4.6818954208917054</v>
      </c>
      <c r="Q121" s="6"/>
    </row>
    <row r="122" spans="2:20" ht="19.5" customHeight="1" outlineLevel="1" x14ac:dyDescent="0.25">
      <c r="B122" s="204"/>
      <c r="C122" s="9"/>
      <c r="D122" s="14" t="s">
        <v>92</v>
      </c>
      <c r="E122" s="6"/>
      <c r="F122" s="20">
        <f>F125-F123-F124</f>
        <v>0.27694958784533319</v>
      </c>
      <c r="G122" s="20">
        <f>G125-G123-G124</f>
        <v>0.22719697105122597</v>
      </c>
      <c r="H122" s="20">
        <f>H125-H123-H124</f>
        <v>0.19726891102097802</v>
      </c>
      <c r="I122" s="6"/>
      <c r="J122" s="20">
        <f>-(SUM([3]H9!$O$49,[3]H9!$R$49:$V$49,[3]H9!$Y$49:$AB$49)/1000)/J121</f>
        <v>0.51305342824805644</v>
      </c>
      <c r="K122" s="20">
        <f>-(SUM([3]H9!$O$50,[3]H9!$R$50:$V$50,[3]H9!$Y$50:$AB$50)/1000)/K121</f>
        <v>0.51229558649830909</v>
      </c>
      <c r="L122" s="20">
        <f>-(SUM([3]H9!$O$51,[3]H9!$R$51:$V$51,[3]H9!$Y$51:$AB$51)/1000)/L121</f>
        <v>0.50269489329077999</v>
      </c>
      <c r="M122" s="6"/>
      <c r="N122" s="20">
        <f>-(SUM([3]H9!$EM$49,[3]H9!$EP$49:$ET$49,[3]H9!$EW$49:$EZ$49)/1000)/N121</f>
        <v>0.55289863794907101</v>
      </c>
      <c r="O122" s="20">
        <f>-(SUM([3]H9!$EM$50,[3]H9!$EP$50:$ET$50,[3]H9!$EW$50:$EZ$50)/1000)/O121</f>
        <v>0.59282636034525082</v>
      </c>
      <c r="P122" s="20">
        <f>-(SUM([3]H9!$EM$51,[3]H9!$EP$51:$ET$51,[3]H9!$EW$51:$EZ$51)/1000)/P121</f>
        <v>0.50269489329077988</v>
      </c>
      <c r="Q122" s="6"/>
    </row>
    <row r="123" spans="2:20" ht="19.5" customHeight="1" outlineLevel="1" x14ac:dyDescent="0.25">
      <c r="B123" s="204"/>
      <c r="C123" s="9"/>
      <c r="D123" s="14" t="s">
        <v>93</v>
      </c>
      <c r="E123" s="6"/>
      <c r="F123" s="20">
        <f>IFERROR(SUM(INDEX(LL_TOT_BR_YTD,5,Month),INDEX(LL_IBNR_TOT_BR_YTD,5,Month))/F121,0)</f>
        <v>0</v>
      </c>
      <c r="G123" s="20">
        <f>IFERROR(SUM(INDEX(LL_TOT_BR_YTD_PREV,5,Month),INDEX(LL_IBNR_TOT_BR_YTD_PREV,5,Month))/G121,0)</f>
        <v>0</v>
      </c>
      <c r="H123" s="20">
        <f>IFERROR(SUM(INDEX(LL_TOT_BR_YTD_PLAN,5,Month),INDEX(LL_IBNR_TOT_BR_YTD_PLAN,5,Month))/H121,0)</f>
        <v>0</v>
      </c>
      <c r="I123" s="6"/>
      <c r="J123" s="20">
        <f>-(SUM([3]H9!$Q$49,[3]H9!$X$49)/1000)/J121</f>
        <v>4.7493866105085165E-2</v>
      </c>
      <c r="K123" s="20">
        <f>-(SUM([3]H9!$Q$50,[3]H9!$X$50)/1000)/K121</f>
        <v>6.9961063799088882E-2</v>
      </c>
      <c r="L123" s="20">
        <f>-(SUM([3]H9!$Q$51,[3]H9!$X$51)/1000)/L121</f>
        <v>5.836275174099783E-2</v>
      </c>
      <c r="M123" s="6"/>
      <c r="N123" s="20">
        <f>-(SUM([3]H9!$EO$49,[3]H9!$EV$49)/1000)/N121</f>
        <v>2.9001490233841919E-2</v>
      </c>
      <c r="O123" s="20">
        <f>-(SUM([3]H9!$EO$50,[3]H9!$EV$50)/1000)/O121</f>
        <v>0.10567581591033944</v>
      </c>
      <c r="P123" s="20">
        <f>-(SUM([3]H9!$EO$51,[3]H9!$EV$51)/1000)/P121</f>
        <v>5.8362751740997837E-2</v>
      </c>
      <c r="Q123" s="6"/>
    </row>
    <row r="124" spans="2:20" ht="19.5" customHeight="1" outlineLevel="1" x14ac:dyDescent="0.25">
      <c r="B124" s="204"/>
      <c r="C124" s="9"/>
      <c r="D124" s="14" t="s">
        <v>94</v>
      </c>
      <c r="E124" s="6"/>
      <c r="F124" s="20">
        <f>0</f>
        <v>0</v>
      </c>
      <c r="G124" s="20">
        <f>0</f>
        <v>0</v>
      </c>
      <c r="H124" s="20">
        <f>0</f>
        <v>0</v>
      </c>
      <c r="I124" s="6"/>
      <c r="J124" s="20">
        <f>-(SUM([3]H9!$P$49,[3]H9!$W$49)/1000)/J121</f>
        <v>0</v>
      </c>
      <c r="K124" s="20">
        <f>-(SUM([3]H9!$P$50,[3]H9!$W$50)/1000)/K121</f>
        <v>0</v>
      </c>
      <c r="L124" s="20">
        <f>-(SUM([3]H9!$P$51,[3]H9!$W$51)/1000)/L121</f>
        <v>0</v>
      </c>
      <c r="M124" s="6"/>
      <c r="N124" s="20">
        <f>-(SUM([3]H9!$EN$49,[3]H9!$EU$49)/1000)/N121</f>
        <v>0</v>
      </c>
      <c r="O124" s="20">
        <f>-(SUM([3]H9!$EN$50,[3]H9!$EU$50)/1000)/O121</f>
        <v>0</v>
      </c>
      <c r="P124" s="20">
        <f>-(SUM([3]H9!$EN$51,[3]H9!$EU$51)/1000)/P121</f>
        <v>0</v>
      </c>
      <c r="Q124" s="6"/>
    </row>
    <row r="125" spans="2:20" ht="19.5" customHeight="1" outlineLevel="2" x14ac:dyDescent="0.25">
      <c r="B125" s="204"/>
      <c r="C125" s="9"/>
      <c r="D125" s="14" t="s">
        <v>95</v>
      </c>
      <c r="E125" s="7"/>
      <c r="F125" s="20">
        <v>0.27694958784533319</v>
      </c>
      <c r="G125" s="20">
        <v>0.22719697105122597</v>
      </c>
      <c r="H125" s="20">
        <v>0.19726891102097802</v>
      </c>
      <c r="I125" s="7"/>
      <c r="J125" s="20">
        <f>+J122+J123+J124</f>
        <v>0.56054729435314166</v>
      </c>
      <c r="K125" s="20">
        <f>+K122+K123+K124</f>
        <v>0.58225665029739793</v>
      </c>
      <c r="L125" s="20">
        <f>+L122+L123+L124</f>
        <v>0.5610576450317778</v>
      </c>
      <c r="M125" s="7"/>
      <c r="N125" s="20">
        <f>+N122+N123+N124</f>
        <v>0.58190012818291292</v>
      </c>
      <c r="O125" s="20">
        <f>+O122+O123+O124</f>
        <v>0.6985021762555903</v>
      </c>
      <c r="P125" s="20">
        <f>+P122+P123+P124</f>
        <v>0.56105764503177769</v>
      </c>
      <c r="Q125" s="7"/>
    </row>
    <row r="126" spans="2:20" ht="20.149999999999999" customHeight="1" outlineLevel="1" x14ac:dyDescent="0.25">
      <c r="B126" s="204"/>
      <c r="C126" s="9"/>
      <c r="D126" s="14" t="s">
        <v>96</v>
      </c>
      <c r="E126" s="7"/>
      <c r="F126" s="20">
        <v>7.8264970387760285E-2</v>
      </c>
      <c r="G126" s="20">
        <v>-6.9985089681681309E-2</v>
      </c>
      <c r="H126" s="20">
        <v>0</v>
      </c>
      <c r="I126" s="7"/>
      <c r="J126" s="20">
        <f>-(SUM([3]H9!$AC$49:$AK$49)/1000)/J121</f>
        <v>-0.10709108877661154</v>
      </c>
      <c r="K126" s="20">
        <f>-(SUM([3]H9!$AC$50:$AK$50)/1000)/K121</f>
        <v>2.5537419033766037E-2</v>
      </c>
      <c r="L126" s="20">
        <f>-(SUM([3]H9!$AC$51:$AK$51)/1000)/L121</f>
        <v>-2.6622489395894271E-2</v>
      </c>
      <c r="M126" s="7"/>
      <c r="N126" s="20">
        <f>-(SUM([3]H9!$FA$49:$FI$49)/1000)/N121</f>
        <v>0.37758665572294764</v>
      </c>
      <c r="O126" s="20">
        <f>-(SUM([3]H9!$FA$50:$FI$50)/1000)/O121</f>
        <v>0.18478155223714068</v>
      </c>
      <c r="P126" s="20">
        <f>-(SUM([3]H9!$FA$51:$FI$51)/1000)/P121</f>
        <v>-2.6622489395894337E-2</v>
      </c>
      <c r="Q126" s="7"/>
    </row>
    <row r="127" spans="2:20" ht="20.149999999999999" customHeight="1" outlineLevel="2" x14ac:dyDescent="0.25">
      <c r="B127" s="204"/>
      <c r="C127" s="9"/>
      <c r="D127" s="15" t="s">
        <v>87</v>
      </c>
      <c r="E127" s="7"/>
      <c r="F127" s="20">
        <v>0.18303060398198542</v>
      </c>
      <c r="G127" s="20">
        <v>0.18614404769448578</v>
      </c>
      <c r="H127" s="20">
        <v>0.20438203736246632</v>
      </c>
      <c r="I127" s="7"/>
      <c r="J127" s="20">
        <f>-(SUM([3]H9!$AL$49:$AN$49)/1000)/J121</f>
        <v>0.14703357776731049</v>
      </c>
      <c r="K127" s="20">
        <f>-(SUM([3]H9!$AL$50:$AN$50)/1000)/K121</f>
        <v>0.14459757444114593</v>
      </c>
      <c r="L127" s="20">
        <f>-(SUM([3]H9!$AL$51:$AN$51)/1000)/L121</f>
        <v>0.14386154518386499</v>
      </c>
      <c r="M127" s="7"/>
      <c r="N127" s="20">
        <f>-(SUM([3]H9!$FJ$49:$FL$49)/1000)/N121</f>
        <v>0.14555387404700343</v>
      </c>
      <c r="O127" s="20">
        <f>-(SUM([3]H9!$FJ$50:$FL$50)/1000)/O121</f>
        <v>0.13130830060101498</v>
      </c>
      <c r="P127" s="20">
        <f>-(SUM([3]H9!$FJ$51:$FL$51)/1000)/P121</f>
        <v>0.14386154518386496</v>
      </c>
      <c r="Q127" s="7"/>
    </row>
    <row r="128" spans="2:20" ht="20.149999999999999" customHeight="1" outlineLevel="2" x14ac:dyDescent="0.25">
      <c r="B128" s="204"/>
      <c r="C128" s="9"/>
      <c r="D128" s="15" t="s">
        <v>88</v>
      </c>
      <c r="E128" s="7"/>
      <c r="F128" s="20">
        <v>6.9275062251362332E-2</v>
      </c>
      <c r="G128" s="20">
        <v>3.175185160927016E-2</v>
      </c>
      <c r="H128" s="20">
        <v>8.4249843678186484E-2</v>
      </c>
      <c r="I128" s="7"/>
      <c r="J128" s="20">
        <f>-(SUM([3]H9!$AO$49:$AR$49)/1000)/J121</f>
        <v>0.1114196775414044</v>
      </c>
      <c r="K128" s="20">
        <f>-(SUM([3]H9!$AO$50:$AR$50)/1000)/K121</f>
        <v>0.10338392519607176</v>
      </c>
      <c r="L128" s="20">
        <f>-(SUM([3]H9!$AO$51:$AR$51)/1000)/L121</f>
        <v>0.11656867975292458</v>
      </c>
      <c r="M128" s="7"/>
      <c r="N128" s="20">
        <f>-(SUM([3]H9!$FM$49:$FP$49)/1000)/N121</f>
        <v>0.10205005714830651</v>
      </c>
      <c r="O128" s="20">
        <f>-(SUM([3]H9!$FM$50:$FP$50)/1000)/O121</f>
        <v>0.11284104514852203</v>
      </c>
      <c r="P128" s="20">
        <f>-(SUM([3]H9!$FM$51:$FP$51)/1000)/P121</f>
        <v>0.11656867975292456</v>
      </c>
      <c r="Q128" s="7"/>
    </row>
    <row r="129" spans="2:20" ht="20.149999999999999" customHeight="1" outlineLevel="1" x14ac:dyDescent="0.25">
      <c r="B129" s="204"/>
      <c r="C129" s="9"/>
      <c r="D129" s="14" t="s">
        <v>97</v>
      </c>
      <c r="E129" s="7"/>
      <c r="F129" s="20">
        <v>0.25230566623334771</v>
      </c>
      <c r="G129" s="20">
        <v>0.21789589930375597</v>
      </c>
      <c r="H129" s="20">
        <v>0.28863188104065279</v>
      </c>
      <c r="I129" s="7"/>
      <c r="J129" s="20">
        <f>+J127+J128</f>
        <v>0.25845325530871488</v>
      </c>
      <c r="K129" s="20">
        <f>+K127+K128</f>
        <v>0.24798149963721769</v>
      </c>
      <c r="L129" s="20">
        <f>+L127+L128</f>
        <v>0.26043022493678958</v>
      </c>
      <c r="M129" s="7"/>
      <c r="N129" s="20">
        <f>+N127+N128</f>
        <v>0.24760393119530993</v>
      </c>
      <c r="O129" s="20">
        <f>+O127+O128</f>
        <v>0.24414934574953701</v>
      </c>
      <c r="P129" s="20">
        <f>+P127+P128</f>
        <v>0.26043022493678952</v>
      </c>
      <c r="Q129" s="7"/>
    </row>
    <row r="130" spans="2:20" ht="20.149999999999999" customHeight="1" outlineLevel="1" x14ac:dyDescent="0.25">
      <c r="B130" s="204"/>
      <c r="C130" s="9"/>
      <c r="D130" s="14" t="s">
        <v>90</v>
      </c>
      <c r="E130" s="7"/>
      <c r="F130" s="20"/>
      <c r="G130" s="20"/>
      <c r="H130" s="20"/>
      <c r="I130" s="7"/>
      <c r="J130" s="20">
        <f>-(SUM([3]H9!$AT$49:$BJ$49)/1000/J121)</f>
        <v>-9.5452901748300199E-3</v>
      </c>
      <c r="K130" s="20">
        <f>-(SUM([3]H9!$AT$50:$BJ$50)/1000/K121)</f>
        <v>8.5018835330315942E-2</v>
      </c>
      <c r="L130" s="20">
        <f>-(SUM([3]H9!$AT$51:$BJ$51)/1000/L121)</f>
        <v>5.0394186616563662E-2</v>
      </c>
      <c r="M130" s="7"/>
      <c r="N130" s="20">
        <f>-(SUM([3]H9!$FR$49:$GH$49)/1000/N121)</f>
        <v>-0.12214654506764569</v>
      </c>
      <c r="O130" s="20">
        <f>-(SUM([3]H9!$FR$50:$GH$50)/1000/O121)</f>
        <v>0.12448191397464795</v>
      </c>
      <c r="P130" s="20">
        <f>-(SUM([3]H9!$FR$51:$GH$51)/1000/P121)</f>
        <v>5.0394186616563662E-2</v>
      </c>
      <c r="Q130" s="7"/>
    </row>
    <row r="131" spans="2:20" ht="20.149999999999999" customHeight="1" outlineLevel="1" x14ac:dyDescent="0.25">
      <c r="B131" s="204"/>
      <c r="C131" s="9"/>
      <c r="D131" s="14" t="s">
        <v>79</v>
      </c>
      <c r="E131" s="8"/>
      <c r="F131" s="20">
        <v>0.60752022446644127</v>
      </c>
      <c r="G131" s="20">
        <v>0.37510778067330053</v>
      </c>
      <c r="H131" s="20">
        <v>0.48590079206163078</v>
      </c>
      <c r="I131" s="8"/>
      <c r="J131" s="20">
        <f>+J125+J126+J129+J130</f>
        <v>0.70236417071041501</v>
      </c>
      <c r="K131" s="20">
        <f>+K125+K126+K129+K130</f>
        <v>0.94079440429869765</v>
      </c>
      <c r="L131" s="20">
        <f>+L125+L126+L129+L130</f>
        <v>0.84525956718923678</v>
      </c>
      <c r="M131" s="8"/>
      <c r="N131" s="20">
        <f>+N125+N126+N129+N130</f>
        <v>1.0849441700335247</v>
      </c>
      <c r="O131" s="20">
        <f>+O125+O126+O129+O130</f>
        <v>1.251914988216916</v>
      </c>
      <c r="P131" s="20">
        <f>+P125+P126+P129+P130</f>
        <v>0.84525956718923656</v>
      </c>
      <c r="Q131" s="8"/>
    </row>
    <row r="132" spans="2:20" ht="19.5" customHeight="1" outlineLevel="1" x14ac:dyDescent="0.25">
      <c r="B132" s="204"/>
      <c r="C132" s="9"/>
      <c r="D132" s="14" t="s">
        <v>34</v>
      </c>
      <c r="E132" s="6"/>
      <c r="F132" s="19">
        <v>0.9093967199999996</v>
      </c>
      <c r="G132" s="19">
        <v>1.5321518799999998</v>
      </c>
      <c r="H132" s="19">
        <v>1.1388253462569518</v>
      </c>
      <c r="I132" s="6"/>
      <c r="J132" s="19">
        <f>+[3]H9!$BK$49/1000</f>
        <v>4.0734373700000015</v>
      </c>
      <c r="K132" s="19">
        <f>+[3]H9!$BK$50/1000</f>
        <v>0.82341578999999998</v>
      </c>
      <c r="L132" s="19">
        <f>+[3]H9!$BK$51/1000</f>
        <v>2.1734355714105389</v>
      </c>
      <c r="M132" s="6"/>
      <c r="N132" s="19">
        <f>+[3]H9!$GI$49/1000</f>
        <v>-0.43934381999999778</v>
      </c>
      <c r="O132" s="19">
        <f>+[3]H9!$GI$50/1000</f>
        <v>-1.0965696699999976</v>
      </c>
      <c r="P132" s="19">
        <f>+[3]H9!$GI$51/1000</f>
        <v>0.72447852380351319</v>
      </c>
      <c r="Q132" s="6"/>
      <c r="T132" s="34">
        <f>1-J132/J121</f>
        <v>0.7023641707104149</v>
      </c>
    </row>
    <row r="133" spans="2:20" ht="7.5" customHeight="1" outlineLevel="1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6"/>
      <c r="O133" s="8"/>
      <c r="P133" s="8"/>
      <c r="Q133" s="8"/>
    </row>
    <row r="134" spans="2:20" ht="19.5" customHeight="1" outlineLevel="1" x14ac:dyDescent="0.25">
      <c r="B134" s="204" t="s">
        <v>105</v>
      </c>
      <c r="C134" s="9"/>
      <c r="D134" s="14" t="s">
        <v>19</v>
      </c>
      <c r="E134" s="6"/>
      <c r="F134" s="19">
        <v>3.9291138499999994</v>
      </c>
      <c r="G134" s="19">
        <v>4.1917961400000001</v>
      </c>
      <c r="H134" s="19">
        <v>4.4139901662291425</v>
      </c>
      <c r="I134" s="6"/>
      <c r="J134" s="19">
        <f>+[3]H9!$C$57/1000</f>
        <v>0.26526893000000012</v>
      </c>
      <c r="K134" s="19">
        <f>+[3]H9!$C$58/1000</f>
        <v>0.28977442000000009</v>
      </c>
      <c r="L134" s="19">
        <f>+[3]H9!$C$59/1000</f>
        <v>0.26509026194465601</v>
      </c>
      <c r="M134" s="6"/>
      <c r="N134" s="19">
        <f>+[3]H9!$EA$57/1000</f>
        <v>3.8278820000000026E-2</v>
      </c>
      <c r="O134" s="19">
        <f>+[3]H9!$EA$58/1000</f>
        <v>6.071832999999998E-2</v>
      </c>
      <c r="P134" s="19">
        <f>+[3]H9!$EA$59/1000</f>
        <v>5.7864399962511269E-2</v>
      </c>
      <c r="Q134" s="6"/>
    </row>
    <row r="135" spans="2:20" ht="20.149999999999999" customHeight="1" outlineLevel="1" x14ac:dyDescent="0.25">
      <c r="B135" s="204"/>
      <c r="C135" s="9"/>
      <c r="D135" s="14" t="s">
        <v>20</v>
      </c>
      <c r="E135" s="6"/>
      <c r="F135" s="19">
        <v>3.9370871899999997</v>
      </c>
      <c r="G135" s="19">
        <v>4.2753675999999992</v>
      </c>
      <c r="H135" s="19">
        <v>4.4615854579151879</v>
      </c>
      <c r="I135" s="6"/>
      <c r="J135" s="19">
        <f>+[3]H9!$N$57/1000</f>
        <v>0.2097632900000001</v>
      </c>
      <c r="K135" s="19">
        <f>+[3]H9!$N$58/1000</f>
        <v>0.21770490000000012</v>
      </c>
      <c r="L135" s="19">
        <f>+[3]H9!$N$59/1000</f>
        <v>0.20598979860767913</v>
      </c>
      <c r="M135" s="6"/>
      <c r="N135" s="19">
        <f>+[3]H9!$EL$57/1000</f>
        <v>6.1191149999999993E-2</v>
      </c>
      <c r="O135" s="19">
        <f>+[3]H9!$EL$58/1000</f>
        <v>7.9647679999999985E-2</v>
      </c>
      <c r="P135" s="19">
        <f>+[3]H9!$EL$59/1000</f>
        <v>6.8663266202559692E-2</v>
      </c>
      <c r="Q135" s="6"/>
    </row>
    <row r="136" spans="2:20" ht="19.5" customHeight="1" outlineLevel="1" x14ac:dyDescent="0.25">
      <c r="B136" s="204"/>
      <c r="C136" s="9"/>
      <c r="D136" s="14" t="s">
        <v>92</v>
      </c>
      <c r="E136" s="6"/>
      <c r="F136" s="20">
        <f>F139-F137-F138</f>
        <v>0.49361970822901691</v>
      </c>
      <c r="G136" s="20">
        <f>G139-G137-G138</f>
        <v>0.20816248876470886</v>
      </c>
      <c r="H136" s="20">
        <f>H139-H137-H138</f>
        <v>0.28562485264551746</v>
      </c>
      <c r="I136" s="6"/>
      <c r="J136" s="20">
        <f>-(SUM([3]H9!$O$57,[3]H9!$R$57:$V$57,[3]H9!$Y$57:$AB$57)/1000)/J135</f>
        <v>1.0562009682437754</v>
      </c>
      <c r="K136" s="20">
        <f>-(SUM([3]H9!$O$58,[3]H9!$R$58:$V$58,[3]H9!$Y$58:$AB$58)/1000)/K135</f>
        <v>1.3193532162114858</v>
      </c>
      <c r="L136" s="20">
        <f>-(SUM([3]H9!$O$59,[3]H9!$R$59:$V$59,[3]H9!$Y$59:$AB$59)/1000)/L135</f>
        <v>1.118032038839569</v>
      </c>
      <c r="M136" s="6"/>
      <c r="N136" s="20">
        <f>-(SUM([3]H9!$EM$57,[3]H9!$EP$57:$ET$57,[3]H9!$EW$57:$EZ$57)/1000)/N135</f>
        <v>1.2090034261490428</v>
      </c>
      <c r="O136" s="20">
        <f>-(SUM([3]H9!$EM$58,[3]H9!$EP$58:$ET$58,[3]H9!$EW$58:$EZ$58)/1000)/O135</f>
        <v>1.3299799818400238</v>
      </c>
      <c r="P136" s="20">
        <f>-(SUM([3]H9!$EM$59,[3]H9!$EP$59:$ET$59,[3]H9!$EW$59:$EZ$59)/1000)/P135</f>
        <v>1.1180320388395693</v>
      </c>
      <c r="Q136" s="6"/>
    </row>
    <row r="137" spans="2:20" ht="19.5" customHeight="1" outlineLevel="1" x14ac:dyDescent="0.25">
      <c r="B137" s="204"/>
      <c r="C137" s="9"/>
      <c r="D137" s="14" t="s">
        <v>93</v>
      </c>
      <c r="E137" s="6"/>
      <c r="F137" s="20">
        <f>IFERROR(SUM(INDEX(LL_TOT_BR_YTD,6,Month),INDEX(LL_IBNR_TOT_BR_YTD,6,Month))/F135,0)</f>
        <v>0</v>
      </c>
      <c r="G137" s="20">
        <f>IFERROR(SUM(INDEX(LL_TOT_BR_YTD_PREV,6,Month),INDEX(LL_IBNR_TOT_BR_YTD_PREV,6,Month))/G135,0)</f>
        <v>0</v>
      </c>
      <c r="H137" s="20">
        <f>IFERROR(SUM(INDEX(LL_TOT_BR_YTD_PLAN,6,Month),INDEX(LL_IBNR_TOT_BR_YTD_PLAN,6,Month))/H135,0)</f>
        <v>0</v>
      </c>
      <c r="I137" s="6"/>
      <c r="J137" s="20">
        <f>-(SUM([3]H9!$Q$57,[3]H9!$X$57)/1000)/J135</f>
        <v>0</v>
      </c>
      <c r="K137" s="20">
        <f>-(SUM([3]H9!$Q$58,[3]H9!$X$58)/1000)/K135</f>
        <v>0</v>
      </c>
      <c r="L137" s="20">
        <f>-(SUM([3]H9!$Q$59,[3]H9!$X$59)/1000)/L135</f>
        <v>0</v>
      </c>
      <c r="M137" s="6"/>
      <c r="N137" s="20">
        <f>-(SUM([3]H9!$EO$57,[3]H9!$EV$57)/1000)/N135</f>
        <v>0</v>
      </c>
      <c r="O137" s="20">
        <f>-(SUM([3]H9!$EO$58,[3]H9!$EV$58)/1000)/O135</f>
        <v>0</v>
      </c>
      <c r="P137" s="20">
        <f>-(SUM([3]H9!$EO$59,[3]H9!$EV$59)/1000)/P135</f>
        <v>0</v>
      </c>
      <c r="Q137" s="6"/>
    </row>
    <row r="138" spans="2:20" ht="19.5" customHeight="1" outlineLevel="1" x14ac:dyDescent="0.25">
      <c r="B138" s="204"/>
      <c r="C138" s="9"/>
      <c r="D138" s="14" t="s">
        <v>94</v>
      </c>
      <c r="E138" s="6"/>
      <c r="F138" s="20">
        <f>0</f>
        <v>0</v>
      </c>
      <c r="G138" s="20">
        <f>0</f>
        <v>0</v>
      </c>
      <c r="H138" s="20">
        <f>0</f>
        <v>0</v>
      </c>
      <c r="I138" s="6"/>
      <c r="J138" s="20">
        <f>-(SUM([3]H9!$P$57,[3]H9!$W$57)/1000)/J135</f>
        <v>0</v>
      </c>
      <c r="K138" s="20">
        <f>-(SUM([3]H9!$P$58,[3]H9!$W$58)/1000)/K135</f>
        <v>0</v>
      </c>
      <c r="L138" s="20">
        <f>-(SUM([3]H9!$P$59,[3]H9!$W$59)/1000)/L135</f>
        <v>0</v>
      </c>
      <c r="M138" s="6"/>
      <c r="N138" s="20">
        <f>-(SUM([3]H9!$EN$57,[3]H9!$EU$57)/1000)/N135</f>
        <v>0</v>
      </c>
      <c r="O138" s="20">
        <f>-(SUM([3]H9!$EN$58,[3]H9!$EU$58)/1000)/O135</f>
        <v>0</v>
      </c>
      <c r="P138" s="20">
        <f>-(SUM([3]H9!$EN$59,[3]H9!$EU$59)/1000)/P135</f>
        <v>0</v>
      </c>
      <c r="Q138" s="6"/>
    </row>
    <row r="139" spans="2:20" ht="19.5" customHeight="1" outlineLevel="2" x14ac:dyDescent="0.25">
      <c r="B139" s="204"/>
      <c r="C139" s="9"/>
      <c r="D139" s="14" t="s">
        <v>95</v>
      </c>
      <c r="E139" s="7"/>
      <c r="F139" s="20">
        <v>0.49361970822901691</v>
      </c>
      <c r="G139" s="20">
        <v>0.20816248876470886</v>
      </c>
      <c r="H139" s="20">
        <v>0.28562485264551746</v>
      </c>
      <c r="I139" s="7"/>
      <c r="J139" s="20">
        <f>+J136+J137+J138</f>
        <v>1.0562009682437754</v>
      </c>
      <c r="K139" s="20">
        <f>+K136+K137+K138</f>
        <v>1.3193532162114858</v>
      </c>
      <c r="L139" s="20">
        <f>+L136+L137+L138</f>
        <v>1.118032038839569</v>
      </c>
      <c r="M139" s="7"/>
      <c r="N139" s="20">
        <f>+N136+N137+N138</f>
        <v>1.2090034261490428</v>
      </c>
      <c r="O139" s="20">
        <f>+O136+O137+O138</f>
        <v>1.3299799818400238</v>
      </c>
      <c r="P139" s="20">
        <f>+P136+P137+P138</f>
        <v>1.1180320388395693</v>
      </c>
      <c r="Q139" s="7"/>
    </row>
    <row r="140" spans="2:20" ht="20.149999999999999" customHeight="1" outlineLevel="1" x14ac:dyDescent="0.25">
      <c r="B140" s="204"/>
      <c r="C140" s="9"/>
      <c r="D140" s="14" t="s">
        <v>96</v>
      </c>
      <c r="E140" s="7"/>
      <c r="F140" s="20">
        <v>-0.24777656498889986</v>
      </c>
      <c r="G140" s="20">
        <v>-0.21788168577597833</v>
      </c>
      <c r="H140" s="20">
        <v>0</v>
      </c>
      <c r="I140" s="7"/>
      <c r="J140" s="20">
        <f>-(SUM([3]H9!$AC$57:$AK$57)/1000)/J135</f>
        <v>-0.69467212303925985</v>
      </c>
      <c r="K140" s="20">
        <f>-(SUM([3]H9!$AC$58:$AK$58)/1000)/K135</f>
        <v>-0.4787350215819674</v>
      </c>
      <c r="L140" s="20">
        <f>-(SUM([3]H9!$AC$59:$AK$59)/1000)/L135</f>
        <v>-1.4384720528109194E-2</v>
      </c>
      <c r="M140" s="7"/>
      <c r="N140" s="20">
        <f>-(SUM([3]H9!$FA$57:$FI$57)/1000)/N135</f>
        <v>-1.7822111530834117</v>
      </c>
      <c r="O140" s="20">
        <f>-(SUM([3]H9!$FA$58:$FI$58)/1000)/O135</f>
        <v>2.0980712809211766</v>
      </c>
      <c r="P140" s="20">
        <f>-(SUM([3]H9!$FA$59:$FI$59)/1000)/P135</f>
        <v>-1.4384720528109197E-2</v>
      </c>
      <c r="Q140" s="7"/>
    </row>
    <row r="141" spans="2:20" ht="20.149999999999999" customHeight="1" outlineLevel="2" x14ac:dyDescent="0.25">
      <c r="B141" s="204"/>
      <c r="C141" s="9"/>
      <c r="D141" s="15" t="s">
        <v>87</v>
      </c>
      <c r="E141" s="7"/>
      <c r="F141" s="20">
        <v>0.1658069858493533</v>
      </c>
      <c r="G141" s="20">
        <v>0.21963125229278538</v>
      </c>
      <c r="H141" s="20">
        <v>0.16717916113669204</v>
      </c>
      <c r="I141" s="7"/>
      <c r="J141" s="20">
        <f>-(SUM([3]H9!$AL$57:$AN$57)/1000)/J135</f>
        <v>0.10447562106791898</v>
      </c>
      <c r="K141" s="20">
        <f>-(SUM([3]H9!$AL$58:$AN$58)/1000)/K135</f>
        <v>0.11347907189962203</v>
      </c>
      <c r="L141" s="20">
        <f>-(SUM([3]H9!$AL$59:$AN$59)/1000)/L135</f>
        <v>0.12372120192649971</v>
      </c>
      <c r="M141" s="7"/>
      <c r="N141" s="20">
        <f>-(SUM([3]H9!$FJ$57:$FL$57)/1000)/N135</f>
        <v>0.11988857865884198</v>
      </c>
      <c r="O141" s="20">
        <f>-(SUM([3]H9!$FJ$58:$FL$58)/1000)/O135</f>
        <v>0.12025522902864198</v>
      </c>
      <c r="P141" s="20">
        <f>-(SUM([3]H9!$FJ$59:$FL$59)/1000)/P135</f>
        <v>0.12372120192649977</v>
      </c>
      <c r="Q141" s="7"/>
    </row>
    <row r="142" spans="2:20" ht="20.149999999999999" customHeight="1" outlineLevel="2" x14ac:dyDescent="0.25">
      <c r="B142" s="204"/>
      <c r="C142" s="9"/>
      <c r="D142" s="15" t="s">
        <v>88</v>
      </c>
      <c r="E142" s="7"/>
      <c r="F142" s="20">
        <v>0.16807597293774948</v>
      </c>
      <c r="G142" s="20">
        <v>0.18193374529946854</v>
      </c>
      <c r="H142" s="20">
        <v>0.15908397356614867</v>
      </c>
      <c r="I142" s="7"/>
      <c r="J142" s="20">
        <f>-(SUM([3]H9!$AO$57:$AR$57)/1000)/J135</f>
        <v>0.11593882799988496</v>
      </c>
      <c r="K142" s="20">
        <f>-(SUM([3]H9!$AO$58:$AR$58)/1000)/K135</f>
        <v>5.5121037698278696E-2</v>
      </c>
      <c r="L142" s="20">
        <f>-(SUM([3]H9!$AO$59:$AR$59)/1000)/L135</f>
        <v>0.12626591574348534</v>
      </c>
      <c r="M142" s="7"/>
      <c r="N142" s="20">
        <f>-(SUM([3]H9!$FM$57:$FP$57)/1000)/N135</f>
        <v>0.13952066597865867</v>
      </c>
      <c r="O142" s="20">
        <f>-(SUM([3]H9!$FM$58:$FP$58)/1000)/O135</f>
        <v>5.0626584478041303E-2</v>
      </c>
      <c r="P142" s="20">
        <f>-(SUM([3]H9!$FM$59:$FP$59)/1000)/P135</f>
        <v>0.12626591574348536</v>
      </c>
      <c r="Q142" s="7"/>
    </row>
    <row r="143" spans="2:20" ht="20.149999999999999" customHeight="1" outlineLevel="1" x14ac:dyDescent="0.25">
      <c r="B143" s="204"/>
      <c r="C143" s="9"/>
      <c r="D143" s="14" t="s">
        <v>97</v>
      </c>
      <c r="E143" s="7"/>
      <c r="F143" s="20">
        <v>0.33388295878710278</v>
      </c>
      <c r="G143" s="20" t="e">
        <v>#VALUE!</v>
      </c>
      <c r="H143" s="20">
        <v>0.32626313470284068</v>
      </c>
      <c r="I143" s="7"/>
      <c r="J143" s="20">
        <f>+J141+J142</f>
        <v>0.22041444906780394</v>
      </c>
      <c r="K143" s="20">
        <f>+K141+K142</f>
        <v>0.16860010959790073</v>
      </c>
      <c r="L143" s="20">
        <f>+L141+L142</f>
        <v>0.24998711766998505</v>
      </c>
      <c r="M143" s="7"/>
      <c r="N143" s="20">
        <f>+N141+N142</f>
        <v>0.25940924463750065</v>
      </c>
      <c r="O143" s="20">
        <f>+O141+O142</f>
        <v>0.1708818135066833</v>
      </c>
      <c r="P143" s="20">
        <f>+P141+P142</f>
        <v>0.24998711766998513</v>
      </c>
      <c r="Q143" s="7"/>
    </row>
    <row r="144" spans="2:20" ht="20.149999999999999" customHeight="1" outlineLevel="1" x14ac:dyDescent="0.25">
      <c r="B144" s="204"/>
      <c r="C144" s="9"/>
      <c r="D144" s="14" t="s">
        <v>90</v>
      </c>
      <c r="E144" s="7"/>
      <c r="F144" s="20"/>
      <c r="G144" s="20"/>
      <c r="H144" s="20"/>
      <c r="I144" s="7"/>
      <c r="J144" s="20">
        <f>-(SUM([3]H9!$AT$57:$BJ$57)/1000/J135)</f>
        <v>6.2597607045541639E-2</v>
      </c>
      <c r="K144" s="20">
        <f>-(SUM([3]H9!$AT$58:$BJ$58)/1000/K135)</f>
        <v>5.8013760829453045E-2</v>
      </c>
      <c r="L144" s="20">
        <f>-(SUM([3]H9!$AT$59:$BJ$59)/1000/L135)</f>
        <v>4.417401795190104E-2</v>
      </c>
      <c r="M144" s="7"/>
      <c r="N144" s="20">
        <f>-(SUM([3]H9!$FR$57:$GH$57)/1000/N135)</f>
        <v>2.0705608572481472E-2</v>
      </c>
      <c r="O144" s="20">
        <f>-(SUM([3]H9!$FR$58:$GH$58)/1000/O135)</f>
        <v>1.276873350234432E-2</v>
      </c>
      <c r="P144" s="20">
        <f>-(SUM([3]H9!$FR$59:$GH$59)/1000/P135)</f>
        <v>4.4174017951901054E-2</v>
      </c>
      <c r="Q144" s="7"/>
    </row>
    <row r="145" spans="2:20" ht="20.149999999999999" customHeight="1" outlineLevel="1" x14ac:dyDescent="0.25">
      <c r="B145" s="204"/>
      <c r="C145" s="9"/>
      <c r="D145" s="14" t="s">
        <v>79</v>
      </c>
      <c r="E145" s="8"/>
      <c r="F145" s="20">
        <v>0.57972610202721986</v>
      </c>
      <c r="G145" s="20" t="e">
        <v>#VALUE!</v>
      </c>
      <c r="H145" s="20">
        <v>0.61188798734835825</v>
      </c>
      <c r="I145" s="8"/>
      <c r="J145" s="20">
        <f>+J139+J140+J143+J144</f>
        <v>0.64454090131786113</v>
      </c>
      <c r="K145" s="20">
        <f>+K139+K140+K143+K144</f>
        <v>1.0672320650568721</v>
      </c>
      <c r="L145" s="20">
        <f>+L139+L140+L143+L144</f>
        <v>1.397808453933346</v>
      </c>
      <c r="M145" s="8"/>
      <c r="N145" s="20">
        <f>+N139+N140+N143+N144</f>
        <v>-0.2930928737243868</v>
      </c>
      <c r="O145" s="20">
        <f>+O139+O140+O143+O144</f>
        <v>3.6117018097702283</v>
      </c>
      <c r="P145" s="20">
        <f>+P139+P140+P143+P144</f>
        <v>1.3978084539333462</v>
      </c>
      <c r="Q145" s="8"/>
    </row>
    <row r="146" spans="2:20" ht="19.5" customHeight="1" outlineLevel="1" x14ac:dyDescent="0.25">
      <c r="B146" s="204"/>
      <c r="C146" s="9"/>
      <c r="D146" s="14" t="s">
        <v>34</v>
      </c>
      <c r="E146" s="6"/>
      <c r="F146" s="19">
        <v>1.6546549799999999</v>
      </c>
      <c r="G146" s="19">
        <v>2.3881635999999977</v>
      </c>
      <c r="H146" s="19">
        <v>1.7315949116887599</v>
      </c>
      <c r="I146" s="6"/>
      <c r="J146" s="19">
        <f>+[3]H9!$BK$57/1000</f>
        <v>7.4562270000000097E-2</v>
      </c>
      <c r="K146" s="19">
        <f>+[3]H9!$BK$58/1000</f>
        <v>-1.463674999999985E-2</v>
      </c>
      <c r="L146" s="19">
        <f>+[3]H9!$BK$59/1000</f>
        <v>-8.1944483310162131E-2</v>
      </c>
      <c r="M146" s="6"/>
      <c r="N146" s="19">
        <f>+[3]H9!$GI$57/1000</f>
        <v>7.9125840000000017E-2</v>
      </c>
      <c r="O146" s="19">
        <f>+[3]H9!$GI$58/1000</f>
        <v>-0.20801598999999993</v>
      </c>
      <c r="P146" s="19">
        <f>+[3]H9!$GI$59/1000</f>
        <v>-2.7314827770054041E-2</v>
      </c>
      <c r="Q146" s="6"/>
      <c r="T146" s="34">
        <f>1-J146/J135</f>
        <v>0.64454090131786135</v>
      </c>
    </row>
    <row r="147" spans="2:20" ht="7.5" customHeight="1" outlineLevel="1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6"/>
      <c r="O147" s="8"/>
      <c r="P147" s="8"/>
      <c r="Q147" s="8"/>
    </row>
    <row r="148" spans="2:20" ht="19.5" customHeight="1" outlineLevel="1" x14ac:dyDescent="0.25">
      <c r="B148" s="204" t="s">
        <v>106</v>
      </c>
      <c r="C148" s="9"/>
      <c r="D148" s="14" t="s">
        <v>19</v>
      </c>
      <c r="E148" s="6"/>
      <c r="F148" s="19">
        <v>39.956381669999999</v>
      </c>
      <c r="G148" s="19">
        <v>35.901614680000009</v>
      </c>
      <c r="H148" s="19">
        <v>36.922681321660534</v>
      </c>
      <c r="I148" s="6"/>
      <c r="J148" s="19">
        <f>+[3]H9!$C$45/1000</f>
        <v>20.774809789999999</v>
      </c>
      <c r="K148" s="19">
        <f>+[3]H9!$C$46/1000</f>
        <v>19.324455620000002</v>
      </c>
      <c r="L148" s="19">
        <f>+[3]H9!$C$47/1000</f>
        <v>20.573959486138609</v>
      </c>
      <c r="M148" s="6"/>
      <c r="N148" s="19">
        <f>+[3]H9!$EA$45/1000</f>
        <v>1.2014008800000011</v>
      </c>
      <c r="O148" s="19">
        <f>+[3]H9!$EA$46/1000</f>
        <v>1.142006730000001</v>
      </c>
      <c r="P148" s="19">
        <f>+[3]H9!$EA$47/1000</f>
        <v>1.5785220332977623</v>
      </c>
      <c r="Q148" s="6"/>
    </row>
    <row r="149" spans="2:20" ht="20.149999999999999" customHeight="1" outlineLevel="1" x14ac:dyDescent="0.25">
      <c r="B149" s="204"/>
      <c r="C149" s="9"/>
      <c r="D149" s="14" t="s">
        <v>20</v>
      </c>
      <c r="E149" s="6"/>
      <c r="F149" s="19">
        <v>38.89488166000001</v>
      </c>
      <c r="G149" s="19">
        <v>34.339636540000008</v>
      </c>
      <c r="H149" s="19">
        <v>34.780579715753724</v>
      </c>
      <c r="I149" s="6"/>
      <c r="J149" s="19">
        <f>+[3]H9!$N$45/1000</f>
        <v>8.0883617800000014</v>
      </c>
      <c r="K149" s="19">
        <f>+[3]H9!$N$46/1000</f>
        <v>8.2244270600000018</v>
      </c>
      <c r="L149" s="19">
        <f>+[3]H9!$N$47/1000</f>
        <v>9.180767293935908</v>
      </c>
      <c r="M149" s="6"/>
      <c r="N149" s="19">
        <f>+[3]H9!$EL$45/1000</f>
        <v>2.8887303499999999</v>
      </c>
      <c r="O149" s="19">
        <f>+[3]H9!$EL$46/1000</f>
        <v>2.77079144</v>
      </c>
      <c r="P149" s="19">
        <f>+[3]H9!$EL$47/1000</f>
        <v>3.0602557646453024</v>
      </c>
      <c r="Q149" s="6"/>
    </row>
    <row r="150" spans="2:20" ht="19.5" customHeight="1" outlineLevel="1" x14ac:dyDescent="0.25">
      <c r="B150" s="204"/>
      <c r="C150" s="9"/>
      <c r="D150" s="14" t="s">
        <v>92</v>
      </c>
      <c r="E150" s="6"/>
      <c r="F150" s="20">
        <f>F153-F151-F152</f>
        <v>0.69867287237299669</v>
      </c>
      <c r="G150" s="20">
        <f>G153-G151-G152</f>
        <v>0.47692328662020228</v>
      </c>
      <c r="H150" s="20">
        <f>H153-H151-H152</f>
        <v>0.60636957427339333</v>
      </c>
      <c r="I150" s="6"/>
      <c r="J150" s="20">
        <f>-(SUM([3]H9!$O$45,[3]H9!$R$45:$V$45,[3]H9!$Y$45:$AB$45)/1000)/J149</f>
        <v>0.43377324374753706</v>
      </c>
      <c r="K150" s="20">
        <f>-(SUM([3]H9!$O$46,[3]H9!$R$46:$V$46,[3]H9!$Y$46:$AB$46)/1000)/K149</f>
        <v>0.50404702719802585</v>
      </c>
      <c r="L150" s="20">
        <f>-(SUM([3]H9!$O$47,[3]H9!$R$47:$V$47,[3]H9!$Y$47:$AB$47)/1000)/L149</f>
        <v>0.38585552260305733</v>
      </c>
      <c r="M150" s="6"/>
      <c r="N150" s="20">
        <f>-(SUM([3]H9!$EM$45,[3]H9!$EP$45:$ET$45,[3]H9!$EW$45:$EZ$45)/1000)/N149</f>
        <v>0.42387986509090997</v>
      </c>
      <c r="O150" s="20">
        <f>-(SUM([3]H9!$EM$46,[3]H9!$EP$46:$ET$46,[3]H9!$EW$46:$EZ$46)/1000)/O149</f>
        <v>0.5485549753250285</v>
      </c>
      <c r="P150" s="20">
        <f>-(SUM([3]H9!$EM$47,[3]H9!$EP$47:$ET$47,[3]H9!$EW$47:$EZ$47)/1000)/P149</f>
        <v>0.16761511801555265</v>
      </c>
      <c r="Q150" s="6"/>
    </row>
    <row r="151" spans="2:20" ht="19.5" customHeight="1" outlineLevel="1" x14ac:dyDescent="0.25">
      <c r="B151" s="204"/>
      <c r="C151" s="9"/>
      <c r="D151" s="14" t="s">
        <v>93</v>
      </c>
      <c r="E151" s="6"/>
      <c r="F151" s="20">
        <f>IFERROR(SUM(INDEX(LL_TOT_BR_YTD,8,Month),INDEX(LL_IBNR_TOT_BR_YTD,8,Month))/F149,0)</f>
        <v>0</v>
      </c>
      <c r="G151" s="20">
        <f>IFERROR(SUM(INDEX(LL_TOT_BR_YTD_PREV,8,Month),INDEX(LL_IBNR_TOT_BR_YTD_PREV,8,Month))/G149,0)</f>
        <v>0</v>
      </c>
      <c r="H151" s="20">
        <f>IFERROR(SUM(INDEX(LL_TOT_BR_YTD_PLAN,8,Month),INDEX(LL_IBNR_TOT_BR_YTD_PLAN,8,Month))/H149,0)</f>
        <v>0</v>
      </c>
      <c r="I151" s="6"/>
      <c r="J151" s="20">
        <f>-(SUM([3]H9!$Q$45,[3]H9!$X$45)/1000)/J149</f>
        <v>8.790224070390143E-2</v>
      </c>
      <c r="K151" s="20">
        <f>-(SUM([3]H9!$Q$46,[3]H9!$X$46)/1000)/K149</f>
        <v>0</v>
      </c>
      <c r="L151" s="20">
        <f>-(SUM([3]H9!$Q$47,[3]H9!$X$47)/1000)/L149</f>
        <v>0.12120095781047112</v>
      </c>
      <c r="M151" s="6"/>
      <c r="N151" s="20">
        <f>-(SUM([3]H9!$EO$45,[3]H9!$EV$45)/1000)/N149</f>
        <v>0.10983371633481388</v>
      </c>
      <c r="O151" s="20">
        <f>-(SUM([3]H9!$EO$46,[3]H9!$EV$46)/1000)/O149</f>
        <v>0</v>
      </c>
      <c r="P151" s="20">
        <f>-(SUM([3]H9!$EO$47,[3]H9!$EV$47)/1000)/P149</f>
        <v>0.12120095781047113</v>
      </c>
      <c r="Q151" s="6"/>
    </row>
    <row r="152" spans="2:20" ht="19.5" customHeight="1" outlineLevel="1" x14ac:dyDescent="0.25">
      <c r="B152" s="204"/>
      <c r="C152" s="9"/>
      <c r="D152" s="14" t="s">
        <v>94</v>
      </c>
      <c r="E152" s="6"/>
      <c r="F152" s="20">
        <f>0</f>
        <v>0</v>
      </c>
      <c r="G152" s="20">
        <f>0</f>
        <v>0</v>
      </c>
      <c r="H152" s="20">
        <f>0</f>
        <v>0</v>
      </c>
      <c r="I152" s="6"/>
      <c r="J152" s="20">
        <f>-(SUM([3]H9!$P$45,[3]H9!$W$45)/1000)/J149</f>
        <v>0</v>
      </c>
      <c r="K152" s="20">
        <f>-(SUM([3]H9!$P$46,[3]H9!$W$46)/1000)/K149</f>
        <v>0</v>
      </c>
      <c r="L152" s="20">
        <f>-(SUM([3]H9!$P$47,[3]H9!$W$47)/1000)/L149</f>
        <v>0</v>
      </c>
      <c r="M152" s="6"/>
      <c r="N152" s="20">
        <f>-(SUM([3]H9!$EN$45,[3]H9!$EU$45)/1000)/N149</f>
        <v>0</v>
      </c>
      <c r="O152" s="20">
        <f>-(SUM([3]H9!$EN$46,[3]H9!$EU$46)/1000)/O149</f>
        <v>0</v>
      </c>
      <c r="P152" s="20">
        <f>-(SUM([3]H9!$EN$47,[3]H9!$EU$47)/1000)/P149</f>
        <v>0</v>
      </c>
      <c r="Q152" s="6"/>
    </row>
    <row r="153" spans="2:20" ht="19.5" customHeight="1" outlineLevel="2" x14ac:dyDescent="0.25">
      <c r="B153" s="204"/>
      <c r="C153" s="9"/>
      <c r="D153" s="14" t="s">
        <v>95</v>
      </c>
      <c r="E153" s="7"/>
      <c r="F153" s="20">
        <v>0.69867287237299669</v>
      </c>
      <c r="G153" s="20">
        <v>0.47692328662020228</v>
      </c>
      <c r="H153" s="20">
        <v>0.60636957427339333</v>
      </c>
      <c r="I153" s="7"/>
      <c r="J153" s="20">
        <f>+J150+J151+J152</f>
        <v>0.52167548445143852</v>
      </c>
      <c r="K153" s="20">
        <f>+K150+K151+K152</f>
        <v>0.50404702719802585</v>
      </c>
      <c r="L153" s="20">
        <f>+L150+L151+L152</f>
        <v>0.50705648041352847</v>
      </c>
      <c r="M153" s="7"/>
      <c r="N153" s="20">
        <f>+N150+N151+N152</f>
        <v>0.53371358142572389</v>
      </c>
      <c r="O153" s="20">
        <f>+O150+O151+O152</f>
        <v>0.5485549753250285</v>
      </c>
      <c r="P153" s="20">
        <f>+P150+P151+P152</f>
        <v>0.28881607582602375</v>
      </c>
      <c r="Q153" s="7"/>
    </row>
    <row r="154" spans="2:20" ht="20.149999999999999" customHeight="1" outlineLevel="1" x14ac:dyDescent="0.25">
      <c r="B154" s="204"/>
      <c r="C154" s="9"/>
      <c r="D154" s="14" t="s">
        <v>96</v>
      </c>
      <c r="E154" s="7"/>
      <c r="F154" s="20">
        <v>5.6663226777895473E-3</v>
      </c>
      <c r="G154" s="20">
        <v>-2.030074194838988E-3</v>
      </c>
      <c r="H154" s="20">
        <v>0</v>
      </c>
      <c r="I154" s="7"/>
      <c r="J154" s="20">
        <f>-(SUM([3]H9!$AC$45:$AK$45)/1000)/J149</f>
        <v>-4.9066724609343533E-2</v>
      </c>
      <c r="K154" s="20">
        <f>-(SUM([3]H9!$AC$46:$AK$46)/1000)/K149</f>
        <v>-0.25291619766641837</v>
      </c>
      <c r="L154" s="20">
        <f>-(SUM([3]H9!$AC$47:$AK$47)/1000)/L149</f>
        <v>-1.0050496969027206E-2</v>
      </c>
      <c r="M154" s="7"/>
      <c r="N154" s="20">
        <f>-(SUM([3]H9!$FA$45:$FI$45)/1000)/N149</f>
        <v>0.21155693192339681</v>
      </c>
      <c r="O154" s="20">
        <f>-(SUM([3]H9!$FA$46:$FI$46)/1000)/O149</f>
        <v>-0.18394541813655979</v>
      </c>
      <c r="P154" s="20">
        <f>-(SUM([3]H9!$FA$47:$FI$47)/1000)/P149</f>
        <v>-1.0050496969027206E-2</v>
      </c>
      <c r="Q154" s="7"/>
    </row>
    <row r="155" spans="2:20" ht="20.149999999999999" customHeight="1" outlineLevel="2" x14ac:dyDescent="0.25">
      <c r="B155" s="204"/>
      <c r="C155" s="9"/>
      <c r="D155" s="15" t="s">
        <v>87</v>
      </c>
      <c r="E155" s="7"/>
      <c r="F155" s="20">
        <v>0.14842470046481682</v>
      </c>
      <c r="G155" s="20">
        <v>0.14479700052177655</v>
      </c>
      <c r="H155" s="20">
        <v>0.14035990349661451</v>
      </c>
      <c r="I155" s="7"/>
      <c r="J155" s="20">
        <f>-(SUM([3]H9!$AL$45:$AN$45)/1000)/J149</f>
        <v>0.17464464849889555</v>
      </c>
      <c r="K155" s="20">
        <f>-(SUM([3]H9!$AL$46:$AN$46)/1000)/K149</f>
        <v>0.17069651779488215</v>
      </c>
      <c r="L155" s="20">
        <f>-(SUM([3]H9!$AL$47:$AN$47)/1000)/L149</f>
        <v>0.14257401948908532</v>
      </c>
      <c r="M155" s="7"/>
      <c r="N155" s="20">
        <f>-(SUM([3]H9!$FJ$45:$FL$45)/1000)/N149</f>
        <v>0.17543177057007059</v>
      </c>
      <c r="O155" s="20">
        <f>-(SUM([3]H9!$FJ$46:$FL$46)/1000)/O149</f>
        <v>0.1692556622016993</v>
      </c>
      <c r="P155" s="20">
        <f>-(SUM([3]H9!$FJ$47:$FL$47)/1000)/P149</f>
        <v>0.14257401948908538</v>
      </c>
      <c r="Q155" s="7"/>
    </row>
    <row r="156" spans="2:20" ht="20.149999999999999" customHeight="1" outlineLevel="2" x14ac:dyDescent="0.25">
      <c r="B156" s="204"/>
      <c r="C156" s="9"/>
      <c r="D156" s="15" t="s">
        <v>88</v>
      </c>
      <c r="E156" s="7"/>
      <c r="F156" s="20">
        <v>0.10688467614687169</v>
      </c>
      <c r="G156" s="20">
        <v>0.1200591187154131</v>
      </c>
      <c r="H156" s="20">
        <v>0.12893493499093631</v>
      </c>
      <c r="I156" s="7"/>
      <c r="J156" s="20">
        <f>-(SUM([3]H9!$AO$45:$AR$45)/1000)/J149</f>
        <v>9.3436064132136273E-2</v>
      </c>
      <c r="K156" s="20">
        <f>-(SUM([3]H9!$AO$46:$AR$46)/1000)/K149</f>
        <v>0.12721481051106798</v>
      </c>
      <c r="L156" s="20">
        <f>-(SUM([3]H9!$AO$47:$AR$47)/1000)/L149</f>
        <v>0.10815635930701163</v>
      </c>
      <c r="M156" s="7"/>
      <c r="N156" s="20">
        <f>-(SUM([3]H9!$FM$45:$FP$45)/1000)/N149</f>
        <v>8.527953465784717E-2</v>
      </c>
      <c r="O156" s="20">
        <f>-(SUM([3]H9!$FM$46:$FP$46)/1000)/O149</f>
        <v>0.12742959101966911</v>
      </c>
      <c r="P156" s="20">
        <f>-(SUM([3]H9!$FM$47:$FP$47)/1000)/P149</f>
        <v>0.10815635930701162</v>
      </c>
      <c r="Q156" s="7"/>
    </row>
    <row r="157" spans="2:20" ht="20.149999999999999" customHeight="1" outlineLevel="1" x14ac:dyDescent="0.25">
      <c r="B157" s="204"/>
      <c r="C157" s="9"/>
      <c r="D157" s="14" t="s">
        <v>97</v>
      </c>
      <c r="E157" s="7"/>
      <c r="F157" s="20">
        <v>0.25530937661168845</v>
      </c>
      <c r="G157" s="20">
        <v>0.2648561192371896</v>
      </c>
      <c r="H157" s="20">
        <v>0.26929483848755081</v>
      </c>
      <c r="I157" s="7"/>
      <c r="J157" s="20">
        <f>+J155+J156</f>
        <v>0.26808071263103184</v>
      </c>
      <c r="K157" s="20">
        <f>+K155+K156</f>
        <v>0.29791132830595013</v>
      </c>
      <c r="L157" s="20">
        <f>+L155+L156</f>
        <v>0.25073037879609694</v>
      </c>
      <c r="M157" s="7"/>
      <c r="N157" s="20">
        <f>+N155+N156</f>
        <v>0.26071130522791774</v>
      </c>
      <c r="O157" s="20">
        <f>+O155+O156</f>
        <v>0.29668525322136841</v>
      </c>
      <c r="P157" s="20">
        <f>+P155+P156</f>
        <v>0.250730378796097</v>
      </c>
      <c r="Q157" s="7"/>
    </row>
    <row r="158" spans="2:20" ht="20.149999999999999" customHeight="1" outlineLevel="1" x14ac:dyDescent="0.25">
      <c r="B158" s="204"/>
      <c r="C158" s="9"/>
      <c r="D158" s="14" t="s">
        <v>90</v>
      </c>
      <c r="E158" s="7"/>
      <c r="F158" s="20"/>
      <c r="G158" s="20"/>
      <c r="H158" s="20"/>
      <c r="I158" s="7"/>
      <c r="J158" s="20">
        <f>-(SUM([3]H9!$AT$45:$BJ$45)/1000/J149)</f>
        <v>0.22215692483527852</v>
      </c>
      <c r="K158" s="20">
        <f>-(SUM([3]H9!$AT$46:$BJ$46)/1000/K149)</f>
        <v>5.6365246675310642E-2</v>
      </c>
      <c r="L158" s="20">
        <f>-(SUM([3]H9!$AT$47:$BJ$47)/1000/L149)</f>
        <v>4.331078296090593E-2</v>
      </c>
      <c r="M158" s="7"/>
      <c r="N158" s="20">
        <f>-(SUM([3]H9!$FR$45:$GH$45)/1000/N149)</f>
        <v>7.5792204004087815E-2</v>
      </c>
      <c r="O158" s="20">
        <f>-(SUM([3]H9!$FR$46:$GH$46)/1000/O149)</f>
        <v>4.3823828905722326E-2</v>
      </c>
      <c r="P158" s="20">
        <f>-(SUM([3]H9!$FR$47:$GH$47)/1000/P149)</f>
        <v>4.3310782960905916E-2</v>
      </c>
      <c r="Q158" s="7"/>
    </row>
    <row r="159" spans="2:20" ht="20.149999999999999" customHeight="1" outlineLevel="1" x14ac:dyDescent="0.25">
      <c r="B159" s="204"/>
      <c r="C159" s="9"/>
      <c r="D159" s="14" t="s">
        <v>79</v>
      </c>
      <c r="E159" s="8"/>
      <c r="F159" s="20">
        <v>0.95964857166247464</v>
      </c>
      <c r="G159" s="20">
        <v>0.73974933166255308</v>
      </c>
      <c r="H159" s="20">
        <v>0.8756644127609442</v>
      </c>
      <c r="I159" s="8"/>
      <c r="J159" s="20">
        <f>+J153+J154+J157+J158</f>
        <v>0.96284639730840527</v>
      </c>
      <c r="K159" s="20">
        <f>+K153+K154+K157+K158</f>
        <v>0.60540740451286823</v>
      </c>
      <c r="L159" s="20">
        <f>+L153+L154+L157+L158</f>
        <v>0.7910471452015041</v>
      </c>
      <c r="M159" s="8"/>
      <c r="N159" s="20">
        <f>+N153+N154+N157+N158</f>
        <v>1.0817740225811261</v>
      </c>
      <c r="O159" s="20">
        <f>+O153+O154+O157+O158</f>
        <v>0.7051186393155594</v>
      </c>
      <c r="P159" s="20">
        <f>+P153+P154+P157+P158</f>
        <v>0.5728067406139995</v>
      </c>
      <c r="Q159" s="8"/>
    </row>
    <row r="160" spans="2:20" ht="19.5" customHeight="1" outlineLevel="1" x14ac:dyDescent="0.25">
      <c r="B160" s="204"/>
      <c r="C160" s="9"/>
      <c r="D160" s="14" t="s">
        <v>34</v>
      </c>
      <c r="E160" s="6"/>
      <c r="F160" s="19">
        <v>1.5694640300000162</v>
      </c>
      <c r="G160" s="19">
        <v>8.946853150000015</v>
      </c>
      <c r="H160" s="19">
        <v>4.3244638034730354</v>
      </c>
      <c r="I160" s="6"/>
      <c r="J160" s="19">
        <f>+[3]H9!$BK$45/1000</f>
        <v>0.30051177999999845</v>
      </c>
      <c r="K160" s="19">
        <f>+[3]H9!$BK$46/1000</f>
        <v>3.2452980200000034</v>
      </c>
      <c r="L160" s="19">
        <f>+[3]H9!$BK$47/1000</f>
        <v>1.9183475353085684</v>
      </c>
      <c r="M160" s="6"/>
      <c r="N160" s="19">
        <f>+[3]H9!$GI$45/1000</f>
        <v>-0.23622310087168491</v>
      </c>
      <c r="O160" s="19">
        <f>+[3]H9!$GI$46/1000</f>
        <v>0.81705475000000072</v>
      </c>
      <c r="P160" s="19">
        <f>+[3]H9!$GI$47/1000</f>
        <v>1.3073206346536239</v>
      </c>
      <c r="Q160" s="6"/>
      <c r="T160" s="34">
        <f>1-J160/J149</f>
        <v>0.96284639730840549</v>
      </c>
    </row>
    <row r="161" spans="2:22" ht="7.5" customHeight="1" outlineLevel="1" x14ac:dyDescent="0.25">
      <c r="D161" s="21"/>
      <c r="E161" s="22"/>
      <c r="F161" s="8"/>
      <c r="G161" s="8"/>
      <c r="H161" s="8"/>
      <c r="I161" s="8"/>
      <c r="J161" s="8"/>
      <c r="K161" s="8"/>
      <c r="L161" s="8"/>
      <c r="M161" s="8"/>
      <c r="N161" s="6"/>
      <c r="O161" s="8"/>
      <c r="P161" s="8"/>
      <c r="Q161" s="8"/>
    </row>
    <row r="162" spans="2:22" ht="19.5" customHeight="1" outlineLevel="1" x14ac:dyDescent="0.25">
      <c r="B162" s="204" t="s">
        <v>107</v>
      </c>
      <c r="C162" s="9"/>
      <c r="D162" s="14" t="s">
        <v>19</v>
      </c>
      <c r="E162" s="6"/>
      <c r="F162" s="19">
        <v>4.6081165099999994</v>
      </c>
      <c r="G162" s="19">
        <v>4.81530491</v>
      </c>
      <c r="H162" s="19">
        <v>4.6299022050921828</v>
      </c>
      <c r="I162" s="6"/>
      <c r="J162" s="19">
        <f>+[3]H9!$C$53/1000</f>
        <v>5.8662681300000079</v>
      </c>
      <c r="K162" s="19">
        <f>+[3]H9!$C$54/1000</f>
        <v>3.7568863499999985</v>
      </c>
      <c r="L162" s="19">
        <f>+[3]H9!$C$55/1000</f>
        <v>5.0179404784264108</v>
      </c>
      <c r="M162" s="6"/>
      <c r="N162" s="19">
        <f>+[3]H9!$EA$53/1000</f>
        <v>0.30228588000000034</v>
      </c>
      <c r="O162" s="19">
        <f>+[3]H9!$EA$54/1000</f>
        <v>0.22275426999999989</v>
      </c>
      <c r="P162" s="19">
        <f>+[3]H9!$EA$55/1000</f>
        <v>0.63869133854646221</v>
      </c>
      <c r="Q162" s="6"/>
    </row>
    <row r="163" spans="2:22" ht="20.149999999999999" customHeight="1" outlineLevel="1" x14ac:dyDescent="0.25">
      <c r="B163" s="204"/>
      <c r="C163" s="9"/>
      <c r="D163" s="14" t="s">
        <v>20</v>
      </c>
      <c r="E163" s="6"/>
      <c r="F163" s="19">
        <v>-1.7088570000000278E-2</v>
      </c>
      <c r="G163" s="19">
        <v>-2.7836631900000022</v>
      </c>
      <c r="H163" s="19">
        <v>0.52833225436411024</v>
      </c>
      <c r="I163" s="6"/>
      <c r="J163" s="19">
        <f>+[3]H9!$N$53/1000</f>
        <v>4.0425233700000076</v>
      </c>
      <c r="K163" s="19">
        <f>+[3]H9!$N$54/1000</f>
        <v>1.7345666299999993</v>
      </c>
      <c r="L163" s="19">
        <f>+[3]H9!$N$55/1000</f>
        <v>3.2016311764955327</v>
      </c>
      <c r="M163" s="6"/>
      <c r="N163" s="19">
        <f>+[3]H9!$EL$53/1000</f>
        <v>1.2045462900000006</v>
      </c>
      <c r="O163" s="19">
        <f>+[3]H9!$EL$54/1000</f>
        <v>0.63268595000000027</v>
      </c>
      <c r="P163" s="19">
        <f>+[3]H9!$EL$55/1000</f>
        <v>1.0672103921651774</v>
      </c>
      <c r="Q163" s="6"/>
    </row>
    <row r="164" spans="2:22" ht="19.5" customHeight="1" outlineLevel="1" x14ac:dyDescent="0.25">
      <c r="B164" s="204"/>
      <c r="C164" s="9"/>
      <c r="D164" s="14" t="s">
        <v>92</v>
      </c>
      <c r="E164" s="6"/>
      <c r="F164" s="20">
        <f>F167-F165-F166</f>
        <v>-0.76858040198798272</v>
      </c>
      <c r="G164" s="20">
        <f>G167-G165-G166</f>
        <v>-2.335659724695354E-3</v>
      </c>
      <c r="H164" s="20">
        <f>H167-H165-H166</f>
        <v>0.20755285761585987</v>
      </c>
      <c r="I164" s="6"/>
      <c r="J164" s="20">
        <f>-(SUM([3]H9!$O$53,[3]H9!$R$53:$V$53,[3]H9!$Y$53:$AB$53)/1000)/J163</f>
        <v>0.14374215973920243</v>
      </c>
      <c r="K164" s="20">
        <f>-(SUM([3]H9!$O$54,[3]H9!$R$54:$V$54,[3]H9!$Y$54:$AB$54)/1000)/K163</f>
        <v>0.31475569779640006</v>
      </c>
      <c r="L164" s="20">
        <f>-(SUM([3]H9!$O$55,[3]H9!$R$55:$V$55,[3]H9!$Y$55:$AB$55)/1000)/L163</f>
        <v>0.16973081463768674</v>
      </c>
      <c r="M164" s="6"/>
      <c r="N164" s="20">
        <f>-(SUM([3]H9!$EM$53,[3]H9!$EP$53:$ET$53,[3]H9!$EW$53:$EZ$53)/1000)/N163</f>
        <v>0.1683995722572022</v>
      </c>
      <c r="O164" s="20">
        <f>-(SUM([3]H9!$EM$54,[3]H9!$EP$54:$ET$54,[3]H9!$EW$54:$EZ$54)/1000)/O163</f>
        <v>0.36952932177488668</v>
      </c>
      <c r="P164" s="20">
        <f>-(SUM([3]H9!$EM$55,[3]H9!$EP$55:$ET$55,[3]H9!$EW$55:$EZ$55)/1000)/P163</f>
        <v>0.16973081463768683</v>
      </c>
      <c r="Q164" s="6"/>
    </row>
    <row r="165" spans="2:22" ht="19.5" customHeight="1" outlineLevel="1" x14ac:dyDescent="0.25">
      <c r="B165" s="204"/>
      <c r="C165" s="9"/>
      <c r="D165" s="14" t="s">
        <v>93</v>
      </c>
      <c r="E165" s="6"/>
      <c r="F165" s="20">
        <f>0</f>
        <v>0</v>
      </c>
      <c r="G165" s="20">
        <f>0</f>
        <v>0</v>
      </c>
      <c r="H165" s="20">
        <f>0</f>
        <v>0</v>
      </c>
      <c r="I165" s="6"/>
      <c r="J165" s="20">
        <f>-(SUM([3]H9!$Q$53,[3]H9!$X$53)/1000)/J163</f>
        <v>0</v>
      </c>
      <c r="K165" s="20">
        <f>-(SUM([3]H9!$Q$54,[3]H9!$X$54)/1000)/K163</f>
        <v>0</v>
      </c>
      <c r="L165" s="20">
        <f>-(SUM([3]H9!$Q$55,[3]H9!$X$55)/1000)/L163</f>
        <v>0</v>
      </c>
      <c r="M165" s="6"/>
      <c r="N165" s="20">
        <f>-(SUM([3]H9!$EO$53,[3]H9!$EV$53)/1000)/N163</f>
        <v>0</v>
      </c>
      <c r="O165" s="20">
        <f>-(SUM([3]H9!$EO$54,[3]H9!$EV$54)/1000)/O163</f>
        <v>0</v>
      </c>
      <c r="P165" s="20">
        <f>-(SUM([3]H9!$EO$55,[3]H9!$EV$55)/1000)/P163</f>
        <v>0</v>
      </c>
      <c r="Q165" s="6"/>
    </row>
    <row r="166" spans="2:22" ht="19.5" customHeight="1" outlineLevel="1" x14ac:dyDescent="0.25">
      <c r="B166" s="204"/>
      <c r="C166" s="9"/>
      <c r="D166" s="14" t="s">
        <v>94</v>
      </c>
      <c r="E166" s="6"/>
      <c r="F166" s="20">
        <f>0</f>
        <v>0</v>
      </c>
      <c r="G166" s="20">
        <f>0</f>
        <v>0</v>
      </c>
      <c r="H166" s="20">
        <f>0</f>
        <v>0</v>
      </c>
      <c r="I166" s="6"/>
      <c r="J166" s="20">
        <f>-(SUM([3]H9!$P$53,[3]H9!$W$53)/1000)/J163</f>
        <v>0</v>
      </c>
      <c r="K166" s="20">
        <f>-(SUM([3]H9!$P$54,[3]H9!$W$54)/1000)/K163</f>
        <v>0</v>
      </c>
      <c r="L166" s="20">
        <f>-(SUM([3]H9!$P$55,[3]H9!$W$55)/1000)/L163</f>
        <v>0</v>
      </c>
      <c r="M166" s="6"/>
      <c r="N166" s="20">
        <f>-(SUM([3]H9!$EN$53,[3]H9!$EU$53)/1000)/N163</f>
        <v>0</v>
      </c>
      <c r="O166" s="20">
        <f>-(SUM([3]H9!$EN$54,[3]H9!$EU$54)/1000)/O163</f>
        <v>0</v>
      </c>
      <c r="P166" s="20">
        <f>-(SUM([3]H9!$EN$55,[3]H9!$EU$55)/1000)/P163</f>
        <v>0</v>
      </c>
      <c r="Q166" s="6"/>
    </row>
    <row r="167" spans="2:22" ht="19.5" customHeight="1" outlineLevel="2" x14ac:dyDescent="0.25">
      <c r="B167" s="204"/>
      <c r="C167" s="9"/>
      <c r="D167" s="14" t="s">
        <v>95</v>
      </c>
      <c r="E167" s="7"/>
      <c r="F167" s="20">
        <v>-0.76858040198798272</v>
      </c>
      <c r="G167" s="20">
        <v>-2.335659724695354E-3</v>
      </c>
      <c r="H167" s="20">
        <v>0.20755285761585987</v>
      </c>
      <c r="I167" s="7"/>
      <c r="J167" s="20">
        <f>+J164+J165+J166</f>
        <v>0.14374215973920243</v>
      </c>
      <c r="K167" s="20">
        <f>+K164+K165+K166</f>
        <v>0.31475569779640006</v>
      </c>
      <c r="L167" s="20">
        <f>+L164+L165+L166</f>
        <v>0.16973081463768674</v>
      </c>
      <c r="M167" s="7"/>
      <c r="N167" s="20">
        <f>+N164+N165+N166</f>
        <v>0.1683995722572022</v>
      </c>
      <c r="O167" s="20">
        <f>+O164+O165+O166</f>
        <v>0.36952932177488668</v>
      </c>
      <c r="P167" s="20">
        <f>+P164+P165+P166</f>
        <v>0.16973081463768683</v>
      </c>
      <c r="Q167" s="7"/>
    </row>
    <row r="168" spans="2:22" ht="20.149999999999999" customHeight="1" outlineLevel="1" x14ac:dyDescent="0.25">
      <c r="B168" s="204"/>
      <c r="C168" s="9"/>
      <c r="D168" s="14" t="s">
        <v>96</v>
      </c>
      <c r="E168" s="7"/>
      <c r="F168" s="20">
        <v>-2.4574701101379057</v>
      </c>
      <c r="G168" s="20">
        <v>4.1963995651356077E-2</v>
      </c>
      <c r="H168" s="20">
        <v>0</v>
      </c>
      <c r="I168" s="7"/>
      <c r="J168" s="20">
        <f>-(SUM([3]H9!$AC$53:$AK$53)/1000)/J163</f>
        <v>-0.42084028817871671</v>
      </c>
      <c r="K168" s="20">
        <f>-(SUM([3]H9!$AC$54:$AK$54)/1000)/K163</f>
        <v>-0.5153521603260629</v>
      </c>
      <c r="L168" s="20">
        <f>-(SUM([3]H9!$AC$55:$AK$55)/1000)/L163</f>
        <v>-3.0678726057983404E-3</v>
      </c>
      <c r="M168" s="7"/>
      <c r="N168" s="20">
        <f>-(SUM([3]H9!$FA$53:$FI$53)/1000)/N163</f>
        <v>-1.2851909078562684</v>
      </c>
      <c r="O168" s="20">
        <f>-(SUM([3]H9!$FA$54:$FI$54)/1000)/O163</f>
        <v>-0.83592510628693217</v>
      </c>
      <c r="P168" s="20">
        <f>-(SUM([3]H9!$FA$55:$FI$55)/1000)/P163</f>
        <v>-3.0678726057983422E-3</v>
      </c>
      <c r="Q168" s="7"/>
    </row>
    <row r="169" spans="2:22" ht="20.149999999999999" customHeight="1" outlineLevel="2" x14ac:dyDescent="0.25">
      <c r="B169" s="204"/>
      <c r="C169" s="9"/>
      <c r="D169" s="15" t="s">
        <v>87</v>
      </c>
      <c r="E169" s="7"/>
      <c r="F169" s="20" t="e">
        <v>#VALUE!</v>
      </c>
      <c r="G169" s="20">
        <v>0.69392591637496137</v>
      </c>
      <c r="H169" s="20">
        <v>0</v>
      </c>
      <c r="I169" s="7"/>
      <c r="J169" s="20">
        <f>-(SUM([3]H9!$AL$53:$AN$53)/1000)/J163</f>
        <v>0.1353488551384672</v>
      </c>
      <c r="K169" s="20">
        <f>-(SUM([3]H9!$AL$54:$AN$54)/1000)/K163</f>
        <v>0.11964474377095566</v>
      </c>
      <c r="L169" s="20">
        <f>-(SUM([3]H9!$AL$55:$AN$55)/1000)/L163</f>
        <v>0.12941879554963664</v>
      </c>
      <c r="M169" s="7"/>
      <c r="N169" s="20">
        <f>-(SUM([3]H9!$FJ$53:$FL$53)/1000)/N163</f>
        <v>0.1225281263370958</v>
      </c>
      <c r="O169" s="20">
        <f>-(SUM([3]H9!$FJ$54:$FL$54)/1000)/O163</f>
        <v>0.14197215854089984</v>
      </c>
      <c r="P169" s="20">
        <f>-(SUM([3]H9!$FJ$55:$FL$55)/1000)/P163</f>
        <v>0.12941879554963664</v>
      </c>
      <c r="Q169" s="7"/>
    </row>
    <row r="170" spans="2:22" ht="20.149999999999999" customHeight="1" outlineLevel="2" x14ac:dyDescent="0.25">
      <c r="B170" s="204"/>
      <c r="C170" s="9"/>
      <c r="D170" s="15" t="s">
        <v>88</v>
      </c>
      <c r="E170" s="7"/>
      <c r="F170" s="20">
        <v>-5.5305411745979018</v>
      </c>
      <c r="G170" s="20">
        <v>-0.23070346739757674</v>
      </c>
      <c r="H170" s="20">
        <v>0.26671487523132692</v>
      </c>
      <c r="I170" s="7"/>
      <c r="J170" s="20">
        <f>-(SUM([3]H9!$AO$53:$AR$53)/1000)/J163</f>
        <v>5.8002432772577786E-2</v>
      </c>
      <c r="K170" s="20">
        <f>-(SUM([3]H9!$AO$54:$AR$54)/1000)/K163</f>
        <v>7.2557374172475597E-2</v>
      </c>
      <c r="L170" s="20">
        <f>-(SUM([3]H9!$AO$55:$AR$55)/1000)/L163</f>
        <v>7.9231904030293038E-2</v>
      </c>
      <c r="M170" s="7"/>
      <c r="N170" s="20">
        <f>-(SUM([3]H9!$FM$53:$FP$53)/1000)/N163</f>
        <v>6.8278729246677564E-2</v>
      </c>
      <c r="O170" s="20">
        <f>-(SUM([3]H9!$FM$54:$FP$54)/1000)/O163</f>
        <v>6.6473611433919125E-2</v>
      </c>
      <c r="P170" s="20">
        <f>-(SUM([3]H9!$FM$55:$FP$55)/1000)/P163</f>
        <v>7.9231904030293038E-2</v>
      </c>
      <c r="Q170" s="7"/>
    </row>
    <row r="171" spans="2:22" ht="20.149999999999999" customHeight="1" outlineLevel="1" x14ac:dyDescent="0.25">
      <c r="B171" s="204"/>
      <c r="C171" s="9"/>
      <c r="D171" s="14" t="s">
        <v>97</v>
      </c>
      <c r="E171" s="7"/>
      <c r="F171" s="20" t="e">
        <v>#VALUE!</v>
      </c>
      <c r="G171" s="20">
        <v>0.46322244897738468</v>
      </c>
      <c r="H171" s="20">
        <v>0.26671487523132692</v>
      </c>
      <c r="I171" s="7"/>
      <c r="J171" s="20">
        <f>+J169+J170</f>
        <v>0.193351287911045</v>
      </c>
      <c r="K171" s="20">
        <f>+K169+K170</f>
        <v>0.19220211794343126</v>
      </c>
      <c r="L171" s="20">
        <f>+L169+L170</f>
        <v>0.20865069957992968</v>
      </c>
      <c r="M171" s="7"/>
      <c r="N171" s="20">
        <f>+N169+N170</f>
        <v>0.19080685558377336</v>
      </c>
      <c r="O171" s="20">
        <f>+O169+O170</f>
        <v>0.20844576997481895</v>
      </c>
      <c r="P171" s="20">
        <f>+P169+P170</f>
        <v>0.20865069957992968</v>
      </c>
      <c r="Q171" s="7"/>
    </row>
    <row r="172" spans="2:22" ht="20.149999999999999" customHeight="1" outlineLevel="1" x14ac:dyDescent="0.25">
      <c r="B172" s="204"/>
      <c r="C172" s="9"/>
      <c r="D172" s="14" t="s">
        <v>90</v>
      </c>
      <c r="E172" s="7"/>
      <c r="F172" s="20"/>
      <c r="G172" s="20"/>
      <c r="H172" s="20"/>
      <c r="I172" s="7"/>
      <c r="J172" s="20">
        <f>-(SUM([3]H9!$AT$53:$BJ$53)/1000/J163)</f>
        <v>4.0043548344409381E-2</v>
      </c>
      <c r="K172" s="20">
        <f>-(SUM([3]H9!$AT$54:$BJ$54)/1000/K163)</f>
        <v>5.6149719656488517E-2</v>
      </c>
      <c r="L172" s="20">
        <f>-(SUM([3]H9!$AT$55:$BJ$55)/1000/L163)</f>
        <v>4.5710116741529076E-2</v>
      </c>
      <c r="M172" s="7"/>
      <c r="N172" s="20">
        <f>-(SUM([3]H9!$FR$53:$GH$53)/1000/N163)</f>
        <v>2.6170276943030556E-2</v>
      </c>
      <c r="O172" s="20">
        <f>-(SUM([3]H9!$FR$54:$GH$54)/1000/O163)</f>
        <v>-1.9656987799397153E-2</v>
      </c>
      <c r="P172" s="20">
        <f>-(SUM([3]H9!$FR$55:$GH$55)/1000/P163)</f>
        <v>4.5710116741529097E-2</v>
      </c>
      <c r="Q172" s="7"/>
    </row>
    <row r="173" spans="2:22" ht="20.149999999999999" customHeight="1" outlineLevel="1" x14ac:dyDescent="0.25">
      <c r="B173" s="204"/>
      <c r="C173" s="9"/>
      <c r="D173" s="14" t="s">
        <v>79</v>
      </c>
      <c r="E173" s="8"/>
      <c r="F173" s="20" t="e">
        <v>#VALUE!</v>
      </c>
      <c r="G173" s="20">
        <v>0.50285078490404533</v>
      </c>
      <c r="H173" s="20">
        <v>0.47426773284718676</v>
      </c>
      <c r="I173" s="8"/>
      <c r="J173" s="20">
        <f>+J167+J168+J171+J172</f>
        <v>-4.3703292184059932E-2</v>
      </c>
      <c r="K173" s="20">
        <f>+K167+K168+K171+K172</f>
        <v>4.7755375070256928E-2</v>
      </c>
      <c r="L173" s="20">
        <f>+L167+L168+L171+L172</f>
        <v>0.42102375835334721</v>
      </c>
      <c r="M173" s="8"/>
      <c r="N173" s="20">
        <f>+N167+N168+N171+N172</f>
        <v>-0.89981420307226223</v>
      </c>
      <c r="O173" s="20">
        <f>+O167+O168+O171+O172</f>
        <v>-0.27760700233662372</v>
      </c>
      <c r="P173" s="20">
        <f>+P167+P168+P171+P172</f>
        <v>0.42102375835334721</v>
      </c>
      <c r="Q173" s="8"/>
    </row>
    <row r="174" spans="2:22" ht="19.5" customHeight="1" outlineLevel="1" x14ac:dyDescent="0.25">
      <c r="B174" s="204"/>
      <c r="C174" s="9"/>
      <c r="D174" s="14" t="s">
        <v>34</v>
      </c>
      <c r="E174" s="6"/>
      <c r="F174" s="19">
        <v>1.0582190099999995</v>
      </c>
      <c r="G174" s="19">
        <v>-1.3838959700000022</v>
      </c>
      <c r="H174" s="19">
        <v>0.27776131389680048</v>
      </c>
      <c r="I174" s="6"/>
      <c r="J174" s="19">
        <f>+[3]H9!$BK$53/1000</f>
        <v>4.2191949500000074</v>
      </c>
      <c r="K174" s="19">
        <f>+[3]H9!$BK$54/1000</f>
        <v>1.6517317499999977</v>
      </c>
      <c r="L174" s="19">
        <f>+[3]H9!$BK$55/1000</f>
        <v>1.8536683857061353</v>
      </c>
      <c r="M174" s="6"/>
      <c r="N174" s="19">
        <f>+[3]H9!$GI$53/1000</f>
        <v>2.2884141500000017</v>
      </c>
      <c r="O174" s="19">
        <f>+[3]H9!$GI$54/1000</f>
        <v>0.80832399999999904</v>
      </c>
      <c r="P174" s="19">
        <f>+[3]H9!$GI$55/1000</f>
        <v>0.61788946190204486</v>
      </c>
      <c r="Q174" s="6"/>
      <c r="T174" s="34">
        <f>1-P174/P163</f>
        <v>0.42102375835334727</v>
      </c>
      <c r="U174" s="34"/>
      <c r="V174" s="34"/>
    </row>
    <row r="175" spans="2:22" ht="7.5" customHeight="1" outlineLevel="1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2:22" ht="19.5" customHeight="1" x14ac:dyDescent="0.25">
      <c r="B176" s="224" t="s">
        <v>46</v>
      </c>
      <c r="C176" s="9"/>
      <c r="D176" s="17" t="s">
        <v>19</v>
      </c>
      <c r="E176" s="6"/>
      <c r="F176" s="23">
        <v>0</v>
      </c>
      <c r="G176" s="23">
        <v>0</v>
      </c>
      <c r="H176" s="23">
        <v>0</v>
      </c>
      <c r="I176" s="6"/>
      <c r="J176" s="23">
        <f>+[2]H9!$C$65/1000</f>
        <v>48.504736440000016</v>
      </c>
      <c r="K176" s="23">
        <f>+[2]H9!$C$66/1000</f>
        <v>45.171235540000012</v>
      </c>
      <c r="L176" s="23">
        <f>+[2]H9!$C$67/1000</f>
        <v>49.222526283908522</v>
      </c>
      <c r="M176" s="6"/>
      <c r="N176" s="23">
        <f>+[2]H9!$EA$65/1000</f>
        <v>4.725789040000004</v>
      </c>
      <c r="O176" s="23">
        <f>+[2]H9!$EA$66/1000</f>
        <v>3.7562335800000008</v>
      </c>
      <c r="P176" s="23">
        <f>+[2]H9!$EA$67/1000</f>
        <v>5.9360936249677652</v>
      </c>
      <c r="Q176" s="6"/>
    </row>
    <row r="177" spans="2:20" ht="20.149999999999999" customHeight="1" x14ac:dyDescent="0.25">
      <c r="B177" s="224"/>
      <c r="C177" s="9"/>
      <c r="D177" s="17" t="s">
        <v>20</v>
      </c>
      <c r="E177" s="6"/>
      <c r="F177" s="23">
        <v>0</v>
      </c>
      <c r="G177" s="23">
        <v>0</v>
      </c>
      <c r="H177" s="23">
        <v>0</v>
      </c>
      <c r="I177" s="6"/>
      <c r="J177" s="23">
        <f>+[2]H9!$N$65/1000</f>
        <v>26.890925740000014</v>
      </c>
      <c r="K177" s="23">
        <f>+[2]H9!$N$66/1000</f>
        <v>25.13832042999999</v>
      </c>
      <c r="L177" s="23">
        <f>+[2]H9!$N$67/1000</f>
        <v>29.435033999806059</v>
      </c>
      <c r="M177" s="6"/>
      <c r="N177" s="23">
        <f>+[2]H9!$EL$65/1000</f>
        <v>9.247668580000008</v>
      </c>
      <c r="O177" s="23">
        <f>+[2]H9!$EL$66/1000</f>
        <v>7.6772991000000008</v>
      </c>
      <c r="P177" s="23">
        <f>+[2]H9!$EL$67/1000</f>
        <v>9.8116779999353536</v>
      </c>
      <c r="Q177" s="6"/>
    </row>
    <row r="178" spans="2:20" ht="19.5" customHeight="1" x14ac:dyDescent="0.25">
      <c r="B178" s="224"/>
      <c r="C178" s="9"/>
      <c r="D178" s="17" t="s">
        <v>92</v>
      </c>
      <c r="E178" s="6"/>
      <c r="F178" s="24">
        <f>0</f>
        <v>0</v>
      </c>
      <c r="G178" s="24">
        <f>0</f>
        <v>0</v>
      </c>
      <c r="H178" s="24">
        <f>0</f>
        <v>0</v>
      </c>
      <c r="I178" s="6"/>
      <c r="J178" s="24">
        <f>-(SUM([2]H9!$O$65,[2]H9!$R$65:$V$65,[2]H9!$Y$65:$AB$65)/1000)/J177</f>
        <v>0.28462324077975509</v>
      </c>
      <c r="K178" s="24">
        <f>-(SUM([2]H9!$O$66,[2]H9!$R$66:$V$66,[2]H9!$Y$66:$AB$66)/1000)/K177</f>
        <v>0.38463040388573827</v>
      </c>
      <c r="L178" s="24">
        <f>-(SUM([2]H9!$O$67,[2]H9!$R$67:$V$67,[2]H9!$Y$67:$AB$67)/1000)/L177</f>
        <v>0.33512060379578401</v>
      </c>
      <c r="M178" s="6"/>
      <c r="N178" s="24">
        <f>-(SUM([2]H9!$EM$65,[2]H9!$EP$65:$ET$65,[2]H9!$EW$65:$EZ$65)/1000)/N177</f>
        <v>0.28532586292893364</v>
      </c>
      <c r="O178" s="24">
        <f>-(SUM([2]H9!$EM$66,[2]H9!$EP$66:$ET$66,[2]H9!$EW$66:$EZ$66)/1000)/O177</f>
        <v>0.34092375537225589</v>
      </c>
      <c r="P178" s="24">
        <f>-(SUM([2]H9!$EM$67,[2]H9!$EP$67:$ET$67,[2]H9!$EW$67:$EZ$67)/1000)/P177</f>
        <v>0.32054282775487353</v>
      </c>
      <c r="Q178" s="6"/>
    </row>
    <row r="179" spans="2:20" ht="19.5" customHeight="1" x14ac:dyDescent="0.25">
      <c r="B179" s="224"/>
      <c r="C179" s="9"/>
      <c r="D179" s="17" t="s">
        <v>93</v>
      </c>
      <c r="E179" s="6"/>
      <c r="F179" s="24">
        <f>0</f>
        <v>0</v>
      </c>
      <c r="G179" s="24">
        <f>0</f>
        <v>0</v>
      </c>
      <c r="H179" s="24">
        <f>0</f>
        <v>0</v>
      </c>
      <c r="I179" s="6"/>
      <c r="J179" s="24">
        <f>-(SUM([2]H9!$Q$65,[2]H9!$X$65)/1000)/J177</f>
        <v>9.5904780045458576E-2</v>
      </c>
      <c r="K179" s="24">
        <f>-(SUM([2]H9!$Q$66,[2]H9!$X$66)/1000)/K177</f>
        <v>4.0345973106048136E-2</v>
      </c>
      <c r="L179" s="24">
        <f>-(SUM([2]H9!$Q$67,[2]H9!$X$67)/1000)/L177</f>
        <v>0.10496352215163363</v>
      </c>
      <c r="M179" s="6"/>
      <c r="N179" s="24">
        <f>-(SUM([2]H9!$EO$65,[2]H9!$EV$65)/1000)/N177</f>
        <v>8.0469360116536021E-2</v>
      </c>
      <c r="O179" s="24">
        <f>-(SUM([2]H9!$EO$66,[2]H9!$EV$66)/1000)/O177</f>
        <v>9.8291337525144937E-3</v>
      </c>
      <c r="P179" s="24">
        <f>-(SUM([2]H9!$EO$67,[2]H9!$EV$67)/1000)/P177</f>
        <v>0.1049635221516336</v>
      </c>
      <c r="Q179" s="6"/>
    </row>
    <row r="180" spans="2:20" ht="19.5" customHeight="1" x14ac:dyDescent="0.25">
      <c r="B180" s="224"/>
      <c r="C180" s="9"/>
      <c r="D180" s="17" t="s">
        <v>94</v>
      </c>
      <c r="E180" s="6"/>
      <c r="F180" s="24">
        <f>0</f>
        <v>0</v>
      </c>
      <c r="G180" s="24">
        <f>0</f>
        <v>0</v>
      </c>
      <c r="H180" s="24">
        <f>0</f>
        <v>0</v>
      </c>
      <c r="I180" s="6"/>
      <c r="J180" s="24">
        <f>-(SUM([2]H9!$P$65,[2]H9!$W$65)/1000)/J177</f>
        <v>2.5494466297983224E-3</v>
      </c>
      <c r="K180" s="24">
        <f>-(SUM([2]H9!$P$66,[2]H9!$W$66)/1000)/K177</f>
        <v>0</v>
      </c>
      <c r="L180" s="24">
        <f>-(SUM([2]H9!$P$67,[2]H9!$W$67)/1000)/L177</f>
        <v>4.9307905944336948E-2</v>
      </c>
      <c r="M180" s="6"/>
      <c r="N180" s="24">
        <f>-(SUM([2]H9!$EN$65,[2]H9!$EU$65)/1000)/N177</f>
        <v>7.4134339273650663E-3</v>
      </c>
      <c r="O180" s="24">
        <f>-(SUM([2]H9!$EN$66,[2]H9!$EU$66)/1000)/O177</f>
        <v>0</v>
      </c>
      <c r="P180" s="24">
        <f>-(SUM([2]H9!$EN$67,[2]H9!$EU$67)/1000)/P177</f>
        <v>4.9307905944336948E-2</v>
      </c>
      <c r="Q180" s="6"/>
    </row>
    <row r="181" spans="2:20" ht="19.5" customHeight="1" outlineLevel="1" x14ac:dyDescent="0.25">
      <c r="B181" s="224"/>
      <c r="C181" s="9"/>
      <c r="D181" s="17" t="s">
        <v>95</v>
      </c>
      <c r="E181" s="7"/>
      <c r="F181" s="24">
        <v>0</v>
      </c>
      <c r="G181" s="24">
        <v>0</v>
      </c>
      <c r="H181" s="24">
        <v>0</v>
      </c>
      <c r="I181" s="7"/>
      <c r="J181" s="24">
        <f>+J178+J179+J180</f>
        <v>0.38307746745501198</v>
      </c>
      <c r="K181" s="24">
        <f>+K178+K179+K180</f>
        <v>0.42497637699178642</v>
      </c>
      <c r="L181" s="24">
        <f>+L178+L179+L180</f>
        <v>0.48939203189175456</v>
      </c>
      <c r="M181" s="7"/>
      <c r="N181" s="24">
        <f>+N178+N179+N180</f>
        <v>0.37320865697283467</v>
      </c>
      <c r="O181" s="24">
        <f>+O178+O179+O180</f>
        <v>0.35075288912477037</v>
      </c>
      <c r="P181" s="24">
        <f>+P178+P179+P180</f>
        <v>0.47481425585084408</v>
      </c>
      <c r="Q181" s="7"/>
    </row>
    <row r="182" spans="2:20" ht="20.149999999999999" customHeight="1" x14ac:dyDescent="0.25">
      <c r="B182" s="224"/>
      <c r="C182" s="9"/>
      <c r="D182" s="17" t="s">
        <v>96</v>
      </c>
      <c r="E182" s="7"/>
      <c r="F182" s="24">
        <v>0</v>
      </c>
      <c r="G182" s="24">
        <v>0</v>
      </c>
      <c r="H182" s="24">
        <v>0</v>
      </c>
      <c r="I182" s="7"/>
      <c r="J182" s="24">
        <f>-(SUM([2]H9!$AC$65:$AK$65)/1000)/J177</f>
        <v>1.1284391356918761E-2</v>
      </c>
      <c r="K182" s="24">
        <f>-(SUM([2]H9!$AC$66:$AK$66)/1000)/K177</f>
        <v>-2.3666946710170337E-2</v>
      </c>
      <c r="L182" s="24">
        <f>-(SUM([2]H9!$AC$67:$AK$67)/1000)/L177</f>
        <v>-6.5019263289335149E-3</v>
      </c>
      <c r="M182" s="7"/>
      <c r="N182" s="24">
        <f>-(SUM([2]H9!$FA$65:$FI$65)/1000)/N177</f>
        <v>2.3667786978585729E-2</v>
      </c>
      <c r="O182" s="24">
        <f>-(SUM([2]H9!$FA$66:$FI$66)/1000)/O177</f>
        <v>-0.53923950676872767</v>
      </c>
      <c r="P182" s="24">
        <f>-(SUM([2]H9!$FA$67:$FI$67)/1000)/P177</f>
        <v>-6.501926328933481E-3</v>
      </c>
      <c r="Q182" s="7"/>
    </row>
    <row r="183" spans="2:20" ht="20.149999999999999" customHeight="1" outlineLevel="1" x14ac:dyDescent="0.25">
      <c r="B183" s="224"/>
      <c r="C183" s="9"/>
      <c r="D183" s="18" t="s">
        <v>87</v>
      </c>
      <c r="E183" s="7"/>
      <c r="F183" s="24">
        <v>0</v>
      </c>
      <c r="G183" s="24">
        <v>0</v>
      </c>
      <c r="H183" s="24">
        <v>0</v>
      </c>
      <c r="I183" s="7"/>
      <c r="J183" s="24">
        <f>-(SUM([2]H9!$AL$65:$AN$65)/1000)/J177</f>
        <v>0.19491215292017669</v>
      </c>
      <c r="K183" s="24">
        <f>-(SUM([2]H9!$AL$66:$AN$66)/1000)/K177</f>
        <v>0.18717969456641237</v>
      </c>
      <c r="L183" s="24">
        <f>-(SUM([2]H9!$AL$67:$AN$67)/1000)/L177</f>
        <v>0.1888957763028985</v>
      </c>
      <c r="M183" s="7"/>
      <c r="N183" s="24">
        <f>-(SUM([2]H9!$FJ$65:$FL$65)/1000)/N177</f>
        <v>0.22007713753945948</v>
      </c>
      <c r="O183" s="24">
        <f>-(SUM([2]H9!$FJ$66:$FL$66)/1000)/O177</f>
        <v>0.18472489107530002</v>
      </c>
      <c r="P183" s="24">
        <f>-(SUM([2]H9!$FJ$67:$FL$67)/1000)/P177</f>
        <v>0.1888957763028985</v>
      </c>
      <c r="Q183" s="7"/>
    </row>
    <row r="184" spans="2:20" ht="20.149999999999999" customHeight="1" outlineLevel="1" x14ac:dyDescent="0.25">
      <c r="B184" s="224"/>
      <c r="C184" s="9"/>
      <c r="D184" s="18" t="s">
        <v>88</v>
      </c>
      <c r="E184" s="7"/>
      <c r="F184" s="24">
        <v>0</v>
      </c>
      <c r="G184" s="24">
        <v>0</v>
      </c>
      <c r="H184" s="24">
        <v>0</v>
      </c>
      <c r="I184" s="7"/>
      <c r="J184" s="24">
        <f>-(SUM([2]H9!$AO$65:$AR$65)/1000)/J177</f>
        <v>0.190764794771249</v>
      </c>
      <c r="K184" s="24">
        <f>-(SUM([2]H9!$AO$66:$AR$66)/1000)/K177</f>
        <v>0.19927170647494222</v>
      </c>
      <c r="L184" s="24">
        <f>-(SUM([2]H9!$AO$67:$AR$67)/1000)/L177</f>
        <v>0.18390912345419022</v>
      </c>
      <c r="M184" s="7"/>
      <c r="N184" s="24">
        <f>-(SUM([2]H9!$FM$65:$FP$65)/1000)/N177</f>
        <v>0.18804418269928944</v>
      </c>
      <c r="O184" s="24">
        <f>-(SUM([2]H9!$FM$66:$FP$66)/1000)/O177</f>
        <v>0.21783895589009938</v>
      </c>
      <c r="P184" s="24">
        <f>-(SUM([2]H9!$FM$67:$FP$67)/1000)/P177</f>
        <v>0.18390912345419022</v>
      </c>
      <c r="Q184" s="7"/>
    </row>
    <row r="185" spans="2:20" ht="20.149999999999999" customHeight="1" x14ac:dyDescent="0.25">
      <c r="B185" s="224"/>
      <c r="C185" s="9"/>
      <c r="D185" s="17" t="s">
        <v>97</v>
      </c>
      <c r="E185" s="7"/>
      <c r="F185" s="24">
        <v>0</v>
      </c>
      <c r="G185" s="24">
        <v>0</v>
      </c>
      <c r="H185" s="24">
        <v>0</v>
      </c>
      <c r="I185" s="7"/>
      <c r="J185" s="24">
        <f>+J183+J184</f>
        <v>0.38567694769142569</v>
      </c>
      <c r="K185" s="24">
        <f>+K183+K184</f>
        <v>0.38645140104135456</v>
      </c>
      <c r="L185" s="24">
        <f>+L183+L184</f>
        <v>0.37280489975708875</v>
      </c>
      <c r="M185" s="7"/>
      <c r="N185" s="24">
        <f>+N183+N184</f>
        <v>0.40812132023874892</v>
      </c>
      <c r="O185" s="24">
        <f>+O183+O184</f>
        <v>0.40256384696539937</v>
      </c>
      <c r="P185" s="24">
        <f>+P183+P184</f>
        <v>0.37280489975708875</v>
      </c>
      <c r="Q185" s="7"/>
    </row>
    <row r="186" spans="2:20" ht="20.149999999999999" customHeight="1" x14ac:dyDescent="0.25">
      <c r="B186" s="224"/>
      <c r="C186" s="9"/>
      <c r="D186" s="17" t="s">
        <v>90</v>
      </c>
      <c r="E186" s="7"/>
      <c r="F186" s="24"/>
      <c r="G186" s="24"/>
      <c r="H186" s="24"/>
      <c r="I186" s="7"/>
      <c r="J186" s="24">
        <f>-(SUM([2]H9!$AT$65:$BJ$65)/1000/J177)</f>
        <v>0.11459993567331911</v>
      </c>
      <c r="K186" s="24">
        <f>-(SUM([2]H9!$AT$66:$BJ$66)/1000/K177)</f>
        <v>0.15866281484900313</v>
      </c>
      <c r="L186" s="24">
        <f>-(SUM([2]H9!$AT$67:$BJ$67)/1000/L177)</f>
        <v>7.504341627223865E-2</v>
      </c>
      <c r="M186" s="7"/>
      <c r="N186" s="24">
        <f>-(SUM([2]H9!$FR$65:$GH$65)/1000/N177)</f>
        <v>0.12205163174219219</v>
      </c>
      <c r="O186" s="24">
        <f>-(SUM([2]H9!$FR$66:$GH$66)/1000/O177)</f>
        <v>0.18913646857916522</v>
      </c>
      <c r="P186" s="24">
        <f>-(SUM([2]H9!$FR$67:$GH$67)/1000/P177)</f>
        <v>7.5043416272238636E-2</v>
      </c>
      <c r="Q186" s="7"/>
    </row>
    <row r="187" spans="2:20" ht="20.149999999999999" customHeight="1" x14ac:dyDescent="0.25">
      <c r="B187" s="224"/>
      <c r="C187" s="9"/>
      <c r="D187" s="17" t="s">
        <v>79</v>
      </c>
      <c r="E187" s="8"/>
      <c r="F187" s="24">
        <v>0</v>
      </c>
      <c r="G187" s="24">
        <v>0</v>
      </c>
      <c r="H187" s="24">
        <v>0</v>
      </c>
      <c r="I187" s="8"/>
      <c r="J187" s="24">
        <f>+J181+J182+J185+J186</f>
        <v>0.89463874217667549</v>
      </c>
      <c r="K187" s="24">
        <f>+K181+K182+K185+K186</f>
        <v>0.94642364617197383</v>
      </c>
      <c r="L187" s="24">
        <f>+L181+L182+L185+L186</f>
        <v>0.93073842159214837</v>
      </c>
      <c r="M187" s="8"/>
      <c r="N187" s="24">
        <f>+N181+N182+N185+N186</f>
        <v>0.92704939593236158</v>
      </c>
      <c r="O187" s="24">
        <f>+O181+O182+O185+O186</f>
        <v>0.40321369790060729</v>
      </c>
      <c r="P187" s="24">
        <f>+P181+P182+P185+P186</f>
        <v>0.916160645551238</v>
      </c>
      <c r="Q187" s="8"/>
    </row>
    <row r="188" spans="2:20" ht="19.5" customHeight="1" x14ac:dyDescent="0.25">
      <c r="B188" s="224"/>
      <c r="C188" s="9"/>
      <c r="D188" s="17" t="s">
        <v>34</v>
      </c>
      <c r="E188" s="6"/>
      <c r="F188" s="23">
        <v>0</v>
      </c>
      <c r="G188" s="23">
        <v>0</v>
      </c>
      <c r="H188" s="23">
        <v>0</v>
      </c>
      <c r="I188" s="6"/>
      <c r="J188" s="23">
        <f>+[2]H9!$BK$65/1000</f>
        <v>2.833261760000009</v>
      </c>
      <c r="K188" s="23">
        <f>+[2]H9!$BK$66/1000</f>
        <v>1.3468195499999893</v>
      </c>
      <c r="L188" s="23">
        <f>+[2]H9!$BK$67/1000</f>
        <v>2.0387169153153377</v>
      </c>
      <c r="M188" s="6"/>
      <c r="N188" s="23">
        <f>+[2]H9!$GI$65/1000</f>
        <v>0.67462300912832185</v>
      </c>
      <c r="O188" s="23">
        <f>+[2]H9!$GI$66/1000</f>
        <v>4.5817069399999992</v>
      </c>
      <c r="P188" s="23">
        <f>+[2]H9!$GI$67/1000</f>
        <v>0.82260474957369978</v>
      </c>
      <c r="Q188" s="6"/>
      <c r="T188" s="34">
        <f>1-J188/J177</f>
        <v>0.89463874217667572</v>
      </c>
    </row>
    <row r="189" spans="2:20" ht="7.5" customHeight="1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2:20" ht="19.5" customHeight="1" x14ac:dyDescent="0.25">
      <c r="B190" s="225" t="s">
        <v>108</v>
      </c>
      <c r="C190" s="9"/>
      <c r="D190" s="16" t="s">
        <v>19</v>
      </c>
      <c r="E190" s="6"/>
      <c r="F190" s="25">
        <v>663.1699661099999</v>
      </c>
      <c r="G190" s="25">
        <v>646.55200311999999</v>
      </c>
      <c r="H190" s="25">
        <v>667.75800000000004</v>
      </c>
      <c r="I190" s="6"/>
      <c r="J190" s="25">
        <f t="shared" ref="J190:L191" si="4">+J8+J50+J92+J106+J176</f>
        <v>270.73354795</v>
      </c>
      <c r="K190" s="25">
        <f t="shared" si="4"/>
        <v>266.14535035</v>
      </c>
      <c r="L190" s="25">
        <f t="shared" si="4"/>
        <v>276.67476256781708</v>
      </c>
      <c r="M190" s="6"/>
      <c r="N190" s="25">
        <f t="shared" ref="N190:P191" si="5">+N8+N50+N92+N106+N176</f>
        <v>39.346225510000004</v>
      </c>
      <c r="O190" s="25">
        <f t="shared" si="5"/>
        <v>37.804234999999991</v>
      </c>
      <c r="P190" s="25">
        <f t="shared" si="5"/>
        <v>48.036867249935547</v>
      </c>
      <c r="Q190" s="6"/>
    </row>
    <row r="191" spans="2:20" ht="20.149999999999999" customHeight="1" x14ac:dyDescent="0.25">
      <c r="B191" s="225"/>
      <c r="C191" s="9"/>
      <c r="D191" s="16" t="s">
        <v>20</v>
      </c>
      <c r="E191" s="6"/>
      <c r="F191" s="25">
        <v>619.93325228999993</v>
      </c>
      <c r="G191" s="25">
        <v>604.01472775999991</v>
      </c>
      <c r="H191" s="25">
        <v>610.10959537476765</v>
      </c>
      <c r="I191" s="6"/>
      <c r="J191" s="25">
        <f t="shared" si="4"/>
        <v>126.51040742000002</v>
      </c>
      <c r="K191" s="25">
        <f t="shared" si="4"/>
        <v>122.11335575999996</v>
      </c>
      <c r="L191" s="25">
        <f t="shared" si="4"/>
        <v>147.16882809084831</v>
      </c>
      <c r="M191" s="6"/>
      <c r="N191" s="25">
        <f t="shared" si="5"/>
        <v>47.679946550000025</v>
      </c>
      <c r="O191" s="25">
        <f t="shared" si="5"/>
        <v>44.109174190000005</v>
      </c>
      <c r="P191" s="25">
        <f t="shared" si="5"/>
        <v>49.056276030282767</v>
      </c>
      <c r="Q191" s="6"/>
    </row>
    <row r="192" spans="2:20" ht="19.5" customHeight="1" x14ac:dyDescent="0.25">
      <c r="B192" s="225"/>
      <c r="C192" s="9"/>
      <c r="D192" s="16" t="s">
        <v>92</v>
      </c>
      <c r="E192" s="6"/>
      <c r="F192" s="26" t="str">
        <f>IFERROR(F195-F193-F194,"n/a")</f>
        <v>n/a</v>
      </c>
      <c r="G192" s="26" t="str">
        <f>IFERROR(G195-G193-G194,"n/a")</f>
        <v>n/a</v>
      </c>
      <c r="H192" s="26" t="str">
        <f>IFERROR(H195-H193-H194,"n/a")</f>
        <v>n/a</v>
      </c>
      <c r="I192" s="6"/>
      <c r="J192" s="26">
        <f>-(SUM([3]H9!$O$61,[3]H9!$R$61:$V$61,[3]H9!$Y$61:$AB$61,[2]H9!$O$65,[2]H9!$R$65:$V$65,[2]H9!$Y$65:$AB$65)/1000)/J191</f>
        <v>6.0802759935389167E-2</v>
      </c>
      <c r="K192" s="26">
        <f>-(SUM([3]H9!$O$62,[3]H9!$R$62:$V$62,[3]H9!$Y$62:$AB$62,[2]H9!$O$66,[2]H9!$R$66:$V$66,[2]H9!$Y$66:$AB$66)/1000)/K191</f>
        <v>7.9698562695530689E-2</v>
      </c>
      <c r="L192" s="26">
        <f>-(SUM([3]H9!$O$63,[3]H9!$R$63:$V$63,[3]H9!$Y$63:$AB$63,[2]H9!$O$67,[2]H9!$R$67:$V$67,[2]H9!$Y$67:$AB$67)/1000)/L191</f>
        <v>6.7555749089877007E-2</v>
      </c>
      <c r="M192" s="6"/>
      <c r="N192" s="26">
        <f>(-SUM([3]H9!$EM$61,[3]H9!$EP$61:$ET$61,[3]H9!$EW$61:$EZ$61)-SUM([2]H9!$EM$65,[2]H9!$EP$65:$ET$65,[2]H9!$EW$65:$EZ$65))/1000/N191</f>
        <v>5.5629697379962519E-2</v>
      </c>
      <c r="O192" s="26">
        <f>(-(SUM([3]H9!$EM$66,[3]H9!$EP$66:$ET$66,[3]H9!$EW$66:$EZ$66)/1000)-(SUM([3]H9!$EM$62,[3]H9!$EP$62:$ET$62,[3]H9!$EW$62:$EZ$62)/1000))/O191</f>
        <v>0.27750007081106376</v>
      </c>
      <c r="P192" s="26">
        <f>(-(SUM([3]H9!$EM$67,[3]H9!$EP$67:$ET$67,[3]H9!$EW$67:$EZ$67)/1000)-(SUM([3]H9!$EM$63,[3]H9!$EP$63:$ET$63,[3]H9!$EW$63:$EZ$63)/1000))/P191</f>
        <v>0.27422753107156905</v>
      </c>
      <c r="Q192" s="6"/>
      <c r="T192" s="35"/>
    </row>
    <row r="193" spans="2:20" ht="19.5" customHeight="1" x14ac:dyDescent="0.25">
      <c r="B193" s="225"/>
      <c r="C193" s="9"/>
      <c r="D193" s="16" t="s">
        <v>93</v>
      </c>
      <c r="E193" s="6"/>
      <c r="F193" s="26">
        <f>(F179*F177+F109*F107+F95*F93+F53*F51+F11*F9)/F191</f>
        <v>0</v>
      </c>
      <c r="G193" s="26">
        <f>(G179*G177+G109*G107+G95*G93+G53*G51+G11*G9)/G191</f>
        <v>0</v>
      </c>
      <c r="H193" s="26">
        <f>(H179*H177+H109*H107+H95*H93+H53*H51+H11*H9)/H191</f>
        <v>0</v>
      </c>
      <c r="I193" s="6"/>
      <c r="J193" s="26">
        <f>-(SUM([3]H9!$Q$61,[3]H9!$X$61,[2]H9!$Q$65,[2]H9!$X$65)/1000)/J191</f>
        <v>2.038542417898935E-2</v>
      </c>
      <c r="K193" s="26">
        <f>-(SUM([3]H9!$Q$62,[3]H9!$X$62,[2]H9!$Q$66,[2]H9!$X$66)/1000)/K191</f>
        <v>8.3056435038388002E-3</v>
      </c>
      <c r="L193" s="26">
        <f>-(SUM([3]H9!$Q$63,[3]H9!$X$63,[2]H9!$Q$67,[2]H9!$X$67)/1000)/L191</f>
        <v>2.0993609063500174E-2</v>
      </c>
      <c r="M193" s="6"/>
      <c r="N193" s="26">
        <f>-([2]H9!$EO$65+[2]H9!$EV$65+[3]H9!$EO$61+[3]H9!$EV$61)/1000/N191</f>
        <v>1.5607273645368538E-2</v>
      </c>
      <c r="O193" s="26">
        <f>(-(SUM([3]H9!$EO$66,[3]H9!$EV$66)/1000)-(SUM([3]H9!$EO$62,[3]H9!$EV$62))/1000)/O191</f>
        <v>0.16052392611926727</v>
      </c>
      <c r="P193" s="26">
        <f>(-(SUM([3]H9!$EO$67,[3]H9!$EV$67)/1000)-(SUM([3]H9!$EO$63,[3]H9!$EV$63)/1000))/P191</f>
        <v>0.14272039893978739</v>
      </c>
      <c r="Q193" s="6"/>
      <c r="T193" s="35"/>
    </row>
    <row r="194" spans="2:20" ht="19.5" customHeight="1" x14ac:dyDescent="0.25">
      <c r="B194" s="225"/>
      <c r="C194" s="9"/>
      <c r="D194" s="16" t="s">
        <v>94</v>
      </c>
      <c r="E194" s="6"/>
      <c r="F194" s="26" t="e">
        <f>(F180*F177+F110*F107+F96*F93+F54*F51+F12*F9)/F191</f>
        <v>#VALUE!</v>
      </c>
      <c r="G194" s="26" t="e">
        <f>(G180*G177+G110*G107+G96*G93+G54*G51+G12*G9)/G191</f>
        <v>#VALUE!</v>
      </c>
      <c r="H194" s="26" t="e">
        <f>(H180*H177+H110*H107+H96*H93+H54*H51+H12*H9)/H191</f>
        <v>#VALUE!</v>
      </c>
      <c r="I194" s="6"/>
      <c r="J194" s="26">
        <f>-(SUM([3]H9!$P$61,[3]H9!$W$61,[2]H9!$P$65,[2]H9!$W$65)/1000)/J191</f>
        <v>5.4190782717502986E-4</v>
      </c>
      <c r="K194" s="26">
        <f>-(SUM([3]H9!$P$62,[3]H9!$W$62)/1000)/K191</f>
        <v>0</v>
      </c>
      <c r="L194" s="26">
        <f>-(SUM([3]H9!$P$63,[3]H9!$W$63)/1000)/L191</f>
        <v>0</v>
      </c>
      <c r="M194" s="6"/>
      <c r="N194" s="26">
        <f>-([3]H9!$EN$61+[3]H9!$EU$61+[2]H9!$EN$65+[2]H9!$EU$65)/1000/N191%</f>
        <v>0.14378577360213077</v>
      </c>
      <c r="O194" s="26">
        <f>(-(SUM([3]H9!$EN$66,[3]H9!$EU$66)/1000)-(SUM([3]H9!$EN$62,[3]H9!$EU$62)/1000))/O191</f>
        <v>0</v>
      </c>
      <c r="P194" s="26">
        <f>(-(SUM([3]H9!$EN$67,[3]H9!$EU$67)/1000)-(SUM([3]H9!$EN$63,[3]H9!$EU$63)/1000))/P191</f>
        <v>4.9304444075272819E-2</v>
      </c>
      <c r="Q194" s="6"/>
      <c r="T194" s="35"/>
    </row>
    <row r="195" spans="2:20" ht="19.5" customHeight="1" outlineLevel="1" x14ac:dyDescent="0.25">
      <c r="B195" s="225"/>
      <c r="C195" s="9"/>
      <c r="D195" s="16" t="s">
        <v>95</v>
      </c>
      <c r="E195" s="7"/>
      <c r="F195" s="26">
        <v>0.63569160649838707</v>
      </c>
      <c r="G195" s="26">
        <v>0.54412843744530481</v>
      </c>
      <c r="H195" s="26">
        <v>0.64915456698178076</v>
      </c>
      <c r="I195" s="7"/>
      <c r="J195" s="26">
        <f>+J192+J193+J194</f>
        <v>8.1730091941553548E-2</v>
      </c>
      <c r="K195" s="26">
        <f>+K192+K193+K194</f>
        <v>8.8004206199369495E-2</v>
      </c>
      <c r="L195" s="26">
        <f>+L192+L193+L194</f>
        <v>8.8549358153377181E-2</v>
      </c>
      <c r="M195" s="7"/>
      <c r="N195" s="26">
        <f>+N192+N193+N194</f>
        <v>0.21502274462746182</v>
      </c>
      <c r="O195" s="26">
        <f>+O192+O193+O194</f>
        <v>0.43802399693033101</v>
      </c>
      <c r="P195" s="26">
        <f>+P192+P193+P194</f>
        <v>0.46625237408662923</v>
      </c>
      <c r="Q195" s="7"/>
      <c r="T195" s="35"/>
    </row>
    <row r="196" spans="2:20" ht="20.149999999999999" customHeight="1" x14ac:dyDescent="0.25">
      <c r="B196" s="225"/>
      <c r="C196" s="9"/>
      <c r="D196" s="16" t="s">
        <v>96</v>
      </c>
      <c r="E196" s="7"/>
      <c r="F196" s="26">
        <v>-3.5901680040206309E-2</v>
      </c>
      <c r="G196" s="26">
        <v>9.3873443136520355E-3</v>
      </c>
      <c r="H196" s="26">
        <v>-1.1883110927876153E-2</v>
      </c>
      <c r="I196" s="7"/>
      <c r="J196" s="26">
        <f>-(SUM([3]H9!$AC$61:$AK$61,[2]H9!$AC$65:$AK$65)/1000)/J191</f>
        <v>2.4167106583174785E-3</v>
      </c>
      <c r="K196" s="26">
        <f>-(SUM([3]H9!$AC$62:$AK$62,[2]H9!$AC$66:$AK$66)/1000)/K191</f>
        <v>-5.9145061201944047E-3</v>
      </c>
      <c r="L196" s="26">
        <f>-(SUM([3]H9!$AC$63:$AK$63,[2]H9!$AC$67:$AK$67)/1000)/L191</f>
        <v>-1.3048011752756499E-3</v>
      </c>
      <c r="M196" s="7"/>
      <c r="N196" s="26">
        <f>+(-SUM([2]H9!$FA$65:$FI$65)-SUM([3]H9!$FA$61:$FI$61))/1000/N191</f>
        <v>4.3125425861032232E-3</v>
      </c>
      <c r="O196" s="26">
        <f>(-(SUM([3]H9!$FA$66:$FI$66)/1000)-(SUM([3]H9!$FA$62:$FI$62)/1000))/O191</f>
        <v>-8.1684565539130768E-2</v>
      </c>
      <c r="P196" s="26">
        <f>(-(SUM([3]H9!$FA$67:$FI$67)/1000)-(SUM([3]H9!$FA$63:$FI$63)/1000))/P191</f>
        <v>-1.4992541975065908E-2</v>
      </c>
      <c r="Q196" s="7"/>
      <c r="T196" s="35"/>
    </row>
    <row r="197" spans="2:20" ht="20.149999999999999" customHeight="1" outlineLevel="1" x14ac:dyDescent="0.25">
      <c r="B197" s="225"/>
      <c r="C197" s="9"/>
      <c r="D197" s="13" t="s">
        <v>87</v>
      </c>
      <c r="E197" s="7"/>
      <c r="F197" s="26">
        <v>0.13643040047871993</v>
      </c>
      <c r="G197" s="26">
        <v>0.13366121748289339</v>
      </c>
      <c r="H197" s="26">
        <v>0.13661633561685846</v>
      </c>
      <c r="I197" s="7"/>
      <c r="J197" s="26">
        <f>-(SUM([3]H9!$AL$61:$AN$61,[2]H9!$AL$65:$AN$65)/1000)/J191</f>
        <v>4.2681992889909523E-2</v>
      </c>
      <c r="K197" s="26">
        <f>-(SUM([3]H9!$AL$62:$AN$62,[2]H9!$AL$66:$AN$66)/1000)/K191</f>
        <v>3.9647523809888646E-2</v>
      </c>
      <c r="L197" s="26">
        <f>-(SUM([3]H9!$AL$63:$AN$63,[2]H9!$AL$67:$AN$67)/1000)/L191</f>
        <v>3.8879919417897063E-2</v>
      </c>
      <c r="M197" s="7"/>
      <c r="N197" s="26">
        <f>+(-SUM([3]H9!$FJ$61:$FL$61)-SUM([2]H9!$FJ$65:$FL$65))/1000/N191</f>
        <v>4.3856777981224455E-2</v>
      </c>
      <c r="O197" s="26">
        <f>(-(SUM([3]H9!$FJ$66:$FL$66)/1000)-(SUM([3]H9!$FJ$62:$FL$62)/1000))/O191</f>
        <v>0.12674932806308328</v>
      </c>
      <c r="P197" s="26">
        <f>(-(SUM([3]H9!$FJ$67:$FL$67)/1000)-(SUM([3]H9!$FJ$63:$FL$63)/1000))/P191</f>
        <v>0.13105288790437933</v>
      </c>
      <c r="Q197" s="7"/>
      <c r="T197" s="35"/>
    </row>
    <row r="198" spans="2:20" ht="20.149999999999999" customHeight="1" outlineLevel="1" x14ac:dyDescent="0.25">
      <c r="B198" s="225"/>
      <c r="C198" s="9"/>
      <c r="D198" s="13" t="s">
        <v>88</v>
      </c>
      <c r="E198" s="7"/>
      <c r="F198" s="26">
        <v>0.11982971375642451</v>
      </c>
      <c r="G198" s="26">
        <v>0.12707969296486946</v>
      </c>
      <c r="H198" s="26">
        <v>0.12094511823519646</v>
      </c>
      <c r="I198" s="7"/>
      <c r="J198" s="26">
        <f>-(SUM([3]H9!$AO$61:$AR$61,[2]H9!$AO$65:$AR$65)/1000)/J191</f>
        <v>4.1247499209104976E-2</v>
      </c>
      <c r="K198" s="26">
        <f>-(SUM([3]H9!$AO$62:$AR$62,[2]H9!$AO$66:$AR$66)/1000)/K191</f>
        <v>4.1661891758988719E-2</v>
      </c>
      <c r="L198" s="26">
        <f>-(SUM([3]H9!$AO$63:$AR$63,[2]H9!$AO$67:$AR$67)/1000)/L191</f>
        <v>3.7491288279704021E-2</v>
      </c>
      <c r="M198" s="7"/>
      <c r="N198" s="26">
        <f>+(-SUM([2]H9!$FM$65:$FP$65)-SUM([3]H9!$FM$61:$FP$61))/1000/N191</f>
        <v>3.7862639760027142E-2</v>
      </c>
      <c r="O198" s="26">
        <f>(-(SUM([3]H9!$FM$66:$FP$66)/1000)-(SUM([3]H9!$FM$62:$FP$62)/1000))/O191</f>
        <v>8.501373623199994E-2</v>
      </c>
      <c r="P198" s="26">
        <f>(-(SUM([3]H9!$FM$67:$FP$67)/1000)-(SUM([3]H9!$FM$63:$FP$63)/1000))/P191</f>
        <v>9.6438316391479553E-2</v>
      </c>
      <c r="Q198" s="7"/>
      <c r="T198" s="35"/>
    </row>
    <row r="199" spans="2:20" ht="20.149999999999999" customHeight="1" x14ac:dyDescent="0.25">
      <c r="B199" s="225"/>
      <c r="C199" s="9"/>
      <c r="D199" s="16" t="s">
        <v>97</v>
      </c>
      <c r="E199" s="7"/>
      <c r="F199" s="26">
        <v>0.25626011423514444</v>
      </c>
      <c r="G199" s="26">
        <v>0.26074091044776282</v>
      </c>
      <c r="H199" s="26">
        <v>0.25756145385205492</v>
      </c>
      <c r="I199" s="7"/>
      <c r="J199" s="26">
        <f>+J197+J198</f>
        <v>8.3929492099014499E-2</v>
      </c>
      <c r="K199" s="26">
        <f>+K197+K198</f>
        <v>8.1309415568877358E-2</v>
      </c>
      <c r="L199" s="26">
        <f>+L197+L198</f>
        <v>7.6371207697601085E-2</v>
      </c>
      <c r="M199" s="7"/>
      <c r="N199" s="26">
        <f>+N197+N198</f>
        <v>8.1719417741251604E-2</v>
      </c>
      <c r="O199" s="26">
        <f>+O197+O198</f>
        <v>0.21176306429508324</v>
      </c>
      <c r="P199" s="26">
        <f>+P197+P198</f>
        <v>0.2274912042958589</v>
      </c>
      <c r="Q199" s="7"/>
      <c r="T199" s="35"/>
    </row>
    <row r="200" spans="2:20" ht="20.149999999999999" customHeight="1" x14ac:dyDescent="0.25">
      <c r="B200" s="225"/>
      <c r="C200" s="9"/>
      <c r="D200" s="16" t="s">
        <v>90</v>
      </c>
      <c r="E200" s="7"/>
      <c r="F200" s="26"/>
      <c r="G200" s="26"/>
      <c r="H200" s="26"/>
      <c r="I200" s="7"/>
      <c r="J200" s="26">
        <f>-(SUM([3]H9!$AT$61:$BJ$61,[2]H9!$AT$65:$BJ$65)/1000)/J191</f>
        <v>2.4359247771364122E-2</v>
      </c>
      <c r="K200" s="26">
        <f>-(SUM([3]H9!$AT$62:$BJ$62,[2]H9!$AT$66:$BJ$66)/1000)/K191</f>
        <v>3.2662411537022873E-2</v>
      </c>
      <c r="L200" s="26">
        <f>-(SUM([3]H9!$AT$63:$BJ$63,[2]H9!$AT$67:$BJ$67)/1000)/L191</f>
        <v>1.5009330019746926E-2</v>
      </c>
      <c r="M200" s="7"/>
      <c r="N200" s="26">
        <f>+(-SUM([3]H9!$FR$60:$GH$61)-SUM([2]H9!$FR$65:$GH$65))/1000/N191</f>
        <v>2.3672279892687963E-2</v>
      </c>
      <c r="O200" s="26">
        <f>(-(SUM([3]H9!$FR$66:$GH$66)/1000)-(SUM([3]H9!$FR$62:$GH$62)/1000))/O191</f>
        <v>7.3695842184616625E-2</v>
      </c>
      <c r="P200" s="26">
        <f>(-(SUM([3]H9!$FR$67:$GH$67)/1000)-(SUM([3]H9!$FR$63:$GH$63)/1000))/P191</f>
        <v>2.3162447914843731E-2</v>
      </c>
      <c r="Q200" s="7"/>
      <c r="T200" s="35"/>
    </row>
    <row r="201" spans="2:20" ht="20.149999999999999" customHeight="1" x14ac:dyDescent="0.25">
      <c r="B201" s="225"/>
      <c r="C201" s="9"/>
      <c r="D201" s="16" t="s">
        <v>79</v>
      </c>
      <c r="E201" s="8"/>
      <c r="F201" s="26">
        <v>0.85605004069332524</v>
      </c>
      <c r="G201" s="26">
        <v>0.81425669220671981</v>
      </c>
      <c r="H201" s="26">
        <v>0.89483290990595954</v>
      </c>
      <c r="I201" s="8"/>
      <c r="J201" s="33">
        <f>+J195+J196+J199+J200</f>
        <v>0.19243554247024963</v>
      </c>
      <c r="K201" s="26">
        <f>+K195+K196+K199+K200</f>
        <v>0.1960615271850753</v>
      </c>
      <c r="L201" s="26">
        <f>+L195+L196+L199+L200</f>
        <v>0.17862509469544952</v>
      </c>
      <c r="M201" s="8"/>
      <c r="N201" s="26">
        <f>+N195+N196+N199+N200</f>
        <v>0.32472698484750462</v>
      </c>
      <c r="O201" s="26">
        <f>+O195+O196+O199+O200</f>
        <v>0.64179833787090013</v>
      </c>
      <c r="P201" s="26">
        <f>+P195+P196+P199+P200</f>
        <v>0.70191348432226608</v>
      </c>
      <c r="Q201" s="8"/>
      <c r="T201" s="35"/>
    </row>
    <row r="202" spans="2:20" ht="19.5" customHeight="1" x14ac:dyDescent="0.25">
      <c r="B202" s="225"/>
      <c r="C202" s="9"/>
      <c r="D202" s="16" t="s">
        <v>34</v>
      </c>
      <c r="E202" s="6"/>
      <c r="F202" s="25">
        <v>89.239366440000083</v>
      </c>
      <c r="G202" s="25">
        <v>112.19169349000006</v>
      </c>
      <c r="H202" s="25">
        <v>64.163450784016746</v>
      </c>
      <c r="I202" s="6"/>
      <c r="J202" s="25">
        <f t="shared" ref="J202:P202" si="6">+J20+J62+J104+J118+J188</f>
        <v>21.681184670000011</v>
      </c>
      <c r="K202" s="25">
        <f t="shared" si="6"/>
        <v>8.9395827699999639</v>
      </c>
      <c r="L202" s="25">
        <f t="shared" si="6"/>
        <v>15.155329043605779</v>
      </c>
      <c r="M202" s="6"/>
      <c r="N202" s="25">
        <f>+N20+N62+N104+N118+N188</f>
        <v>8.3517047182566415</v>
      </c>
      <c r="O202" s="25">
        <f t="shared" si="6"/>
        <v>12.554572049999992</v>
      </c>
      <c r="P202" s="25">
        <f t="shared" si="6"/>
        <v>5.8626802485546046</v>
      </c>
      <c r="Q202" s="6"/>
      <c r="T202" s="34">
        <f>1-J202/J191</f>
        <v>0.82862133549202033</v>
      </c>
    </row>
    <row r="203" spans="2:20" ht="7.5" customHeight="1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2:20" ht="19.5" customHeight="1" x14ac:dyDescent="0.25">
      <c r="B204" s="224" t="s">
        <v>48</v>
      </c>
      <c r="C204" s="9"/>
      <c r="D204" s="17" t="s">
        <v>19</v>
      </c>
      <c r="E204" s="6"/>
      <c r="F204" s="23">
        <v>104.56900124000002</v>
      </c>
      <c r="G204" s="23">
        <v>86.957286909999993</v>
      </c>
      <c r="H204" s="23">
        <v>93.39937754566202</v>
      </c>
      <c r="I204" s="6"/>
      <c r="J204" s="23">
        <f>+[1]H9!$C$65/1000</f>
        <v>175.61643707000002</v>
      </c>
      <c r="K204" s="23">
        <f>+[1]H9!$C$66/1000</f>
        <v>177.50423089999995</v>
      </c>
      <c r="L204" s="23">
        <f>+[1]H9!$C$67/1000</f>
        <v>179.83303999999998</v>
      </c>
      <c r="M204" s="6"/>
      <c r="N204" s="23">
        <f>+[1]H9!$EA$65/1000</f>
        <v>30.108841179999999</v>
      </c>
      <c r="O204" s="23">
        <f>+[1]H9!$EA$66/1000</f>
        <v>30.527049550000001</v>
      </c>
      <c r="P204" s="23">
        <f>+[1]H9!$EA$67/1000</f>
        <v>36.413640000000001</v>
      </c>
      <c r="Q204" s="6"/>
    </row>
    <row r="205" spans="2:20" ht="20.149999999999999" customHeight="1" x14ac:dyDescent="0.25">
      <c r="B205" s="224"/>
      <c r="C205" s="9"/>
      <c r="D205" s="17" t="s">
        <v>20</v>
      </c>
      <c r="E205" s="6"/>
      <c r="F205" s="23">
        <v>96.613065600000027</v>
      </c>
      <c r="G205" s="23">
        <v>80.999779810000007</v>
      </c>
      <c r="H205" s="23">
        <v>83.735445436524415</v>
      </c>
      <c r="I205" s="6"/>
      <c r="J205" s="23">
        <f>+[1]H9!$N$65/1000</f>
        <v>73.58975602999999</v>
      </c>
      <c r="K205" s="23">
        <f>+[1]H9!$N$66/1000</f>
        <v>72.616277739999987</v>
      </c>
      <c r="L205" s="23">
        <f>+[1]H9!$N$67/1000</f>
        <v>89.165350880959963</v>
      </c>
      <c r="M205" s="6"/>
      <c r="N205" s="23">
        <f>+[1]H9!$EL$65/1000</f>
        <v>29.48864176</v>
      </c>
      <c r="O205" s="23">
        <f>+[1]H9!$EL$66/1000</f>
        <v>29.039146260000006</v>
      </c>
      <c r="P205" s="23">
        <f>+[1]H9!$EL$67/1000</f>
        <v>29.721783626986646</v>
      </c>
      <c r="Q205" s="6"/>
    </row>
    <row r="206" spans="2:20" ht="19.5" customHeight="1" x14ac:dyDescent="0.25">
      <c r="B206" s="224"/>
      <c r="C206" s="9"/>
      <c r="D206" s="17" t="s">
        <v>92</v>
      </c>
      <c r="E206" s="6"/>
      <c r="F206" s="24">
        <f t="shared" ref="F206:H208" si="7">N206</f>
        <v>0.3417130279502158</v>
      </c>
      <c r="G206" s="24">
        <f t="shared" si="7"/>
        <v>0.33077090644656248</v>
      </c>
      <c r="H206" s="24">
        <f t="shared" si="7"/>
        <v>0.34592743686140931</v>
      </c>
      <c r="I206" s="6"/>
      <c r="J206" s="24">
        <f>-(SUM([1]H9!$O$65,[1]H9!$R$65:$V$65,[1]H9!$Y$65:$AB$65)/1000)/J205</f>
        <v>0.35373040547374424</v>
      </c>
      <c r="K206" s="24">
        <f>-(SUM([1]H9!$O$66,[1]H9!$R$66:$V$66,[1]H9!$Y$66:$AB$66)/1000)/K205</f>
        <v>0.39388943161645917</v>
      </c>
      <c r="L206" s="24">
        <f>-(SUM([1]H9!$O$67,[1]H9!$R$67:$V$67,[1]H9!$Y$67:$AB$67)/1000)/L205</f>
        <v>0.36358583241181303</v>
      </c>
      <c r="M206" s="6"/>
      <c r="N206" s="24">
        <f>-(SUM([1]H9!$EM$65,[1]H9!$EP$65:$ET$65,[1]H9!$EW$65:$EZ$65)/1000)/N205</f>
        <v>0.3417130279502158</v>
      </c>
      <c r="O206" s="24">
        <f>-(SUM([1]H9!$EM$66,[1]H9!$EP$66:$ET$66,[1]H9!$EW$66:$EZ$66)/1000)/O205</f>
        <v>0.33077090644656248</v>
      </c>
      <c r="P206" s="24">
        <f>-(SUM([1]H9!$EM$67,[1]H9!$EP$67:$ET$67,[1]H9!$EW$67:$EZ$67)/1000)/P205</f>
        <v>0.34592743686140931</v>
      </c>
      <c r="Q206" s="6"/>
    </row>
    <row r="207" spans="2:20" ht="19.5" customHeight="1" x14ac:dyDescent="0.25">
      <c r="B207" s="224"/>
      <c r="C207" s="9"/>
      <c r="D207" s="17" t="s">
        <v>93</v>
      </c>
      <c r="E207" s="6"/>
      <c r="F207" s="24">
        <f t="shared" si="7"/>
        <v>0.16841905349428418</v>
      </c>
      <c r="G207" s="24">
        <f t="shared" si="7"/>
        <v>0.24123011594162105</v>
      </c>
      <c r="H207" s="24">
        <f t="shared" si="7"/>
        <v>0.20091200041673923</v>
      </c>
      <c r="I207" s="6"/>
      <c r="J207" s="24">
        <f>-(SUM([1]H9!$Q$65,[1]H9!$X$65)/1000)/J205</f>
        <v>0.20154602611738259</v>
      </c>
      <c r="K207" s="24">
        <f>-(SUM([1]H9!$Q$66,[1]H9!$X$66)/1000)/K205</f>
        <v>0.19292384629034093</v>
      </c>
      <c r="L207" s="24">
        <f>-(SUM([1]H9!$Q$67,[1]H9!$X$67)/1000)/L205</f>
        <v>0.20091200041673921</v>
      </c>
      <c r="M207" s="6"/>
      <c r="N207" s="24">
        <f>-(SUM([1]H9!$EO$65,[1]H9!$EV$65)/1000)/N205</f>
        <v>0.16841905349428418</v>
      </c>
      <c r="O207" s="24">
        <f>-(SUM([1]H9!$EO$66,[1]H9!$EV$66)/1000)/O205</f>
        <v>0.24123011594162105</v>
      </c>
      <c r="P207" s="24">
        <f>-(SUM([1]H9!$EO$67,[1]H9!$EV$67)/1000)/P205</f>
        <v>0.20091200041673923</v>
      </c>
      <c r="Q207" s="6"/>
    </row>
    <row r="208" spans="2:20" ht="19.5" customHeight="1" x14ac:dyDescent="0.25">
      <c r="B208" s="224"/>
      <c r="C208" s="9"/>
      <c r="D208" s="17" t="s">
        <v>94</v>
      </c>
      <c r="E208" s="6"/>
      <c r="F208" s="24">
        <f t="shared" si="7"/>
        <v>2.0191650224042058E-2</v>
      </c>
      <c r="G208" s="24">
        <f t="shared" si="7"/>
        <v>0</v>
      </c>
      <c r="H208" s="24">
        <f t="shared" si="7"/>
        <v>6.5100370367492E-2</v>
      </c>
      <c r="I208" s="6"/>
      <c r="J208" s="24">
        <f>-(SUM([1]H9!$P$65,[1]H9!$W$65)/1000)/J205</f>
        <v>8.0911307785456743E-3</v>
      </c>
      <c r="K208" s="24">
        <f>-(SUM([1]H9!$P$66,[1]H9!$W$66)/1000)/K205</f>
        <v>0</v>
      </c>
      <c r="L208" s="24">
        <f>-(SUM([1]H9!$P$67,[1]H9!$W$67)/1000)/L205</f>
        <v>6.5100370367491986E-2</v>
      </c>
      <c r="M208" s="6"/>
      <c r="N208" s="24">
        <f>-(SUM([1]H9!$EN$65,[1]H9!$EU$65)/1000)/N205</f>
        <v>2.0191650224042058E-2</v>
      </c>
      <c r="O208" s="24">
        <f>-(SUM([1]H9!$EN$66,[1]H9!$EU$66)/1000)/O205</f>
        <v>0</v>
      </c>
      <c r="P208" s="24">
        <f>-(SUM([1]H9!$EN$67,[1]H9!$EU$67)/1000)/P205</f>
        <v>6.5100370367492E-2</v>
      </c>
      <c r="Q208" s="6"/>
    </row>
    <row r="209" spans="2:17" ht="19.5" customHeight="1" outlineLevel="1" x14ac:dyDescent="0.25">
      <c r="B209" s="224"/>
      <c r="C209" s="9"/>
      <c r="D209" s="17" t="s">
        <v>95</v>
      </c>
      <c r="E209" s="7"/>
      <c r="F209" s="24">
        <v>0.79243570416214992</v>
      </c>
      <c r="G209" s="24">
        <v>0.8148559316435503</v>
      </c>
      <c r="H209" s="24">
        <v>0.75170059448810467</v>
      </c>
      <c r="I209" s="7"/>
      <c r="J209" s="24">
        <f>+J206+J207+J208</f>
        <v>0.56336756236967256</v>
      </c>
      <c r="K209" s="24">
        <f>+K206+K207+K208</f>
        <v>0.58681327790680005</v>
      </c>
      <c r="L209" s="24">
        <f>+L206+L207+L208</f>
        <v>0.6295982031960442</v>
      </c>
      <c r="M209" s="7"/>
      <c r="N209" s="24">
        <f>+N206+N207+N208</f>
        <v>0.53032373166854196</v>
      </c>
      <c r="O209" s="24">
        <f>+O206+O207+O208</f>
        <v>0.57200102238818351</v>
      </c>
      <c r="P209" s="24">
        <f>+P206+P207+P208</f>
        <v>0.6119398076456406</v>
      </c>
      <c r="Q209" s="7"/>
    </row>
    <row r="210" spans="2:17" ht="20.149999999999999" customHeight="1" x14ac:dyDescent="0.25">
      <c r="B210" s="224"/>
      <c r="C210" s="9"/>
      <c r="D210" s="17" t="s">
        <v>96</v>
      </c>
      <c r="E210" s="7"/>
      <c r="F210" s="24">
        <v>-1.0319356743400948E-2</v>
      </c>
      <c r="G210" s="24">
        <v>1.8135499546365962E-2</v>
      </c>
      <c r="H210" s="24">
        <v>0</v>
      </c>
      <c r="I210" s="7"/>
      <c r="J210" s="24">
        <f>-(SUM([1]H9!$AC$65:$AK$65)/1000)/J205</f>
        <v>-0.11480697036902494</v>
      </c>
      <c r="K210" s="24">
        <f>-(SUM([1]H9!$AC$66:$AK$66)/1000)/K205</f>
        <v>-6.7201695706195089E-3</v>
      </c>
      <c r="L210" s="24">
        <f>-(SUM([1]H9!$AC$67:$AK$67)/1000)/L205</f>
        <v>-2.2591833630596771E-2</v>
      </c>
      <c r="M210" s="7"/>
      <c r="N210" s="24">
        <f>-(SUM([1]H9!$FA$65:$FI$65)/1000)/N205</f>
        <v>-7.4709597611524375E-2</v>
      </c>
      <c r="O210" s="24">
        <f>-(SUM([1]H9!$FA$66:$FI$66)/1000)/O205</f>
        <v>2.1417950253472866E-2</v>
      </c>
      <c r="P210" s="24">
        <f>-(SUM([1]H9!$FA$67:$FI$67)/1000)/P205</f>
        <v>-2.2591833630596771E-2</v>
      </c>
      <c r="Q210" s="7"/>
    </row>
    <row r="211" spans="2:17" ht="20.149999999999999" customHeight="1" outlineLevel="1" x14ac:dyDescent="0.25">
      <c r="B211" s="224"/>
      <c r="C211" s="9"/>
      <c r="D211" s="18" t="s">
        <v>87</v>
      </c>
      <c r="E211" s="7"/>
      <c r="F211" s="24">
        <v>5.3524374761171015E-2</v>
      </c>
      <c r="G211" s="24">
        <v>5.8053249663519033E-2</v>
      </c>
      <c r="H211" s="24">
        <v>5.3861513322713016E-2</v>
      </c>
      <c r="I211" s="7"/>
      <c r="J211" s="24">
        <f>-(SUM([1]H9!$AL$65:$AN$65)/1000)/J205</f>
        <v>0.1542344393066471</v>
      </c>
      <c r="K211" s="24">
        <f>-(SUM([1]H9!$AL$66:$AN$66)/1000)/K205</f>
        <v>0.15641068990986817</v>
      </c>
      <c r="L211" s="24">
        <f>-(SUM([1]H9!$AL$67:$AN$67)/1000)/L205</f>
        <v>0.15213294872713726</v>
      </c>
      <c r="M211" s="7"/>
      <c r="N211" s="24">
        <f>-(SUM([1]H9!$FJ$65:$FL$65)/1000)/N205</f>
        <v>0.14524526306972235</v>
      </c>
      <c r="O211" s="24">
        <f>-(SUM([1]H9!$FJ$66:$FL$66)/1000)/O205</f>
        <v>0.14198072020041541</v>
      </c>
      <c r="P211" s="24">
        <f>-(SUM([1]H9!$FJ$67:$FL$67)/1000)/P205</f>
        <v>0.15213294872713731</v>
      </c>
      <c r="Q211" s="7"/>
    </row>
    <row r="212" spans="2:17" ht="19.5" customHeight="1" outlineLevel="1" x14ac:dyDescent="0.25">
      <c r="B212" s="224"/>
      <c r="C212" s="9"/>
      <c r="D212" s="18" t="s">
        <v>88</v>
      </c>
      <c r="E212" s="7"/>
      <c r="F212" s="24">
        <v>9.9075295256959517E-2</v>
      </c>
      <c r="G212" s="24">
        <v>0.11209148693116676</v>
      </c>
      <c r="H212" s="24">
        <v>0.11658092181995375</v>
      </c>
      <c r="I212" s="7"/>
      <c r="J212" s="24">
        <f>-(SUM([1]H9!$AO$65:$AR$65)/1000)/J205</f>
        <v>9.7622830235655572E-2</v>
      </c>
      <c r="K212" s="24">
        <f>-(SUM([1]H9!$AO$66:$AR$66)/1000)/K205</f>
        <v>8.5880525607893832E-2</v>
      </c>
      <c r="L212" s="24">
        <f>-(SUM([1]H9!$AO$67:$AR$67)/1000)/L205</f>
        <v>9.7293006318452793E-2</v>
      </c>
      <c r="M212" s="7"/>
      <c r="N212" s="24">
        <f>-(SUM([1]H9!$FM$65:$FP$65)/1000)/N205</f>
        <v>8.3003801935705016E-2</v>
      </c>
      <c r="O212" s="24">
        <f>-(SUM([1]H9!$FM$66:$FP$66)/1000)/O205</f>
        <v>7.3505102763306907E-2</v>
      </c>
      <c r="P212" s="24">
        <f>-(SUM([1]H9!$FM$67:$FP$67)/1000)/P205</f>
        <v>9.7293006318452793E-2</v>
      </c>
      <c r="Q212" s="7"/>
    </row>
    <row r="213" spans="2:17" ht="20.149999999999999" customHeight="1" x14ac:dyDescent="0.25">
      <c r="B213" s="224"/>
      <c r="C213" s="9"/>
      <c r="D213" s="17" t="s">
        <v>97</v>
      </c>
      <c r="E213" s="7"/>
      <c r="F213" s="24">
        <v>0.15259967001813052</v>
      </c>
      <c r="G213" s="24">
        <v>0.17014473659468576</v>
      </c>
      <c r="H213" s="24">
        <v>0.17044243514266674</v>
      </c>
      <c r="I213" s="7"/>
      <c r="J213" s="24">
        <f>+J211+J212</f>
        <v>0.2518572695423027</v>
      </c>
      <c r="K213" s="24">
        <f>+K211+K212</f>
        <v>0.242291215517762</v>
      </c>
      <c r="L213" s="24">
        <f>+L211+L212</f>
        <v>0.24942595504559006</v>
      </c>
      <c r="M213" s="7"/>
      <c r="N213" s="24">
        <f>+N211+N212</f>
        <v>0.22824906500542735</v>
      </c>
      <c r="O213" s="24">
        <f>+O211+O212</f>
        <v>0.21548582296372232</v>
      </c>
      <c r="P213" s="24">
        <f>+P211+P212</f>
        <v>0.24942595504559012</v>
      </c>
      <c r="Q213" s="7"/>
    </row>
    <row r="214" spans="2:17" ht="20.149999999999999" customHeight="1" x14ac:dyDescent="0.25">
      <c r="B214" s="224"/>
      <c r="C214" s="9"/>
      <c r="D214" s="17" t="s">
        <v>90</v>
      </c>
      <c r="E214" s="7"/>
      <c r="F214" s="24"/>
      <c r="G214" s="24"/>
      <c r="H214" s="24"/>
      <c r="I214" s="7"/>
      <c r="J214" s="24">
        <f>-(SUM([1]H9!$AT$65:$BJ$65)/1000/J205)</f>
        <v>7.4164536403342099E-2</v>
      </c>
      <c r="K214" s="24">
        <f>-(SUM([1]H9!$AT$66:$BJ$66)/1000/K205)</f>
        <v>8.2936127923871311E-2</v>
      </c>
      <c r="L214" s="24">
        <f>-(SUM([1]H9!$AT$67:$BJ$67)/1000/L205)</f>
        <v>1.3456850604556351E-2</v>
      </c>
      <c r="M214" s="7"/>
      <c r="N214" s="24">
        <f>-(SUM([1]H9!$FR$65:$GH$65)/1000/N205)</f>
        <v>7.2527331282551372E-2</v>
      </c>
      <c r="O214" s="24">
        <f>-(SUM([1]H9!$FR$66:$GH$66)/1000/O205)</f>
        <v>6.1937271980942933E-2</v>
      </c>
      <c r="P214" s="24">
        <f>-(SUM([1]H9!$FR$67:$GH$67)/1000/P205)</f>
        <v>1.3456850604556335E-2</v>
      </c>
      <c r="Q214" s="7"/>
    </row>
    <row r="215" spans="2:17" ht="20.149999999999999" customHeight="1" x14ac:dyDescent="0.25">
      <c r="B215" s="224"/>
      <c r="C215" s="9"/>
      <c r="D215" s="17" t="s">
        <v>79</v>
      </c>
      <c r="E215" s="8"/>
      <c r="F215" s="24">
        <v>0.93471601743687949</v>
      </c>
      <c r="G215" s="24">
        <v>1.003136167784602</v>
      </c>
      <c r="H215" s="24">
        <v>0.92214302963077155</v>
      </c>
      <c r="I215" s="8"/>
      <c r="J215" s="24">
        <f>+J209+J210+J213+J214</f>
        <v>0.77458239794629247</v>
      </c>
      <c r="K215" s="24">
        <f>+K209+K210+K213+K214</f>
        <v>0.90532045177781384</v>
      </c>
      <c r="L215" s="24">
        <f>+L209+L210+L213+L214</f>
        <v>0.86988917521559384</v>
      </c>
      <c r="M215" s="8"/>
      <c r="N215" s="24">
        <f>+N209+N210+N213+N214</f>
        <v>0.75639053034499626</v>
      </c>
      <c r="O215" s="24">
        <f>+O209+O210+O213+O214</f>
        <v>0.87084206758632154</v>
      </c>
      <c r="P215" s="24">
        <f>+P209+P210+P213+P214</f>
        <v>0.85223077966519034</v>
      </c>
      <c r="Q215" s="8"/>
    </row>
    <row r="216" spans="2:17" ht="19.5" customHeight="1" x14ac:dyDescent="0.25">
      <c r="B216" s="224"/>
      <c r="C216" s="9"/>
      <c r="D216" s="17" t="s">
        <v>34</v>
      </c>
      <c r="E216" s="6"/>
      <c r="F216" s="23">
        <v>6.3072856900000263</v>
      </c>
      <c r="G216" s="23">
        <v>-0.25402889999998773</v>
      </c>
      <c r="H216" s="23">
        <v>6.5193880942056417</v>
      </c>
      <c r="I216" s="6"/>
      <c r="J216" s="23">
        <f>+[1]H9!$BK$65/1000</f>
        <v>16.588426339999984</v>
      </c>
      <c r="K216" s="23">
        <f>+[1]H9!$BK$66/1000</f>
        <v>6.8752763699999857</v>
      </c>
      <c r="L216" s="23">
        <f>+[1]H9!$BK$67/1000</f>
        <v>11.601377345312663</v>
      </c>
      <c r="M216" s="6"/>
      <c r="N216" s="23">
        <f>+[1]H9!$GI$65/1000</f>
        <v>7.1837123799999949</v>
      </c>
      <c r="O216" s="23">
        <f>+[1]H9!$GI$66/1000</f>
        <v>3.7506360899999973</v>
      </c>
      <c r="P216" s="23">
        <f>+[1]H9!$GI$67/1000</f>
        <v>4.3919647935197306</v>
      </c>
      <c r="Q216" s="6"/>
    </row>
    <row r="217" spans="2:17" ht="7.5" customHeight="1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2:17" ht="19.5" customHeight="1" x14ac:dyDescent="0.25">
      <c r="B218" s="224" t="s">
        <v>49</v>
      </c>
      <c r="C218" s="9"/>
      <c r="D218" s="17" t="s">
        <v>19</v>
      </c>
      <c r="E218" s="6"/>
      <c r="F218" s="23">
        <v>0</v>
      </c>
      <c r="G218" s="23">
        <v>0</v>
      </c>
      <c r="H218" s="23">
        <v>0</v>
      </c>
      <c r="I218" s="6"/>
      <c r="J218" s="23">
        <f t="shared" ref="J218:L219" si="8">+J232+J246</f>
        <v>35.415759620000152</v>
      </c>
      <c r="K218" s="23">
        <f t="shared" si="8"/>
        <v>24.364716519999984</v>
      </c>
      <c r="L218" s="23">
        <f t="shared" si="8"/>
        <v>27.974916263833261</v>
      </c>
      <c r="M218" s="6"/>
      <c r="N218" s="23">
        <f t="shared" ref="N218:P219" si="9">+N232+N246</f>
        <v>0.51990360000000513</v>
      </c>
      <c r="O218" s="23">
        <f t="shared" si="9"/>
        <v>0.37340332000000126</v>
      </c>
      <c r="P218" s="23">
        <f t="shared" si="9"/>
        <v>0.94939279370107399</v>
      </c>
      <c r="Q218" s="6"/>
    </row>
    <row r="219" spans="2:17" ht="20.149999999999999" customHeight="1" x14ac:dyDescent="0.25">
      <c r="B219" s="224"/>
      <c r="C219" s="9"/>
      <c r="D219" s="17" t="s">
        <v>20</v>
      </c>
      <c r="E219" s="6"/>
      <c r="F219" s="23">
        <v>0</v>
      </c>
      <c r="G219" s="23">
        <v>0</v>
      </c>
      <c r="H219" s="23">
        <v>0</v>
      </c>
      <c r="I219" s="6"/>
      <c r="J219" s="23">
        <f t="shared" si="8"/>
        <v>26.314280150000137</v>
      </c>
      <c r="K219" s="23">
        <f t="shared" si="8"/>
        <v>21.382482499999988</v>
      </c>
      <c r="L219" s="23">
        <f t="shared" si="8"/>
        <v>26.959171549999994</v>
      </c>
      <c r="M219" s="6"/>
      <c r="N219" s="23">
        <f t="shared" si="9"/>
        <v>9.1963364299999952</v>
      </c>
      <c r="O219" s="23">
        <f t="shared" si="9"/>
        <v>6.986375220000002</v>
      </c>
      <c r="P219" s="23">
        <f t="shared" si="9"/>
        <v>8.9863905166666633</v>
      </c>
      <c r="Q219" s="6"/>
    </row>
    <row r="220" spans="2:17" ht="19.5" customHeight="1" x14ac:dyDescent="0.25">
      <c r="B220" s="224"/>
      <c r="C220" s="9"/>
      <c r="D220" s="17" t="s">
        <v>92</v>
      </c>
      <c r="E220" s="6"/>
      <c r="F220" s="24">
        <f>0</f>
        <v>0</v>
      </c>
      <c r="G220" s="24">
        <f>0</f>
        <v>0</v>
      </c>
      <c r="H220" s="24">
        <f>0</f>
        <v>0</v>
      </c>
      <c r="I220" s="6"/>
      <c r="J220" s="24">
        <f>(-(SUM([3]H9!$O$69,[3]H9!$R$69:$V$69,[3]H9!$Y$69:$AB$69)/1000)-(SUM([3]H9!$O$73,[3]H9!$R$73:$V$73,[3]H9!$Y$73:$AB$73)/1000))/J219</f>
        <v>0.63254600791349835</v>
      </c>
      <c r="K220" s="24">
        <f>(-(SUM([3]H9!$O$70,[3]H9!$R$70:$V$70,[3]H9!$Y$70:$AB$70)/1000)-(SUM([3]H9!$O$74,[3]H9!$R$74:$V$74,[3]H9!$Y$74:$AB$74)/1000))/K219</f>
        <v>0.81093267070369457</v>
      </c>
      <c r="L220" s="24">
        <f>(-(SUM([3]H9!$O$71,[3]H9!$R$71:$V$71,[3]H9!$Y$71:$AB$71)/1000)-(SUM([3]H9!$O$75,[3]H9!$R$75:$V$75,[3]H9!$Y$75:$AB$75)/1000))/L219</f>
        <v>0.6063237637075396</v>
      </c>
      <c r="M220" s="6"/>
      <c r="N220" s="24">
        <f>(-(SUM([3]H9!$EM$69,[3]H9!$EP$69:$ET$69,[3]H9!$EW$69:$EZ$69)/1000)-(SUM([3]H9!$EM$73,[3]H9!$EP$73:$ET$73,[3]H9!$EW$73:$EZ$73)/1000))/N219</f>
        <v>0.60042112552422156</v>
      </c>
      <c r="O220" s="24">
        <f>(-(SUM([3]H9!$EM$70,[3]H9!$EP$70:$ET$70,[3]H9!$EW$70:$EZ$70)/1000)-(SUM([3]H9!$EM$74,[3]H9!$EP$74:$ET$74,[3]H9!$EW$74:$EZ$74)/1000))/O219</f>
        <v>0.65395394981376342</v>
      </c>
      <c r="P220" s="24">
        <f>(-(SUM([3]H9!$EM$71,[3]H9!$EP$71:$ET$71,[3]H9!$EW$71:$EZ$71)/1000)-(SUM([3]H9!$EM$75,[3]H9!$EP$75:$ET$75,[3]H9!$EW$75:$EZ$75)/1000))/P219</f>
        <v>0.6063237637075396</v>
      </c>
      <c r="Q220" s="6"/>
    </row>
    <row r="221" spans="2:17" ht="19.5" customHeight="1" x14ac:dyDescent="0.25">
      <c r="B221" s="224"/>
      <c r="C221" s="9"/>
      <c r="D221" s="17" t="s">
        <v>93</v>
      </c>
      <c r="E221" s="6"/>
      <c r="F221" s="24">
        <f>0</f>
        <v>0</v>
      </c>
      <c r="G221" s="24">
        <f>0</f>
        <v>0</v>
      </c>
      <c r="H221" s="24">
        <f>0</f>
        <v>0</v>
      </c>
      <c r="I221" s="6"/>
      <c r="J221" s="24">
        <f>(-(SUM([3]H9!$Q$69,[3]H9!$X$69)/1000)-(SUM([3]H9!$Q$73,[3]H9!$X$73)/1000))/J219</f>
        <v>0.15745164436884579</v>
      </c>
      <c r="K221" s="24">
        <f>(-(SUM([3]H9!$Q$70,[3]H9!$X$70)/1000)-(SUM([3]H9!$Q$74,[3]H9!$X$74)/1000))/K219</f>
        <v>2.8060352674204238E-2</v>
      </c>
      <c r="L221" s="24">
        <f>(-(SUM([3]H9!$Q$71,[3]H9!$X$71)/1000)-(SUM([3]H9!$Q$75,[3]H9!$X$75)/1000))/L219</f>
        <v>0.18546563980004799</v>
      </c>
      <c r="M221" s="6"/>
      <c r="N221" s="24">
        <f>(-(SUM([3]H9!$EO$69,[3]H9!$EV$69)/1000)-(SUM([3]H9!$EO$73,[3]H9!$EV$73)/1000))/N219</f>
        <v>0.17868274964794872</v>
      </c>
      <c r="O221" s="24">
        <f>(-(SUM([3]H9!$EO$70,[3]H9!$EV$70)/1000)-(SUM([3]H9!$EO$74,[3]H9!$EV$74)/1000))/O219</f>
        <v>-1.4313574185613234E-2</v>
      </c>
      <c r="P221" s="24">
        <f>(-(SUM([3]H9!$EO$71,[3]H9!$EV$71)/1000)-(SUM([3]H9!$EO$75,[3]H9!$EV$75)/1000))/P219</f>
        <v>0.18546563980004799</v>
      </c>
      <c r="Q221" s="6"/>
    </row>
    <row r="222" spans="2:17" ht="19.5" customHeight="1" x14ac:dyDescent="0.25">
      <c r="B222" s="224"/>
      <c r="C222" s="9"/>
      <c r="D222" s="17" t="s">
        <v>94</v>
      </c>
      <c r="E222" s="6"/>
      <c r="F222" s="24">
        <f>0</f>
        <v>0</v>
      </c>
      <c r="G222" s="24">
        <f>0</f>
        <v>0</v>
      </c>
      <c r="H222" s="24">
        <f>0</f>
        <v>0</v>
      </c>
      <c r="I222" s="6"/>
      <c r="J222" s="24">
        <f>(-(SUM([3]H9!$P$69,[3]H9!$W$69)/1000)-(SUM([3]H9!$P$73,[3]H9!$W$73)/1000))/J219</f>
        <v>0</v>
      </c>
      <c r="K222" s="24">
        <f>(-(SUM([3]H9!$P$70,[3]H9!$W$70)/1000)-(SUM([3]H9!$P$74,[3]H9!$W$74)/1000))/K219</f>
        <v>0</v>
      </c>
      <c r="L222" s="24">
        <f>(-(SUM([3]H9!$P$71,[3]H9!$W$71)/1000)-(SUM([3]H9!$P$75,[3]H9!$W$75)/1000))/L219</f>
        <v>0</v>
      </c>
      <c r="M222" s="6"/>
      <c r="N222" s="24">
        <f>(-(SUM([3]H9!$EN$69,[3]H9!$EU$69)/1000)-(SUM([3]H9!$EN$73,[3]H9!$EU$73)/1000))/N219</f>
        <v>0</v>
      </c>
      <c r="O222" s="24">
        <f>(-(SUM([3]H9!$EN$70,[3]H9!$EU$70)/1000)-(SUM([3]H9!$EN$74,[3]H9!$EU$74)/1000))/O219</f>
        <v>0</v>
      </c>
      <c r="P222" s="24">
        <f>(-(SUM([3]H9!$EN$71,[3]H9!$EU$71)/1000)-(SUM([3]H9!$EN$75,[3]H9!$EU$75)/1000))/P219</f>
        <v>0</v>
      </c>
      <c r="Q222" s="6"/>
    </row>
    <row r="223" spans="2:17" ht="19.5" customHeight="1" outlineLevel="1" x14ac:dyDescent="0.25">
      <c r="B223" s="224"/>
      <c r="C223" s="9"/>
      <c r="D223" s="17" t="s">
        <v>95</v>
      </c>
      <c r="E223" s="7"/>
      <c r="F223" s="24">
        <v>0</v>
      </c>
      <c r="G223" s="24">
        <v>0</v>
      </c>
      <c r="H223" s="24">
        <v>0</v>
      </c>
      <c r="I223" s="7"/>
      <c r="J223" s="24">
        <f>+J220+J221+J222</f>
        <v>0.7899976522823442</v>
      </c>
      <c r="K223" s="24">
        <f>+K220+K221+K222</f>
        <v>0.83899302337789883</v>
      </c>
      <c r="L223" s="24">
        <f>+L220+L221+L222</f>
        <v>0.79178940350758764</v>
      </c>
      <c r="M223" s="7"/>
      <c r="N223" s="24">
        <f>+N220+N221+N222</f>
        <v>0.77910387517217028</v>
      </c>
      <c r="O223" s="24">
        <f>+O220+O221+O222</f>
        <v>0.63964037562815024</v>
      </c>
      <c r="P223" s="24">
        <f>+P220+P221+P222</f>
        <v>0.79178940350758764</v>
      </c>
      <c r="Q223" s="7"/>
    </row>
    <row r="224" spans="2:17" ht="20.149999999999999" customHeight="1" x14ac:dyDescent="0.25">
      <c r="B224" s="224"/>
      <c r="C224" s="9"/>
      <c r="D224" s="17" t="s">
        <v>96</v>
      </c>
      <c r="E224" s="7"/>
      <c r="F224" s="24">
        <v>0</v>
      </c>
      <c r="G224" s="24">
        <v>0</v>
      </c>
      <c r="H224" s="24">
        <v>0</v>
      </c>
      <c r="I224" s="7"/>
      <c r="J224" s="24">
        <f>(-(SUM([3]H9!$AC$69:$AK$69)/1000)-(SUM([3]H9!$AC$73:$AK$73)/1000))/J219</f>
        <v>-3.5108344774535102E-2</v>
      </c>
      <c r="K224" s="24">
        <f>(-(SUM([3]H9!$AC$70:$AK$70)/1000)-(SUM([3]H9!$AC$74:$AK$74)/1000))/K219</f>
        <v>-0.19352072660412536</v>
      </c>
      <c r="L224" s="24">
        <f>(-(SUM([3]H9!$AC$71:$AK$71)/1000)-(SUM([3]H9!$AC$75:$AK$75)/1000))/L219</f>
        <v>-2.1866593159756673E-2</v>
      </c>
      <c r="M224" s="7"/>
      <c r="N224" s="24">
        <f>(-(SUM([3]H9!$FA$69:$FI$69)/1000)-(SUM([3]H9!$FA$73:$FI$73)/1000))/N219</f>
        <v>1.4254651403613381E-2</v>
      </c>
      <c r="O224" s="24">
        <f>(-(SUM([3]H9!$FA$70:$FI$70)/1000)-(SUM([3]H9!$FA$74:$FI$74)/1000))/O219</f>
        <v>-0.32069117238166334</v>
      </c>
      <c r="P224" s="24">
        <f>(-(SUM([3]H9!$FA$71:$FI$71)/1000)-(SUM([3]H9!$FA$75:$FI$75)/1000))/P219</f>
        <v>-2.1866593159756715E-2</v>
      </c>
      <c r="Q224" s="7"/>
    </row>
    <row r="225" spans="2:17" ht="20.149999999999999" customHeight="1" outlineLevel="1" x14ac:dyDescent="0.25">
      <c r="B225" s="224"/>
      <c r="C225" s="9"/>
      <c r="D225" s="18" t="s">
        <v>87</v>
      </c>
      <c r="E225" s="7"/>
      <c r="F225" s="24">
        <v>0</v>
      </c>
      <c r="G225" s="24">
        <v>0</v>
      </c>
      <c r="H225" s="24">
        <v>0</v>
      </c>
      <c r="I225" s="7"/>
      <c r="J225" s="24">
        <f>(-(SUM([3]H9!$AL$69:$AN$69)/1000)-(SUM([3]H9!$AL$73:$AN$73)/1000))/J219</f>
        <v>7.7232985603825965E-2</v>
      </c>
      <c r="K225" s="24">
        <f>(-(SUM([3]H9!$AL$70:$AN$70)/1000)-(SUM([3]H9!$AL$74:$AN$74)/1000))/K219</f>
        <v>6.9670024984236509E-2</v>
      </c>
      <c r="L225" s="24">
        <f>(-(SUM([3]H9!$AL$71:$AN$71)/1000)-(SUM([3]H9!$AL$75:$AN$75)/1000))/L219</f>
        <v>7.1958299764247044E-2</v>
      </c>
      <c r="M225" s="7"/>
      <c r="N225" s="24">
        <f>(-(SUM([3]H9!$FJ$69:$FL$69)/1000)-(SUM([3]H9!$FJ$73:$FL$73)/1000))/N219</f>
        <v>7.8880524382903688E-2</v>
      </c>
      <c r="O225" s="24">
        <f>(-(SUM([3]H9!$FJ$70:$FL$70)/1000)-(SUM([3]H9!$FJ$74:$FL$74)/1000))/O219</f>
        <v>8.0055279367030607E-2</v>
      </c>
      <c r="P225" s="24">
        <f>(-(SUM([3]H9!$FJ$71:$FL$71)/1000)-(SUM([3]H9!$FJ$75:$FL$75)/1000))/P219</f>
        <v>7.1958299764247058E-2</v>
      </c>
      <c r="Q225" s="7"/>
    </row>
    <row r="226" spans="2:17" ht="19.5" customHeight="1" outlineLevel="1" x14ac:dyDescent="0.25">
      <c r="B226" s="224"/>
      <c r="C226" s="9"/>
      <c r="D226" s="18" t="s">
        <v>88</v>
      </c>
      <c r="E226" s="7"/>
      <c r="F226" s="24">
        <v>0</v>
      </c>
      <c r="G226" s="24">
        <v>0</v>
      </c>
      <c r="H226" s="24">
        <v>0</v>
      </c>
      <c r="I226" s="7"/>
      <c r="J226" s="24">
        <f>(-(SUM([3]H9!$AO$69:$AR$69)/1000)-(SUM([3]H9!$AO$73:$AR$73)/1000))/J219</f>
        <v>0.12412636566081336</v>
      </c>
      <c r="K226" s="24">
        <f>(-(SUM([3]H9!$AO$70:$AR$70)/1000)-(SUM([3]H9!$AO$74:$AR$74)/1000))/K219</f>
        <v>0.1104182486762237</v>
      </c>
      <c r="L226" s="24">
        <f>(-(SUM([3]H9!$AO$71:$AR$71)/1000)-(SUM([3]H9!$AO$75:$AR$75)/1000))/L219</f>
        <v>0.12891717664976937</v>
      </c>
      <c r="M226" s="7"/>
      <c r="N226" s="24">
        <f>(-(SUM([3]H9!$FM$69:$FP$69)/1000)-(SUM([3]H9!$FM$73:$FP$73)/1000))/N219</f>
        <v>0.12418356578109668</v>
      </c>
      <c r="O226" s="24">
        <f>(-(SUM([3]H9!$FM$70:$FP$70)/1000)-(SUM([3]H9!$FM$74:$FP$74)/1000))/O219</f>
        <v>0.1160700140580196</v>
      </c>
      <c r="P226" s="24">
        <f>(-(SUM([3]H9!$FM$71:$FP$71)/1000)-(SUM([3]H9!$FM$75:$FP$75)/1000))/P219</f>
        <v>0.12891717664976937</v>
      </c>
      <c r="Q226" s="7"/>
    </row>
    <row r="227" spans="2:17" ht="20.149999999999999" customHeight="1" x14ac:dyDescent="0.25">
      <c r="B227" s="224"/>
      <c r="C227" s="9"/>
      <c r="D227" s="17" t="s">
        <v>97</v>
      </c>
      <c r="E227" s="7"/>
      <c r="F227" s="24">
        <v>0</v>
      </c>
      <c r="G227" s="24">
        <v>0</v>
      </c>
      <c r="H227" s="24">
        <v>0</v>
      </c>
      <c r="I227" s="7"/>
      <c r="J227" s="24">
        <f>+J225+J226</f>
        <v>0.20135935126463933</v>
      </c>
      <c r="K227" s="24">
        <f>+K225+K226</f>
        <v>0.18008827366046021</v>
      </c>
      <c r="L227" s="24">
        <f>+L225+L226</f>
        <v>0.20087547641401643</v>
      </c>
      <c r="M227" s="7"/>
      <c r="N227" s="24">
        <f>+N225+N226</f>
        <v>0.20306409016400037</v>
      </c>
      <c r="O227" s="24">
        <f>+O225+O226</f>
        <v>0.1961252934250502</v>
      </c>
      <c r="P227" s="24">
        <f>+P225+P226</f>
        <v>0.20087547641401643</v>
      </c>
      <c r="Q227" s="7"/>
    </row>
    <row r="228" spans="2:17" ht="20.149999999999999" customHeight="1" x14ac:dyDescent="0.25">
      <c r="B228" s="224"/>
      <c r="C228" s="9"/>
      <c r="D228" s="17" t="s">
        <v>90</v>
      </c>
      <c r="E228" s="7"/>
      <c r="F228" s="24"/>
      <c r="G228" s="24"/>
      <c r="H228" s="24"/>
      <c r="I228" s="7"/>
      <c r="J228" s="24">
        <f>(-(SUM([3]H9!$AT$69:$BJ$69)/1000)-(SUM([3]H9!$AT$73:$BJ$73)/1000))/J219</f>
        <v>1.834933493325926E-2</v>
      </c>
      <c r="K228" s="24">
        <f>(-(SUM([3]H9!$AT$70:$BJ$70)/1000)-(SUM([3]H9!$AT$74:$BJ$74)/1000))/K219</f>
        <v>5.8109592747241735E-2</v>
      </c>
      <c r="L228" s="24">
        <f>(-(SUM([3]H9!$AT$71:$BJ$71)/1000)-(SUM([3]H9!$AT$75:$BJ$75)/1000))/L219</f>
        <v>1.9631487942252026E-2</v>
      </c>
      <c r="M228" s="7"/>
      <c r="N228" s="24">
        <f>(-(SUM([3]H9!$FR$69:$GH$69)/1000)-(SUM([3]H9!$FR$73:$GH$73)/1000))/N219</f>
        <v>-8.1847646150109671E-2</v>
      </c>
      <c r="O228" s="24">
        <f>(-(SUM([3]H9!$FR$70:$GH$70)/1000)-(SUM([3]H9!$FR$74:$GH$74)/1000))/O219</f>
        <v>0.10863123237746831</v>
      </c>
      <c r="P228" s="24">
        <f>(-(SUM([3]H9!$FR$71:$GH$71)/1000)-(SUM([3]H9!$FR$75:$GH$75)/1000))/P219</f>
        <v>1.9631487942252036E-2</v>
      </c>
      <c r="Q228" s="7"/>
    </row>
    <row r="229" spans="2:17" ht="20.149999999999999" customHeight="1" x14ac:dyDescent="0.25">
      <c r="B229" s="224"/>
      <c r="C229" s="9"/>
      <c r="D229" s="17" t="s">
        <v>79</v>
      </c>
      <c r="E229" s="8"/>
      <c r="F229" s="24">
        <v>0</v>
      </c>
      <c r="G229" s="24">
        <v>0</v>
      </c>
      <c r="H229" s="24">
        <v>0</v>
      </c>
      <c r="I229" s="8"/>
      <c r="J229" s="24">
        <f>+J223+J224+J227+J228</f>
        <v>0.97459799370570777</v>
      </c>
      <c r="K229" s="24">
        <f>+K223+K224+K227+K228</f>
        <v>0.8836701631814754</v>
      </c>
      <c r="L229" s="24">
        <f>+L223+L224+L227+L228</f>
        <v>0.99042977470409943</v>
      </c>
      <c r="M229" s="8"/>
      <c r="N229" s="24">
        <f>+N223+N224+N227+N228</f>
        <v>0.91457497058967441</v>
      </c>
      <c r="O229" s="24">
        <f>+O223+O224+O227+O228</f>
        <v>0.62370572904900534</v>
      </c>
      <c r="P229" s="24">
        <f>+P223+P224+P227+P228</f>
        <v>0.99042977470409943</v>
      </c>
      <c r="Q229" s="8"/>
    </row>
    <row r="230" spans="2:17" ht="19.5" customHeight="1" x14ac:dyDescent="0.25">
      <c r="B230" s="224"/>
      <c r="C230" s="9"/>
      <c r="D230" s="17" t="s">
        <v>34</v>
      </c>
      <c r="E230" s="6"/>
      <c r="F230" s="23">
        <v>0</v>
      </c>
      <c r="G230" s="23">
        <v>0</v>
      </c>
      <c r="H230" s="23">
        <v>0</v>
      </c>
      <c r="I230" s="6"/>
      <c r="J230" s="23">
        <f>+J244+J258</f>
        <v>0.66843551000007362</v>
      </c>
      <c r="K230" s="23">
        <f>+K244+K258</f>
        <v>2.487420699999956</v>
      </c>
      <c r="L230" s="23">
        <f>+L244+L258</f>
        <v>0.25800534552433735</v>
      </c>
      <c r="M230" s="6"/>
      <c r="N230" s="23">
        <f>+N244+N258</f>
        <v>0.78559730999999999</v>
      </c>
      <c r="O230" s="23">
        <f>+O244+O258</f>
        <v>2.6289329699999961</v>
      </c>
      <c r="P230" s="23">
        <f>+P244+P258</f>
        <v>8.6001781841443289E-2</v>
      </c>
      <c r="Q230" s="6"/>
    </row>
    <row r="231" spans="2:17" ht="7.5" customHeight="1" outlineLevel="1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2:17" ht="19.5" customHeight="1" outlineLevel="1" x14ac:dyDescent="0.25">
      <c r="B232" s="224" t="s">
        <v>50</v>
      </c>
      <c r="C232" s="9"/>
      <c r="D232" s="17" t="s">
        <v>19</v>
      </c>
      <c r="E232" s="6"/>
      <c r="F232" s="23"/>
      <c r="G232" s="23"/>
      <c r="H232" s="23"/>
      <c r="I232" s="6"/>
      <c r="J232" s="23">
        <f>+[3]H9!$C$69/1000</f>
        <v>35.415759620000152</v>
      </c>
      <c r="K232" s="23">
        <f>+[3]H9!$C$70/1000</f>
        <v>24.364716519999984</v>
      </c>
      <c r="L232" s="23">
        <f>+[3]H9!$C$71/1000</f>
        <v>27.974916263833261</v>
      </c>
      <c r="M232" s="6"/>
      <c r="N232" s="23">
        <f>+[3]H9!$EA$69/1000</f>
        <v>0.51990360000000513</v>
      </c>
      <c r="O232" s="23">
        <f>+[3]H9!$EA$70/1000</f>
        <v>0.37340332000000126</v>
      </c>
      <c r="P232" s="23">
        <f>+[3]H9!$EA$71/1000</f>
        <v>0.94939279370107399</v>
      </c>
      <c r="Q232" s="6"/>
    </row>
    <row r="233" spans="2:17" ht="20.149999999999999" customHeight="1" outlineLevel="1" x14ac:dyDescent="0.25">
      <c r="B233" s="224"/>
      <c r="C233" s="9"/>
      <c r="D233" s="17" t="s">
        <v>20</v>
      </c>
      <c r="E233" s="6"/>
      <c r="F233" s="23"/>
      <c r="G233" s="23"/>
      <c r="H233" s="23"/>
      <c r="I233" s="6"/>
      <c r="J233" s="23">
        <f>+[3]H9!$N$69/1000</f>
        <v>26.314280150000137</v>
      </c>
      <c r="K233" s="23">
        <f>+[3]H9!$N$70/1000</f>
        <v>21.382482499999988</v>
      </c>
      <c r="L233" s="23">
        <f>+[3]H9!$N$71/1000</f>
        <v>26.959171549999994</v>
      </c>
      <c r="M233" s="6"/>
      <c r="N233" s="23">
        <f>+[3]H9!$EL$69/1000</f>
        <v>9.1963364299999952</v>
      </c>
      <c r="O233" s="23">
        <f>+[3]H9!$EL$70/1000</f>
        <v>6.986375220000002</v>
      </c>
      <c r="P233" s="23">
        <f>+[3]H9!$EL$71/1000</f>
        <v>8.9863905166666633</v>
      </c>
      <c r="Q233" s="6"/>
    </row>
    <row r="234" spans="2:17" ht="19.5" customHeight="1" outlineLevel="1" x14ac:dyDescent="0.25">
      <c r="B234" s="224"/>
      <c r="C234" s="9"/>
      <c r="D234" s="17" t="s">
        <v>92</v>
      </c>
      <c r="E234" s="6"/>
      <c r="F234" s="24"/>
      <c r="G234" s="24"/>
      <c r="H234" s="24"/>
      <c r="I234" s="6"/>
      <c r="J234" s="24">
        <f>-(SUM([3]H9!$O$69,[3]H9!$R$69:$V$69,[3]H9!$Y$69:$AB$69)/1000)/J233</f>
        <v>0.63254600791349835</v>
      </c>
      <c r="K234" s="24">
        <f>-(SUM([3]H9!$O$70,[3]H9!$R$70:$V$70,[3]H9!$Y$70:$AB$70)/1000)/K233</f>
        <v>0.81093267070369457</v>
      </c>
      <c r="L234" s="24">
        <f>-(SUM([3]H9!$O$71,[3]H9!$R$71:$V$71,[3]H9!$Y$71:$AB$71)/1000)/L233</f>
        <v>0.6063237637075396</v>
      </c>
      <c r="M234" s="6"/>
      <c r="N234" s="24">
        <f>-(SUM([3]H9!$EM$69,[3]H9!$EP$69:$ET$69,[3]H9!$EW$69:$EZ$69)/1000)/N233</f>
        <v>0.60042112552422156</v>
      </c>
      <c r="O234" s="24">
        <f>-(SUM([3]H9!$EM$70,[3]H9!$EP$70:$ET$70,[3]H9!$EW$70:$EZ$70)/1000)/O233</f>
        <v>0.65395394981376342</v>
      </c>
      <c r="P234" s="24">
        <f>-(SUM([3]H9!$EM$71,[3]H9!$EP$71:$ET$71,[3]H9!$EW$71:$EZ$71)/1000)/P233</f>
        <v>0.6063237637075396</v>
      </c>
      <c r="Q234" s="6"/>
    </row>
    <row r="235" spans="2:17" ht="19.5" customHeight="1" outlineLevel="1" x14ac:dyDescent="0.25">
      <c r="B235" s="224"/>
      <c r="C235" s="9"/>
      <c r="D235" s="17" t="s">
        <v>93</v>
      </c>
      <c r="E235" s="6"/>
      <c r="F235" s="24"/>
      <c r="G235" s="24"/>
      <c r="H235" s="24"/>
      <c r="I235" s="6"/>
      <c r="J235" s="24">
        <f>-(SUM([3]H9!$Q$69,[3]H9!$X$69)/1000)/J233</f>
        <v>0.15745164436884579</v>
      </c>
      <c r="K235" s="24">
        <f>-(SUM([3]H9!$Q$70,[3]H9!$X$70)/1000)/K233</f>
        <v>2.8060352674204238E-2</v>
      </c>
      <c r="L235" s="24">
        <f>-(SUM([3]H9!$Q$71,[3]H9!$X$71)/1000)/L233</f>
        <v>0.18546563980004799</v>
      </c>
      <c r="M235" s="6"/>
      <c r="N235" s="24">
        <f>-(SUM([3]H9!$EO$69,[3]H9!$EV$69)/1000)/N233</f>
        <v>0.17868274964794872</v>
      </c>
      <c r="O235" s="24">
        <f>-(SUM([3]H9!$EO$70,[3]H9!$EV$70)/1000)/O233</f>
        <v>-1.4313574185613234E-2</v>
      </c>
      <c r="P235" s="24">
        <f>-(SUM([3]H9!$EO$71,[3]H9!$EV$71)/1000)/P233</f>
        <v>0.18546563980004799</v>
      </c>
      <c r="Q235" s="6"/>
    </row>
    <row r="236" spans="2:17" ht="19.5" customHeight="1" outlineLevel="1" x14ac:dyDescent="0.25">
      <c r="B236" s="224"/>
      <c r="C236" s="9"/>
      <c r="D236" s="17" t="s">
        <v>94</v>
      </c>
      <c r="E236" s="6"/>
      <c r="F236" s="24"/>
      <c r="G236" s="24"/>
      <c r="H236" s="24"/>
      <c r="I236" s="6"/>
      <c r="J236" s="24">
        <f>-(SUM([3]H9!$P$69,[3]H9!$W$69)/1000)/J233</f>
        <v>0</v>
      </c>
      <c r="K236" s="24">
        <f>-(SUM([3]H9!$P$70,[3]H9!$W$70)/1000)/K233</f>
        <v>0</v>
      </c>
      <c r="L236" s="24">
        <f>-(SUM([3]H9!$P$71,[3]H9!$W$71)/1000)/L233</f>
        <v>0</v>
      </c>
      <c r="M236" s="6"/>
      <c r="N236" s="24">
        <f>-(SUM([3]H9!$EN$69,[3]H9!$EU$69)/1000)/N233</f>
        <v>0</v>
      </c>
      <c r="O236" s="24">
        <f>-(SUM([3]H9!$EN$70,[3]H9!$EU$70)/1000)/O233</f>
        <v>0</v>
      </c>
      <c r="P236" s="24">
        <f>-(SUM([3]H9!$EN$71,[3]H9!$EU$71)/1000)/P233</f>
        <v>0</v>
      </c>
      <c r="Q236" s="6"/>
    </row>
    <row r="237" spans="2:17" ht="19.5" customHeight="1" outlineLevel="2" x14ac:dyDescent="0.25">
      <c r="B237" s="224"/>
      <c r="C237" s="9"/>
      <c r="D237" s="17" t="s">
        <v>95</v>
      </c>
      <c r="E237" s="7"/>
      <c r="F237" s="24"/>
      <c r="G237" s="24"/>
      <c r="H237" s="24"/>
      <c r="I237" s="7"/>
      <c r="J237" s="24">
        <f>+J234+J235+J236</f>
        <v>0.7899976522823442</v>
      </c>
      <c r="K237" s="24">
        <f>+K234+K235+K236</f>
        <v>0.83899302337789883</v>
      </c>
      <c r="L237" s="24">
        <f>+L234+L235+L236</f>
        <v>0.79178940350758764</v>
      </c>
      <c r="M237" s="7"/>
      <c r="N237" s="24">
        <f>+N234+N235+N236</f>
        <v>0.77910387517217028</v>
      </c>
      <c r="O237" s="24">
        <f>+O234+O235+O236</f>
        <v>0.63964037562815024</v>
      </c>
      <c r="P237" s="24">
        <f>+P234+P235+P236</f>
        <v>0.79178940350758764</v>
      </c>
      <c r="Q237" s="7"/>
    </row>
    <row r="238" spans="2:17" ht="20.149999999999999" customHeight="1" outlineLevel="1" x14ac:dyDescent="0.25">
      <c r="B238" s="224"/>
      <c r="C238" s="9"/>
      <c r="D238" s="17" t="s">
        <v>96</v>
      </c>
      <c r="E238" s="7"/>
      <c r="F238" s="24"/>
      <c r="G238" s="24"/>
      <c r="H238" s="24"/>
      <c r="I238" s="7"/>
      <c r="J238" s="24">
        <f>-(SUM([3]H9!$AC$69:$AK$69)/1000)/J233</f>
        <v>-3.5108344774535102E-2</v>
      </c>
      <c r="K238" s="24">
        <f>-(SUM([3]H9!$AC$70:$AK$70)/1000)/K233</f>
        <v>-0.19352072660412536</v>
      </c>
      <c r="L238" s="24">
        <f>-(SUM([3]H9!$AC$71:$AK$71)/1000)/L233</f>
        <v>-2.1866593159756673E-2</v>
      </c>
      <c r="M238" s="7"/>
      <c r="N238" s="24">
        <f>-(SUM([3]H9!$FA$69:$FI$69)/1000)/N233</f>
        <v>1.4254651403613381E-2</v>
      </c>
      <c r="O238" s="24">
        <f>-(SUM([3]H9!$FA$70:$FI$70)/1000)/O233</f>
        <v>-0.32069117238166334</v>
      </c>
      <c r="P238" s="24">
        <f>-(SUM([3]H9!$FA$71:$FI$71)/1000)/P233</f>
        <v>-2.1866593159756715E-2</v>
      </c>
      <c r="Q238" s="7"/>
    </row>
    <row r="239" spans="2:17" ht="20.149999999999999" customHeight="1" outlineLevel="2" x14ac:dyDescent="0.25">
      <c r="B239" s="224"/>
      <c r="C239" s="9"/>
      <c r="D239" s="18" t="s">
        <v>87</v>
      </c>
      <c r="E239" s="7"/>
      <c r="F239" s="24"/>
      <c r="G239" s="24"/>
      <c r="H239" s="24"/>
      <c r="I239" s="7"/>
      <c r="J239" s="24">
        <f>-(SUM([3]H9!$AL$69:$AN$69)/1000)/J233</f>
        <v>7.7232985603825965E-2</v>
      </c>
      <c r="K239" s="24">
        <f>-(SUM([3]H9!$AL$70:$AN$70)/1000)/K233</f>
        <v>6.9670024984236509E-2</v>
      </c>
      <c r="L239" s="24">
        <f>-(SUM([3]H9!$AL$71:$AN$71)/1000)/L233</f>
        <v>7.1958299764247044E-2</v>
      </c>
      <c r="M239" s="7"/>
      <c r="N239" s="24">
        <f>-(SUM([3]H9!$FJ$69:$FL$69)/1000)/N233</f>
        <v>7.8880524382903688E-2</v>
      </c>
      <c r="O239" s="24">
        <f>-(SUM([3]H9!$FJ$70:$FL$70)/1000)/O233</f>
        <v>8.0055279367030607E-2</v>
      </c>
      <c r="P239" s="24">
        <f>-(SUM([3]H9!$FJ$71:$FL$71)/1000)/P233</f>
        <v>7.1958299764247058E-2</v>
      </c>
      <c r="Q239" s="7"/>
    </row>
    <row r="240" spans="2:17" ht="19.5" customHeight="1" outlineLevel="2" x14ac:dyDescent="0.25">
      <c r="B240" s="224"/>
      <c r="C240" s="9"/>
      <c r="D240" s="18" t="s">
        <v>88</v>
      </c>
      <c r="E240" s="7"/>
      <c r="F240" s="24"/>
      <c r="G240" s="24"/>
      <c r="H240" s="24"/>
      <c r="I240" s="7"/>
      <c r="J240" s="24">
        <f>-(SUM([3]H9!$AO$69:$AR$69)/1000)/J233</f>
        <v>0.12412636566081336</v>
      </c>
      <c r="K240" s="24">
        <f>-(SUM([3]H9!$AO$70:$AR$70)/1000)/K233</f>
        <v>0.1104182486762237</v>
      </c>
      <c r="L240" s="24">
        <f>-(SUM([3]H9!$AO$71:$AR$71)/1000)/L233</f>
        <v>0.12891717664976937</v>
      </c>
      <c r="M240" s="7"/>
      <c r="N240" s="24">
        <f>-(SUM([3]H9!$FM$69:$FP$69)/1000)/N233</f>
        <v>0.12418356578109668</v>
      </c>
      <c r="O240" s="24">
        <f>-(SUM([3]H9!$FM$70:$FP$70)/1000)/O233</f>
        <v>0.1160700140580196</v>
      </c>
      <c r="P240" s="24">
        <f>-(SUM([3]H9!$FM$71:$FP$71)/1000)/P233</f>
        <v>0.12891717664976937</v>
      </c>
      <c r="Q240" s="7"/>
    </row>
    <row r="241" spans="2:17" ht="20.149999999999999" customHeight="1" outlineLevel="1" x14ac:dyDescent="0.25">
      <c r="B241" s="224"/>
      <c r="C241" s="9"/>
      <c r="D241" s="17" t="s">
        <v>97</v>
      </c>
      <c r="E241" s="7"/>
      <c r="F241" s="24"/>
      <c r="G241" s="24"/>
      <c r="H241" s="24"/>
      <c r="I241" s="7"/>
      <c r="J241" s="24">
        <f>+J239+J240</f>
        <v>0.20135935126463933</v>
      </c>
      <c r="K241" s="24">
        <f>+K239+K240</f>
        <v>0.18008827366046021</v>
      </c>
      <c r="L241" s="24">
        <f>+L239+L240</f>
        <v>0.20087547641401643</v>
      </c>
      <c r="M241" s="7"/>
      <c r="N241" s="24">
        <f>+N239+N240</f>
        <v>0.20306409016400037</v>
      </c>
      <c r="O241" s="24">
        <f>+O239+O240</f>
        <v>0.1961252934250502</v>
      </c>
      <c r="P241" s="24">
        <f>+P239+P240</f>
        <v>0.20087547641401643</v>
      </c>
      <c r="Q241" s="7"/>
    </row>
    <row r="242" spans="2:17" ht="20.149999999999999" customHeight="1" outlineLevel="1" x14ac:dyDescent="0.25">
      <c r="B242" s="224"/>
      <c r="C242" s="9"/>
      <c r="D242" s="17" t="s">
        <v>90</v>
      </c>
      <c r="E242" s="7"/>
      <c r="F242" s="24"/>
      <c r="G242" s="24"/>
      <c r="H242" s="24"/>
      <c r="I242" s="7"/>
      <c r="J242" s="24">
        <f>-(SUM([3]H9!$AT$69:$BJ$69)/1000/J233)</f>
        <v>1.834933493325926E-2</v>
      </c>
      <c r="K242" s="24">
        <f>-(SUM([3]H9!$AT$70:$BJ$70)/1000/K233)</f>
        <v>5.8109592747241735E-2</v>
      </c>
      <c r="L242" s="24">
        <f>-(SUM([3]H9!$AT$71:$BJ$71)/1000/L233)</f>
        <v>1.9631487942252026E-2</v>
      </c>
      <c r="M242" s="7"/>
      <c r="N242" s="24">
        <f>-(SUM([3]H9!$FR$69:$GH$69)/1000/N233)</f>
        <v>-8.1847646150109671E-2</v>
      </c>
      <c r="O242" s="24">
        <f>-(SUM([3]H9!$FR$70:$GH$70)/1000/O233)</f>
        <v>0.10863123237746831</v>
      </c>
      <c r="P242" s="24">
        <f>-(SUM([3]H9!$FR$71:$GH$71)/1000/P233)</f>
        <v>1.9631487942252036E-2</v>
      </c>
      <c r="Q242" s="7"/>
    </row>
    <row r="243" spans="2:17" ht="20.149999999999999" customHeight="1" outlineLevel="1" x14ac:dyDescent="0.25">
      <c r="B243" s="224"/>
      <c r="C243" s="9"/>
      <c r="D243" s="17" t="s">
        <v>79</v>
      </c>
      <c r="E243" s="8"/>
      <c r="F243" s="24"/>
      <c r="G243" s="24"/>
      <c r="H243" s="24"/>
      <c r="I243" s="8"/>
      <c r="J243" s="24">
        <f>+J237+J238+J241+J242</f>
        <v>0.97459799370570777</v>
      </c>
      <c r="K243" s="24">
        <f>+K237+K238+K241+K242</f>
        <v>0.8836701631814754</v>
      </c>
      <c r="L243" s="24">
        <f>+L237+L238+L241+L242</f>
        <v>0.99042977470409943</v>
      </c>
      <c r="M243" s="8"/>
      <c r="N243" s="24">
        <f>+N237+N238+N241+N242</f>
        <v>0.91457497058967441</v>
      </c>
      <c r="O243" s="24">
        <f>+O237+O238+O241+O242</f>
        <v>0.62370572904900534</v>
      </c>
      <c r="P243" s="24">
        <f>+P237+P238+P241+P242</f>
        <v>0.99042977470409943</v>
      </c>
      <c r="Q243" s="8"/>
    </row>
    <row r="244" spans="2:17" ht="19.5" customHeight="1" outlineLevel="1" x14ac:dyDescent="0.25">
      <c r="B244" s="224"/>
      <c r="C244" s="9"/>
      <c r="D244" s="17" t="s">
        <v>34</v>
      </c>
      <c r="E244" s="6"/>
      <c r="F244" s="23"/>
      <c r="G244" s="23"/>
      <c r="H244" s="23"/>
      <c r="I244" s="6"/>
      <c r="J244" s="23">
        <f>+[3]H9!$BK$69/1000</f>
        <v>0.66843551000007362</v>
      </c>
      <c r="K244" s="23">
        <f>+[3]H9!$BK$70/1000</f>
        <v>2.487420699999956</v>
      </c>
      <c r="L244" s="23">
        <f>+[3]H9!$BK$71/1000</f>
        <v>0.25800534552433735</v>
      </c>
      <c r="M244" s="6"/>
      <c r="N244" s="23">
        <f>+[3]H9!$GI$69/1000</f>
        <v>0.78559730999999999</v>
      </c>
      <c r="O244" s="23">
        <f>+[3]H9!$GI$70/1000</f>
        <v>2.6289329699999961</v>
      </c>
      <c r="P244" s="23">
        <f>+[3]H9!$GI$71/1000</f>
        <v>8.6001781841443289E-2</v>
      </c>
      <c r="Q244" s="6"/>
    </row>
    <row r="245" spans="2:17" ht="7.5" customHeight="1" outlineLevel="1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2:17" ht="19.5" customHeight="1" outlineLevel="1" x14ac:dyDescent="0.25">
      <c r="B246" s="224" t="s">
        <v>51</v>
      </c>
      <c r="C246" s="9"/>
      <c r="D246" s="17" t="s">
        <v>19</v>
      </c>
      <c r="E246" s="6"/>
      <c r="F246" s="23"/>
      <c r="G246" s="23"/>
      <c r="H246" s="23"/>
      <c r="I246" s="6"/>
      <c r="J246" s="23">
        <f>+[3]H9!$C$73/1000</f>
        <v>0</v>
      </c>
      <c r="K246" s="23">
        <f>+[3]H9!$C$74/1000</f>
        <v>0</v>
      </c>
      <c r="L246" s="23">
        <f>+[3]H9!$C$75/1000</f>
        <v>0</v>
      </c>
      <c r="M246" s="6"/>
      <c r="N246" s="23">
        <f>+[3]H9!$EA$73/1000</f>
        <v>0</v>
      </c>
      <c r="O246" s="23">
        <f>+[3]H9!$EA$74/1000</f>
        <v>0</v>
      </c>
      <c r="P246" s="23">
        <f>+[3]H9!$EA$75/1000</f>
        <v>0</v>
      </c>
      <c r="Q246" s="6"/>
    </row>
    <row r="247" spans="2:17" ht="20.149999999999999" customHeight="1" outlineLevel="1" x14ac:dyDescent="0.25">
      <c r="B247" s="224"/>
      <c r="C247" s="9"/>
      <c r="D247" s="17" t="s">
        <v>20</v>
      </c>
      <c r="E247" s="6"/>
      <c r="F247" s="23"/>
      <c r="G247" s="23"/>
      <c r="H247" s="23"/>
      <c r="I247" s="6"/>
      <c r="J247" s="23">
        <f>+[3]H9!$N$73/1000</f>
        <v>0</v>
      </c>
      <c r="K247" s="23">
        <f>+[3]H9!$N$74/1000</f>
        <v>0</v>
      </c>
      <c r="L247" s="23">
        <f>+[3]H9!$N$75/1000</f>
        <v>0</v>
      </c>
      <c r="M247" s="6"/>
      <c r="N247" s="23">
        <f>+[3]H9!$EL$73/1000</f>
        <v>0</v>
      </c>
      <c r="O247" s="23">
        <f>+[3]H9!$EL$74/1000</f>
        <v>0</v>
      </c>
      <c r="P247" s="23">
        <f>+[3]H9!$EL$75/1000</f>
        <v>0</v>
      </c>
      <c r="Q247" s="6"/>
    </row>
    <row r="248" spans="2:17" ht="19.5" customHeight="1" outlineLevel="1" x14ac:dyDescent="0.25">
      <c r="B248" s="224"/>
      <c r="C248" s="9"/>
      <c r="D248" s="17" t="s">
        <v>92</v>
      </c>
      <c r="E248" s="6"/>
      <c r="F248" s="24"/>
      <c r="G248" s="24"/>
      <c r="H248" s="24"/>
      <c r="I248" s="6"/>
      <c r="J248" s="24" t="e">
        <f>-(SUM([3]H9!$O$73,[3]H9!$R$73:$V$73,[3]H9!$Y$73:$AB$73)/1000)/J247</f>
        <v>#DIV/0!</v>
      </c>
      <c r="K248" s="24" t="e">
        <f>-(SUM([3]H9!$O$74,[3]H9!$R$74:$V$74,[3]H9!$Y$74:$AB$74)/1000)/K247</f>
        <v>#DIV/0!</v>
      </c>
      <c r="L248" s="24" t="e">
        <f>-(SUM([3]H9!$O$75,[3]H9!$R$75:$V$75,[3]H9!$Y$75:$AB$75)/1000)/L247</f>
        <v>#DIV/0!</v>
      </c>
      <c r="M248" s="6"/>
      <c r="N248" s="24" t="e">
        <f>-(SUM([3]H9!$EM$73,[3]H9!$EP$73:$ET$73,[3]H9!$EW$73:$EZ$73)/1000)/N247</f>
        <v>#DIV/0!</v>
      </c>
      <c r="O248" s="24" t="e">
        <f>-(SUM([3]H9!$EM$74,[3]H9!$EP$74:$ET$74,[3]H9!$EW$74:$EZ$74)/1000)/O247</f>
        <v>#DIV/0!</v>
      </c>
      <c r="P248" s="24" t="e">
        <f>-(SUM([3]H9!$EM$75,[3]H9!$EP$75:$ET$75,[3]H9!$EW$75:$EZ$75)/1000)/P247</f>
        <v>#DIV/0!</v>
      </c>
      <c r="Q248" s="6"/>
    </row>
    <row r="249" spans="2:17" ht="19.5" customHeight="1" outlineLevel="1" x14ac:dyDescent="0.25">
      <c r="B249" s="224"/>
      <c r="C249" s="9"/>
      <c r="D249" s="17" t="s">
        <v>93</v>
      </c>
      <c r="E249" s="6"/>
      <c r="F249" s="24"/>
      <c r="G249" s="24"/>
      <c r="H249" s="24"/>
      <c r="I249" s="6"/>
      <c r="J249" s="24" t="e">
        <f>-(SUM([3]H9!$Q$73,[3]H9!$X$73)/1000)/J247</f>
        <v>#DIV/0!</v>
      </c>
      <c r="K249" s="24" t="e">
        <f>-(SUM([3]H9!$Q$74,[3]H9!$X$74)/1000)/K247</f>
        <v>#DIV/0!</v>
      </c>
      <c r="L249" s="24" t="e">
        <f>-(SUM([3]H9!$Q$75,[3]H9!$X$75)/1000)/L247</f>
        <v>#DIV/0!</v>
      </c>
      <c r="M249" s="6"/>
      <c r="N249" s="24" t="e">
        <f>-(SUM([3]H9!$EO$73,[3]H9!$EV$73)/1000)/N247</f>
        <v>#DIV/0!</v>
      </c>
      <c r="O249" s="24" t="e">
        <f>-(SUM([3]H9!$EO$74,[3]H9!$EV$74)/1000)/O247</f>
        <v>#DIV/0!</v>
      </c>
      <c r="P249" s="24" t="e">
        <f>-(SUM([3]H9!$EO$75,[3]H9!$EV$75)/1000)/P247</f>
        <v>#DIV/0!</v>
      </c>
      <c r="Q249" s="6"/>
    </row>
    <row r="250" spans="2:17" ht="19.5" customHeight="1" outlineLevel="1" x14ac:dyDescent="0.25">
      <c r="B250" s="224"/>
      <c r="C250" s="9"/>
      <c r="D250" s="17" t="s">
        <v>94</v>
      </c>
      <c r="E250" s="6"/>
      <c r="F250" s="24"/>
      <c r="G250" s="24"/>
      <c r="H250" s="24"/>
      <c r="I250" s="6"/>
      <c r="J250" s="24" t="e">
        <f>-(SUM([3]H9!$P$73,[3]H9!$W$73)/1000)/J247</f>
        <v>#DIV/0!</v>
      </c>
      <c r="K250" s="24" t="e">
        <f>-(SUM([3]H9!$P$74,[3]H9!$W$74)/1000)/K247</f>
        <v>#DIV/0!</v>
      </c>
      <c r="L250" s="24" t="e">
        <f>-(SUM([3]H9!$P$75,[3]H9!$W$75)/1000)/L247</f>
        <v>#DIV/0!</v>
      </c>
      <c r="M250" s="6"/>
      <c r="N250" s="24" t="e">
        <f>-(SUM([3]H9!$EN$73,[3]H9!$EU$73)/1000)/N247</f>
        <v>#DIV/0!</v>
      </c>
      <c r="O250" s="24" t="e">
        <f>-(SUM([3]H9!$EN$74,[3]H9!$EU$74)/1000)/O247</f>
        <v>#DIV/0!</v>
      </c>
      <c r="P250" s="24" t="e">
        <f>-(SUM([3]H9!$EN$75,[3]H9!$EU$75)/1000)/P247</f>
        <v>#DIV/0!</v>
      </c>
      <c r="Q250" s="6"/>
    </row>
    <row r="251" spans="2:17" ht="19.5" customHeight="1" outlineLevel="2" x14ac:dyDescent="0.25">
      <c r="B251" s="224"/>
      <c r="C251" s="9"/>
      <c r="D251" s="17" t="s">
        <v>95</v>
      </c>
      <c r="E251" s="7"/>
      <c r="F251" s="24"/>
      <c r="G251" s="24"/>
      <c r="H251" s="24"/>
      <c r="I251" s="7"/>
      <c r="J251" s="24" t="e">
        <f>+J248+J249+J250</f>
        <v>#DIV/0!</v>
      </c>
      <c r="K251" s="24" t="e">
        <f>+K248+K249+K250</f>
        <v>#DIV/0!</v>
      </c>
      <c r="L251" s="24" t="e">
        <f>+L248+L249+L250</f>
        <v>#DIV/0!</v>
      </c>
      <c r="M251" s="7"/>
      <c r="N251" s="24" t="e">
        <f>+N248+N249+N250</f>
        <v>#DIV/0!</v>
      </c>
      <c r="O251" s="24" t="e">
        <f>+O248+O249+O250</f>
        <v>#DIV/0!</v>
      </c>
      <c r="P251" s="24" t="e">
        <f>+P248+P249+P250</f>
        <v>#DIV/0!</v>
      </c>
      <c r="Q251" s="7"/>
    </row>
    <row r="252" spans="2:17" ht="20.149999999999999" customHeight="1" outlineLevel="1" x14ac:dyDescent="0.25">
      <c r="B252" s="224"/>
      <c r="C252" s="9"/>
      <c r="D252" s="17" t="s">
        <v>96</v>
      </c>
      <c r="E252" s="7"/>
      <c r="F252" s="24"/>
      <c r="G252" s="24"/>
      <c r="H252" s="24"/>
      <c r="I252" s="7"/>
      <c r="J252" s="24" t="e">
        <f>-(SUM([3]H9!$AC$73:$AK$73)/1000)/J247</f>
        <v>#DIV/0!</v>
      </c>
      <c r="K252" s="24" t="e">
        <f>-(SUM([3]H9!$AC$74:$AK$74)/1000)/K247</f>
        <v>#DIV/0!</v>
      </c>
      <c r="L252" s="24" t="e">
        <f>-(SUM([3]H9!$AC$75:$AK$75)/1000)/L247</f>
        <v>#DIV/0!</v>
      </c>
      <c r="M252" s="7"/>
      <c r="N252" s="24" t="e">
        <f>-(SUM([3]H9!$FA$73:$FI$73)/1000)/N247</f>
        <v>#DIV/0!</v>
      </c>
      <c r="O252" s="24" t="e">
        <f>-(SUM([3]H9!$FA$74:$FI$74)/1000)/O247</f>
        <v>#DIV/0!</v>
      </c>
      <c r="P252" s="24" t="e">
        <f>-(SUM([3]H9!$FA$75:$FI$75)/1000)/P247</f>
        <v>#DIV/0!</v>
      </c>
      <c r="Q252" s="7"/>
    </row>
    <row r="253" spans="2:17" ht="20.149999999999999" customHeight="1" outlineLevel="2" x14ac:dyDescent="0.25">
      <c r="B253" s="224"/>
      <c r="C253" s="9"/>
      <c r="D253" s="18" t="s">
        <v>87</v>
      </c>
      <c r="E253" s="7"/>
      <c r="F253" s="24"/>
      <c r="G253" s="24"/>
      <c r="H253" s="24"/>
      <c r="I253" s="7"/>
      <c r="J253" s="24" t="e">
        <f>-(SUM([3]H9!$AL$73:$AN$73)/1000)/J247</f>
        <v>#DIV/0!</v>
      </c>
      <c r="K253" s="24" t="e">
        <f>-(SUM([3]H9!$AL$74:$AN$74)/1000)/K247</f>
        <v>#DIV/0!</v>
      </c>
      <c r="L253" s="24" t="e">
        <f>-(SUM([3]H9!$AL$75:$AN$75)/1000)/L247</f>
        <v>#DIV/0!</v>
      </c>
      <c r="M253" s="7"/>
      <c r="N253" s="24" t="e">
        <f>-(SUM([3]H9!$FJ$73:$FL$73)/1000)/N247</f>
        <v>#DIV/0!</v>
      </c>
      <c r="O253" s="24" t="e">
        <f>-(SUM([3]H9!$FJ$74:$FL$74)/1000)/O247</f>
        <v>#DIV/0!</v>
      </c>
      <c r="P253" s="24" t="e">
        <f>-(SUM([3]H9!$FJ$75:$FL$75)/1000)/P247</f>
        <v>#DIV/0!</v>
      </c>
      <c r="Q253" s="7"/>
    </row>
    <row r="254" spans="2:17" ht="19.5" customHeight="1" outlineLevel="2" x14ac:dyDescent="0.25">
      <c r="B254" s="224"/>
      <c r="C254" s="9"/>
      <c r="D254" s="18" t="s">
        <v>88</v>
      </c>
      <c r="E254" s="7"/>
      <c r="F254" s="24"/>
      <c r="G254" s="24"/>
      <c r="H254" s="24"/>
      <c r="I254" s="7"/>
      <c r="J254" s="24" t="e">
        <f>-(SUM([3]H9!$AO$73:$AR$73)/1000)/J247</f>
        <v>#DIV/0!</v>
      </c>
      <c r="K254" s="24" t="e">
        <f>-(SUM([3]H9!$AO$74:$AR$74)/1000)/K247</f>
        <v>#DIV/0!</v>
      </c>
      <c r="L254" s="24" t="e">
        <f>-(SUM([3]H9!$AO$75:$AR$75)/1000)/L247</f>
        <v>#DIV/0!</v>
      </c>
      <c r="M254" s="7"/>
      <c r="N254" s="24" t="e">
        <f>-(SUM([3]H9!$FM$73:$FP$73)/1000)/N247</f>
        <v>#DIV/0!</v>
      </c>
      <c r="O254" s="24" t="e">
        <f>-(SUM([3]H9!$FM$74:$FP$74)/1000)/O247</f>
        <v>#DIV/0!</v>
      </c>
      <c r="P254" s="24" t="e">
        <f>-(SUM([3]H9!$FM$75:$FP$75)/1000)/P247</f>
        <v>#DIV/0!</v>
      </c>
      <c r="Q254" s="7"/>
    </row>
    <row r="255" spans="2:17" ht="20.149999999999999" customHeight="1" outlineLevel="1" x14ac:dyDescent="0.25">
      <c r="B255" s="224"/>
      <c r="C255" s="9"/>
      <c r="D255" s="17" t="s">
        <v>97</v>
      </c>
      <c r="E255" s="7"/>
      <c r="F255" s="24"/>
      <c r="G255" s="24"/>
      <c r="H255" s="24"/>
      <c r="I255" s="7"/>
      <c r="J255" s="24" t="e">
        <f>+J253+J254</f>
        <v>#DIV/0!</v>
      </c>
      <c r="K255" s="24" t="e">
        <f>+K253+K254</f>
        <v>#DIV/0!</v>
      </c>
      <c r="L255" s="24" t="e">
        <f>+L253+L254</f>
        <v>#DIV/0!</v>
      </c>
      <c r="M255" s="7"/>
      <c r="N255" s="24" t="e">
        <f>+N253+N254</f>
        <v>#DIV/0!</v>
      </c>
      <c r="O255" s="24" t="e">
        <f>+O253+O254</f>
        <v>#DIV/0!</v>
      </c>
      <c r="P255" s="24" t="e">
        <f>+P253+P254</f>
        <v>#DIV/0!</v>
      </c>
      <c r="Q255" s="7"/>
    </row>
    <row r="256" spans="2:17" ht="20.149999999999999" customHeight="1" outlineLevel="1" x14ac:dyDescent="0.25">
      <c r="B256" s="224"/>
      <c r="C256" s="9"/>
      <c r="D256" s="17" t="s">
        <v>90</v>
      </c>
      <c r="E256" s="7"/>
      <c r="F256" s="24"/>
      <c r="G256" s="24"/>
      <c r="H256" s="24"/>
      <c r="I256" s="7"/>
      <c r="J256" s="24" t="e">
        <f>-(SUM([3]H9!$AT$73:$BJ$73)/1000/J247)</f>
        <v>#DIV/0!</v>
      </c>
      <c r="K256" s="24" t="e">
        <f>-(SUM([3]H9!$AT$74:$BJ$74)/1000/K247)</f>
        <v>#DIV/0!</v>
      </c>
      <c r="L256" s="24" t="e">
        <f>-(SUM([3]H9!$AT$75:$BJ$75)/1000/L247)</f>
        <v>#DIV/0!</v>
      </c>
      <c r="M256" s="7"/>
      <c r="N256" s="24" t="e">
        <f>-(SUM([3]H9!$FR$73:$GH$73)/1000/N247)</f>
        <v>#DIV/0!</v>
      </c>
      <c r="O256" s="24" t="e">
        <f>-(SUM([3]H9!$FR$74:$GH$74)/1000/O247)</f>
        <v>#DIV/0!</v>
      </c>
      <c r="P256" s="24" t="e">
        <f>-(SUM([3]H9!$FR$75:$GH$75)/1000/P247)</f>
        <v>#DIV/0!</v>
      </c>
      <c r="Q256" s="7"/>
    </row>
    <row r="257" spans="2:27" ht="20.149999999999999" customHeight="1" outlineLevel="1" x14ac:dyDescent="0.25">
      <c r="B257" s="224"/>
      <c r="C257" s="9"/>
      <c r="D257" s="17" t="s">
        <v>79</v>
      </c>
      <c r="E257" s="8"/>
      <c r="F257" s="24"/>
      <c r="G257" s="24"/>
      <c r="H257" s="24"/>
      <c r="I257" s="8"/>
      <c r="J257" s="24" t="e">
        <f>+J251+J252+J255+J256</f>
        <v>#DIV/0!</v>
      </c>
      <c r="K257" s="24" t="e">
        <f>+K251+K252+K255+K256</f>
        <v>#DIV/0!</v>
      </c>
      <c r="L257" s="24" t="e">
        <f>+L251+L252+L255+L256</f>
        <v>#DIV/0!</v>
      </c>
      <c r="M257" s="8"/>
      <c r="N257" s="24" t="e">
        <f>+N251+N252+N255+N256</f>
        <v>#DIV/0!</v>
      </c>
      <c r="O257" s="24" t="e">
        <f>+O251+O252+O255+O256</f>
        <v>#DIV/0!</v>
      </c>
      <c r="P257" s="24" t="e">
        <f>+P251+P252+P255+P256</f>
        <v>#DIV/0!</v>
      </c>
      <c r="Q257" s="8"/>
    </row>
    <row r="258" spans="2:27" ht="19.5" customHeight="1" outlineLevel="1" x14ac:dyDescent="0.25">
      <c r="B258" s="224"/>
      <c r="C258" s="9"/>
      <c r="D258" s="17" t="s">
        <v>34</v>
      </c>
      <c r="E258" s="6"/>
      <c r="F258" s="23"/>
      <c r="G258" s="23"/>
      <c r="H258" s="23"/>
      <c r="I258" s="6"/>
      <c r="J258" s="23">
        <f>+[3]H9!$BK$73/1000</f>
        <v>0</v>
      </c>
      <c r="K258" s="23">
        <f>+[3]H9!$BK$74/1000</f>
        <v>0</v>
      </c>
      <c r="L258" s="23">
        <f>+[3]H9!$BK$75/1000</f>
        <v>0</v>
      </c>
      <c r="M258" s="6"/>
      <c r="N258" s="23">
        <f>+[3]H9!$GI$73/1000</f>
        <v>0</v>
      </c>
      <c r="O258" s="23">
        <f>+[3]H9!$GI$74/1000</f>
        <v>0</v>
      </c>
      <c r="P258" s="23">
        <f>+[3]H9!$GI$75/1000</f>
        <v>0</v>
      </c>
      <c r="Q258" s="6"/>
    </row>
    <row r="259" spans="2:27" ht="7.5" customHeight="1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spans="2:27" ht="19.5" customHeight="1" x14ac:dyDescent="0.25">
      <c r="B260" s="225" t="s">
        <v>109</v>
      </c>
      <c r="C260" s="9"/>
      <c r="D260" s="16" t="s">
        <v>19</v>
      </c>
      <c r="E260" s="6"/>
      <c r="F260" s="25">
        <v>767.73896734999994</v>
      </c>
      <c r="G260" s="25">
        <v>733.50929002999999</v>
      </c>
      <c r="H260" s="25">
        <v>761.15737754566203</v>
      </c>
      <c r="I260" s="6"/>
      <c r="J260" s="25">
        <f>+[3]H9!$C$81/1000</f>
        <v>35.415759620000152</v>
      </c>
      <c r="K260" s="25">
        <f>+[3]H9!$C$82/1000</f>
        <v>24.364716519999984</v>
      </c>
      <c r="L260" s="25">
        <f>+[3]H9!$C$83/1000</f>
        <v>27.974916263833261</v>
      </c>
      <c r="M260" s="6"/>
      <c r="N260" s="25">
        <f>+[3]H9!$EA$81/1000</f>
        <v>0.51990360000000513</v>
      </c>
      <c r="O260" s="25">
        <f>+[3]H9!$EA$82/1000</f>
        <v>0.37340332000000126</v>
      </c>
      <c r="P260" s="25">
        <f>+[3]H9!$EA$83/1000</f>
        <v>0.94939279370107399</v>
      </c>
      <c r="Q260" s="6"/>
    </row>
    <row r="261" spans="2:27" ht="20.149999999999999" customHeight="1" x14ac:dyDescent="0.25">
      <c r="B261" s="225"/>
      <c r="C261" s="9"/>
      <c r="D261" s="16" t="s">
        <v>20</v>
      </c>
      <c r="E261" s="6"/>
      <c r="F261" s="25">
        <v>716.54631788999995</v>
      </c>
      <c r="G261" s="25">
        <v>685.01450756999998</v>
      </c>
      <c r="H261" s="25">
        <v>693.84504081129205</v>
      </c>
      <c r="I261" s="6"/>
      <c r="J261" s="25">
        <f>+[3]H9!$N$81/1000</f>
        <v>26.314280150000137</v>
      </c>
      <c r="K261" s="25">
        <f>+[3]H9!$N$82/1000</f>
        <v>21.382482499999988</v>
      </c>
      <c r="L261" s="25">
        <f>+[3]H9!$N$83/1000</f>
        <v>26.959171549999994</v>
      </c>
      <c r="M261" s="6"/>
      <c r="N261" s="25">
        <f>+[3]H9!$EL$81/1000</f>
        <v>9.1963364299999952</v>
      </c>
      <c r="O261" s="25">
        <f>+[3]H9!$EL$82/1000</f>
        <v>6.986375220000002</v>
      </c>
      <c r="P261" s="25">
        <f>+[3]H9!$EL$83/1000</f>
        <v>8.9863905166666633</v>
      </c>
      <c r="Q261" s="6"/>
    </row>
    <row r="262" spans="2:27" ht="19.5" customHeight="1" x14ac:dyDescent="0.25">
      <c r="B262" s="225"/>
      <c r="C262" s="9"/>
      <c r="D262" s="16" t="s">
        <v>92</v>
      </c>
      <c r="E262" s="6"/>
      <c r="F262" s="26" t="e">
        <f>F265-F264-F263</f>
        <v>#VALUE!</v>
      </c>
      <c r="G262" s="26" t="e">
        <f>G265-G264-G263</f>
        <v>#VALUE!</v>
      </c>
      <c r="H262" s="26" t="e">
        <f>H265-H264-H263</f>
        <v>#VALUE!</v>
      </c>
      <c r="I262" s="6"/>
      <c r="J262" s="26">
        <f>-(SUM([3]H9!$O$81,[3]H9!$R$81:$V$81,[3]H9!$Y$81:$AB$81)/1000)/J261</f>
        <v>0.63254600791349835</v>
      </c>
      <c r="K262" s="26">
        <f>-(SUM([3]H9!$O$82,[3]H9!$R$82:$V$82,[3]H9!$Y$82:$AB$82)/1000)/K261</f>
        <v>0.81093267070369457</v>
      </c>
      <c r="L262" s="26">
        <f>-(SUM([3]H9!$O$83,[3]H9!$R$83:$V$83,[3]H9!$Y$83:$AB$83)/1000)/L261</f>
        <v>0.6063237637075396</v>
      </c>
      <c r="M262" s="6"/>
      <c r="N262" s="26">
        <f>-(SUM([3]H9!$EM$81,[3]H9!$EP$81:$ET$81,[3]H9!$EW$81:$EZ$81)/1000)/N261</f>
        <v>0.60042112552422156</v>
      </c>
      <c r="O262" s="26">
        <f>-(SUM([3]H9!$EM$82,[3]H9!$EP$82:$ET$82,[3]H9!$EW$82:$EZ$82)/1000)/O261</f>
        <v>0.65395394981376342</v>
      </c>
      <c r="P262" s="26">
        <f>-(SUM([3]H9!$EM$83,[3]H9!$EP$83:$ET$83,[3]H9!$EW$83:$EZ$83)/1000)/P261</f>
        <v>0.6063237637075396</v>
      </c>
      <c r="Q262" s="6"/>
    </row>
    <row r="263" spans="2:27" ht="19.5" customHeight="1" x14ac:dyDescent="0.25">
      <c r="B263" s="225"/>
      <c r="C263" s="9"/>
      <c r="D263" s="16" t="s">
        <v>93</v>
      </c>
      <c r="E263" s="6"/>
      <c r="F263" s="26">
        <f>(F193*F191+F207*F205+F221*F219)/F261</f>
        <v>2.2708205537148675E-2</v>
      </c>
      <c r="G263" s="26">
        <f>(G193*G191+G207*G205+G221*G219)/G261</f>
        <v>2.8524339351769675E-2</v>
      </c>
      <c r="H263" s="26">
        <f>(H193*H191+H207*H205+H221*H219)/H261</f>
        <v>2.4246704752357504E-2</v>
      </c>
      <c r="I263" s="6"/>
      <c r="J263" s="26">
        <f>-(SUM([3]H9!$Q$81,[3]H9!$X$81)/1000)/J261</f>
        <v>0.15745164436884579</v>
      </c>
      <c r="K263" s="26">
        <f>-(SUM([3]H9!$Q$82,[3]H9!$X$82)/1000)/K261</f>
        <v>2.8060352674204238E-2</v>
      </c>
      <c r="L263" s="26">
        <f>-(SUM([3]H9!$Q$83,[3]H9!$X$83)/1000)/L261</f>
        <v>0.18546563980004799</v>
      </c>
      <c r="M263" s="6"/>
      <c r="N263" s="26">
        <f>-(SUM([3]H9!$EO$81,[3]H9!$EV$81)/1000)/N261</f>
        <v>0.17868274964794872</v>
      </c>
      <c r="O263" s="26">
        <f>-(SUM([3]H9!$EO$82,[3]H9!$EV$82)/1000)/O261</f>
        <v>-1.4313574185613234E-2</v>
      </c>
      <c r="P263" s="26">
        <f>-(SUM([3]H9!$EO$83,[3]H9!$EV$83)/1000)/P261</f>
        <v>0.18546563980004799</v>
      </c>
      <c r="Q263" s="6"/>
    </row>
    <row r="264" spans="2:27" ht="19.5" customHeight="1" x14ac:dyDescent="0.25">
      <c r="B264" s="225"/>
      <c r="C264" s="9"/>
      <c r="D264" s="16" t="s">
        <v>94</v>
      </c>
      <c r="E264" s="6"/>
      <c r="F264" s="26" t="e">
        <f>(F194*F191+F208*F205+F219*F222)/F261</f>
        <v>#VALUE!</v>
      </c>
      <c r="G264" s="26" t="e">
        <f>(G194*G191+G208*G205+G219*G222)/G261</f>
        <v>#VALUE!</v>
      </c>
      <c r="H264" s="26" t="e">
        <f>(H194*H191+H208*H205+H219*H222)/H261</f>
        <v>#VALUE!</v>
      </c>
      <c r="I264" s="6"/>
      <c r="J264" s="26">
        <f>-(SUM([3]H9!$P$81,[3]H9!$W$81)/1000)/J261</f>
        <v>0</v>
      </c>
      <c r="K264" s="26">
        <f>-(SUM([3]H9!$P$82,[3]H9!$W$82)/1000)/K261</f>
        <v>0</v>
      </c>
      <c r="L264" s="26">
        <f>-(SUM([3]H9!$P$83,[3]H9!$W$83)/1000)/L261</f>
        <v>0</v>
      </c>
      <c r="M264" s="6"/>
      <c r="N264" s="26">
        <f>-(SUM([3]H9!$EN$81,[3]H9!$EU$81)/1000)/N261</f>
        <v>0</v>
      </c>
      <c r="O264" s="26">
        <f>-(SUM([3]H9!$EN$82,[3]H9!$EU$82)/1000)/O261</f>
        <v>0</v>
      </c>
      <c r="P264" s="26">
        <f>-(SUM([3]H9!$EN$83,[3]H9!$EU$83)/1000)/P261</f>
        <v>0</v>
      </c>
      <c r="Q264" s="6"/>
    </row>
    <row r="265" spans="2:27" ht="19.5" customHeight="1" outlineLevel="1" x14ac:dyDescent="0.25">
      <c r="B265" s="225"/>
      <c r="C265" s="9"/>
      <c r="D265" s="16" t="s">
        <v>95</v>
      </c>
      <c r="E265" s="7"/>
      <c r="F265" s="26">
        <v>0.65682565940175663</v>
      </c>
      <c r="G265" s="26">
        <v>0.57614070459620159</v>
      </c>
      <c r="H265" s="26">
        <v>0.6615301505572545</v>
      </c>
      <c r="I265" s="7"/>
      <c r="J265" s="26">
        <f>+J262+J263+J264</f>
        <v>0.7899976522823442</v>
      </c>
      <c r="K265" s="26">
        <f>+K262+K263+K264</f>
        <v>0.83899302337789883</v>
      </c>
      <c r="L265" s="26">
        <f>+L262+L263+L264</f>
        <v>0.79178940350758764</v>
      </c>
      <c r="M265" s="7"/>
      <c r="N265" s="26">
        <f>+N262+N263+N264</f>
        <v>0.77910387517217028</v>
      </c>
      <c r="O265" s="26">
        <f>+O262+O263+O264</f>
        <v>0.63964037562815024</v>
      </c>
      <c r="P265" s="26">
        <f>+P262+P263+P264</f>
        <v>0.79178940350758764</v>
      </c>
      <c r="Q265" s="7"/>
    </row>
    <row r="266" spans="2:27" ht="20.149999999999999" customHeight="1" x14ac:dyDescent="0.25">
      <c r="B266" s="225"/>
      <c r="C266" s="9"/>
      <c r="D266" s="16" t="s">
        <v>96</v>
      </c>
      <c r="E266" s="7"/>
      <c r="F266" s="26">
        <v>-3.2452375205101303E-2</v>
      </c>
      <c r="G266" s="26">
        <v>1.0421772985983643E-2</v>
      </c>
      <c r="H266" s="26">
        <v>-1.04490189791121E-2</v>
      </c>
      <c r="I266" s="7"/>
      <c r="J266" s="26">
        <f>-(SUM([3]H9!$AC$81:$AK$81)/1000)/J261</f>
        <v>-3.5108344774535102E-2</v>
      </c>
      <c r="K266" s="26">
        <f>-(SUM([3]H9!$AC$82:$AK$82)/1000)/K261</f>
        <v>-0.19352072660412536</v>
      </c>
      <c r="L266" s="26">
        <f>-(SUM([3]H9!$AC$83:$AK$83)/1000)/L261</f>
        <v>-2.1866593159756673E-2</v>
      </c>
      <c r="M266" s="7"/>
      <c r="N266" s="26">
        <f>-(SUM([3]H9!$FA$81:$FI$81)/1000)/N261</f>
        <v>1.4254651403613381E-2</v>
      </c>
      <c r="O266" s="26">
        <f>-(SUM([3]H9!$FA$82:$FI$82)/1000)/O261</f>
        <v>-0.32069117238166334</v>
      </c>
      <c r="P266" s="26">
        <f>-(SUM([3]H9!$FA$83:$FI$83)/1000)/P261</f>
        <v>-2.1866593159756715E-2</v>
      </c>
      <c r="Q266" s="7"/>
    </row>
    <row r="267" spans="2:27" ht="20.149999999999999" customHeight="1" outlineLevel="1" x14ac:dyDescent="0.25">
      <c r="B267" s="225"/>
      <c r="C267" s="9"/>
      <c r="D267" s="13" t="s">
        <v>87</v>
      </c>
      <c r="E267" s="7"/>
      <c r="F267" s="26">
        <v>0.12525205080151947</v>
      </c>
      <c r="G267" s="26">
        <v>0.12472092690864583</v>
      </c>
      <c r="H267" s="26">
        <v>0.12662921817818915</v>
      </c>
      <c r="I267" s="7"/>
      <c r="J267" s="26">
        <f>-(SUM([3]H9!$AL$81:$AN$81)/1000)/J261</f>
        <v>7.7232985603825965E-2</v>
      </c>
      <c r="K267" s="26">
        <f>-(SUM([3]H9!$AL$82:$AN$82)/1000)/K261</f>
        <v>6.9670024984236509E-2</v>
      </c>
      <c r="L267" s="26">
        <f>-(SUM([3]H9!$AL$83:$AN$83)/1000)/L261</f>
        <v>7.1958299764247044E-2</v>
      </c>
      <c r="M267" s="7"/>
      <c r="N267" s="26">
        <f>-(SUM([3]H9!$FJ$81:$FL$81)/1000)/N261</f>
        <v>7.8880524382903688E-2</v>
      </c>
      <c r="O267" s="26">
        <f>-(SUM([3]H9!$FJ$82:$FL$82)/1000)/O261</f>
        <v>8.0055279367030607E-2</v>
      </c>
      <c r="P267" s="26">
        <f>-(SUM([3]H9!$FJ$83:$FL$83)/1000)/P261</f>
        <v>7.1958299764247058E-2</v>
      </c>
      <c r="Q267" s="7"/>
    </row>
    <row r="268" spans="2:27" ht="20.149999999999999" customHeight="1" outlineLevel="1" x14ac:dyDescent="0.25">
      <c r="B268" s="225"/>
      <c r="C268" s="9"/>
      <c r="D268" s="13" t="s">
        <v>88</v>
      </c>
      <c r="E268" s="7"/>
      <c r="F268" s="26">
        <v>0.11703136290887124</v>
      </c>
      <c r="G268" s="26">
        <v>0.12530740730513432</v>
      </c>
      <c r="H268" s="26">
        <v>0.12041843301110733</v>
      </c>
      <c r="I268" s="7"/>
      <c r="J268" s="26">
        <f>-(SUM([3]H9!$AO$81:$AR$81)/1000)/J261</f>
        <v>0.12412636566081336</v>
      </c>
      <c r="K268" s="26">
        <f>-(SUM([3]H9!$AO$82:$AR$82)/1000)/K261</f>
        <v>0.1104182486762237</v>
      </c>
      <c r="L268" s="26">
        <f>-(SUM([3]H9!$AO$83:$AR$83)/1000)/L261</f>
        <v>0.12891717664976937</v>
      </c>
      <c r="M268" s="7"/>
      <c r="N268" s="26">
        <f>-(SUM([3]H9!$FM$81:$FP$81)/1000)/N261</f>
        <v>0.12418356578109668</v>
      </c>
      <c r="O268" s="26">
        <f>-(SUM([3]H9!$FM$82:$FP$82)/1000)/O261</f>
        <v>0.1160700140580196</v>
      </c>
      <c r="P268" s="26">
        <f>-(SUM([3]H9!$FM$83:$FP$83)/1000)/P261</f>
        <v>0.12891717664976937</v>
      </c>
      <c r="Q268" s="7"/>
    </row>
    <row r="269" spans="2:27" ht="20.149999999999999" customHeight="1" x14ac:dyDescent="0.25">
      <c r="B269" s="225"/>
      <c r="C269" s="9"/>
      <c r="D269" s="16" t="s">
        <v>97</v>
      </c>
      <c r="E269" s="7"/>
      <c r="F269" s="26">
        <v>0.24228341371039072</v>
      </c>
      <c r="G269" s="26">
        <v>0.25002833421378012</v>
      </c>
      <c r="H269" s="26">
        <v>0.24704765118929647</v>
      </c>
      <c r="I269" s="7"/>
      <c r="J269" s="26">
        <f>+J267+J268</f>
        <v>0.20135935126463933</v>
      </c>
      <c r="K269" s="26">
        <f>+K267+K268</f>
        <v>0.18008827366046021</v>
      </c>
      <c r="L269" s="26">
        <f>+L267+L268</f>
        <v>0.20087547641401643</v>
      </c>
      <c r="M269" s="7"/>
      <c r="N269" s="26">
        <f>+N267+N268</f>
        <v>0.20306409016400037</v>
      </c>
      <c r="O269" s="26">
        <f>+O267+O268</f>
        <v>0.1961252934250502</v>
      </c>
      <c r="P269" s="26">
        <f>+P267+P268</f>
        <v>0.20087547641401643</v>
      </c>
      <c r="Q269" s="7"/>
    </row>
    <row r="270" spans="2:27" ht="20.149999999999999" customHeight="1" x14ac:dyDescent="0.25">
      <c r="B270" s="225"/>
      <c r="C270" s="9"/>
      <c r="D270" s="16" t="s">
        <v>90</v>
      </c>
      <c r="E270" s="7"/>
      <c r="F270" s="26"/>
      <c r="G270" s="26"/>
      <c r="H270" s="26"/>
      <c r="I270" s="7"/>
      <c r="J270" s="26">
        <f>-(SUM([3]H9!$AT$81:$BJ$81)/1000/J261)</f>
        <v>1.834933493325926E-2</v>
      </c>
      <c r="K270" s="26">
        <f>-(SUM([3]H9!$AT$82:$BJ$82)/1000/K261)</f>
        <v>5.8109592747241735E-2</v>
      </c>
      <c r="L270" s="26">
        <f>-(SUM([3]H9!$AT$83:$BJ$83)/1000/L261)</f>
        <v>1.9631487942252026E-2</v>
      </c>
      <c r="M270" s="7"/>
      <c r="N270" s="26">
        <f>-(SUM([3]H9!$FR$81:$GH$81)/1000/N261)</f>
        <v>-8.1847646150109671E-2</v>
      </c>
      <c r="O270" s="26">
        <f>-(SUM([3]H9!$FR$82:$GH$82)/1000/O261)</f>
        <v>0.10863123237746831</v>
      </c>
      <c r="P270" s="26">
        <f>-(SUM([3]H9!$FR$83:$GH$83)/1000/P261)</f>
        <v>1.9631487942252036E-2</v>
      </c>
      <c r="Q270" s="7"/>
    </row>
    <row r="271" spans="2:27" ht="20.149999999999999" customHeight="1" x14ac:dyDescent="0.25">
      <c r="B271" s="225"/>
      <c r="C271" s="9"/>
      <c r="D271" s="16" t="s">
        <v>79</v>
      </c>
      <c r="E271" s="8"/>
      <c r="F271" s="26">
        <v>0.86665669790704614</v>
      </c>
      <c r="G271" s="26">
        <v>0.83659081179596551</v>
      </c>
      <c r="H271" s="26">
        <v>0.8981287827674389</v>
      </c>
      <c r="I271" s="8"/>
      <c r="J271" s="26">
        <f>+J265+J266+J269+J270</f>
        <v>0.97459799370570777</v>
      </c>
      <c r="K271" s="26">
        <f>+K265+K266+K269+K270</f>
        <v>0.8836701631814754</v>
      </c>
      <c r="L271" s="26">
        <f>+L265+L266+L269+L270</f>
        <v>0.99042977470409943</v>
      </c>
      <c r="M271" s="8"/>
      <c r="N271" s="26">
        <f>+N265+N266+N269+N270</f>
        <v>0.91457497058967441</v>
      </c>
      <c r="O271" s="26">
        <f>+O265+O266+O269+O270</f>
        <v>0.62370572904900534</v>
      </c>
      <c r="P271" s="26">
        <f>+P265+P266+P269+P270</f>
        <v>0.99042977470409943</v>
      </c>
      <c r="Q271" s="8"/>
    </row>
    <row r="272" spans="2:27" ht="19.5" customHeight="1" x14ac:dyDescent="0.25">
      <c r="B272" s="225"/>
      <c r="C272" s="9"/>
      <c r="D272" s="16" t="s">
        <v>34</v>
      </c>
      <c r="E272" s="6"/>
      <c r="F272" s="25">
        <v>95.546652130000155</v>
      </c>
      <c r="G272" s="25">
        <v>111.93766459000008</v>
      </c>
      <c r="H272" s="25">
        <v>70.68283887822237</v>
      </c>
      <c r="I272" s="6"/>
      <c r="J272" s="25">
        <f>+[3]H9!$BK$81/1000</f>
        <v>0.66843551000007362</v>
      </c>
      <c r="K272" s="25">
        <f>+[3]H9!$BK$82/1000</f>
        <v>2.487420699999956</v>
      </c>
      <c r="L272" s="25">
        <f>+[3]H9!$BK$83/1000</f>
        <v>0.25800534552433735</v>
      </c>
      <c r="M272" s="6"/>
      <c r="N272" s="25">
        <f>+[3]H9!$GI$81/1000</f>
        <v>0.78559730999999999</v>
      </c>
      <c r="O272" s="25">
        <f>+[3]H9!$GI$82/1000</f>
        <v>2.6289329699999961</v>
      </c>
      <c r="P272" s="25">
        <f>+[3]H9!$GI$83/1000</f>
        <v>8.6001781841443289E-2</v>
      </c>
      <c r="Q272" s="6"/>
      <c r="S272" s="36"/>
      <c r="T272" s="34"/>
      <c r="U272" s="36"/>
      <c r="V272" s="36"/>
      <c r="W272" s="36"/>
      <c r="X272" s="36"/>
      <c r="Y272" s="36"/>
      <c r="Z272" s="36"/>
      <c r="AA272" s="36"/>
    </row>
  </sheetData>
  <mergeCells count="22">
    <mergeCell ref="B120:B132"/>
    <mergeCell ref="B3:D3"/>
    <mergeCell ref="F3:Q3"/>
    <mergeCell ref="F4:H4"/>
    <mergeCell ref="B8:B20"/>
    <mergeCell ref="B22:B34"/>
    <mergeCell ref="B36:B48"/>
    <mergeCell ref="B50:B62"/>
    <mergeCell ref="B64:B76"/>
    <mergeCell ref="B78:B90"/>
    <mergeCell ref="B92:B104"/>
    <mergeCell ref="B106:B118"/>
    <mergeCell ref="B218:B230"/>
    <mergeCell ref="B232:B244"/>
    <mergeCell ref="B246:B258"/>
    <mergeCell ref="B260:B272"/>
    <mergeCell ref="B134:B146"/>
    <mergeCell ref="B148:B160"/>
    <mergeCell ref="B162:B174"/>
    <mergeCell ref="B176:B188"/>
    <mergeCell ref="B190:B202"/>
    <mergeCell ref="B204:B216"/>
  </mergeCells>
  <conditionalFormatting sqref="N8">
    <cfRule type="expression" dxfId="7719" priority="1370">
      <formula>N8&lt;P8*#REF!</formula>
    </cfRule>
    <cfRule type="expression" dxfId="7718" priority="1371">
      <formula>N8&gt;P8*#REF!</formula>
    </cfRule>
  </conditionalFormatting>
  <conditionalFormatting sqref="N9">
    <cfRule type="expression" dxfId="7717" priority="1368">
      <formula>N9&lt;P9*#REF!</formula>
    </cfRule>
    <cfRule type="expression" dxfId="7716" priority="1369">
      <formula>N9&gt;P9*#REF!</formula>
    </cfRule>
  </conditionalFormatting>
  <conditionalFormatting sqref="N20">
    <cfRule type="expression" dxfId="7715" priority="1366">
      <formula>N20&lt;P20*#REF!</formula>
    </cfRule>
    <cfRule type="expression" dxfId="7714" priority="1367">
      <formula>N20&gt;P20*#REF!</formula>
    </cfRule>
  </conditionalFormatting>
  <conditionalFormatting sqref="N10">
    <cfRule type="expression" dxfId="7713" priority="1364">
      <formula>N10&gt;P10+#REF!</formula>
    </cfRule>
    <cfRule type="expression" dxfId="7712" priority="1365">
      <formula>N10&lt;P10-#REF!</formula>
    </cfRule>
  </conditionalFormatting>
  <conditionalFormatting sqref="N11">
    <cfRule type="expression" dxfId="7711" priority="1362">
      <formula>N11&gt;P11+#REF!</formula>
    </cfRule>
    <cfRule type="expression" dxfId="7710" priority="1363">
      <formula>N11&lt;P11-#REF!</formula>
    </cfRule>
  </conditionalFormatting>
  <conditionalFormatting sqref="N12">
    <cfRule type="expression" dxfId="7709" priority="1360">
      <formula>N12&gt;P12+#REF!</formula>
    </cfRule>
    <cfRule type="expression" dxfId="7708" priority="1361">
      <formula>N12&lt;P12-#REF!</formula>
    </cfRule>
  </conditionalFormatting>
  <conditionalFormatting sqref="N13">
    <cfRule type="expression" dxfId="7707" priority="1358">
      <formula>N13&gt;P13+#REF!</formula>
    </cfRule>
    <cfRule type="expression" dxfId="7706" priority="1359">
      <formula>N13&lt;P13-#REF!</formula>
    </cfRule>
  </conditionalFormatting>
  <conditionalFormatting sqref="N14">
    <cfRule type="expression" dxfId="7705" priority="1356">
      <formula>N14&gt;P14+#REF!</formula>
    </cfRule>
    <cfRule type="expression" dxfId="7704" priority="1357">
      <formula>N14&lt;P14-#REF!</formula>
    </cfRule>
  </conditionalFormatting>
  <conditionalFormatting sqref="N15">
    <cfRule type="expression" dxfId="7703" priority="1354">
      <formula>N15&gt;P15+#REF!</formula>
    </cfRule>
    <cfRule type="expression" dxfId="7702" priority="1355">
      <formula>N15&lt;P15-#REF!</formula>
    </cfRule>
  </conditionalFormatting>
  <conditionalFormatting sqref="N16">
    <cfRule type="expression" dxfId="7701" priority="1352">
      <formula>N16&gt;P16+#REF!</formula>
    </cfRule>
    <cfRule type="expression" dxfId="7700" priority="1353">
      <formula>N16&lt;P16-#REF!</formula>
    </cfRule>
  </conditionalFormatting>
  <conditionalFormatting sqref="N17:N18">
    <cfRule type="expression" dxfId="7699" priority="1350">
      <formula>N17&gt;P17+#REF!</formula>
    </cfRule>
    <cfRule type="expression" dxfId="7698" priority="1351">
      <formula>N17&lt;P17-#REF!</formula>
    </cfRule>
  </conditionalFormatting>
  <conditionalFormatting sqref="N19">
    <cfRule type="expression" dxfId="7697" priority="1348">
      <formula>N19&gt;P19+#REF!</formula>
    </cfRule>
    <cfRule type="expression" dxfId="7696" priority="1349">
      <formula>N19&lt;P19-#REF!</formula>
    </cfRule>
  </conditionalFormatting>
  <conditionalFormatting sqref="N22">
    <cfRule type="expression" dxfId="7695" priority="1346">
      <formula>N22&lt;P22*#REF!</formula>
    </cfRule>
    <cfRule type="expression" dxfId="7694" priority="1347">
      <formula>N22&gt;P22*#REF!</formula>
    </cfRule>
  </conditionalFormatting>
  <conditionalFormatting sqref="N23">
    <cfRule type="expression" dxfId="7693" priority="1344">
      <formula>N23&lt;P23*#REF!</formula>
    </cfRule>
    <cfRule type="expression" dxfId="7692" priority="1345">
      <formula>N23&gt;P23*#REF!</formula>
    </cfRule>
  </conditionalFormatting>
  <conditionalFormatting sqref="N34">
    <cfRule type="expression" dxfId="7691" priority="1342">
      <formula>N34&lt;P34*#REF!</formula>
    </cfRule>
    <cfRule type="expression" dxfId="7690" priority="1343">
      <formula>N34&gt;P34*#REF!</formula>
    </cfRule>
  </conditionalFormatting>
  <conditionalFormatting sqref="N24">
    <cfRule type="expression" dxfId="7689" priority="1340">
      <formula>N24&gt;P24+#REF!</formula>
    </cfRule>
    <cfRule type="expression" dxfId="7688" priority="1341">
      <formula>N24&lt;P24-#REF!</formula>
    </cfRule>
  </conditionalFormatting>
  <conditionalFormatting sqref="N25">
    <cfRule type="expression" dxfId="7687" priority="1338">
      <formula>N25&gt;P25+#REF!</formula>
    </cfRule>
    <cfRule type="expression" dxfId="7686" priority="1339">
      <formula>N25&lt;P25-#REF!</formula>
    </cfRule>
  </conditionalFormatting>
  <conditionalFormatting sqref="N26">
    <cfRule type="expression" dxfId="7685" priority="1336">
      <formula>N26&gt;P26+#REF!</formula>
    </cfRule>
    <cfRule type="expression" dxfId="7684" priority="1337">
      <formula>N26&lt;P26-#REF!</formula>
    </cfRule>
  </conditionalFormatting>
  <conditionalFormatting sqref="N27">
    <cfRule type="expression" dxfId="7683" priority="1334">
      <formula>N27&gt;P27+#REF!</formula>
    </cfRule>
    <cfRule type="expression" dxfId="7682" priority="1335">
      <formula>N27&lt;P27-#REF!</formula>
    </cfRule>
  </conditionalFormatting>
  <conditionalFormatting sqref="N28">
    <cfRule type="expression" dxfId="7681" priority="1332">
      <formula>N28&gt;P28+#REF!</formula>
    </cfRule>
    <cfRule type="expression" dxfId="7680" priority="1333">
      <formula>N28&lt;P28-#REF!</formula>
    </cfRule>
  </conditionalFormatting>
  <conditionalFormatting sqref="N29">
    <cfRule type="expression" dxfId="7679" priority="1330">
      <formula>N29&gt;P29+#REF!</formula>
    </cfRule>
    <cfRule type="expression" dxfId="7678" priority="1331">
      <formula>N29&lt;P29-#REF!</formula>
    </cfRule>
  </conditionalFormatting>
  <conditionalFormatting sqref="N30">
    <cfRule type="expression" dxfId="7677" priority="1328">
      <formula>N30&gt;P30+#REF!</formula>
    </cfRule>
    <cfRule type="expression" dxfId="7676" priority="1329">
      <formula>N30&lt;P30-#REF!</formula>
    </cfRule>
  </conditionalFormatting>
  <conditionalFormatting sqref="N31:N32">
    <cfRule type="expression" dxfId="7675" priority="1326">
      <formula>N31&gt;P31+#REF!</formula>
    </cfRule>
    <cfRule type="expression" dxfId="7674" priority="1327">
      <formula>N31&lt;P31-#REF!</formula>
    </cfRule>
  </conditionalFormatting>
  <conditionalFormatting sqref="N33">
    <cfRule type="expression" dxfId="7673" priority="1324">
      <formula>N33&gt;P33+#REF!</formula>
    </cfRule>
    <cfRule type="expression" dxfId="7672" priority="1325">
      <formula>N33&lt;P33-#REF!</formula>
    </cfRule>
  </conditionalFormatting>
  <conditionalFormatting sqref="N36">
    <cfRule type="expression" dxfId="7671" priority="1322">
      <formula>N36&lt;P36*#REF!</formula>
    </cfRule>
    <cfRule type="expression" dxfId="7670" priority="1323">
      <formula>N36&gt;P36*#REF!</formula>
    </cfRule>
  </conditionalFormatting>
  <conditionalFormatting sqref="N37">
    <cfRule type="expression" dxfId="7669" priority="1320">
      <formula>N37&lt;P37*#REF!</formula>
    </cfRule>
    <cfRule type="expression" dxfId="7668" priority="1321">
      <formula>N37&gt;P37*#REF!</formula>
    </cfRule>
  </conditionalFormatting>
  <conditionalFormatting sqref="N48">
    <cfRule type="expression" dxfId="7667" priority="1318">
      <formula>N48&lt;P48*#REF!</formula>
    </cfRule>
    <cfRule type="expression" dxfId="7666" priority="1319">
      <formula>N48&gt;P48*#REF!</formula>
    </cfRule>
  </conditionalFormatting>
  <conditionalFormatting sqref="N38">
    <cfRule type="expression" dxfId="7665" priority="1316">
      <formula>N38&gt;P38+#REF!</formula>
    </cfRule>
    <cfRule type="expression" dxfId="7664" priority="1317">
      <formula>N38&lt;P38-#REF!</formula>
    </cfRule>
  </conditionalFormatting>
  <conditionalFormatting sqref="N39">
    <cfRule type="expression" dxfId="7663" priority="1314">
      <formula>N39&gt;P39+#REF!</formula>
    </cfRule>
    <cfRule type="expression" dxfId="7662" priority="1315">
      <formula>N39&lt;P39-#REF!</formula>
    </cfRule>
  </conditionalFormatting>
  <conditionalFormatting sqref="N40">
    <cfRule type="expression" dxfId="7661" priority="1312">
      <formula>N40&gt;P40+#REF!</formula>
    </cfRule>
    <cfRule type="expression" dxfId="7660" priority="1313">
      <formula>N40&lt;P40-#REF!</formula>
    </cfRule>
  </conditionalFormatting>
  <conditionalFormatting sqref="N41">
    <cfRule type="expression" dxfId="7659" priority="1310">
      <formula>N41&gt;P41+#REF!</formula>
    </cfRule>
    <cfRule type="expression" dxfId="7658" priority="1311">
      <formula>N41&lt;P41-#REF!</formula>
    </cfRule>
  </conditionalFormatting>
  <conditionalFormatting sqref="N42">
    <cfRule type="expression" dxfId="7657" priority="1308">
      <formula>N42&gt;P42+#REF!</formula>
    </cfRule>
    <cfRule type="expression" dxfId="7656" priority="1309">
      <formula>N42&lt;P42-#REF!</formula>
    </cfRule>
  </conditionalFormatting>
  <conditionalFormatting sqref="N43">
    <cfRule type="expression" dxfId="7655" priority="1306">
      <formula>N43&gt;P43+#REF!</formula>
    </cfRule>
    <cfRule type="expression" dxfId="7654" priority="1307">
      <formula>N43&lt;P43-#REF!</formula>
    </cfRule>
  </conditionalFormatting>
  <conditionalFormatting sqref="N44">
    <cfRule type="expression" dxfId="7653" priority="1304">
      <formula>N44&gt;P44+#REF!</formula>
    </cfRule>
    <cfRule type="expression" dxfId="7652" priority="1305">
      <formula>N44&lt;P44-#REF!</formula>
    </cfRule>
  </conditionalFormatting>
  <conditionalFormatting sqref="N45:N46">
    <cfRule type="expression" dxfId="7651" priority="1302">
      <formula>N45&gt;P45+#REF!</formula>
    </cfRule>
    <cfRule type="expression" dxfId="7650" priority="1303">
      <formula>N45&lt;P45-#REF!</formula>
    </cfRule>
  </conditionalFormatting>
  <conditionalFormatting sqref="N47">
    <cfRule type="expression" dxfId="7649" priority="1300">
      <formula>N47&gt;P47+#REF!</formula>
    </cfRule>
    <cfRule type="expression" dxfId="7648" priority="1301">
      <formula>N47&lt;P47-#REF!</formula>
    </cfRule>
  </conditionalFormatting>
  <conditionalFormatting sqref="N50">
    <cfRule type="expression" dxfId="7647" priority="1298">
      <formula>N50&lt;P50*#REF!</formula>
    </cfRule>
    <cfRule type="expression" dxfId="7646" priority="1299">
      <formula>N50&gt;P50*#REF!</formula>
    </cfRule>
  </conditionalFormatting>
  <conditionalFormatting sqref="N51">
    <cfRule type="expression" dxfId="7645" priority="1296">
      <formula>N51&lt;P51*#REF!</formula>
    </cfRule>
    <cfRule type="expression" dxfId="7644" priority="1297">
      <formula>N51&gt;P51*#REF!</formula>
    </cfRule>
  </conditionalFormatting>
  <conditionalFormatting sqref="N62">
    <cfRule type="expression" dxfId="7643" priority="1294">
      <formula>N62&lt;P62*#REF!</formula>
    </cfRule>
    <cfRule type="expression" dxfId="7642" priority="1295">
      <formula>N62&gt;P62*#REF!</formula>
    </cfRule>
  </conditionalFormatting>
  <conditionalFormatting sqref="N52">
    <cfRule type="expression" dxfId="7641" priority="1292">
      <formula>N52&gt;P52+#REF!</formula>
    </cfRule>
    <cfRule type="expression" dxfId="7640" priority="1293">
      <formula>N52&lt;P52-#REF!</formula>
    </cfRule>
  </conditionalFormatting>
  <conditionalFormatting sqref="N53">
    <cfRule type="expression" dxfId="7639" priority="1290">
      <formula>N53&gt;P53+#REF!</formula>
    </cfRule>
    <cfRule type="expression" dxfId="7638" priority="1291">
      <formula>N53&lt;P53-#REF!</formula>
    </cfRule>
  </conditionalFormatting>
  <conditionalFormatting sqref="N54">
    <cfRule type="expression" dxfId="7637" priority="1288">
      <formula>N54&gt;P54+#REF!</formula>
    </cfRule>
    <cfRule type="expression" dxfId="7636" priority="1289">
      <formula>N54&lt;P54-#REF!</formula>
    </cfRule>
  </conditionalFormatting>
  <conditionalFormatting sqref="N55">
    <cfRule type="expression" dxfId="7635" priority="1286">
      <formula>N55&gt;P55+#REF!</formula>
    </cfRule>
    <cfRule type="expression" dxfId="7634" priority="1287">
      <formula>N55&lt;P55-#REF!</formula>
    </cfRule>
  </conditionalFormatting>
  <conditionalFormatting sqref="N56">
    <cfRule type="expression" dxfId="7633" priority="1284">
      <formula>N56&gt;P56+#REF!</formula>
    </cfRule>
    <cfRule type="expression" dxfId="7632" priority="1285">
      <formula>N56&lt;P56-#REF!</formula>
    </cfRule>
  </conditionalFormatting>
  <conditionalFormatting sqref="N57">
    <cfRule type="expression" dxfId="7631" priority="1282">
      <formula>N57&gt;P57+#REF!</formula>
    </cfRule>
    <cfRule type="expression" dxfId="7630" priority="1283">
      <formula>N57&lt;P57-#REF!</formula>
    </cfRule>
  </conditionalFormatting>
  <conditionalFormatting sqref="N58">
    <cfRule type="expression" dxfId="7629" priority="1280">
      <formula>N58&gt;P58+#REF!</formula>
    </cfRule>
    <cfRule type="expression" dxfId="7628" priority="1281">
      <formula>N58&lt;P58-#REF!</formula>
    </cfRule>
  </conditionalFormatting>
  <conditionalFormatting sqref="N59:N60">
    <cfRule type="expression" dxfId="7627" priority="1278">
      <formula>N59&gt;P59+#REF!</formula>
    </cfRule>
    <cfRule type="expression" dxfId="7626" priority="1279">
      <formula>N59&lt;P59-#REF!</formula>
    </cfRule>
  </conditionalFormatting>
  <conditionalFormatting sqref="N61">
    <cfRule type="expression" dxfId="7625" priority="1276">
      <formula>N61&gt;P61+#REF!</formula>
    </cfRule>
    <cfRule type="expression" dxfId="7624" priority="1277">
      <formula>N61&lt;P61-#REF!</formula>
    </cfRule>
  </conditionalFormatting>
  <conditionalFormatting sqref="N64">
    <cfRule type="expression" dxfId="7623" priority="1274">
      <formula>N64&lt;P64*#REF!</formula>
    </cfRule>
    <cfRule type="expression" dxfId="7622" priority="1275">
      <formula>N64&gt;P64*#REF!</formula>
    </cfRule>
  </conditionalFormatting>
  <conditionalFormatting sqref="N65">
    <cfRule type="expression" dxfId="7621" priority="1272">
      <formula>N65&lt;P65*#REF!</formula>
    </cfRule>
    <cfRule type="expression" dxfId="7620" priority="1273">
      <formula>N65&gt;P65*#REF!</formula>
    </cfRule>
  </conditionalFormatting>
  <conditionalFormatting sqref="N76">
    <cfRule type="expression" dxfId="7619" priority="1270">
      <formula>N76&lt;P76*#REF!</formula>
    </cfRule>
    <cfRule type="expression" dxfId="7618" priority="1271">
      <formula>N76&gt;P76*#REF!</formula>
    </cfRule>
  </conditionalFormatting>
  <conditionalFormatting sqref="N66">
    <cfRule type="expression" dxfId="7617" priority="1268">
      <formula>N66&gt;P66+#REF!</formula>
    </cfRule>
    <cfRule type="expression" dxfId="7616" priority="1269">
      <formula>N66&lt;P66-#REF!</formula>
    </cfRule>
  </conditionalFormatting>
  <conditionalFormatting sqref="N67">
    <cfRule type="expression" dxfId="7615" priority="1266">
      <formula>N67&gt;P67+#REF!</formula>
    </cfRule>
    <cfRule type="expression" dxfId="7614" priority="1267">
      <formula>N67&lt;P67-#REF!</formula>
    </cfRule>
  </conditionalFormatting>
  <conditionalFormatting sqref="N68">
    <cfRule type="expression" dxfId="7613" priority="1264">
      <formula>N68&gt;P68+#REF!</formula>
    </cfRule>
    <cfRule type="expression" dxfId="7612" priority="1265">
      <formula>N68&lt;P68-#REF!</formula>
    </cfRule>
  </conditionalFormatting>
  <conditionalFormatting sqref="N69">
    <cfRule type="expression" dxfId="7611" priority="1262">
      <formula>N69&gt;P69+#REF!</formula>
    </cfRule>
    <cfRule type="expression" dxfId="7610" priority="1263">
      <formula>N69&lt;P69-#REF!</formula>
    </cfRule>
  </conditionalFormatting>
  <conditionalFormatting sqref="N70">
    <cfRule type="expression" dxfId="7609" priority="1260">
      <formula>N70&gt;P70+#REF!</formula>
    </cfRule>
    <cfRule type="expression" dxfId="7608" priority="1261">
      <formula>N70&lt;P70-#REF!</formula>
    </cfRule>
  </conditionalFormatting>
  <conditionalFormatting sqref="N71">
    <cfRule type="expression" dxfId="7607" priority="1258">
      <formula>N71&gt;P71+#REF!</formula>
    </cfRule>
    <cfRule type="expression" dxfId="7606" priority="1259">
      <formula>N71&lt;P71-#REF!</formula>
    </cfRule>
  </conditionalFormatting>
  <conditionalFormatting sqref="N72">
    <cfRule type="expression" dxfId="7605" priority="1256">
      <formula>N72&gt;P72+#REF!</formula>
    </cfRule>
    <cfRule type="expression" dxfId="7604" priority="1257">
      <formula>N72&lt;P72-#REF!</formula>
    </cfRule>
  </conditionalFormatting>
  <conditionalFormatting sqref="N73:N74">
    <cfRule type="expression" dxfId="7603" priority="1254">
      <formula>N73&gt;P73+#REF!</formula>
    </cfRule>
    <cfRule type="expression" dxfId="7602" priority="1255">
      <formula>N73&lt;P73-#REF!</formula>
    </cfRule>
  </conditionalFormatting>
  <conditionalFormatting sqref="N75">
    <cfRule type="expression" dxfId="7601" priority="1252">
      <formula>N75&gt;P75+#REF!</formula>
    </cfRule>
    <cfRule type="expression" dxfId="7600" priority="1253">
      <formula>N75&lt;P75-#REF!</formula>
    </cfRule>
  </conditionalFormatting>
  <conditionalFormatting sqref="N78">
    <cfRule type="expression" dxfId="7599" priority="1250">
      <formula>N78&lt;P78*#REF!</formula>
    </cfRule>
    <cfRule type="expression" dxfId="7598" priority="1251">
      <formula>N78&gt;P78*#REF!</formula>
    </cfRule>
  </conditionalFormatting>
  <conditionalFormatting sqref="N79">
    <cfRule type="expression" dxfId="7597" priority="1248">
      <formula>N79&lt;P79*#REF!</formula>
    </cfRule>
    <cfRule type="expression" dxfId="7596" priority="1249">
      <formula>N79&gt;P79*#REF!</formula>
    </cfRule>
  </conditionalFormatting>
  <conditionalFormatting sqref="N90">
    <cfRule type="expression" dxfId="7595" priority="1246">
      <formula>N90&lt;P90*#REF!</formula>
    </cfRule>
    <cfRule type="expression" dxfId="7594" priority="1247">
      <formula>N90&gt;P90*#REF!</formula>
    </cfRule>
  </conditionalFormatting>
  <conditionalFormatting sqref="N80">
    <cfRule type="expression" dxfId="7593" priority="1244">
      <formula>N80&gt;P80+#REF!</formula>
    </cfRule>
    <cfRule type="expression" dxfId="7592" priority="1245">
      <formula>N80&lt;P80-#REF!</formula>
    </cfRule>
  </conditionalFormatting>
  <conditionalFormatting sqref="N81">
    <cfRule type="expression" dxfId="7591" priority="1242">
      <formula>N81&gt;P81+#REF!</formula>
    </cfRule>
    <cfRule type="expression" dxfId="7590" priority="1243">
      <formula>N81&lt;P81-#REF!</formula>
    </cfRule>
  </conditionalFormatting>
  <conditionalFormatting sqref="N82">
    <cfRule type="expression" dxfId="7589" priority="1240">
      <formula>N82&gt;P82+#REF!</formula>
    </cfRule>
    <cfRule type="expression" dxfId="7588" priority="1241">
      <formula>N82&lt;P82-#REF!</formula>
    </cfRule>
  </conditionalFormatting>
  <conditionalFormatting sqref="N83">
    <cfRule type="expression" dxfId="7587" priority="1238">
      <formula>N83&gt;P83+#REF!</formula>
    </cfRule>
    <cfRule type="expression" dxfId="7586" priority="1239">
      <formula>N83&lt;P83-#REF!</formula>
    </cfRule>
  </conditionalFormatting>
  <conditionalFormatting sqref="N84">
    <cfRule type="expression" dxfId="7585" priority="1236">
      <formula>N84&gt;P84+#REF!</formula>
    </cfRule>
    <cfRule type="expression" dxfId="7584" priority="1237">
      <formula>N84&lt;P84-#REF!</formula>
    </cfRule>
  </conditionalFormatting>
  <conditionalFormatting sqref="N85">
    <cfRule type="expression" dxfId="7583" priority="1234">
      <formula>N85&gt;P85+#REF!</formula>
    </cfRule>
    <cfRule type="expression" dxfId="7582" priority="1235">
      <formula>N85&lt;P85-#REF!</formula>
    </cfRule>
  </conditionalFormatting>
  <conditionalFormatting sqref="N86">
    <cfRule type="expression" dxfId="7581" priority="1232">
      <formula>N86&gt;P86+#REF!</formula>
    </cfRule>
    <cfRule type="expression" dxfId="7580" priority="1233">
      <formula>N86&lt;P86-#REF!</formula>
    </cfRule>
  </conditionalFormatting>
  <conditionalFormatting sqref="N87:N88">
    <cfRule type="expression" dxfId="7579" priority="1230">
      <formula>N87&gt;P87+#REF!</formula>
    </cfRule>
    <cfRule type="expression" dxfId="7578" priority="1231">
      <formula>N87&lt;P87-#REF!</formula>
    </cfRule>
  </conditionalFormatting>
  <conditionalFormatting sqref="N89">
    <cfRule type="expression" dxfId="7577" priority="1228">
      <formula>N89&gt;P89+#REF!</formula>
    </cfRule>
    <cfRule type="expression" dxfId="7576" priority="1229">
      <formula>N89&lt;P89-#REF!</formula>
    </cfRule>
  </conditionalFormatting>
  <conditionalFormatting sqref="N92">
    <cfRule type="expression" dxfId="7575" priority="1226">
      <formula>N92&lt;P92*#REF!</formula>
    </cfRule>
    <cfRule type="expression" dxfId="7574" priority="1227">
      <formula>N92&gt;P92*#REF!</formula>
    </cfRule>
  </conditionalFormatting>
  <conditionalFormatting sqref="N93">
    <cfRule type="expression" dxfId="7573" priority="1224">
      <formula>N93&lt;P93*#REF!</formula>
    </cfRule>
    <cfRule type="expression" dxfId="7572" priority="1225">
      <formula>N93&gt;P93*#REF!</formula>
    </cfRule>
  </conditionalFormatting>
  <conditionalFormatting sqref="N104">
    <cfRule type="expression" dxfId="7571" priority="1222">
      <formula>N104&lt;P104*#REF!</formula>
    </cfRule>
    <cfRule type="expression" dxfId="7570" priority="1223">
      <formula>N104&gt;P104*#REF!</formula>
    </cfRule>
  </conditionalFormatting>
  <conditionalFormatting sqref="N94">
    <cfRule type="expression" dxfId="7569" priority="1220">
      <formula>N94&gt;P94+#REF!</formula>
    </cfRule>
    <cfRule type="expression" dxfId="7568" priority="1221">
      <formula>N94&lt;P94-#REF!</formula>
    </cfRule>
  </conditionalFormatting>
  <conditionalFormatting sqref="N95">
    <cfRule type="expression" dxfId="7567" priority="1218">
      <formula>N95&gt;P95+#REF!</formula>
    </cfRule>
    <cfRule type="expression" dxfId="7566" priority="1219">
      <formula>N95&lt;P95-#REF!</formula>
    </cfRule>
  </conditionalFormatting>
  <conditionalFormatting sqref="N97">
    <cfRule type="expression" dxfId="7565" priority="1216">
      <formula>N97&gt;P97+#REF!</formula>
    </cfRule>
    <cfRule type="expression" dxfId="7564" priority="1217">
      <formula>N97&lt;P97-#REF!</formula>
    </cfRule>
  </conditionalFormatting>
  <conditionalFormatting sqref="N98">
    <cfRule type="expression" dxfId="7563" priority="1214">
      <formula>N98&gt;P98+#REF!</formula>
    </cfRule>
    <cfRule type="expression" dxfId="7562" priority="1215">
      <formula>N98&lt;P98-#REF!</formula>
    </cfRule>
  </conditionalFormatting>
  <conditionalFormatting sqref="N99">
    <cfRule type="expression" dxfId="7561" priority="1212">
      <formula>N99&gt;P99+#REF!</formula>
    </cfRule>
    <cfRule type="expression" dxfId="7560" priority="1213">
      <formula>N99&lt;P99-#REF!</formula>
    </cfRule>
  </conditionalFormatting>
  <conditionalFormatting sqref="N100">
    <cfRule type="expression" dxfId="7559" priority="1210">
      <formula>N100&gt;P100+#REF!</formula>
    </cfRule>
    <cfRule type="expression" dxfId="7558" priority="1211">
      <formula>N100&lt;P100-#REF!</formula>
    </cfRule>
  </conditionalFormatting>
  <conditionalFormatting sqref="N101:N102">
    <cfRule type="expression" dxfId="7557" priority="1208">
      <formula>N101&gt;P101+#REF!</formula>
    </cfRule>
    <cfRule type="expression" dxfId="7556" priority="1209">
      <formula>N101&lt;P101-#REF!</formula>
    </cfRule>
  </conditionalFormatting>
  <conditionalFormatting sqref="N103">
    <cfRule type="expression" dxfId="7555" priority="1207">
      <formula>N103&lt;P103-#REF!</formula>
    </cfRule>
    <cfRule type="expression" dxfId="7554" priority="1372">
      <formula>N103&gt;P103+#REF!</formula>
    </cfRule>
  </conditionalFormatting>
  <conditionalFormatting sqref="N106">
    <cfRule type="expression" dxfId="7553" priority="1205">
      <formula>N106&lt;P106*#REF!</formula>
    </cfRule>
    <cfRule type="expression" dxfId="7552" priority="1206">
      <formula>N106&gt;P106*#REF!</formula>
    </cfRule>
  </conditionalFormatting>
  <conditionalFormatting sqref="N107">
    <cfRule type="expression" dxfId="7551" priority="1203">
      <formula>N107&lt;P107*#REF!</formula>
    </cfRule>
    <cfRule type="expression" dxfId="7550" priority="1204">
      <formula>N107&gt;P107*#REF!</formula>
    </cfRule>
  </conditionalFormatting>
  <conditionalFormatting sqref="N118">
    <cfRule type="expression" dxfId="7549" priority="1201">
      <formula>N118&lt;P118*#REF!</formula>
    </cfRule>
    <cfRule type="expression" dxfId="7548" priority="1202">
      <formula>N118&gt;P118*#REF!</formula>
    </cfRule>
  </conditionalFormatting>
  <conditionalFormatting sqref="N108">
    <cfRule type="expression" dxfId="7547" priority="1199">
      <formula>N108&gt;P108+#REF!</formula>
    </cfRule>
    <cfRule type="expression" dxfId="7546" priority="1200">
      <formula>N108&lt;P108-#REF!</formula>
    </cfRule>
  </conditionalFormatting>
  <conditionalFormatting sqref="N109">
    <cfRule type="expression" dxfId="7545" priority="1197">
      <formula>N109&gt;P109+#REF!</formula>
    </cfRule>
    <cfRule type="expression" dxfId="7544" priority="1198">
      <formula>N109&lt;P109-#REF!</formula>
    </cfRule>
  </conditionalFormatting>
  <conditionalFormatting sqref="N110">
    <cfRule type="expression" dxfId="7543" priority="1195">
      <formula>N110&gt;P110+#REF!</formula>
    </cfRule>
    <cfRule type="expression" dxfId="7542" priority="1196">
      <formula>N110&lt;P110-#REF!</formula>
    </cfRule>
  </conditionalFormatting>
  <conditionalFormatting sqref="N111">
    <cfRule type="expression" dxfId="7541" priority="1193">
      <formula>N111&gt;P111+#REF!</formula>
    </cfRule>
    <cfRule type="expression" dxfId="7540" priority="1194">
      <formula>N111&lt;P111-#REF!</formula>
    </cfRule>
  </conditionalFormatting>
  <conditionalFormatting sqref="N112">
    <cfRule type="expression" dxfId="7539" priority="1191">
      <formula>N112&gt;P112+#REF!</formula>
    </cfRule>
    <cfRule type="expression" dxfId="7538" priority="1192">
      <formula>N112&lt;P112-#REF!</formula>
    </cfRule>
  </conditionalFormatting>
  <conditionalFormatting sqref="N113">
    <cfRule type="expression" dxfId="7537" priority="1189">
      <formula>N113&gt;P113+#REF!</formula>
    </cfRule>
    <cfRule type="expression" dxfId="7536" priority="1190">
      <formula>N113&lt;P113-#REF!</formula>
    </cfRule>
  </conditionalFormatting>
  <conditionalFormatting sqref="N114">
    <cfRule type="expression" dxfId="7535" priority="1187">
      <formula>N114&gt;P114+#REF!</formula>
    </cfRule>
    <cfRule type="expression" dxfId="7534" priority="1188">
      <formula>N114&lt;P114-#REF!</formula>
    </cfRule>
  </conditionalFormatting>
  <conditionalFormatting sqref="N115:N116">
    <cfRule type="expression" dxfId="7533" priority="1185">
      <formula>N115&gt;P115+#REF!</formula>
    </cfRule>
    <cfRule type="expression" dxfId="7532" priority="1186">
      <formula>N115&lt;P115-#REF!</formula>
    </cfRule>
  </conditionalFormatting>
  <conditionalFormatting sqref="N117">
    <cfRule type="expression" dxfId="7531" priority="1184">
      <formula>N117&lt;P117-#REF!</formula>
    </cfRule>
    <cfRule type="expression" dxfId="7530" priority="1373">
      <formula>N117&gt;P117+#REF!</formula>
    </cfRule>
  </conditionalFormatting>
  <conditionalFormatting sqref="N120">
    <cfRule type="expression" dxfId="7529" priority="1182">
      <formula>N120&lt;P120*#REF!</formula>
    </cfRule>
    <cfRule type="expression" dxfId="7528" priority="1183">
      <formula>N120&gt;P120*#REF!</formula>
    </cfRule>
  </conditionalFormatting>
  <conditionalFormatting sqref="N121">
    <cfRule type="expression" dxfId="7527" priority="1180">
      <formula>N121&lt;P121*#REF!</formula>
    </cfRule>
    <cfRule type="expression" dxfId="7526" priority="1181">
      <formula>N121&gt;P121*#REF!</formula>
    </cfRule>
  </conditionalFormatting>
  <conditionalFormatting sqref="N132">
    <cfRule type="expression" dxfId="7525" priority="1178">
      <formula>N132&lt;P132*#REF!</formula>
    </cfRule>
    <cfRule type="expression" dxfId="7524" priority="1179">
      <formula>N132&gt;P132*#REF!</formula>
    </cfRule>
  </conditionalFormatting>
  <conditionalFormatting sqref="N122">
    <cfRule type="expression" dxfId="7523" priority="1176">
      <formula>N122&gt;P122+#REF!</formula>
    </cfRule>
    <cfRule type="expression" dxfId="7522" priority="1177">
      <formula>N122&lt;P122-#REF!</formula>
    </cfRule>
  </conditionalFormatting>
  <conditionalFormatting sqref="N123">
    <cfRule type="expression" dxfId="7521" priority="1174">
      <formula>N123&gt;P123+#REF!</formula>
    </cfRule>
    <cfRule type="expression" dxfId="7520" priority="1175">
      <formula>N123&lt;P123-#REF!</formula>
    </cfRule>
  </conditionalFormatting>
  <conditionalFormatting sqref="N124">
    <cfRule type="expression" dxfId="7519" priority="1172">
      <formula>N124&gt;P124+#REF!</formula>
    </cfRule>
    <cfRule type="expression" dxfId="7518" priority="1173">
      <formula>N124&lt;P124-#REF!</formula>
    </cfRule>
  </conditionalFormatting>
  <conditionalFormatting sqref="N125">
    <cfRule type="expression" dxfId="7517" priority="1170">
      <formula>N125&gt;P125+#REF!</formula>
    </cfRule>
    <cfRule type="expression" dxfId="7516" priority="1171">
      <formula>N125&lt;P125-#REF!</formula>
    </cfRule>
  </conditionalFormatting>
  <conditionalFormatting sqref="N126">
    <cfRule type="expression" dxfId="7515" priority="1168">
      <formula>N126&gt;P126+#REF!</formula>
    </cfRule>
    <cfRule type="expression" dxfId="7514" priority="1169">
      <formula>N126&lt;P126-#REF!</formula>
    </cfRule>
  </conditionalFormatting>
  <conditionalFormatting sqref="N127">
    <cfRule type="expression" dxfId="7513" priority="1166">
      <formula>N127&gt;P127+#REF!</formula>
    </cfRule>
    <cfRule type="expression" dxfId="7512" priority="1167">
      <formula>N127&lt;P127-#REF!</formula>
    </cfRule>
  </conditionalFormatting>
  <conditionalFormatting sqref="N128">
    <cfRule type="expression" dxfId="7511" priority="1164">
      <formula>N128&gt;P128+#REF!</formula>
    </cfRule>
    <cfRule type="expression" dxfId="7510" priority="1165">
      <formula>N128&lt;P128-#REF!</formula>
    </cfRule>
  </conditionalFormatting>
  <conditionalFormatting sqref="N129:N130">
    <cfRule type="expression" dxfId="7509" priority="1162">
      <formula>N129&gt;P129+#REF!</formula>
    </cfRule>
    <cfRule type="expression" dxfId="7508" priority="1163">
      <formula>N129&lt;P129-#REF!</formula>
    </cfRule>
  </conditionalFormatting>
  <conditionalFormatting sqref="N131">
    <cfRule type="expression" dxfId="7507" priority="1161">
      <formula>N131&lt;P131-#REF!</formula>
    </cfRule>
    <cfRule type="expression" dxfId="7506" priority="1374">
      <formula>N131&gt;P131+#REF!</formula>
    </cfRule>
  </conditionalFormatting>
  <conditionalFormatting sqref="N148">
    <cfRule type="expression" dxfId="7505" priority="1159">
      <formula>N148&lt;P148*#REF!</formula>
    </cfRule>
    <cfRule type="expression" dxfId="7504" priority="1160">
      <formula>N148&gt;P148*#REF!</formula>
    </cfRule>
  </conditionalFormatting>
  <conditionalFormatting sqref="N149">
    <cfRule type="expression" dxfId="7503" priority="1157">
      <formula>N149&lt;P149*#REF!</formula>
    </cfRule>
    <cfRule type="expression" dxfId="7502" priority="1158">
      <formula>N149&gt;P149*#REF!</formula>
    </cfRule>
  </conditionalFormatting>
  <conditionalFormatting sqref="N160">
    <cfRule type="expression" dxfId="7501" priority="1155">
      <formula>N160&lt;P160*#REF!</formula>
    </cfRule>
    <cfRule type="expression" dxfId="7500" priority="1156">
      <formula>N160&gt;P160*#REF!</formula>
    </cfRule>
  </conditionalFormatting>
  <conditionalFormatting sqref="N150">
    <cfRule type="expression" dxfId="7499" priority="1153">
      <formula>N150&gt;P150+#REF!</formula>
    </cfRule>
    <cfRule type="expression" dxfId="7498" priority="1154">
      <formula>N150&lt;P150-#REF!</formula>
    </cfRule>
  </conditionalFormatting>
  <conditionalFormatting sqref="N151">
    <cfRule type="expression" dxfId="7497" priority="1151">
      <formula>N151&gt;P151+#REF!</formula>
    </cfRule>
    <cfRule type="expression" dxfId="7496" priority="1152">
      <formula>N151&lt;P151-#REF!</formula>
    </cfRule>
  </conditionalFormatting>
  <conditionalFormatting sqref="N152">
    <cfRule type="expression" dxfId="7495" priority="1149">
      <formula>N152&gt;P152+#REF!</formula>
    </cfRule>
    <cfRule type="expression" dxfId="7494" priority="1150">
      <formula>N152&lt;P152-#REF!</formula>
    </cfRule>
  </conditionalFormatting>
  <conditionalFormatting sqref="N153">
    <cfRule type="expression" dxfId="7493" priority="1147">
      <formula>N153&gt;P153+#REF!</formula>
    </cfRule>
    <cfRule type="expression" dxfId="7492" priority="1148">
      <formula>N153&lt;P153-#REF!</formula>
    </cfRule>
  </conditionalFormatting>
  <conditionalFormatting sqref="N154">
    <cfRule type="expression" dxfId="7491" priority="1145">
      <formula>N154&gt;P154+#REF!</formula>
    </cfRule>
    <cfRule type="expression" dxfId="7490" priority="1146">
      <formula>N154&lt;P154-#REF!</formula>
    </cfRule>
  </conditionalFormatting>
  <conditionalFormatting sqref="N155">
    <cfRule type="expression" dxfId="7489" priority="1143">
      <formula>N155&gt;P155+#REF!</formula>
    </cfRule>
    <cfRule type="expression" dxfId="7488" priority="1144">
      <formula>N155&lt;P155-#REF!</formula>
    </cfRule>
  </conditionalFormatting>
  <conditionalFormatting sqref="N156">
    <cfRule type="expression" dxfId="7487" priority="1141">
      <formula>N156&gt;P156+#REF!</formula>
    </cfRule>
    <cfRule type="expression" dxfId="7486" priority="1142">
      <formula>N156&lt;P156-#REF!</formula>
    </cfRule>
  </conditionalFormatting>
  <conditionalFormatting sqref="N157:N158">
    <cfRule type="expression" dxfId="7485" priority="1139">
      <formula>N157&gt;P157+#REF!</formula>
    </cfRule>
    <cfRule type="expression" dxfId="7484" priority="1140">
      <formula>N157&lt;P157-#REF!</formula>
    </cfRule>
  </conditionalFormatting>
  <conditionalFormatting sqref="N159">
    <cfRule type="expression" dxfId="7483" priority="1137">
      <formula>N159&gt;P159+#REF!</formula>
    </cfRule>
    <cfRule type="expression" dxfId="7482" priority="1138">
      <formula>N159&lt;P159-#REF!</formula>
    </cfRule>
  </conditionalFormatting>
  <conditionalFormatting sqref="N162">
    <cfRule type="expression" dxfId="7481" priority="1135">
      <formula>N162&lt;P162*#REF!</formula>
    </cfRule>
    <cfRule type="expression" dxfId="7480" priority="1136">
      <formula>N162&gt;P162*#REF!</formula>
    </cfRule>
  </conditionalFormatting>
  <conditionalFormatting sqref="N163">
    <cfRule type="expression" dxfId="7479" priority="1133">
      <formula>N163&lt;P163*#REF!</formula>
    </cfRule>
    <cfRule type="expression" dxfId="7478" priority="1134">
      <formula>N163&gt;P163*#REF!</formula>
    </cfRule>
  </conditionalFormatting>
  <conditionalFormatting sqref="N174">
    <cfRule type="expression" dxfId="7477" priority="1131">
      <formula>N174&lt;P174*#REF!</formula>
    </cfRule>
    <cfRule type="expression" dxfId="7476" priority="1132">
      <formula>N174&gt;P174*#REF!</formula>
    </cfRule>
  </conditionalFormatting>
  <conditionalFormatting sqref="N164">
    <cfRule type="expression" dxfId="7475" priority="1129">
      <formula>N164&gt;P164+#REF!</formula>
    </cfRule>
    <cfRule type="expression" dxfId="7474" priority="1130">
      <formula>N164&lt;P164-#REF!</formula>
    </cfRule>
  </conditionalFormatting>
  <conditionalFormatting sqref="N165">
    <cfRule type="expression" dxfId="7473" priority="1127">
      <formula>N165&gt;P165+#REF!</formula>
    </cfRule>
    <cfRule type="expression" dxfId="7472" priority="1128">
      <formula>N165&lt;P165-#REF!</formula>
    </cfRule>
  </conditionalFormatting>
  <conditionalFormatting sqref="N166">
    <cfRule type="expression" dxfId="7471" priority="1125">
      <formula>N166&gt;P166+#REF!</formula>
    </cfRule>
    <cfRule type="expression" dxfId="7470" priority="1126">
      <formula>N166&lt;P166-#REF!</formula>
    </cfRule>
  </conditionalFormatting>
  <conditionalFormatting sqref="N167">
    <cfRule type="expression" dxfId="7469" priority="1123">
      <formula>N167&gt;P167+#REF!</formula>
    </cfRule>
    <cfRule type="expression" dxfId="7468" priority="1124">
      <formula>N167&lt;P167-#REF!</formula>
    </cfRule>
  </conditionalFormatting>
  <conditionalFormatting sqref="N168">
    <cfRule type="expression" dxfId="7467" priority="1121">
      <formula>N168&gt;P168+#REF!</formula>
    </cfRule>
    <cfRule type="expression" dxfId="7466" priority="1122">
      <formula>N168&lt;P168-#REF!</formula>
    </cfRule>
  </conditionalFormatting>
  <conditionalFormatting sqref="N169">
    <cfRule type="expression" dxfId="7465" priority="1119">
      <formula>N169&gt;P169+#REF!</formula>
    </cfRule>
    <cfRule type="expression" dxfId="7464" priority="1120">
      <formula>N169&lt;P169-#REF!</formula>
    </cfRule>
  </conditionalFormatting>
  <conditionalFormatting sqref="N170">
    <cfRule type="expression" dxfId="7463" priority="1117">
      <formula>N170&gt;P170+#REF!</formula>
    </cfRule>
    <cfRule type="expression" dxfId="7462" priority="1118">
      <formula>N170&lt;P170-#REF!</formula>
    </cfRule>
  </conditionalFormatting>
  <conditionalFormatting sqref="N171:N172">
    <cfRule type="expression" dxfId="7461" priority="1115">
      <formula>N171&gt;P171+#REF!</formula>
    </cfRule>
    <cfRule type="expression" dxfId="7460" priority="1116">
      <formula>N171&lt;P171-#REF!</formula>
    </cfRule>
  </conditionalFormatting>
  <conditionalFormatting sqref="N173">
    <cfRule type="expression" dxfId="7459" priority="1113">
      <formula>N173&gt;P173+#REF!</formula>
    </cfRule>
    <cfRule type="expression" dxfId="7458" priority="1114">
      <formula>N173&lt;P173-#REF!</formula>
    </cfRule>
  </conditionalFormatting>
  <conditionalFormatting sqref="N190">
    <cfRule type="expression" dxfId="7457" priority="1111">
      <formula>N190&lt;P190*#REF!</formula>
    </cfRule>
    <cfRule type="expression" dxfId="7456" priority="1112">
      <formula>N190&gt;P190*#REF!</formula>
    </cfRule>
  </conditionalFormatting>
  <conditionalFormatting sqref="N191">
    <cfRule type="expression" dxfId="7455" priority="1109">
      <formula>N191&lt;P191*#REF!</formula>
    </cfRule>
    <cfRule type="expression" dxfId="7454" priority="1110">
      <formula>N191&gt;P191*#REF!</formula>
    </cfRule>
  </conditionalFormatting>
  <conditionalFormatting sqref="N202">
    <cfRule type="expression" dxfId="7453" priority="1107">
      <formula>N202&lt;P202*#REF!</formula>
    </cfRule>
    <cfRule type="expression" dxfId="7452" priority="1108">
      <formula>N202&gt;P202*#REF!</formula>
    </cfRule>
  </conditionalFormatting>
  <conditionalFormatting sqref="N192">
    <cfRule type="expression" dxfId="7451" priority="1105">
      <formula>N192&gt;P192+#REF!</formula>
    </cfRule>
    <cfRule type="expression" dxfId="7450" priority="1106">
      <formula>N192&lt;P192-#REF!</formula>
    </cfRule>
  </conditionalFormatting>
  <conditionalFormatting sqref="N193">
    <cfRule type="expression" dxfId="7449" priority="1103">
      <formula>N193&gt;P193+#REF!</formula>
    </cfRule>
    <cfRule type="expression" dxfId="7448" priority="1104">
      <formula>N193&lt;P193-#REF!</formula>
    </cfRule>
  </conditionalFormatting>
  <conditionalFormatting sqref="N194">
    <cfRule type="expression" dxfId="7447" priority="1101">
      <formula>N194&gt;P194+#REF!</formula>
    </cfRule>
    <cfRule type="expression" dxfId="7446" priority="1102">
      <formula>N194&lt;P194-#REF!</formula>
    </cfRule>
  </conditionalFormatting>
  <conditionalFormatting sqref="N195">
    <cfRule type="expression" dxfId="7445" priority="1099">
      <formula>N195&gt;P195+#REF!</formula>
    </cfRule>
    <cfRule type="expression" dxfId="7444" priority="1100">
      <formula>N195&lt;P195-#REF!</formula>
    </cfRule>
  </conditionalFormatting>
  <conditionalFormatting sqref="N196">
    <cfRule type="expression" dxfId="7443" priority="1097">
      <formula>N196&gt;P196+#REF!</formula>
    </cfRule>
    <cfRule type="expression" dxfId="7442" priority="1098">
      <formula>N196&lt;P196-#REF!</formula>
    </cfRule>
  </conditionalFormatting>
  <conditionalFormatting sqref="N197">
    <cfRule type="expression" dxfId="7441" priority="1095">
      <formula>N197&gt;P197+#REF!</formula>
    </cfRule>
    <cfRule type="expression" dxfId="7440" priority="1096">
      <formula>N197&lt;P197-#REF!</formula>
    </cfRule>
  </conditionalFormatting>
  <conditionalFormatting sqref="N198">
    <cfRule type="expression" dxfId="7439" priority="1093">
      <formula>N198&gt;P198+#REF!</formula>
    </cfRule>
    <cfRule type="expression" dxfId="7438" priority="1094">
      <formula>N198&lt;P198-#REF!</formula>
    </cfRule>
  </conditionalFormatting>
  <conditionalFormatting sqref="N199:N200">
    <cfRule type="expression" dxfId="7437" priority="1091">
      <formula>N199&gt;P199+#REF!</formula>
    </cfRule>
    <cfRule type="expression" dxfId="7436" priority="1092">
      <formula>N199&lt;P199-#REF!</formula>
    </cfRule>
  </conditionalFormatting>
  <conditionalFormatting sqref="N201">
    <cfRule type="expression" dxfId="7435" priority="1089">
      <formula>N201&gt;P201+#REF!</formula>
    </cfRule>
    <cfRule type="expression" dxfId="7434" priority="1090">
      <formula>N201&lt;P201-#REF!</formula>
    </cfRule>
  </conditionalFormatting>
  <conditionalFormatting sqref="N176">
    <cfRule type="expression" dxfId="7433" priority="1087">
      <formula>N176&lt;P176*#REF!</formula>
    </cfRule>
    <cfRule type="expression" dxfId="7432" priority="1088">
      <formula>N176&gt;P176*#REF!</formula>
    </cfRule>
  </conditionalFormatting>
  <conditionalFormatting sqref="N177">
    <cfRule type="expression" dxfId="7431" priority="1085">
      <formula>N177&lt;P177*#REF!</formula>
    </cfRule>
    <cfRule type="expression" dxfId="7430" priority="1086">
      <formula>N177&gt;P177*#REF!</formula>
    </cfRule>
  </conditionalFormatting>
  <conditionalFormatting sqref="N188">
    <cfRule type="expression" dxfId="7429" priority="1083">
      <formula>N188&lt;P188*#REF!</formula>
    </cfRule>
    <cfRule type="expression" dxfId="7428" priority="1084">
      <formula>N188&gt;P188*#REF!</formula>
    </cfRule>
  </conditionalFormatting>
  <conditionalFormatting sqref="N178">
    <cfRule type="expression" dxfId="7427" priority="1081">
      <formula>N178&gt;P178+#REF!</formula>
    </cfRule>
    <cfRule type="expression" dxfId="7426" priority="1082">
      <formula>N178&lt;P178-#REF!</formula>
    </cfRule>
  </conditionalFormatting>
  <conditionalFormatting sqref="N179">
    <cfRule type="expression" dxfId="7425" priority="1079">
      <formula>N179&gt;P179+#REF!</formula>
    </cfRule>
    <cfRule type="expression" dxfId="7424" priority="1080">
      <formula>N179&lt;P179-#REF!</formula>
    </cfRule>
  </conditionalFormatting>
  <conditionalFormatting sqref="N180">
    <cfRule type="expression" dxfId="7423" priority="1077">
      <formula>N180&gt;P180+#REF!</formula>
    </cfRule>
    <cfRule type="expression" dxfId="7422" priority="1078">
      <formula>N180&lt;P180-#REF!</formula>
    </cfRule>
  </conditionalFormatting>
  <conditionalFormatting sqref="N181">
    <cfRule type="expression" dxfId="7421" priority="1075">
      <formula>N181&gt;P181+#REF!</formula>
    </cfRule>
    <cfRule type="expression" dxfId="7420" priority="1076">
      <formula>N181&lt;P181-#REF!</formula>
    </cfRule>
  </conditionalFormatting>
  <conditionalFormatting sqref="N182">
    <cfRule type="expression" dxfId="7419" priority="1073">
      <formula>N182&gt;P182+#REF!</formula>
    </cfRule>
    <cfRule type="expression" dxfId="7418" priority="1074">
      <formula>N182&lt;P182-#REF!</formula>
    </cfRule>
  </conditionalFormatting>
  <conditionalFormatting sqref="N183">
    <cfRule type="expression" dxfId="7417" priority="1071">
      <formula>N183&gt;P183+#REF!</formula>
    </cfRule>
    <cfRule type="expression" dxfId="7416" priority="1072">
      <formula>N183&lt;P183-#REF!</formula>
    </cfRule>
  </conditionalFormatting>
  <conditionalFormatting sqref="N184">
    <cfRule type="expression" dxfId="7415" priority="1069">
      <formula>N184&gt;P184+#REF!</formula>
    </cfRule>
    <cfRule type="expression" dxfId="7414" priority="1070">
      <formula>N184&lt;P184-#REF!</formula>
    </cfRule>
  </conditionalFormatting>
  <conditionalFormatting sqref="N185:N186">
    <cfRule type="expression" dxfId="7413" priority="1067">
      <formula>N185&gt;P185+#REF!</formula>
    </cfRule>
    <cfRule type="expression" dxfId="7412" priority="1068">
      <formula>N185&lt;P185-#REF!</formula>
    </cfRule>
  </conditionalFormatting>
  <conditionalFormatting sqref="N187">
    <cfRule type="expression" dxfId="7411" priority="1065">
      <formula>N187&gt;P187+#REF!</formula>
    </cfRule>
    <cfRule type="expression" dxfId="7410" priority="1066">
      <formula>N187&lt;P187-#REF!</formula>
    </cfRule>
  </conditionalFormatting>
  <conditionalFormatting sqref="N204">
    <cfRule type="expression" dxfId="7409" priority="1063">
      <formula>N204&lt;P204*#REF!</formula>
    </cfRule>
    <cfRule type="expression" dxfId="7408" priority="1064">
      <formula>N204&gt;P204*#REF!</formula>
    </cfRule>
  </conditionalFormatting>
  <conditionalFormatting sqref="N205">
    <cfRule type="expression" dxfId="7407" priority="1061">
      <formula>N205&lt;P205*#REF!</formula>
    </cfRule>
    <cfRule type="expression" dxfId="7406" priority="1062">
      <formula>N205&gt;P205*#REF!</formula>
    </cfRule>
  </conditionalFormatting>
  <conditionalFormatting sqref="N216">
    <cfRule type="expression" dxfId="7405" priority="1059">
      <formula>N216&lt;P216*#REF!</formula>
    </cfRule>
    <cfRule type="expression" dxfId="7404" priority="1060">
      <formula>N216&gt;P216*#REF!</formula>
    </cfRule>
  </conditionalFormatting>
  <conditionalFormatting sqref="N206">
    <cfRule type="expression" dxfId="7403" priority="1057">
      <formula>N206&gt;P206+#REF!</formula>
    </cfRule>
    <cfRule type="expression" dxfId="7402" priority="1058">
      <formula>N206&lt;P206-#REF!</formula>
    </cfRule>
  </conditionalFormatting>
  <conditionalFormatting sqref="N207">
    <cfRule type="expression" dxfId="7401" priority="1055">
      <formula>N207&gt;P207+#REF!</formula>
    </cfRule>
    <cfRule type="expression" dxfId="7400" priority="1056">
      <formula>N207&lt;P207-#REF!</formula>
    </cfRule>
  </conditionalFormatting>
  <conditionalFormatting sqref="N208">
    <cfRule type="expression" dxfId="7399" priority="1053">
      <formula>N208&gt;P208+#REF!</formula>
    </cfRule>
    <cfRule type="expression" dxfId="7398" priority="1054">
      <formula>N208&lt;P208-#REF!</formula>
    </cfRule>
  </conditionalFormatting>
  <conditionalFormatting sqref="N209">
    <cfRule type="expression" dxfId="7397" priority="1051">
      <formula>N209&gt;P209+#REF!</formula>
    </cfRule>
    <cfRule type="expression" dxfId="7396" priority="1052">
      <formula>N209&lt;P209-#REF!</formula>
    </cfRule>
  </conditionalFormatting>
  <conditionalFormatting sqref="N210">
    <cfRule type="expression" dxfId="7395" priority="1049">
      <formula>N210&gt;P210+#REF!</formula>
    </cfRule>
    <cfRule type="expression" dxfId="7394" priority="1050">
      <formula>N210&lt;P210-#REF!</formula>
    </cfRule>
  </conditionalFormatting>
  <conditionalFormatting sqref="N211">
    <cfRule type="expression" dxfId="7393" priority="1047">
      <formula>N211&gt;P211+#REF!</formula>
    </cfRule>
    <cfRule type="expression" dxfId="7392" priority="1048">
      <formula>N211&lt;P211-#REF!</formula>
    </cfRule>
  </conditionalFormatting>
  <conditionalFormatting sqref="N212">
    <cfRule type="expression" dxfId="7391" priority="1045">
      <formula>N212&gt;P212+#REF!</formula>
    </cfRule>
    <cfRule type="expression" dxfId="7390" priority="1046">
      <formula>N212&lt;P212-#REF!</formula>
    </cfRule>
  </conditionalFormatting>
  <conditionalFormatting sqref="N213:N214">
    <cfRule type="expression" dxfId="7389" priority="1043">
      <formula>N213&gt;P213+#REF!</formula>
    </cfRule>
    <cfRule type="expression" dxfId="7388" priority="1044">
      <formula>N213&lt;P213-#REF!</formula>
    </cfRule>
  </conditionalFormatting>
  <conditionalFormatting sqref="N215">
    <cfRule type="expression" dxfId="7387" priority="1041">
      <formula>N215&gt;P215+#REF!</formula>
    </cfRule>
    <cfRule type="expression" dxfId="7386" priority="1042">
      <formula>N215&lt;P215-#REF!</formula>
    </cfRule>
  </conditionalFormatting>
  <conditionalFormatting sqref="N272">
    <cfRule type="expression" dxfId="7385" priority="1035">
      <formula>N272&lt;P272*#REF!</formula>
    </cfRule>
    <cfRule type="expression" dxfId="7384" priority="1036">
      <formula>N272&gt;P272*#REF!</formula>
    </cfRule>
  </conditionalFormatting>
  <conditionalFormatting sqref="N260">
    <cfRule type="expression" dxfId="7383" priority="1039">
      <formula>N260&lt;P260*#REF!</formula>
    </cfRule>
    <cfRule type="expression" dxfId="7382" priority="1040">
      <formula>N260&gt;P260*#REF!</formula>
    </cfRule>
  </conditionalFormatting>
  <conditionalFormatting sqref="N261">
    <cfRule type="expression" dxfId="7381" priority="1037">
      <formula>N261&lt;P261*#REF!</formula>
    </cfRule>
    <cfRule type="expression" dxfId="7380" priority="1038">
      <formula>N261&gt;P261*#REF!</formula>
    </cfRule>
  </conditionalFormatting>
  <conditionalFormatting sqref="N262">
    <cfRule type="expression" dxfId="7379" priority="1033">
      <formula>N262&gt;P262+#REF!</formula>
    </cfRule>
    <cfRule type="expression" dxfId="7378" priority="1034">
      <formula>N262&lt;P262-#REF!</formula>
    </cfRule>
  </conditionalFormatting>
  <conditionalFormatting sqref="N263">
    <cfRule type="expression" dxfId="7377" priority="1031">
      <formula>N263&gt;P263+#REF!</formula>
    </cfRule>
    <cfRule type="expression" dxfId="7376" priority="1032">
      <formula>N263&lt;P263-#REF!</formula>
    </cfRule>
  </conditionalFormatting>
  <conditionalFormatting sqref="N264">
    <cfRule type="expression" dxfId="7375" priority="1029">
      <formula>N264&gt;P264+#REF!</formula>
    </cfRule>
    <cfRule type="expression" dxfId="7374" priority="1030">
      <formula>N264&lt;P264-#REF!</formula>
    </cfRule>
  </conditionalFormatting>
  <conditionalFormatting sqref="N265">
    <cfRule type="expression" dxfId="7373" priority="1027">
      <formula>N265&gt;P265+#REF!</formula>
    </cfRule>
    <cfRule type="expression" dxfId="7372" priority="1028">
      <formula>N265&lt;P265-#REF!</formula>
    </cfRule>
  </conditionalFormatting>
  <conditionalFormatting sqref="N266">
    <cfRule type="expression" dxfId="7371" priority="1025">
      <formula>N266&gt;P266+#REF!</formula>
    </cfRule>
    <cfRule type="expression" dxfId="7370" priority="1026">
      <formula>N266&lt;P266-#REF!</formula>
    </cfRule>
  </conditionalFormatting>
  <conditionalFormatting sqref="N267">
    <cfRule type="expression" dxfId="7369" priority="1023">
      <formula>N267&gt;P267+#REF!</formula>
    </cfRule>
    <cfRule type="expression" dxfId="7368" priority="1024">
      <formula>N267&lt;P267-#REF!</formula>
    </cfRule>
  </conditionalFormatting>
  <conditionalFormatting sqref="N268">
    <cfRule type="expression" dxfId="7367" priority="1021">
      <formula>N268&gt;P268+#REF!</formula>
    </cfRule>
    <cfRule type="expression" dxfId="7366" priority="1022">
      <formula>N268&lt;P268-#REF!</formula>
    </cfRule>
  </conditionalFormatting>
  <conditionalFormatting sqref="N269:N270">
    <cfRule type="expression" dxfId="7365" priority="1019">
      <formula>N269&gt;P269+#REF!</formula>
    </cfRule>
    <cfRule type="expression" dxfId="7364" priority="1020">
      <formula>N269&lt;P269-#REF!</formula>
    </cfRule>
  </conditionalFormatting>
  <conditionalFormatting sqref="N271">
    <cfRule type="expression" dxfId="7363" priority="1017">
      <formula>N271&gt;P271+#REF!</formula>
    </cfRule>
    <cfRule type="expression" dxfId="7362" priority="1018">
      <formula>N271&lt;P271-#REF!</formula>
    </cfRule>
  </conditionalFormatting>
  <conditionalFormatting sqref="J260">
    <cfRule type="expression" dxfId="7361" priority="229">
      <formula>J260&lt;L260*#REF!</formula>
    </cfRule>
    <cfRule type="expression" dxfId="7360" priority="230">
      <formula>J260&gt;L260*#REF!</formula>
    </cfRule>
  </conditionalFormatting>
  <conditionalFormatting sqref="J261">
    <cfRule type="expression" dxfId="7359" priority="227">
      <formula>J261&lt;L261*#REF!</formula>
    </cfRule>
    <cfRule type="expression" dxfId="7358" priority="228">
      <formula>J261&gt;L261*#REF!</formula>
    </cfRule>
  </conditionalFormatting>
  <conditionalFormatting sqref="J272">
    <cfRule type="expression" dxfId="7357" priority="225">
      <formula>J272&lt;L272*#REF!</formula>
    </cfRule>
    <cfRule type="expression" dxfId="7356" priority="226">
      <formula>J272&gt;L272*#REF!</formula>
    </cfRule>
  </conditionalFormatting>
  <conditionalFormatting sqref="J262">
    <cfRule type="expression" dxfId="7355" priority="223">
      <formula>J262&gt;L262+#REF!</formula>
    </cfRule>
    <cfRule type="expression" dxfId="7354" priority="224">
      <formula>J262&lt;L262-#REF!</formula>
    </cfRule>
  </conditionalFormatting>
  <conditionalFormatting sqref="J263">
    <cfRule type="expression" dxfId="7353" priority="221">
      <formula>J263&gt;L263+#REF!</formula>
    </cfRule>
    <cfRule type="expression" dxfId="7352" priority="222">
      <formula>J263&lt;L263-#REF!</formula>
    </cfRule>
  </conditionalFormatting>
  <conditionalFormatting sqref="J264">
    <cfRule type="expression" dxfId="7351" priority="219">
      <formula>J264&gt;L264+#REF!</formula>
    </cfRule>
    <cfRule type="expression" dxfId="7350" priority="220">
      <formula>J264&lt;L264-#REF!</formula>
    </cfRule>
  </conditionalFormatting>
  <conditionalFormatting sqref="J265">
    <cfRule type="expression" dxfId="7349" priority="217">
      <formula>J265&gt;L265+#REF!</formula>
    </cfRule>
    <cfRule type="expression" dxfId="7348" priority="218">
      <formula>J265&lt;L265-#REF!</formula>
    </cfRule>
  </conditionalFormatting>
  <conditionalFormatting sqref="J266">
    <cfRule type="expression" dxfId="7347" priority="215">
      <formula>J266&gt;L266+#REF!</formula>
    </cfRule>
    <cfRule type="expression" dxfId="7346" priority="216">
      <formula>J266&lt;L266-#REF!</formula>
    </cfRule>
  </conditionalFormatting>
  <conditionalFormatting sqref="J267">
    <cfRule type="expression" dxfId="7345" priority="213">
      <formula>J267&gt;L267+#REF!</formula>
    </cfRule>
    <cfRule type="expression" dxfId="7344" priority="214">
      <formula>J267&lt;L267-#REF!</formula>
    </cfRule>
  </conditionalFormatting>
  <conditionalFormatting sqref="J268">
    <cfRule type="expression" dxfId="7343" priority="211">
      <formula>J268&gt;L268+#REF!</formula>
    </cfRule>
    <cfRule type="expression" dxfId="7342" priority="212">
      <formula>J268&lt;L268-#REF!</formula>
    </cfRule>
  </conditionalFormatting>
  <conditionalFormatting sqref="J269:J270">
    <cfRule type="expression" dxfId="7341" priority="209">
      <formula>J269&gt;L269+#REF!</formula>
    </cfRule>
    <cfRule type="expression" dxfId="7340" priority="210">
      <formula>J269&lt;L269-#REF!</formula>
    </cfRule>
  </conditionalFormatting>
  <conditionalFormatting sqref="J271">
    <cfRule type="expression" dxfId="7339" priority="207">
      <formula>J271&gt;L271+#REF!</formula>
    </cfRule>
    <cfRule type="expression" dxfId="7338" priority="208">
      <formula>J271&lt;L271-#REF!</formula>
    </cfRule>
  </conditionalFormatting>
  <conditionalFormatting sqref="J8">
    <cfRule type="expression" dxfId="7337" priority="583">
      <formula>J8&lt;L8*#REF!</formula>
    </cfRule>
    <cfRule type="expression" dxfId="7336" priority="584">
      <formula>J8&gt;L8*#REF!</formula>
    </cfRule>
  </conditionalFormatting>
  <conditionalFormatting sqref="J9">
    <cfRule type="expression" dxfId="7335" priority="581">
      <formula>J9&lt;L9*#REF!</formula>
    </cfRule>
    <cfRule type="expression" dxfId="7334" priority="582">
      <formula>J9&gt;L9*#REF!</formula>
    </cfRule>
  </conditionalFormatting>
  <conditionalFormatting sqref="J20">
    <cfRule type="expression" dxfId="7333" priority="579">
      <formula>J20&lt;L20*#REF!</formula>
    </cfRule>
    <cfRule type="expression" dxfId="7332" priority="580">
      <formula>J20&gt;L20*#REF!</formula>
    </cfRule>
  </conditionalFormatting>
  <conditionalFormatting sqref="J10">
    <cfRule type="expression" dxfId="7331" priority="577">
      <formula>J10&gt;L10+#REF!</formula>
    </cfRule>
    <cfRule type="expression" dxfId="7330" priority="578">
      <formula>J10&lt;L10-#REF!</formula>
    </cfRule>
  </conditionalFormatting>
  <conditionalFormatting sqref="J11">
    <cfRule type="expression" dxfId="7329" priority="575">
      <formula>J11&gt;L11+#REF!</formula>
    </cfRule>
    <cfRule type="expression" dxfId="7328" priority="576">
      <formula>J11&lt;L11-#REF!</formula>
    </cfRule>
  </conditionalFormatting>
  <conditionalFormatting sqref="J12">
    <cfRule type="expression" dxfId="7327" priority="573">
      <formula>J12&gt;L12+#REF!</formula>
    </cfRule>
    <cfRule type="expression" dxfId="7326" priority="574">
      <formula>J12&lt;L12-#REF!</formula>
    </cfRule>
  </conditionalFormatting>
  <conditionalFormatting sqref="J13">
    <cfRule type="expression" dxfId="7325" priority="571">
      <formula>J13&gt;L13+#REF!</formula>
    </cfRule>
    <cfRule type="expression" dxfId="7324" priority="572">
      <formula>J13&lt;L13-#REF!</formula>
    </cfRule>
  </conditionalFormatting>
  <conditionalFormatting sqref="J14">
    <cfRule type="expression" dxfId="7323" priority="569">
      <formula>J14&gt;L14+#REF!</formula>
    </cfRule>
    <cfRule type="expression" dxfId="7322" priority="570">
      <formula>J14&lt;L14-#REF!</formula>
    </cfRule>
  </conditionalFormatting>
  <conditionalFormatting sqref="J15">
    <cfRule type="expression" dxfId="7321" priority="567">
      <formula>J15&gt;L15+#REF!</formula>
    </cfRule>
    <cfRule type="expression" dxfId="7320" priority="568">
      <formula>J15&lt;L15-#REF!</formula>
    </cfRule>
  </conditionalFormatting>
  <conditionalFormatting sqref="J16">
    <cfRule type="expression" dxfId="7319" priority="565">
      <formula>J16&gt;L16+#REF!</formula>
    </cfRule>
    <cfRule type="expression" dxfId="7318" priority="566">
      <formula>J16&lt;L16-#REF!</formula>
    </cfRule>
  </conditionalFormatting>
  <conditionalFormatting sqref="J17:J18">
    <cfRule type="expression" dxfId="7317" priority="563">
      <formula>J17&gt;L17+#REF!</formula>
    </cfRule>
    <cfRule type="expression" dxfId="7316" priority="564">
      <formula>J17&lt;L17-#REF!</formula>
    </cfRule>
  </conditionalFormatting>
  <conditionalFormatting sqref="J19">
    <cfRule type="expression" dxfId="7315" priority="561">
      <formula>J19&gt;L19+#REF!</formula>
    </cfRule>
    <cfRule type="expression" dxfId="7314" priority="562">
      <formula>J19&lt;L19-#REF!</formula>
    </cfRule>
  </conditionalFormatting>
  <conditionalFormatting sqref="F120">
    <cfRule type="expression" dxfId="7313" priority="799">
      <formula>F120&lt;H120*#REF!</formula>
    </cfRule>
    <cfRule type="expression" dxfId="7312" priority="800">
      <formula>F120&gt;H120*#REF!</formula>
    </cfRule>
  </conditionalFormatting>
  <conditionalFormatting sqref="F121">
    <cfRule type="expression" dxfId="7311" priority="797">
      <formula>F121&lt;H121*#REF!</formula>
    </cfRule>
    <cfRule type="expression" dxfId="7310" priority="798">
      <formula>F121&gt;H121*#REF!</formula>
    </cfRule>
  </conditionalFormatting>
  <conditionalFormatting sqref="F132">
    <cfRule type="expression" dxfId="7309" priority="795">
      <formula>F132&lt;H132*#REF!</formula>
    </cfRule>
    <cfRule type="expression" dxfId="7308" priority="796">
      <formula>F132&gt;H132*#REF!</formula>
    </cfRule>
  </conditionalFormatting>
  <conditionalFormatting sqref="F122">
    <cfRule type="expression" dxfId="7307" priority="793">
      <formula>F122&gt;H122+#REF!</formula>
    </cfRule>
    <cfRule type="expression" dxfId="7306" priority="794">
      <formula>F122&lt;H122-#REF!</formula>
    </cfRule>
  </conditionalFormatting>
  <conditionalFormatting sqref="F123">
    <cfRule type="expression" dxfId="7305" priority="791">
      <formula>F123&gt;H123+#REF!</formula>
    </cfRule>
    <cfRule type="expression" dxfId="7304" priority="792">
      <formula>F123&lt;H123-#REF!</formula>
    </cfRule>
  </conditionalFormatting>
  <conditionalFormatting sqref="F124">
    <cfRule type="expression" dxfId="7303" priority="789">
      <formula>F124&gt;H124+#REF!</formula>
    </cfRule>
    <cfRule type="expression" dxfId="7302" priority="790">
      <formula>F124&lt;H124-#REF!</formula>
    </cfRule>
  </conditionalFormatting>
  <conditionalFormatting sqref="F125">
    <cfRule type="expression" dxfId="7301" priority="787">
      <formula>F125&gt;H125+#REF!</formula>
    </cfRule>
    <cfRule type="expression" dxfId="7300" priority="788">
      <formula>F125&lt;H125-#REF!</formula>
    </cfRule>
  </conditionalFormatting>
  <conditionalFormatting sqref="F126">
    <cfRule type="expression" dxfId="7299" priority="785">
      <formula>F126&gt;H126+#REF!</formula>
    </cfRule>
    <cfRule type="expression" dxfId="7298" priority="786">
      <formula>F126&lt;H126-#REF!</formula>
    </cfRule>
  </conditionalFormatting>
  <conditionalFormatting sqref="F127">
    <cfRule type="expression" dxfId="7297" priority="783">
      <formula>F127&gt;H127+#REF!</formula>
    </cfRule>
    <cfRule type="expression" dxfId="7296" priority="784">
      <formula>F127&lt;H127-#REF!</formula>
    </cfRule>
  </conditionalFormatting>
  <conditionalFormatting sqref="F128">
    <cfRule type="expression" dxfId="7295" priority="781">
      <formula>F128&gt;H128+#REF!</formula>
    </cfRule>
    <cfRule type="expression" dxfId="7294" priority="782">
      <formula>F128&lt;H128-#REF!</formula>
    </cfRule>
  </conditionalFormatting>
  <conditionalFormatting sqref="F129:F130">
    <cfRule type="expression" dxfId="7293" priority="779">
      <formula>F129&gt;H129+#REF!</formula>
    </cfRule>
    <cfRule type="expression" dxfId="7292" priority="780">
      <formula>F129&lt;H129-#REF!</formula>
    </cfRule>
  </conditionalFormatting>
  <conditionalFormatting sqref="F131">
    <cfRule type="expression" dxfId="7291" priority="777">
      <formula>F131&gt;H131+#REF!</formula>
    </cfRule>
    <cfRule type="expression" dxfId="7290" priority="778">
      <formula>F131&lt;H131-#REF!</formula>
    </cfRule>
  </conditionalFormatting>
  <conditionalFormatting sqref="J134">
    <cfRule type="expression" dxfId="7289" priority="373">
      <formula>J134&lt;L134*#REF!</formula>
    </cfRule>
    <cfRule type="expression" dxfId="7288" priority="374">
      <formula>J134&gt;L134*#REF!</formula>
    </cfRule>
  </conditionalFormatting>
  <conditionalFormatting sqref="J135">
    <cfRule type="expression" dxfId="7287" priority="371">
      <formula>J135&lt;L135*#REF!</formula>
    </cfRule>
    <cfRule type="expression" dxfId="7286" priority="372">
      <formula>J135&gt;L135*#REF!</formula>
    </cfRule>
  </conditionalFormatting>
  <conditionalFormatting sqref="J136">
    <cfRule type="expression" dxfId="7285" priority="367">
      <formula>J136&gt;L136+#REF!</formula>
    </cfRule>
    <cfRule type="expression" dxfId="7284" priority="368">
      <formula>J136&lt;L136-#REF!</formula>
    </cfRule>
  </conditionalFormatting>
  <conditionalFormatting sqref="J137">
    <cfRule type="expression" dxfId="7283" priority="365">
      <formula>J137&gt;L137+#REF!</formula>
    </cfRule>
    <cfRule type="expression" dxfId="7282" priority="366">
      <formula>J137&lt;L137-#REF!</formula>
    </cfRule>
  </conditionalFormatting>
  <conditionalFormatting sqref="J138">
    <cfRule type="expression" dxfId="7281" priority="363">
      <formula>J138&gt;L138+#REF!</formula>
    </cfRule>
    <cfRule type="expression" dxfId="7280" priority="364">
      <formula>J138&lt;L138-#REF!</formula>
    </cfRule>
  </conditionalFormatting>
  <conditionalFormatting sqref="J139">
    <cfRule type="expression" dxfId="7279" priority="361">
      <formula>J139&gt;L139+#REF!</formula>
    </cfRule>
    <cfRule type="expression" dxfId="7278" priority="362">
      <formula>J139&lt;L139-#REF!</formula>
    </cfRule>
  </conditionalFormatting>
  <conditionalFormatting sqref="J140">
    <cfRule type="expression" dxfId="7277" priority="359">
      <formula>J140&gt;L140+#REF!</formula>
    </cfRule>
    <cfRule type="expression" dxfId="7276" priority="360">
      <formula>J140&lt;L140-#REF!</formula>
    </cfRule>
  </conditionalFormatting>
  <conditionalFormatting sqref="J141">
    <cfRule type="expression" dxfId="7275" priority="357">
      <formula>J141&gt;L141+#REF!</formula>
    </cfRule>
    <cfRule type="expression" dxfId="7274" priority="358">
      <formula>J141&lt;L141-#REF!</formula>
    </cfRule>
  </conditionalFormatting>
  <conditionalFormatting sqref="J142">
    <cfRule type="expression" dxfId="7273" priority="355">
      <formula>J142&gt;L142+#REF!</formula>
    </cfRule>
    <cfRule type="expression" dxfId="7272" priority="356">
      <formula>J142&lt;L142-#REF!</formula>
    </cfRule>
  </conditionalFormatting>
  <conditionalFormatting sqref="J143:J144">
    <cfRule type="expression" dxfId="7271" priority="353">
      <formula>J143&gt;L143+#REF!</formula>
    </cfRule>
    <cfRule type="expression" dxfId="7270" priority="354">
      <formula>J143&lt;L143-#REF!</formula>
    </cfRule>
  </conditionalFormatting>
  <conditionalFormatting sqref="J145">
    <cfRule type="expression" dxfId="7269" priority="351">
      <formula>J145&gt;L145+#REF!</formula>
    </cfRule>
    <cfRule type="expression" dxfId="7268" priority="352">
      <formula>J145&lt;L145-#REF!</formula>
    </cfRule>
  </conditionalFormatting>
  <conditionalFormatting sqref="J92">
    <cfRule type="expression" dxfId="7267" priority="439">
      <formula>J92&lt;L92*#REF!</formula>
    </cfRule>
    <cfRule type="expression" dxfId="7266" priority="440">
      <formula>J92&gt;L92*#REF!</formula>
    </cfRule>
  </conditionalFormatting>
  <conditionalFormatting sqref="J93">
    <cfRule type="expression" dxfId="7265" priority="437">
      <formula>J93&lt;L93*#REF!</formula>
    </cfRule>
    <cfRule type="expression" dxfId="7264" priority="438">
      <formula>J93&gt;L93*#REF!</formula>
    </cfRule>
  </conditionalFormatting>
  <conditionalFormatting sqref="J104">
    <cfRule type="expression" dxfId="7263" priority="435">
      <formula>J104&lt;L104*#REF!</formula>
    </cfRule>
    <cfRule type="expression" dxfId="7262" priority="436">
      <formula>J104&gt;L104*#REF!</formula>
    </cfRule>
  </conditionalFormatting>
  <conditionalFormatting sqref="J94">
    <cfRule type="expression" dxfId="7261" priority="433">
      <formula>J94&gt;L94+#REF!</formula>
    </cfRule>
    <cfRule type="expression" dxfId="7260" priority="434">
      <formula>J94&lt;L94-#REF!</formula>
    </cfRule>
  </conditionalFormatting>
  <conditionalFormatting sqref="J95">
    <cfRule type="expression" dxfId="7259" priority="431">
      <formula>J95&gt;L95+#REF!</formula>
    </cfRule>
    <cfRule type="expression" dxfId="7258" priority="432">
      <formula>J95&lt;L95-#REF!</formula>
    </cfRule>
  </conditionalFormatting>
  <conditionalFormatting sqref="J96">
    <cfRule type="expression" dxfId="7257" priority="429">
      <formula>J96&gt;L96+#REF!</formula>
    </cfRule>
    <cfRule type="expression" dxfId="7256" priority="430">
      <formula>J96&lt;L96-#REF!</formula>
    </cfRule>
  </conditionalFormatting>
  <conditionalFormatting sqref="J97">
    <cfRule type="expression" dxfId="7255" priority="427">
      <formula>J97&gt;L97+#REF!</formula>
    </cfRule>
    <cfRule type="expression" dxfId="7254" priority="428">
      <formula>J97&lt;L97-#REF!</formula>
    </cfRule>
  </conditionalFormatting>
  <conditionalFormatting sqref="J98">
    <cfRule type="expression" dxfId="7253" priority="425">
      <formula>J98&gt;L98+#REF!</formula>
    </cfRule>
    <cfRule type="expression" dxfId="7252" priority="426">
      <formula>J98&lt;L98-#REF!</formula>
    </cfRule>
  </conditionalFormatting>
  <conditionalFormatting sqref="J99">
    <cfRule type="expression" dxfId="7251" priority="423">
      <formula>J99&gt;L99+#REF!</formula>
    </cfRule>
    <cfRule type="expression" dxfId="7250" priority="424">
      <formula>J99&lt;L99-#REF!</formula>
    </cfRule>
  </conditionalFormatting>
  <conditionalFormatting sqref="J100">
    <cfRule type="expression" dxfId="7249" priority="421">
      <formula>J100&gt;L100+#REF!</formula>
    </cfRule>
    <cfRule type="expression" dxfId="7248" priority="422">
      <formula>J100&lt;L100-#REF!</formula>
    </cfRule>
  </conditionalFormatting>
  <conditionalFormatting sqref="J101:J102">
    <cfRule type="expression" dxfId="7247" priority="419">
      <formula>J101&gt;L101+#REF!</formula>
    </cfRule>
    <cfRule type="expression" dxfId="7246" priority="420">
      <formula>J101&lt;L101-#REF!</formula>
    </cfRule>
  </conditionalFormatting>
  <conditionalFormatting sqref="J103">
    <cfRule type="expression" dxfId="7245" priority="417">
      <formula>J103&gt;L103+#REF!</formula>
    </cfRule>
    <cfRule type="expression" dxfId="7244" priority="418">
      <formula>J103&lt;L103-#REF!</formula>
    </cfRule>
  </conditionalFormatting>
  <conditionalFormatting sqref="J160">
    <cfRule type="expression" dxfId="7243" priority="345">
      <formula>J160&lt;L160*#REF!</formula>
    </cfRule>
    <cfRule type="expression" dxfId="7242" priority="346">
      <formula>J160&gt;L160*#REF!</formula>
    </cfRule>
  </conditionalFormatting>
  <conditionalFormatting sqref="N218">
    <cfRule type="expression" dxfId="7241" priority="1015">
      <formula>N218&lt;P218*#REF!</formula>
    </cfRule>
    <cfRule type="expression" dxfId="7240" priority="1016">
      <formula>N218&gt;P218*#REF!</formula>
    </cfRule>
  </conditionalFormatting>
  <conditionalFormatting sqref="N219">
    <cfRule type="expression" dxfId="7239" priority="1013">
      <formula>N219&lt;P219*#REF!</formula>
    </cfRule>
    <cfRule type="expression" dxfId="7238" priority="1014">
      <formula>N219&gt;P219*#REF!</formula>
    </cfRule>
  </conditionalFormatting>
  <conditionalFormatting sqref="N230">
    <cfRule type="expression" dxfId="7237" priority="1011">
      <formula>N230&lt;P230*#REF!</formula>
    </cfRule>
    <cfRule type="expression" dxfId="7236" priority="1012">
      <formula>N230&gt;P230*#REF!</formula>
    </cfRule>
  </conditionalFormatting>
  <conditionalFormatting sqref="N220">
    <cfRule type="expression" dxfId="7235" priority="1009">
      <formula>N220&gt;P220+#REF!</formula>
    </cfRule>
    <cfRule type="expression" dxfId="7234" priority="1010">
      <formula>N220&lt;P220-#REF!</formula>
    </cfRule>
  </conditionalFormatting>
  <conditionalFormatting sqref="N221">
    <cfRule type="expression" dxfId="7233" priority="1007">
      <formula>N221&gt;P221+#REF!</formula>
    </cfRule>
    <cfRule type="expression" dxfId="7232" priority="1008">
      <formula>N221&lt;P221-#REF!</formula>
    </cfRule>
  </conditionalFormatting>
  <conditionalFormatting sqref="N222">
    <cfRule type="expression" dxfId="7231" priority="1005">
      <formula>N222&gt;P222+#REF!</formula>
    </cfRule>
    <cfRule type="expression" dxfId="7230" priority="1006">
      <formula>N222&lt;P222-#REF!</formula>
    </cfRule>
  </conditionalFormatting>
  <conditionalFormatting sqref="N223">
    <cfRule type="expression" dxfId="7229" priority="1003">
      <formula>N223&gt;P223+#REF!</formula>
    </cfRule>
    <cfRule type="expression" dxfId="7228" priority="1004">
      <formula>N223&lt;P223-#REF!</formula>
    </cfRule>
  </conditionalFormatting>
  <conditionalFormatting sqref="N224">
    <cfRule type="expression" dxfId="7227" priority="1001">
      <formula>N224&gt;P224+#REF!</formula>
    </cfRule>
    <cfRule type="expression" dxfId="7226" priority="1002">
      <formula>N224&lt;P224-#REF!</formula>
    </cfRule>
  </conditionalFormatting>
  <conditionalFormatting sqref="N225">
    <cfRule type="expression" dxfId="7225" priority="999">
      <formula>N225&gt;P225+#REF!</formula>
    </cfRule>
    <cfRule type="expression" dxfId="7224" priority="1000">
      <formula>N225&lt;P225-#REF!</formula>
    </cfRule>
  </conditionalFormatting>
  <conditionalFormatting sqref="N226">
    <cfRule type="expression" dxfId="7223" priority="997">
      <formula>N226&gt;P226+#REF!</formula>
    </cfRule>
    <cfRule type="expression" dxfId="7222" priority="998">
      <formula>N226&lt;P226-#REF!</formula>
    </cfRule>
  </conditionalFormatting>
  <conditionalFormatting sqref="N227:N228">
    <cfRule type="expression" dxfId="7221" priority="995">
      <formula>N227&gt;P227+#REF!</formula>
    </cfRule>
    <cfRule type="expression" dxfId="7220" priority="996">
      <formula>N227&lt;P227-#REF!</formula>
    </cfRule>
  </conditionalFormatting>
  <conditionalFormatting sqref="N229">
    <cfRule type="expression" dxfId="7219" priority="993">
      <formula>N229&gt;P229+#REF!</formula>
    </cfRule>
    <cfRule type="expression" dxfId="7218" priority="994">
      <formula>N229&lt;P229-#REF!</formula>
    </cfRule>
  </conditionalFormatting>
  <conditionalFormatting sqref="J146">
    <cfRule type="expression" dxfId="7217" priority="369">
      <formula>J146&lt;L146*#REF!</formula>
    </cfRule>
    <cfRule type="expression" dxfId="7216" priority="370">
      <formula>J146&gt;L146*#REF!</formula>
    </cfRule>
  </conditionalFormatting>
  <conditionalFormatting sqref="F134">
    <cfRule type="expression" dxfId="7215" priority="775">
      <formula>F134&lt;H134*#REF!</formula>
    </cfRule>
    <cfRule type="expression" dxfId="7214" priority="776">
      <formula>F134&gt;H134*#REF!</formula>
    </cfRule>
  </conditionalFormatting>
  <conditionalFormatting sqref="F135">
    <cfRule type="expression" dxfId="7213" priority="773">
      <formula>F135&lt;H135*#REF!</formula>
    </cfRule>
    <cfRule type="expression" dxfId="7212" priority="774">
      <formula>F135&gt;H135*#REF!</formula>
    </cfRule>
  </conditionalFormatting>
  <conditionalFormatting sqref="F146">
    <cfRule type="expression" dxfId="7211" priority="771">
      <formula>F146&lt;H146*#REF!</formula>
    </cfRule>
    <cfRule type="expression" dxfId="7210" priority="772">
      <formula>F146&gt;H146*#REF!</formula>
    </cfRule>
  </conditionalFormatting>
  <conditionalFormatting sqref="F136">
    <cfRule type="expression" dxfId="7209" priority="769">
      <formula>F136&gt;H136+#REF!</formula>
    </cfRule>
    <cfRule type="expression" dxfId="7208" priority="770">
      <formula>F136&lt;H136-#REF!</formula>
    </cfRule>
  </conditionalFormatting>
  <conditionalFormatting sqref="F137">
    <cfRule type="expression" dxfId="7207" priority="767">
      <formula>F137&gt;H137+#REF!</formula>
    </cfRule>
    <cfRule type="expression" dxfId="7206" priority="768">
      <formula>F137&lt;H137-#REF!</formula>
    </cfRule>
  </conditionalFormatting>
  <conditionalFormatting sqref="F138">
    <cfRule type="expression" dxfId="7205" priority="765">
      <formula>F138&gt;H138+#REF!</formula>
    </cfRule>
    <cfRule type="expression" dxfId="7204" priority="766">
      <formula>F138&lt;H138-#REF!</formula>
    </cfRule>
  </conditionalFormatting>
  <conditionalFormatting sqref="F139">
    <cfRule type="expression" dxfId="7203" priority="763">
      <formula>F139&gt;H139+#REF!</formula>
    </cfRule>
    <cfRule type="expression" dxfId="7202" priority="764">
      <formula>F139&lt;H139-#REF!</formula>
    </cfRule>
  </conditionalFormatting>
  <conditionalFormatting sqref="F140">
    <cfRule type="expression" dxfId="7201" priority="761">
      <formula>F140&gt;H140+#REF!</formula>
    </cfRule>
    <cfRule type="expression" dxfId="7200" priority="762">
      <formula>F140&lt;H140-#REF!</formula>
    </cfRule>
  </conditionalFormatting>
  <conditionalFormatting sqref="F141">
    <cfRule type="expression" dxfId="7199" priority="759">
      <formula>F141&gt;H141+#REF!</formula>
    </cfRule>
    <cfRule type="expression" dxfId="7198" priority="760">
      <formula>F141&lt;H141-#REF!</formula>
    </cfRule>
  </conditionalFormatting>
  <conditionalFormatting sqref="F142">
    <cfRule type="expression" dxfId="7197" priority="757">
      <formula>F142&gt;H142+#REF!</formula>
    </cfRule>
    <cfRule type="expression" dxfId="7196" priority="758">
      <formula>F142&lt;H142-#REF!</formula>
    </cfRule>
  </conditionalFormatting>
  <conditionalFormatting sqref="F143:F144">
    <cfRule type="expression" dxfId="7195" priority="755">
      <formula>F143&gt;H143+#REF!</formula>
    </cfRule>
    <cfRule type="expression" dxfId="7194" priority="756">
      <formula>F143&lt;H143-#REF!</formula>
    </cfRule>
  </conditionalFormatting>
  <conditionalFormatting sqref="F145">
    <cfRule type="expression" dxfId="7193" priority="753">
      <formula>F145&gt;H145+#REF!</formula>
    </cfRule>
    <cfRule type="expression" dxfId="7192" priority="754">
      <formula>F145&lt;H145-#REF!</formula>
    </cfRule>
  </conditionalFormatting>
  <conditionalFormatting sqref="J204">
    <cfRule type="expression" dxfId="7191" priority="253">
      <formula>J204&lt;L204*#REF!</formula>
    </cfRule>
    <cfRule type="expression" dxfId="7190" priority="254">
      <formula>J204&gt;L204*#REF!</formula>
    </cfRule>
  </conditionalFormatting>
  <conditionalFormatting sqref="J205">
    <cfRule type="expression" dxfId="7189" priority="251">
      <formula>J205&lt;L205*#REF!</formula>
    </cfRule>
    <cfRule type="expression" dxfId="7188" priority="252">
      <formula>J205&gt;L205*#REF!</formula>
    </cfRule>
  </conditionalFormatting>
  <conditionalFormatting sqref="J206">
    <cfRule type="expression" dxfId="7187" priority="247">
      <formula>J206&gt;L206+#REF!</formula>
    </cfRule>
    <cfRule type="expression" dxfId="7186" priority="248">
      <formula>J206&lt;L206-#REF!</formula>
    </cfRule>
  </conditionalFormatting>
  <conditionalFormatting sqref="J207">
    <cfRule type="expression" dxfId="7185" priority="245">
      <formula>J207&gt;L207+#REF!</formula>
    </cfRule>
    <cfRule type="expression" dxfId="7184" priority="246">
      <formula>J207&lt;L207-#REF!</formula>
    </cfRule>
  </conditionalFormatting>
  <conditionalFormatting sqref="J208">
    <cfRule type="expression" dxfId="7183" priority="243">
      <formula>J208&gt;L208+#REF!</formula>
    </cfRule>
    <cfRule type="expression" dxfId="7182" priority="244">
      <formula>J208&lt;L208-#REF!</formula>
    </cfRule>
  </conditionalFormatting>
  <conditionalFormatting sqref="J209">
    <cfRule type="expression" dxfId="7181" priority="241">
      <formula>J209&gt;L209+#REF!</formula>
    </cfRule>
    <cfRule type="expression" dxfId="7180" priority="242">
      <formula>J209&lt;L209-#REF!</formula>
    </cfRule>
  </conditionalFormatting>
  <conditionalFormatting sqref="J210">
    <cfRule type="expression" dxfId="7179" priority="239">
      <formula>J210&gt;L210+#REF!</formula>
    </cfRule>
    <cfRule type="expression" dxfId="7178" priority="240">
      <formula>J210&lt;L210-#REF!</formula>
    </cfRule>
  </conditionalFormatting>
  <conditionalFormatting sqref="J211">
    <cfRule type="expression" dxfId="7177" priority="237">
      <formula>J211&gt;L211+#REF!</formula>
    </cfRule>
    <cfRule type="expression" dxfId="7176" priority="238">
      <formula>J211&lt;L211-#REF!</formula>
    </cfRule>
  </conditionalFormatting>
  <conditionalFormatting sqref="J212">
    <cfRule type="expression" dxfId="7175" priority="235">
      <formula>J212&gt;L212+#REF!</formula>
    </cfRule>
    <cfRule type="expression" dxfId="7174" priority="236">
      <formula>J212&lt;L212-#REF!</formula>
    </cfRule>
  </conditionalFormatting>
  <conditionalFormatting sqref="J213:J214">
    <cfRule type="expression" dxfId="7173" priority="233">
      <formula>J213&gt;L213+#REF!</formula>
    </cfRule>
    <cfRule type="expression" dxfId="7172" priority="234">
      <formula>J213&lt;L213-#REF!</formula>
    </cfRule>
  </conditionalFormatting>
  <conditionalFormatting sqref="J215">
    <cfRule type="expression" dxfId="7171" priority="231">
      <formula>J215&gt;L215+#REF!</formula>
    </cfRule>
    <cfRule type="expression" dxfId="7170" priority="232">
      <formula>J215&lt;L215-#REF!</formula>
    </cfRule>
  </conditionalFormatting>
  <conditionalFormatting sqref="J48">
    <cfRule type="expression" dxfId="7169" priority="531">
      <formula>J48&lt;L48*#REF!</formula>
    </cfRule>
    <cfRule type="expression" dxfId="7168" priority="532">
      <formula>J48&gt;L48*#REF!</formula>
    </cfRule>
  </conditionalFormatting>
  <conditionalFormatting sqref="J62">
    <cfRule type="expression" dxfId="7167" priority="507">
      <formula>J62&lt;L62*#REF!</formula>
    </cfRule>
    <cfRule type="expression" dxfId="7166" priority="508">
      <formula>J62&gt;L62*#REF!</formula>
    </cfRule>
  </conditionalFormatting>
  <conditionalFormatting sqref="J76">
    <cfRule type="expression" dxfId="7165" priority="483">
      <formula>J76&lt;L76*#REF!</formula>
    </cfRule>
    <cfRule type="expression" dxfId="7164" priority="484">
      <formula>J76&gt;L76*#REF!</formula>
    </cfRule>
  </conditionalFormatting>
  <conditionalFormatting sqref="J90">
    <cfRule type="expression" dxfId="7163" priority="459">
      <formula>J90&lt;L90*#REF!</formula>
    </cfRule>
    <cfRule type="expression" dxfId="7162" priority="460">
      <formula>J90&gt;L90*#REF!</formula>
    </cfRule>
  </conditionalFormatting>
  <conditionalFormatting sqref="J118">
    <cfRule type="expression" dxfId="7161" priority="411">
      <formula>J118&lt;L118*#REF!</formula>
    </cfRule>
    <cfRule type="expression" dxfId="7160" priority="412">
      <formula>J118&gt;L118*#REF!</formula>
    </cfRule>
  </conditionalFormatting>
  <conditionalFormatting sqref="J218">
    <cfRule type="expression" dxfId="7159" priority="205">
      <formula>J218&lt;L218*#REF!</formula>
    </cfRule>
    <cfRule type="expression" dxfId="7158" priority="206">
      <formula>J218&gt;L218*#REF!</formula>
    </cfRule>
  </conditionalFormatting>
  <conditionalFormatting sqref="J219">
    <cfRule type="expression" dxfId="7157" priority="203">
      <formula>J219&lt;L219*#REF!</formula>
    </cfRule>
    <cfRule type="expression" dxfId="7156" priority="204">
      <formula>J219&gt;L219*#REF!</formula>
    </cfRule>
  </conditionalFormatting>
  <conditionalFormatting sqref="J132">
    <cfRule type="expression" dxfId="7155" priority="393">
      <formula>J132&lt;L132*#REF!</formula>
    </cfRule>
    <cfRule type="expression" dxfId="7154" priority="394">
      <formula>J132&gt;L132*#REF!</formula>
    </cfRule>
  </conditionalFormatting>
  <conditionalFormatting sqref="J220:L220">
    <cfRule type="expression" dxfId="7153" priority="199">
      <formula>J220&gt;L220+#REF!</formula>
    </cfRule>
    <cfRule type="expression" dxfId="7152" priority="200">
      <formula>J220&lt;L220-#REF!</formula>
    </cfRule>
  </conditionalFormatting>
  <conditionalFormatting sqref="J221:L221">
    <cfRule type="expression" dxfId="7151" priority="197">
      <formula>J221&gt;L221+#REF!</formula>
    </cfRule>
    <cfRule type="expression" dxfId="7150" priority="198">
      <formula>J221&lt;L221-#REF!</formula>
    </cfRule>
  </conditionalFormatting>
  <conditionalFormatting sqref="J222:L222">
    <cfRule type="expression" dxfId="7149" priority="195">
      <formula>J222&gt;L222+#REF!</formula>
    </cfRule>
    <cfRule type="expression" dxfId="7148" priority="196">
      <formula>J222&lt;L222-#REF!</formula>
    </cfRule>
  </conditionalFormatting>
  <conditionalFormatting sqref="J223:L223">
    <cfRule type="expression" dxfId="7147" priority="193">
      <formula>J223&gt;L223+#REF!</formula>
    </cfRule>
    <cfRule type="expression" dxfId="7146" priority="194">
      <formula>J223&lt;L223-#REF!</formula>
    </cfRule>
  </conditionalFormatting>
  <conditionalFormatting sqref="J224:L224">
    <cfRule type="expression" dxfId="7145" priority="191">
      <formula>J224&gt;L224+#REF!</formula>
    </cfRule>
    <cfRule type="expression" dxfId="7144" priority="192">
      <formula>J224&lt;L224-#REF!</formula>
    </cfRule>
  </conditionalFormatting>
  <conditionalFormatting sqref="J225:L225">
    <cfRule type="expression" dxfId="7143" priority="189">
      <formula>J225&gt;L225+#REF!</formula>
    </cfRule>
    <cfRule type="expression" dxfId="7142" priority="190">
      <formula>J225&lt;L225-#REF!</formula>
    </cfRule>
  </conditionalFormatting>
  <conditionalFormatting sqref="J226:L226">
    <cfRule type="expression" dxfId="7141" priority="187">
      <formula>J226&gt;L226+#REF!</formula>
    </cfRule>
    <cfRule type="expression" dxfId="7140" priority="188">
      <formula>J226&lt;L226-#REF!</formula>
    </cfRule>
  </conditionalFormatting>
  <conditionalFormatting sqref="J227:J228">
    <cfRule type="expression" dxfId="7139" priority="185">
      <formula>J227&gt;L227+#REF!</formula>
    </cfRule>
    <cfRule type="expression" dxfId="7138" priority="186">
      <formula>J227&lt;L227-#REF!</formula>
    </cfRule>
  </conditionalFormatting>
  <conditionalFormatting sqref="J229:L229">
    <cfRule type="expression" dxfId="7137" priority="183">
      <formula>J229&gt;L229+#REF!</formula>
    </cfRule>
    <cfRule type="expression" dxfId="7136" priority="184">
      <formula>J229&lt;L229-#REF!</formula>
    </cfRule>
  </conditionalFormatting>
  <conditionalFormatting sqref="J174">
    <cfRule type="expression" dxfId="7135" priority="321">
      <formula>J174&lt;L174*#REF!</formula>
    </cfRule>
    <cfRule type="expression" dxfId="7134" priority="322">
      <formula>J174&gt;L174*#REF!</formula>
    </cfRule>
  </conditionalFormatting>
  <conditionalFormatting sqref="J188">
    <cfRule type="expression" dxfId="7133" priority="273">
      <formula>J188&lt;L188*#REF!</formula>
    </cfRule>
    <cfRule type="expression" dxfId="7132" priority="274">
      <formula>J188&gt;L188*#REF!</formula>
    </cfRule>
  </conditionalFormatting>
  <conditionalFormatting sqref="F8">
    <cfRule type="expression" dxfId="7131" priority="991">
      <formula>F8&lt;H8*#REF!</formula>
    </cfRule>
    <cfRule type="expression" dxfId="7130" priority="992">
      <formula>F8&gt;H8*#REF!</formula>
    </cfRule>
  </conditionalFormatting>
  <conditionalFormatting sqref="F9">
    <cfRule type="expression" dxfId="7129" priority="989">
      <formula>F9&lt;H9*#REF!</formula>
    </cfRule>
    <cfRule type="expression" dxfId="7128" priority="990">
      <formula>F9&gt;H9*#REF!</formula>
    </cfRule>
  </conditionalFormatting>
  <conditionalFormatting sqref="F20">
    <cfRule type="expression" dxfId="7127" priority="987">
      <formula>F20&lt;H20*#REF!</formula>
    </cfRule>
    <cfRule type="expression" dxfId="7126" priority="988">
      <formula>F20&gt;H20*#REF!</formula>
    </cfRule>
  </conditionalFormatting>
  <conditionalFormatting sqref="F10">
    <cfRule type="expression" dxfId="7125" priority="985">
      <formula>F10&gt;H10+#REF!</formula>
    </cfRule>
    <cfRule type="expression" dxfId="7124" priority="986">
      <formula>F10&lt;H10-#REF!</formula>
    </cfRule>
  </conditionalFormatting>
  <conditionalFormatting sqref="F11">
    <cfRule type="expression" dxfId="7123" priority="983">
      <formula>F11&gt;H11+#REF!</formula>
    </cfRule>
    <cfRule type="expression" dxfId="7122" priority="984">
      <formula>F11&lt;H11-#REF!</formula>
    </cfRule>
  </conditionalFormatting>
  <conditionalFormatting sqref="F12">
    <cfRule type="expression" dxfId="7121" priority="981">
      <formula>F12&gt;H12+#REF!</formula>
    </cfRule>
    <cfRule type="expression" dxfId="7120" priority="982">
      <formula>F12&lt;H12-#REF!</formula>
    </cfRule>
  </conditionalFormatting>
  <conditionalFormatting sqref="F13">
    <cfRule type="expression" dxfId="7119" priority="979">
      <formula>F13&gt;H13+#REF!</formula>
    </cfRule>
    <cfRule type="expression" dxfId="7118" priority="980">
      <formula>F13&lt;H13-#REF!</formula>
    </cfRule>
  </conditionalFormatting>
  <conditionalFormatting sqref="F14">
    <cfRule type="expression" dxfId="7117" priority="977">
      <formula>F14&gt;H14+#REF!</formula>
    </cfRule>
    <cfRule type="expression" dxfId="7116" priority="978">
      <formula>F14&lt;H14-#REF!</formula>
    </cfRule>
  </conditionalFormatting>
  <conditionalFormatting sqref="F15">
    <cfRule type="expression" dxfId="7115" priority="975">
      <formula>F15&gt;H15+#REF!</formula>
    </cfRule>
    <cfRule type="expression" dxfId="7114" priority="976">
      <formula>F15&lt;H15-#REF!</formula>
    </cfRule>
  </conditionalFormatting>
  <conditionalFormatting sqref="F16">
    <cfRule type="expression" dxfId="7113" priority="973">
      <formula>F16&gt;H16+#REF!</formula>
    </cfRule>
    <cfRule type="expression" dxfId="7112" priority="974">
      <formula>F16&lt;H16-#REF!</formula>
    </cfRule>
  </conditionalFormatting>
  <conditionalFormatting sqref="F17:F18">
    <cfRule type="expression" dxfId="7111" priority="971">
      <formula>F17&gt;H17+#REF!</formula>
    </cfRule>
    <cfRule type="expression" dxfId="7110" priority="972">
      <formula>F17&lt;H17-#REF!</formula>
    </cfRule>
  </conditionalFormatting>
  <conditionalFormatting sqref="F19">
    <cfRule type="expression" dxfId="7109" priority="969">
      <formula>F19&gt;H19+#REF!</formula>
    </cfRule>
    <cfRule type="expression" dxfId="7108" priority="970">
      <formula>F19&lt;H19-#REF!</formula>
    </cfRule>
  </conditionalFormatting>
  <conditionalFormatting sqref="F22">
    <cfRule type="expression" dxfId="7107" priority="967">
      <formula>F22&lt;H22*#REF!</formula>
    </cfRule>
    <cfRule type="expression" dxfId="7106" priority="968">
      <formula>F22&gt;H22*#REF!</formula>
    </cfRule>
  </conditionalFormatting>
  <conditionalFormatting sqref="F23">
    <cfRule type="expression" dxfId="7105" priority="965">
      <formula>F23&lt;H23*#REF!</formula>
    </cfRule>
    <cfRule type="expression" dxfId="7104" priority="966">
      <formula>F23&gt;H23*#REF!</formula>
    </cfRule>
  </conditionalFormatting>
  <conditionalFormatting sqref="F34">
    <cfRule type="expression" dxfId="7103" priority="963">
      <formula>F34&lt;H34*#REF!</formula>
    </cfRule>
    <cfRule type="expression" dxfId="7102" priority="964">
      <formula>F34&gt;H34*#REF!</formula>
    </cfRule>
  </conditionalFormatting>
  <conditionalFormatting sqref="F24">
    <cfRule type="expression" dxfId="7101" priority="961">
      <formula>F24&gt;H24+#REF!</formula>
    </cfRule>
    <cfRule type="expression" dxfId="7100" priority="962">
      <formula>F24&lt;H24-#REF!</formula>
    </cfRule>
  </conditionalFormatting>
  <conditionalFormatting sqref="F25">
    <cfRule type="expression" dxfId="7099" priority="959">
      <formula>F25&gt;H25+#REF!</formula>
    </cfRule>
    <cfRule type="expression" dxfId="7098" priority="960">
      <formula>F25&lt;H25-#REF!</formula>
    </cfRule>
  </conditionalFormatting>
  <conditionalFormatting sqref="F26">
    <cfRule type="expression" dxfId="7097" priority="957">
      <formula>F26&gt;H26+#REF!</formula>
    </cfRule>
    <cfRule type="expression" dxfId="7096" priority="958">
      <formula>F26&lt;H26-#REF!</formula>
    </cfRule>
  </conditionalFormatting>
  <conditionalFormatting sqref="F27">
    <cfRule type="expression" dxfId="7095" priority="955">
      <formula>F27&gt;H27+#REF!</formula>
    </cfRule>
    <cfRule type="expression" dxfId="7094" priority="956">
      <formula>F27&lt;H27-#REF!</formula>
    </cfRule>
  </conditionalFormatting>
  <conditionalFormatting sqref="F28">
    <cfRule type="expression" dxfId="7093" priority="953">
      <formula>F28&gt;H28+#REF!</formula>
    </cfRule>
    <cfRule type="expression" dxfId="7092" priority="954">
      <formula>F28&lt;H28-#REF!</formula>
    </cfRule>
  </conditionalFormatting>
  <conditionalFormatting sqref="F29">
    <cfRule type="expression" dxfId="7091" priority="951">
      <formula>F29&gt;H29+#REF!</formula>
    </cfRule>
    <cfRule type="expression" dxfId="7090" priority="952">
      <formula>F29&lt;H29-#REF!</formula>
    </cfRule>
  </conditionalFormatting>
  <conditionalFormatting sqref="F30">
    <cfRule type="expression" dxfId="7089" priority="949">
      <formula>F30&gt;H30+#REF!</formula>
    </cfRule>
    <cfRule type="expression" dxfId="7088" priority="950">
      <formula>F30&lt;H30-#REF!</formula>
    </cfRule>
  </conditionalFormatting>
  <conditionalFormatting sqref="F31:F32">
    <cfRule type="expression" dxfId="7087" priority="947">
      <formula>F31&gt;H31+#REF!</formula>
    </cfRule>
    <cfRule type="expression" dxfId="7086" priority="948">
      <formula>F31&lt;H31-#REF!</formula>
    </cfRule>
  </conditionalFormatting>
  <conditionalFormatting sqref="F33">
    <cfRule type="expression" dxfId="7085" priority="945">
      <formula>F33&gt;H33+#REF!</formula>
    </cfRule>
    <cfRule type="expression" dxfId="7084" priority="946">
      <formula>F33&lt;H33-#REF!</formula>
    </cfRule>
  </conditionalFormatting>
  <conditionalFormatting sqref="F36">
    <cfRule type="expression" dxfId="7083" priority="943">
      <formula>F36&lt;H36*#REF!</formula>
    </cfRule>
    <cfRule type="expression" dxfId="7082" priority="944">
      <formula>F36&gt;H36*#REF!</formula>
    </cfRule>
  </conditionalFormatting>
  <conditionalFormatting sqref="F37">
    <cfRule type="expression" dxfId="7081" priority="941">
      <formula>F37&lt;H37*#REF!</formula>
    </cfRule>
    <cfRule type="expression" dxfId="7080" priority="942">
      <formula>F37&gt;H37*#REF!</formula>
    </cfRule>
  </conditionalFormatting>
  <conditionalFormatting sqref="F48">
    <cfRule type="expression" dxfId="7079" priority="939">
      <formula>F48&lt;H48*#REF!</formula>
    </cfRule>
    <cfRule type="expression" dxfId="7078" priority="940">
      <formula>F48&gt;H48*#REF!</formula>
    </cfRule>
  </conditionalFormatting>
  <conditionalFormatting sqref="F38">
    <cfRule type="expression" dxfId="7077" priority="937">
      <formula>F38&gt;H38+#REF!</formula>
    </cfRule>
    <cfRule type="expression" dxfId="7076" priority="938">
      <formula>F38&lt;H38-#REF!</formula>
    </cfRule>
  </conditionalFormatting>
  <conditionalFormatting sqref="F39">
    <cfRule type="expression" dxfId="7075" priority="935">
      <formula>F39&gt;H39+#REF!</formula>
    </cfRule>
    <cfRule type="expression" dxfId="7074" priority="936">
      <formula>F39&lt;H39-#REF!</formula>
    </cfRule>
  </conditionalFormatting>
  <conditionalFormatting sqref="F40">
    <cfRule type="expression" dxfId="7073" priority="933">
      <formula>F40&gt;H40+#REF!</formula>
    </cfRule>
    <cfRule type="expression" dxfId="7072" priority="934">
      <formula>F40&lt;H40-#REF!</formula>
    </cfRule>
  </conditionalFormatting>
  <conditionalFormatting sqref="F41">
    <cfRule type="expression" dxfId="7071" priority="931">
      <formula>F41&gt;H41+#REF!</formula>
    </cfRule>
    <cfRule type="expression" dxfId="7070" priority="932">
      <formula>F41&lt;H41-#REF!</formula>
    </cfRule>
  </conditionalFormatting>
  <conditionalFormatting sqref="F42">
    <cfRule type="expression" dxfId="7069" priority="929">
      <formula>F42&gt;H42+#REF!</formula>
    </cfRule>
    <cfRule type="expression" dxfId="7068" priority="930">
      <formula>F42&lt;H42-#REF!</formula>
    </cfRule>
  </conditionalFormatting>
  <conditionalFormatting sqref="F43">
    <cfRule type="expression" dxfId="7067" priority="927">
      <formula>F43&gt;H43+#REF!</formula>
    </cfRule>
    <cfRule type="expression" dxfId="7066" priority="928">
      <formula>F43&lt;H43-#REF!</formula>
    </cfRule>
  </conditionalFormatting>
  <conditionalFormatting sqref="F44">
    <cfRule type="expression" dxfId="7065" priority="925">
      <formula>F44&gt;H44+#REF!</formula>
    </cfRule>
    <cfRule type="expression" dxfId="7064" priority="926">
      <formula>F44&lt;H44-#REF!</formula>
    </cfRule>
  </conditionalFormatting>
  <conditionalFormatting sqref="F45:F46">
    <cfRule type="expression" dxfId="7063" priority="923">
      <formula>F45&gt;H45+#REF!</formula>
    </cfRule>
    <cfRule type="expression" dxfId="7062" priority="924">
      <formula>F45&lt;H45-#REF!</formula>
    </cfRule>
  </conditionalFormatting>
  <conditionalFormatting sqref="F47">
    <cfRule type="expression" dxfId="7061" priority="921">
      <formula>F47&gt;H47+#REF!</formula>
    </cfRule>
    <cfRule type="expression" dxfId="7060" priority="922">
      <formula>F47&lt;H47-#REF!</formula>
    </cfRule>
  </conditionalFormatting>
  <conditionalFormatting sqref="F50">
    <cfRule type="expression" dxfId="7059" priority="919">
      <formula>F50&lt;H50*#REF!</formula>
    </cfRule>
    <cfRule type="expression" dxfId="7058" priority="920">
      <formula>F50&gt;H50*#REF!</formula>
    </cfRule>
  </conditionalFormatting>
  <conditionalFormatting sqref="F51">
    <cfRule type="expression" dxfId="7057" priority="917">
      <formula>F51&lt;H51*#REF!</formula>
    </cfRule>
    <cfRule type="expression" dxfId="7056" priority="918">
      <formula>F51&gt;H51*#REF!</formula>
    </cfRule>
  </conditionalFormatting>
  <conditionalFormatting sqref="F62">
    <cfRule type="expression" dxfId="7055" priority="915">
      <formula>F62&lt;H62*#REF!</formula>
    </cfRule>
    <cfRule type="expression" dxfId="7054" priority="916">
      <formula>F62&gt;H62*#REF!</formula>
    </cfRule>
  </conditionalFormatting>
  <conditionalFormatting sqref="F52">
    <cfRule type="expression" dxfId="7053" priority="913">
      <formula>F52&gt;H52+#REF!</formula>
    </cfRule>
    <cfRule type="expression" dxfId="7052" priority="914">
      <formula>F52&lt;H52-#REF!</formula>
    </cfRule>
  </conditionalFormatting>
  <conditionalFormatting sqref="F53">
    <cfRule type="expression" dxfId="7051" priority="911">
      <formula>F53&gt;H53+#REF!</formula>
    </cfRule>
    <cfRule type="expression" dxfId="7050" priority="912">
      <formula>F53&lt;H53-#REF!</formula>
    </cfRule>
  </conditionalFormatting>
  <conditionalFormatting sqref="F54">
    <cfRule type="expression" dxfId="7049" priority="909">
      <formula>F54&gt;H54+#REF!</formula>
    </cfRule>
    <cfRule type="expression" dxfId="7048" priority="910">
      <formula>F54&lt;H54-#REF!</formula>
    </cfRule>
  </conditionalFormatting>
  <conditionalFormatting sqref="F55">
    <cfRule type="expression" dxfId="7047" priority="907">
      <formula>F55&gt;H55+#REF!</formula>
    </cfRule>
    <cfRule type="expression" dxfId="7046" priority="908">
      <formula>F55&lt;H55-#REF!</formula>
    </cfRule>
  </conditionalFormatting>
  <conditionalFormatting sqref="F56">
    <cfRule type="expression" dxfId="7045" priority="905">
      <formula>F56&gt;H56+#REF!</formula>
    </cfRule>
    <cfRule type="expression" dxfId="7044" priority="906">
      <formula>F56&lt;H56-#REF!</formula>
    </cfRule>
  </conditionalFormatting>
  <conditionalFormatting sqref="F57">
    <cfRule type="expression" dxfId="7043" priority="903">
      <formula>F57&gt;H57+#REF!</formula>
    </cfRule>
    <cfRule type="expression" dxfId="7042" priority="904">
      <formula>F57&lt;H57-#REF!</formula>
    </cfRule>
  </conditionalFormatting>
  <conditionalFormatting sqref="F58">
    <cfRule type="expression" dxfId="7041" priority="901">
      <formula>F58&gt;H58+#REF!</formula>
    </cfRule>
    <cfRule type="expression" dxfId="7040" priority="902">
      <formula>F58&lt;H58-#REF!</formula>
    </cfRule>
  </conditionalFormatting>
  <conditionalFormatting sqref="F59:F60">
    <cfRule type="expression" dxfId="7039" priority="899">
      <formula>F59&gt;H59+#REF!</formula>
    </cfRule>
    <cfRule type="expression" dxfId="7038" priority="900">
      <formula>F59&lt;H59-#REF!</formula>
    </cfRule>
  </conditionalFormatting>
  <conditionalFormatting sqref="F61">
    <cfRule type="expression" dxfId="7037" priority="897">
      <formula>F61&gt;H61+#REF!</formula>
    </cfRule>
    <cfRule type="expression" dxfId="7036" priority="898">
      <formula>F61&lt;H61-#REF!</formula>
    </cfRule>
  </conditionalFormatting>
  <conditionalFormatting sqref="F64">
    <cfRule type="expression" dxfId="7035" priority="895">
      <formula>F64&lt;H64*#REF!</formula>
    </cfRule>
    <cfRule type="expression" dxfId="7034" priority="896">
      <formula>F64&gt;H64*#REF!</formula>
    </cfRule>
  </conditionalFormatting>
  <conditionalFormatting sqref="F65">
    <cfRule type="expression" dxfId="7033" priority="893">
      <formula>F65&lt;H65*#REF!</formula>
    </cfRule>
    <cfRule type="expression" dxfId="7032" priority="894">
      <formula>F65&gt;H65*#REF!</formula>
    </cfRule>
  </conditionalFormatting>
  <conditionalFormatting sqref="F76">
    <cfRule type="expression" dxfId="7031" priority="891">
      <formula>F76&lt;H76*#REF!</formula>
    </cfRule>
    <cfRule type="expression" dxfId="7030" priority="892">
      <formula>F76&gt;H76*#REF!</formula>
    </cfRule>
  </conditionalFormatting>
  <conditionalFormatting sqref="F66">
    <cfRule type="expression" dxfId="7029" priority="889">
      <formula>F66&gt;H66+#REF!</formula>
    </cfRule>
    <cfRule type="expression" dxfId="7028" priority="890">
      <formula>F66&lt;H66-#REF!</formula>
    </cfRule>
  </conditionalFormatting>
  <conditionalFormatting sqref="F67">
    <cfRule type="expression" dxfId="7027" priority="887">
      <formula>F67&gt;H67+#REF!</formula>
    </cfRule>
    <cfRule type="expression" dxfId="7026" priority="888">
      <formula>F67&lt;H67-#REF!</formula>
    </cfRule>
  </conditionalFormatting>
  <conditionalFormatting sqref="F68">
    <cfRule type="expression" dxfId="7025" priority="885">
      <formula>F68&gt;H68+#REF!</formula>
    </cfRule>
    <cfRule type="expression" dxfId="7024" priority="886">
      <formula>F68&lt;H68-#REF!</formula>
    </cfRule>
  </conditionalFormatting>
  <conditionalFormatting sqref="F69">
    <cfRule type="expression" dxfId="7023" priority="883">
      <formula>F69&gt;H69+#REF!</formula>
    </cfRule>
    <cfRule type="expression" dxfId="7022" priority="884">
      <formula>F69&lt;H69-#REF!</formula>
    </cfRule>
  </conditionalFormatting>
  <conditionalFormatting sqref="F70">
    <cfRule type="expression" dxfId="7021" priority="881">
      <formula>F70&gt;H70+#REF!</formula>
    </cfRule>
    <cfRule type="expression" dxfId="7020" priority="882">
      <formula>F70&lt;H70-#REF!</formula>
    </cfRule>
  </conditionalFormatting>
  <conditionalFormatting sqref="F71">
    <cfRule type="expression" dxfId="7019" priority="879">
      <formula>F71&gt;H71+#REF!</formula>
    </cfRule>
    <cfRule type="expression" dxfId="7018" priority="880">
      <formula>F71&lt;H71-#REF!</formula>
    </cfRule>
  </conditionalFormatting>
  <conditionalFormatting sqref="F72">
    <cfRule type="expression" dxfId="7017" priority="877">
      <formula>F72&gt;H72+#REF!</formula>
    </cfRule>
    <cfRule type="expression" dxfId="7016" priority="878">
      <formula>F72&lt;H72-#REF!</formula>
    </cfRule>
  </conditionalFormatting>
  <conditionalFormatting sqref="F73:F74">
    <cfRule type="expression" dxfId="7015" priority="875">
      <formula>F73&gt;H73+#REF!</formula>
    </cfRule>
    <cfRule type="expression" dxfId="7014" priority="876">
      <formula>F73&lt;H73-#REF!</formula>
    </cfRule>
  </conditionalFormatting>
  <conditionalFormatting sqref="F75">
    <cfRule type="expression" dxfId="7013" priority="873">
      <formula>F75&gt;H75+#REF!</formula>
    </cfRule>
    <cfRule type="expression" dxfId="7012" priority="874">
      <formula>F75&lt;H75-#REF!</formula>
    </cfRule>
  </conditionalFormatting>
  <conditionalFormatting sqref="F78">
    <cfRule type="expression" dxfId="7011" priority="871">
      <formula>F78&lt;H78*#REF!</formula>
    </cfRule>
    <cfRule type="expression" dxfId="7010" priority="872">
      <formula>F78&gt;H78*#REF!</formula>
    </cfRule>
  </conditionalFormatting>
  <conditionalFormatting sqref="F79">
    <cfRule type="expression" dxfId="7009" priority="869">
      <formula>F79&lt;H79*#REF!</formula>
    </cfRule>
    <cfRule type="expression" dxfId="7008" priority="870">
      <formula>F79&gt;H79*#REF!</formula>
    </cfRule>
  </conditionalFormatting>
  <conditionalFormatting sqref="F90">
    <cfRule type="expression" dxfId="7007" priority="867">
      <formula>F90&lt;H90*#REF!</formula>
    </cfRule>
    <cfRule type="expression" dxfId="7006" priority="868">
      <formula>F90&gt;H90*#REF!</formula>
    </cfRule>
  </conditionalFormatting>
  <conditionalFormatting sqref="F80">
    <cfRule type="expression" dxfId="7005" priority="865">
      <formula>F80&gt;H80+#REF!</formula>
    </cfRule>
    <cfRule type="expression" dxfId="7004" priority="866">
      <formula>F80&lt;H80-#REF!</formula>
    </cfRule>
  </conditionalFormatting>
  <conditionalFormatting sqref="F81">
    <cfRule type="expression" dxfId="7003" priority="863">
      <formula>F81&gt;H81+#REF!</formula>
    </cfRule>
    <cfRule type="expression" dxfId="7002" priority="864">
      <formula>F81&lt;H81-#REF!</formula>
    </cfRule>
  </conditionalFormatting>
  <conditionalFormatting sqref="F82">
    <cfRule type="expression" dxfId="7001" priority="861">
      <formula>F82&gt;H82+#REF!</formula>
    </cfRule>
    <cfRule type="expression" dxfId="7000" priority="862">
      <formula>F82&lt;H82-#REF!</formula>
    </cfRule>
  </conditionalFormatting>
  <conditionalFormatting sqref="F83">
    <cfRule type="expression" dxfId="6999" priority="859">
      <formula>F83&gt;H83+#REF!</formula>
    </cfRule>
    <cfRule type="expression" dxfId="6998" priority="860">
      <formula>F83&lt;H83-#REF!</formula>
    </cfRule>
  </conditionalFormatting>
  <conditionalFormatting sqref="F84">
    <cfRule type="expression" dxfId="6997" priority="857">
      <formula>F84&gt;H84+#REF!</formula>
    </cfRule>
    <cfRule type="expression" dxfId="6996" priority="858">
      <formula>F84&lt;H84-#REF!</formula>
    </cfRule>
  </conditionalFormatting>
  <conditionalFormatting sqref="F85">
    <cfRule type="expression" dxfId="6995" priority="855">
      <formula>F85&gt;H85+#REF!</formula>
    </cfRule>
    <cfRule type="expression" dxfId="6994" priority="856">
      <formula>F85&lt;H85-#REF!</formula>
    </cfRule>
  </conditionalFormatting>
  <conditionalFormatting sqref="F86">
    <cfRule type="expression" dxfId="6993" priority="853">
      <formula>F86&gt;H86+#REF!</formula>
    </cfRule>
    <cfRule type="expression" dxfId="6992" priority="854">
      <formula>F86&lt;H86-#REF!</formula>
    </cfRule>
  </conditionalFormatting>
  <conditionalFormatting sqref="F87:F88">
    <cfRule type="expression" dxfId="6991" priority="851">
      <formula>F87&gt;H87+#REF!</formula>
    </cfRule>
    <cfRule type="expression" dxfId="6990" priority="852">
      <formula>F87&lt;H87-#REF!</formula>
    </cfRule>
  </conditionalFormatting>
  <conditionalFormatting sqref="F89">
    <cfRule type="expression" dxfId="6989" priority="849">
      <formula>F89&gt;H89+#REF!</formula>
    </cfRule>
    <cfRule type="expression" dxfId="6988" priority="850">
      <formula>F89&lt;H89-#REF!</formula>
    </cfRule>
  </conditionalFormatting>
  <conditionalFormatting sqref="F92">
    <cfRule type="expression" dxfId="6987" priority="847">
      <formula>F92&lt;H92*#REF!</formula>
    </cfRule>
    <cfRule type="expression" dxfId="6986" priority="848">
      <formula>F92&gt;H92*#REF!</formula>
    </cfRule>
  </conditionalFormatting>
  <conditionalFormatting sqref="F93">
    <cfRule type="expression" dxfId="6985" priority="845">
      <formula>F93&lt;H93*#REF!</formula>
    </cfRule>
    <cfRule type="expression" dxfId="6984" priority="846">
      <formula>F93&gt;H93*#REF!</formula>
    </cfRule>
  </conditionalFormatting>
  <conditionalFormatting sqref="F104">
    <cfRule type="expression" dxfId="6983" priority="843">
      <formula>F104&lt;H104*#REF!</formula>
    </cfRule>
    <cfRule type="expression" dxfId="6982" priority="844">
      <formula>F104&gt;H104*#REF!</formula>
    </cfRule>
  </conditionalFormatting>
  <conditionalFormatting sqref="F94">
    <cfRule type="expression" dxfId="6981" priority="841">
      <formula>F94&gt;H94+#REF!</formula>
    </cfRule>
    <cfRule type="expression" dxfId="6980" priority="842">
      <formula>F94&lt;H94-#REF!</formula>
    </cfRule>
  </conditionalFormatting>
  <conditionalFormatting sqref="F95">
    <cfRule type="expression" dxfId="6979" priority="839">
      <formula>F95&gt;H95+#REF!</formula>
    </cfRule>
    <cfRule type="expression" dxfId="6978" priority="840">
      <formula>F95&lt;H95-#REF!</formula>
    </cfRule>
  </conditionalFormatting>
  <conditionalFormatting sqref="F96">
    <cfRule type="expression" dxfId="6977" priority="837">
      <formula>F96&gt;H96+#REF!</formula>
    </cfRule>
    <cfRule type="expression" dxfId="6976" priority="838">
      <formula>F96&lt;H96-#REF!</formula>
    </cfRule>
  </conditionalFormatting>
  <conditionalFormatting sqref="F97">
    <cfRule type="expression" dxfId="6975" priority="835">
      <formula>F97&gt;H97+#REF!</formula>
    </cfRule>
    <cfRule type="expression" dxfId="6974" priority="836">
      <formula>F97&lt;H97-#REF!</formula>
    </cfRule>
  </conditionalFormatting>
  <conditionalFormatting sqref="F98">
    <cfRule type="expression" dxfId="6973" priority="833">
      <formula>F98&gt;H98+#REF!</formula>
    </cfRule>
    <cfRule type="expression" dxfId="6972" priority="834">
      <formula>F98&lt;H98-#REF!</formula>
    </cfRule>
  </conditionalFormatting>
  <conditionalFormatting sqref="F99">
    <cfRule type="expression" dxfId="6971" priority="831">
      <formula>F99&gt;H99+#REF!</formula>
    </cfRule>
    <cfRule type="expression" dxfId="6970" priority="832">
      <formula>F99&lt;H99-#REF!</formula>
    </cfRule>
  </conditionalFormatting>
  <conditionalFormatting sqref="F100">
    <cfRule type="expression" dxfId="6969" priority="829">
      <formula>F100&gt;H100+#REF!</formula>
    </cfRule>
    <cfRule type="expression" dxfId="6968" priority="830">
      <formula>F100&lt;H100-#REF!</formula>
    </cfRule>
  </conditionalFormatting>
  <conditionalFormatting sqref="F101:F102">
    <cfRule type="expression" dxfId="6967" priority="827">
      <formula>F101&gt;H101+#REF!</formula>
    </cfRule>
    <cfRule type="expression" dxfId="6966" priority="828">
      <formula>F101&lt;H101-#REF!</formula>
    </cfRule>
  </conditionalFormatting>
  <conditionalFormatting sqref="F103">
    <cfRule type="expression" dxfId="6965" priority="825">
      <formula>F103&gt;H103+#REF!</formula>
    </cfRule>
    <cfRule type="expression" dxfId="6964" priority="826">
      <formula>F103&lt;H103-#REF!</formula>
    </cfRule>
  </conditionalFormatting>
  <conditionalFormatting sqref="F106">
    <cfRule type="expression" dxfId="6963" priority="823">
      <formula>F106&lt;H106*#REF!</formula>
    </cfRule>
    <cfRule type="expression" dxfId="6962" priority="824">
      <formula>F106&gt;H106*#REF!</formula>
    </cfRule>
  </conditionalFormatting>
  <conditionalFormatting sqref="F107">
    <cfRule type="expression" dxfId="6961" priority="821">
      <formula>F107&lt;H107*#REF!</formula>
    </cfRule>
    <cfRule type="expression" dxfId="6960" priority="822">
      <formula>F107&gt;H107*#REF!</formula>
    </cfRule>
  </conditionalFormatting>
  <conditionalFormatting sqref="F118">
    <cfRule type="expression" dxfId="6959" priority="819">
      <formula>F118&lt;H118*#REF!</formula>
    </cfRule>
    <cfRule type="expression" dxfId="6958" priority="820">
      <formula>F118&gt;H118*#REF!</formula>
    </cfRule>
  </conditionalFormatting>
  <conditionalFormatting sqref="F108">
    <cfRule type="expression" dxfId="6957" priority="817">
      <formula>F108&gt;H108+#REF!</formula>
    </cfRule>
    <cfRule type="expression" dxfId="6956" priority="818">
      <formula>F108&lt;H108-#REF!</formula>
    </cfRule>
  </conditionalFormatting>
  <conditionalFormatting sqref="F109">
    <cfRule type="expression" dxfId="6955" priority="815">
      <formula>F109&gt;H109+#REF!</formula>
    </cfRule>
    <cfRule type="expression" dxfId="6954" priority="816">
      <formula>F109&lt;H109-#REF!</formula>
    </cfRule>
  </conditionalFormatting>
  <conditionalFormatting sqref="F110">
    <cfRule type="expression" dxfId="6953" priority="813">
      <formula>F110&gt;H110+#REF!</formula>
    </cfRule>
    <cfRule type="expression" dxfId="6952" priority="814">
      <formula>F110&lt;H110-#REF!</formula>
    </cfRule>
  </conditionalFormatting>
  <conditionalFormatting sqref="F111">
    <cfRule type="expression" dxfId="6951" priority="811">
      <formula>F111&gt;H111+#REF!</formula>
    </cfRule>
    <cfRule type="expression" dxfId="6950" priority="812">
      <formula>F111&lt;H111-#REF!</formula>
    </cfRule>
  </conditionalFormatting>
  <conditionalFormatting sqref="F112">
    <cfRule type="expression" dxfId="6949" priority="809">
      <formula>F112&gt;H112+#REF!</formula>
    </cfRule>
    <cfRule type="expression" dxfId="6948" priority="810">
      <formula>F112&lt;H112-#REF!</formula>
    </cfRule>
  </conditionalFormatting>
  <conditionalFormatting sqref="F113">
    <cfRule type="expression" dxfId="6947" priority="807">
      <formula>F113&gt;H113+#REF!</formula>
    </cfRule>
    <cfRule type="expression" dxfId="6946" priority="808">
      <formula>F113&lt;H113-#REF!</formula>
    </cfRule>
  </conditionalFormatting>
  <conditionalFormatting sqref="F114">
    <cfRule type="expression" dxfId="6945" priority="805">
      <formula>F114&gt;H114+#REF!</formula>
    </cfRule>
    <cfRule type="expression" dxfId="6944" priority="806">
      <formula>F114&lt;H114-#REF!</formula>
    </cfRule>
  </conditionalFormatting>
  <conditionalFormatting sqref="F115:F116">
    <cfRule type="expression" dxfId="6943" priority="803">
      <formula>F115&gt;H115+#REF!</formula>
    </cfRule>
    <cfRule type="expression" dxfId="6942" priority="804">
      <formula>F115&lt;H115-#REF!</formula>
    </cfRule>
  </conditionalFormatting>
  <conditionalFormatting sqref="F117">
    <cfRule type="expression" dxfId="6941" priority="801">
      <formula>F117&gt;H117+#REF!</formula>
    </cfRule>
    <cfRule type="expression" dxfId="6940" priority="802">
      <formula>F117&lt;H117-#REF!</formula>
    </cfRule>
  </conditionalFormatting>
  <conditionalFormatting sqref="F260">
    <cfRule type="expression" dxfId="6939" priority="631">
      <formula>F260&lt;H260*#REF!</formula>
    </cfRule>
    <cfRule type="expression" dxfId="6938" priority="632">
      <formula>F260&gt;H260*#REF!</formula>
    </cfRule>
  </conditionalFormatting>
  <conditionalFormatting sqref="F261">
    <cfRule type="expression" dxfId="6937" priority="629">
      <formula>F261&lt;H261*#REF!</formula>
    </cfRule>
    <cfRule type="expression" dxfId="6936" priority="630">
      <formula>F261&gt;H261*#REF!</formula>
    </cfRule>
  </conditionalFormatting>
  <conditionalFormatting sqref="F272">
    <cfRule type="expression" dxfId="6935" priority="627">
      <formula>F272&lt;H272*#REF!</formula>
    </cfRule>
    <cfRule type="expression" dxfId="6934" priority="628">
      <formula>F272&gt;H272*#REF!</formula>
    </cfRule>
  </conditionalFormatting>
  <conditionalFormatting sqref="F262">
    <cfRule type="expression" dxfId="6933" priority="625">
      <formula>F262&gt;H262+#REF!</formula>
    </cfRule>
    <cfRule type="expression" dxfId="6932" priority="626">
      <formula>F262&lt;H262-#REF!</formula>
    </cfRule>
  </conditionalFormatting>
  <conditionalFormatting sqref="F263">
    <cfRule type="expression" dxfId="6931" priority="623">
      <formula>F263&gt;H263+#REF!</formula>
    </cfRule>
    <cfRule type="expression" dxfId="6930" priority="624">
      <formula>F263&lt;H263-#REF!</formula>
    </cfRule>
  </conditionalFormatting>
  <conditionalFormatting sqref="F264">
    <cfRule type="expression" dxfId="6929" priority="621">
      <formula>F264&gt;H264+#REF!</formula>
    </cfRule>
    <cfRule type="expression" dxfId="6928" priority="622">
      <formula>F264&lt;H264-#REF!</formula>
    </cfRule>
  </conditionalFormatting>
  <conditionalFormatting sqref="F265">
    <cfRule type="expression" dxfId="6927" priority="619">
      <formula>F265&gt;H265+#REF!</formula>
    </cfRule>
    <cfRule type="expression" dxfId="6926" priority="620">
      <formula>F265&lt;H265-#REF!</formula>
    </cfRule>
  </conditionalFormatting>
  <conditionalFormatting sqref="F266">
    <cfRule type="expression" dxfId="6925" priority="617">
      <formula>F266&gt;H266+#REF!</formula>
    </cfRule>
    <cfRule type="expression" dxfId="6924" priority="618">
      <formula>F266&lt;H266-#REF!</formula>
    </cfRule>
  </conditionalFormatting>
  <conditionalFormatting sqref="F267">
    <cfRule type="expression" dxfId="6923" priority="615">
      <formula>F267&gt;H267+#REF!</formula>
    </cfRule>
    <cfRule type="expression" dxfId="6922" priority="616">
      <formula>F267&lt;H267-#REF!</formula>
    </cfRule>
  </conditionalFormatting>
  <conditionalFormatting sqref="F268">
    <cfRule type="expression" dxfId="6921" priority="613">
      <formula>F268&gt;H268+#REF!</formula>
    </cfRule>
    <cfRule type="expression" dxfId="6920" priority="614">
      <formula>F268&lt;H268-#REF!</formula>
    </cfRule>
  </conditionalFormatting>
  <conditionalFormatting sqref="F269:F270">
    <cfRule type="expression" dxfId="6919" priority="611">
      <formula>F269&gt;H269+#REF!</formula>
    </cfRule>
    <cfRule type="expression" dxfId="6918" priority="612">
      <formula>F269&lt;H269-#REF!</formula>
    </cfRule>
  </conditionalFormatting>
  <conditionalFormatting sqref="F271">
    <cfRule type="expression" dxfId="6917" priority="609">
      <formula>F271&gt;H271+#REF!</formula>
    </cfRule>
    <cfRule type="expression" dxfId="6916" priority="610">
      <formula>F271&lt;H271-#REF!</formula>
    </cfRule>
  </conditionalFormatting>
  <conditionalFormatting sqref="J232">
    <cfRule type="expression" dxfId="6915" priority="133">
      <formula>J232&lt;L232*#REF!</formula>
    </cfRule>
    <cfRule type="expression" dxfId="6914" priority="134">
      <formula>J232&gt;L232*#REF!</formula>
    </cfRule>
  </conditionalFormatting>
  <conditionalFormatting sqref="J233">
    <cfRule type="expression" dxfId="6913" priority="131">
      <formula>J233&lt;L233*#REF!</formula>
    </cfRule>
    <cfRule type="expression" dxfId="6912" priority="132">
      <formula>J233&gt;L233*#REF!</formula>
    </cfRule>
  </conditionalFormatting>
  <conditionalFormatting sqref="J244">
    <cfRule type="expression" dxfId="6911" priority="129">
      <formula>J244&lt;L244*#REF!</formula>
    </cfRule>
    <cfRule type="expression" dxfId="6910" priority="130">
      <formula>J244&gt;L244*#REF!</formula>
    </cfRule>
  </conditionalFormatting>
  <conditionalFormatting sqref="J234">
    <cfRule type="expression" dxfId="6909" priority="127">
      <formula>J234&gt;L234+#REF!</formula>
    </cfRule>
    <cfRule type="expression" dxfId="6908" priority="128">
      <formula>J234&lt;L234-#REF!</formula>
    </cfRule>
  </conditionalFormatting>
  <conditionalFormatting sqref="J235">
    <cfRule type="expression" dxfId="6907" priority="125">
      <formula>J235&gt;L235+#REF!</formula>
    </cfRule>
    <cfRule type="expression" dxfId="6906" priority="126">
      <formula>J235&lt;L235-#REF!</formula>
    </cfRule>
  </conditionalFormatting>
  <conditionalFormatting sqref="J236">
    <cfRule type="expression" dxfId="6905" priority="123">
      <formula>J236&gt;L236+#REF!</formula>
    </cfRule>
    <cfRule type="expression" dxfId="6904" priority="124">
      <formula>J236&lt;L236-#REF!</formula>
    </cfRule>
  </conditionalFormatting>
  <conditionalFormatting sqref="J237">
    <cfRule type="expression" dxfId="6903" priority="121">
      <formula>J237&gt;L237+#REF!</formula>
    </cfRule>
    <cfRule type="expression" dxfId="6902" priority="122">
      <formula>J237&lt;L237-#REF!</formula>
    </cfRule>
  </conditionalFormatting>
  <conditionalFormatting sqref="J238">
    <cfRule type="expression" dxfId="6901" priority="119">
      <formula>J238&gt;L238+#REF!</formula>
    </cfRule>
    <cfRule type="expression" dxfId="6900" priority="120">
      <formula>J238&lt;L238-#REF!</formula>
    </cfRule>
  </conditionalFormatting>
  <conditionalFormatting sqref="J239">
    <cfRule type="expression" dxfId="6899" priority="117">
      <formula>J239&gt;L239+#REF!</formula>
    </cfRule>
    <cfRule type="expression" dxfId="6898" priority="118">
      <formula>J239&lt;L239-#REF!</formula>
    </cfRule>
  </conditionalFormatting>
  <conditionalFormatting sqref="J240">
    <cfRule type="expression" dxfId="6897" priority="115">
      <formula>J240&gt;L240+#REF!</formula>
    </cfRule>
    <cfRule type="expression" dxfId="6896" priority="116">
      <formula>J240&lt;L240-#REF!</formula>
    </cfRule>
  </conditionalFormatting>
  <conditionalFormatting sqref="J241:J242">
    <cfRule type="expression" dxfId="6895" priority="113">
      <formula>J241&gt;L241+#REF!</formula>
    </cfRule>
    <cfRule type="expression" dxfId="6894" priority="114">
      <formula>J241&lt;L241-#REF!</formula>
    </cfRule>
  </conditionalFormatting>
  <conditionalFormatting sqref="J243">
    <cfRule type="expression" dxfId="6893" priority="111">
      <formula>J243&gt;L243+#REF!</formula>
    </cfRule>
    <cfRule type="expression" dxfId="6892" priority="112">
      <formula>J243&lt;L243-#REF!</formula>
    </cfRule>
  </conditionalFormatting>
  <conditionalFormatting sqref="F148">
    <cfRule type="expression" dxfId="6891" priority="751">
      <formula>F148&lt;H148*#REF!</formula>
    </cfRule>
    <cfRule type="expression" dxfId="6890" priority="752">
      <formula>F148&gt;H148*#REF!</formula>
    </cfRule>
  </conditionalFormatting>
  <conditionalFormatting sqref="F149">
    <cfRule type="expression" dxfId="6889" priority="749">
      <formula>F149&lt;H149*#REF!</formula>
    </cfRule>
    <cfRule type="expression" dxfId="6888" priority="750">
      <formula>F149&gt;H149*#REF!</formula>
    </cfRule>
  </conditionalFormatting>
  <conditionalFormatting sqref="F160">
    <cfRule type="expression" dxfId="6887" priority="747">
      <formula>F160&lt;H160*#REF!</formula>
    </cfRule>
    <cfRule type="expression" dxfId="6886" priority="748">
      <formula>F160&gt;H160*#REF!</formula>
    </cfRule>
  </conditionalFormatting>
  <conditionalFormatting sqref="F150">
    <cfRule type="expression" dxfId="6885" priority="745">
      <formula>F150&gt;H150+#REF!</formula>
    </cfRule>
    <cfRule type="expression" dxfId="6884" priority="746">
      <formula>F150&lt;H150-#REF!</formula>
    </cfRule>
  </conditionalFormatting>
  <conditionalFormatting sqref="F151">
    <cfRule type="expression" dxfId="6883" priority="743">
      <formula>F151&gt;H151+#REF!</formula>
    </cfRule>
    <cfRule type="expression" dxfId="6882" priority="744">
      <formula>F151&lt;H151-#REF!</formula>
    </cfRule>
  </conditionalFormatting>
  <conditionalFormatting sqref="F152">
    <cfRule type="expression" dxfId="6881" priority="741">
      <formula>F152&gt;H152+#REF!</formula>
    </cfRule>
    <cfRule type="expression" dxfId="6880" priority="742">
      <formula>F152&lt;H152-#REF!</formula>
    </cfRule>
  </conditionalFormatting>
  <conditionalFormatting sqref="F153">
    <cfRule type="expression" dxfId="6879" priority="739">
      <formula>F153&gt;H153+#REF!</formula>
    </cfRule>
    <cfRule type="expression" dxfId="6878" priority="740">
      <formula>F153&lt;H153-#REF!</formula>
    </cfRule>
  </conditionalFormatting>
  <conditionalFormatting sqref="F154">
    <cfRule type="expression" dxfId="6877" priority="737">
      <formula>F154&gt;H154+#REF!</formula>
    </cfRule>
    <cfRule type="expression" dxfId="6876" priority="738">
      <formula>F154&lt;H154-#REF!</formula>
    </cfRule>
  </conditionalFormatting>
  <conditionalFormatting sqref="F155">
    <cfRule type="expression" dxfId="6875" priority="735">
      <formula>F155&gt;H155+#REF!</formula>
    </cfRule>
    <cfRule type="expression" dxfId="6874" priority="736">
      <formula>F155&lt;H155-#REF!</formula>
    </cfRule>
  </conditionalFormatting>
  <conditionalFormatting sqref="F156">
    <cfRule type="expression" dxfId="6873" priority="733">
      <formula>F156&gt;H156+#REF!</formula>
    </cfRule>
    <cfRule type="expression" dxfId="6872" priority="734">
      <formula>F156&lt;H156-#REF!</formula>
    </cfRule>
  </conditionalFormatting>
  <conditionalFormatting sqref="F157:F158">
    <cfRule type="expression" dxfId="6871" priority="731">
      <formula>F157&gt;H157+#REF!</formula>
    </cfRule>
    <cfRule type="expression" dxfId="6870" priority="732">
      <formula>F157&lt;H157-#REF!</formula>
    </cfRule>
  </conditionalFormatting>
  <conditionalFormatting sqref="F159">
    <cfRule type="expression" dxfId="6869" priority="729">
      <formula>F159&gt;H159+#REF!</formula>
    </cfRule>
    <cfRule type="expression" dxfId="6868" priority="730">
      <formula>F159&lt;H159-#REF!</formula>
    </cfRule>
  </conditionalFormatting>
  <conditionalFormatting sqref="F162">
    <cfRule type="expression" dxfId="6867" priority="727">
      <formula>F162&lt;H162*#REF!</formula>
    </cfRule>
    <cfRule type="expression" dxfId="6866" priority="728">
      <formula>F162&gt;H162*#REF!</formula>
    </cfRule>
  </conditionalFormatting>
  <conditionalFormatting sqref="F163">
    <cfRule type="expression" dxfId="6865" priority="725">
      <formula>F163&lt;H163*#REF!</formula>
    </cfRule>
    <cfRule type="expression" dxfId="6864" priority="726">
      <formula>F163&gt;H163*#REF!</formula>
    </cfRule>
  </conditionalFormatting>
  <conditionalFormatting sqref="F174">
    <cfRule type="expression" dxfId="6863" priority="723">
      <formula>F174&lt;H174*#REF!</formula>
    </cfRule>
    <cfRule type="expression" dxfId="6862" priority="724">
      <formula>F174&gt;H174*#REF!</formula>
    </cfRule>
  </conditionalFormatting>
  <conditionalFormatting sqref="F164">
    <cfRule type="expression" dxfId="6861" priority="721">
      <formula>F164&gt;H164+#REF!</formula>
    </cfRule>
    <cfRule type="expression" dxfId="6860" priority="722">
      <formula>F164&lt;H164-#REF!</formula>
    </cfRule>
  </conditionalFormatting>
  <conditionalFormatting sqref="F165">
    <cfRule type="expression" dxfId="6859" priority="719">
      <formula>F165&gt;H165+#REF!</formula>
    </cfRule>
    <cfRule type="expression" dxfId="6858" priority="720">
      <formula>F165&lt;H165-#REF!</formula>
    </cfRule>
  </conditionalFormatting>
  <conditionalFormatting sqref="F166">
    <cfRule type="expression" dxfId="6857" priority="717">
      <formula>F166&gt;H166+#REF!</formula>
    </cfRule>
    <cfRule type="expression" dxfId="6856" priority="718">
      <formula>F166&lt;H166-#REF!</formula>
    </cfRule>
  </conditionalFormatting>
  <conditionalFormatting sqref="F167">
    <cfRule type="expression" dxfId="6855" priority="715">
      <formula>F167&gt;H167+#REF!</formula>
    </cfRule>
    <cfRule type="expression" dxfId="6854" priority="716">
      <formula>F167&lt;H167-#REF!</formula>
    </cfRule>
  </conditionalFormatting>
  <conditionalFormatting sqref="F168">
    <cfRule type="expression" dxfId="6853" priority="713">
      <formula>F168&gt;H168+#REF!</formula>
    </cfRule>
    <cfRule type="expression" dxfId="6852" priority="714">
      <formula>F168&lt;H168-#REF!</formula>
    </cfRule>
  </conditionalFormatting>
  <conditionalFormatting sqref="F169">
    <cfRule type="expression" dxfId="6851" priority="711">
      <formula>F169&gt;H169+#REF!</formula>
    </cfRule>
    <cfRule type="expression" dxfId="6850" priority="712">
      <formula>F169&lt;H169-#REF!</formula>
    </cfRule>
  </conditionalFormatting>
  <conditionalFormatting sqref="F170">
    <cfRule type="expression" dxfId="6849" priority="709">
      <formula>F170&gt;H170+#REF!</formula>
    </cfRule>
    <cfRule type="expression" dxfId="6848" priority="710">
      <formula>F170&lt;H170-#REF!</formula>
    </cfRule>
  </conditionalFormatting>
  <conditionalFormatting sqref="F171:F172">
    <cfRule type="expression" dxfId="6847" priority="707">
      <formula>F171&gt;H171+#REF!</formula>
    </cfRule>
    <cfRule type="expression" dxfId="6846" priority="708">
      <formula>F171&lt;H171-#REF!</formula>
    </cfRule>
  </conditionalFormatting>
  <conditionalFormatting sqref="F173">
    <cfRule type="expression" dxfId="6845" priority="705">
      <formula>F173&gt;H173+#REF!</formula>
    </cfRule>
    <cfRule type="expression" dxfId="6844" priority="706">
      <formula>F173&lt;H173-#REF!</formula>
    </cfRule>
  </conditionalFormatting>
  <conditionalFormatting sqref="F176">
    <cfRule type="expression" dxfId="6843" priority="703">
      <formula>F176&lt;H176*#REF!</formula>
    </cfRule>
    <cfRule type="expression" dxfId="6842" priority="704">
      <formula>F176&gt;H176*#REF!</formula>
    </cfRule>
  </conditionalFormatting>
  <conditionalFormatting sqref="F177">
    <cfRule type="expression" dxfId="6841" priority="701">
      <formula>F177&lt;H177*#REF!</formula>
    </cfRule>
    <cfRule type="expression" dxfId="6840" priority="702">
      <formula>F177&gt;H177*#REF!</formula>
    </cfRule>
  </conditionalFormatting>
  <conditionalFormatting sqref="F188">
    <cfRule type="expression" dxfId="6839" priority="699">
      <formula>F188&lt;H188*#REF!</formula>
    </cfRule>
    <cfRule type="expression" dxfId="6838" priority="700">
      <formula>F188&gt;H188*#REF!</formula>
    </cfRule>
  </conditionalFormatting>
  <conditionalFormatting sqref="F178">
    <cfRule type="expression" dxfId="6837" priority="697">
      <formula>F178&gt;H178+#REF!</formula>
    </cfRule>
    <cfRule type="expression" dxfId="6836" priority="698">
      <formula>F178&lt;H178-#REF!</formula>
    </cfRule>
  </conditionalFormatting>
  <conditionalFormatting sqref="F179">
    <cfRule type="expression" dxfId="6835" priority="695">
      <formula>F179&gt;H179+#REF!</formula>
    </cfRule>
    <cfRule type="expression" dxfId="6834" priority="696">
      <formula>F179&lt;H179-#REF!</formula>
    </cfRule>
  </conditionalFormatting>
  <conditionalFormatting sqref="F180">
    <cfRule type="expression" dxfId="6833" priority="693">
      <formula>F180&gt;H180+#REF!</formula>
    </cfRule>
    <cfRule type="expression" dxfId="6832" priority="694">
      <formula>F180&lt;H180-#REF!</formula>
    </cfRule>
  </conditionalFormatting>
  <conditionalFormatting sqref="F181">
    <cfRule type="expression" dxfId="6831" priority="691">
      <formula>F181&gt;H181+#REF!</formula>
    </cfRule>
    <cfRule type="expression" dxfId="6830" priority="692">
      <formula>F181&lt;H181-#REF!</formula>
    </cfRule>
  </conditionalFormatting>
  <conditionalFormatting sqref="F182">
    <cfRule type="expression" dxfId="6829" priority="689">
      <formula>F182&gt;H182+#REF!</formula>
    </cfRule>
    <cfRule type="expression" dxfId="6828" priority="690">
      <formula>F182&lt;H182-#REF!</formula>
    </cfRule>
  </conditionalFormatting>
  <conditionalFormatting sqref="F183">
    <cfRule type="expression" dxfId="6827" priority="687">
      <formula>F183&gt;H183+#REF!</formula>
    </cfRule>
    <cfRule type="expression" dxfId="6826" priority="688">
      <formula>F183&lt;H183-#REF!</formula>
    </cfRule>
  </conditionalFormatting>
  <conditionalFormatting sqref="F184">
    <cfRule type="expression" dxfId="6825" priority="685">
      <formula>F184&gt;H184+#REF!</formula>
    </cfRule>
    <cfRule type="expression" dxfId="6824" priority="686">
      <formula>F184&lt;H184-#REF!</formula>
    </cfRule>
  </conditionalFormatting>
  <conditionalFormatting sqref="F185:F186">
    <cfRule type="expression" dxfId="6823" priority="683">
      <formula>F185&gt;H185+#REF!</formula>
    </cfRule>
    <cfRule type="expression" dxfId="6822" priority="684">
      <formula>F185&lt;H185-#REF!</formula>
    </cfRule>
  </conditionalFormatting>
  <conditionalFormatting sqref="F187">
    <cfRule type="expression" dxfId="6821" priority="681">
      <formula>F187&gt;H187+#REF!</formula>
    </cfRule>
    <cfRule type="expression" dxfId="6820" priority="682">
      <formula>F187&lt;H187-#REF!</formula>
    </cfRule>
  </conditionalFormatting>
  <conditionalFormatting sqref="F190">
    <cfRule type="expression" dxfId="6819" priority="679">
      <formula>F190&lt;H190*#REF!</formula>
    </cfRule>
    <cfRule type="expression" dxfId="6818" priority="680">
      <formula>F190&gt;H190*#REF!</formula>
    </cfRule>
  </conditionalFormatting>
  <conditionalFormatting sqref="F191">
    <cfRule type="expression" dxfId="6817" priority="677">
      <formula>F191&lt;H191*#REF!</formula>
    </cfRule>
    <cfRule type="expression" dxfId="6816" priority="678">
      <formula>F191&gt;H191*#REF!</formula>
    </cfRule>
  </conditionalFormatting>
  <conditionalFormatting sqref="F202">
    <cfRule type="expression" dxfId="6815" priority="675">
      <formula>F202&lt;H202*#REF!</formula>
    </cfRule>
    <cfRule type="expression" dxfId="6814" priority="676">
      <formula>F202&gt;H202*#REF!</formula>
    </cfRule>
  </conditionalFormatting>
  <conditionalFormatting sqref="F192">
    <cfRule type="expression" dxfId="6813" priority="673">
      <formula>F192&gt;H192+#REF!</formula>
    </cfRule>
    <cfRule type="expression" dxfId="6812" priority="674">
      <formula>F192&lt;H192-#REF!</formula>
    </cfRule>
  </conditionalFormatting>
  <conditionalFormatting sqref="F193">
    <cfRule type="expression" dxfId="6811" priority="671">
      <formula>F193&gt;H193+#REF!</formula>
    </cfRule>
    <cfRule type="expression" dxfId="6810" priority="672">
      <formula>F193&lt;H193-#REF!</formula>
    </cfRule>
  </conditionalFormatting>
  <conditionalFormatting sqref="F194">
    <cfRule type="expression" dxfId="6809" priority="669">
      <formula>F194&gt;H194+#REF!</formula>
    </cfRule>
    <cfRule type="expression" dxfId="6808" priority="670">
      <formula>F194&lt;H194-#REF!</formula>
    </cfRule>
  </conditionalFormatting>
  <conditionalFormatting sqref="F195">
    <cfRule type="expression" dxfId="6807" priority="667">
      <formula>F195&gt;H195+#REF!</formula>
    </cfRule>
    <cfRule type="expression" dxfId="6806" priority="668">
      <formula>F195&lt;H195-#REF!</formula>
    </cfRule>
  </conditionalFormatting>
  <conditionalFormatting sqref="F196">
    <cfRule type="expression" dxfId="6805" priority="665">
      <formula>F196&gt;H196+#REF!</formula>
    </cfRule>
    <cfRule type="expression" dxfId="6804" priority="666">
      <formula>F196&lt;H196-#REF!</formula>
    </cfRule>
  </conditionalFormatting>
  <conditionalFormatting sqref="F197">
    <cfRule type="expression" dxfId="6803" priority="663">
      <formula>F197&gt;H197+#REF!</formula>
    </cfRule>
    <cfRule type="expression" dxfId="6802" priority="664">
      <formula>F197&lt;H197-#REF!</formula>
    </cfRule>
  </conditionalFormatting>
  <conditionalFormatting sqref="F198">
    <cfRule type="expression" dxfId="6801" priority="661">
      <formula>F198&gt;H198+#REF!</formula>
    </cfRule>
    <cfRule type="expression" dxfId="6800" priority="662">
      <formula>F198&lt;H198-#REF!</formula>
    </cfRule>
  </conditionalFormatting>
  <conditionalFormatting sqref="F199:F200">
    <cfRule type="expression" dxfId="6799" priority="659">
      <formula>F199&gt;H199+#REF!</formula>
    </cfRule>
    <cfRule type="expression" dxfId="6798" priority="660">
      <formula>F199&lt;H199-#REF!</formula>
    </cfRule>
  </conditionalFormatting>
  <conditionalFormatting sqref="F201">
    <cfRule type="expression" dxfId="6797" priority="657">
      <formula>F201&gt;H201+#REF!</formula>
    </cfRule>
    <cfRule type="expression" dxfId="6796" priority="658">
      <formula>F201&lt;H201-#REF!</formula>
    </cfRule>
  </conditionalFormatting>
  <conditionalFormatting sqref="F204">
    <cfRule type="expression" dxfId="6795" priority="655">
      <formula>F204&lt;H204*#REF!</formula>
    </cfRule>
    <cfRule type="expression" dxfId="6794" priority="656">
      <formula>F204&gt;H204*#REF!</formula>
    </cfRule>
  </conditionalFormatting>
  <conditionalFormatting sqref="F205">
    <cfRule type="expression" dxfId="6793" priority="653">
      <formula>F205&lt;H205*#REF!</formula>
    </cfRule>
    <cfRule type="expression" dxfId="6792" priority="654">
      <formula>F205&gt;H205*#REF!</formula>
    </cfRule>
  </conditionalFormatting>
  <conditionalFormatting sqref="F216">
    <cfRule type="expression" dxfId="6791" priority="651">
      <formula>F216&lt;H216*#REF!</formula>
    </cfRule>
    <cfRule type="expression" dxfId="6790" priority="652">
      <formula>F216&gt;H216*#REF!</formula>
    </cfRule>
  </conditionalFormatting>
  <conditionalFormatting sqref="F206">
    <cfRule type="expression" dxfId="6789" priority="649">
      <formula>F206&gt;H206+#REF!</formula>
    </cfRule>
    <cfRule type="expression" dxfId="6788" priority="650">
      <formula>F206&lt;H206-#REF!</formula>
    </cfRule>
  </conditionalFormatting>
  <conditionalFormatting sqref="F207">
    <cfRule type="expression" dxfId="6787" priority="647">
      <formula>F207&gt;H207+#REF!</formula>
    </cfRule>
    <cfRule type="expression" dxfId="6786" priority="648">
      <formula>F207&lt;H207-#REF!</formula>
    </cfRule>
  </conditionalFormatting>
  <conditionalFormatting sqref="F208">
    <cfRule type="expression" dxfId="6785" priority="645">
      <formula>F208&gt;H208+#REF!</formula>
    </cfRule>
    <cfRule type="expression" dxfId="6784" priority="646">
      <formula>F208&lt;H208-#REF!</formula>
    </cfRule>
  </conditionalFormatting>
  <conditionalFormatting sqref="F209">
    <cfRule type="expression" dxfId="6783" priority="643">
      <formula>F209&gt;H209+#REF!</formula>
    </cfRule>
    <cfRule type="expression" dxfId="6782" priority="644">
      <formula>F209&lt;H209-#REF!</formula>
    </cfRule>
  </conditionalFormatting>
  <conditionalFormatting sqref="F210">
    <cfRule type="expression" dxfId="6781" priority="641">
      <formula>F210&gt;H210+#REF!</formula>
    </cfRule>
    <cfRule type="expression" dxfId="6780" priority="642">
      <formula>F210&lt;H210-#REF!</formula>
    </cfRule>
  </conditionalFormatting>
  <conditionalFormatting sqref="F211">
    <cfRule type="expression" dxfId="6779" priority="639">
      <formula>F211&gt;H211+#REF!</formula>
    </cfRule>
    <cfRule type="expression" dxfId="6778" priority="640">
      <formula>F211&lt;H211-#REF!</formula>
    </cfRule>
  </conditionalFormatting>
  <conditionalFormatting sqref="F212">
    <cfRule type="expression" dxfId="6777" priority="637">
      <formula>F212&gt;H212+#REF!</formula>
    </cfRule>
    <cfRule type="expression" dxfId="6776" priority="638">
      <formula>F212&lt;H212-#REF!</formula>
    </cfRule>
  </conditionalFormatting>
  <conditionalFormatting sqref="F213:F214">
    <cfRule type="expression" dxfId="6775" priority="635">
      <formula>F213&gt;H213+#REF!</formula>
    </cfRule>
    <cfRule type="expression" dxfId="6774" priority="636">
      <formula>F213&lt;H213-#REF!</formula>
    </cfRule>
  </conditionalFormatting>
  <conditionalFormatting sqref="F215">
    <cfRule type="expression" dxfId="6773" priority="633">
      <formula>F215&gt;H215+#REF!</formula>
    </cfRule>
    <cfRule type="expression" dxfId="6772" priority="634">
      <formula>F215&lt;H215-#REF!</formula>
    </cfRule>
  </conditionalFormatting>
  <conditionalFormatting sqref="F218">
    <cfRule type="expression" dxfId="6771" priority="607">
      <formula>F218&lt;H218*#REF!</formula>
    </cfRule>
    <cfRule type="expression" dxfId="6770" priority="608">
      <formula>F218&gt;H218*#REF!</formula>
    </cfRule>
  </conditionalFormatting>
  <conditionalFormatting sqref="F219">
    <cfRule type="expression" dxfId="6769" priority="605">
      <formula>F219&lt;H219*#REF!</formula>
    </cfRule>
    <cfRule type="expression" dxfId="6768" priority="606">
      <formula>F219&gt;H219*#REF!</formula>
    </cfRule>
  </conditionalFormatting>
  <conditionalFormatting sqref="F230">
    <cfRule type="expression" dxfId="6767" priority="603">
      <formula>F230&lt;H230*#REF!</formula>
    </cfRule>
    <cfRule type="expression" dxfId="6766" priority="604">
      <formula>F230&gt;H230*#REF!</formula>
    </cfRule>
  </conditionalFormatting>
  <conditionalFormatting sqref="F220">
    <cfRule type="expression" dxfId="6765" priority="601">
      <formula>F220&gt;H220+#REF!</formula>
    </cfRule>
    <cfRule type="expression" dxfId="6764" priority="602">
      <formula>F220&lt;H220-#REF!</formula>
    </cfRule>
  </conditionalFormatting>
  <conditionalFormatting sqref="F221">
    <cfRule type="expression" dxfId="6763" priority="599">
      <formula>F221&gt;H221+#REF!</formula>
    </cfRule>
    <cfRule type="expression" dxfId="6762" priority="600">
      <formula>F221&lt;H221-#REF!</formula>
    </cfRule>
  </conditionalFormatting>
  <conditionalFormatting sqref="F222">
    <cfRule type="expression" dxfId="6761" priority="597">
      <formula>F222&gt;H222+#REF!</formula>
    </cfRule>
    <cfRule type="expression" dxfId="6760" priority="598">
      <formula>F222&lt;H222-#REF!</formula>
    </cfRule>
  </conditionalFormatting>
  <conditionalFormatting sqref="F223">
    <cfRule type="expression" dxfId="6759" priority="595">
      <formula>F223&gt;H223+#REF!</formula>
    </cfRule>
    <cfRule type="expression" dxfId="6758" priority="596">
      <formula>F223&lt;H223-#REF!</formula>
    </cfRule>
  </conditionalFormatting>
  <conditionalFormatting sqref="F224">
    <cfRule type="expression" dxfId="6757" priority="593">
      <formula>F224&gt;H224+#REF!</formula>
    </cfRule>
    <cfRule type="expression" dxfId="6756" priority="594">
      <formula>F224&lt;H224-#REF!</formula>
    </cfRule>
  </conditionalFormatting>
  <conditionalFormatting sqref="F225">
    <cfRule type="expression" dxfId="6755" priority="591">
      <formula>F225&gt;H225+#REF!</formula>
    </cfRule>
    <cfRule type="expression" dxfId="6754" priority="592">
      <formula>F225&lt;H225-#REF!</formula>
    </cfRule>
  </conditionalFormatting>
  <conditionalFormatting sqref="F226">
    <cfRule type="expression" dxfId="6753" priority="589">
      <formula>F226&gt;H226+#REF!</formula>
    </cfRule>
    <cfRule type="expression" dxfId="6752" priority="590">
      <formula>F226&lt;H226-#REF!</formula>
    </cfRule>
  </conditionalFormatting>
  <conditionalFormatting sqref="F227:F228">
    <cfRule type="expression" dxfId="6751" priority="587">
      <formula>F227&gt;H227+#REF!</formula>
    </cfRule>
    <cfRule type="expression" dxfId="6750" priority="588">
      <formula>F227&lt;H227-#REF!</formula>
    </cfRule>
  </conditionalFormatting>
  <conditionalFormatting sqref="F229">
    <cfRule type="expression" dxfId="6749" priority="585">
      <formula>F229&gt;H229+#REF!</formula>
    </cfRule>
    <cfRule type="expression" dxfId="6748" priority="586">
      <formula>F229&lt;H229-#REF!</formula>
    </cfRule>
  </conditionalFormatting>
  <conditionalFormatting sqref="J246">
    <cfRule type="expression" dxfId="6747" priority="61">
      <formula>J246&lt;L246*#REF!</formula>
    </cfRule>
    <cfRule type="expression" dxfId="6746" priority="62">
      <formula>J246&gt;L246*#REF!</formula>
    </cfRule>
  </conditionalFormatting>
  <conditionalFormatting sqref="J247">
    <cfRule type="expression" dxfId="6745" priority="59">
      <formula>J247&lt;L247*#REF!</formula>
    </cfRule>
    <cfRule type="expression" dxfId="6744" priority="60">
      <formula>J247&gt;L247*#REF!</formula>
    </cfRule>
  </conditionalFormatting>
  <conditionalFormatting sqref="J248">
    <cfRule type="expression" dxfId="6743" priority="55">
      <formula>J248&gt;L248+#REF!</formula>
    </cfRule>
    <cfRule type="expression" dxfId="6742" priority="56">
      <formula>J248&lt;L248-#REF!</formula>
    </cfRule>
  </conditionalFormatting>
  <conditionalFormatting sqref="J249">
    <cfRule type="expression" dxfId="6741" priority="53">
      <formula>J249&gt;L249+#REF!</formula>
    </cfRule>
    <cfRule type="expression" dxfId="6740" priority="54">
      <formula>J249&lt;L249-#REF!</formula>
    </cfRule>
  </conditionalFormatting>
  <conditionalFormatting sqref="J250">
    <cfRule type="expression" dxfId="6739" priority="51">
      <formula>J250&gt;L250+#REF!</formula>
    </cfRule>
    <cfRule type="expression" dxfId="6738" priority="52">
      <formula>J250&lt;L250-#REF!</formula>
    </cfRule>
  </conditionalFormatting>
  <conditionalFormatting sqref="J251">
    <cfRule type="expression" dxfId="6737" priority="49">
      <formula>J251&gt;L251+#REF!</formula>
    </cfRule>
    <cfRule type="expression" dxfId="6736" priority="50">
      <formula>J251&lt;L251-#REF!</formula>
    </cfRule>
  </conditionalFormatting>
  <conditionalFormatting sqref="J252">
    <cfRule type="expression" dxfId="6735" priority="47">
      <formula>J252&gt;L252+#REF!</formula>
    </cfRule>
    <cfRule type="expression" dxfId="6734" priority="48">
      <formula>J252&lt;L252-#REF!</formula>
    </cfRule>
  </conditionalFormatting>
  <conditionalFormatting sqref="J253">
    <cfRule type="expression" dxfId="6733" priority="45">
      <formula>J253&gt;L253+#REF!</formula>
    </cfRule>
    <cfRule type="expression" dxfId="6732" priority="46">
      <formula>J253&lt;L253-#REF!</formula>
    </cfRule>
  </conditionalFormatting>
  <conditionalFormatting sqref="J254">
    <cfRule type="expression" dxfId="6731" priority="43">
      <formula>J254&gt;L254+#REF!</formula>
    </cfRule>
    <cfRule type="expression" dxfId="6730" priority="44">
      <formula>J254&lt;L254-#REF!</formula>
    </cfRule>
  </conditionalFormatting>
  <conditionalFormatting sqref="J255:J256">
    <cfRule type="expression" dxfId="6729" priority="41">
      <formula>J255&gt;L255+#REF!</formula>
    </cfRule>
    <cfRule type="expression" dxfId="6728" priority="42">
      <formula>J255&lt;L255-#REF!</formula>
    </cfRule>
  </conditionalFormatting>
  <conditionalFormatting sqref="J257">
    <cfRule type="expression" dxfId="6727" priority="39">
      <formula>J257&gt;L257+#REF!</formula>
    </cfRule>
    <cfRule type="expression" dxfId="6726" priority="40">
      <formula>J257&lt;L257-#REF!</formula>
    </cfRule>
  </conditionalFormatting>
  <conditionalFormatting sqref="J22">
    <cfRule type="expression" dxfId="6725" priority="559">
      <formula>J22&lt;L22*#REF!</formula>
    </cfRule>
    <cfRule type="expression" dxfId="6724" priority="560">
      <formula>J22&gt;L22*#REF!</formula>
    </cfRule>
  </conditionalFormatting>
  <conditionalFormatting sqref="J23">
    <cfRule type="expression" dxfId="6723" priority="557">
      <formula>J23&lt;L23*#REF!</formula>
    </cfRule>
    <cfRule type="expression" dxfId="6722" priority="558">
      <formula>J23&gt;L23*#REF!</formula>
    </cfRule>
  </conditionalFormatting>
  <conditionalFormatting sqref="J34">
    <cfRule type="expression" dxfId="6721" priority="555">
      <formula>J34&lt;L34*#REF!</formula>
    </cfRule>
    <cfRule type="expression" dxfId="6720" priority="556">
      <formula>J34&gt;L34*#REF!</formula>
    </cfRule>
  </conditionalFormatting>
  <conditionalFormatting sqref="J24">
    <cfRule type="expression" dxfId="6719" priority="553">
      <formula>J24&gt;L24+#REF!</formula>
    </cfRule>
    <cfRule type="expression" dxfId="6718" priority="554">
      <formula>J24&lt;L24-#REF!</formula>
    </cfRule>
  </conditionalFormatting>
  <conditionalFormatting sqref="J25">
    <cfRule type="expression" dxfId="6717" priority="551">
      <formula>J25&gt;L25+#REF!</formula>
    </cfRule>
    <cfRule type="expression" dxfId="6716" priority="552">
      <formula>J25&lt;L25-#REF!</formula>
    </cfRule>
  </conditionalFormatting>
  <conditionalFormatting sqref="J26">
    <cfRule type="expression" dxfId="6715" priority="549">
      <formula>J26&gt;L26+#REF!</formula>
    </cfRule>
    <cfRule type="expression" dxfId="6714" priority="550">
      <formula>J26&lt;L26-#REF!</formula>
    </cfRule>
  </conditionalFormatting>
  <conditionalFormatting sqref="J27">
    <cfRule type="expression" dxfId="6713" priority="547">
      <formula>J27&gt;L27+#REF!</formula>
    </cfRule>
    <cfRule type="expression" dxfId="6712" priority="548">
      <formula>J27&lt;L27-#REF!</formula>
    </cfRule>
  </conditionalFormatting>
  <conditionalFormatting sqref="J28">
    <cfRule type="expression" dxfId="6711" priority="545">
      <formula>J28&gt;L28+#REF!</formula>
    </cfRule>
    <cfRule type="expression" dxfId="6710" priority="546">
      <formula>J28&lt;L28-#REF!</formula>
    </cfRule>
  </conditionalFormatting>
  <conditionalFormatting sqref="J29">
    <cfRule type="expression" dxfId="6709" priority="543">
      <formula>J29&gt;L29+#REF!</formula>
    </cfRule>
    <cfRule type="expression" dxfId="6708" priority="544">
      <formula>J29&lt;L29-#REF!</formula>
    </cfRule>
  </conditionalFormatting>
  <conditionalFormatting sqref="J30">
    <cfRule type="expression" dxfId="6707" priority="541">
      <formula>J30&gt;L30+#REF!</formula>
    </cfRule>
    <cfRule type="expression" dxfId="6706" priority="542">
      <formula>J30&lt;L30-#REF!</formula>
    </cfRule>
  </conditionalFormatting>
  <conditionalFormatting sqref="J31:J32">
    <cfRule type="expression" dxfId="6705" priority="539">
      <formula>J31&gt;L31+#REF!</formula>
    </cfRule>
    <cfRule type="expression" dxfId="6704" priority="540">
      <formula>J31&lt;L31-#REF!</formula>
    </cfRule>
  </conditionalFormatting>
  <conditionalFormatting sqref="J33">
    <cfRule type="expression" dxfId="6703" priority="537">
      <formula>J33&gt;L33+#REF!</formula>
    </cfRule>
    <cfRule type="expression" dxfId="6702" priority="538">
      <formula>J33&lt;L33-#REF!</formula>
    </cfRule>
  </conditionalFormatting>
  <conditionalFormatting sqref="J36">
    <cfRule type="expression" dxfId="6701" priority="535">
      <formula>J36&lt;L36*#REF!</formula>
    </cfRule>
    <cfRule type="expression" dxfId="6700" priority="536">
      <formula>J36&gt;L36*#REF!</formula>
    </cfRule>
  </conditionalFormatting>
  <conditionalFormatting sqref="J37">
    <cfRule type="expression" dxfId="6699" priority="533">
      <formula>J37&lt;L37*#REF!</formula>
    </cfRule>
    <cfRule type="expression" dxfId="6698" priority="534">
      <formula>J37&gt;L37*#REF!</formula>
    </cfRule>
  </conditionalFormatting>
  <conditionalFormatting sqref="J38">
    <cfRule type="expression" dxfId="6697" priority="529">
      <formula>J38&gt;L38+#REF!</formula>
    </cfRule>
    <cfRule type="expression" dxfId="6696" priority="530">
      <formula>J38&lt;L38-#REF!</formula>
    </cfRule>
  </conditionalFormatting>
  <conditionalFormatting sqref="J39">
    <cfRule type="expression" dxfId="6695" priority="527">
      <formula>J39&gt;L39+#REF!</formula>
    </cfRule>
    <cfRule type="expression" dxfId="6694" priority="528">
      <formula>J39&lt;L39-#REF!</formula>
    </cfRule>
  </conditionalFormatting>
  <conditionalFormatting sqref="J40">
    <cfRule type="expression" dxfId="6693" priority="525">
      <formula>J40&gt;L40+#REF!</formula>
    </cfRule>
    <cfRule type="expression" dxfId="6692" priority="526">
      <formula>J40&lt;L40-#REF!</formula>
    </cfRule>
  </conditionalFormatting>
  <conditionalFormatting sqref="J41">
    <cfRule type="expression" dxfId="6691" priority="523">
      <formula>J41&gt;L41+#REF!</formula>
    </cfRule>
    <cfRule type="expression" dxfId="6690" priority="524">
      <formula>J41&lt;L41-#REF!</formula>
    </cfRule>
  </conditionalFormatting>
  <conditionalFormatting sqref="J42">
    <cfRule type="expression" dxfId="6689" priority="521">
      <formula>J42&gt;L42+#REF!</formula>
    </cfRule>
    <cfRule type="expression" dxfId="6688" priority="522">
      <formula>J42&lt;L42-#REF!</formula>
    </cfRule>
  </conditionalFormatting>
  <conditionalFormatting sqref="J43">
    <cfRule type="expression" dxfId="6687" priority="519">
      <formula>J43&gt;L43+#REF!</formula>
    </cfRule>
    <cfRule type="expression" dxfId="6686" priority="520">
      <formula>J43&lt;L43-#REF!</formula>
    </cfRule>
  </conditionalFormatting>
  <conditionalFormatting sqref="J44">
    <cfRule type="expression" dxfId="6685" priority="517">
      <formula>J44&gt;L44+#REF!</formula>
    </cfRule>
    <cfRule type="expression" dxfId="6684" priority="518">
      <formula>J44&lt;L44-#REF!</formula>
    </cfRule>
  </conditionalFormatting>
  <conditionalFormatting sqref="J45:J46">
    <cfRule type="expression" dxfId="6683" priority="515">
      <formula>J45&gt;L45+#REF!</formula>
    </cfRule>
    <cfRule type="expression" dxfId="6682" priority="516">
      <formula>J45&lt;L45-#REF!</formula>
    </cfRule>
  </conditionalFormatting>
  <conditionalFormatting sqref="J47">
    <cfRule type="expression" dxfId="6681" priority="513">
      <formula>J47&gt;L47+#REF!</formula>
    </cfRule>
    <cfRule type="expression" dxfId="6680" priority="514">
      <formula>J47&lt;L47-#REF!</formula>
    </cfRule>
  </conditionalFormatting>
  <conditionalFormatting sqref="J50">
    <cfRule type="expression" dxfId="6679" priority="511">
      <formula>J50&lt;L50*#REF!</formula>
    </cfRule>
    <cfRule type="expression" dxfId="6678" priority="512">
      <formula>J50&gt;L50*#REF!</formula>
    </cfRule>
  </conditionalFormatting>
  <conditionalFormatting sqref="J51">
    <cfRule type="expression" dxfId="6677" priority="509">
      <formula>J51&lt;L51*#REF!</formula>
    </cfRule>
    <cfRule type="expression" dxfId="6676" priority="510">
      <formula>J51&gt;L51*#REF!</formula>
    </cfRule>
  </conditionalFormatting>
  <conditionalFormatting sqref="J52">
    <cfRule type="expression" dxfId="6675" priority="505">
      <formula>J52&gt;L52+#REF!</formula>
    </cfRule>
    <cfRule type="expression" dxfId="6674" priority="506">
      <formula>J52&lt;L52-#REF!</formula>
    </cfRule>
  </conditionalFormatting>
  <conditionalFormatting sqref="J53">
    <cfRule type="expression" dxfId="6673" priority="503">
      <formula>J53&gt;L53+#REF!</formula>
    </cfRule>
    <cfRule type="expression" dxfId="6672" priority="504">
      <formula>J53&lt;L53-#REF!</formula>
    </cfRule>
  </conditionalFormatting>
  <conditionalFormatting sqref="J54">
    <cfRule type="expression" dxfId="6671" priority="501">
      <formula>J54&gt;L54+#REF!</formula>
    </cfRule>
    <cfRule type="expression" dxfId="6670" priority="502">
      <formula>J54&lt;L54-#REF!</formula>
    </cfRule>
  </conditionalFormatting>
  <conditionalFormatting sqref="J55">
    <cfRule type="expression" dxfId="6669" priority="499">
      <formula>J55&gt;L55+#REF!</formula>
    </cfRule>
    <cfRule type="expression" dxfId="6668" priority="500">
      <formula>J55&lt;L55-#REF!</formula>
    </cfRule>
  </conditionalFormatting>
  <conditionalFormatting sqref="J56">
    <cfRule type="expression" dxfId="6667" priority="497">
      <formula>J56&gt;L56+#REF!</formula>
    </cfRule>
    <cfRule type="expression" dxfId="6666" priority="498">
      <formula>J56&lt;L56-#REF!</formula>
    </cfRule>
  </conditionalFormatting>
  <conditionalFormatting sqref="J57">
    <cfRule type="expression" dxfId="6665" priority="495">
      <formula>J57&gt;L57+#REF!</formula>
    </cfRule>
    <cfRule type="expression" dxfId="6664" priority="496">
      <formula>J57&lt;L57-#REF!</formula>
    </cfRule>
  </conditionalFormatting>
  <conditionalFormatting sqref="J58">
    <cfRule type="expression" dxfId="6663" priority="493">
      <formula>J58&gt;L58+#REF!</formula>
    </cfRule>
    <cfRule type="expression" dxfId="6662" priority="494">
      <formula>J58&lt;L58-#REF!</formula>
    </cfRule>
  </conditionalFormatting>
  <conditionalFormatting sqref="J59:J60">
    <cfRule type="expression" dxfId="6661" priority="491">
      <formula>J59&gt;L59+#REF!</formula>
    </cfRule>
    <cfRule type="expression" dxfId="6660" priority="492">
      <formula>J59&lt;L59-#REF!</formula>
    </cfRule>
  </conditionalFormatting>
  <conditionalFormatting sqref="J61">
    <cfRule type="expression" dxfId="6659" priority="489">
      <formula>J61&gt;L61+#REF!</formula>
    </cfRule>
    <cfRule type="expression" dxfId="6658" priority="490">
      <formula>J61&lt;L61-#REF!</formula>
    </cfRule>
  </conditionalFormatting>
  <conditionalFormatting sqref="J64">
    <cfRule type="expression" dxfId="6657" priority="487">
      <formula>J64&lt;L64*#REF!</formula>
    </cfRule>
    <cfRule type="expression" dxfId="6656" priority="488">
      <formula>J64&gt;L64*#REF!</formula>
    </cfRule>
  </conditionalFormatting>
  <conditionalFormatting sqref="J65">
    <cfRule type="expression" dxfId="6655" priority="485">
      <formula>J65&lt;L65*#REF!</formula>
    </cfRule>
    <cfRule type="expression" dxfId="6654" priority="486">
      <formula>J65&gt;L65*#REF!</formula>
    </cfRule>
  </conditionalFormatting>
  <conditionalFormatting sqref="J66">
    <cfRule type="expression" dxfId="6653" priority="481">
      <formula>J66&gt;L66+#REF!</formula>
    </cfRule>
    <cfRule type="expression" dxfId="6652" priority="482">
      <formula>J66&lt;L66-#REF!</formula>
    </cfRule>
  </conditionalFormatting>
  <conditionalFormatting sqref="J67">
    <cfRule type="expression" dxfId="6651" priority="479">
      <formula>J67&gt;L67+#REF!</formula>
    </cfRule>
    <cfRule type="expression" dxfId="6650" priority="480">
      <formula>J67&lt;L67-#REF!</formula>
    </cfRule>
  </conditionalFormatting>
  <conditionalFormatting sqref="J68">
    <cfRule type="expression" dxfId="6649" priority="477">
      <formula>J68&gt;L68+#REF!</formula>
    </cfRule>
    <cfRule type="expression" dxfId="6648" priority="478">
      <formula>J68&lt;L68-#REF!</formula>
    </cfRule>
  </conditionalFormatting>
  <conditionalFormatting sqref="J69">
    <cfRule type="expression" dxfId="6647" priority="475">
      <formula>J69&gt;L69+#REF!</formula>
    </cfRule>
    <cfRule type="expression" dxfId="6646" priority="476">
      <formula>J69&lt;L69-#REF!</formula>
    </cfRule>
  </conditionalFormatting>
  <conditionalFormatting sqref="J70">
    <cfRule type="expression" dxfId="6645" priority="473">
      <formula>J70&gt;L70+#REF!</formula>
    </cfRule>
    <cfRule type="expression" dxfId="6644" priority="474">
      <formula>J70&lt;L70-#REF!</formula>
    </cfRule>
  </conditionalFormatting>
  <conditionalFormatting sqref="J71">
    <cfRule type="expression" dxfId="6643" priority="471">
      <formula>J71&gt;L71+#REF!</formula>
    </cfRule>
    <cfRule type="expression" dxfId="6642" priority="472">
      <formula>J71&lt;L71-#REF!</formula>
    </cfRule>
  </conditionalFormatting>
  <conditionalFormatting sqref="J72">
    <cfRule type="expression" dxfId="6641" priority="469">
      <formula>J72&gt;L72+#REF!</formula>
    </cfRule>
    <cfRule type="expression" dxfId="6640" priority="470">
      <formula>J72&lt;L72-#REF!</formula>
    </cfRule>
  </conditionalFormatting>
  <conditionalFormatting sqref="J73:J74">
    <cfRule type="expression" dxfId="6639" priority="467">
      <formula>J73&gt;L73+#REF!</formula>
    </cfRule>
    <cfRule type="expression" dxfId="6638" priority="468">
      <formula>J73&lt;L73-#REF!</formula>
    </cfRule>
  </conditionalFormatting>
  <conditionalFormatting sqref="J75">
    <cfRule type="expression" dxfId="6637" priority="465">
      <formula>J75&gt;L75+#REF!</formula>
    </cfRule>
    <cfRule type="expression" dxfId="6636" priority="466">
      <formula>J75&lt;L75-#REF!</formula>
    </cfRule>
  </conditionalFormatting>
  <conditionalFormatting sqref="J78">
    <cfRule type="expression" dxfId="6635" priority="463">
      <formula>J78&lt;L78*#REF!</formula>
    </cfRule>
    <cfRule type="expression" dxfId="6634" priority="464">
      <formula>J78&gt;L78*#REF!</formula>
    </cfRule>
  </conditionalFormatting>
  <conditionalFormatting sqref="J79">
    <cfRule type="expression" dxfId="6633" priority="461">
      <formula>J79&lt;L79*#REF!</formula>
    </cfRule>
    <cfRule type="expression" dxfId="6632" priority="462">
      <formula>J79&gt;L79*#REF!</formula>
    </cfRule>
  </conditionalFormatting>
  <conditionalFormatting sqref="J202">
    <cfRule type="expression" dxfId="6631" priority="297">
      <formula>J202&lt;L202*#REF!</formula>
    </cfRule>
    <cfRule type="expression" dxfId="6630" priority="298">
      <formula>J202&gt;L202*#REF!</formula>
    </cfRule>
  </conditionalFormatting>
  <conditionalFormatting sqref="J80">
    <cfRule type="expression" dxfId="6629" priority="457">
      <formula>J80&gt;L80+#REF!</formula>
    </cfRule>
    <cfRule type="expression" dxfId="6628" priority="458">
      <formula>J80&lt;L80-#REF!</formula>
    </cfRule>
  </conditionalFormatting>
  <conditionalFormatting sqref="J81">
    <cfRule type="expression" dxfId="6627" priority="455">
      <formula>J81&gt;L81+#REF!</formula>
    </cfRule>
    <cfRule type="expression" dxfId="6626" priority="456">
      <formula>J81&lt;L81-#REF!</formula>
    </cfRule>
  </conditionalFormatting>
  <conditionalFormatting sqref="J82">
    <cfRule type="expression" dxfId="6625" priority="453">
      <formula>J82&gt;L82+#REF!</formula>
    </cfRule>
    <cfRule type="expression" dxfId="6624" priority="454">
      <formula>J82&lt;L82-#REF!</formula>
    </cfRule>
  </conditionalFormatting>
  <conditionalFormatting sqref="J83">
    <cfRule type="expression" dxfId="6623" priority="451">
      <formula>J83&gt;L83+#REF!</formula>
    </cfRule>
    <cfRule type="expression" dxfId="6622" priority="452">
      <formula>J83&lt;L83-#REF!</formula>
    </cfRule>
  </conditionalFormatting>
  <conditionalFormatting sqref="J84">
    <cfRule type="expression" dxfId="6621" priority="449">
      <formula>J84&gt;L84+#REF!</formula>
    </cfRule>
    <cfRule type="expression" dxfId="6620" priority="450">
      <formula>J84&lt;L84-#REF!</formula>
    </cfRule>
  </conditionalFormatting>
  <conditionalFormatting sqref="J85">
    <cfRule type="expression" dxfId="6619" priority="447">
      <formula>J85&gt;L85+#REF!</formula>
    </cfRule>
    <cfRule type="expression" dxfId="6618" priority="448">
      <formula>J85&lt;L85-#REF!</formula>
    </cfRule>
  </conditionalFormatting>
  <conditionalFormatting sqref="J86">
    <cfRule type="expression" dxfId="6617" priority="445">
      <formula>J86&gt;L86+#REF!</formula>
    </cfRule>
    <cfRule type="expression" dxfId="6616" priority="446">
      <formula>J86&lt;L86-#REF!</formula>
    </cfRule>
  </conditionalFormatting>
  <conditionalFormatting sqref="J87:J88">
    <cfRule type="expression" dxfId="6615" priority="443">
      <formula>J87&gt;L87+#REF!</formula>
    </cfRule>
    <cfRule type="expression" dxfId="6614" priority="444">
      <formula>J87&lt;L87-#REF!</formula>
    </cfRule>
  </conditionalFormatting>
  <conditionalFormatting sqref="J89">
    <cfRule type="expression" dxfId="6613" priority="441">
      <formula>J89&gt;L89+#REF!</formula>
    </cfRule>
    <cfRule type="expression" dxfId="6612" priority="442">
      <formula>J89&lt;L89-#REF!</formula>
    </cfRule>
  </conditionalFormatting>
  <conditionalFormatting sqref="J106">
    <cfRule type="expression" dxfId="6611" priority="415">
      <formula>J106&lt;L106*#REF!</formula>
    </cfRule>
    <cfRule type="expression" dxfId="6610" priority="416">
      <formula>J106&gt;L106*#REF!</formula>
    </cfRule>
  </conditionalFormatting>
  <conditionalFormatting sqref="J107">
    <cfRule type="expression" dxfId="6609" priority="413">
      <formula>J107&lt;L107*#REF!</formula>
    </cfRule>
    <cfRule type="expression" dxfId="6608" priority="414">
      <formula>J107&gt;L107*#REF!</formula>
    </cfRule>
  </conditionalFormatting>
  <conditionalFormatting sqref="J216">
    <cfRule type="expression" dxfId="6607" priority="249">
      <formula>J216&lt;L216*#REF!</formula>
    </cfRule>
    <cfRule type="expression" dxfId="6606" priority="250">
      <formula>J216&gt;L216*#REF!</formula>
    </cfRule>
  </conditionalFormatting>
  <conditionalFormatting sqref="J111">
    <cfRule type="expression" dxfId="6605" priority="409">
      <formula>J111&gt;L111+#REF!</formula>
    </cfRule>
    <cfRule type="expression" dxfId="6604" priority="410">
      <formula>J111&lt;L111-#REF!</formula>
    </cfRule>
  </conditionalFormatting>
  <conditionalFormatting sqref="J112">
    <cfRule type="expression" dxfId="6603" priority="407">
      <formula>J112&gt;L112+#REF!</formula>
    </cfRule>
    <cfRule type="expression" dxfId="6602" priority="408">
      <formula>J112&lt;L112-#REF!</formula>
    </cfRule>
  </conditionalFormatting>
  <conditionalFormatting sqref="J113">
    <cfRule type="expression" dxfId="6601" priority="405">
      <formula>J113&gt;L113+#REF!</formula>
    </cfRule>
    <cfRule type="expression" dxfId="6600" priority="406">
      <formula>J113&lt;L113-#REF!</formula>
    </cfRule>
  </conditionalFormatting>
  <conditionalFormatting sqref="J114">
    <cfRule type="expression" dxfId="6599" priority="403">
      <formula>J114&gt;L114+#REF!</formula>
    </cfRule>
    <cfRule type="expression" dxfId="6598" priority="404">
      <formula>J114&lt;L114-#REF!</formula>
    </cfRule>
  </conditionalFormatting>
  <conditionalFormatting sqref="J115:J116">
    <cfRule type="expression" dxfId="6597" priority="401">
      <formula>J115&gt;L115+#REF!</formula>
    </cfRule>
    <cfRule type="expression" dxfId="6596" priority="402">
      <formula>J115&lt;L115-#REF!</formula>
    </cfRule>
  </conditionalFormatting>
  <conditionalFormatting sqref="J117">
    <cfRule type="expression" dxfId="6595" priority="399">
      <formula>J117&gt;L117+#REF!</formula>
    </cfRule>
    <cfRule type="expression" dxfId="6594" priority="400">
      <formula>J117&lt;L117-#REF!</formula>
    </cfRule>
  </conditionalFormatting>
  <conditionalFormatting sqref="J120">
    <cfRule type="expression" dxfId="6593" priority="397">
      <formula>J120&lt;L120*#REF!</formula>
    </cfRule>
    <cfRule type="expression" dxfId="6592" priority="398">
      <formula>J120&gt;L120*#REF!</formula>
    </cfRule>
  </conditionalFormatting>
  <conditionalFormatting sqref="J121">
    <cfRule type="expression" dxfId="6591" priority="395">
      <formula>J121&lt;L121*#REF!</formula>
    </cfRule>
    <cfRule type="expression" dxfId="6590" priority="396">
      <formula>J121&gt;L121*#REF!</formula>
    </cfRule>
  </conditionalFormatting>
  <conditionalFormatting sqref="J122">
    <cfRule type="expression" dxfId="6589" priority="391">
      <formula>J122&gt;L122+#REF!</formula>
    </cfRule>
    <cfRule type="expression" dxfId="6588" priority="392">
      <formula>J122&lt;L122-#REF!</formula>
    </cfRule>
  </conditionalFormatting>
  <conditionalFormatting sqref="J123">
    <cfRule type="expression" dxfId="6587" priority="389">
      <formula>J123&gt;L123+#REF!</formula>
    </cfRule>
    <cfRule type="expression" dxfId="6586" priority="390">
      <formula>J123&lt;L123-#REF!</formula>
    </cfRule>
  </conditionalFormatting>
  <conditionalFormatting sqref="J124">
    <cfRule type="expression" dxfId="6585" priority="387">
      <formula>J124&gt;L124+#REF!</formula>
    </cfRule>
    <cfRule type="expression" dxfId="6584" priority="388">
      <formula>J124&lt;L124-#REF!</formula>
    </cfRule>
  </conditionalFormatting>
  <conditionalFormatting sqref="J125">
    <cfRule type="expression" dxfId="6583" priority="385">
      <formula>J125&gt;L125+#REF!</formula>
    </cfRule>
    <cfRule type="expression" dxfId="6582" priority="386">
      <formula>J125&lt;L125-#REF!</formula>
    </cfRule>
  </conditionalFormatting>
  <conditionalFormatting sqref="J126">
    <cfRule type="expression" dxfId="6581" priority="383">
      <formula>J126&gt;L126+#REF!</formula>
    </cfRule>
    <cfRule type="expression" dxfId="6580" priority="384">
      <formula>J126&lt;L126-#REF!</formula>
    </cfRule>
  </conditionalFormatting>
  <conditionalFormatting sqref="J127">
    <cfRule type="expression" dxfId="6579" priority="381">
      <formula>J127&gt;L127+#REF!</formula>
    </cfRule>
    <cfRule type="expression" dxfId="6578" priority="382">
      <formula>J127&lt;L127-#REF!</formula>
    </cfRule>
  </conditionalFormatting>
  <conditionalFormatting sqref="J128">
    <cfRule type="expression" dxfId="6577" priority="379">
      <formula>J128&gt;L128+#REF!</formula>
    </cfRule>
    <cfRule type="expression" dxfId="6576" priority="380">
      <formula>J128&lt;L128-#REF!</formula>
    </cfRule>
  </conditionalFormatting>
  <conditionalFormatting sqref="J129:J130">
    <cfRule type="expression" dxfId="6575" priority="377">
      <formula>J129&gt;L129+#REF!</formula>
    </cfRule>
    <cfRule type="expression" dxfId="6574" priority="378">
      <formula>J129&lt;L129-#REF!</formula>
    </cfRule>
  </conditionalFormatting>
  <conditionalFormatting sqref="J131">
    <cfRule type="expression" dxfId="6573" priority="375">
      <formula>J131&gt;L131+#REF!</formula>
    </cfRule>
    <cfRule type="expression" dxfId="6572" priority="376">
      <formula>J131&lt;L131-#REF!</formula>
    </cfRule>
  </conditionalFormatting>
  <conditionalFormatting sqref="J148">
    <cfRule type="expression" dxfId="6571" priority="349">
      <formula>J148&lt;L148*#REF!</formula>
    </cfRule>
    <cfRule type="expression" dxfId="6570" priority="350">
      <formula>J148&gt;L148*#REF!</formula>
    </cfRule>
  </conditionalFormatting>
  <conditionalFormatting sqref="J149">
    <cfRule type="expression" dxfId="6569" priority="347">
      <formula>J149&lt;L149*#REF!</formula>
    </cfRule>
    <cfRule type="expression" dxfId="6568" priority="348">
      <formula>J149&gt;L149*#REF!</formula>
    </cfRule>
  </conditionalFormatting>
  <conditionalFormatting sqref="J150">
    <cfRule type="expression" dxfId="6567" priority="343">
      <formula>J150&gt;L150+#REF!</formula>
    </cfRule>
    <cfRule type="expression" dxfId="6566" priority="344">
      <formula>J150&lt;L150-#REF!</formula>
    </cfRule>
  </conditionalFormatting>
  <conditionalFormatting sqref="J151">
    <cfRule type="expression" dxfId="6565" priority="341">
      <formula>J151&gt;L151+#REF!</formula>
    </cfRule>
    <cfRule type="expression" dxfId="6564" priority="342">
      <formula>J151&lt;L151-#REF!</formula>
    </cfRule>
  </conditionalFormatting>
  <conditionalFormatting sqref="J152">
    <cfRule type="expression" dxfId="6563" priority="339">
      <formula>J152&gt;L152+#REF!</formula>
    </cfRule>
    <cfRule type="expression" dxfId="6562" priority="340">
      <formula>J152&lt;L152-#REF!</formula>
    </cfRule>
  </conditionalFormatting>
  <conditionalFormatting sqref="J153">
    <cfRule type="expression" dxfId="6561" priority="337">
      <formula>J153&gt;L153+#REF!</formula>
    </cfRule>
    <cfRule type="expression" dxfId="6560" priority="338">
      <formula>J153&lt;L153-#REF!</formula>
    </cfRule>
  </conditionalFormatting>
  <conditionalFormatting sqref="J154">
    <cfRule type="expression" dxfId="6559" priority="335">
      <formula>J154&gt;L154+#REF!</formula>
    </cfRule>
    <cfRule type="expression" dxfId="6558" priority="336">
      <formula>J154&lt;L154-#REF!</formula>
    </cfRule>
  </conditionalFormatting>
  <conditionalFormatting sqref="J155">
    <cfRule type="expression" dxfId="6557" priority="333">
      <formula>J155&gt;L155+#REF!</formula>
    </cfRule>
    <cfRule type="expression" dxfId="6556" priority="334">
      <formula>J155&lt;L155-#REF!</formula>
    </cfRule>
  </conditionalFormatting>
  <conditionalFormatting sqref="J156">
    <cfRule type="expression" dxfId="6555" priority="331">
      <formula>J156&gt;L156+#REF!</formula>
    </cfRule>
    <cfRule type="expression" dxfId="6554" priority="332">
      <formula>J156&lt;L156-#REF!</formula>
    </cfRule>
  </conditionalFormatting>
  <conditionalFormatting sqref="J157:J158">
    <cfRule type="expression" dxfId="6553" priority="329">
      <formula>J157&gt;L157+#REF!</formula>
    </cfRule>
    <cfRule type="expression" dxfId="6552" priority="330">
      <formula>J157&lt;L157-#REF!</formula>
    </cfRule>
  </conditionalFormatting>
  <conditionalFormatting sqref="J159">
    <cfRule type="expression" dxfId="6551" priority="327">
      <formula>J159&gt;L159+#REF!</formula>
    </cfRule>
    <cfRule type="expression" dxfId="6550" priority="328">
      <formula>J159&lt;L159-#REF!</formula>
    </cfRule>
  </conditionalFormatting>
  <conditionalFormatting sqref="J162">
    <cfRule type="expression" dxfId="6549" priority="325">
      <formula>J162&lt;L162*#REF!</formula>
    </cfRule>
    <cfRule type="expression" dxfId="6548" priority="326">
      <formula>J162&gt;L162*#REF!</formula>
    </cfRule>
  </conditionalFormatting>
  <conditionalFormatting sqref="J163">
    <cfRule type="expression" dxfId="6547" priority="323">
      <formula>J163&lt;L163*#REF!</formula>
    </cfRule>
    <cfRule type="expression" dxfId="6546" priority="324">
      <formula>J163&gt;L163*#REF!</formula>
    </cfRule>
  </conditionalFormatting>
  <conditionalFormatting sqref="J164">
    <cfRule type="expression" dxfId="6545" priority="319">
      <formula>J164&gt;L164+#REF!</formula>
    </cfRule>
    <cfRule type="expression" dxfId="6544" priority="320">
      <formula>J164&lt;L164-#REF!</formula>
    </cfRule>
  </conditionalFormatting>
  <conditionalFormatting sqref="J165">
    <cfRule type="expression" dxfId="6543" priority="317">
      <formula>J165&gt;L165+#REF!</formula>
    </cfRule>
    <cfRule type="expression" dxfId="6542" priority="318">
      <formula>J165&lt;L165-#REF!</formula>
    </cfRule>
  </conditionalFormatting>
  <conditionalFormatting sqref="J166">
    <cfRule type="expression" dxfId="6541" priority="315">
      <formula>J166&gt;L166+#REF!</formula>
    </cfRule>
    <cfRule type="expression" dxfId="6540" priority="316">
      <formula>J166&lt;L166-#REF!</formula>
    </cfRule>
  </conditionalFormatting>
  <conditionalFormatting sqref="J167">
    <cfRule type="expression" dxfId="6539" priority="313">
      <formula>J167&gt;L167+#REF!</formula>
    </cfRule>
    <cfRule type="expression" dxfId="6538" priority="314">
      <formula>J167&lt;L167-#REF!</formula>
    </cfRule>
  </conditionalFormatting>
  <conditionalFormatting sqref="J168">
    <cfRule type="expression" dxfId="6537" priority="311">
      <formula>J168&gt;L168+#REF!</formula>
    </cfRule>
    <cfRule type="expression" dxfId="6536" priority="312">
      <formula>J168&lt;L168-#REF!</formula>
    </cfRule>
  </conditionalFormatting>
  <conditionalFormatting sqref="J169">
    <cfRule type="expression" dxfId="6535" priority="309">
      <formula>J169&gt;L169+#REF!</formula>
    </cfRule>
    <cfRule type="expression" dxfId="6534" priority="310">
      <formula>J169&lt;L169-#REF!</formula>
    </cfRule>
  </conditionalFormatting>
  <conditionalFormatting sqref="J170">
    <cfRule type="expression" dxfId="6533" priority="307">
      <formula>J170&gt;L170+#REF!</formula>
    </cfRule>
    <cfRule type="expression" dxfId="6532" priority="308">
      <formula>J170&lt;L170-#REF!</formula>
    </cfRule>
  </conditionalFormatting>
  <conditionalFormatting sqref="J171:J172">
    <cfRule type="expression" dxfId="6531" priority="305">
      <formula>J171&gt;L171+#REF!</formula>
    </cfRule>
    <cfRule type="expression" dxfId="6530" priority="306">
      <formula>J171&lt;L171-#REF!</formula>
    </cfRule>
  </conditionalFormatting>
  <conditionalFormatting sqref="J173">
    <cfRule type="expression" dxfId="6529" priority="303">
      <formula>J173&gt;L173+#REF!</formula>
    </cfRule>
    <cfRule type="expression" dxfId="6528" priority="304">
      <formula>J173&lt;L173-#REF!</formula>
    </cfRule>
  </conditionalFormatting>
  <conditionalFormatting sqref="J190">
    <cfRule type="expression" dxfId="6527" priority="301">
      <formula>J190&lt;L190*#REF!</formula>
    </cfRule>
    <cfRule type="expression" dxfId="6526" priority="302">
      <formula>J190&gt;L190*#REF!</formula>
    </cfRule>
  </conditionalFormatting>
  <conditionalFormatting sqref="J191">
    <cfRule type="expression" dxfId="6525" priority="299">
      <formula>J191&lt;L191*#REF!</formula>
    </cfRule>
    <cfRule type="expression" dxfId="6524" priority="300">
      <formula>J191&gt;L191*#REF!</formula>
    </cfRule>
  </conditionalFormatting>
  <conditionalFormatting sqref="J192">
    <cfRule type="expression" dxfId="6523" priority="295">
      <formula>J192&gt;L192+#REF!</formula>
    </cfRule>
    <cfRule type="expression" dxfId="6522" priority="296">
      <formula>J192&lt;L192-#REF!</formula>
    </cfRule>
  </conditionalFormatting>
  <conditionalFormatting sqref="J193">
    <cfRule type="expression" dxfId="6521" priority="293">
      <formula>J193&gt;L193+#REF!</formula>
    </cfRule>
    <cfRule type="expression" dxfId="6520" priority="294">
      <formula>J193&lt;L193-#REF!</formula>
    </cfRule>
  </conditionalFormatting>
  <conditionalFormatting sqref="J194">
    <cfRule type="expression" dxfId="6519" priority="291">
      <formula>J194&gt;L194+#REF!</formula>
    </cfRule>
    <cfRule type="expression" dxfId="6518" priority="292">
      <formula>J194&lt;L194-#REF!</formula>
    </cfRule>
  </conditionalFormatting>
  <conditionalFormatting sqref="J195">
    <cfRule type="expression" dxfId="6517" priority="289">
      <formula>J195&gt;L195+#REF!</formula>
    </cfRule>
    <cfRule type="expression" dxfId="6516" priority="290">
      <formula>J195&lt;L195-#REF!</formula>
    </cfRule>
  </conditionalFormatting>
  <conditionalFormatting sqref="J196">
    <cfRule type="expression" dxfId="6515" priority="287">
      <formula>J196&gt;L196+#REF!</formula>
    </cfRule>
    <cfRule type="expression" dxfId="6514" priority="288">
      <formula>J196&lt;L196-#REF!</formula>
    </cfRule>
  </conditionalFormatting>
  <conditionalFormatting sqref="J197">
    <cfRule type="expression" dxfId="6513" priority="285">
      <formula>J197&gt;L197+#REF!</formula>
    </cfRule>
    <cfRule type="expression" dxfId="6512" priority="286">
      <formula>J197&lt;L197-#REF!</formula>
    </cfRule>
  </conditionalFormatting>
  <conditionalFormatting sqref="J198">
    <cfRule type="expression" dxfId="6511" priority="283">
      <formula>J198&gt;L198+#REF!</formula>
    </cfRule>
    <cfRule type="expression" dxfId="6510" priority="284">
      <formula>J198&lt;L198-#REF!</formula>
    </cfRule>
  </conditionalFormatting>
  <conditionalFormatting sqref="J199:J200">
    <cfRule type="expression" dxfId="6509" priority="281">
      <formula>J199&gt;L199+#REF!</formula>
    </cfRule>
    <cfRule type="expression" dxfId="6508" priority="282">
      <formula>J199&lt;L199-#REF!</formula>
    </cfRule>
  </conditionalFormatting>
  <conditionalFormatting sqref="J201">
    <cfRule type="expression" dxfId="6507" priority="279">
      <formula>J201&gt;L201+#REF!</formula>
    </cfRule>
    <cfRule type="expression" dxfId="6506" priority="280">
      <formula>J201&lt;L201-#REF!</formula>
    </cfRule>
  </conditionalFormatting>
  <conditionalFormatting sqref="J176">
    <cfRule type="expression" dxfId="6505" priority="277">
      <formula>J176&lt;L176*#REF!</formula>
    </cfRule>
    <cfRule type="expression" dxfId="6504" priority="278">
      <formula>J176&gt;L176*#REF!</formula>
    </cfRule>
  </conditionalFormatting>
  <conditionalFormatting sqref="J177">
    <cfRule type="expression" dxfId="6503" priority="275">
      <formula>J177&lt;L177*#REF!</formula>
    </cfRule>
    <cfRule type="expression" dxfId="6502" priority="276">
      <formula>J177&gt;L177*#REF!</formula>
    </cfRule>
  </conditionalFormatting>
  <conditionalFormatting sqref="J178">
    <cfRule type="expression" dxfId="6501" priority="271">
      <formula>J178&gt;L178+#REF!</formula>
    </cfRule>
    <cfRule type="expression" dxfId="6500" priority="272">
      <formula>J178&lt;L178-#REF!</formula>
    </cfRule>
  </conditionalFormatting>
  <conditionalFormatting sqref="J179">
    <cfRule type="expression" dxfId="6499" priority="269">
      <formula>J179&gt;L179+#REF!</formula>
    </cfRule>
    <cfRule type="expression" dxfId="6498" priority="270">
      <formula>J179&lt;L179-#REF!</formula>
    </cfRule>
  </conditionalFormatting>
  <conditionalFormatting sqref="J180">
    <cfRule type="expression" dxfId="6497" priority="267">
      <formula>J180&gt;L180+#REF!</formula>
    </cfRule>
    <cfRule type="expression" dxfId="6496" priority="268">
      <formula>J180&lt;L180-#REF!</formula>
    </cfRule>
  </conditionalFormatting>
  <conditionalFormatting sqref="J181">
    <cfRule type="expression" dxfId="6495" priority="265">
      <formula>J181&gt;L181+#REF!</formula>
    </cfRule>
    <cfRule type="expression" dxfId="6494" priority="266">
      <formula>J181&lt;L181-#REF!</formula>
    </cfRule>
  </conditionalFormatting>
  <conditionalFormatting sqref="J182">
    <cfRule type="expression" dxfId="6493" priority="263">
      <formula>J182&gt;L182+#REF!</formula>
    </cfRule>
    <cfRule type="expression" dxfId="6492" priority="264">
      <formula>J182&lt;L182-#REF!</formula>
    </cfRule>
  </conditionalFormatting>
  <conditionalFormatting sqref="J183">
    <cfRule type="expression" dxfId="6491" priority="261">
      <formula>J183&gt;L183+#REF!</formula>
    </cfRule>
    <cfRule type="expression" dxfId="6490" priority="262">
      <formula>J183&lt;L183-#REF!</formula>
    </cfRule>
  </conditionalFormatting>
  <conditionalFormatting sqref="J184">
    <cfRule type="expression" dxfId="6489" priority="259">
      <formula>J184&gt;L184+#REF!</formula>
    </cfRule>
    <cfRule type="expression" dxfId="6488" priority="260">
      <formula>J184&lt;L184-#REF!</formula>
    </cfRule>
  </conditionalFormatting>
  <conditionalFormatting sqref="J185:J186">
    <cfRule type="expression" dxfId="6487" priority="257">
      <formula>J185&gt;L185+#REF!</formula>
    </cfRule>
    <cfRule type="expression" dxfId="6486" priority="258">
      <formula>J185&lt;L185-#REF!</formula>
    </cfRule>
  </conditionalFormatting>
  <conditionalFormatting sqref="J187">
    <cfRule type="expression" dxfId="6485" priority="255">
      <formula>J187&gt;L187+#REF!</formula>
    </cfRule>
    <cfRule type="expression" dxfId="6484" priority="256">
      <formula>J187&lt;L187-#REF!</formula>
    </cfRule>
  </conditionalFormatting>
  <conditionalFormatting sqref="J230">
    <cfRule type="expression" dxfId="6483" priority="201">
      <formula>J230&lt;L230*#REF!</formula>
    </cfRule>
    <cfRule type="expression" dxfId="6482" priority="202">
      <formula>J230&gt;L230*#REF!</formula>
    </cfRule>
  </conditionalFormatting>
  <conditionalFormatting sqref="N232">
    <cfRule type="expression" dxfId="6481" priority="181">
      <formula>N232&lt;P232*#REF!</formula>
    </cfRule>
    <cfRule type="expression" dxfId="6480" priority="182">
      <formula>N232&gt;P232*#REF!</formula>
    </cfRule>
  </conditionalFormatting>
  <conditionalFormatting sqref="N233">
    <cfRule type="expression" dxfId="6479" priority="179">
      <formula>N233&lt;P233*#REF!</formula>
    </cfRule>
    <cfRule type="expression" dxfId="6478" priority="180">
      <formula>N233&gt;P233*#REF!</formula>
    </cfRule>
  </conditionalFormatting>
  <conditionalFormatting sqref="N244">
    <cfRule type="expression" dxfId="6477" priority="177">
      <formula>N244&lt;P244*#REF!</formula>
    </cfRule>
    <cfRule type="expression" dxfId="6476" priority="178">
      <formula>N244&gt;P244*#REF!</formula>
    </cfRule>
  </conditionalFormatting>
  <conditionalFormatting sqref="N234">
    <cfRule type="expression" dxfId="6475" priority="175">
      <formula>N234&gt;P234+#REF!</formula>
    </cfRule>
    <cfRule type="expression" dxfId="6474" priority="176">
      <formula>N234&lt;P234-#REF!</formula>
    </cfRule>
  </conditionalFormatting>
  <conditionalFormatting sqref="N235">
    <cfRule type="expression" dxfId="6473" priority="173">
      <formula>N235&gt;P235+#REF!</formula>
    </cfRule>
    <cfRule type="expression" dxfId="6472" priority="174">
      <formula>N235&lt;P235-#REF!</formula>
    </cfRule>
  </conditionalFormatting>
  <conditionalFormatting sqref="N236">
    <cfRule type="expression" dxfId="6471" priority="171">
      <formula>N236&gt;P236+#REF!</formula>
    </cfRule>
    <cfRule type="expression" dxfId="6470" priority="172">
      <formula>N236&lt;P236-#REF!</formula>
    </cfRule>
  </conditionalFormatting>
  <conditionalFormatting sqref="N237">
    <cfRule type="expression" dxfId="6469" priority="169">
      <formula>N237&gt;P237+#REF!</formula>
    </cfRule>
    <cfRule type="expression" dxfId="6468" priority="170">
      <formula>N237&lt;P237-#REF!</formula>
    </cfRule>
  </conditionalFormatting>
  <conditionalFormatting sqref="N238">
    <cfRule type="expression" dxfId="6467" priority="167">
      <formula>N238&gt;P238+#REF!</formula>
    </cfRule>
    <cfRule type="expression" dxfId="6466" priority="168">
      <formula>N238&lt;P238-#REF!</formula>
    </cfRule>
  </conditionalFormatting>
  <conditionalFormatting sqref="N239">
    <cfRule type="expression" dxfId="6465" priority="165">
      <formula>N239&gt;P239+#REF!</formula>
    </cfRule>
    <cfRule type="expression" dxfId="6464" priority="166">
      <formula>N239&lt;P239-#REF!</formula>
    </cfRule>
  </conditionalFormatting>
  <conditionalFormatting sqref="N240">
    <cfRule type="expression" dxfId="6463" priority="163">
      <formula>N240&gt;P240+#REF!</formula>
    </cfRule>
    <cfRule type="expression" dxfId="6462" priority="164">
      <formula>N240&lt;P240-#REF!</formula>
    </cfRule>
  </conditionalFormatting>
  <conditionalFormatting sqref="N241:N242">
    <cfRule type="expression" dxfId="6461" priority="161">
      <formula>N241&gt;P241+#REF!</formula>
    </cfRule>
    <cfRule type="expression" dxfId="6460" priority="162">
      <formula>N241&lt;P241-#REF!</formula>
    </cfRule>
  </conditionalFormatting>
  <conditionalFormatting sqref="N243">
    <cfRule type="expression" dxfId="6459" priority="159">
      <formula>N243&gt;P243+#REF!</formula>
    </cfRule>
    <cfRule type="expression" dxfId="6458" priority="160">
      <formula>N243&lt;P243-#REF!</formula>
    </cfRule>
  </conditionalFormatting>
  <conditionalFormatting sqref="F232">
    <cfRule type="expression" dxfId="6457" priority="157">
      <formula>F232&lt;H232*#REF!</formula>
    </cfRule>
    <cfRule type="expression" dxfId="6456" priority="158">
      <formula>F232&gt;H232*#REF!</formula>
    </cfRule>
  </conditionalFormatting>
  <conditionalFormatting sqref="F233">
    <cfRule type="expression" dxfId="6455" priority="155">
      <formula>F233&lt;H233*#REF!</formula>
    </cfRule>
    <cfRule type="expression" dxfId="6454" priority="156">
      <formula>F233&gt;H233*#REF!</formula>
    </cfRule>
  </conditionalFormatting>
  <conditionalFormatting sqref="F244">
    <cfRule type="expression" dxfId="6453" priority="153">
      <formula>F244&lt;H244*#REF!</formula>
    </cfRule>
    <cfRule type="expression" dxfId="6452" priority="154">
      <formula>F244&gt;H244*#REF!</formula>
    </cfRule>
  </conditionalFormatting>
  <conditionalFormatting sqref="F234">
    <cfRule type="expression" dxfId="6451" priority="151">
      <formula>F234&gt;H234+#REF!</formula>
    </cfRule>
    <cfRule type="expression" dxfId="6450" priority="152">
      <formula>F234&lt;H234-#REF!</formula>
    </cfRule>
  </conditionalFormatting>
  <conditionalFormatting sqref="F235">
    <cfRule type="expression" dxfId="6449" priority="149">
      <formula>F235&gt;H235+#REF!</formula>
    </cfRule>
    <cfRule type="expression" dxfId="6448" priority="150">
      <formula>F235&lt;H235-#REF!</formula>
    </cfRule>
  </conditionalFormatting>
  <conditionalFormatting sqref="F236">
    <cfRule type="expression" dxfId="6447" priority="147">
      <formula>F236&gt;H236+#REF!</formula>
    </cfRule>
    <cfRule type="expression" dxfId="6446" priority="148">
      <formula>F236&lt;H236-#REF!</formula>
    </cfRule>
  </conditionalFormatting>
  <conditionalFormatting sqref="F237">
    <cfRule type="expression" dxfId="6445" priority="145">
      <formula>F237&gt;H237+#REF!</formula>
    </cfRule>
    <cfRule type="expression" dxfId="6444" priority="146">
      <formula>F237&lt;H237-#REF!</formula>
    </cfRule>
  </conditionalFormatting>
  <conditionalFormatting sqref="F238">
    <cfRule type="expression" dxfId="6443" priority="143">
      <formula>F238&gt;H238+#REF!</formula>
    </cfRule>
    <cfRule type="expression" dxfId="6442" priority="144">
      <formula>F238&lt;H238-#REF!</formula>
    </cfRule>
  </conditionalFormatting>
  <conditionalFormatting sqref="F239">
    <cfRule type="expression" dxfId="6441" priority="141">
      <formula>F239&gt;H239+#REF!</formula>
    </cfRule>
    <cfRule type="expression" dxfId="6440" priority="142">
      <formula>F239&lt;H239-#REF!</formula>
    </cfRule>
  </conditionalFormatting>
  <conditionalFormatting sqref="F240">
    <cfRule type="expression" dxfId="6439" priority="139">
      <formula>F240&gt;H240+#REF!</formula>
    </cfRule>
    <cfRule type="expression" dxfId="6438" priority="140">
      <formula>F240&lt;H240-#REF!</formula>
    </cfRule>
  </conditionalFormatting>
  <conditionalFormatting sqref="F241:F242">
    <cfRule type="expression" dxfId="6437" priority="137">
      <formula>F241&gt;H241+#REF!</formula>
    </cfRule>
    <cfRule type="expression" dxfId="6436" priority="138">
      <formula>F241&lt;H241-#REF!</formula>
    </cfRule>
  </conditionalFormatting>
  <conditionalFormatting sqref="F243">
    <cfRule type="expression" dxfId="6435" priority="135">
      <formula>F243&gt;H243+#REF!</formula>
    </cfRule>
    <cfRule type="expression" dxfId="6434" priority="136">
      <formula>F243&lt;H243-#REF!</formula>
    </cfRule>
  </conditionalFormatting>
  <conditionalFormatting sqref="N246">
    <cfRule type="expression" dxfId="6433" priority="109">
      <formula>N246&lt;P246*#REF!</formula>
    </cfRule>
    <cfRule type="expression" dxfId="6432" priority="110">
      <formula>N246&gt;P246*#REF!</formula>
    </cfRule>
  </conditionalFormatting>
  <conditionalFormatting sqref="N247">
    <cfRule type="expression" dxfId="6431" priority="107">
      <formula>N247&lt;P247*#REF!</formula>
    </cfRule>
    <cfRule type="expression" dxfId="6430" priority="108">
      <formula>N247&gt;P247*#REF!</formula>
    </cfRule>
  </conditionalFormatting>
  <conditionalFormatting sqref="N258">
    <cfRule type="expression" dxfId="6429" priority="105">
      <formula>N258&lt;P258*#REF!</formula>
    </cfRule>
    <cfRule type="expression" dxfId="6428" priority="106">
      <formula>N258&gt;P258*#REF!</formula>
    </cfRule>
  </conditionalFormatting>
  <conditionalFormatting sqref="N248">
    <cfRule type="expression" dxfId="6427" priority="103">
      <formula>N248&gt;P248+#REF!</formula>
    </cfRule>
    <cfRule type="expression" dxfId="6426" priority="104">
      <formula>N248&lt;P248-#REF!</formula>
    </cfRule>
  </conditionalFormatting>
  <conditionalFormatting sqref="N249">
    <cfRule type="expression" dxfId="6425" priority="101">
      <formula>N249&gt;P249+#REF!</formula>
    </cfRule>
    <cfRule type="expression" dxfId="6424" priority="102">
      <formula>N249&lt;P249-#REF!</formula>
    </cfRule>
  </conditionalFormatting>
  <conditionalFormatting sqref="N250">
    <cfRule type="expression" dxfId="6423" priority="99">
      <formula>N250&gt;P250+#REF!</formula>
    </cfRule>
    <cfRule type="expression" dxfId="6422" priority="100">
      <formula>N250&lt;P250-#REF!</formula>
    </cfRule>
  </conditionalFormatting>
  <conditionalFormatting sqref="N251">
    <cfRule type="expression" dxfId="6421" priority="97">
      <formula>N251&gt;P251+#REF!</formula>
    </cfRule>
    <cfRule type="expression" dxfId="6420" priority="98">
      <formula>N251&lt;P251-#REF!</formula>
    </cfRule>
  </conditionalFormatting>
  <conditionalFormatting sqref="N252">
    <cfRule type="expression" dxfId="6419" priority="95">
      <formula>N252&gt;P252+#REF!</formula>
    </cfRule>
    <cfRule type="expression" dxfId="6418" priority="96">
      <formula>N252&lt;P252-#REF!</formula>
    </cfRule>
  </conditionalFormatting>
  <conditionalFormatting sqref="N253">
    <cfRule type="expression" dxfId="6417" priority="93">
      <formula>N253&gt;P253+#REF!</formula>
    </cfRule>
    <cfRule type="expression" dxfId="6416" priority="94">
      <formula>N253&lt;P253-#REF!</formula>
    </cfRule>
  </conditionalFormatting>
  <conditionalFormatting sqref="N254">
    <cfRule type="expression" dxfId="6415" priority="91">
      <formula>N254&gt;P254+#REF!</formula>
    </cfRule>
    <cfRule type="expression" dxfId="6414" priority="92">
      <formula>N254&lt;P254-#REF!</formula>
    </cfRule>
  </conditionalFormatting>
  <conditionalFormatting sqref="N255:N256">
    <cfRule type="expression" dxfId="6413" priority="89">
      <formula>N255&gt;P255+#REF!</formula>
    </cfRule>
    <cfRule type="expression" dxfId="6412" priority="90">
      <formula>N255&lt;P255-#REF!</formula>
    </cfRule>
  </conditionalFormatting>
  <conditionalFormatting sqref="N257">
    <cfRule type="expression" dxfId="6411" priority="87">
      <formula>N257&gt;P257+#REF!</formula>
    </cfRule>
    <cfRule type="expression" dxfId="6410" priority="88">
      <formula>N257&lt;P257-#REF!</formula>
    </cfRule>
  </conditionalFormatting>
  <conditionalFormatting sqref="F246">
    <cfRule type="expression" dxfId="6409" priority="85">
      <formula>F246&lt;H246*#REF!</formula>
    </cfRule>
    <cfRule type="expression" dxfId="6408" priority="86">
      <formula>F246&gt;H246*#REF!</formula>
    </cfRule>
  </conditionalFormatting>
  <conditionalFormatting sqref="F247">
    <cfRule type="expression" dxfId="6407" priority="83">
      <formula>F247&lt;H247*#REF!</formula>
    </cfRule>
    <cfRule type="expression" dxfId="6406" priority="84">
      <formula>F247&gt;H247*#REF!</formula>
    </cfRule>
  </conditionalFormatting>
  <conditionalFormatting sqref="F258">
    <cfRule type="expression" dxfId="6405" priority="81">
      <formula>F258&lt;H258*#REF!</formula>
    </cfRule>
    <cfRule type="expression" dxfId="6404" priority="82">
      <formula>F258&gt;H258*#REF!</formula>
    </cfRule>
  </conditionalFormatting>
  <conditionalFormatting sqref="F248">
    <cfRule type="expression" dxfId="6403" priority="79">
      <formula>F248&gt;H248+#REF!</formula>
    </cfRule>
    <cfRule type="expression" dxfId="6402" priority="80">
      <formula>F248&lt;H248-#REF!</formula>
    </cfRule>
  </conditionalFormatting>
  <conditionalFormatting sqref="F249">
    <cfRule type="expression" dxfId="6401" priority="77">
      <formula>F249&gt;H249+#REF!</formula>
    </cfRule>
    <cfRule type="expression" dxfId="6400" priority="78">
      <formula>F249&lt;H249-#REF!</formula>
    </cfRule>
  </conditionalFormatting>
  <conditionalFormatting sqref="F250">
    <cfRule type="expression" dxfId="6399" priority="75">
      <formula>F250&gt;H250+#REF!</formula>
    </cfRule>
    <cfRule type="expression" dxfId="6398" priority="76">
      <formula>F250&lt;H250-#REF!</formula>
    </cfRule>
  </conditionalFormatting>
  <conditionalFormatting sqref="F251">
    <cfRule type="expression" dxfId="6397" priority="73">
      <formula>F251&gt;H251+#REF!</formula>
    </cfRule>
    <cfRule type="expression" dxfId="6396" priority="74">
      <formula>F251&lt;H251-#REF!</formula>
    </cfRule>
  </conditionalFormatting>
  <conditionalFormatting sqref="F252">
    <cfRule type="expression" dxfId="6395" priority="71">
      <formula>F252&gt;H252+#REF!</formula>
    </cfRule>
    <cfRule type="expression" dxfId="6394" priority="72">
      <formula>F252&lt;H252-#REF!</formula>
    </cfRule>
  </conditionalFormatting>
  <conditionalFormatting sqref="F253">
    <cfRule type="expression" dxfId="6393" priority="69">
      <formula>F253&gt;H253+#REF!</formula>
    </cfRule>
    <cfRule type="expression" dxfId="6392" priority="70">
      <formula>F253&lt;H253-#REF!</formula>
    </cfRule>
  </conditionalFormatting>
  <conditionalFormatting sqref="F254">
    <cfRule type="expression" dxfId="6391" priority="67">
      <formula>F254&gt;H254+#REF!</formula>
    </cfRule>
    <cfRule type="expression" dxfId="6390" priority="68">
      <formula>F254&lt;H254-#REF!</formula>
    </cfRule>
  </conditionalFormatting>
  <conditionalFormatting sqref="F255:F256">
    <cfRule type="expression" dxfId="6389" priority="65">
      <formula>F255&gt;H255+#REF!</formula>
    </cfRule>
    <cfRule type="expression" dxfId="6388" priority="66">
      <formula>F255&lt;H255-#REF!</formula>
    </cfRule>
  </conditionalFormatting>
  <conditionalFormatting sqref="F257">
    <cfRule type="expression" dxfId="6387" priority="63">
      <formula>F257&gt;H257+#REF!</formula>
    </cfRule>
    <cfRule type="expression" dxfId="6386" priority="64">
      <formula>F257&lt;H257-#REF!</formula>
    </cfRule>
  </conditionalFormatting>
  <conditionalFormatting sqref="J258">
    <cfRule type="expression" dxfId="6385" priority="57">
      <formula>J258&lt;L258*#REF!</formula>
    </cfRule>
    <cfRule type="expression" dxfId="6384" priority="58">
      <formula>J258&gt;L258*#REF!</formula>
    </cfRule>
  </conditionalFormatting>
  <conditionalFormatting sqref="J108">
    <cfRule type="expression" dxfId="6383" priority="37">
      <formula>J108&gt;L108+#REF!</formula>
    </cfRule>
    <cfRule type="expression" dxfId="6382" priority="38">
      <formula>J108&lt;L108-#REF!</formula>
    </cfRule>
  </conditionalFormatting>
  <conditionalFormatting sqref="J109">
    <cfRule type="expression" dxfId="6381" priority="35">
      <formula>J109&gt;L109+#REF!</formula>
    </cfRule>
    <cfRule type="expression" dxfId="6380" priority="36">
      <formula>J109&lt;L109-#REF!</formula>
    </cfRule>
  </conditionalFormatting>
  <conditionalFormatting sqref="J110">
    <cfRule type="expression" dxfId="6379" priority="33">
      <formula>J110&gt;L110+#REF!</formula>
    </cfRule>
    <cfRule type="expression" dxfId="6378" priority="34">
      <formula>J110&lt;L110-#REF!</formula>
    </cfRule>
  </conditionalFormatting>
  <conditionalFormatting sqref="K67">
    <cfRule type="expression" dxfId="6377" priority="31">
      <formula>K67&gt;M67+#REF!</formula>
    </cfRule>
    <cfRule type="expression" dxfId="6376" priority="32">
      <formula>K67&lt;M67-#REF!</formula>
    </cfRule>
  </conditionalFormatting>
  <conditionalFormatting sqref="N96">
    <cfRule type="expression" dxfId="6375" priority="29">
      <formula>N96&gt;P96+#REF!</formula>
    </cfRule>
    <cfRule type="expression" dxfId="6374" priority="30">
      <formula>N96&lt;P96-#REF!</formula>
    </cfRule>
  </conditionalFormatting>
  <conditionalFormatting sqref="K227:K228">
    <cfRule type="expression" dxfId="6373" priority="27">
      <formula>K227&gt;M227+#REF!</formula>
    </cfRule>
    <cfRule type="expression" dxfId="6372" priority="28">
      <formula>K227&lt;M227-#REF!</formula>
    </cfRule>
  </conditionalFormatting>
  <conditionalFormatting sqref="L227:L228">
    <cfRule type="expression" dxfId="6371" priority="25">
      <formula>L227&gt;N227+#REF!</formula>
    </cfRule>
    <cfRule type="expression" dxfId="6370" priority="26">
      <formula>L227&lt;N227-#REF!</formula>
    </cfRule>
  </conditionalFormatting>
  <conditionalFormatting sqref="N134">
    <cfRule type="expression" dxfId="6369" priority="22">
      <formula>N134&lt;P134*#REF!</formula>
    </cfRule>
    <cfRule type="expression" dxfId="6368" priority="23">
      <formula>N134&gt;P134*#REF!</formula>
    </cfRule>
  </conditionalFormatting>
  <conditionalFormatting sqref="N135">
    <cfRule type="expression" dxfId="6367" priority="20">
      <formula>N135&lt;P135*#REF!</formula>
    </cfRule>
    <cfRule type="expression" dxfId="6366" priority="21">
      <formula>N135&gt;P135*#REF!</formula>
    </cfRule>
  </conditionalFormatting>
  <conditionalFormatting sqref="N146">
    <cfRule type="expression" dxfId="6365" priority="18">
      <formula>N146&lt;P146*#REF!</formula>
    </cfRule>
    <cfRule type="expression" dxfId="6364" priority="19">
      <formula>N146&gt;P146*#REF!</formula>
    </cfRule>
  </conditionalFormatting>
  <conditionalFormatting sqref="N136">
    <cfRule type="expression" dxfId="6363" priority="16">
      <formula>N136&gt;P136+#REF!</formula>
    </cfRule>
    <cfRule type="expression" dxfId="6362" priority="17">
      <formula>N136&lt;P136-#REF!</formula>
    </cfRule>
  </conditionalFormatting>
  <conditionalFormatting sqref="N137">
    <cfRule type="expression" dxfId="6361" priority="14">
      <formula>N137&gt;P137+#REF!</formula>
    </cfRule>
    <cfRule type="expression" dxfId="6360" priority="15">
      <formula>N137&lt;P137-#REF!</formula>
    </cfRule>
  </conditionalFormatting>
  <conditionalFormatting sqref="N138">
    <cfRule type="expression" dxfId="6359" priority="12">
      <formula>N138&gt;P138+#REF!</formula>
    </cfRule>
    <cfRule type="expression" dxfId="6358" priority="13">
      <formula>N138&lt;P138-#REF!</formula>
    </cfRule>
  </conditionalFormatting>
  <conditionalFormatting sqref="N139">
    <cfRule type="expression" dxfId="6357" priority="10">
      <formula>N139&gt;P139+#REF!</formula>
    </cfRule>
    <cfRule type="expression" dxfId="6356" priority="11">
      <formula>N139&lt;P139-#REF!</formula>
    </cfRule>
  </conditionalFormatting>
  <conditionalFormatting sqref="N140">
    <cfRule type="expression" dxfId="6355" priority="8">
      <formula>N140&gt;P140+#REF!</formula>
    </cfRule>
    <cfRule type="expression" dxfId="6354" priority="9">
      <formula>N140&lt;P140-#REF!</formula>
    </cfRule>
  </conditionalFormatting>
  <conditionalFormatting sqref="N141">
    <cfRule type="expression" dxfId="6353" priority="6">
      <formula>N141&gt;P141+#REF!</formula>
    </cfRule>
    <cfRule type="expression" dxfId="6352" priority="7">
      <formula>N141&lt;P141-#REF!</formula>
    </cfRule>
  </conditionalFormatting>
  <conditionalFormatting sqref="N142">
    <cfRule type="expression" dxfId="6351" priority="4">
      <formula>N142&gt;P142+#REF!</formula>
    </cfRule>
    <cfRule type="expression" dxfId="6350" priority="5">
      <formula>N142&lt;P142-#REF!</formula>
    </cfRule>
  </conditionalFormatting>
  <conditionalFormatting sqref="N143:N144">
    <cfRule type="expression" dxfId="6349" priority="2">
      <formula>N143&gt;P143+#REF!</formula>
    </cfRule>
    <cfRule type="expression" dxfId="6348" priority="3">
      <formula>N143&lt;P143-#REF!</formula>
    </cfRule>
  </conditionalFormatting>
  <conditionalFormatting sqref="N145">
    <cfRule type="expression" dxfId="6347" priority="1">
      <formula>N145&lt;P145-#REF!</formula>
    </cfRule>
    <cfRule type="expression" dxfId="6346" priority="24">
      <formula>N145&gt;P145+#REF!</formula>
    </cfRule>
  </conditionalFormatting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ustomProperties>
    <customPr name="_pios_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E90A-BB83-4241-8AB7-F6D8DABAE214}">
  <sheetPr codeName="Sheet10"/>
  <dimension ref="A1:AG272"/>
  <sheetViews>
    <sheetView zoomScale="70" zoomScaleNormal="70" zoomScaleSheetLayoutView="55" workbookViewId="0">
      <pane xSplit="5" ySplit="6" topLeftCell="F179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2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2.26953125" style="3" bestFit="1" customWidth="1" collapsed="1"/>
    <col min="11" max="12" width="10.54296875" style="3" customWidth="1"/>
    <col min="13" max="14" width="0.54296875" style="3" customWidth="1"/>
    <col min="15" max="17" width="10.54296875" style="3" hidden="1" customWidth="1" outlineLevel="1"/>
    <col min="18" max="18" width="0.54296875" style="3" hidden="1" customWidth="1" outlineLevel="1"/>
    <col min="19" max="19" width="10.54296875" style="3" customWidth="1" collapsed="1"/>
    <col min="20" max="21" width="10.54296875" style="3" customWidth="1"/>
    <col min="22" max="22" width="0.54296875" style="3" customWidth="1"/>
    <col min="23" max="16384" width="9.26953125" style="1"/>
  </cols>
  <sheetData>
    <row r="1" spans="2:22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4"/>
      <c r="O1" s="2"/>
      <c r="P1" s="2"/>
      <c r="Q1" s="2"/>
      <c r="R1" s="2"/>
      <c r="S1" s="2"/>
      <c r="T1" s="2"/>
      <c r="U1" s="2"/>
      <c r="V1" s="2"/>
    </row>
    <row r="2" spans="2:22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4"/>
      <c r="O2" s="2"/>
      <c r="P2" s="2"/>
      <c r="Q2" s="2"/>
      <c r="R2" s="2"/>
      <c r="S2" s="2"/>
      <c r="T2" s="2"/>
      <c r="U2" s="2"/>
      <c r="V2" s="2"/>
    </row>
    <row r="3" spans="2:22" s="10" customFormat="1" ht="40.15" customHeight="1" thickBot="1" x14ac:dyDescent="0.3">
      <c r="B3" s="206" t="e">
        <f>#REF!</f>
        <v>#REF!</v>
      </c>
      <c r="C3" s="206"/>
      <c r="D3" s="206"/>
      <c r="F3" s="207" t="s">
        <v>3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</row>
    <row r="4" spans="2:22" s="11" customFormat="1" ht="23" x14ac:dyDescent="0.25">
      <c r="E4" s="12"/>
      <c r="F4" s="205" t="s">
        <v>5</v>
      </c>
      <c r="G4" s="205"/>
      <c r="H4" s="205"/>
      <c r="I4" s="12"/>
      <c r="J4" s="30" t="s">
        <v>80</v>
      </c>
      <c r="K4" s="30"/>
      <c r="L4" s="30"/>
      <c r="M4" s="12"/>
      <c r="N4" s="12"/>
      <c r="O4" s="205" t="s">
        <v>5</v>
      </c>
      <c r="P4" s="205"/>
      <c r="Q4" s="205"/>
      <c r="R4" s="12"/>
      <c r="S4" s="30" t="s">
        <v>13</v>
      </c>
      <c r="T4" s="30"/>
      <c r="U4" s="30"/>
      <c r="V4" s="12"/>
    </row>
    <row r="6" spans="2:22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O6" s="5" t="s">
        <v>15</v>
      </c>
      <c r="P6" s="5" t="s">
        <v>16</v>
      </c>
      <c r="Q6" s="5" t="s">
        <v>17</v>
      </c>
      <c r="S6" s="5" t="s">
        <v>15</v>
      </c>
      <c r="T6" s="5" t="s">
        <v>16</v>
      </c>
      <c r="U6" s="5" t="s">
        <v>17</v>
      </c>
    </row>
    <row r="7" spans="2:22" ht="16.5" customHeight="1" x14ac:dyDescent="0.25"/>
    <row r="8" spans="2:22" ht="19.5" customHeight="1" x14ac:dyDescent="0.25">
      <c r="B8" s="202" t="s">
        <v>18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/>
      <c r="K8" s="19"/>
      <c r="L8" s="19"/>
      <c r="M8" s="6"/>
      <c r="N8" s="6"/>
      <c r="O8" s="19"/>
      <c r="P8" s="19"/>
      <c r="Q8" s="19"/>
      <c r="R8" s="6"/>
      <c r="S8" s="19"/>
      <c r="T8" s="19"/>
      <c r="U8" s="19"/>
      <c r="V8" s="6"/>
    </row>
    <row r="9" spans="2:22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/>
      <c r="K9" s="19"/>
      <c r="L9" s="19"/>
      <c r="M9" s="6"/>
      <c r="N9" s="6"/>
      <c r="O9" s="19"/>
      <c r="P9" s="19"/>
      <c r="Q9" s="19"/>
      <c r="R9" s="6"/>
      <c r="S9" s="19"/>
      <c r="T9" s="19"/>
      <c r="U9" s="19"/>
      <c r="V9" s="6"/>
    </row>
    <row r="10" spans="2:22" ht="19.5" customHeight="1" x14ac:dyDescent="0.25">
      <c r="B10" s="202"/>
      <c r="C10" s="9"/>
      <c r="D10" s="14" t="s">
        <v>82</v>
      </c>
      <c r="E10" s="6"/>
      <c r="F10" s="20" t="str">
        <f>IFERROR((F24*F23+F38*F37)/F9,"n/a")</f>
        <v>n/a</v>
      </c>
      <c r="G10" s="20" t="str">
        <f>IFERROR((G24*G23+G38*G37)/G9,"n/a")</f>
        <v>n/a</v>
      </c>
      <c r="H10" s="20" t="str">
        <f>IFERROR((H24*H23+H38*H37)/H9,"n/a")</f>
        <v>n/a</v>
      </c>
      <c r="I10" s="6"/>
      <c r="J10" s="20"/>
      <c r="K10" s="20"/>
      <c r="L10" s="20"/>
      <c r="M10" s="6"/>
      <c r="N10" s="6"/>
      <c r="O10" s="20"/>
      <c r="P10" s="20"/>
      <c r="Q10" s="20"/>
      <c r="R10" s="6"/>
      <c r="S10" s="20"/>
      <c r="T10" s="20"/>
      <c r="U10" s="20"/>
      <c r="V10" s="6"/>
    </row>
    <row r="11" spans="2:22" ht="19.5" customHeight="1" x14ac:dyDescent="0.25">
      <c r="B11" s="202"/>
      <c r="C11" s="9"/>
      <c r="D11" s="14" t="s">
        <v>83</v>
      </c>
      <c r="E11" s="6"/>
      <c r="F11" s="20">
        <f>IFERROR((F25*F23+F39*F37)/F9,"n/a")</f>
        <v>0</v>
      </c>
      <c r="G11" s="20">
        <f>IFERROR((G25*G23+G39*G37)/G9,"n/a")</f>
        <v>0</v>
      </c>
      <c r="H11" s="20">
        <f>IFERROR((H25*H23+H39*H37)/H9,"n/a")</f>
        <v>0</v>
      </c>
      <c r="I11" s="6"/>
      <c r="J11" s="20"/>
      <c r="K11" s="20"/>
      <c r="L11" s="20"/>
      <c r="M11" s="6"/>
      <c r="N11" s="6"/>
      <c r="O11" s="20"/>
      <c r="P11" s="20"/>
      <c r="Q11" s="20"/>
      <c r="R11" s="6"/>
      <c r="S11" s="20"/>
      <c r="T11" s="20"/>
      <c r="U11" s="20"/>
      <c r="V11" s="6"/>
    </row>
    <row r="12" spans="2:22" ht="19.5" customHeight="1" x14ac:dyDescent="0.25">
      <c r="B12" s="202"/>
      <c r="C12" s="9"/>
      <c r="D12" s="14" t="s">
        <v>84</v>
      </c>
      <c r="E12" s="6"/>
      <c r="F12" s="20" t="str">
        <f>IFERROR((F26*F23+F40*F37)/F9,"n/a")</f>
        <v>n/a</v>
      </c>
      <c r="G12" s="20" t="str">
        <f>IFERROR((G26*G23+G40*G37)/G9,"n/a")</f>
        <v>n/a</v>
      </c>
      <c r="H12" s="20" t="str">
        <f>IFERROR((H26*H23+H40*H37)/H9,"n/a")</f>
        <v>n/a</v>
      </c>
      <c r="I12" s="6"/>
      <c r="J12" s="20"/>
      <c r="K12" s="20"/>
      <c r="L12" s="20"/>
      <c r="M12" s="6"/>
      <c r="N12" s="6"/>
      <c r="O12" s="20"/>
      <c r="P12" s="20"/>
      <c r="Q12" s="20"/>
      <c r="R12" s="6"/>
      <c r="S12" s="20"/>
      <c r="T12" s="20"/>
      <c r="U12" s="20"/>
      <c r="V12" s="6"/>
    </row>
    <row r="13" spans="2:22" ht="19.5" hidden="1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/>
      <c r="K13" s="20"/>
      <c r="L13" s="20"/>
      <c r="M13" s="7"/>
      <c r="N13" s="7"/>
      <c r="O13" s="20"/>
      <c r="P13" s="20"/>
      <c r="Q13" s="20"/>
      <c r="R13" s="7"/>
      <c r="S13" s="20"/>
      <c r="T13" s="20"/>
      <c r="U13" s="20"/>
      <c r="V13" s="7"/>
    </row>
    <row r="14" spans="2:22" ht="20.149999999999999" customHeight="1" collapsed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/>
      <c r="K14" s="20"/>
      <c r="L14" s="20"/>
      <c r="M14" s="7"/>
      <c r="N14" s="7"/>
      <c r="O14" s="20"/>
      <c r="P14" s="20"/>
      <c r="Q14" s="20"/>
      <c r="R14" s="7"/>
      <c r="S14" s="20"/>
      <c r="T14" s="20"/>
      <c r="U14" s="20"/>
      <c r="V14" s="7"/>
    </row>
    <row r="15" spans="2:22" ht="20.149999999999999" hidden="1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/>
      <c r="K15" s="20"/>
      <c r="L15" s="20"/>
      <c r="M15" s="7"/>
      <c r="N15" s="7"/>
      <c r="O15" s="20"/>
      <c r="P15" s="20"/>
      <c r="Q15" s="20"/>
      <c r="R15" s="7"/>
      <c r="S15" s="20"/>
      <c r="T15" s="20"/>
      <c r="U15" s="20"/>
      <c r="V15" s="7"/>
    </row>
    <row r="16" spans="2:22" ht="20.149999999999999" hidden="1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/>
      <c r="K16" s="20"/>
      <c r="L16" s="20"/>
      <c r="M16" s="7"/>
      <c r="N16" s="7"/>
      <c r="O16" s="20"/>
      <c r="P16" s="20"/>
      <c r="Q16" s="20"/>
      <c r="R16" s="7"/>
      <c r="S16" s="20"/>
      <c r="T16" s="20"/>
      <c r="U16" s="20"/>
      <c r="V16" s="7"/>
    </row>
    <row r="17" spans="2:22" ht="20.149999999999999" customHeight="1" collapsed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/>
      <c r="K17" s="20"/>
      <c r="L17" s="20"/>
      <c r="M17" s="7"/>
      <c r="N17" s="7"/>
      <c r="O17" s="20"/>
      <c r="P17" s="20"/>
      <c r="Q17" s="20"/>
      <c r="R17" s="7"/>
      <c r="S17" s="20"/>
      <c r="T17" s="20"/>
      <c r="U17" s="20"/>
      <c r="V17" s="7"/>
    </row>
    <row r="18" spans="2:22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/>
      <c r="K18" s="20"/>
      <c r="L18" s="20"/>
      <c r="M18" s="7"/>
      <c r="N18" s="7"/>
      <c r="O18" s="20"/>
      <c r="P18" s="20"/>
      <c r="Q18" s="20"/>
      <c r="R18" s="7"/>
      <c r="S18" s="20"/>
      <c r="T18" s="20"/>
      <c r="U18" s="20"/>
      <c r="V18" s="7"/>
    </row>
    <row r="19" spans="2:22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/>
      <c r="K19" s="20"/>
      <c r="L19" s="20"/>
      <c r="M19" s="8"/>
      <c r="N19" s="8"/>
      <c r="O19" s="20"/>
      <c r="P19" s="20"/>
      <c r="Q19" s="20"/>
      <c r="R19" s="8"/>
      <c r="S19" s="20"/>
      <c r="T19" s="20"/>
      <c r="U19" s="20"/>
      <c r="V19" s="8"/>
    </row>
    <row r="20" spans="2:22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/>
      <c r="K20" s="19"/>
      <c r="L20" s="19"/>
      <c r="M20" s="6"/>
      <c r="N20" s="6"/>
      <c r="O20" s="19"/>
      <c r="P20" s="19"/>
      <c r="Q20" s="19"/>
      <c r="R20" s="6"/>
      <c r="S20" s="19"/>
      <c r="T20" s="19"/>
      <c r="U20" s="19"/>
      <c r="V20" s="6"/>
    </row>
    <row r="21" spans="2:22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2:22" ht="19.5" hidden="1" customHeight="1" outlineLevel="1" x14ac:dyDescent="0.25">
      <c r="B22" s="202" t="s">
        <v>91</v>
      </c>
      <c r="C22" s="9"/>
      <c r="D22" s="14" t="s">
        <v>19</v>
      </c>
      <c r="E22" s="6"/>
      <c r="F22" s="19">
        <v>174.58809877999997</v>
      </c>
      <c r="G22" s="19">
        <v>185.33950579999998</v>
      </c>
      <c r="H22" s="19">
        <v>204.63270105388938</v>
      </c>
      <c r="I22" s="6"/>
      <c r="J22" s="19"/>
      <c r="K22" s="19"/>
      <c r="L22" s="19"/>
      <c r="M22" s="6"/>
      <c r="N22" s="6"/>
      <c r="O22" s="19"/>
      <c r="P22" s="19"/>
      <c r="Q22" s="19"/>
      <c r="R22" s="6"/>
      <c r="S22" s="19"/>
      <c r="T22" s="19"/>
      <c r="U22" s="19"/>
      <c r="V22" s="6"/>
    </row>
    <row r="23" spans="2:22" ht="20.149999999999999" hidden="1" customHeight="1" outlineLevel="1" x14ac:dyDescent="0.25">
      <c r="B23" s="202"/>
      <c r="C23" s="9"/>
      <c r="D23" s="14" t="s">
        <v>20</v>
      </c>
      <c r="E23" s="6"/>
      <c r="F23" s="19">
        <v>160.90258041999999</v>
      </c>
      <c r="G23" s="19">
        <v>173.06633202</v>
      </c>
      <c r="H23" s="19">
        <v>181.1039563404037</v>
      </c>
      <c r="I23" s="6"/>
      <c r="J23" s="19"/>
      <c r="K23" s="19"/>
      <c r="L23" s="19"/>
      <c r="M23" s="6"/>
      <c r="N23" s="6"/>
      <c r="O23" s="19"/>
      <c r="P23" s="19"/>
      <c r="Q23" s="19"/>
      <c r="R23" s="6"/>
      <c r="S23" s="19"/>
      <c r="T23" s="19"/>
      <c r="U23" s="19"/>
      <c r="V23" s="6"/>
    </row>
    <row r="24" spans="2:22" ht="19.5" hidden="1" customHeight="1" outlineLevel="1" x14ac:dyDescent="0.25">
      <c r="B24" s="202"/>
      <c r="C24" s="9"/>
      <c r="D24" s="14" t="s">
        <v>92</v>
      </c>
      <c r="E24" s="6"/>
      <c r="F24" s="20">
        <f>F27-F25-F26</f>
        <v>0.84420093000022511</v>
      </c>
      <c r="G24" s="20">
        <f>G27-G25-G26</f>
        <v>0.70110498335388471</v>
      </c>
      <c r="H24" s="20">
        <f>H27-H25-H26</f>
        <v>0.78019367284740149</v>
      </c>
      <c r="I24" s="6"/>
      <c r="J24" s="20"/>
      <c r="K24" s="20"/>
      <c r="L24" s="20"/>
      <c r="M24" s="6"/>
      <c r="N24" s="6"/>
      <c r="O24" s="20"/>
      <c r="P24" s="20"/>
      <c r="Q24" s="20"/>
      <c r="R24" s="6"/>
      <c r="S24" s="20"/>
      <c r="T24" s="20"/>
      <c r="U24" s="20"/>
      <c r="V24" s="6"/>
    </row>
    <row r="25" spans="2:22" ht="19.5" hidden="1" customHeight="1" outlineLevel="1" x14ac:dyDescent="0.25">
      <c r="B25" s="202"/>
      <c r="C25" s="9"/>
      <c r="D25" s="14" t="s">
        <v>93</v>
      </c>
      <c r="E25" s="6"/>
      <c r="F25" s="20">
        <f>IFERROR(SUM(INDEX(LL_TOT_BR_YTD,2,Month),INDEX(LL_IBNR_TOT_BR_YTD,2,Month))/F23,0)</f>
        <v>0</v>
      </c>
      <c r="G25" s="20">
        <f>IFERROR(SUM(INDEX(LL_TOT_BR_YTD_PREV,2,Month),INDEX(LL_IBNR_TOT_BR_YTD_PREV,2,Month))/G23,0)</f>
        <v>0</v>
      </c>
      <c r="H25" s="20">
        <f>IFERROR(SUM(INDEX(LL_TOT_BR_YTD_PLAN,2,Month),INDEX(LL_IBNR_TOT_BR_YTD_PLAN,2,Month))/H23,0)</f>
        <v>0</v>
      </c>
      <c r="I25" s="6"/>
      <c r="J25" s="20"/>
      <c r="K25" s="20"/>
      <c r="L25" s="20"/>
      <c r="M25" s="6"/>
      <c r="N25" s="6"/>
      <c r="O25" s="20"/>
      <c r="P25" s="20"/>
      <c r="Q25" s="20"/>
      <c r="R25" s="6"/>
      <c r="S25" s="20"/>
      <c r="T25" s="20"/>
      <c r="U25" s="20"/>
      <c r="V25" s="6"/>
    </row>
    <row r="26" spans="2:22" ht="19.5" hidden="1" customHeight="1" outlineLevel="1" x14ac:dyDescent="0.25">
      <c r="B26" s="202"/>
      <c r="C26" s="9"/>
      <c r="D26" s="14" t="s">
        <v>94</v>
      </c>
      <c r="E26" s="6"/>
      <c r="F26" s="20">
        <f>0</f>
        <v>0</v>
      </c>
      <c r="G26" s="20">
        <f>0</f>
        <v>0</v>
      </c>
      <c r="H26" s="20">
        <f>0</f>
        <v>0</v>
      </c>
      <c r="I26" s="6"/>
      <c r="J26" s="20"/>
      <c r="K26" s="20"/>
      <c r="L26" s="20"/>
      <c r="M26" s="6"/>
      <c r="N26" s="6"/>
      <c r="O26" s="20"/>
      <c r="P26" s="20"/>
      <c r="Q26" s="20"/>
      <c r="R26" s="6"/>
      <c r="S26" s="20"/>
      <c r="T26" s="20"/>
      <c r="U26" s="20"/>
      <c r="V26" s="6"/>
    </row>
    <row r="27" spans="2:22" ht="19.5" hidden="1" customHeight="1" outlineLevel="2" x14ac:dyDescent="0.25">
      <c r="B27" s="202"/>
      <c r="C27" s="9"/>
      <c r="D27" s="14" t="s">
        <v>95</v>
      </c>
      <c r="E27" s="7"/>
      <c r="F27" s="20">
        <v>0.84420093000022511</v>
      </c>
      <c r="G27" s="20">
        <v>0.70110498335388471</v>
      </c>
      <c r="H27" s="20">
        <v>0.78019367284740149</v>
      </c>
      <c r="I27" s="7"/>
      <c r="J27" s="20"/>
      <c r="K27" s="20"/>
      <c r="L27" s="20"/>
      <c r="M27" s="7"/>
      <c r="N27" s="7"/>
      <c r="O27" s="20"/>
      <c r="P27" s="20"/>
      <c r="Q27" s="20"/>
      <c r="R27" s="7"/>
      <c r="S27" s="20"/>
      <c r="T27" s="20"/>
      <c r="U27" s="20"/>
      <c r="V27" s="7"/>
    </row>
    <row r="28" spans="2:22" ht="20.149999999999999" hidden="1" customHeight="1" outlineLevel="1" x14ac:dyDescent="0.25">
      <c r="B28" s="202"/>
      <c r="C28" s="9"/>
      <c r="D28" s="14" t="s">
        <v>96</v>
      </c>
      <c r="E28" s="7"/>
      <c r="F28" s="20">
        <v>-5.5435126252899945E-2</v>
      </c>
      <c r="G28" s="20">
        <v>7.5310574551806638E-3</v>
      </c>
      <c r="H28" s="20">
        <v>-2.1166480350811253E-2</v>
      </c>
      <c r="I28" s="7"/>
      <c r="J28" s="20"/>
      <c r="K28" s="20"/>
      <c r="L28" s="20"/>
      <c r="M28" s="7"/>
      <c r="N28" s="7"/>
      <c r="O28" s="20"/>
      <c r="P28" s="20"/>
      <c r="Q28" s="20"/>
      <c r="R28" s="7"/>
      <c r="S28" s="20"/>
      <c r="T28" s="20"/>
      <c r="U28" s="20"/>
      <c r="V28" s="7"/>
    </row>
    <row r="29" spans="2:22" ht="19.5" hidden="1" customHeight="1" outlineLevel="2" x14ac:dyDescent="0.25">
      <c r="B29" s="202"/>
      <c r="C29" s="9"/>
      <c r="D29" s="15" t="s">
        <v>87</v>
      </c>
      <c r="E29" s="7"/>
      <c r="F29" s="20">
        <v>8.2992445149998054E-2</v>
      </c>
      <c r="G29" s="20">
        <v>8.0171038110385201E-2</v>
      </c>
      <c r="H29" s="20">
        <v>8.2820650937018431E-2</v>
      </c>
      <c r="I29" s="7"/>
      <c r="J29" s="20"/>
      <c r="K29" s="20"/>
      <c r="L29" s="20"/>
      <c r="M29" s="7"/>
      <c r="N29" s="7"/>
      <c r="O29" s="20"/>
      <c r="P29" s="20"/>
      <c r="Q29" s="20"/>
      <c r="R29" s="7"/>
      <c r="S29" s="20"/>
      <c r="T29" s="20"/>
      <c r="U29" s="20"/>
      <c r="V29" s="7"/>
    </row>
    <row r="30" spans="2:22" ht="20.149999999999999" hidden="1" customHeight="1" outlineLevel="2" x14ac:dyDescent="0.25">
      <c r="B30" s="202"/>
      <c r="C30" s="9"/>
      <c r="D30" s="15" t="s">
        <v>88</v>
      </c>
      <c r="E30" s="7"/>
      <c r="F30" s="20">
        <v>0.12293509736367968</v>
      </c>
      <c r="G30" s="20">
        <v>0.12278302216253326</v>
      </c>
      <c r="H30" s="20">
        <v>0.10688355881031411</v>
      </c>
      <c r="I30" s="7"/>
      <c r="J30" s="20"/>
      <c r="K30" s="20"/>
      <c r="L30" s="20"/>
      <c r="M30" s="7"/>
      <c r="N30" s="7"/>
      <c r="O30" s="20"/>
      <c r="P30" s="20"/>
      <c r="Q30" s="20"/>
      <c r="R30" s="7"/>
      <c r="S30" s="20"/>
      <c r="T30" s="20"/>
      <c r="U30" s="20"/>
      <c r="V30" s="7"/>
    </row>
    <row r="31" spans="2:22" ht="20.149999999999999" hidden="1" customHeight="1" outlineLevel="1" x14ac:dyDescent="0.25">
      <c r="B31" s="202"/>
      <c r="C31" s="9"/>
      <c r="D31" s="14" t="s">
        <v>97</v>
      </c>
      <c r="E31" s="7"/>
      <c r="F31" s="20">
        <v>0.20592754251367776</v>
      </c>
      <c r="G31" s="20">
        <v>0.20295406027291846</v>
      </c>
      <c r="H31" s="20">
        <v>0.18970420974733251</v>
      </c>
      <c r="I31" s="7"/>
      <c r="J31" s="20"/>
      <c r="K31" s="20"/>
      <c r="L31" s="20"/>
      <c r="M31" s="7"/>
      <c r="N31" s="7"/>
      <c r="O31" s="20"/>
      <c r="P31" s="20"/>
      <c r="Q31" s="20"/>
      <c r="R31" s="7"/>
      <c r="S31" s="20"/>
      <c r="T31" s="20"/>
      <c r="U31" s="20"/>
      <c r="V31" s="7"/>
    </row>
    <row r="32" spans="2:22" ht="20.149999999999999" hidden="1" customHeight="1" outlineLevel="1" x14ac:dyDescent="0.25">
      <c r="B32" s="202"/>
      <c r="C32" s="9"/>
      <c r="D32" s="14" t="s">
        <v>90</v>
      </c>
      <c r="E32" s="7"/>
      <c r="F32" s="20"/>
      <c r="G32" s="20"/>
      <c r="H32" s="20"/>
      <c r="I32" s="7"/>
      <c r="J32" s="20"/>
      <c r="K32" s="20"/>
      <c r="L32" s="20"/>
      <c r="M32" s="7"/>
      <c r="N32" s="7"/>
      <c r="O32" s="20"/>
      <c r="P32" s="20"/>
      <c r="Q32" s="20"/>
      <c r="R32" s="7"/>
      <c r="S32" s="20"/>
      <c r="T32" s="20"/>
      <c r="U32" s="20"/>
      <c r="V32" s="7"/>
    </row>
    <row r="33" spans="2:22" ht="20.149999999999999" hidden="1" customHeight="1" outlineLevel="1" x14ac:dyDescent="0.25">
      <c r="B33" s="202"/>
      <c r="C33" s="9"/>
      <c r="D33" s="14" t="s">
        <v>79</v>
      </c>
      <c r="E33" s="8"/>
      <c r="F33" s="20">
        <v>0.99469334626100292</v>
      </c>
      <c r="G33" s="20">
        <v>0.91159010108198379</v>
      </c>
      <c r="H33" s="20">
        <v>0.94873140224392272</v>
      </c>
      <c r="I33" s="8"/>
      <c r="J33" s="20"/>
      <c r="K33" s="20"/>
      <c r="L33" s="20"/>
      <c r="M33" s="8"/>
      <c r="N33" s="8"/>
      <c r="O33" s="20"/>
      <c r="P33" s="20"/>
      <c r="Q33" s="20"/>
      <c r="R33" s="8"/>
      <c r="S33" s="20"/>
      <c r="T33" s="20"/>
      <c r="U33" s="20"/>
      <c r="V33" s="8"/>
    </row>
    <row r="34" spans="2:22" ht="19.5" hidden="1" customHeight="1" outlineLevel="1" x14ac:dyDescent="0.25">
      <c r="B34" s="202"/>
      <c r="C34" s="9"/>
      <c r="D34" s="14" t="s">
        <v>34</v>
      </c>
      <c r="E34" s="6"/>
      <c r="F34" s="19">
        <v>0.85385428000004637</v>
      </c>
      <c r="G34" s="19">
        <v>15.300776920000013</v>
      </c>
      <c r="H34" s="19">
        <v>9.284945889650345</v>
      </c>
      <c r="I34" s="6"/>
      <c r="J34" s="19"/>
      <c r="K34" s="19"/>
      <c r="L34" s="19"/>
      <c r="M34" s="6"/>
      <c r="N34" s="6"/>
      <c r="O34" s="19"/>
      <c r="P34" s="19"/>
      <c r="Q34" s="19"/>
      <c r="R34" s="6"/>
      <c r="S34" s="19"/>
      <c r="T34" s="19"/>
      <c r="U34" s="19"/>
      <c r="V34" s="6"/>
    </row>
    <row r="35" spans="2:22" ht="7.5" hidden="1" customHeight="1" outlineLevel="2" x14ac:dyDescent="0.25"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2:22" ht="19.5" hidden="1" customHeight="1" outlineLevel="1" x14ac:dyDescent="0.25">
      <c r="B36" s="202" t="s">
        <v>98</v>
      </c>
      <c r="C36" s="9"/>
      <c r="D36" s="14" t="s">
        <v>19</v>
      </c>
      <c r="E36" s="6"/>
      <c r="F36" s="19">
        <v>134.18965857000001</v>
      </c>
      <c r="G36" s="19">
        <v>133.70934485999999</v>
      </c>
      <c r="H36" s="19">
        <v>147.07866387770241</v>
      </c>
      <c r="I36" s="6"/>
      <c r="J36" s="19"/>
      <c r="K36" s="19"/>
      <c r="L36" s="19"/>
      <c r="M36" s="6"/>
      <c r="N36" s="6"/>
      <c r="O36" s="19"/>
      <c r="P36" s="19"/>
      <c r="Q36" s="19"/>
      <c r="R36" s="6"/>
      <c r="S36" s="19"/>
      <c r="T36" s="19"/>
      <c r="U36" s="19"/>
      <c r="V36" s="6"/>
    </row>
    <row r="37" spans="2:22" ht="20.149999999999999" hidden="1" customHeight="1" outlineLevel="1" x14ac:dyDescent="0.25">
      <c r="B37" s="202"/>
      <c r="C37" s="9"/>
      <c r="D37" s="14" t="s">
        <v>20</v>
      </c>
      <c r="E37" s="6"/>
      <c r="F37" s="19">
        <v>131.07974526000004</v>
      </c>
      <c r="G37" s="19">
        <v>131.50071958000001</v>
      </c>
      <c r="H37" s="19">
        <v>138.49363431363389</v>
      </c>
      <c r="I37" s="6"/>
      <c r="J37" s="19"/>
      <c r="K37" s="19"/>
      <c r="L37" s="19"/>
      <c r="M37" s="6"/>
      <c r="N37" s="6"/>
      <c r="O37" s="19"/>
      <c r="P37" s="19"/>
      <c r="Q37" s="19"/>
      <c r="R37" s="6"/>
      <c r="S37" s="19"/>
      <c r="T37" s="19"/>
      <c r="U37" s="19"/>
      <c r="V37" s="6"/>
    </row>
    <row r="38" spans="2:22" ht="19.5" hidden="1" customHeight="1" outlineLevel="1" x14ac:dyDescent="0.25">
      <c r="B38" s="202"/>
      <c r="C38" s="9"/>
      <c r="D38" s="14" t="s">
        <v>92</v>
      </c>
      <c r="E38" s="6"/>
      <c r="F38" s="20" t="e">
        <f>F41-F39-F40</f>
        <v>#REF!</v>
      </c>
      <c r="G38" s="20" t="e">
        <f>G41-G39-G40</f>
        <v>#REF!</v>
      </c>
      <c r="H38" s="20" t="e">
        <f>H41-H39-H40</f>
        <v>#REF!</v>
      </c>
      <c r="I38" s="6"/>
      <c r="J38" s="20"/>
      <c r="K38" s="20"/>
      <c r="L38" s="20"/>
      <c r="M38" s="6"/>
      <c r="N38" s="6"/>
      <c r="O38" s="20"/>
      <c r="P38" s="20"/>
      <c r="Q38" s="20"/>
      <c r="R38" s="6"/>
      <c r="S38" s="20"/>
      <c r="T38" s="20"/>
      <c r="U38" s="20"/>
      <c r="V38" s="6"/>
    </row>
    <row r="39" spans="2:22" ht="19.5" hidden="1" customHeight="1" outlineLevel="1" x14ac:dyDescent="0.25">
      <c r="B39" s="202"/>
      <c r="C39" s="9"/>
      <c r="D39" s="14" t="s">
        <v>93</v>
      </c>
      <c r="E39" s="6"/>
      <c r="F39" s="20">
        <f>0</f>
        <v>0</v>
      </c>
      <c r="G39" s="20">
        <f>0</f>
        <v>0</v>
      </c>
      <c r="H39" s="20">
        <f>0</f>
        <v>0</v>
      </c>
      <c r="I39" s="6"/>
      <c r="J39" s="20"/>
      <c r="K39" s="20"/>
      <c r="L39" s="20"/>
      <c r="M39" s="6"/>
      <c r="N39" s="6"/>
      <c r="O39" s="20"/>
      <c r="P39" s="20"/>
      <c r="Q39" s="20"/>
      <c r="R39" s="6"/>
      <c r="S39" s="20"/>
      <c r="T39" s="20"/>
      <c r="U39" s="20"/>
      <c r="V39" s="6"/>
    </row>
    <row r="40" spans="2:22" ht="19.5" hidden="1" customHeight="1" outlineLevel="1" x14ac:dyDescent="0.25">
      <c r="B40" s="202"/>
      <c r="C40" s="9"/>
      <c r="D40" s="14" t="s">
        <v>94</v>
      </c>
      <c r="E40" s="6"/>
      <c r="F40" s="20" t="e">
        <f>INDEX(NatCat_TOT_BR_YTD,2,Month)/F37</f>
        <v>#REF!</v>
      </c>
      <c r="G40" s="20" t="e">
        <f>INDEX(NatCat_TOT_BR_YTD_PREV,2,Month)/G37</f>
        <v>#REF!</v>
      </c>
      <c r="H40" s="20" t="e">
        <f>INDEX(NatCat_TOT_BR_YTD_PLAN,2,Month)/H37</f>
        <v>#REF!</v>
      </c>
      <c r="I40" s="6"/>
      <c r="J40" s="20"/>
      <c r="K40" s="20"/>
      <c r="L40" s="20"/>
      <c r="M40" s="6"/>
      <c r="N40" s="6"/>
      <c r="O40" s="20"/>
      <c r="P40" s="20"/>
      <c r="Q40" s="20"/>
      <c r="R40" s="6"/>
      <c r="S40" s="20"/>
      <c r="T40" s="20"/>
      <c r="U40" s="20"/>
      <c r="V40" s="6"/>
    </row>
    <row r="41" spans="2:22" ht="19.5" hidden="1" customHeight="1" outlineLevel="2" x14ac:dyDescent="0.25">
      <c r="B41" s="202"/>
      <c r="C41" s="9"/>
      <c r="D41" s="14" t="s">
        <v>95</v>
      </c>
      <c r="E41" s="7"/>
      <c r="F41" s="20">
        <v>0.47729705246148252</v>
      </c>
      <c r="G41" s="20">
        <v>0.40903539251948479</v>
      </c>
      <c r="H41" s="20">
        <v>0.55951837348520128</v>
      </c>
      <c r="I41" s="7"/>
      <c r="J41" s="20"/>
      <c r="K41" s="20"/>
      <c r="L41" s="20"/>
      <c r="M41" s="7"/>
      <c r="N41" s="7"/>
      <c r="O41" s="20"/>
      <c r="P41" s="20"/>
      <c r="Q41" s="20"/>
      <c r="R41" s="7"/>
      <c r="S41" s="20"/>
      <c r="T41" s="20"/>
      <c r="U41" s="20"/>
      <c r="V41" s="7"/>
    </row>
    <row r="42" spans="2:22" ht="20.149999999999999" hidden="1" customHeight="1" outlineLevel="1" x14ac:dyDescent="0.25">
      <c r="B42" s="202"/>
      <c r="C42" s="9"/>
      <c r="D42" s="14" t="s">
        <v>96</v>
      </c>
      <c r="E42" s="7"/>
      <c r="F42" s="20">
        <v>-6.5176954555824203E-3</v>
      </c>
      <c r="G42" s="20">
        <v>1.0271172920679748E-2</v>
      </c>
      <c r="H42" s="20">
        <v>-1.3839384576522607E-2</v>
      </c>
      <c r="I42" s="7"/>
      <c r="J42" s="20"/>
      <c r="K42" s="20"/>
      <c r="L42" s="20"/>
      <c r="M42" s="7"/>
      <c r="N42" s="7"/>
      <c r="O42" s="20"/>
      <c r="P42" s="20"/>
      <c r="Q42" s="20"/>
      <c r="R42" s="7"/>
      <c r="S42" s="20"/>
      <c r="T42" s="20"/>
      <c r="U42" s="20"/>
      <c r="V42" s="7"/>
    </row>
    <row r="43" spans="2:22" ht="20.149999999999999" hidden="1" customHeight="1" outlineLevel="2" x14ac:dyDescent="0.25">
      <c r="B43" s="202"/>
      <c r="C43" s="9"/>
      <c r="D43" s="15" t="s">
        <v>87</v>
      </c>
      <c r="E43" s="7"/>
      <c r="F43" s="20">
        <v>0.14250764702775406</v>
      </c>
      <c r="G43" s="20">
        <v>0.14258208046225504</v>
      </c>
      <c r="H43" s="20">
        <v>0.14342599004580675</v>
      </c>
      <c r="I43" s="7"/>
      <c r="J43" s="20"/>
      <c r="K43" s="20"/>
      <c r="L43" s="20"/>
      <c r="M43" s="7"/>
      <c r="N43" s="7"/>
      <c r="O43" s="20"/>
      <c r="P43" s="20"/>
      <c r="Q43" s="20"/>
      <c r="R43" s="7"/>
      <c r="S43" s="20"/>
      <c r="T43" s="20"/>
      <c r="U43" s="20"/>
      <c r="V43" s="7"/>
    </row>
    <row r="44" spans="2:22" ht="20.149999999999999" hidden="1" customHeight="1" outlineLevel="2" x14ac:dyDescent="0.25">
      <c r="B44" s="202"/>
      <c r="C44" s="9"/>
      <c r="D44" s="15" t="s">
        <v>88</v>
      </c>
      <c r="E44" s="7"/>
      <c r="F44" s="20">
        <v>0.1612418402864387</v>
      </c>
      <c r="G44" s="20">
        <v>0.15005832449453124</v>
      </c>
      <c r="H44" s="20">
        <v>0.14611723939708512</v>
      </c>
      <c r="I44" s="7"/>
      <c r="J44" s="20"/>
      <c r="K44" s="20"/>
      <c r="L44" s="20"/>
      <c r="M44" s="7"/>
      <c r="N44" s="7"/>
      <c r="O44" s="20"/>
      <c r="P44" s="20"/>
      <c r="Q44" s="20"/>
      <c r="R44" s="7"/>
      <c r="S44" s="20"/>
      <c r="T44" s="20"/>
      <c r="U44" s="20"/>
      <c r="V44" s="7"/>
    </row>
    <row r="45" spans="2:22" ht="20.149999999999999" hidden="1" customHeight="1" outlineLevel="1" x14ac:dyDescent="0.25">
      <c r="B45" s="202"/>
      <c r="C45" s="9"/>
      <c r="D45" s="14" t="s">
        <v>97</v>
      </c>
      <c r="E45" s="7"/>
      <c r="F45" s="20">
        <v>0.30374948731419277</v>
      </c>
      <c r="G45" s="20">
        <v>0.29264040495678634</v>
      </c>
      <c r="H45" s="20">
        <v>0.2895432294428919</v>
      </c>
      <c r="I45" s="7"/>
      <c r="J45" s="20"/>
      <c r="K45" s="20"/>
      <c r="L45" s="20"/>
      <c r="M45" s="7"/>
      <c r="N45" s="7"/>
      <c r="O45" s="20"/>
      <c r="P45" s="20"/>
      <c r="Q45" s="20"/>
      <c r="R45" s="7"/>
      <c r="S45" s="20"/>
      <c r="T45" s="20"/>
      <c r="U45" s="20"/>
      <c r="V45" s="7"/>
    </row>
    <row r="46" spans="2:22" ht="20.149999999999999" hidden="1" customHeight="1" outlineLevel="1" x14ac:dyDescent="0.25">
      <c r="B46" s="202"/>
      <c r="C46" s="9"/>
      <c r="D46" s="14" t="s">
        <v>90</v>
      </c>
      <c r="E46" s="7"/>
      <c r="F46" s="20"/>
      <c r="G46" s="20"/>
      <c r="H46" s="20"/>
      <c r="I46" s="7"/>
      <c r="J46" s="20"/>
      <c r="K46" s="20"/>
      <c r="L46" s="20"/>
      <c r="M46" s="7"/>
      <c r="N46" s="7"/>
      <c r="O46" s="20"/>
      <c r="P46" s="20"/>
      <c r="Q46" s="20"/>
      <c r="R46" s="7"/>
      <c r="S46" s="20"/>
      <c r="T46" s="20"/>
      <c r="U46" s="20"/>
      <c r="V46" s="7"/>
    </row>
    <row r="47" spans="2:22" ht="20.149999999999999" hidden="1" customHeight="1" outlineLevel="1" x14ac:dyDescent="0.25">
      <c r="B47" s="202"/>
      <c r="C47" s="9"/>
      <c r="D47" s="14" t="s">
        <v>79</v>
      </c>
      <c r="E47" s="8"/>
      <c r="F47" s="20">
        <v>0.77452884432009284</v>
      </c>
      <c r="G47" s="20">
        <v>0.71194697039695087</v>
      </c>
      <c r="H47" s="20">
        <v>0.83522221835157051</v>
      </c>
      <c r="I47" s="8"/>
      <c r="J47" s="20"/>
      <c r="K47" s="20"/>
      <c r="L47" s="20"/>
      <c r="M47" s="8"/>
      <c r="N47" s="8"/>
      <c r="O47" s="20"/>
      <c r="P47" s="20"/>
      <c r="Q47" s="20"/>
      <c r="R47" s="8"/>
      <c r="S47" s="20"/>
      <c r="T47" s="20"/>
      <c r="U47" s="20"/>
      <c r="V47" s="8"/>
    </row>
    <row r="48" spans="2:22" ht="19.5" hidden="1" customHeight="1" outlineLevel="1" x14ac:dyDescent="0.25">
      <c r="B48" s="202"/>
      <c r="C48" s="9"/>
      <c r="D48" s="14" t="s">
        <v>34</v>
      </c>
      <c r="E48" s="6"/>
      <c r="F48" s="19">
        <v>29.55470165000002</v>
      </c>
      <c r="G48" s="19">
        <v>37.879180670000004</v>
      </c>
      <c r="H48" s="19">
        <v>22.820673834629417</v>
      </c>
      <c r="I48" s="6"/>
      <c r="J48" s="19"/>
      <c r="K48" s="19"/>
      <c r="L48" s="19"/>
      <c r="M48" s="6"/>
      <c r="N48" s="6"/>
      <c r="O48" s="19"/>
      <c r="P48" s="19"/>
      <c r="Q48" s="19"/>
      <c r="R48" s="6"/>
      <c r="S48" s="19"/>
      <c r="T48" s="19"/>
      <c r="U48" s="19"/>
      <c r="V48" s="6"/>
    </row>
    <row r="49" spans="2:22" ht="7.5" hidden="1" customHeight="1" outlineLevel="1" x14ac:dyDescent="0.25"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2:22" ht="19.5" customHeight="1" collapsed="1" x14ac:dyDescent="0.25">
      <c r="B50" s="204" t="s">
        <v>99</v>
      </c>
      <c r="C50" s="9"/>
      <c r="D50" s="14" t="s">
        <v>19</v>
      </c>
      <c r="E50" s="6"/>
      <c r="F50" s="19">
        <v>229.38382952000003</v>
      </c>
      <c r="G50" s="19">
        <v>212.12458179999999</v>
      </c>
      <c r="H50" s="19">
        <v>203.05293351311161</v>
      </c>
      <c r="I50" s="6"/>
      <c r="J50" s="19">
        <f t="shared" ref="J50:L51" si="0">J64+J78</f>
        <v>25.857972030000006</v>
      </c>
      <c r="K50" s="19">
        <f t="shared" si="0"/>
        <v>25.263487940000012</v>
      </c>
      <c r="L50" s="19">
        <f t="shared" si="0"/>
        <v>28.327356956824893</v>
      </c>
      <c r="M50" s="6"/>
      <c r="N50" s="6"/>
      <c r="O50" s="19">
        <v>229.38382952000003</v>
      </c>
      <c r="P50" s="19">
        <v>212.12458179999999</v>
      </c>
      <c r="Q50" s="19">
        <v>203.05293351311161</v>
      </c>
      <c r="R50" s="6"/>
      <c r="S50" s="19">
        <f t="shared" ref="S50:U51" si="1">S64+S78</f>
        <v>3.0941884200000032</v>
      </c>
      <c r="T50" s="19">
        <f t="shared" si="1"/>
        <v>2.7684865900000002</v>
      </c>
      <c r="U50" s="19">
        <f t="shared" si="1"/>
        <v>4.0480875410082202</v>
      </c>
      <c r="V50" s="6"/>
    </row>
    <row r="51" spans="2:22" ht="20.149999999999999" customHeight="1" x14ac:dyDescent="0.25">
      <c r="B51" s="204"/>
      <c r="C51" s="9"/>
      <c r="D51" s="14" t="s">
        <v>20</v>
      </c>
      <c r="E51" s="6"/>
      <c r="F51" s="19">
        <v>211.42561673000003</v>
      </c>
      <c r="G51" s="19">
        <v>196.68713613999998</v>
      </c>
      <c r="H51" s="19">
        <v>187.22452828540679</v>
      </c>
      <c r="I51" s="6"/>
      <c r="J51" s="19">
        <f t="shared" si="0"/>
        <v>15.069941669999999</v>
      </c>
      <c r="K51" s="19">
        <f t="shared" si="0"/>
        <v>14.54689539</v>
      </c>
      <c r="L51" s="19">
        <f t="shared" si="0"/>
        <v>17.992431898521083</v>
      </c>
      <c r="M51" s="6"/>
      <c r="N51" s="6"/>
      <c r="O51" s="19">
        <v>211.42561673000003</v>
      </c>
      <c r="P51" s="19">
        <v>196.68713613999998</v>
      </c>
      <c r="Q51" s="19">
        <v>187.22452828540679</v>
      </c>
      <c r="R51" s="6"/>
      <c r="S51" s="19">
        <f t="shared" si="1"/>
        <v>5.0312916900000086</v>
      </c>
      <c r="T51" s="19">
        <f t="shared" si="1"/>
        <v>4.6674794899999998</v>
      </c>
      <c r="U51" s="19">
        <f t="shared" si="1"/>
        <v>5.9974772995070289</v>
      </c>
      <c r="V51" s="6"/>
    </row>
    <row r="52" spans="2:22" ht="19.5" customHeight="1" x14ac:dyDescent="0.25">
      <c r="B52" s="204"/>
      <c r="C52" s="9"/>
      <c r="D52" s="14" t="s">
        <v>92</v>
      </c>
      <c r="E52" s="6"/>
      <c r="F52" s="20" t="str">
        <f>IFERROR((F66*F65+F80*F79)/F51,"n/a")</f>
        <v>n/a</v>
      </c>
      <c r="G52" s="20" t="str">
        <f>IFERROR((G66*G65+G80*G79)/G51,"n/a")</f>
        <v>n/a</v>
      </c>
      <c r="H52" s="20" t="str">
        <f>IFERROR((H66*H65+H80*H79)/H51,"n/a")</f>
        <v>n/a</v>
      </c>
      <c r="I52" s="6"/>
      <c r="J52" s="20">
        <f>(-(SUM([2]H9!$O$33,[2]H9!$R$33:$V$33,[2]H9!$Y$33:$AB$33)/1000)-(SUM([2]H9!$O$37,[2]H9!$R$37:$V$37,[2]H9!$Y$37:$AB$37)/1000))/J51</f>
        <v>0.20568119830335099</v>
      </c>
      <c r="K52" s="20">
        <f>(-(SUM([2]H9!$O$34,[2]H9!$R$34:$V$34,[2]H9!$Y$34:$AB$34)/1000)-(SUM([2]H9!$O$38,[2]H9!$R$38:$V$38,[2]H9!$Y$38:$AB$38)/1000))/K51</f>
        <v>0.32686369926524916</v>
      </c>
      <c r="L52" s="20">
        <f>(-(SUM([2]H9!$O$35,[2]H9!$R$35:$V$35,[2]H9!$Y$35:$AB$35)/1000)-(SUM([2]H9!$O$39,[2]H9!$R$39:$V$39,[2]H9!$Y$39:$AB$39)/1000))/L51</f>
        <v>0.31482394309559253</v>
      </c>
      <c r="M52" s="6"/>
      <c r="N52" s="6"/>
      <c r="O52" s="20" t="str">
        <f>IFERROR((O66*O65+O80*O79)/O51,"n/a")</f>
        <v>n/a</v>
      </c>
      <c r="P52" s="20" t="str">
        <f>IFERROR((P66*P65+P80*P79)/P51,"n/a")</f>
        <v>n/a</v>
      </c>
      <c r="Q52" s="20" t="str">
        <f>IFERROR((Q66*Q65+Q80*Q79)/Q51,"n/a")</f>
        <v>n/a</v>
      </c>
      <c r="R52" s="6"/>
      <c r="S52" s="20">
        <f>(-(SUM([2]H9!$EM$33,[2]H9!$EP$33:$ET$33,[2]H9!$EW$33:$EZ$33)/1000)-(SUM([2]H9!$EM$37,[2]H9!$EP$37:$ET$37,[2]H9!$EW$37:$EZ$37)/1000))/S51</f>
        <v>0.20498379323018195</v>
      </c>
      <c r="T52" s="20">
        <f>(-(SUM([2]H9!$EM$34,[2]H9!$EP$34:$ET$34,[2]H9!$EW$34:$EZ$34)/1000)-(SUM([2]H9!$EM$38,[2]H9!$EP$38:$ET$38,[2]H9!$EW$38:$EZ$38)/1000))/T51</f>
        <v>0.28325765407930575</v>
      </c>
      <c r="U52" s="20">
        <f>(-(SUM([2]H9!$EM$35,[2]H9!$EP$35:$ET$35,[2]H9!$EW$35:$EZ$35)/1000)-(SUM([2]H9!$EM$39,[2]H9!$EP$39:$ET$39,[2]H9!$EW$39:$EZ$39)/1000))/U51</f>
        <v>0.31482394309559253</v>
      </c>
      <c r="V52" s="6"/>
    </row>
    <row r="53" spans="2:22" ht="19.5" customHeight="1" x14ac:dyDescent="0.25">
      <c r="B53" s="204"/>
      <c r="C53" s="9"/>
      <c r="D53" s="14" t="s">
        <v>93</v>
      </c>
      <c r="E53" s="6"/>
      <c r="F53" s="20">
        <f>IFERROR((F67*F65+F81*F79)/F51,"n/a")</f>
        <v>0</v>
      </c>
      <c r="G53" s="20">
        <f>IFERROR((G67*G65+G81*G79)/G51,"n/a")</f>
        <v>0</v>
      </c>
      <c r="H53" s="20">
        <f>IFERROR((H67*H65+H81*H79)/H51,"n/a")</f>
        <v>0</v>
      </c>
      <c r="I53" s="6"/>
      <c r="J53" s="20">
        <f>(-(SUM([2]H9!$Q$33,[2]H9!$X$33)/1000)-(SUM([2]H9!$Q$37,[2]H9!$X$37)/1000))/J51</f>
        <v>0.13247023596162322</v>
      </c>
      <c r="K53" s="20">
        <f>(-(SUM([2]H9!$Q$34,[2]H9!$X$34)/1000)-(SUM([2]H9!$Q$38,[2]H9!$X$38)/1000))/K51</f>
        <v>5.9811250213438152E-2</v>
      </c>
      <c r="L53" s="20">
        <f>(-(SUM([2]H9!$Q$35,[2]H9!$X$35)/1000)-(SUM([2]H9!$Q$39,[2]H9!$X$39)/1000))/L51</f>
        <v>0.13774071547942632</v>
      </c>
      <c r="M53" s="6"/>
      <c r="N53" s="6"/>
      <c r="O53" s="20">
        <f>IFERROR((O67*O65+O81*O79)/O51,"n/a")</f>
        <v>0</v>
      </c>
      <c r="P53" s="20">
        <f>IFERROR((P67*P65+P81*P79)/P51,"n/a")</f>
        <v>0</v>
      </c>
      <c r="Q53" s="20">
        <f>IFERROR((Q67*Q65+Q81*Q79)/Q51,"n/a")</f>
        <v>0</v>
      </c>
      <c r="R53" s="6"/>
      <c r="S53" s="20">
        <f>(-(SUM([2]H9!$EO$33,[2]H9!$EV$33)/1000)-(SUM([2]H9!$EO$37,[2]H9!$EV$37)/1000))/S51</f>
        <v>0.10838747147580011</v>
      </c>
      <c r="T53" s="20">
        <f>(-(SUM([2]H9!$EO$34,[2]H9!$EV$34)/1000)-(SUM([2]H9!$EO$38,[2]H9!$EV$38)/1000))/T51</f>
        <v>-1.0171421406861848E-2</v>
      </c>
      <c r="U53" s="20">
        <f>(-(SUM([2]H9!$EO$35,[2]H9!$EV$35)/1000)-(SUM([2]H9!$EO$39,[2]H9!$EV$39)/1000))/U51</f>
        <v>0.13774071547942626</v>
      </c>
      <c r="V53" s="6"/>
    </row>
    <row r="54" spans="2:22" ht="19.5" customHeight="1" x14ac:dyDescent="0.25">
      <c r="B54" s="204"/>
      <c r="C54" s="9"/>
      <c r="D54" s="14" t="s">
        <v>94</v>
      </c>
      <c r="E54" s="6"/>
      <c r="F54" s="20" t="str">
        <f>IFERROR((F68*F65+F82*F79)/F51,"n/a")</f>
        <v>n/a</v>
      </c>
      <c r="G54" s="20" t="str">
        <f>IFERROR((G68*G65+G82*G79)/G51,"n/a")</f>
        <v>n/a</v>
      </c>
      <c r="H54" s="20" t="str">
        <f>IFERROR((H68*H65+H82*H79)/H51,"n/a")</f>
        <v>n/a</v>
      </c>
      <c r="I54" s="6"/>
      <c r="J54" s="20">
        <f>(-(SUM([2]H9!$P$33,[2]H9!$W$33)/1000)-(SUM([2]H9!$P$37,[2]H9!$W$37)/1000))/J51</f>
        <v>4.5492531757092072E-3</v>
      </c>
      <c r="K54" s="20">
        <f>(-(SUM([2]H9!$P$34,[2]H9!$W$34)/1000)-(SUM([2]H9!$P$38,[2]H9!$W$38)/1000))/K51</f>
        <v>0</v>
      </c>
      <c r="L54" s="20">
        <f>(-(SUM([2]H9!$P$35,[2]H9!$W$35)/1000)-(SUM([2]H9!$P$39,[2]H9!$W$39)/1000))/L51</f>
        <v>8.0666132078015318E-2</v>
      </c>
      <c r="M54" s="6"/>
      <c r="N54" s="6"/>
      <c r="O54" s="20" t="str">
        <f>IFERROR((O68*O65+O82*O79)/O51,"n/a")</f>
        <v>n/a</v>
      </c>
      <c r="P54" s="20" t="str">
        <f>IFERROR((P68*P65+P82*P79)/P51,"n/a")</f>
        <v>n/a</v>
      </c>
      <c r="Q54" s="20" t="str">
        <f>IFERROR((Q68*Q65+Q82*Q79)/Q51,"n/a")</f>
        <v>n/a</v>
      </c>
      <c r="R54" s="6"/>
      <c r="S54" s="20">
        <f>(-(SUM([2]H9!$EN$33,[2]H9!$EU$33)/1000)-(SUM([2]H9!$EN$37,[2]H9!$EU$37)/1000))/S51</f>
        <v>1.3626119140788652E-2</v>
      </c>
      <c r="T54" s="20">
        <f>(-(SUM([2]H9!$EN$34,[2]H9!$EU$34)/1000)-(SUM([2]H9!$EN$38,[2]H9!$EU$38)/1000))/T51</f>
        <v>0</v>
      </c>
      <c r="U54" s="20">
        <f>(-(SUM([2]H9!$EN$35,[2]H9!$EU$35)/1000)-(SUM([2]H9!$EN$39,[2]H9!$EU$39)/1000))/U51</f>
        <v>8.066613207801529E-2</v>
      </c>
      <c r="V54" s="6"/>
    </row>
    <row r="55" spans="2:22" ht="19.5" hidden="1" customHeight="1" outlineLevel="1" x14ac:dyDescent="0.25">
      <c r="B55" s="204"/>
      <c r="C55" s="9"/>
      <c r="D55" s="14" t="s">
        <v>95</v>
      </c>
      <c r="E55" s="7"/>
      <c r="F55" s="20">
        <v>0.58127654633707238</v>
      </c>
      <c r="G55" s="20">
        <v>0.52862258732565415</v>
      </c>
      <c r="H55" s="20">
        <v>0.63822529577194531</v>
      </c>
      <c r="I55" s="7"/>
      <c r="J55" s="20">
        <f>+J52+J53+J54</f>
        <v>0.34270068744068338</v>
      </c>
      <c r="K55" s="20">
        <f>+K52+K53+K54</f>
        <v>0.3866749494786873</v>
      </c>
      <c r="L55" s="20">
        <f>+L52+L53+L54</f>
        <v>0.53323079065303414</v>
      </c>
      <c r="M55" s="7"/>
      <c r="N55" s="7"/>
      <c r="O55" s="20">
        <v>0.58127654633707238</v>
      </c>
      <c r="P55" s="20">
        <v>0.52862258732565415</v>
      </c>
      <c r="Q55" s="20">
        <v>0.63822529577194531</v>
      </c>
      <c r="R55" s="7"/>
      <c r="S55" s="20">
        <f>+S52+S53+S54</f>
        <v>0.32699738384677074</v>
      </c>
      <c r="T55" s="20">
        <f>+T52+T53+T54</f>
        <v>0.27308623267244392</v>
      </c>
      <c r="U55" s="20">
        <f>+U52+U53+U54</f>
        <v>0.53323079065303414</v>
      </c>
      <c r="V55" s="7"/>
    </row>
    <row r="56" spans="2:22" ht="20.149999999999999" customHeight="1" collapsed="1" x14ac:dyDescent="0.25">
      <c r="B56" s="204"/>
      <c r="C56" s="9"/>
      <c r="D56" s="14" t="s">
        <v>96</v>
      </c>
      <c r="E56" s="7"/>
      <c r="F56" s="20">
        <v>-5.0410234222519779E-2</v>
      </c>
      <c r="G56" s="20">
        <v>-9.0336924359673568E-2</v>
      </c>
      <c r="H56" s="20">
        <v>-2.670590251069002E-3</v>
      </c>
      <c r="I56" s="7"/>
      <c r="J56" s="20">
        <f>(-(SUM([2]H9!$AC$33:$AK$33)/1000)-(SUM([2]H9!$AC$37:$AK$37)/1000))/J51</f>
        <v>0.12530387451725283</v>
      </c>
      <c r="K56" s="20">
        <f>(-(SUM([2]H9!$AC$34:$AK$34)/1000)-(SUM([2]H9!$AC$38:$AK$38)/1000))/K51</f>
        <v>0.10335596082127312</v>
      </c>
      <c r="L56" s="20">
        <f>(-(SUM([2]H9!$AC$35:$AK$35)/1000)-(SUM([2]H9!$AC$39:$AK$39)/1000))/L51</f>
        <v>-6.228631780217671E-3</v>
      </c>
      <c r="M56" s="7"/>
      <c r="N56" s="7"/>
      <c r="O56" s="20">
        <v>-5.0410234222519779E-2</v>
      </c>
      <c r="P56" s="20">
        <v>-9.0336924359673568E-2</v>
      </c>
      <c r="Q56" s="20">
        <v>-2.670590251069002E-3</v>
      </c>
      <c r="R56" s="7"/>
      <c r="S56" s="20">
        <f>(-(SUM([2]H9!$FA$33:$FI$33)/1000)-(SUM([2]H9!$FA$37:$FI$37)/1000))/S51</f>
        <v>0.15438362310494441</v>
      </c>
      <c r="T56" s="20">
        <f>(-(SUM([2]H9!$FA$34:$FI$34)/1000)-(SUM([2]H9!$FA$38:$FI$38)/1000))/T51</f>
        <v>-0.9966727438153139</v>
      </c>
      <c r="U56" s="20">
        <f>(-(SUM([2]H9!$FA$35:$FI$35)/1000)-(SUM([2]H9!$FA$39:$FI$39)/1000))/U51</f>
        <v>-6.2286317802176952E-3</v>
      </c>
      <c r="V56" s="7"/>
    </row>
    <row r="57" spans="2:22" ht="20.149999999999999" hidden="1" customHeight="1" outlineLevel="1" x14ac:dyDescent="0.25">
      <c r="B57" s="204"/>
      <c r="C57" s="9"/>
      <c r="D57" s="15" t="s">
        <v>87</v>
      </c>
      <c r="E57" s="7"/>
      <c r="F57" s="20">
        <v>0.15730436554654667</v>
      </c>
      <c r="G57" s="20">
        <v>0.16042032742568968</v>
      </c>
      <c r="H57" s="20">
        <v>0.16278191221801697</v>
      </c>
      <c r="I57" s="7"/>
      <c r="J57" s="20">
        <f>(-(SUM([2]H9!$AL$33:$AN$33)/1000)-(SUM([2]H9!$AL$37:$AN$37)/1000))/J51</f>
        <v>0.21437276405861488</v>
      </c>
      <c r="K57" s="20">
        <f>(-(SUM([2]H9!$AL$34:$AN$34)/1000)-(SUM([2]H9!$AL$38:$AN$38)/1000))/K51</f>
        <v>0.1929967154318003</v>
      </c>
      <c r="L57" s="20">
        <f>(-(SUM([2]H9!$AL$35:$AN$35)/1000)-(SUM([2]H9!$AL$39:$AN$39)/1000))/L51</f>
        <v>0.20578636755554588</v>
      </c>
      <c r="M57" s="7"/>
      <c r="N57" s="7"/>
      <c r="O57" s="20">
        <v>0.15730436554654667</v>
      </c>
      <c r="P57" s="20">
        <v>0.16042032742568968</v>
      </c>
      <c r="Q57" s="20">
        <v>0.16278191221801697</v>
      </c>
      <c r="R57" s="7"/>
      <c r="S57" s="20">
        <f>(-(SUM([2]H9!$FJ$33:$FL$33)/1000)-(SUM([2]H9!$FJ$37:$FL$37)/1000))/S51</f>
        <v>0.26266469157942968</v>
      </c>
      <c r="T57" s="20">
        <f>(-(SUM([2]H9!$FJ$34:$FL$34)/1000)-(SUM([2]H9!$FJ$38:$FL$38)/1000))/T51</f>
        <v>0.19625297378650053</v>
      </c>
      <c r="U57" s="20">
        <f>(-(SUM([2]H9!$FJ$35:$FL$35)/1000)-(SUM([2]H9!$FJ$39:$FL$39)/1000))/U51</f>
        <v>0.2057863675555458</v>
      </c>
      <c r="V57" s="7"/>
    </row>
    <row r="58" spans="2:22" ht="20.149999999999999" hidden="1" customHeight="1" outlineLevel="1" x14ac:dyDescent="0.25">
      <c r="B58" s="204"/>
      <c r="C58" s="9"/>
      <c r="D58" s="15" t="s">
        <v>88</v>
      </c>
      <c r="E58" s="7"/>
      <c r="F58" s="20">
        <v>9.6659400436315324E-2</v>
      </c>
      <c r="G58" s="20">
        <v>0.1077703100771784</v>
      </c>
      <c r="H58" s="20">
        <v>0.10810289803432095</v>
      </c>
      <c r="I58" s="7"/>
      <c r="J58" s="20">
        <f>(-(SUM([2]H9!$AO$33:$AR$33)/1000)-(SUM([2]H9!$AO$37:$AR$37)/1000))/J51</f>
        <v>0.21942212600481822</v>
      </c>
      <c r="K58" s="20">
        <f>(-(SUM([2]H9!$AO$34:$AR$34)/1000)-(SUM([2]H9!$AO$38:$AR$38)/1000))/K51</f>
        <v>0.19977042881587673</v>
      </c>
      <c r="L58" s="20">
        <f>(-(SUM([2]H9!$AO$35:$AR$35)/1000)-(SUM([2]H9!$AO$39:$AR$39)/1000))/L51</f>
        <v>0.1941849862008298</v>
      </c>
      <c r="M58" s="7"/>
      <c r="N58" s="7"/>
      <c r="O58" s="20">
        <v>9.6659400436315324E-2</v>
      </c>
      <c r="P58" s="20">
        <v>0.1077703100771784</v>
      </c>
      <c r="Q58" s="20">
        <v>0.10810289803432095</v>
      </c>
      <c r="R58" s="7"/>
      <c r="S58" s="20">
        <f>(-(SUM([2]H9!$FM$33:$FP$33)/1000)-(SUM([2]H9!$FM$37:$FP$37)/1000))/S51</f>
        <v>0.21792558602381454</v>
      </c>
      <c r="T58" s="20">
        <f>(-(SUM([2]H9!$FM$34:$FP$34)/1000)-(SUM([2]H9!$FM$38:$FP$38)/1000))/T51</f>
        <v>0.21898726543734631</v>
      </c>
      <c r="U58" s="20">
        <f>(-(SUM([2]H9!$FM$35:$FP$35)/1000)-(SUM([2]H9!$FM$39:$FP$39)/1000))/U51</f>
        <v>0.19418498620082977</v>
      </c>
      <c r="V58" s="7"/>
    </row>
    <row r="59" spans="2:22" ht="20.149999999999999" customHeight="1" collapsed="1" x14ac:dyDescent="0.25">
      <c r="B59" s="204"/>
      <c r="C59" s="9"/>
      <c r="D59" s="14" t="s">
        <v>97</v>
      </c>
      <c r="E59" s="7"/>
      <c r="F59" s="20">
        <v>0.25396376598286197</v>
      </c>
      <c r="G59" s="20">
        <v>0.26819063750286803</v>
      </c>
      <c r="H59" s="20">
        <v>0.2708848102523379</v>
      </c>
      <c r="I59" s="7"/>
      <c r="J59" s="20">
        <f>+J57+J58</f>
        <v>0.43379489006343308</v>
      </c>
      <c r="K59" s="20">
        <f>+K57+K58</f>
        <v>0.392767144247677</v>
      </c>
      <c r="L59" s="20">
        <f>+L57+L58</f>
        <v>0.39997135375637571</v>
      </c>
      <c r="M59" s="7"/>
      <c r="N59" s="7"/>
      <c r="O59" s="20">
        <v>0.25396376598286197</v>
      </c>
      <c r="P59" s="20">
        <v>0.26819063750286803</v>
      </c>
      <c r="Q59" s="20">
        <v>0.2708848102523379</v>
      </c>
      <c r="R59" s="7"/>
      <c r="S59" s="20">
        <f>+S57+S58</f>
        <v>0.48059027760324424</v>
      </c>
      <c r="T59" s="20">
        <f>+T57+T58</f>
        <v>0.41524023922384684</v>
      </c>
      <c r="U59" s="20">
        <f>+U57+U58</f>
        <v>0.3999713537563756</v>
      </c>
      <c r="V59" s="7"/>
    </row>
    <row r="60" spans="2:22" ht="20.149999999999999" customHeight="1" x14ac:dyDescent="0.25">
      <c r="B60" s="204"/>
      <c r="C60" s="9"/>
      <c r="D60" s="14" t="s">
        <v>90</v>
      </c>
      <c r="E60" s="7"/>
      <c r="F60" s="20"/>
      <c r="G60" s="20"/>
      <c r="H60" s="20"/>
      <c r="I60" s="7"/>
      <c r="J60" s="20">
        <f>(-(SUM([2]H9!$AT$33:$BJ$33)/1000)-(SUM([2]H9!$AT$37:$BJ$37)/1000))/J51</f>
        <v>0.12557690742541555</v>
      </c>
      <c r="K60" s="20">
        <f>(-(SUM([2]H9!$AT$34:$BJ$34)/1000)-(SUM([2]H9!$AT$38:$BJ$38)/1000))/K51</f>
        <v>0.19208706429008038</v>
      </c>
      <c r="L60" s="20">
        <f>(-(SUM([2]H9!$AT$35:$BJ$35)/1000)-(SUM([2]H9!$AT$39:$BJ$39)/1000))/L51</f>
        <v>6.0934998906838712E-2</v>
      </c>
      <c r="M60" s="7"/>
      <c r="N60" s="7"/>
      <c r="O60" s="20"/>
      <c r="P60" s="20"/>
      <c r="Q60" s="20"/>
      <c r="R60" s="7"/>
      <c r="S60" s="20">
        <f>(-(SUM([2]H9!$FR$33:$GH$33)/1000)-(SUM([2]H9!$FR$37:$GH$37)/1000))/S51</f>
        <v>0.12973459902898213</v>
      </c>
      <c r="T60" s="20">
        <f>(-(SUM([2]H9!$FR$34:$GH$34)/1000)-(SUM([2]H9!$FR$38:$GH$38)/1000))/T51</f>
        <v>0.16133193763643122</v>
      </c>
      <c r="U60" s="20">
        <f>(-(SUM([2]H9!$FR$35:$GH$35)/1000)-(SUM([2]H9!$FR$39:$GH$39)/1000))/U51</f>
        <v>6.0934998906838705E-2</v>
      </c>
      <c r="V60" s="7"/>
    </row>
    <row r="61" spans="2:22" ht="20.149999999999999" customHeight="1" x14ac:dyDescent="0.25">
      <c r="B61" s="204"/>
      <c r="C61" s="9"/>
      <c r="D61" s="14" t="s">
        <v>79</v>
      </c>
      <c r="E61" s="8"/>
      <c r="F61" s="20">
        <v>0.78483007809741478</v>
      </c>
      <c r="G61" s="20">
        <v>0.70647630046884868</v>
      </c>
      <c r="H61" s="20">
        <v>0.90643951577321424</v>
      </c>
      <c r="I61" s="8"/>
      <c r="J61" s="29">
        <f>+J55+J56+J59+J60</f>
        <v>1.0273763594467848</v>
      </c>
      <c r="K61" s="20">
        <f>+K55+K56+K59+K60</f>
        <v>1.074885118837718</v>
      </c>
      <c r="L61" s="20">
        <f>+L55+L56+L59+L60</f>
        <v>0.98790851153603088</v>
      </c>
      <c r="M61" s="8"/>
      <c r="N61" s="8"/>
      <c r="O61" s="20">
        <v>0.78483007809741478</v>
      </c>
      <c r="P61" s="20">
        <v>0.70647630046884868</v>
      </c>
      <c r="Q61" s="20">
        <v>0.90643951577321424</v>
      </c>
      <c r="R61" s="8"/>
      <c r="S61" s="29">
        <f>+S55+S56+S59+S60</f>
        <v>1.0917058835839415</v>
      </c>
      <c r="T61" s="20">
        <f>+T55+T56+T59+T60</f>
        <v>-0.14701433428259192</v>
      </c>
      <c r="U61" s="20">
        <f>+U55+U56+U59+U60</f>
        <v>0.98790851153603076</v>
      </c>
      <c r="V61" s="8"/>
    </row>
    <row r="62" spans="2:22" ht="19.5" customHeight="1" x14ac:dyDescent="0.25">
      <c r="B62" s="204"/>
      <c r="C62" s="9"/>
      <c r="D62" s="14" t="s">
        <v>34</v>
      </c>
      <c r="E62" s="6"/>
      <c r="F62" s="19">
        <v>45.460953930000031</v>
      </c>
      <c r="G62" s="19">
        <v>57.734353569999982</v>
      </c>
      <c r="H62" s="19">
        <v>17.516817525514227</v>
      </c>
      <c r="I62" s="6"/>
      <c r="J62" s="19">
        <f>+J76+J90</f>
        <v>-0.41256014000000579</v>
      </c>
      <c r="K62" s="19">
        <f>+K76+K90</f>
        <v>-1.0893459900000004</v>
      </c>
      <c r="L62" s="19">
        <f>+L76+L90</f>
        <v>0.21755528273971828</v>
      </c>
      <c r="M62" s="6"/>
      <c r="N62" s="6"/>
      <c r="O62" s="19">
        <v>45.460953930000031</v>
      </c>
      <c r="P62" s="19">
        <v>57.734353569999982</v>
      </c>
      <c r="Q62" s="19">
        <v>17.516817525514227</v>
      </c>
      <c r="R62" s="6"/>
      <c r="S62" s="19">
        <f>+S76+S90</f>
        <v>-0.46139904999999337</v>
      </c>
      <c r="T62" s="19">
        <f>+T76+T90</f>
        <v>5.3536658800000021</v>
      </c>
      <c r="U62" s="19">
        <f>+U76+U90</f>
        <v>7.2518427579907091E-2</v>
      </c>
      <c r="V62" s="6"/>
    </row>
    <row r="63" spans="2:22" ht="7.5" customHeight="1" x14ac:dyDescent="0.25"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19.5" hidden="1" customHeight="1" outlineLevel="1" x14ac:dyDescent="0.25">
      <c r="B64" s="204" t="s">
        <v>100</v>
      </c>
      <c r="C64" s="9"/>
      <c r="D64" s="14" t="s">
        <v>19</v>
      </c>
      <c r="E64" s="6"/>
      <c r="F64" s="19">
        <v>208.45630805000005</v>
      </c>
      <c r="G64" s="19">
        <v>192.14014261</v>
      </c>
      <c r="H64" s="19">
        <v>184.88788181612301</v>
      </c>
      <c r="I64" s="6"/>
      <c r="J64" s="19">
        <f>+[2]H9!$C$33/1000</f>
        <v>18.325501020000004</v>
      </c>
      <c r="K64" s="19">
        <f>+[2]H9!$C$34/1000</f>
        <v>17.214163820000007</v>
      </c>
      <c r="L64" s="19">
        <f>+[2]H9!$C$35/1000</f>
        <v>18.831653672501602</v>
      </c>
      <c r="M64" s="6"/>
      <c r="N64" s="6"/>
      <c r="O64" s="19">
        <v>208.45630805000005</v>
      </c>
      <c r="P64" s="19">
        <v>192.14014261</v>
      </c>
      <c r="Q64" s="19">
        <v>184.88788181612301</v>
      </c>
      <c r="R64" s="6"/>
      <c r="S64" s="19">
        <f>+[2]H9!$EA$33/1000</f>
        <v>1.6351943600000014</v>
      </c>
      <c r="T64" s="19">
        <f>+[2]H9!$EA$34/1000</f>
        <v>1.4361579499999988</v>
      </c>
      <c r="U64" s="19">
        <f>+[2]H9!$EA$35/1000</f>
        <v>1.8556955881920911</v>
      </c>
      <c r="V64" s="6"/>
    </row>
    <row r="65" spans="2:22" ht="20.149999999999999" hidden="1" customHeight="1" outlineLevel="1" x14ac:dyDescent="0.25">
      <c r="B65" s="204"/>
      <c r="C65" s="9"/>
      <c r="D65" s="14" t="s">
        <v>20</v>
      </c>
      <c r="E65" s="6"/>
      <c r="F65" s="19">
        <v>191.27992135000002</v>
      </c>
      <c r="G65" s="19">
        <v>178.36638785999997</v>
      </c>
      <c r="H65" s="19">
        <v>170.14364820475578</v>
      </c>
      <c r="I65" s="6"/>
      <c r="J65" s="19">
        <f>+[2]H9!$N$33/1000</f>
        <v>9.6943313500000006</v>
      </c>
      <c r="K65" s="19">
        <f>+[2]H9!$N$34/1000</f>
        <v>9.2067108199999943</v>
      </c>
      <c r="L65" s="19">
        <f>+[2]H9!$N$35/1000</f>
        <v>10.999890215633473</v>
      </c>
      <c r="M65" s="6"/>
      <c r="N65" s="6"/>
      <c r="O65" s="19">
        <v>191.27992135000002</v>
      </c>
      <c r="P65" s="19">
        <v>178.36638785999997</v>
      </c>
      <c r="Q65" s="19">
        <v>170.14364820475578</v>
      </c>
      <c r="R65" s="6"/>
      <c r="S65" s="19">
        <f>+[2]H9!$EL$33/1000</f>
        <v>3.322461750000004</v>
      </c>
      <c r="T65" s="19">
        <f>+[2]H9!$EL$34/1000</f>
        <v>3.0802838799999992</v>
      </c>
      <c r="U65" s="19">
        <f>+[2]H9!$EL$35/1000</f>
        <v>3.6666300718778246</v>
      </c>
      <c r="V65" s="6"/>
    </row>
    <row r="66" spans="2:22" ht="19.5" hidden="1" customHeight="1" outlineLevel="1" x14ac:dyDescent="0.25">
      <c r="B66" s="204"/>
      <c r="C66" s="9"/>
      <c r="D66" s="14" t="s">
        <v>92</v>
      </c>
      <c r="E66" s="6"/>
      <c r="F66" s="20" t="e">
        <f>F69-F67-F68</f>
        <v>#REF!</v>
      </c>
      <c r="G66" s="20" t="e">
        <f>G69-G67-G68</f>
        <v>#REF!</v>
      </c>
      <c r="H66" s="20" t="e">
        <f>H69-H67-H68</f>
        <v>#REF!</v>
      </c>
      <c r="I66" s="6"/>
      <c r="J66" s="20">
        <f>-(SUM([2]H9!$O$33,[2]H9!$R$33:$V$33,[2]H9!$Y$33:$AB$33)/1000)/J65</f>
        <v>0.12084684840560998</v>
      </c>
      <c r="K66" s="20">
        <f>-(SUM([2]H9!$O$34,[2]H9!$R$34:$V$34,[2]H9!$Y$34:$AB$34)/1000)/K65</f>
        <v>0.26157550042393979</v>
      </c>
      <c r="L66" s="20">
        <f>-(SUM([2]H9!$O$35,[2]H9!$R$35:$V$35,[2]H9!$Y$35:$AB$35)/1000)/L65</f>
        <v>0.28734534017378388</v>
      </c>
      <c r="M66" s="6"/>
      <c r="N66" s="6"/>
      <c r="O66" s="20" t="e">
        <f>O69-O67-O68</f>
        <v>#REF!</v>
      </c>
      <c r="P66" s="20" t="e">
        <f>P69-P67-P68</f>
        <v>#REF!</v>
      </c>
      <c r="Q66" s="20" t="e">
        <f>Q69-Q67-Q68</f>
        <v>#REF!</v>
      </c>
      <c r="R66" s="6"/>
      <c r="S66" s="20">
        <f>-(SUM([2]H9!$EM$33,[2]H9!$EP$33:$ET$33,[2]H9!$EW$33:$EZ$33)/1000)/S65</f>
        <v>0.10197796421996248</v>
      </c>
      <c r="T66" s="20">
        <f>-(SUM([2]H9!$EM$34,[2]H9!$EP$34:$ET$34,[2]H9!$EW$34:$EZ$34)/1000)/T65</f>
        <v>0.17710561170766978</v>
      </c>
      <c r="U66" s="20">
        <f>-(SUM([2]H9!$EM$35,[2]H9!$EP$35:$ET$35,[2]H9!$EW$35:$EZ$35)/1000)/U65</f>
        <v>0.28734534017378383</v>
      </c>
      <c r="V66" s="6"/>
    </row>
    <row r="67" spans="2:22" ht="19.5" hidden="1" customHeight="1" outlineLevel="1" x14ac:dyDescent="0.25">
      <c r="B67" s="204"/>
      <c r="C67" s="9"/>
      <c r="D67" s="14" t="s">
        <v>93</v>
      </c>
      <c r="E67" s="6"/>
      <c r="F67" s="20">
        <f>IFERROR(SUM(INDEX(LL_TOT_BR_YTD,1,Month),INDEX(LL_IBNR_TOT_BR_YTD,1,Month))/F65,0)</f>
        <v>0</v>
      </c>
      <c r="G67" s="20">
        <f>IFERROR(SUM(INDEX(LL_TOT_BR_YTD_PREV,1,Month),INDEX(LL_IBNR_TOT_BR_YTD_PREV,1,Month))/G65,0)</f>
        <v>0</v>
      </c>
      <c r="H67" s="20">
        <f>IFERROR(SUM(INDEX(LL_TOT_BR_YTD_PLAN,1,Month),INDEX(LL_IBNR_TOT_BR_YTD_PLAN,1,Month))/H65,0)</f>
        <v>0</v>
      </c>
      <c r="I67" s="6"/>
      <c r="J67" s="20">
        <f>-(SUM([2]H9!$Q$33,[2]H9!$X$33)/1000)/J65</f>
        <v>0.1729174162128054</v>
      </c>
      <c r="K67" s="20">
        <f>-(SUM([2]H9!$Q$34,[2]H9!$X$34)/1000)/K65</f>
        <v>9.4503674223146775E-2</v>
      </c>
      <c r="L67" s="20">
        <f>-(SUM([2]H9!$Q$35,[2]H9!$X$35)/1000)/L65</f>
        <v>0.18431541219279327</v>
      </c>
      <c r="M67" s="6"/>
      <c r="N67" s="6"/>
      <c r="O67" s="20">
        <f>IFERROR(SUM(INDEX(LL_TOT_BR_YTD,1,Month),INDEX(LL_IBNR_TOT_BR_YTD,1,Month))/O65,0)</f>
        <v>0</v>
      </c>
      <c r="P67" s="20">
        <f>IFERROR(SUM(INDEX(LL_TOT_BR_YTD_PREV,1,Month),INDEX(LL_IBNR_TOT_BR_YTD_PREV,1,Month))/P65,0)</f>
        <v>0</v>
      </c>
      <c r="Q67" s="20">
        <f>IFERROR(SUM(INDEX(LL_TOT_BR_YTD_PLAN,1,Month),INDEX(LL_IBNR_TOT_BR_YTD_PLAN,1,Month))/Q65,0)</f>
        <v>0</v>
      </c>
      <c r="R67" s="6"/>
      <c r="S67" s="20">
        <f>-(SUM([2]H9!$EO$33,[2]H9!$EV$33)/1000)/S65</f>
        <v>0.14306529925778844</v>
      </c>
      <c r="T67" s="20">
        <f>-(SUM([2]H9!$EO$34,[2]H9!$EV$34)/1000)/T65</f>
        <v>-1.5412508278514456E-2</v>
      </c>
      <c r="U67" s="20">
        <f>-(SUM([2]H9!$EO$35,[2]H9!$EV$35)/1000)/U65</f>
        <v>0.18431541219279321</v>
      </c>
      <c r="V67" s="6"/>
    </row>
    <row r="68" spans="2:22" ht="19.5" hidden="1" customHeight="1" outlineLevel="1" x14ac:dyDescent="0.25">
      <c r="B68" s="204"/>
      <c r="C68" s="9"/>
      <c r="D68" s="14" t="s">
        <v>94</v>
      </c>
      <c r="E68" s="6"/>
      <c r="F68" s="20" t="e">
        <f>INDEX(NatCat_TOT_BR_YTD,1,Month)/F65</f>
        <v>#REF!</v>
      </c>
      <c r="G68" s="20" t="e">
        <f>INDEX(NatCat_TOT_BR_YTD_PREV,1,Month)/G65</f>
        <v>#REF!</v>
      </c>
      <c r="H68" s="20" t="e">
        <f>INDEX(NatCat_TOT_BR_YTD_PLAN,1,Month)/H65</f>
        <v>#REF!</v>
      </c>
      <c r="I68" s="6"/>
      <c r="J68" s="20">
        <f>-(SUM([2]H9!$P$33,[2]H9!$W$33)/1000)/J65</f>
        <v>6.8139800069862474E-3</v>
      </c>
      <c r="K68" s="20">
        <f>-(SUM([2]H9!$P$34,[2]H9!$W$34)/1000)/K65</f>
        <v>0</v>
      </c>
      <c r="L68" s="20">
        <f>-(SUM([2]H9!$P$35,[2]H9!$W$35)/1000)/L65</f>
        <v>0.11700081242106621</v>
      </c>
      <c r="M68" s="6"/>
      <c r="N68" s="6"/>
      <c r="O68" s="20" t="e">
        <f>INDEX(NatCat_TOT_BR_YTD,1,Month)/O65</f>
        <v>#REF!</v>
      </c>
      <c r="P68" s="20" t="e">
        <f>INDEX(NatCat_TOT_BR_YTD_PREV,1,Month)/P65</f>
        <v>#REF!</v>
      </c>
      <c r="Q68" s="20" t="e">
        <f>INDEX(NatCat_TOT_BR_YTD_PLAN,1,Month)/Q65</f>
        <v>#REF!</v>
      </c>
      <c r="R68" s="6"/>
      <c r="S68" s="20">
        <f>-(SUM([2]H9!$EN$33,[2]H9!$EU$33)/1000)/S65</f>
        <v>1.9881938445190504E-2</v>
      </c>
      <c r="T68" s="20">
        <f>-(SUM([2]H9!$EN$34,[2]H9!$EU$34)/1000)/T65</f>
        <v>0</v>
      </c>
      <c r="U68" s="20">
        <f>-(SUM([2]H9!$EN$35,[2]H9!$EU$35)/1000)/U65</f>
        <v>0.11700081242106621</v>
      </c>
      <c r="V68" s="6"/>
    </row>
    <row r="69" spans="2:22" ht="19.5" hidden="1" customHeight="1" outlineLevel="2" x14ac:dyDescent="0.25">
      <c r="B69" s="204"/>
      <c r="C69" s="9"/>
      <c r="D69" s="14" t="s">
        <v>95</v>
      </c>
      <c r="E69" s="7"/>
      <c r="F69" s="20">
        <v>0.57724464214915872</v>
      </c>
      <c r="G69" s="20">
        <v>0.51933459976050433</v>
      </c>
      <c r="H69" s="20">
        <v>0.6506701480974969</v>
      </c>
      <c r="I69" s="7"/>
      <c r="J69" s="20">
        <f>+J66+J67+J68</f>
        <v>0.30057824462540161</v>
      </c>
      <c r="K69" s="20">
        <f>+K66+K67+K68</f>
        <v>0.35607917464708655</v>
      </c>
      <c r="L69" s="20">
        <f>+L66+L67+L68</f>
        <v>0.58866156478764331</v>
      </c>
      <c r="M69" s="7"/>
      <c r="N69" s="7"/>
      <c r="O69" s="20">
        <v>0.57724464214915872</v>
      </c>
      <c r="P69" s="20">
        <v>0.51933459976050433</v>
      </c>
      <c r="Q69" s="20">
        <v>0.6506701480974969</v>
      </c>
      <c r="R69" s="7"/>
      <c r="S69" s="20">
        <f>+S66+S67+S68</f>
        <v>0.26492520192294139</v>
      </c>
      <c r="T69" s="20">
        <f>+T66+T67+T68</f>
        <v>0.16169310342915533</v>
      </c>
      <c r="U69" s="20">
        <f>+U66+U67+U68</f>
        <v>0.5886615647876432</v>
      </c>
      <c r="V69" s="7"/>
    </row>
    <row r="70" spans="2:22" ht="20.149999999999999" hidden="1" customHeight="1" outlineLevel="1" x14ac:dyDescent="0.25">
      <c r="B70" s="204"/>
      <c r="C70" s="9"/>
      <c r="D70" s="14" t="s">
        <v>96</v>
      </c>
      <c r="E70" s="7"/>
      <c r="F70" s="20">
        <v>-5.2351025655626104E-2</v>
      </c>
      <c r="G70" s="20">
        <v>-9.3800548302475445E-2</v>
      </c>
      <c r="H70" s="20">
        <v>-2.9386933057782183E-3</v>
      </c>
      <c r="I70" s="7"/>
      <c r="J70" s="20">
        <f>-(SUM([2]H9!$AC$33:$AK$33)/1000)/J65</f>
        <v>0.24863661483986713</v>
      </c>
      <c r="K70" s="20">
        <f>-(SUM([2]H9!$AC$34:$AK$34)/1000)/K65</f>
        <v>5.0330968253437393E-2</v>
      </c>
      <c r="L70" s="20">
        <f>-(SUM([2]H9!$AC$35:$AK$35)/1000)/L65</f>
        <v>-5.9566108366548879E-3</v>
      </c>
      <c r="M70" s="7"/>
      <c r="N70" s="7"/>
      <c r="O70" s="20">
        <v>-5.2351025655626104E-2</v>
      </c>
      <c r="P70" s="20">
        <v>-9.3800548302475445E-2</v>
      </c>
      <c r="Q70" s="20">
        <v>-2.9386933057782183E-3</v>
      </c>
      <c r="R70" s="7"/>
      <c r="S70" s="20">
        <f>-(SUM([2]H9!$FA$33:$FI$33)/1000)/S65</f>
        <v>0.37958660622654228</v>
      </c>
      <c r="T70" s="20">
        <f>-(SUM([2]H9!$FA$34:$FI$34)/1000)/T65</f>
        <v>-1.56638583584056</v>
      </c>
      <c r="U70" s="20">
        <f>-(SUM([2]H9!$FA$35:$FI$35)/1000)/U65</f>
        <v>-5.9566108366549278E-3</v>
      </c>
      <c r="V70" s="7"/>
    </row>
    <row r="71" spans="2:22" ht="20.149999999999999" hidden="1" customHeight="1" outlineLevel="2" x14ac:dyDescent="0.25">
      <c r="B71" s="204"/>
      <c r="C71" s="9"/>
      <c r="D71" s="15" t="s">
        <v>87</v>
      </c>
      <c r="E71" s="7"/>
      <c r="F71" s="20">
        <v>0.1593842372206726</v>
      </c>
      <c r="G71" s="20">
        <v>0.16249233029683222</v>
      </c>
      <c r="H71" s="20">
        <v>0.16586500507764584</v>
      </c>
      <c r="I71" s="7"/>
      <c r="J71" s="20">
        <f>-(SUM([2]H9!$AL$33:$AN$33)/1000)/J65</f>
        <v>0.23502840760647162</v>
      </c>
      <c r="K71" s="20">
        <f>-(SUM([2]H9!$AL$34:$AN$34)/1000)/K65</f>
        <v>0.20730138453506869</v>
      </c>
      <c r="L71" s="20">
        <f>-(SUM([2]H9!$AL$35:$AN$35)/1000)/L65</f>
        <v>0.2187203184038729</v>
      </c>
      <c r="M71" s="7"/>
      <c r="N71" s="7"/>
      <c r="O71" s="20">
        <v>0.1593842372206726</v>
      </c>
      <c r="P71" s="20">
        <v>0.16249233029683222</v>
      </c>
      <c r="Q71" s="20">
        <v>0.16586500507764584</v>
      </c>
      <c r="R71" s="7"/>
      <c r="S71" s="20">
        <f>-(SUM([2]H9!$FJ$33:$FL$33)/1000)/S65</f>
        <v>0.29337439625903855</v>
      </c>
      <c r="T71" s="20">
        <f>-(SUM([2]H9!$FJ$34:$FL$34)/1000)/T65</f>
        <v>0.19651013139736936</v>
      </c>
      <c r="U71" s="20">
        <f>-(SUM([2]H9!$FJ$35:$FL$35)/1000)/U65</f>
        <v>0.21872031840387282</v>
      </c>
      <c r="V71" s="7"/>
    </row>
    <row r="72" spans="2:22" ht="20.149999999999999" hidden="1" customHeight="1" outlineLevel="2" x14ac:dyDescent="0.25">
      <c r="B72" s="204"/>
      <c r="C72" s="9"/>
      <c r="D72" s="15" t="s">
        <v>88</v>
      </c>
      <c r="E72" s="7"/>
      <c r="F72" s="20">
        <v>9.5952978914166626E-2</v>
      </c>
      <c r="G72" s="20">
        <v>0.10808077408133257</v>
      </c>
      <c r="H72" s="20">
        <v>0.10585752916389896</v>
      </c>
      <c r="I72" s="7"/>
      <c r="J72" s="20">
        <f>-(SUM([2]H9!$AO$33:$AR$33)/1000)/J65</f>
        <v>0.17354217111631942</v>
      </c>
      <c r="K72" s="20">
        <f>-(SUM([2]H9!$AO$34:$AR$34)/1000)/K65</f>
        <v>0.16561048672103301</v>
      </c>
      <c r="L72" s="20">
        <f>-(SUM([2]H9!$AO$35:$AR$35)/1000)/L65</f>
        <v>0.16230287404062319</v>
      </c>
      <c r="M72" s="7"/>
      <c r="N72" s="7"/>
      <c r="O72" s="20">
        <v>9.5952978914166626E-2</v>
      </c>
      <c r="P72" s="20">
        <v>0.10808077408133257</v>
      </c>
      <c r="Q72" s="20">
        <v>0.10585752916389896</v>
      </c>
      <c r="R72" s="7"/>
      <c r="S72" s="20">
        <f>-(SUM([2]H9!$FM$33:$FP$33)/1000)/S65</f>
        <v>0.17438731386448597</v>
      </c>
      <c r="T72" s="20">
        <f>-(SUM([2]H9!$FM$34:$FP$34)/1000)/T65</f>
        <v>0.17266695886484335</v>
      </c>
      <c r="U72" s="20">
        <f>-(SUM([2]H9!$FM$35:$FP$35)/1000)/U65</f>
        <v>0.16230287404062319</v>
      </c>
      <c r="V72" s="7"/>
    </row>
    <row r="73" spans="2:22" ht="20.149999999999999" hidden="1" customHeight="1" outlineLevel="1" x14ac:dyDescent="0.25">
      <c r="B73" s="204"/>
      <c r="C73" s="9"/>
      <c r="D73" s="14" t="s">
        <v>97</v>
      </c>
      <c r="E73" s="7"/>
      <c r="F73" s="20">
        <v>0.25533721613483923</v>
      </c>
      <c r="G73" s="20">
        <v>0.27057310437816473</v>
      </c>
      <c r="H73" s="20">
        <v>0.27172253424154474</v>
      </c>
      <c r="I73" s="7"/>
      <c r="J73" s="20">
        <f>+J71+J72</f>
        <v>0.40857057872279101</v>
      </c>
      <c r="K73" s="20">
        <f>+K71+K72</f>
        <v>0.3729118712561017</v>
      </c>
      <c r="L73" s="20">
        <f>+L71+L72</f>
        <v>0.38102319244449612</v>
      </c>
      <c r="M73" s="7"/>
      <c r="N73" s="7"/>
      <c r="O73" s="20">
        <v>0.25533721613483923</v>
      </c>
      <c r="P73" s="20">
        <v>0.27057310437816473</v>
      </c>
      <c r="Q73" s="20">
        <v>0.27172253424154474</v>
      </c>
      <c r="R73" s="7"/>
      <c r="S73" s="20">
        <f>+S71+S72</f>
        <v>0.46776171012352452</v>
      </c>
      <c r="T73" s="20">
        <f>+T71+T72</f>
        <v>0.36917709026221268</v>
      </c>
      <c r="U73" s="20">
        <f>+U71+U72</f>
        <v>0.38102319244449601</v>
      </c>
      <c r="V73" s="7"/>
    </row>
    <row r="74" spans="2:22" ht="20.149999999999999" hidden="1" customHeight="1" outlineLevel="1" x14ac:dyDescent="0.25">
      <c r="B74" s="204"/>
      <c r="C74" s="9"/>
      <c r="D74" s="14" t="s">
        <v>90</v>
      </c>
      <c r="E74" s="7"/>
      <c r="F74" s="20"/>
      <c r="G74" s="20"/>
      <c r="H74" s="20"/>
      <c r="I74" s="7"/>
      <c r="J74" s="20">
        <f>-(SUM([2]H9!$AT$33:$BJ$33)/1000/J65)</f>
        <v>0.12140795765145782</v>
      </c>
      <c r="K74" s="20">
        <f>-(SUM([2]H9!$AT$34:$BJ$34)/1000/K65)</f>
        <v>0.18829351262278499</v>
      </c>
      <c r="L74" s="20">
        <f>-(SUM([2]H9!$AT$35:$BJ$35)/1000/L65)</f>
        <v>4.5694904429777555E-2</v>
      </c>
      <c r="M74" s="7"/>
      <c r="N74" s="7"/>
      <c r="O74" s="20"/>
      <c r="P74" s="20"/>
      <c r="Q74" s="20"/>
      <c r="R74" s="7"/>
      <c r="S74" s="20">
        <f>-(SUM([2]H9!$FR$33:$GH$33)/1000/S65)</f>
        <v>0.12932809534978082</v>
      </c>
      <c r="T74" s="20">
        <f>-(SUM([2]H9!$FR$34:$GH$34)/1000/T65)</f>
        <v>0.1559029195711662</v>
      </c>
      <c r="U74" s="20">
        <f>-(SUM([2]H9!$FR$35:$GH$35)/1000/U65)</f>
        <v>4.5694904429777528E-2</v>
      </c>
      <c r="V74" s="7"/>
    </row>
    <row r="75" spans="2:22" ht="20.149999999999999" hidden="1" customHeight="1" outlineLevel="1" x14ac:dyDescent="0.25">
      <c r="B75" s="204"/>
      <c r="C75" s="9"/>
      <c r="D75" s="14" t="s">
        <v>79</v>
      </c>
      <c r="E75" s="8"/>
      <c r="F75" s="20">
        <v>0.7802308326283719</v>
      </c>
      <c r="G75" s="20">
        <v>0.69610715583619387</v>
      </c>
      <c r="H75" s="20">
        <v>0.91945398903326336</v>
      </c>
      <c r="I75" s="8"/>
      <c r="J75" s="20">
        <f>+J69+J70+J73+J74</f>
        <v>1.0791933958395175</v>
      </c>
      <c r="K75" s="20">
        <f>+K69+K70+K73+K74</f>
        <v>0.96761552677941065</v>
      </c>
      <c r="L75" s="20">
        <f>+L69+L70+L73+L74</f>
        <v>1.0094230508252622</v>
      </c>
      <c r="M75" s="8"/>
      <c r="N75" s="8"/>
      <c r="O75" s="20">
        <v>0.7802308326283719</v>
      </c>
      <c r="P75" s="20">
        <v>0.69610715583619387</v>
      </c>
      <c r="Q75" s="20">
        <v>0.91945398903326336</v>
      </c>
      <c r="R75" s="8"/>
      <c r="S75" s="20">
        <f>+S69+S70+S73+S74</f>
        <v>1.241601613622789</v>
      </c>
      <c r="T75" s="20">
        <f>+T69+T70+T73+T74</f>
        <v>-0.87961272257802581</v>
      </c>
      <c r="U75" s="20">
        <f>+U69+U70+U73+U74</f>
        <v>1.0094230508252617</v>
      </c>
      <c r="V75" s="8"/>
    </row>
    <row r="76" spans="2:22" ht="19.5" hidden="1" customHeight="1" outlineLevel="1" x14ac:dyDescent="0.25">
      <c r="B76" s="204"/>
      <c r="C76" s="9"/>
      <c r="D76" s="14" t="s">
        <v>34</v>
      </c>
      <c r="E76" s="6"/>
      <c r="F76" s="19">
        <v>42.037429050000036</v>
      </c>
      <c r="G76" s="19">
        <v>54.204268909999989</v>
      </c>
      <c r="H76" s="19">
        <v>13.704392154220848</v>
      </c>
      <c r="I76" s="6"/>
      <c r="J76" s="19">
        <f>+[2]H9!$BK$33/1000</f>
        <v>-0.76772701999999782</v>
      </c>
      <c r="K76" s="19">
        <f>+[2]H9!$BK$34/1000</f>
        <v>0.29815447999999944</v>
      </c>
      <c r="L76" s="19">
        <f>+[2]H9!$BK$35/1000</f>
        <v>-0.10365252457421684</v>
      </c>
      <c r="M76" s="6"/>
      <c r="N76" s="6"/>
      <c r="O76" s="19">
        <v>42.037429050000036</v>
      </c>
      <c r="P76" s="19">
        <v>54.204268909999989</v>
      </c>
      <c r="Q76" s="19">
        <v>13.704392154220848</v>
      </c>
      <c r="R76" s="6"/>
      <c r="S76" s="19">
        <f>+[2]H9!$GI$33/1000</f>
        <v>-0.8027121199999967</v>
      </c>
      <c r="T76" s="19">
        <f>+[2]H9!$GI$34/1000</f>
        <v>5.7897407700000025</v>
      </c>
      <c r="U76" s="19">
        <f>+[2]H9!$GI$35/1000</f>
        <v>-3.4550841524738189E-2</v>
      </c>
      <c r="V76" s="6"/>
    </row>
    <row r="77" spans="2:22" ht="7.5" hidden="1" customHeight="1" outlineLevel="2" x14ac:dyDescent="0.25"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19.5" hidden="1" customHeight="1" outlineLevel="1" x14ac:dyDescent="0.25">
      <c r="B78" s="204" t="s">
        <v>101</v>
      </c>
      <c r="C78" s="9"/>
      <c r="D78" s="14" t="s">
        <v>19</v>
      </c>
      <c r="E78" s="6"/>
      <c r="F78" s="19">
        <v>20.927521469999995</v>
      </c>
      <c r="G78" s="19">
        <v>19.98443919</v>
      </c>
      <c r="H78" s="19">
        <v>18.16505169698857</v>
      </c>
      <c r="I78" s="6"/>
      <c r="J78" s="19">
        <f>+[2]H9!$C$37/1000</f>
        <v>7.5324710100000027</v>
      </c>
      <c r="K78" s="19">
        <f>+[2]H9!$C$38/1000</f>
        <v>8.0493241200000067</v>
      </c>
      <c r="L78" s="19">
        <f>+[2]H9!$C$39/1000</f>
        <v>9.4957032843232927</v>
      </c>
      <c r="M78" s="6"/>
      <c r="N78" s="6"/>
      <c r="O78" s="19">
        <v>20.927521469999995</v>
      </c>
      <c r="P78" s="19">
        <v>19.98443919</v>
      </c>
      <c r="Q78" s="19">
        <v>18.16505169698857</v>
      </c>
      <c r="R78" s="6"/>
      <c r="S78" s="19">
        <f>+[2]H9!$EA$37/1000</f>
        <v>1.4589940600000018</v>
      </c>
      <c r="T78" s="19">
        <f>+[2]H9!$EA$38/1000</f>
        <v>1.3323286400000016</v>
      </c>
      <c r="U78" s="19">
        <f>+[2]H9!$EA$39/1000</f>
        <v>2.1923919528161289</v>
      </c>
      <c r="V78" s="6"/>
    </row>
    <row r="79" spans="2:22" ht="20.149999999999999" hidden="1" customHeight="1" outlineLevel="1" x14ac:dyDescent="0.25">
      <c r="B79" s="204"/>
      <c r="C79" s="9"/>
      <c r="D79" s="14" t="s">
        <v>20</v>
      </c>
      <c r="E79" s="6"/>
      <c r="F79" s="19">
        <v>20.145695379999996</v>
      </c>
      <c r="G79" s="19">
        <v>18.32074828</v>
      </c>
      <c r="H79" s="19">
        <v>17.080880080651021</v>
      </c>
      <c r="I79" s="6"/>
      <c r="J79" s="19">
        <f>+[2]H9!$N$37/1000</f>
        <v>5.3756103199999972</v>
      </c>
      <c r="K79" s="19">
        <f>+[2]H9!$N$38/1000</f>
        <v>5.3401845700000052</v>
      </c>
      <c r="L79" s="19">
        <f>+[2]H9!$N$39/1000</f>
        <v>6.9925416828876115</v>
      </c>
      <c r="M79" s="6"/>
      <c r="N79" s="6"/>
      <c r="O79" s="19">
        <v>20.145695379999996</v>
      </c>
      <c r="P79" s="19">
        <v>18.32074828</v>
      </c>
      <c r="Q79" s="19">
        <v>17.080880080651021</v>
      </c>
      <c r="R79" s="6"/>
      <c r="S79" s="19">
        <f>+[2]H9!$EL$37/1000</f>
        <v>1.7088299400000047</v>
      </c>
      <c r="T79" s="19">
        <f>+[2]H9!$EL$38/1000</f>
        <v>1.5871956100000011</v>
      </c>
      <c r="U79" s="19">
        <f>+[2]H9!$EL$39/1000</f>
        <v>2.3308472276292043</v>
      </c>
      <c r="V79" s="6"/>
    </row>
    <row r="80" spans="2:22" ht="19.5" hidden="1" customHeight="1" outlineLevel="1" x14ac:dyDescent="0.25">
      <c r="B80" s="204"/>
      <c r="C80" s="9"/>
      <c r="D80" s="14" t="s">
        <v>82</v>
      </c>
      <c r="E80" s="6"/>
      <c r="F80" s="20">
        <f>F83-F81-F82</f>
        <v>0.61955878487029936</v>
      </c>
      <c r="G80" s="20">
        <f>G83-G81-G82</f>
        <v>0.61904819479349349</v>
      </c>
      <c r="H80" s="20">
        <f>H83-H81-H82</f>
        <v>0.51426139191916054</v>
      </c>
      <c r="I80" s="6"/>
      <c r="J80" s="20">
        <f>-(SUM([2]H9!$O$37,[2]H9!$R$37:$V$37,[2]H9!$Y$37:$AB$37)/1000)/J79</f>
        <v>0.35867076577827556</v>
      </c>
      <c r="K80" s="20">
        <f>-(SUM([2]H9!$O$38,[2]H9!$R$38:$V$38,[2]H9!$Y$38:$AB$38)/1000)/K79</f>
        <v>0.43942339805681985</v>
      </c>
      <c r="L80" s="20">
        <f>-(SUM([2]H9!$O$39,[2]H9!$R$39:$V$39,[2]H9!$Y$39:$AB$39)/1000)/L79</f>
        <v>0.35805023034942257</v>
      </c>
      <c r="M80" s="6"/>
      <c r="N80" s="6"/>
      <c r="O80" s="20">
        <f>O83-O81-O82</f>
        <v>0.61955878487029936</v>
      </c>
      <c r="P80" s="20">
        <f>P83-P81-P82</f>
        <v>0.61904819479349349</v>
      </c>
      <c r="Q80" s="20">
        <f>Q83-Q81-Q82</f>
        <v>0.51426139191916054</v>
      </c>
      <c r="R80" s="6"/>
      <c r="S80" s="20">
        <f>-(SUM([2]H9!$EM$37,[2]H9!$EP$37:$ET$37,[2]H9!$EW$37:$EZ$37)/1000)/S79</f>
        <v>0.40525704389285117</v>
      </c>
      <c r="T80" s="20">
        <f>-(SUM([2]H9!$EM$38,[2]H9!$EP$38:$ET$38,[2]H9!$EW$38:$EZ$38)/1000)/T79</f>
        <v>0.48926781620823623</v>
      </c>
      <c r="U80" s="20">
        <f>-(SUM([2]H9!$EM$39,[2]H9!$EP$39:$ET$39,[2]H9!$EW$39:$EZ$39)/1000)/U79</f>
        <v>0.35805023034942268</v>
      </c>
      <c r="V80" s="6"/>
    </row>
    <row r="81" spans="2:22" ht="19.5" hidden="1" customHeight="1" outlineLevel="1" x14ac:dyDescent="0.25">
      <c r="B81" s="204"/>
      <c r="C81" s="9"/>
      <c r="D81" s="14" t="s">
        <v>83</v>
      </c>
      <c r="E81" s="6"/>
      <c r="F81" s="20">
        <f>IFERROR(SUM(INDEX(LL_TOT_BR_YTD,7,Month),INDEX(LL_IBNR_TOT_BR_YTD,7,Month))/F79,0)</f>
        <v>0</v>
      </c>
      <c r="G81" s="20">
        <f>IFERROR(SUM(INDEX(LL_TOT_BR_YTD_PREV,7,Month),INDEX(LL_IBNR_TOT_BR_YTD_PREV,7,Month))/G79,0)</f>
        <v>0</v>
      </c>
      <c r="H81" s="20">
        <f>IFERROR(SUM(INDEX(LL_TOT_BR_YTD_PLAN,7,Month),INDEX(LL_IBNR_TOT_BR_YTD_PLAN,7,Month))/H79,0)</f>
        <v>0</v>
      </c>
      <c r="I81" s="6"/>
      <c r="J81" s="20">
        <f>-(SUM([2]H9!$Q$37,[2]H9!$X$37)/1000)/J79</f>
        <v>5.952812442699533E-2</v>
      </c>
      <c r="K81" s="20">
        <f>-(SUM([2]H9!$Q$38,[2]H9!$X$38)/1000)/K79</f>
        <v>0</v>
      </c>
      <c r="L81" s="20">
        <f>-(SUM([2]H9!$Q$39,[2]H9!$X$39)/1000)/L79</f>
        <v>6.4474573651881625E-2</v>
      </c>
      <c r="M81" s="6"/>
      <c r="N81" s="6"/>
      <c r="O81" s="20">
        <f>IFERROR(SUM(INDEX(LL_TOT_BR_YTD,7,Month),INDEX(LL_IBNR_TOT_BR_YTD,7,Month))/O79,0)</f>
        <v>0</v>
      </c>
      <c r="P81" s="20">
        <f>IFERROR(SUM(INDEX(LL_TOT_BR_YTD_PREV,7,Month),INDEX(LL_IBNR_TOT_BR_YTD_PREV,7,Month))/P79,0)</f>
        <v>0</v>
      </c>
      <c r="Q81" s="20">
        <f>IFERROR(SUM(INDEX(LL_TOT_BR_YTD_PLAN,7,Month),INDEX(LL_IBNR_TOT_BR_YTD_PLAN,7,Month))/Q79,0)</f>
        <v>0</v>
      </c>
      <c r="R81" s="6"/>
      <c r="S81" s="20">
        <f>-(SUM([2]H9!$EO$37,[2]H9!$EV$37)/1000)/S79</f>
        <v>4.0963701747875399E-2</v>
      </c>
      <c r="T81" s="20">
        <f>-(SUM([2]H9!$EO$38,[2]H9!$EV$38)/1000)/T79</f>
        <v>0</v>
      </c>
      <c r="U81" s="20">
        <f>-(SUM([2]H9!$EO$39,[2]H9!$EV$39)/1000)/U79</f>
        <v>6.4474573651881611E-2</v>
      </c>
      <c r="V81" s="6"/>
    </row>
    <row r="82" spans="2:22" ht="19.5" hidden="1" customHeight="1" outlineLevel="1" x14ac:dyDescent="0.25">
      <c r="B82" s="204"/>
      <c r="C82" s="9"/>
      <c r="D82" s="14" t="s">
        <v>84</v>
      </c>
      <c r="E82" s="6"/>
      <c r="F82" s="20">
        <f>0</f>
        <v>0</v>
      </c>
      <c r="G82" s="20">
        <f>0</f>
        <v>0</v>
      </c>
      <c r="H82" s="20">
        <f>0</f>
        <v>0</v>
      </c>
      <c r="I82" s="6"/>
      <c r="J82" s="20">
        <f>-(SUM([2]H9!$P$37,[2]H9!$W$37)/1000)/J79</f>
        <v>4.6506347208590101E-4</v>
      </c>
      <c r="K82" s="20">
        <f>-(SUM([2]H9!$P$38,[2]H9!$W$38)/1000)/K79</f>
        <v>0</v>
      </c>
      <c r="L82" s="20">
        <f>-(SUM([2]H9!$P$39,[2]H9!$W$39)/1000)/L79</f>
        <v>2.3508447087477461E-2</v>
      </c>
      <c r="M82" s="6"/>
      <c r="N82" s="6"/>
      <c r="O82" s="20">
        <f>0</f>
        <v>0</v>
      </c>
      <c r="P82" s="20">
        <f>0</f>
        <v>0</v>
      </c>
      <c r="Q82" s="20">
        <f>0</f>
        <v>0</v>
      </c>
      <c r="R82" s="6"/>
      <c r="S82" s="20">
        <f>-(SUM([2]H9!$EN$37,[2]H9!$EU$37)/1000)/S79</f>
        <v>1.462989348138407E-3</v>
      </c>
      <c r="T82" s="20">
        <f>-(SUM([2]H9!$EN$38,[2]H9!$EU$38)/1000)/T79</f>
        <v>0</v>
      </c>
      <c r="U82" s="20">
        <f>-(SUM([2]H9!$EN$39,[2]H9!$EU$39)/1000)/U79</f>
        <v>2.3508447087477454E-2</v>
      </c>
      <c r="V82" s="6"/>
    </row>
    <row r="83" spans="2:22" ht="19.5" hidden="1" customHeight="1" outlineLevel="2" x14ac:dyDescent="0.25">
      <c r="B83" s="204"/>
      <c r="C83" s="9"/>
      <c r="D83" s="14" t="s">
        <v>85</v>
      </c>
      <c r="E83" s="7"/>
      <c r="F83" s="20">
        <v>0.61955878487029936</v>
      </c>
      <c r="G83" s="20">
        <v>0.61904819479349349</v>
      </c>
      <c r="H83" s="20">
        <v>0.51426139191916054</v>
      </c>
      <c r="I83" s="7"/>
      <c r="J83" s="20">
        <f>+J80+J81+J82</f>
        <v>0.41866395367735681</v>
      </c>
      <c r="K83" s="20">
        <f>+K80+K81+K82</f>
        <v>0.43942339805681985</v>
      </c>
      <c r="L83" s="20">
        <f>+L80+L81+L82</f>
        <v>0.44603325108878167</v>
      </c>
      <c r="M83" s="7"/>
      <c r="N83" s="7"/>
      <c r="O83" s="20">
        <v>0.61955878487029936</v>
      </c>
      <c r="P83" s="20">
        <v>0.61904819479349349</v>
      </c>
      <c r="Q83" s="20">
        <v>0.51426139191916054</v>
      </c>
      <c r="R83" s="7"/>
      <c r="S83" s="20">
        <f>+S80+S81+S82</f>
        <v>0.44768373498886499</v>
      </c>
      <c r="T83" s="20">
        <f>+T80+T81+T82</f>
        <v>0.48926781620823623</v>
      </c>
      <c r="U83" s="20">
        <f>+U80+U81+U82</f>
        <v>0.44603325108878178</v>
      </c>
      <c r="V83" s="7"/>
    </row>
    <row r="84" spans="2:22" ht="20.149999999999999" hidden="1" customHeight="1" outlineLevel="1" x14ac:dyDescent="0.25">
      <c r="B84" s="204"/>
      <c r="C84" s="9"/>
      <c r="D84" s="14" t="s">
        <v>86</v>
      </c>
      <c r="E84" s="7"/>
      <c r="F84" s="20">
        <v>-3.1982752535792677E-2</v>
      </c>
      <c r="G84" s="20">
        <v>-5.6615916781757085E-2</v>
      </c>
      <c r="H84" s="20">
        <v>0</v>
      </c>
      <c r="I84" s="7"/>
      <c r="J84" s="20">
        <f>-(SUM([2]H9!$AC$37:$AK$37)/1000)/J79</f>
        <v>-9.7113372979758666E-2</v>
      </c>
      <c r="K84" s="20">
        <f>-(SUM([2]H9!$AC$38:$AK$38)/1000)/K79</f>
        <v>0.19477335780549604</v>
      </c>
      <c r="L84" s="20">
        <f>-(SUM([2]H9!$AC$39:$AK$39)/1000)/L79</f>
        <v>-6.6565449270018012E-3</v>
      </c>
      <c r="M84" s="7"/>
      <c r="N84" s="7"/>
      <c r="O84" s="20">
        <v>-3.1982752535792677E-2</v>
      </c>
      <c r="P84" s="20">
        <v>-5.6615916781757085E-2</v>
      </c>
      <c r="Q84" s="20">
        <v>0</v>
      </c>
      <c r="R84" s="7"/>
      <c r="S84" s="20">
        <f>-(SUM([2]H9!$FA$37:$FI$37)/1000)/S79</f>
        <v>-0.28347638852816365</v>
      </c>
      <c r="T84" s="20">
        <f>-(SUM([2]H9!$FA$38:$FI$38)/1000)/T79</f>
        <v>0.10897424924203264</v>
      </c>
      <c r="U84" s="20">
        <f>-(SUM([2]H9!$FA$39:$FI$39)/1000)/U79</f>
        <v>-6.6565449270018012E-3</v>
      </c>
      <c r="V84" s="7"/>
    </row>
    <row r="85" spans="2:22" ht="20.149999999999999" hidden="1" customHeight="1" outlineLevel="2" x14ac:dyDescent="0.25">
      <c r="B85" s="204"/>
      <c r="C85" s="9"/>
      <c r="D85" s="15" t="s">
        <v>87</v>
      </c>
      <c r="E85" s="7"/>
      <c r="F85" s="20">
        <v>0.13755634083254961</v>
      </c>
      <c r="G85" s="20">
        <v>0.14024780706173212</v>
      </c>
      <c r="H85" s="20">
        <v>0.13207104343289405</v>
      </c>
      <c r="I85" s="7"/>
      <c r="J85" s="20">
        <f>-(SUM([2]H9!$AL$37:$AN$37)/1000)/J79</f>
        <v>0.17712254671019434</v>
      </c>
      <c r="K85" s="20">
        <f>-(SUM([2]H9!$AL$38:$AN$38)/1000)/K79</f>
        <v>0.16833484277866456</v>
      </c>
      <c r="L85" s="20">
        <f>-(SUM([2]H9!$AL$39:$AN$39)/1000)/L79</f>
        <v>0.18544011209679476</v>
      </c>
      <c r="M85" s="7"/>
      <c r="N85" s="7"/>
      <c r="O85" s="20">
        <v>0.13755634083254961</v>
      </c>
      <c r="P85" s="20">
        <v>0.14024780706173212</v>
      </c>
      <c r="Q85" s="20">
        <v>0.13207104343289405</v>
      </c>
      <c r="R85" s="7"/>
      <c r="S85" s="20">
        <f>-(SUM([2]H9!$FJ$37:$FL$37)/1000)/S79</f>
        <v>0.20295610574332465</v>
      </c>
      <c r="T85" s="20">
        <f>-(SUM([2]H9!$FJ$38:$FL$38)/1000)/T79</f>
        <v>0.19575390584655156</v>
      </c>
      <c r="U85" s="20">
        <f>-(SUM([2]H9!$FJ$39:$FL$39)/1000)/U79</f>
        <v>0.18544011209679473</v>
      </c>
      <c r="V85" s="7"/>
    </row>
    <row r="86" spans="2:22" ht="20.149999999999999" hidden="1" customHeight="1" outlineLevel="2" x14ac:dyDescent="0.25">
      <c r="B86" s="204"/>
      <c r="C86" s="9"/>
      <c r="D86" s="15" t="s">
        <v>88</v>
      </c>
      <c r="E86" s="7"/>
      <c r="F86" s="20">
        <v>0.10336675159236923</v>
      </c>
      <c r="G86" s="20">
        <v>0.10474770739003897</v>
      </c>
      <c r="H86" s="20">
        <v>0.13046914903398416</v>
      </c>
      <c r="I86" s="7"/>
      <c r="J86" s="20">
        <f>-(SUM([2]H9!$AO$37:$AR$37)/1000)/J79</f>
        <v>0.30216165854819649</v>
      </c>
      <c r="K86" s="20">
        <f>-(SUM([2]H9!$AO$38:$AR$38)/1000)/K79</f>
        <v>0.25866365701288835</v>
      </c>
      <c r="L86" s="20">
        <f>-(SUM([2]H9!$AO$39:$AR$39)/1000)/L79</f>
        <v>0.24433838528074237</v>
      </c>
      <c r="M86" s="7"/>
      <c r="N86" s="7"/>
      <c r="O86" s="20">
        <v>0.10336675159236923</v>
      </c>
      <c r="P86" s="20">
        <v>0.10474770739003897</v>
      </c>
      <c r="Q86" s="20">
        <v>0.13046914903398416</v>
      </c>
      <c r="R86" s="7"/>
      <c r="S86" s="20">
        <f>-(SUM([2]H9!$FM$37:$FP$37)/1000)/S79</f>
        <v>0.30257663322542122</v>
      </c>
      <c r="T86" s="20">
        <f>-(SUM([2]H9!$FM$38:$FP$38)/1000)/T79</f>
        <v>0.30888147428784757</v>
      </c>
      <c r="U86" s="20">
        <f>-(SUM([2]H9!$FM$39:$FP$39)/1000)/U79</f>
        <v>0.24433838528074234</v>
      </c>
      <c r="V86" s="7"/>
    </row>
    <row r="87" spans="2:22" ht="20.149999999999999" hidden="1" customHeight="1" outlineLevel="1" x14ac:dyDescent="0.25">
      <c r="B87" s="204"/>
      <c r="C87" s="9"/>
      <c r="D87" s="14" t="s">
        <v>89</v>
      </c>
      <c r="E87" s="7"/>
      <c r="F87" s="20">
        <v>0.2409230924249188</v>
      </c>
      <c r="G87" s="20">
        <v>0.24499551445177109</v>
      </c>
      <c r="H87" s="20">
        <v>0.26254019246687821</v>
      </c>
      <c r="I87" s="7"/>
      <c r="J87" s="20">
        <f>+J85+J86</f>
        <v>0.47928420525839083</v>
      </c>
      <c r="K87" s="20">
        <f>+K85+K86</f>
        <v>0.42699849979155291</v>
      </c>
      <c r="L87" s="20">
        <f>+L85+L86</f>
        <v>0.42977849737753715</v>
      </c>
      <c r="M87" s="7"/>
      <c r="N87" s="7"/>
      <c r="O87" s="20">
        <v>0.2409230924249188</v>
      </c>
      <c r="P87" s="20">
        <v>0.24499551445177109</v>
      </c>
      <c r="Q87" s="20">
        <v>0.26254019246687821</v>
      </c>
      <c r="R87" s="7"/>
      <c r="S87" s="20">
        <f>+S85+S86</f>
        <v>0.50553273896874584</v>
      </c>
      <c r="T87" s="20">
        <f>+T85+T86</f>
        <v>0.50463538013439913</v>
      </c>
      <c r="U87" s="20">
        <f>+U85+U86</f>
        <v>0.42977849737753704</v>
      </c>
      <c r="V87" s="7"/>
    </row>
    <row r="88" spans="2:22" ht="20.149999999999999" hidden="1" customHeight="1" outlineLevel="1" x14ac:dyDescent="0.25">
      <c r="B88" s="204"/>
      <c r="C88" s="9"/>
      <c r="D88" s="14" t="s">
        <v>90</v>
      </c>
      <c r="E88" s="7"/>
      <c r="F88" s="20"/>
      <c r="G88" s="20"/>
      <c r="H88" s="20"/>
      <c r="I88" s="7"/>
      <c r="J88" s="20">
        <f>-(SUM([2]H9!$AT$37:$BJ$37)/1000/J79)</f>
        <v>0.13309515709092593</v>
      </c>
      <c r="K88" s="20">
        <f>-(SUM([2]H9!$AT$38:$BJ$38)/1000/K79)</f>
        <v>0.19862731261365416</v>
      </c>
      <c r="L88" s="20">
        <f>-(SUM([2]H9!$AT$39:$BJ$39)/1000/L79)</f>
        <v>8.4909023478448725E-2</v>
      </c>
      <c r="M88" s="7"/>
      <c r="N88" s="7"/>
      <c r="O88" s="20"/>
      <c r="P88" s="20"/>
      <c r="Q88" s="20"/>
      <c r="R88" s="7"/>
      <c r="S88" s="20">
        <f>-(SUM([2]H9!$FR$37:$GH$37)/1000/S79)</f>
        <v>0.13052496025438329</v>
      </c>
      <c r="T88" s="20">
        <f>-(SUM([2]H9!$FR$38:$GH$38)/1000/T79)</f>
        <v>0.1718680786925828</v>
      </c>
      <c r="U88" s="20">
        <f>-(SUM([2]H9!$FR$39:$GH$39)/1000/U79)</f>
        <v>8.4909023478448753E-2</v>
      </c>
      <c r="V88" s="7"/>
    </row>
    <row r="89" spans="2:22" ht="20.149999999999999" hidden="1" customHeight="1" outlineLevel="1" x14ac:dyDescent="0.25">
      <c r="B89" s="204"/>
      <c r="C89" s="9"/>
      <c r="D89" s="14" t="s">
        <v>79</v>
      </c>
      <c r="E89" s="8"/>
      <c r="F89" s="20">
        <v>0.82849912475942544</v>
      </c>
      <c r="G89" s="20">
        <v>0.80742779246350749</v>
      </c>
      <c r="H89" s="20">
        <v>0.77680158438603875</v>
      </c>
      <c r="I89" s="8"/>
      <c r="J89" s="20">
        <f>+J83+J84+J87+J88</f>
        <v>0.9339299430469149</v>
      </c>
      <c r="K89" s="20">
        <f>+K83+K84+K87+K88</f>
        <v>1.259822568267523</v>
      </c>
      <c r="L89" s="20">
        <f>+L83+L84+L87+L88</f>
        <v>0.95406422701776583</v>
      </c>
      <c r="M89" s="8"/>
      <c r="N89" s="8"/>
      <c r="O89" s="20">
        <v>0.82849912475942544</v>
      </c>
      <c r="P89" s="20">
        <v>0.80742779246350749</v>
      </c>
      <c r="Q89" s="20">
        <v>0.77680158438603875</v>
      </c>
      <c r="R89" s="8"/>
      <c r="S89" s="20">
        <f>+S83+S84+S87+S88</f>
        <v>0.8002650456838305</v>
      </c>
      <c r="T89" s="20">
        <f>+T83+T84+T87+T88</f>
        <v>1.274745524277251</v>
      </c>
      <c r="U89" s="20">
        <f>+U83+U84+U87+U88</f>
        <v>0.95406422701776583</v>
      </c>
      <c r="V89" s="8"/>
    </row>
    <row r="90" spans="2:22" ht="19.5" hidden="1" customHeight="1" outlineLevel="1" x14ac:dyDescent="0.25">
      <c r="B90" s="204"/>
      <c r="C90" s="9"/>
      <c r="D90" s="14" t="s">
        <v>34</v>
      </c>
      <c r="E90" s="6"/>
      <c r="F90" s="19">
        <v>3.4235248799999982</v>
      </c>
      <c r="G90" s="19">
        <v>3.5300846599999987</v>
      </c>
      <c r="H90" s="19">
        <v>3.8124253712933789</v>
      </c>
      <c r="I90" s="6"/>
      <c r="J90" s="19">
        <f>+[2]H9!$BK$37/1000</f>
        <v>0.35516687999999202</v>
      </c>
      <c r="K90" s="19">
        <f>+[2]H9!$BK$38/1000</f>
        <v>-1.38750047</v>
      </c>
      <c r="L90" s="19">
        <f>+[2]H9!$BK$39/1000</f>
        <v>0.32120780731393511</v>
      </c>
      <c r="M90" s="6"/>
      <c r="N90" s="6"/>
      <c r="O90" s="19">
        <v>3.4235248799999982</v>
      </c>
      <c r="P90" s="19">
        <v>3.5300846599999987</v>
      </c>
      <c r="Q90" s="19">
        <v>3.8124253712933789</v>
      </c>
      <c r="R90" s="6"/>
      <c r="S90" s="19">
        <f>+[2]H9!$GI$37/1000</f>
        <v>0.34131307000000333</v>
      </c>
      <c r="T90" s="19">
        <f>+[2]H9!$GI$38/1000</f>
        <v>-0.43607489000000077</v>
      </c>
      <c r="U90" s="19">
        <f>+[2]H9!$GI$39/1000</f>
        <v>0.10706926910464529</v>
      </c>
      <c r="V90" s="6"/>
    </row>
    <row r="91" spans="2:22" ht="7.5" hidden="1" customHeight="1" outlineLevel="1" x14ac:dyDescent="0.25">
      <c r="C91" s="9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19.5" customHeight="1" collapsed="1" x14ac:dyDescent="0.25">
      <c r="B92" s="204" t="s">
        <v>102</v>
      </c>
      <c r="C92" s="9"/>
      <c r="D92" s="14" t="s">
        <v>19</v>
      </c>
      <c r="E92" s="6"/>
      <c r="F92" s="19">
        <v>73.936491399999994</v>
      </c>
      <c r="G92" s="19">
        <v>67.736238929999985</v>
      </c>
      <c r="H92" s="19">
        <v>64.262486641781877</v>
      </c>
      <c r="I92" s="6"/>
      <c r="J92" s="19">
        <f>+[2]H9!$C$41/1000</f>
        <v>9.1223288100000062</v>
      </c>
      <c r="K92" s="19">
        <f>+[2]H9!$C$42/1000</f>
        <v>9.248511569999998</v>
      </c>
      <c r="L92" s="19">
        <f>+[2]H9!$C$43/1000</f>
        <v>9.5362593335711345</v>
      </c>
      <c r="M92" s="6"/>
      <c r="N92" s="6"/>
      <c r="O92" s="19">
        <v>73.936491399999994</v>
      </c>
      <c r="P92" s="19">
        <v>67.736238929999985</v>
      </c>
      <c r="Q92" s="19">
        <v>64.262486641781877</v>
      </c>
      <c r="R92" s="6"/>
      <c r="S92" s="19">
        <f>+[2]H9!$EA$41/1000</f>
        <v>0.29166688000000068</v>
      </c>
      <c r="T92" s="19">
        <f>+[2]H9!$EA$42/1000</f>
        <v>0.3697615500000011</v>
      </c>
      <c r="U92" s="19">
        <f>+[2]H9!$EA$43/1000</f>
        <v>0.51281327241476171</v>
      </c>
      <c r="V92" s="6"/>
    </row>
    <row r="93" spans="2:22" ht="20.149999999999999" customHeight="1" x14ac:dyDescent="0.25">
      <c r="B93" s="204"/>
      <c r="C93" s="9"/>
      <c r="D93" s="14" t="s">
        <v>20</v>
      </c>
      <c r="E93" s="6"/>
      <c r="F93" s="19">
        <v>71.393375890000002</v>
      </c>
      <c r="G93" s="19">
        <v>64.477333239999979</v>
      </c>
      <c r="H93" s="19">
        <v>61.30179304965408</v>
      </c>
      <c r="I93" s="6"/>
      <c r="J93" s="19">
        <f>+[2]H9!$N$41/1000</f>
        <v>4.2429061200000069</v>
      </c>
      <c r="K93" s="19">
        <f>+[2]H9!$N$42/1000</f>
        <v>4.3527476099999927</v>
      </c>
      <c r="L93" s="19">
        <f>+[2]H9!$N$43/1000</f>
        <v>4.1895342916585774</v>
      </c>
      <c r="M93" s="6"/>
      <c r="N93" s="6"/>
      <c r="O93" s="19">
        <v>71.393375890000002</v>
      </c>
      <c r="P93" s="19">
        <v>64.477333239999979</v>
      </c>
      <c r="Q93" s="19">
        <v>61.30179304965408</v>
      </c>
      <c r="R93" s="6"/>
      <c r="S93" s="19">
        <f>+[2]H9!$EL$41/1000</f>
        <v>1.4174168300000001</v>
      </c>
      <c r="T93" s="19">
        <f>+[2]H9!$EL$42/1000</f>
        <v>1.4428074900000019</v>
      </c>
      <c r="U93" s="19">
        <f>+[2]H9!$EL$43/1000</f>
        <v>1.3965114305528592</v>
      </c>
      <c r="V93" s="6"/>
    </row>
    <row r="94" spans="2:22" ht="19.5" customHeight="1" x14ac:dyDescent="0.25">
      <c r="B94" s="204"/>
      <c r="C94" s="9"/>
      <c r="D94" s="14" t="s">
        <v>92</v>
      </c>
      <c r="E94" s="6"/>
      <c r="F94" s="20">
        <f>F97-F95-F96</f>
        <v>0.60213230266957196</v>
      </c>
      <c r="G94" s="20">
        <f>G97-G95-G96</f>
        <v>0.49213122930950809</v>
      </c>
      <c r="H94" s="20">
        <f>H97-H95-H96</f>
        <v>0.56878005443336044</v>
      </c>
      <c r="I94" s="6"/>
      <c r="J94" s="20">
        <f>-(SUM([2]H9!$O$41,[2]H9!$R$41:$V$41,[2]H9!$Y$41:$AB$41)/1000)/J93</f>
        <v>0.49642837564986364</v>
      </c>
      <c r="K94" s="20">
        <f>-(SUM([2]H9!$O$42,[2]H9!$R$42:$V$42,[2]H9!$Y$42:$AB$42)/1000)/K93</f>
        <v>0.49926350312785628</v>
      </c>
      <c r="L94" s="20">
        <f>-(SUM([2]H9!$O$43,[2]H9!$R$43:$V$43,[2]H9!$Y$43:$AB$43)/1000)/L93</f>
        <v>0.4442176767835897</v>
      </c>
      <c r="M94" s="6"/>
      <c r="N94" s="6"/>
      <c r="O94" s="20">
        <f>O97-O95-O96</f>
        <v>0.60213230266957196</v>
      </c>
      <c r="P94" s="20">
        <f>P97-P95-P96</f>
        <v>0.49213122930950809</v>
      </c>
      <c r="Q94" s="20">
        <f>Q97-Q95-Q96</f>
        <v>0.56878005443336044</v>
      </c>
      <c r="R94" s="6"/>
      <c r="S94" s="20">
        <f>-(SUM([2]H9!$EM$41,[2]H9!$EP$41:$ET$41,[2]H9!$EW$41:$EZ$41)/1000)/S93</f>
        <v>0.55801269465152825</v>
      </c>
      <c r="T94" s="20">
        <f>-(SUM([2]H9!$EM$42,[2]H9!$EP$42:$ET$42,[2]H9!$EW$42:$EZ$42)/1000)/T93</f>
        <v>0.17329436617172414</v>
      </c>
      <c r="U94" s="20">
        <f>-(SUM([2]H9!$EM$43,[2]H9!$EP$43:$ET$43,[2]H9!$EW$43:$EZ$43)/1000)/U93</f>
        <v>0.44421767678358975</v>
      </c>
      <c r="V94" s="6"/>
    </row>
    <row r="95" spans="2:22" ht="19.5" customHeight="1" x14ac:dyDescent="0.25">
      <c r="B95" s="204"/>
      <c r="C95" s="9"/>
      <c r="D95" s="14" t="s">
        <v>93</v>
      </c>
      <c r="E95" s="6"/>
      <c r="F95" s="20">
        <f>IFERROR(SUM(INDEX(LL_TOT_BR_YTD,4,Month),INDEX(LL_IBNR_TOT_BR_YTD,4,Month))/F93,0)</f>
        <v>0</v>
      </c>
      <c r="G95" s="20">
        <f>IFERROR(SUM(INDEX(LL_TOT_BR_YTD_PREV,4,Month),INDEX(LL_IBNR_TOT_BR_YTD_PREV,4,Month))/G93,0)</f>
        <v>0</v>
      </c>
      <c r="H95" s="20">
        <f>IFERROR(SUM(INDEX(LL_TOT_BR_YTD_PLAN,4,Month),INDEX(LL_IBNR_TOT_BR_YTD_PLAN,4,Month))/H93,0)</f>
        <v>0</v>
      </c>
      <c r="I95" s="6"/>
      <c r="J95" s="20">
        <f>-(SUM([2]H9!$Q$41,[2]H9!$X$41)/1000)/J93</f>
        <v>9.2657651546985062E-2</v>
      </c>
      <c r="K95" s="20">
        <f>-(SUM([2]H9!$Q$42,[2]H9!$X$42)/1000)/K93</f>
        <v>3.3119770066337539E-2</v>
      </c>
      <c r="L95" s="20">
        <f>-(SUM([2]H9!$Q$43,[2]H9!$X$43)/1000)/L93</f>
        <v>9.4704018640609414E-2</v>
      </c>
      <c r="M95" s="6"/>
      <c r="N95" s="6"/>
      <c r="O95" s="20">
        <f>IFERROR(SUM(INDEX(LL_TOT_BR_YTD,4,Month),INDEX(LL_IBNR_TOT_BR_YTD,4,Month))/O93,0)</f>
        <v>0</v>
      </c>
      <c r="P95" s="20">
        <f>IFERROR(SUM(INDEX(LL_TOT_BR_YTD_PREV,4,Month),INDEX(LL_IBNR_TOT_BR_YTD_PREV,4,Month))/P93,0)</f>
        <v>0</v>
      </c>
      <c r="Q95" s="20">
        <f>IFERROR(SUM(INDEX(LL_TOT_BR_YTD_PLAN,4,Month),INDEX(LL_IBNR_TOT_BR_YTD_PLAN,4,Month))/Q93,0)</f>
        <v>0</v>
      </c>
      <c r="R95" s="6"/>
      <c r="S95" s="20">
        <f>-(SUM([2]H9!$EO$41,[2]H9!$EV$41)/1000)/S93</f>
        <v>9.0142887076677919E-2</v>
      </c>
      <c r="T95" s="20">
        <f>-(SUM([2]H9!$EO$42,[2]H9!$EV$42)/1000)/T93</f>
        <v>8.520617016801986E-2</v>
      </c>
      <c r="U95" s="20">
        <f>-(SUM([2]H9!$EO$43,[2]H9!$EV$43)/1000)/U93</f>
        <v>9.4704018640609414E-2</v>
      </c>
      <c r="V95" s="6"/>
    </row>
    <row r="96" spans="2:22" ht="19.5" customHeight="1" x14ac:dyDescent="0.25">
      <c r="B96" s="204"/>
      <c r="C96" s="9"/>
      <c r="D96" s="14" t="s">
        <v>94</v>
      </c>
      <c r="E96" s="6"/>
      <c r="F96" s="20">
        <f>0</f>
        <v>0</v>
      </c>
      <c r="G96" s="20">
        <f>0</f>
        <v>0</v>
      </c>
      <c r="H96" s="20">
        <f>0</f>
        <v>0</v>
      </c>
      <c r="I96" s="6"/>
      <c r="J96" s="20">
        <f>-(SUM([2]H9!$P$41,[2]H9!$W$41)/1000)/J93</f>
        <v>0</v>
      </c>
      <c r="K96" s="20">
        <f>-(SUM([2]H9!$P$42,[2]H9!$W$42)/1000)/K93</f>
        <v>0</v>
      </c>
      <c r="L96" s="20">
        <f>-(SUM([2]H9!$P$43,[2]H9!$W$43)/1000)/L93</f>
        <v>0</v>
      </c>
      <c r="M96" s="6"/>
      <c r="N96" s="6"/>
      <c r="O96" s="20">
        <f>0</f>
        <v>0</v>
      </c>
      <c r="P96" s="20">
        <f>0</f>
        <v>0</v>
      </c>
      <c r="Q96" s="20">
        <f>0</f>
        <v>0</v>
      </c>
      <c r="R96" s="6"/>
      <c r="S96" s="20">
        <f>-(SUM([2]H9!$EN$41,[2]H9!$EU$41)/1000)/S93</f>
        <v>0</v>
      </c>
      <c r="T96" s="20">
        <f>-(SUM([2]H9!$EN$42,[2]H9!$EU$42)/1000)/T93</f>
        <v>0</v>
      </c>
      <c r="U96" s="20">
        <f>-(SUM([2]H9!$EN$43,[2]H9!$EU$43)/1000)/U93</f>
        <v>0</v>
      </c>
      <c r="V96" s="6"/>
    </row>
    <row r="97" spans="2:22" ht="19.5" hidden="1" customHeight="1" outlineLevel="1" x14ac:dyDescent="0.25">
      <c r="B97" s="204"/>
      <c r="C97" s="9"/>
      <c r="D97" s="14" t="s">
        <v>95</v>
      </c>
      <c r="E97" s="7"/>
      <c r="F97" s="20">
        <v>0.60213230266957196</v>
      </c>
      <c r="G97" s="20">
        <v>0.49213122930950809</v>
      </c>
      <c r="H97" s="20">
        <v>0.56878005443336044</v>
      </c>
      <c r="I97" s="7"/>
      <c r="J97" s="20">
        <f>+J94+J95+J96</f>
        <v>0.58908602719684866</v>
      </c>
      <c r="K97" s="20">
        <f>+K94+K95+K96</f>
        <v>0.53238327319419376</v>
      </c>
      <c r="L97" s="20">
        <f>+L94+L95+L96</f>
        <v>0.5389216954241991</v>
      </c>
      <c r="M97" s="7"/>
      <c r="N97" s="7"/>
      <c r="O97" s="20">
        <v>0.60213230266957196</v>
      </c>
      <c r="P97" s="20">
        <v>0.49213122930950809</v>
      </c>
      <c r="Q97" s="20">
        <v>0.56878005443336044</v>
      </c>
      <c r="R97" s="7"/>
      <c r="S97" s="20">
        <f>+S94+S95+S96</f>
        <v>0.6481555817282062</v>
      </c>
      <c r="T97" s="20">
        <f>+T94+T95+T96</f>
        <v>0.25850053633974401</v>
      </c>
      <c r="U97" s="20">
        <f>+U94+U95+U96</f>
        <v>0.53892169542419921</v>
      </c>
      <c r="V97" s="7"/>
    </row>
    <row r="98" spans="2:22" ht="20.149999999999999" customHeight="1" collapsed="1" x14ac:dyDescent="0.25">
      <c r="B98" s="204"/>
      <c r="C98" s="9"/>
      <c r="D98" s="14" t="s">
        <v>96</v>
      </c>
      <c r="E98" s="7"/>
      <c r="F98" s="20">
        <v>-1.8108815753326363E-2</v>
      </c>
      <c r="G98" s="20">
        <v>0.34234992238025652</v>
      </c>
      <c r="H98" s="20">
        <v>-1.6312736548994677E-2</v>
      </c>
      <c r="I98" s="7"/>
      <c r="J98" s="20">
        <f>-(SUM([2]H9!$AC$41:$AK$41)/1000)/J93</f>
        <v>-7.8282512175876062E-2</v>
      </c>
      <c r="K98" s="20">
        <f>-(SUM([2]H9!$AC$42:$AK$42)/1000)/K93</f>
        <v>-0.57303378313726872</v>
      </c>
      <c r="L98" s="20">
        <f>-(SUM([2]H9!$AC$43:$AK$43)/1000)/L93</f>
        <v>-9.1807462973030121E-3</v>
      </c>
      <c r="M98" s="7"/>
      <c r="N98" s="7"/>
      <c r="O98" s="20">
        <v>-1.8108815753326363E-2</v>
      </c>
      <c r="P98" s="20">
        <v>0.34234992238025652</v>
      </c>
      <c r="Q98" s="20">
        <v>-1.6312736548994677E-2</v>
      </c>
      <c r="R98" s="7"/>
      <c r="S98" s="20">
        <f>-(SUM([2]H9!$FA$41:$FI$41)/1000)/S93</f>
        <v>0.58135022285575666</v>
      </c>
      <c r="T98" s="20">
        <f>-(SUM([2]H9!$FA$42:$FI$42)/1000)/T93</f>
        <v>0.72519314409713753</v>
      </c>
      <c r="U98" s="20">
        <f>-(SUM([2]H9!$FA$43:$FI$43)/1000)/U93</f>
        <v>-9.1807462973030399E-3</v>
      </c>
      <c r="V98" s="7"/>
    </row>
    <row r="99" spans="2:22" ht="20.149999999999999" hidden="1" customHeight="1" outlineLevel="1" x14ac:dyDescent="0.25">
      <c r="B99" s="204"/>
      <c r="C99" s="9"/>
      <c r="D99" s="15" t="s">
        <v>87</v>
      </c>
      <c r="E99" s="7"/>
      <c r="F99" s="20">
        <v>0.19134969189646484</v>
      </c>
      <c r="G99" s="20">
        <v>0.18797536918727567</v>
      </c>
      <c r="H99" s="20">
        <v>0.19462740988730837</v>
      </c>
      <c r="I99" s="7"/>
      <c r="J99" s="20">
        <f>-(SUM([2]H9!$AL$41:$AN$41)/1000)/J93</f>
        <v>0.20878436970931552</v>
      </c>
      <c r="K99" s="20">
        <f>-(SUM([2]H9!$AL$42:$AN$42)/1000)/K93</f>
        <v>0.21066715834690977</v>
      </c>
      <c r="L99" s="20">
        <f>-(SUM([2]H9!$AL$43:$AN$43)/1000)/L93</f>
        <v>0.22145212001761377</v>
      </c>
      <c r="M99" s="7"/>
      <c r="N99" s="7"/>
      <c r="O99" s="20">
        <v>0.19134969189646484</v>
      </c>
      <c r="P99" s="20">
        <v>0.18797536918727567</v>
      </c>
      <c r="Q99" s="20">
        <v>0.19462740988730837</v>
      </c>
      <c r="R99" s="7"/>
      <c r="S99" s="20">
        <f>-(SUM([2]H9!$FJ$41:$FL$41)/1000)/S93</f>
        <v>0.2007856150543941</v>
      </c>
      <c r="T99" s="20">
        <f>-(SUM([2]H9!$FJ$42:$FL$42)/1000)/T93</f>
        <v>0.20925479115720394</v>
      </c>
      <c r="U99" s="20">
        <f>-(SUM([2]H9!$FJ$43:$FL$43)/1000)/U93</f>
        <v>0.22145212001761372</v>
      </c>
      <c r="V99" s="7"/>
    </row>
    <row r="100" spans="2:22" ht="20.149999999999999" hidden="1" customHeight="1" outlineLevel="1" x14ac:dyDescent="0.25">
      <c r="B100" s="204"/>
      <c r="C100" s="9"/>
      <c r="D100" s="15" t="s">
        <v>88</v>
      </c>
      <c r="E100" s="7"/>
      <c r="F100" s="20">
        <v>0.11007667226870506</v>
      </c>
      <c r="G100" s="20">
        <v>0.13582996240556058</v>
      </c>
      <c r="H100" s="20">
        <v>0.13760084462076994</v>
      </c>
      <c r="I100" s="7"/>
      <c r="J100" s="20">
        <f>-(SUM([2]H9!$AO$41:$AR$41)/1000)/J93</f>
        <v>0.20192624483522592</v>
      </c>
      <c r="K100" s="20">
        <f>-(SUM([2]H9!$AO$42:$AR$42)/1000)/K93</f>
        <v>0.20273774155262853</v>
      </c>
      <c r="L100" s="20">
        <f>-(SUM([2]H9!$AO$43:$AR$43)/1000)/L93</f>
        <v>0.20642522859235549</v>
      </c>
      <c r="M100" s="7"/>
      <c r="N100" s="7"/>
      <c r="O100" s="20">
        <v>0.11007667226870506</v>
      </c>
      <c r="P100" s="20">
        <v>0.13582996240556058</v>
      </c>
      <c r="Q100" s="20">
        <v>0.13760084462076994</v>
      </c>
      <c r="R100" s="7"/>
      <c r="S100" s="20">
        <f>-(SUM([2]H9!$FM$41:$FP$41)/1000)/S93</f>
        <v>0.20629816424572858</v>
      </c>
      <c r="T100" s="20">
        <f>-(SUM([2]H9!$FM$42:$FP$42)/1000)/T93</f>
        <v>0.21628059333126945</v>
      </c>
      <c r="U100" s="20">
        <f>-(SUM([2]H9!$FM$43:$FP$43)/1000)/U93</f>
        <v>0.20642522859235549</v>
      </c>
      <c r="V100" s="7"/>
    </row>
    <row r="101" spans="2:22" ht="20.149999999999999" customHeight="1" collapsed="1" x14ac:dyDescent="0.25">
      <c r="B101" s="204"/>
      <c r="C101" s="9"/>
      <c r="D101" s="14" t="s">
        <v>97</v>
      </c>
      <c r="E101" s="7"/>
      <c r="F101" s="20">
        <v>0.30142636416516988</v>
      </c>
      <c r="G101" s="20">
        <v>0.32380533159283631</v>
      </c>
      <c r="H101" s="20">
        <v>0.3322282545080783</v>
      </c>
      <c r="I101" s="7"/>
      <c r="J101" s="20">
        <f>+J99+J100</f>
        <v>0.41071061454454144</v>
      </c>
      <c r="K101" s="20">
        <f>+K99+K100</f>
        <v>0.41340489989953833</v>
      </c>
      <c r="L101" s="20">
        <f>+L99+L100</f>
        <v>0.42787734860996929</v>
      </c>
      <c r="M101" s="7"/>
      <c r="N101" s="7"/>
      <c r="O101" s="20">
        <v>0.30142636416516988</v>
      </c>
      <c r="P101" s="20">
        <v>0.32380533159283631</v>
      </c>
      <c r="Q101" s="20">
        <v>0.3322282545080783</v>
      </c>
      <c r="R101" s="7"/>
      <c r="S101" s="20">
        <f>+S99+S100</f>
        <v>0.40708377930012268</v>
      </c>
      <c r="T101" s="20">
        <f>+T99+T100</f>
        <v>0.42553538448847339</v>
      </c>
      <c r="U101" s="20">
        <f>+U99+U100</f>
        <v>0.42787734860996918</v>
      </c>
      <c r="V101" s="7"/>
    </row>
    <row r="102" spans="2:22" ht="20.149999999999999" customHeight="1" x14ac:dyDescent="0.25">
      <c r="B102" s="204"/>
      <c r="C102" s="9"/>
      <c r="D102" s="14" t="s">
        <v>90</v>
      </c>
      <c r="E102" s="7"/>
      <c r="F102" s="20"/>
      <c r="G102" s="20"/>
      <c r="H102" s="20"/>
      <c r="I102" s="7"/>
      <c r="J102" s="20">
        <f>-(SUM([2]H9!$AT$41:$BJ$41)/1000/J93)</f>
        <v>4.4203202874542984E-2</v>
      </c>
      <c r="K102" s="20">
        <f>-(SUM([2]H9!$AT$42:$BJ$42)/1000/K93)</f>
        <v>1.5902991903543627E-2</v>
      </c>
      <c r="L102" s="20">
        <f>-(SUM([2]H9!$AT$43:$BJ$43)/1000/L93)</f>
        <v>8.7448706393990189E-2</v>
      </c>
      <c r="M102" s="7"/>
      <c r="N102" s="7"/>
      <c r="O102" s="20"/>
      <c r="P102" s="20"/>
      <c r="Q102" s="20"/>
      <c r="R102" s="7"/>
      <c r="S102" s="20">
        <f>-(SUM([2]H9!$FR$41:$GH$41)/1000/S93)</f>
        <v>9.6584876870695335E-2</v>
      </c>
      <c r="T102" s="20">
        <f>-(SUM([2]H9!$FR$42:$GH$42)/1000/T93)</f>
        <v>0.1834651967325184</v>
      </c>
      <c r="U102" s="20">
        <f>-(SUM([2]H9!$FR$43:$GH$43)/1000/U93)</f>
        <v>8.7448706393990203E-2</v>
      </c>
      <c r="V102" s="7"/>
    </row>
    <row r="103" spans="2:22" ht="20.149999999999999" customHeight="1" x14ac:dyDescent="0.25">
      <c r="B103" s="204"/>
      <c r="C103" s="9"/>
      <c r="D103" s="14" t="s">
        <v>79</v>
      </c>
      <c r="E103" s="8"/>
      <c r="F103" s="20">
        <v>0.88544985108141538</v>
      </c>
      <c r="G103" s="20">
        <v>1.1582864832826012</v>
      </c>
      <c r="H103" s="20">
        <v>0.88469557239244401</v>
      </c>
      <c r="I103" s="8"/>
      <c r="J103" s="20">
        <f>+J97+J98+J101+J102</f>
        <v>0.96571733244005697</v>
      </c>
      <c r="K103" s="20">
        <f>+K97+K98+K101+K102</f>
        <v>0.38865738186000698</v>
      </c>
      <c r="L103" s="20">
        <f>+L97+L98+L101+L102</f>
        <v>1.0450670041308556</v>
      </c>
      <c r="M103" s="8"/>
      <c r="N103" s="8"/>
      <c r="O103" s="20">
        <v>0.88544985108141538</v>
      </c>
      <c r="P103" s="20">
        <v>1.1582864832826012</v>
      </c>
      <c r="Q103" s="20">
        <v>0.88469557239244401</v>
      </c>
      <c r="R103" s="8"/>
      <c r="S103" s="20">
        <f>+S97+S98+S101+S102</f>
        <v>1.733174460754781</v>
      </c>
      <c r="T103" s="20">
        <f>+T97+T98+T101+T102</f>
        <v>1.5926942616578734</v>
      </c>
      <c r="U103" s="20">
        <f>+U97+U98+U101+U102</f>
        <v>1.0450670041308556</v>
      </c>
      <c r="V103" s="8"/>
    </row>
    <row r="104" spans="2:22" ht="19.5" customHeight="1" x14ac:dyDescent="0.25">
      <c r="B104" s="204"/>
      <c r="C104" s="9"/>
      <c r="D104" s="14" t="s">
        <v>34</v>
      </c>
      <c r="E104" s="6"/>
      <c r="F104" s="19">
        <v>8.1781218399999922</v>
      </c>
      <c r="G104" s="19">
        <v>-10.205890329999947</v>
      </c>
      <c r="H104" s="19">
        <v>7.0683681589072158</v>
      </c>
      <c r="I104" s="6"/>
      <c r="J104" s="19">
        <f>+[2]H9!$BK$41/1000</f>
        <v>0.14545814000000729</v>
      </c>
      <c r="K104" s="19">
        <f>+[2]H9!$BK$42/1000</f>
        <v>2.6610201199999919</v>
      </c>
      <c r="L104" s="19">
        <f>+[2]H9!$BK$43/1000</f>
        <v>-0.18880975922853716</v>
      </c>
      <c r="M104" s="6"/>
      <c r="N104" s="6"/>
      <c r="O104" s="19">
        <v>8.1781218399999922</v>
      </c>
      <c r="P104" s="19">
        <v>-10.205890329999947</v>
      </c>
      <c r="Q104" s="19">
        <v>7.0683681589072158</v>
      </c>
      <c r="R104" s="6"/>
      <c r="S104" s="19">
        <f>+[2]H9!$GI$41/1000</f>
        <v>-1.039213820000001</v>
      </c>
      <c r="T104" s="19">
        <f>+[2]H9!$GI$42/1000</f>
        <v>-0.85514372000000083</v>
      </c>
      <c r="U104" s="19">
        <f>+[2]H9!$GI$43/1000</f>
        <v>-6.2936586409512704E-2</v>
      </c>
      <c r="V104" s="6"/>
    </row>
    <row r="105" spans="2:22" ht="7.5" customHeight="1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 ht="19.5" customHeight="1" x14ac:dyDescent="0.25">
      <c r="B106" s="204" t="s">
        <v>103</v>
      </c>
      <c r="C106" s="9"/>
      <c r="D106" s="14" t="s">
        <v>19</v>
      </c>
      <c r="E106" s="6"/>
      <c r="F106" s="19">
        <v>51.071887840000002</v>
      </c>
      <c r="G106" s="19">
        <v>47.642331730000009</v>
      </c>
      <c r="H106" s="19">
        <v>48.731214913514791</v>
      </c>
      <c r="I106" s="6"/>
      <c r="J106" s="19">
        <f t="shared" ref="J106:L107" si="2">+J120+J148+J162</f>
        <v>13.278904510000007</v>
      </c>
      <c r="K106" s="19">
        <f t="shared" si="2"/>
        <v>10.388813759999998</v>
      </c>
      <c r="L106" s="19">
        <f t="shared" si="2"/>
        <v>11.109149731567843</v>
      </c>
      <c r="M106" s="6"/>
      <c r="N106" s="6"/>
      <c r="O106" s="19">
        <v>51.071887840000002</v>
      </c>
      <c r="P106" s="19">
        <v>47.642331730000009</v>
      </c>
      <c r="Q106" s="19">
        <v>48.731214913514791</v>
      </c>
      <c r="R106" s="6"/>
      <c r="S106" s="19">
        <f t="shared" ref="S106:U107" si="3">+S120+S148+S162</f>
        <v>1.3016549200000003</v>
      </c>
      <c r="T106" s="19">
        <f t="shared" si="3"/>
        <v>0.55726710999999929</v>
      </c>
      <c r="U106" s="19">
        <f t="shared" si="3"/>
        <v>1.3173284115822734</v>
      </c>
      <c r="V106" s="6"/>
    </row>
    <row r="107" spans="2:22" ht="20.149999999999999" customHeight="1" x14ac:dyDescent="0.25">
      <c r="B107" s="204"/>
      <c r="C107" s="9"/>
      <c r="D107" s="14" t="s">
        <v>20</v>
      </c>
      <c r="E107" s="6"/>
      <c r="F107" s="19">
        <v>45.131933990000007</v>
      </c>
      <c r="G107" s="19">
        <v>38.28320678</v>
      </c>
      <c r="H107" s="19">
        <v>41.985683385669191</v>
      </c>
      <c r="I107" s="6"/>
      <c r="J107" s="19">
        <f t="shared" si="2"/>
        <v>7.3888720700000086</v>
      </c>
      <c r="K107" s="19">
        <f t="shared" si="2"/>
        <v>6.0412656699999996</v>
      </c>
      <c r="L107" s="19">
        <f t="shared" si="2"/>
        <v>7.0645678096263929</v>
      </c>
      <c r="M107" s="6"/>
      <c r="N107" s="6"/>
      <c r="O107" s="19">
        <v>45.131933990000007</v>
      </c>
      <c r="P107" s="19">
        <v>38.28320678</v>
      </c>
      <c r="Q107" s="19">
        <v>41.985683385669191</v>
      </c>
      <c r="R107" s="6"/>
      <c r="S107" s="19">
        <f t="shared" si="3"/>
        <v>2.7450795700000006</v>
      </c>
      <c r="T107" s="19">
        <f t="shared" si="3"/>
        <v>1.4945814299999993</v>
      </c>
      <c r="U107" s="19">
        <f t="shared" si="3"/>
        <v>2.3548559365421307</v>
      </c>
      <c r="V107" s="6"/>
    </row>
    <row r="108" spans="2:22" ht="19.5" customHeight="1" x14ac:dyDescent="0.25">
      <c r="B108" s="204"/>
      <c r="C108" s="9"/>
      <c r="D108" s="14" t="s">
        <v>92</v>
      </c>
      <c r="E108" s="6"/>
      <c r="F108" s="29">
        <f>F111-F109-F110</f>
        <v>0.6596895124546821</v>
      </c>
      <c r="G108" s="20">
        <f>G111-G109-G110</f>
        <v>0.4657630109846298</v>
      </c>
      <c r="H108" s="20">
        <f>H111-H109-H110</f>
        <v>0.54568289348748922</v>
      </c>
      <c r="I108" s="6"/>
      <c r="J108" s="20">
        <f>(-(SUM([2]H9!$O$49,[2]H9!$R$49:$V$49,[2]H9!$Y$49:$AB$49)/1000)-(SUM([2]H9!$O$45,[2]H9!$R$45:$V$45,[2]H9!$Y$45:$AB$45)/1000)-(SUM([2]H9!$O$53,[2]H9!$R$53:$V$53,[2]H9!$Y$53:$AB$53)/1000))/J107</f>
        <v>0.30133204315349105</v>
      </c>
      <c r="K108" s="20">
        <f>(-(SUM([2]H9!$O$50,[2]H9!$R$50:$V$50,[2]H9!$Y$50:$AB$50)/1000)-(SUM([2]H9!$O$46,[2]H9!$R$46:$V$46,[2]H9!$Y$46:$AB$46)/1000)-(SUM([2]H9!$O$54,[2]H9!$R$54:$V$54,[2]H9!$Y$54:$AB$54)/1000))/K107</f>
        <v>0.40615940665956513</v>
      </c>
      <c r="L108" s="20">
        <f>(-(SUM([2]H9!$O$51,[2]H9!$R$51:$V$51,[2]H9!$Y$51:$AB$51)/1000)-(SUM([2]H9!$O$47,[2]H9!$R$47:$V$47,[2]H9!$Y$47:$AB$47)/1000)-(SUM([2]H9!$O$55,[2]H9!$R$55:$V$55,[2]H9!$Y$55:$AB$55)/1000))/L107</f>
        <v>0.29881368659824026</v>
      </c>
      <c r="M108" s="6"/>
      <c r="N108" s="6"/>
      <c r="O108" s="29">
        <f>O111-O109-O110</f>
        <v>0.6596895124546821</v>
      </c>
      <c r="P108" s="20">
        <f>P111-P109-P110</f>
        <v>0.4657630109846298</v>
      </c>
      <c r="Q108" s="20">
        <f>Q111-Q109-Q110</f>
        <v>0.54568289348748922</v>
      </c>
      <c r="R108" s="6"/>
      <c r="S108" s="20">
        <f>(-(SUM([2]H9!$EM$49,[2]H9!$EP$49:$ET$49,[2]H9!$EW$49:$EZ$49)/1000)-(SUM([2]H9!$EM$45,[2]H9!$EP$45:$ET$45,[2]H9!$EW$45:$EZ$45)/1000)-(SUM([2]H9!$EM$53,[2]H9!$EP$53:$ET$53,[2]H9!$EW$53:$EZ$53)/1000))/S107</f>
        <v>0.27047131367957655</v>
      </c>
      <c r="T108" s="20">
        <f>(-(SUM([2]H9!$EM$50,[2]H9!$EP$50:$ET$50,[2]H9!$EW$50:$EZ$50)/1000)-(SUM([2]H9!$EM$46,[2]H9!$EP$46:$ET$46,[2]H9!$EW$46:$EZ$46)/1000)-(SUM([2]H9!$EM$54,[2]H9!$EP$54:$ET$54,[2]H9!$EW$54:$EZ$54)/1000))/T107</f>
        <v>0.62848067100632998</v>
      </c>
      <c r="U108" s="20">
        <f>(-(SUM([2]H9!$EM$51,[2]H9!$EP$51:$ET$51,[2]H9!$EW$51:$EZ$51)/1000)-(SUM([2]H9!$EM$47,[2]H9!$EP$47:$ET$47,[2]H9!$EW$47:$EZ$47)/1000)-(SUM([2]H9!$EM$55,[2]H9!$EP$55:$ET$55,[2]H9!$EW$55:$EZ$55)/1000))/U107</f>
        <v>0.23807432575283127</v>
      </c>
      <c r="V108" s="6"/>
    </row>
    <row r="109" spans="2:22" ht="19.5" customHeight="1" x14ac:dyDescent="0.25">
      <c r="B109" s="204"/>
      <c r="C109" s="9"/>
      <c r="D109" s="14" t="s">
        <v>93</v>
      </c>
      <c r="E109" s="6"/>
      <c r="F109" s="20">
        <f>IFERROR((F123*F121+F137*F135+F151*F149+F165*F163)/F107,"n/a")</f>
        <v>0</v>
      </c>
      <c r="G109" s="20">
        <f>IFERROR((G123*G121+G137*G135+G151*G149+G165*G163)/G107,"n/a")</f>
        <v>0</v>
      </c>
      <c r="H109" s="20">
        <f>IFERROR((H123*H121+H137*H135+H151*H149+H165*H163)/H107,"n/a")</f>
        <v>0</v>
      </c>
      <c r="I109" s="6"/>
      <c r="J109" s="20">
        <f>(-(SUM([2]H9!$Q$49,[2]H9!$X$49)/1000)-(SUM([2]H9!$Q$45,[2]H9!$X$45)/1000)-(SUM([2]H9!$Q$53,[2]H9!$X$53)/1000))/J107</f>
        <v>2.5648281733903745E-2</v>
      </c>
      <c r="K109" s="20">
        <f>(-(SUM([2]H9!$Q$50,[2]H9!$X$50)/1000)-(SUM([2]H9!$Q$46,[2]H9!$X$46)/1000)-(SUM([2]H9!$Q$54,[2]H9!$X$54)/1000))/K107</f>
        <v>0</v>
      </c>
      <c r="L109" s="20">
        <f>(-(SUM([2]H9!$Q$51,[2]H9!$X$51)/1000)-(SUM([2]H9!$Q$47,[2]H9!$X$47)/1000)-(SUM([2]H9!$Q$55,[2]H9!$X$55)/1000))/L107</f>
        <v>3.0369680422704541E-2</v>
      </c>
      <c r="M109" s="6"/>
      <c r="N109" s="6"/>
      <c r="O109" s="20">
        <f>IFERROR((O123*O121+O137*O135+O151*O149+O165*O163)/O107,"n/a")</f>
        <v>0</v>
      </c>
      <c r="P109" s="20">
        <f>IFERROR((P123*P121+P137*P135+P151*P149+P165*P163)/P107,"n/a")</f>
        <v>0</v>
      </c>
      <c r="Q109" s="20">
        <f>IFERROR((Q123*Q121+Q137*Q135+Q151*Q149+Q165*Q163)/Q107,"n/a")</f>
        <v>0</v>
      </c>
      <c r="R109" s="6"/>
      <c r="S109" s="20">
        <f>(-(SUM([2]H9!$EO$49,[2]H9!$EV$49)/1000)-(SUM([2]H9!$EO$45,[2]H9!$EV$45)/1000)-(SUM([2]H9!$EO$53,[2]H9!$EV$53)/1000))/S107</f>
        <v>2.5884474969451322E-2</v>
      </c>
      <c r="T109" s="20">
        <f>(-(SUM([2]H9!$EO$50,[2]H9!$EV$50)/1000)-(SUM([2]H9!$EO$46,[2]H9!$EV$46)/1000)-(SUM([2]H9!$EO$54,[2]H9!$EV$54)/1000))/T107</f>
        <v>0</v>
      </c>
      <c r="U109" s="20">
        <f>(-(SUM([2]H9!$EO$51,[2]H9!$EV$51)/1000)-(SUM([2]H9!$EO$47,[2]H9!$EV$47)/1000)-(SUM([2]H9!$EO$55,[2]H9!$EV$55)/1000))/U107</f>
        <v>3.0369680422704548E-2</v>
      </c>
      <c r="V109" s="6"/>
    </row>
    <row r="110" spans="2:22" ht="19.5" customHeight="1" x14ac:dyDescent="0.25">
      <c r="B110" s="204"/>
      <c r="C110" s="9"/>
      <c r="D110" s="14" t="s">
        <v>94</v>
      </c>
      <c r="E110" s="6"/>
      <c r="F110" s="20">
        <f>IFERROR((F124*F121+F138*F135+F152*F149+F166*F163)/F107,"n/a")</f>
        <v>0</v>
      </c>
      <c r="G110" s="20">
        <f>IFERROR((G124*G121+G138*G135+G152*G149+G166*G163)/G107,"n/a")</f>
        <v>0</v>
      </c>
      <c r="H110" s="20">
        <f>IFERROR((H124*H121+H138*H135+H152*H149+H166*H163)/H107,"n/a")</f>
        <v>0</v>
      </c>
      <c r="I110" s="6"/>
      <c r="J110" s="20">
        <f>(-(SUM([2]H9!$P$49,[2]H9!$W$49)/1000)-(SUM([2]H9!$P$45,[2]H9!$W$45)/1000)-(SUM([2]H9!$P$53,[2]H9!$W$53)/1000))/J107</f>
        <v>0</v>
      </c>
      <c r="K110" s="20">
        <f>(-(SUM([2]H9!$P$50,[2]H9!$W$50)/1000)-(SUM([2]H9!$P$46,[2]H9!$W$46)/1000)-(SUM([2]H9!$P$54,[2]H9!$W$54)/1000))/K107</f>
        <v>0</v>
      </c>
      <c r="L110" s="20">
        <f>(-(SUM([2]H9!$P$51,[2]H9!$W$51)/1000)-(SUM([2]H9!$P$47,[2]H9!$W$47)/1000)-(SUM([2]H9!$P$55,[2]H9!$W$55)/1000))/L107</f>
        <v>0</v>
      </c>
      <c r="M110" s="6"/>
      <c r="N110" s="6"/>
      <c r="O110" s="20">
        <f>IFERROR((O124*O121+O138*O135+O152*O149+O166*O163)/O107,"n/a")</f>
        <v>0</v>
      </c>
      <c r="P110" s="20">
        <f>IFERROR((P124*P121+P138*P135+P152*P149+P166*P163)/P107,"n/a")</f>
        <v>0</v>
      </c>
      <c r="Q110" s="20">
        <f>IFERROR((Q124*Q121+Q138*Q135+Q152*Q149+Q166*Q163)/Q107,"n/a")</f>
        <v>0</v>
      </c>
      <c r="R110" s="6"/>
      <c r="S110" s="20">
        <f>(-(SUM([2]H9!$EN$49,[2]H9!$EU$49)/1000)-(SUM([2]H9!$EN$45,[2]H9!$EU$45)/1000)-(SUM([2]H9!$EN$53,[2]H9!$EU$53)/1000))/S107</f>
        <v>0</v>
      </c>
      <c r="T110" s="20">
        <f>(-(SUM([2]H9!$EN$50,[2]H9!$EU$50)/1000)-(SUM([2]H9!$EN$46,[2]H9!$EU$46)/1000)-(SUM([2]H9!$EN$54,[2]H9!$EU$54)/1000))/T107</f>
        <v>0</v>
      </c>
      <c r="U110" s="20">
        <f>(-(SUM([2]H9!$EN$51,[2]H9!$EU$51)/1000)-(SUM([2]H9!$EN$47,[2]H9!$EU$47)/1000)-(SUM([2]H9!$EN$55,[2]H9!$EU$55)/1000))/U107</f>
        <v>0</v>
      </c>
      <c r="V110" s="6"/>
    </row>
    <row r="111" spans="2:22" ht="19.5" hidden="1" customHeight="1" outlineLevel="1" x14ac:dyDescent="0.25">
      <c r="B111" s="204"/>
      <c r="C111" s="9"/>
      <c r="D111" s="14" t="s">
        <v>95</v>
      </c>
      <c r="E111" s="7"/>
      <c r="F111" s="20">
        <v>0.6596895124546821</v>
      </c>
      <c r="G111" s="20">
        <v>0.4657630109846298</v>
      </c>
      <c r="H111" s="20">
        <v>0.54568289348748922</v>
      </c>
      <c r="I111" s="7"/>
      <c r="J111" s="20">
        <f>+J108+J109+J110</f>
        <v>0.32698032488739481</v>
      </c>
      <c r="K111" s="20">
        <f>+K108+K109+K110</f>
        <v>0.40615940665956513</v>
      </c>
      <c r="L111" s="20">
        <f>+L108+L109+L110</f>
        <v>0.32918336702094481</v>
      </c>
      <c r="M111" s="7"/>
      <c r="N111" s="7"/>
      <c r="O111" s="20">
        <v>0.6596895124546821</v>
      </c>
      <c r="P111" s="20">
        <v>0.4657630109846298</v>
      </c>
      <c r="Q111" s="20">
        <v>0.54568289348748922</v>
      </c>
      <c r="R111" s="7"/>
      <c r="S111" s="20">
        <f>+S108+S109+S110</f>
        <v>0.2963557886490279</v>
      </c>
      <c r="T111" s="20">
        <f>+T108+T109+T110</f>
        <v>0.62848067100632998</v>
      </c>
      <c r="U111" s="20">
        <f>+U108+U109+U110</f>
        <v>0.26844400617553582</v>
      </c>
      <c r="V111" s="7"/>
    </row>
    <row r="112" spans="2:22" ht="20.149999999999999" customHeight="1" collapsed="1" x14ac:dyDescent="0.25">
      <c r="B112" s="204"/>
      <c r="C112" s="9"/>
      <c r="D112" s="14" t="s">
        <v>96</v>
      </c>
      <c r="E112" s="7"/>
      <c r="F112" s="29">
        <v>-1.1782969462771764E-2</v>
      </c>
      <c r="G112" s="20">
        <v>-3.3686937392970469E-2</v>
      </c>
      <c r="H112" s="20">
        <v>0</v>
      </c>
      <c r="I112" s="7"/>
      <c r="J112" s="20">
        <f>(-(SUM([2]H9!$AC$49:$AK$49)/1000)-(SUM([2]H9!$AC$45:$AK$45)/1000)-(SUM([2]H9!$AC$53:$AK$53)/1000))/J107</f>
        <v>-0.14981949200265399</v>
      </c>
      <c r="K112" s="20">
        <f>(-(SUM([2]H9!$AC$50:$AK$50)/1000)-(SUM([2]H9!$AC$46:$AK$46)/1000)-(SUM([2]H9!$AC$54:$AK$54)/1000))/K107</f>
        <v>8.2770824412362221E-2</v>
      </c>
      <c r="L112" s="20">
        <f>(-(SUM([2]H9!$AC$51:$AK$51)/1000)-(SUM([2]H9!$AC$47:$AK$47)/1000)-(SUM([2]H9!$AC$55:$AK$55)/1000))/L107</f>
        <v>-5.3335435251996664E-3</v>
      </c>
      <c r="M112" s="7"/>
      <c r="N112" s="7"/>
      <c r="O112" s="29">
        <v>-1.1782969462771764E-2</v>
      </c>
      <c r="P112" s="20">
        <v>-3.3686937392970469E-2</v>
      </c>
      <c r="Q112" s="20">
        <v>0</v>
      </c>
      <c r="R112" s="7"/>
      <c r="S112" s="20">
        <f>(-(SUM([2]H9!$FA$49:$FI$49)/1000)-(SUM([2]H9!$FA$45:$FI$45)/1000)-(SUM([2]H9!$FA$53:$FI$53)/1000))/S107</f>
        <v>-0.46367914573784119</v>
      </c>
      <c r="T112" s="20">
        <f>(-(SUM([2]H9!$FA$50:$FI$50)/1000)-(SUM([2]H9!$FA$46:$FI$46)/1000)-(SUM([2]H9!$FA$54:$FI$54)/1000))/T107</f>
        <v>-0.46927748192348345</v>
      </c>
      <c r="U112" s="20">
        <f>(-(SUM([2]H9!$FA$51:$FI$51)/1000)-(SUM([2]H9!$FA$47:$FI$47)/1000)-(SUM([2]H9!$FA$55:$FI$55)/1000))/U107</f>
        <v>-5.3335435251996516E-3</v>
      </c>
      <c r="V112" s="7"/>
    </row>
    <row r="113" spans="2:22" ht="20.149999999999999" hidden="1" customHeight="1" outlineLevel="1" x14ac:dyDescent="0.25">
      <c r="B113" s="204"/>
      <c r="C113" s="9"/>
      <c r="D113" s="15" t="s">
        <v>87</v>
      </c>
      <c r="E113" s="7"/>
      <c r="F113" s="20">
        <v>-5.7148291065290515E-3</v>
      </c>
      <c r="G113" s="20">
        <v>0.11587391138606176</v>
      </c>
      <c r="H113" s="20">
        <v>0.1448214404409871</v>
      </c>
      <c r="I113" s="7"/>
      <c r="J113" s="20">
        <f>(-(SUM([2]H9!$AL$49:$AN$49)/1000)-(SUM([2]H9!$AL$45:$AN$45)/1000)-(SUM([2]H9!$AL$53:$AN$53)/1000))/J107</f>
        <v>0.1498371212157148</v>
      </c>
      <c r="K113" s="20">
        <f>(-(SUM([2]H9!$AL$50:$AN$50)/1000)-(SUM([2]H9!$AL$46:$AN$46)/1000)-(SUM([2]H9!$AL$54:$AN$54)/1000))/K107</f>
        <v>0.15894897070467698</v>
      </c>
      <c r="L113" s="20">
        <f>(-(SUM([2]H9!$AL$51:$AN$51)/1000)-(SUM([2]H9!$AL$47:$AN$47)/1000)-(SUM([2]H9!$AL$55:$AN$55)/1000))/L107</f>
        <v>0.12849726801590822</v>
      </c>
      <c r="M113" s="7"/>
      <c r="N113" s="7"/>
      <c r="O113" s="20">
        <v>-5.7148291065290515E-3</v>
      </c>
      <c r="P113" s="20">
        <v>0.11587391138606176</v>
      </c>
      <c r="Q113" s="20">
        <v>0.1448214404409871</v>
      </c>
      <c r="R113" s="7"/>
      <c r="S113" s="20">
        <f>(-(SUM([2]H9!$FJ$49:$FL$49)/1000)-(SUM([2]H9!$FJ$45:$FL$45)/1000)-(SUM([2]H9!$FJ$53:$FL$53)/1000))/S107</f>
        <v>0.1541619829985475</v>
      </c>
      <c r="T113" s="20">
        <f>(-(SUM([2]H9!$FJ$50:$FL$50)/1000)-(SUM([2]H9!$FJ$46:$FL$46)/1000)-(SUM([2]H9!$FJ$54:$FL$54)/1000))/T107</f>
        <v>0.12855299560359204</v>
      </c>
      <c r="U113" s="20">
        <f>(-(SUM([2]H9!$FJ$51:$FL$51)/1000)-(SUM([2]H9!$FJ$47:$FL$47)/1000)-(SUM([2]H9!$FJ$55:$FL$55)/1000))/U107</f>
        <v>0.12849726801590819</v>
      </c>
      <c r="V113" s="7"/>
    </row>
    <row r="114" spans="2:22" ht="20.149999999999999" hidden="1" customHeight="1" outlineLevel="1" x14ac:dyDescent="0.25">
      <c r="B114" s="204"/>
      <c r="C114" s="9"/>
      <c r="D114" s="15" t="s">
        <v>88</v>
      </c>
      <c r="E114" s="7"/>
      <c r="F114" s="20">
        <v>0.11242637355457143</v>
      </c>
      <c r="G114" s="20">
        <v>0.14681821724862304</v>
      </c>
      <c r="H114" s="20">
        <v>0.13151486945869179</v>
      </c>
      <c r="I114" s="7"/>
      <c r="J114" s="20">
        <f>(-(SUM([2]H9!$AO$49:$AR$49)/1000)-(SUM([2]H9!$AO$45:$AR$45)/1000)-(SUM([2]H9!$AO$53:$AR$53)/1000))/J107</f>
        <v>0.12758141311275931</v>
      </c>
      <c r="K114" s="20">
        <f>(-(SUM([2]H9!$AO$50:$AR$50)/1000)-(SUM([2]H9!$AO$46:$AR$46)/1000)-(SUM([2]H9!$AO$54:$AR$54)/1000))/K107</f>
        <v>0.19780883431997789</v>
      </c>
      <c r="L114" s="20">
        <f>(-(SUM([2]H9!$AO$51:$AR$51)/1000)-(SUM([2]H9!$AO$47:$AR$47)/1000)-(SUM([2]H9!$AO$55:$AR$55)/1000))/L107</f>
        <v>0.14579278982583926</v>
      </c>
      <c r="M114" s="7"/>
      <c r="N114" s="7"/>
      <c r="O114" s="20">
        <v>0.11242637355457143</v>
      </c>
      <c r="P114" s="20">
        <v>0.14681821724862304</v>
      </c>
      <c r="Q114" s="20">
        <v>0.13151486945869179</v>
      </c>
      <c r="R114" s="7"/>
      <c r="S114" s="20">
        <f>(-(SUM([2]H9!$FM$49:$FP$49)/1000)-(SUM([2]H9!$FM$45:$FP$45)/1000)-(SUM([2]H9!$FM$53:$FP$53)/1000))/S107</f>
        <v>0.11332968756166144</v>
      </c>
      <c r="T114" s="20">
        <f>(-(SUM([2]H9!$FM$50:$FP$50)/1000)-(SUM([2]H9!$FM$46:$FP$46)/1000)-(SUM([2]H9!$FM$54:$FP$54)/1000))/T107</f>
        <v>0.27607667385510082</v>
      </c>
      <c r="U114" s="20">
        <f>(-(SUM([2]H9!$FM$51:$FP$51)/1000)-(SUM([2]H9!$FM$47:$FP$47)/1000)-(SUM([2]H9!$FM$55:$FP$55)/1000))/U107</f>
        <v>0.14579278982583926</v>
      </c>
      <c r="V114" s="7"/>
    </row>
    <row r="115" spans="2:22" ht="20.149999999999999" customHeight="1" collapsed="1" x14ac:dyDescent="0.25">
      <c r="B115" s="204"/>
      <c r="C115" s="9"/>
      <c r="D115" s="14" t="s">
        <v>97</v>
      </c>
      <c r="E115" s="7"/>
      <c r="F115" s="20">
        <v>1.451905429413257E-4</v>
      </c>
      <c r="G115" s="20">
        <v>0.2649351713999753</v>
      </c>
      <c r="H115" s="20">
        <v>0.27633630989967889</v>
      </c>
      <c r="I115" s="7"/>
      <c r="J115" s="20">
        <f>+J113+J114</f>
        <v>0.27741853432847408</v>
      </c>
      <c r="K115" s="20">
        <f>+K113+K114</f>
        <v>0.35675780502465487</v>
      </c>
      <c r="L115" s="20">
        <f>+L113+L114</f>
        <v>0.27429005784174748</v>
      </c>
      <c r="M115" s="7"/>
      <c r="N115" s="7"/>
      <c r="O115" s="20">
        <v>1.451905429413257E-4</v>
      </c>
      <c r="P115" s="20">
        <v>0.2649351713999753</v>
      </c>
      <c r="Q115" s="20">
        <v>0.27633630989967889</v>
      </c>
      <c r="R115" s="7"/>
      <c r="S115" s="20">
        <f>+S113+S114</f>
        <v>0.26749167056020895</v>
      </c>
      <c r="T115" s="20">
        <f>+T113+T114</f>
        <v>0.40462966945869283</v>
      </c>
      <c r="U115" s="20">
        <f>+U113+U114</f>
        <v>0.27429005784174743</v>
      </c>
      <c r="V115" s="7"/>
    </row>
    <row r="116" spans="2:22" ht="20.149999999999999" customHeight="1" x14ac:dyDescent="0.25">
      <c r="B116" s="204"/>
      <c r="C116" s="9"/>
      <c r="D116" s="14" t="s">
        <v>90</v>
      </c>
      <c r="E116" s="7"/>
      <c r="F116" s="20"/>
      <c r="G116" s="20"/>
      <c r="H116" s="20"/>
      <c r="I116" s="7"/>
      <c r="J116" s="20">
        <f>(-(SUM([2]H9!$AT$49:$BJ$49)/1000)-(SUM([2]H9!$AT$45:$BJ$45)/1000)-(SUM([2]H9!$AT$53:$BJ$53)/1000))/J107</f>
        <v>0.13557030633499639</v>
      </c>
      <c r="K116" s="20">
        <f>(-(SUM([2]H9!$AT$50:$BJ$50)/1000)-(SUM([2]H9!$AT$46:$BJ$46)/1000)-(SUM([2]H9!$AT$54:$BJ$54)/1000))/K107</f>
        <v>0.186223318333226</v>
      </c>
      <c r="L116" s="20">
        <f>(-(SUM([2]H9!$AT$51:$BJ$51)/1000)-(SUM([2]H9!$AT$47:$BJ$47)/1000)-(SUM([2]H9!$AT$55:$BJ$55)/1000))/L107</f>
        <v>0.10562108783946229</v>
      </c>
      <c r="M116" s="7"/>
      <c r="N116" s="7"/>
      <c r="O116" s="20"/>
      <c r="P116" s="20"/>
      <c r="Q116" s="20"/>
      <c r="R116" s="7"/>
      <c r="S116" s="20">
        <f>(-(SUM([2]H9!$FR$49:$GH$49)/1000)-(SUM([2]H9!$FR$45:$GH$45)/1000)-(SUM([2]H9!$FR$53:$GH$53)/1000))/S107</f>
        <v>0.12351532673422648</v>
      </c>
      <c r="T116" s="20">
        <f>(-(SUM([2]H9!$FR$50:$GH$50)/1000)-(SUM([2]H9!$FR$46:$GH$46)/1000)-(SUM([2]H9!$FR$54:$GH$54)/1000))/T107</f>
        <v>0.29060897003116126</v>
      </c>
      <c r="U116" s="20">
        <f>(-(SUM([2]H9!$FR$51:$GH$51)/1000)-(SUM([2]H9!$FR$47:$GH$47)/1000)-(SUM([2]H9!$FR$55:$GH$55)/1000))/U107</f>
        <v>0.10562108783946234</v>
      </c>
      <c r="V116" s="7"/>
    </row>
    <row r="117" spans="2:22" ht="20.149999999999999" customHeight="1" x14ac:dyDescent="0.25">
      <c r="B117" s="204"/>
      <c r="C117" s="9"/>
      <c r="D117" s="14" t="s">
        <v>79</v>
      </c>
      <c r="E117" s="8"/>
      <c r="F117" s="29">
        <v>7.1749404772184005E-3</v>
      </c>
      <c r="G117" s="20">
        <v>0.69787692012147562</v>
      </c>
      <c r="H117" s="20">
        <v>0.82201920338716805</v>
      </c>
      <c r="I117" s="8"/>
      <c r="J117" s="20">
        <f>+J111+J112+J115+J116</f>
        <v>0.59014967354821124</v>
      </c>
      <c r="K117" s="20">
        <f>+K111+K112+K115+K116</f>
        <v>1.0319113544298082</v>
      </c>
      <c r="L117" s="20">
        <f>+L111+L112+L115+L116</f>
        <v>0.70376096917695496</v>
      </c>
      <c r="M117" s="8"/>
      <c r="N117" s="8"/>
      <c r="O117" s="29">
        <v>7.1749404772184005E-3</v>
      </c>
      <c r="P117" s="20">
        <v>0.69787692012147562</v>
      </c>
      <c r="Q117" s="20">
        <v>0.82201920338716805</v>
      </c>
      <c r="R117" s="8"/>
      <c r="S117" s="20">
        <f>+S111+S112+S115+S116</f>
        <v>0.22368364020562215</v>
      </c>
      <c r="T117" s="20">
        <f>+T111+T112+T115+T116</f>
        <v>0.85444182857270057</v>
      </c>
      <c r="U117" s="20">
        <f>+U111+U112+U115+U116</f>
        <v>0.64302160833154587</v>
      </c>
      <c r="V117" s="8"/>
    </row>
    <row r="118" spans="2:22" ht="19.5" customHeight="1" x14ac:dyDescent="0.25">
      <c r="B118" s="204"/>
      <c r="C118" s="9"/>
      <c r="D118" s="14" t="s">
        <v>34</v>
      </c>
      <c r="E118" s="6"/>
      <c r="F118" s="19">
        <v>5.1917347400000144</v>
      </c>
      <c r="G118" s="19">
        <v>11.483272660000011</v>
      </c>
      <c r="H118" s="19">
        <v>7.4726453753155475</v>
      </c>
      <c r="I118" s="6"/>
      <c r="J118" s="19">
        <f>+J132+J160+J174</f>
        <v>3.0283316300000074</v>
      </c>
      <c r="K118" s="19">
        <f>+K132+K160+K174</f>
        <v>-0.19278497000000239</v>
      </c>
      <c r="L118" s="19">
        <f>+L132+L160+L174</f>
        <v>2.0928007211074044</v>
      </c>
      <c r="M118" s="6"/>
      <c r="N118" s="6"/>
      <c r="O118" s="19">
        <v>5.1917347400000144</v>
      </c>
      <c r="P118" s="19">
        <v>11.483272660000011</v>
      </c>
      <c r="Q118" s="19">
        <v>7.4726453753155475</v>
      </c>
      <c r="R118" s="6"/>
      <c r="S118" s="19">
        <f>+S132+S160+S174</f>
        <v>2.1310501791283163</v>
      </c>
      <c r="T118" s="19">
        <f>+T132+T160+T174</f>
        <v>0.21754853999999824</v>
      </c>
      <c r="U118" s="19">
        <f>+U132+U160+U174</f>
        <v>0.84063268483772136</v>
      </c>
      <c r="V118" s="6"/>
    </row>
    <row r="119" spans="2:22" ht="7.5" customHeight="1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2:22" ht="19.5" customHeight="1" outlineLevel="1" x14ac:dyDescent="0.25">
      <c r="B120" s="204" t="s">
        <v>104</v>
      </c>
      <c r="C120" s="9"/>
      <c r="D120" s="14" t="s">
        <v>19</v>
      </c>
      <c r="E120" s="6"/>
      <c r="F120" s="19">
        <v>2.5782758100000001</v>
      </c>
      <c r="G120" s="19">
        <v>2.733616</v>
      </c>
      <c r="H120" s="19">
        <v>2.7646412205329307</v>
      </c>
      <c r="I120" s="6"/>
      <c r="J120" s="19">
        <f>+[2]H9!$C$49/1000</f>
        <v>2.59850789</v>
      </c>
      <c r="K120" s="19">
        <f>+[2]H9!$C$50/1000</f>
        <v>2.96470754</v>
      </c>
      <c r="L120" s="19">
        <f>+[2]H9!$C$51/1000</f>
        <v>2.3872297670028235</v>
      </c>
      <c r="M120" s="6"/>
      <c r="N120" s="6"/>
      <c r="O120" s="19">
        <v>2.5782758100000001</v>
      </c>
      <c r="P120" s="19">
        <v>2.733616</v>
      </c>
      <c r="Q120" s="19">
        <v>2.7646412205329307</v>
      </c>
      <c r="R120" s="6"/>
      <c r="S120" s="19">
        <f>+[2]H9!$EA$49/1000</f>
        <v>0.57950724999999992</v>
      </c>
      <c r="T120" s="19">
        <f>+[2]H9!$EA$50/1000</f>
        <v>-2.3622310000000198E-2</v>
      </c>
      <c r="U120" s="19">
        <f>+[2]H9!$EA$51/1000</f>
        <v>0.6509950397380494</v>
      </c>
      <c r="V120" s="6"/>
    </row>
    <row r="121" spans="2:22" ht="20.149999999999999" customHeight="1" outlineLevel="1" x14ac:dyDescent="0.25">
      <c r="B121" s="204"/>
      <c r="C121" s="9"/>
      <c r="D121" s="14" t="s">
        <v>20</v>
      </c>
      <c r="E121" s="6"/>
      <c r="F121" s="19">
        <v>2.3170537099999997</v>
      </c>
      <c r="G121" s="19">
        <v>2.45186583</v>
      </c>
      <c r="H121" s="19">
        <v>2.2151859576361677</v>
      </c>
      <c r="I121" s="6"/>
      <c r="J121" s="19">
        <f>+[2]H9!$N$49/1000</f>
        <v>2.1006284200000001</v>
      </c>
      <c r="K121" s="19">
        <f>+[2]H9!$N$50/1000</f>
        <v>2.3870117999999998</v>
      </c>
      <c r="L121" s="19">
        <f>+[2]H9!$N$51/1000</f>
        <v>2.0983124239665396</v>
      </c>
      <c r="M121" s="6"/>
      <c r="N121" s="6"/>
      <c r="O121" s="19">
        <v>2.3170537099999997</v>
      </c>
      <c r="P121" s="19">
        <v>2.45186583</v>
      </c>
      <c r="Q121" s="19">
        <v>2.2151859576361677</v>
      </c>
      <c r="R121" s="6"/>
      <c r="S121" s="19">
        <f>+[2]H9!$EL$49/1000</f>
        <v>0.73638972000000014</v>
      </c>
      <c r="T121" s="19">
        <f>+[2]H9!$EL$50/1000</f>
        <v>0.22828042000000004</v>
      </c>
      <c r="U121" s="19">
        <f>+[2]H9!$EL$51/1000</f>
        <v>0.69943747465551309</v>
      </c>
      <c r="V121" s="6"/>
    </row>
    <row r="122" spans="2:22" ht="19.5" customHeight="1" outlineLevel="1" x14ac:dyDescent="0.25">
      <c r="B122" s="204"/>
      <c r="C122" s="9"/>
      <c r="D122" s="14" t="s">
        <v>92</v>
      </c>
      <c r="E122" s="6"/>
      <c r="F122" s="20">
        <f>F125-F123-F124</f>
        <v>0.27694958784533319</v>
      </c>
      <c r="G122" s="20">
        <f>G125-G123-G124</f>
        <v>0.22719697105122597</v>
      </c>
      <c r="H122" s="20">
        <f>H125-H123-H124</f>
        <v>0.19726891102097802</v>
      </c>
      <c r="I122" s="6"/>
      <c r="J122" s="20">
        <f>-(SUM([2]H9!$O$49,[2]H9!$R$49:$V$49,[2]H9!$Y$49:$AB$49)/1000)/J121</f>
        <v>0.3578204278508238</v>
      </c>
      <c r="K122" s="20">
        <f>-(SUM([2]H9!$O$50,[2]H9!$R$50:$V$50,[2]H9!$Y$50:$AB$50)/1000)/K121</f>
        <v>0.34894828756187968</v>
      </c>
      <c r="L122" s="20">
        <f>-(SUM([2]H9!$O$51,[2]H9!$R$51:$V$51,[2]H9!$Y$51:$AB$51)/1000)/L121</f>
        <v>0.35385234228520296</v>
      </c>
      <c r="M122" s="6"/>
      <c r="N122" s="6"/>
      <c r="O122" s="20">
        <f>O125-O123-O124</f>
        <v>0.27694958784533319</v>
      </c>
      <c r="P122" s="20">
        <f>P125-P123-P124</f>
        <v>0.22719697105122597</v>
      </c>
      <c r="Q122" s="20">
        <f>Q125-Q123-Q124</f>
        <v>0.19726891102097802</v>
      </c>
      <c r="R122" s="6"/>
      <c r="S122" s="20">
        <f>-(SUM([2]H9!$EM$49,[2]H9!$EP$49:$ET$49,[2]H9!$EW$49:$EZ$49)/1000)/S121</f>
        <v>0.39135162017199243</v>
      </c>
      <c r="T122" s="20">
        <f>-(SUM([2]H9!$EM$50,[2]H9!$EP$50:$ET$50,[2]H9!$EW$50:$EZ$50)/1000)/T121</f>
        <v>1.2264531491575135</v>
      </c>
      <c r="U122" s="20">
        <f>-(SUM([2]H9!$EM$51,[2]H9!$EP$51:$ET$51,[2]H9!$EW$51:$EZ$51)/1000)/U121</f>
        <v>0.35385234228520301</v>
      </c>
      <c r="V122" s="6"/>
    </row>
    <row r="123" spans="2:22" ht="19.5" customHeight="1" outlineLevel="1" x14ac:dyDescent="0.25">
      <c r="B123" s="204"/>
      <c r="C123" s="9"/>
      <c r="D123" s="14" t="s">
        <v>93</v>
      </c>
      <c r="E123" s="6"/>
      <c r="F123" s="20">
        <f>IFERROR(SUM(INDEX(LL_TOT_BR_YTD,5,Month),INDEX(LL_IBNR_TOT_BR_YTD,5,Month))/F121,0)</f>
        <v>0</v>
      </c>
      <c r="G123" s="20">
        <f>IFERROR(SUM(INDEX(LL_TOT_BR_YTD_PREV,5,Month),INDEX(LL_IBNR_TOT_BR_YTD_PREV,5,Month))/G121,0)</f>
        <v>0</v>
      </c>
      <c r="H123" s="20">
        <f>IFERROR(SUM(INDEX(LL_TOT_BR_YTD_PLAN,5,Month),INDEX(LL_IBNR_TOT_BR_YTD_PLAN,5,Month))/H121,0)</f>
        <v>0</v>
      </c>
      <c r="I123" s="6"/>
      <c r="J123" s="20">
        <f>-(SUM([2]H9!$Q$49,[2]H9!$X$49)/1000)/J121</f>
        <v>0</v>
      </c>
      <c r="K123" s="20">
        <f>-(SUM([2]H9!$Q$50,[2]H9!$X$50)/1000)/K121</f>
        <v>0</v>
      </c>
      <c r="L123" s="20">
        <f>-(SUM([2]H9!$Q$51,[2]H9!$X$51)/1000)/L121</f>
        <v>0</v>
      </c>
      <c r="M123" s="6"/>
      <c r="N123" s="6"/>
      <c r="O123" s="20">
        <f>IFERROR(SUM(INDEX(LL_TOT_BR_YTD,5,Month),INDEX(LL_IBNR_TOT_BR_YTD,5,Month))/O121,0)</f>
        <v>0</v>
      </c>
      <c r="P123" s="20">
        <f>IFERROR(SUM(INDEX(LL_TOT_BR_YTD_PREV,5,Month),INDEX(LL_IBNR_TOT_BR_YTD_PREV,5,Month))/P121,0)</f>
        <v>0</v>
      </c>
      <c r="Q123" s="20">
        <f>IFERROR(SUM(INDEX(LL_TOT_BR_YTD_PLAN,5,Month),INDEX(LL_IBNR_TOT_BR_YTD_PLAN,5,Month))/Q121,0)</f>
        <v>0</v>
      </c>
      <c r="R123" s="6"/>
      <c r="S123" s="20">
        <f>-(SUM([2]H9!$EO$49,[2]H9!$EV$49)/1000)/S121</f>
        <v>0</v>
      </c>
      <c r="T123" s="20">
        <f>-(SUM([2]H9!$EO$50,[2]H9!$EV$50)/1000)/T121</f>
        <v>0</v>
      </c>
      <c r="U123" s="20">
        <f>-(SUM([2]H9!$EO$51,[2]H9!$EV$51)/1000)/U121</f>
        <v>0</v>
      </c>
      <c r="V123" s="6"/>
    </row>
    <row r="124" spans="2:22" ht="19.5" customHeight="1" outlineLevel="1" x14ac:dyDescent="0.25">
      <c r="B124" s="204"/>
      <c r="C124" s="9"/>
      <c r="D124" s="14" t="s">
        <v>94</v>
      </c>
      <c r="E124" s="6"/>
      <c r="F124" s="20">
        <f>0</f>
        <v>0</v>
      </c>
      <c r="G124" s="20">
        <f>0</f>
        <v>0</v>
      </c>
      <c r="H124" s="20">
        <f>0</f>
        <v>0</v>
      </c>
      <c r="I124" s="6"/>
      <c r="J124" s="20">
        <f>-(SUM([2]H9!$P$49,[2]H9!$W$49)/1000)/J121</f>
        <v>0</v>
      </c>
      <c r="K124" s="20">
        <f>-(SUM([2]H9!$P$50,[2]H9!$W$50)/1000)/K121</f>
        <v>0</v>
      </c>
      <c r="L124" s="20">
        <f>-(SUM([2]H9!$P$51,[2]H9!$W$51)/1000)/L121</f>
        <v>0</v>
      </c>
      <c r="M124" s="6"/>
      <c r="N124" s="6"/>
      <c r="O124" s="20">
        <f>0</f>
        <v>0</v>
      </c>
      <c r="P124" s="20">
        <f>0</f>
        <v>0</v>
      </c>
      <c r="Q124" s="20">
        <f>0</f>
        <v>0</v>
      </c>
      <c r="R124" s="6"/>
      <c r="S124" s="20">
        <f>-(SUM([2]H9!$EN$49,[2]H9!$EU$49)/1000)/S121</f>
        <v>0</v>
      </c>
      <c r="T124" s="20">
        <f>-(SUM([2]H9!$EN$50,[2]H9!$EU$50)/1000)/T121</f>
        <v>0</v>
      </c>
      <c r="U124" s="20">
        <f>-(SUM([2]H9!$EN$51,[2]H9!$EU$51)/1000)/U121</f>
        <v>0</v>
      </c>
      <c r="V124" s="6"/>
    </row>
    <row r="125" spans="2:22" ht="19.5" customHeight="1" outlineLevel="2" x14ac:dyDescent="0.25">
      <c r="B125" s="204"/>
      <c r="C125" s="9"/>
      <c r="D125" s="14" t="s">
        <v>95</v>
      </c>
      <c r="E125" s="7"/>
      <c r="F125" s="20">
        <v>0.27694958784533319</v>
      </c>
      <c r="G125" s="20">
        <v>0.22719697105122597</v>
      </c>
      <c r="H125" s="20">
        <v>0.19726891102097802</v>
      </c>
      <c r="I125" s="7"/>
      <c r="J125" s="20">
        <f>+J122+J123+J124</f>
        <v>0.3578204278508238</v>
      </c>
      <c r="K125" s="20">
        <f>+K122+K123+K124</f>
        <v>0.34894828756187968</v>
      </c>
      <c r="L125" s="20">
        <f>+L122+L123+L124</f>
        <v>0.35385234228520296</v>
      </c>
      <c r="M125" s="7"/>
      <c r="N125" s="7"/>
      <c r="O125" s="20">
        <v>0.27694958784533319</v>
      </c>
      <c r="P125" s="20">
        <v>0.22719697105122597</v>
      </c>
      <c r="Q125" s="20">
        <v>0.19726891102097802</v>
      </c>
      <c r="R125" s="7"/>
      <c r="S125" s="20">
        <f>+S122+S123+S124</f>
        <v>0.39135162017199243</v>
      </c>
      <c r="T125" s="20">
        <f>+T122+T123+T124</f>
        <v>1.2264531491575135</v>
      </c>
      <c r="U125" s="20">
        <f>+U122+U123+U124</f>
        <v>0.35385234228520301</v>
      </c>
      <c r="V125" s="7"/>
    </row>
    <row r="126" spans="2:22" ht="20.149999999999999" customHeight="1" outlineLevel="1" x14ac:dyDescent="0.25">
      <c r="B126" s="204"/>
      <c r="C126" s="9"/>
      <c r="D126" s="14" t="s">
        <v>96</v>
      </c>
      <c r="E126" s="7"/>
      <c r="F126" s="20">
        <v>7.8264970387760285E-2</v>
      </c>
      <c r="G126" s="20">
        <v>-6.9985089681681309E-2</v>
      </c>
      <c r="H126" s="20">
        <v>0</v>
      </c>
      <c r="I126" s="7"/>
      <c r="J126" s="20">
        <f>-(SUM([2]H9!$AC$49:$AK$49)/1000)/J121</f>
        <v>-0.18568075452392446</v>
      </c>
      <c r="K126" s="20">
        <f>-(SUM([2]H9!$AC$50:$AK$50)/1000)/K121</f>
        <v>0.19832638866720312</v>
      </c>
      <c r="L126" s="20">
        <f>-(SUM([2]H9!$AC$51:$AK$51)/1000)/L121</f>
        <v>-4.8333525749719745E-3</v>
      </c>
      <c r="M126" s="7"/>
      <c r="N126" s="7"/>
      <c r="O126" s="20">
        <v>7.8264970387760285E-2</v>
      </c>
      <c r="P126" s="20">
        <v>-6.9985089681681309E-2</v>
      </c>
      <c r="Q126" s="20">
        <v>0</v>
      </c>
      <c r="R126" s="7"/>
      <c r="S126" s="20">
        <f>-(SUM([2]H9!$FA$49:$FI$49)/1000)/S121</f>
        <v>-0.22079086057855332</v>
      </c>
      <c r="T126" s="20">
        <f>-(SUM([2]H9!$FA$50:$FI$50)/1000)/T121</f>
        <v>-0.65732702787212249</v>
      </c>
      <c r="U126" s="20">
        <f>-(SUM([2]H9!$FA$51:$FI$51)/1000)/U121</f>
        <v>-4.8333525749719225E-3</v>
      </c>
      <c r="V126" s="7"/>
    </row>
    <row r="127" spans="2:22" ht="20.149999999999999" customHeight="1" outlineLevel="2" x14ac:dyDescent="0.25">
      <c r="B127" s="204"/>
      <c r="C127" s="9"/>
      <c r="D127" s="15" t="s">
        <v>87</v>
      </c>
      <c r="E127" s="7"/>
      <c r="F127" s="20">
        <v>0.18303060398198542</v>
      </c>
      <c r="G127" s="20">
        <v>0.18614404769448578</v>
      </c>
      <c r="H127" s="20">
        <v>0.20438203736246632</v>
      </c>
      <c r="I127" s="7"/>
      <c r="J127" s="20">
        <f>-(SUM([2]H9!$AL$49:$AN$49)/1000)/J121</f>
        <v>0.1306453618293901</v>
      </c>
      <c r="K127" s="20">
        <f>-(SUM([2]H9!$AL$50:$AN$50)/1000)/K121</f>
        <v>0.1426375060232212</v>
      </c>
      <c r="L127" s="20">
        <f>-(SUM([2]H9!$AL$51:$AN$51)/1000)/L121</f>
        <v>0.14226267186887673</v>
      </c>
      <c r="M127" s="7"/>
      <c r="N127" s="7"/>
      <c r="O127" s="20">
        <v>0.18303060398198542</v>
      </c>
      <c r="P127" s="20">
        <v>0.18614404769448578</v>
      </c>
      <c r="Q127" s="20">
        <v>0.20438203736246632</v>
      </c>
      <c r="R127" s="7"/>
      <c r="S127" s="20">
        <f>-(SUM([2]H9!$FJ$49:$FL$49)/1000)/S121</f>
        <v>0.1365138828934222</v>
      </c>
      <c r="T127" s="20">
        <f>-(SUM([2]H9!$FJ$50:$FL$50)/1000)/T121</f>
        <v>-0.14011468876743766</v>
      </c>
      <c r="U127" s="20">
        <f>-(SUM([2]H9!$FJ$51:$FL$51)/1000)/U121</f>
        <v>0.14226267186887676</v>
      </c>
      <c r="V127" s="7"/>
    </row>
    <row r="128" spans="2:22" ht="20.149999999999999" customHeight="1" outlineLevel="2" x14ac:dyDescent="0.25">
      <c r="B128" s="204"/>
      <c r="C128" s="9"/>
      <c r="D128" s="15" t="s">
        <v>88</v>
      </c>
      <c r="E128" s="7"/>
      <c r="F128" s="20">
        <v>6.9275062251362332E-2</v>
      </c>
      <c r="G128" s="20">
        <v>3.175185160927016E-2</v>
      </c>
      <c r="H128" s="20">
        <v>8.4249843678186484E-2</v>
      </c>
      <c r="I128" s="7"/>
      <c r="J128" s="20">
        <f>-(SUM([2]H9!$AO$49:$AR$49)/1000)/J121</f>
        <v>0.16926600469396677</v>
      </c>
      <c r="K128" s="20">
        <f>-(SUM([2]H9!$AO$50:$AR$50)/1000)/K121</f>
        <v>0.17196873932504231</v>
      </c>
      <c r="L128" s="20">
        <f>-(SUM([2]H9!$AO$51:$AR$51)/1000)/L121</f>
        <v>0.17660162021090209</v>
      </c>
      <c r="M128" s="7"/>
      <c r="N128" s="7"/>
      <c r="O128" s="20">
        <v>6.9275062251362332E-2</v>
      </c>
      <c r="P128" s="20">
        <v>3.175185160927016E-2</v>
      </c>
      <c r="Q128" s="20">
        <v>8.4249843678186484E-2</v>
      </c>
      <c r="R128" s="7"/>
      <c r="S128" s="20">
        <f>-(SUM([2]H9!$FM$49:$FP$49)/1000)/S121</f>
        <v>0.16718715193362554</v>
      </c>
      <c r="T128" s="20">
        <f>-(SUM([2]H9!$FM$50:$FP$50)/1000)/T121</f>
        <v>0.63169491277438505</v>
      </c>
      <c r="U128" s="20">
        <f>-(SUM([2]H9!$FM$51:$FP$51)/1000)/U121</f>
        <v>0.17660162021090212</v>
      </c>
      <c r="V128" s="7"/>
    </row>
    <row r="129" spans="2:22" ht="20.149999999999999" customHeight="1" outlineLevel="1" x14ac:dyDescent="0.25">
      <c r="B129" s="204"/>
      <c r="C129" s="9"/>
      <c r="D129" s="14" t="s">
        <v>97</v>
      </c>
      <c r="E129" s="7"/>
      <c r="F129" s="20">
        <v>0.25230566623334771</v>
      </c>
      <c r="G129" s="20">
        <v>0.21789589930375597</v>
      </c>
      <c r="H129" s="20">
        <v>0.28863188104065279</v>
      </c>
      <c r="I129" s="7"/>
      <c r="J129" s="20">
        <f>+J127+J128</f>
        <v>0.29991136652335687</v>
      </c>
      <c r="K129" s="20">
        <f>+K127+K128</f>
        <v>0.31460624534826354</v>
      </c>
      <c r="L129" s="20">
        <f>+L127+L128</f>
        <v>0.31886429207977884</v>
      </c>
      <c r="M129" s="7"/>
      <c r="N129" s="7"/>
      <c r="O129" s="20">
        <v>0.25230566623334771</v>
      </c>
      <c r="P129" s="20">
        <v>0.21789589930375597</v>
      </c>
      <c r="Q129" s="20">
        <v>0.28863188104065279</v>
      </c>
      <c r="R129" s="7"/>
      <c r="S129" s="20">
        <f>+S127+S128</f>
        <v>0.30370103482704774</v>
      </c>
      <c r="T129" s="20">
        <f>+T127+T128</f>
        <v>0.4915802240069474</v>
      </c>
      <c r="U129" s="20">
        <f>+U127+U128</f>
        <v>0.31886429207977884</v>
      </c>
      <c r="V129" s="7"/>
    </row>
    <row r="130" spans="2:22" ht="20.149999999999999" customHeight="1" outlineLevel="1" x14ac:dyDescent="0.25">
      <c r="B130" s="204"/>
      <c r="C130" s="9"/>
      <c r="D130" s="14" t="s">
        <v>90</v>
      </c>
      <c r="E130" s="7"/>
      <c r="F130" s="20"/>
      <c r="G130" s="20"/>
      <c r="H130" s="20"/>
      <c r="I130" s="7"/>
      <c r="J130" s="20">
        <f>-(SUM([2]H9!$AT$49:$BJ$49)/1000/J121)</f>
        <v>0.25219922522042226</v>
      </c>
      <c r="K130" s="20">
        <f>-(SUM([2]H9!$AT$50:$BJ$50)/1000/K121)</f>
        <v>0.31847464683668514</v>
      </c>
      <c r="L130" s="20">
        <f>-(SUM([2]H9!$AT$51:$BJ$51)/1000/L121)</f>
        <v>0.19083127854954765</v>
      </c>
      <c r="M130" s="7"/>
      <c r="N130" s="7"/>
      <c r="O130" s="20"/>
      <c r="P130" s="20"/>
      <c r="Q130" s="20"/>
      <c r="R130" s="7"/>
      <c r="S130" s="20">
        <f>-(SUM([2]H9!$FR$49:$GH$49)/1000/S121)</f>
        <v>0.24273741898515361</v>
      </c>
      <c r="T130" s="20">
        <f>-(SUM([2]H9!$FR$50:$GH$50)/1000/T121)</f>
        <v>1.7017635590472449</v>
      </c>
      <c r="U130" s="20">
        <f>-(SUM([2]H9!$FR$51:$GH$51)/1000/U121)</f>
        <v>0.19083127854954773</v>
      </c>
      <c r="V130" s="7"/>
    </row>
    <row r="131" spans="2:22" ht="20.149999999999999" customHeight="1" outlineLevel="1" x14ac:dyDescent="0.25">
      <c r="B131" s="204"/>
      <c r="C131" s="9"/>
      <c r="D131" s="14" t="s">
        <v>79</v>
      </c>
      <c r="E131" s="8"/>
      <c r="F131" s="20">
        <v>0.60752022446644127</v>
      </c>
      <c r="G131" s="20">
        <v>0.37510778067330053</v>
      </c>
      <c r="H131" s="20">
        <v>0.48590079206163078</v>
      </c>
      <c r="I131" s="8"/>
      <c r="J131" s="20">
        <f>+J125+J126+J129+J130</f>
        <v>0.72425026507067847</v>
      </c>
      <c r="K131" s="20">
        <f>+K125+K126+K129+K130</f>
        <v>1.1803555684140314</v>
      </c>
      <c r="L131" s="20">
        <f>+L125+L126+L129+L130</f>
        <v>0.8587145603395574</v>
      </c>
      <c r="M131" s="8"/>
      <c r="N131" s="8"/>
      <c r="O131" s="20">
        <v>0.60752022446644127</v>
      </c>
      <c r="P131" s="20">
        <v>0.37510778067330053</v>
      </c>
      <c r="Q131" s="20">
        <v>0.48590079206163078</v>
      </c>
      <c r="R131" s="8"/>
      <c r="S131" s="20">
        <f>+S125+S126+S129+S130</f>
        <v>0.71699921340564043</v>
      </c>
      <c r="T131" s="20">
        <f>+T125+T126+T129+T130</f>
        <v>2.7624699043395831</v>
      </c>
      <c r="U131" s="20">
        <f>+U125+U126+U129+U130</f>
        <v>0.85871456033955773</v>
      </c>
      <c r="V131" s="8"/>
    </row>
    <row r="132" spans="2:22" ht="19.5" customHeight="1" outlineLevel="1" x14ac:dyDescent="0.25">
      <c r="B132" s="204"/>
      <c r="C132" s="9"/>
      <c r="D132" s="14" t="s">
        <v>34</v>
      </c>
      <c r="E132" s="6"/>
      <c r="F132" s="19">
        <v>0.9093967199999996</v>
      </c>
      <c r="G132" s="19">
        <v>1.5321518799999998</v>
      </c>
      <c r="H132" s="19">
        <v>1.1388253462569518</v>
      </c>
      <c r="I132" s="6"/>
      <c r="J132" s="19">
        <f>+[2]H9!$BK$49/1000</f>
        <v>0.57924772999999896</v>
      </c>
      <c r="K132" s="19">
        <f>+[2]H9!$BK$50/1000</f>
        <v>-0.43051087000000043</v>
      </c>
      <c r="L132" s="19">
        <f>+[2]H9!$BK$51/1000</f>
        <v>0.29646099336508142</v>
      </c>
      <c r="M132" s="6"/>
      <c r="N132" s="6"/>
      <c r="O132" s="19">
        <v>0.9093967199999996</v>
      </c>
      <c r="P132" s="19">
        <v>1.5321518799999998</v>
      </c>
      <c r="Q132" s="19">
        <v>1.1388253462569518</v>
      </c>
      <c r="R132" s="6"/>
      <c r="S132" s="19">
        <f>+[2]H9!$GI$49/1000</f>
        <v>0.20839887000000015</v>
      </c>
      <c r="T132" s="19">
        <f>+[2]H9!$GI$50/1000</f>
        <v>-0.40233736999999997</v>
      </c>
      <c r="U132" s="19">
        <f>+[2]H9!$GI$51/1000</f>
        <v>9.8820331121693722E-2</v>
      </c>
      <c r="V132" s="6"/>
    </row>
    <row r="133" spans="2:22" ht="7.5" customHeight="1" outlineLevel="1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2:22" ht="19.5" customHeight="1" outlineLevel="1" x14ac:dyDescent="0.25">
      <c r="B134" s="204" t="s">
        <v>105</v>
      </c>
      <c r="C134" s="9"/>
      <c r="D134" s="14" t="s">
        <v>19</v>
      </c>
      <c r="E134" s="6"/>
      <c r="F134" s="19">
        <v>3.9291138499999994</v>
      </c>
      <c r="G134" s="19">
        <v>4.1917961400000001</v>
      </c>
      <c r="H134" s="19">
        <v>4.4139901662291425</v>
      </c>
      <c r="I134" s="6"/>
      <c r="J134" s="19"/>
      <c r="K134" s="19"/>
      <c r="L134" s="19"/>
      <c r="M134" s="6"/>
      <c r="N134" s="6"/>
      <c r="O134" s="19">
        <v>3.9291138499999994</v>
      </c>
      <c r="P134" s="19">
        <v>4.1917961400000001</v>
      </c>
      <c r="Q134" s="19">
        <v>4.4139901662291425</v>
      </c>
      <c r="R134" s="6"/>
      <c r="S134" s="19"/>
      <c r="T134" s="19"/>
      <c r="U134" s="19"/>
      <c r="V134" s="6"/>
    </row>
    <row r="135" spans="2:22" ht="20.149999999999999" customHeight="1" outlineLevel="1" x14ac:dyDescent="0.25">
      <c r="B135" s="204"/>
      <c r="C135" s="9"/>
      <c r="D135" s="14" t="s">
        <v>20</v>
      </c>
      <c r="E135" s="6"/>
      <c r="F135" s="19">
        <v>3.9370871899999997</v>
      </c>
      <c r="G135" s="19">
        <v>4.2753675999999992</v>
      </c>
      <c r="H135" s="19">
        <v>4.4615854579151879</v>
      </c>
      <c r="I135" s="6"/>
      <c r="J135" s="19"/>
      <c r="K135" s="19"/>
      <c r="L135" s="19"/>
      <c r="M135" s="6"/>
      <c r="N135" s="6"/>
      <c r="O135" s="19">
        <v>3.9370871899999997</v>
      </c>
      <c r="P135" s="19">
        <v>4.2753675999999992</v>
      </c>
      <c r="Q135" s="19">
        <v>4.4615854579151879</v>
      </c>
      <c r="R135" s="6"/>
      <c r="S135" s="19"/>
      <c r="T135" s="19"/>
      <c r="U135" s="19"/>
      <c r="V135" s="6"/>
    </row>
    <row r="136" spans="2:22" ht="19.5" customHeight="1" outlineLevel="1" x14ac:dyDescent="0.25">
      <c r="B136" s="204"/>
      <c r="C136" s="9"/>
      <c r="D136" s="14" t="s">
        <v>92</v>
      </c>
      <c r="E136" s="6"/>
      <c r="F136" s="20">
        <f>F139-F137-F138</f>
        <v>0.49361970822901691</v>
      </c>
      <c r="G136" s="20">
        <f>G139-G137-G138</f>
        <v>0.20816248876470886</v>
      </c>
      <c r="H136" s="20">
        <f>H139-H137-H138</f>
        <v>0.28562485264551746</v>
      </c>
      <c r="I136" s="6"/>
      <c r="J136" s="20"/>
      <c r="K136" s="20"/>
      <c r="L136" s="20"/>
      <c r="M136" s="6"/>
      <c r="N136" s="6"/>
      <c r="O136" s="20">
        <f>O139-O137-O138</f>
        <v>0.49361970822901691</v>
      </c>
      <c r="P136" s="20">
        <f>P139-P137-P138</f>
        <v>0.20816248876470886</v>
      </c>
      <c r="Q136" s="20">
        <f>Q139-Q137-Q138</f>
        <v>0.28562485264551746</v>
      </c>
      <c r="R136" s="6"/>
      <c r="S136" s="20"/>
      <c r="T136" s="20"/>
      <c r="U136" s="20"/>
      <c r="V136" s="6"/>
    </row>
    <row r="137" spans="2:22" ht="19.5" customHeight="1" outlineLevel="1" x14ac:dyDescent="0.25">
      <c r="B137" s="204"/>
      <c r="C137" s="9"/>
      <c r="D137" s="14" t="s">
        <v>93</v>
      </c>
      <c r="E137" s="6"/>
      <c r="F137" s="20">
        <f>IFERROR(SUM(INDEX(LL_TOT_BR_YTD,6,Month),INDEX(LL_IBNR_TOT_BR_YTD,6,Month))/F135,0)</f>
        <v>0</v>
      </c>
      <c r="G137" s="20">
        <f>IFERROR(SUM(INDEX(LL_TOT_BR_YTD_PREV,6,Month),INDEX(LL_IBNR_TOT_BR_YTD_PREV,6,Month))/G135,0)</f>
        <v>0</v>
      </c>
      <c r="H137" s="20">
        <f>IFERROR(SUM(INDEX(LL_TOT_BR_YTD_PLAN,6,Month),INDEX(LL_IBNR_TOT_BR_YTD_PLAN,6,Month))/H135,0)</f>
        <v>0</v>
      </c>
      <c r="I137" s="6"/>
      <c r="J137" s="20"/>
      <c r="K137" s="20"/>
      <c r="L137" s="20"/>
      <c r="M137" s="6"/>
      <c r="N137" s="6"/>
      <c r="O137" s="20">
        <f>IFERROR(SUM(INDEX(LL_TOT_BR_YTD,6,Month),INDEX(LL_IBNR_TOT_BR_YTD,6,Month))/O135,0)</f>
        <v>0</v>
      </c>
      <c r="P137" s="20">
        <f>IFERROR(SUM(INDEX(LL_TOT_BR_YTD_PREV,6,Month),INDEX(LL_IBNR_TOT_BR_YTD_PREV,6,Month))/P135,0)</f>
        <v>0</v>
      </c>
      <c r="Q137" s="20">
        <f>IFERROR(SUM(INDEX(LL_TOT_BR_YTD_PLAN,6,Month),INDEX(LL_IBNR_TOT_BR_YTD_PLAN,6,Month))/Q135,0)</f>
        <v>0</v>
      </c>
      <c r="R137" s="6"/>
      <c r="S137" s="20"/>
      <c r="T137" s="20"/>
      <c r="U137" s="20"/>
      <c r="V137" s="6"/>
    </row>
    <row r="138" spans="2:22" ht="19.5" customHeight="1" outlineLevel="1" x14ac:dyDescent="0.25">
      <c r="B138" s="204"/>
      <c r="C138" s="9"/>
      <c r="D138" s="14" t="s">
        <v>94</v>
      </c>
      <c r="E138" s="6"/>
      <c r="F138" s="20">
        <f>0</f>
        <v>0</v>
      </c>
      <c r="G138" s="20">
        <f>0</f>
        <v>0</v>
      </c>
      <c r="H138" s="20">
        <f>0</f>
        <v>0</v>
      </c>
      <c r="I138" s="6"/>
      <c r="J138" s="20"/>
      <c r="K138" s="20"/>
      <c r="L138" s="20"/>
      <c r="M138" s="6"/>
      <c r="N138" s="6"/>
      <c r="O138" s="20">
        <f>0</f>
        <v>0</v>
      </c>
      <c r="P138" s="20">
        <f>0</f>
        <v>0</v>
      </c>
      <c r="Q138" s="20">
        <f>0</f>
        <v>0</v>
      </c>
      <c r="R138" s="6"/>
      <c r="S138" s="20"/>
      <c r="T138" s="20"/>
      <c r="U138" s="20"/>
      <c r="V138" s="6"/>
    </row>
    <row r="139" spans="2:22" ht="19.5" customHeight="1" outlineLevel="2" x14ac:dyDescent="0.25">
      <c r="B139" s="204"/>
      <c r="C139" s="9"/>
      <c r="D139" s="14" t="s">
        <v>95</v>
      </c>
      <c r="E139" s="7"/>
      <c r="F139" s="20">
        <v>0.49361970822901691</v>
      </c>
      <c r="G139" s="20">
        <v>0.20816248876470886</v>
      </c>
      <c r="H139" s="20">
        <v>0.28562485264551746</v>
      </c>
      <c r="I139" s="7"/>
      <c r="J139" s="20"/>
      <c r="K139" s="20"/>
      <c r="L139" s="20"/>
      <c r="M139" s="7"/>
      <c r="N139" s="7"/>
      <c r="O139" s="20">
        <v>0.49361970822901691</v>
      </c>
      <c r="P139" s="20">
        <v>0.20816248876470886</v>
      </c>
      <c r="Q139" s="20">
        <v>0.28562485264551746</v>
      </c>
      <c r="R139" s="7"/>
      <c r="S139" s="20"/>
      <c r="T139" s="20"/>
      <c r="U139" s="20"/>
      <c r="V139" s="7"/>
    </row>
    <row r="140" spans="2:22" ht="20.149999999999999" customHeight="1" outlineLevel="1" x14ac:dyDescent="0.25">
      <c r="B140" s="204"/>
      <c r="C140" s="9"/>
      <c r="D140" s="14" t="s">
        <v>96</v>
      </c>
      <c r="E140" s="7"/>
      <c r="F140" s="20">
        <v>-0.24777656498889986</v>
      </c>
      <c r="G140" s="20">
        <v>-0.21788168577597833</v>
      </c>
      <c r="H140" s="20">
        <v>0</v>
      </c>
      <c r="I140" s="7"/>
      <c r="J140" s="20"/>
      <c r="K140" s="20"/>
      <c r="L140" s="20"/>
      <c r="M140" s="7"/>
      <c r="N140" s="7"/>
      <c r="O140" s="20">
        <v>-0.24777656498889986</v>
      </c>
      <c r="P140" s="20">
        <v>-0.21788168577597833</v>
      </c>
      <c r="Q140" s="20">
        <v>0</v>
      </c>
      <c r="R140" s="7"/>
      <c r="S140" s="20"/>
      <c r="T140" s="20"/>
      <c r="U140" s="20"/>
      <c r="V140" s="7"/>
    </row>
    <row r="141" spans="2:22" ht="20.149999999999999" customHeight="1" outlineLevel="2" x14ac:dyDescent="0.25">
      <c r="B141" s="204"/>
      <c r="C141" s="9"/>
      <c r="D141" s="15" t="s">
        <v>87</v>
      </c>
      <c r="E141" s="7"/>
      <c r="F141" s="20">
        <v>0.1658069858493533</v>
      </c>
      <c r="G141" s="20">
        <v>0.21963125229278538</v>
      </c>
      <c r="H141" s="20">
        <v>0.16717916113669204</v>
      </c>
      <c r="I141" s="7"/>
      <c r="J141" s="20"/>
      <c r="K141" s="20"/>
      <c r="L141" s="20"/>
      <c r="M141" s="7"/>
      <c r="N141" s="7"/>
      <c r="O141" s="20">
        <v>0.1658069858493533</v>
      </c>
      <c r="P141" s="20">
        <v>0.21963125229278538</v>
      </c>
      <c r="Q141" s="20">
        <v>0.16717916113669204</v>
      </c>
      <c r="R141" s="7"/>
      <c r="S141" s="20"/>
      <c r="T141" s="20"/>
      <c r="U141" s="20"/>
      <c r="V141" s="7"/>
    </row>
    <row r="142" spans="2:22" ht="20.149999999999999" customHeight="1" outlineLevel="2" x14ac:dyDescent="0.25">
      <c r="B142" s="204"/>
      <c r="C142" s="9"/>
      <c r="D142" s="15" t="s">
        <v>88</v>
      </c>
      <c r="E142" s="7"/>
      <c r="F142" s="20">
        <v>0.16807597293774948</v>
      </c>
      <c r="G142" s="20">
        <v>0.18193374529946854</v>
      </c>
      <c r="H142" s="20">
        <v>0.15908397356614867</v>
      </c>
      <c r="I142" s="7"/>
      <c r="J142" s="20"/>
      <c r="K142" s="20"/>
      <c r="L142" s="20"/>
      <c r="M142" s="7"/>
      <c r="N142" s="7"/>
      <c r="O142" s="20">
        <v>0.16807597293774948</v>
      </c>
      <c r="P142" s="20">
        <v>0.18193374529946854</v>
      </c>
      <c r="Q142" s="20">
        <v>0.15908397356614867</v>
      </c>
      <c r="R142" s="7"/>
      <c r="S142" s="20"/>
      <c r="T142" s="20"/>
      <c r="U142" s="20"/>
      <c r="V142" s="7"/>
    </row>
    <row r="143" spans="2:22" ht="20.149999999999999" customHeight="1" outlineLevel="1" x14ac:dyDescent="0.25">
      <c r="B143" s="204"/>
      <c r="C143" s="9"/>
      <c r="D143" s="14" t="s">
        <v>97</v>
      </c>
      <c r="E143" s="7"/>
      <c r="F143" s="20">
        <v>0.33388295878710278</v>
      </c>
      <c r="G143" s="20" t="e">
        <v>#VALUE!</v>
      </c>
      <c r="H143" s="20">
        <v>0.32626313470284068</v>
      </c>
      <c r="I143" s="7"/>
      <c r="J143" s="20"/>
      <c r="K143" s="20"/>
      <c r="L143" s="20"/>
      <c r="M143" s="7"/>
      <c r="N143" s="7"/>
      <c r="O143" s="20">
        <v>0.33388295878710278</v>
      </c>
      <c r="P143" s="20" t="e">
        <v>#VALUE!</v>
      </c>
      <c r="Q143" s="20">
        <v>0.32626313470284068</v>
      </c>
      <c r="R143" s="7"/>
      <c r="S143" s="20"/>
      <c r="T143" s="20"/>
      <c r="U143" s="20"/>
      <c r="V143" s="7"/>
    </row>
    <row r="144" spans="2:22" ht="20.149999999999999" customHeight="1" outlineLevel="1" x14ac:dyDescent="0.25">
      <c r="B144" s="204"/>
      <c r="C144" s="9"/>
      <c r="D144" s="14" t="s">
        <v>90</v>
      </c>
      <c r="E144" s="7"/>
      <c r="F144" s="20"/>
      <c r="G144" s="20"/>
      <c r="H144" s="20"/>
      <c r="I144" s="7"/>
      <c r="J144" s="20"/>
      <c r="K144" s="20"/>
      <c r="L144" s="20"/>
      <c r="M144" s="7"/>
      <c r="N144" s="7"/>
      <c r="O144" s="20"/>
      <c r="P144" s="20"/>
      <c r="Q144" s="20"/>
      <c r="R144" s="7"/>
      <c r="S144" s="20"/>
      <c r="T144" s="20"/>
      <c r="U144" s="20"/>
      <c r="V144" s="7"/>
    </row>
    <row r="145" spans="2:22" ht="20.149999999999999" customHeight="1" outlineLevel="1" x14ac:dyDescent="0.25">
      <c r="B145" s="204"/>
      <c r="C145" s="9"/>
      <c r="D145" s="14" t="s">
        <v>79</v>
      </c>
      <c r="E145" s="8"/>
      <c r="F145" s="20">
        <v>0.57972610202721986</v>
      </c>
      <c r="G145" s="20" t="e">
        <v>#VALUE!</v>
      </c>
      <c r="H145" s="20">
        <v>0.61188798734835825</v>
      </c>
      <c r="I145" s="8"/>
      <c r="J145" s="20"/>
      <c r="K145" s="20"/>
      <c r="L145" s="20"/>
      <c r="M145" s="8"/>
      <c r="N145" s="8"/>
      <c r="O145" s="20">
        <v>0.57972610202721986</v>
      </c>
      <c r="P145" s="20" t="e">
        <v>#VALUE!</v>
      </c>
      <c r="Q145" s="20">
        <v>0.61188798734835825</v>
      </c>
      <c r="R145" s="8"/>
      <c r="S145" s="20"/>
      <c r="T145" s="20"/>
      <c r="U145" s="20"/>
      <c r="V145" s="8"/>
    </row>
    <row r="146" spans="2:22" ht="19.5" customHeight="1" outlineLevel="1" x14ac:dyDescent="0.25">
      <c r="B146" s="204"/>
      <c r="C146" s="9"/>
      <c r="D146" s="14" t="s">
        <v>34</v>
      </c>
      <c r="E146" s="6"/>
      <c r="F146" s="19">
        <v>1.6546549799999999</v>
      </c>
      <c r="G146" s="19">
        <v>2.3881635999999977</v>
      </c>
      <c r="H146" s="19">
        <v>1.7315949116887599</v>
      </c>
      <c r="I146" s="6"/>
      <c r="J146" s="19"/>
      <c r="K146" s="19"/>
      <c r="L146" s="19"/>
      <c r="M146" s="6"/>
      <c r="N146" s="6"/>
      <c r="O146" s="19">
        <v>1.6546549799999999</v>
      </c>
      <c r="P146" s="19">
        <v>2.3881635999999977</v>
      </c>
      <c r="Q146" s="19">
        <v>1.7315949116887599</v>
      </c>
      <c r="R146" s="6"/>
      <c r="S146" s="19"/>
      <c r="T146" s="19"/>
      <c r="U146" s="19"/>
      <c r="V146" s="6"/>
    </row>
    <row r="147" spans="2:22" ht="7.5" customHeight="1" outlineLevel="1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 ht="19.5" customHeight="1" outlineLevel="1" x14ac:dyDescent="0.25">
      <c r="B148" s="204" t="s">
        <v>106</v>
      </c>
      <c r="C148" s="9"/>
      <c r="D148" s="14" t="s">
        <v>19</v>
      </c>
      <c r="E148" s="6"/>
      <c r="F148" s="19">
        <v>39.956381669999999</v>
      </c>
      <c r="G148" s="19">
        <v>35.901614680000009</v>
      </c>
      <c r="H148" s="19">
        <v>36.922681321660534</v>
      </c>
      <c r="I148" s="6"/>
      <c r="J148" s="19">
        <f>+[2]H9!$C$45/1000</f>
        <v>5.9281893200000004</v>
      </c>
      <c r="K148" s="19">
        <f>+[2]H9!$C$46/1000</f>
        <v>4.9159755299999999</v>
      </c>
      <c r="L148" s="19">
        <f>+[2]H9!$C$47/1000</f>
        <v>4.8998894861386102</v>
      </c>
      <c r="M148" s="6"/>
      <c r="N148" s="6"/>
      <c r="O148" s="19">
        <v>39.956381669999999</v>
      </c>
      <c r="P148" s="19">
        <v>35.901614680000009</v>
      </c>
      <c r="Q148" s="19">
        <v>36.922681321660534</v>
      </c>
      <c r="R148" s="6"/>
      <c r="S148" s="19">
        <f>+[2]H9!$EA$45/1000</f>
        <v>0.43684162000000015</v>
      </c>
      <c r="T148" s="19">
        <f>+[2]H9!$EA$46/1000</f>
        <v>0.38225767999999971</v>
      </c>
      <c r="U148" s="19">
        <f>+[2]H9!$EA$47/1000</f>
        <v>0.26349203329776266</v>
      </c>
      <c r="V148" s="6"/>
    </row>
    <row r="149" spans="2:22" ht="20.149999999999999" customHeight="1" outlineLevel="1" x14ac:dyDescent="0.25">
      <c r="B149" s="204"/>
      <c r="C149" s="9"/>
      <c r="D149" s="14" t="s">
        <v>20</v>
      </c>
      <c r="E149" s="6"/>
      <c r="F149" s="19">
        <v>38.89488166000001</v>
      </c>
      <c r="G149" s="19">
        <v>34.339636540000008</v>
      </c>
      <c r="H149" s="19">
        <v>34.780579715753724</v>
      </c>
      <c r="I149" s="6"/>
      <c r="J149" s="19">
        <f>+[2]H9!$N$45/1000</f>
        <v>2.1760641500000006</v>
      </c>
      <c r="K149" s="19">
        <f>+[2]H9!$N$46/1000</f>
        <v>2.3070754900000003</v>
      </c>
      <c r="L149" s="19">
        <f>+[2]H9!$N$47/1000</f>
        <v>2.182891792640985</v>
      </c>
      <c r="M149" s="6"/>
      <c r="N149" s="6"/>
      <c r="O149" s="19">
        <v>38.89488166000001</v>
      </c>
      <c r="P149" s="19">
        <v>34.339636540000008</v>
      </c>
      <c r="Q149" s="19">
        <v>34.780579715753724</v>
      </c>
      <c r="R149" s="6"/>
      <c r="S149" s="19">
        <f>+[2]H9!$EL$45/1000</f>
        <v>0.83636441999999989</v>
      </c>
      <c r="T149" s="19">
        <f>+[2]H9!$EL$46/1000</f>
        <v>0.76226522999999924</v>
      </c>
      <c r="U149" s="19">
        <f>+[2]H9!$EL$47/1000</f>
        <v>0.72763059754699499</v>
      </c>
      <c r="V149" s="6"/>
    </row>
    <row r="150" spans="2:22" ht="19.5" customHeight="1" outlineLevel="1" x14ac:dyDescent="0.25">
      <c r="B150" s="204"/>
      <c r="C150" s="9"/>
      <c r="D150" s="14" t="s">
        <v>92</v>
      </c>
      <c r="E150" s="6"/>
      <c r="F150" s="20">
        <f>F153-F151-F152</f>
        <v>0.69867287237299669</v>
      </c>
      <c r="G150" s="20">
        <f>G153-G151-G152</f>
        <v>0.47692328662020228</v>
      </c>
      <c r="H150" s="20">
        <f>H153-H151-H152</f>
        <v>0.60636957427339333</v>
      </c>
      <c r="I150" s="6"/>
      <c r="J150" s="20">
        <f>-(SUM([2]H9!$O$45,[2]H9!$R$45:$V$45,[2]H9!$Y$45:$AB$45)/1000)/J149</f>
        <v>0.4390119231792256</v>
      </c>
      <c r="K150" s="20">
        <f>-(SUM([2]H9!$O$46,[2]H9!$R$46:$V$46,[2]H9!$Y$46:$AB$46)/1000)/K149</f>
        <v>0.5084271949852841</v>
      </c>
      <c r="L150" s="20">
        <f>-(SUM([2]H9!$O$47,[2]H9!$R$47:$V$47,[2]H9!$Y$47:$AB$47)/1000)/L149</f>
        <v>0.42097071527862823</v>
      </c>
      <c r="M150" s="6"/>
      <c r="N150" s="6"/>
      <c r="O150" s="20">
        <f>O153-O151-O152</f>
        <v>0.69867287237299669</v>
      </c>
      <c r="P150" s="20">
        <f>P153-P151-P152</f>
        <v>0.47692328662020228</v>
      </c>
      <c r="Q150" s="20">
        <f>Q153-Q151-Q152</f>
        <v>0.60636957427339333</v>
      </c>
      <c r="R150" s="6"/>
      <c r="S150" s="20">
        <f>-(SUM([2]H9!$EM$45,[2]H9!$EP$45:$ET$45,[2]H9!$EW$45:$EZ$45)/1000)/S149</f>
        <v>0.32320700281925835</v>
      </c>
      <c r="T150" s="20">
        <f>-(SUM([2]H9!$EM$46,[2]H9!$EP$46:$ET$46,[2]H9!$EW$46:$EZ$46)/1000)/T149</f>
        <v>0.60264072388556988</v>
      </c>
      <c r="U150" s="20">
        <f>-(SUM([2]H9!$EM$47,[2]H9!$EP$47:$ET$47,[2]H9!$EW$47:$EZ$47)/1000)/U149</f>
        <v>0.22439783207280858</v>
      </c>
      <c r="V150" s="6"/>
    </row>
    <row r="151" spans="2:22" ht="19.5" customHeight="1" outlineLevel="1" x14ac:dyDescent="0.25">
      <c r="B151" s="204"/>
      <c r="C151" s="9"/>
      <c r="D151" s="14" t="s">
        <v>93</v>
      </c>
      <c r="E151" s="6"/>
      <c r="F151" s="20">
        <f>IFERROR(SUM(INDEX(LL_TOT_BR_YTD,8,Month),INDEX(LL_IBNR_TOT_BR_YTD,8,Month))/F149,0)</f>
        <v>0</v>
      </c>
      <c r="G151" s="20">
        <f>IFERROR(SUM(INDEX(LL_TOT_BR_YTD_PREV,8,Month),INDEX(LL_IBNR_TOT_BR_YTD_PREV,8,Month))/G149,0)</f>
        <v>0</v>
      </c>
      <c r="H151" s="20">
        <f>IFERROR(SUM(INDEX(LL_TOT_BR_YTD_PLAN,8,Month),INDEX(LL_IBNR_TOT_BR_YTD_PLAN,8,Month))/H149,0)</f>
        <v>0</v>
      </c>
      <c r="I151" s="6"/>
      <c r="J151" s="20">
        <f>-(SUM([2]H9!$Q$45,[2]H9!$X$45)/1000)/J149</f>
        <v>8.7089285739638117E-2</v>
      </c>
      <c r="K151" s="20">
        <f>-(SUM([2]H9!$Q$46,[2]H9!$X$46)/1000)/K149</f>
        <v>0</v>
      </c>
      <c r="L151" s="20">
        <f>-(SUM([2]H9!$Q$47,[2]H9!$X$47)/1000)/L149</f>
        <v>9.8286441602909849E-2</v>
      </c>
      <c r="M151" s="6"/>
      <c r="N151" s="6"/>
      <c r="O151" s="20">
        <f>IFERROR(SUM(INDEX(LL_TOT_BR_YTD,8,Month),INDEX(LL_IBNR_TOT_BR_YTD,8,Month))/O149,0)</f>
        <v>0</v>
      </c>
      <c r="P151" s="20">
        <f>IFERROR(SUM(INDEX(LL_TOT_BR_YTD_PREV,8,Month),INDEX(LL_IBNR_TOT_BR_YTD_PREV,8,Month))/P149,0)</f>
        <v>0</v>
      </c>
      <c r="Q151" s="20">
        <f>IFERROR(SUM(INDEX(LL_TOT_BR_YTD_PLAN,8,Month),INDEX(LL_IBNR_TOT_BR_YTD_PLAN,8,Month))/Q149,0)</f>
        <v>0</v>
      </c>
      <c r="R151" s="6"/>
      <c r="S151" s="20">
        <f>-(SUM([2]H9!$EO$45,[2]H9!$EV$45)/1000)/S149</f>
        <v>8.4956917965038764E-2</v>
      </c>
      <c r="T151" s="20">
        <f>-(SUM([2]H9!$EO$46,[2]H9!$EV$46)/1000)/T149</f>
        <v>0</v>
      </c>
      <c r="U151" s="20">
        <f>-(SUM([2]H9!$EO$47,[2]H9!$EV$47)/1000)/U149</f>
        <v>9.8286441602909863E-2</v>
      </c>
      <c r="V151" s="6"/>
    </row>
    <row r="152" spans="2:22" ht="19.5" customHeight="1" outlineLevel="1" x14ac:dyDescent="0.25">
      <c r="B152" s="204"/>
      <c r="C152" s="9"/>
      <c r="D152" s="14" t="s">
        <v>94</v>
      </c>
      <c r="E152" s="6"/>
      <c r="F152" s="20">
        <f>0</f>
        <v>0</v>
      </c>
      <c r="G152" s="20">
        <f>0</f>
        <v>0</v>
      </c>
      <c r="H152" s="20">
        <f>0</f>
        <v>0</v>
      </c>
      <c r="I152" s="6"/>
      <c r="J152" s="20">
        <f>-(SUM([2]H9!$P$45,[2]H9!$W$45)/1000)/J149</f>
        <v>0</v>
      </c>
      <c r="K152" s="20">
        <f>-(SUM([2]H9!$P$46,[2]H9!$W$46)/1000)/K149</f>
        <v>0</v>
      </c>
      <c r="L152" s="20">
        <f>-(SUM([2]H9!$P$47,[2]H9!$W$47)/1000)/L149</f>
        <v>0</v>
      </c>
      <c r="M152" s="6"/>
      <c r="N152" s="6"/>
      <c r="O152" s="20">
        <f>0</f>
        <v>0</v>
      </c>
      <c r="P152" s="20">
        <f>0</f>
        <v>0</v>
      </c>
      <c r="Q152" s="20">
        <f>0</f>
        <v>0</v>
      </c>
      <c r="R152" s="6"/>
      <c r="S152" s="20">
        <f>-(SUM([2]H9!$EN$45,[2]H9!$EU$45)/1000)/S149</f>
        <v>0</v>
      </c>
      <c r="T152" s="20">
        <f>-(SUM([2]H9!$EN$46,[2]H9!$EU$46)/1000)/T149</f>
        <v>0</v>
      </c>
      <c r="U152" s="20">
        <f>-(SUM([2]H9!$EN$47,[2]H9!$EU$47)/1000)/U149</f>
        <v>0</v>
      </c>
      <c r="V152" s="6"/>
    </row>
    <row r="153" spans="2:22" ht="19.5" customHeight="1" outlineLevel="2" x14ac:dyDescent="0.25">
      <c r="B153" s="204"/>
      <c r="C153" s="9"/>
      <c r="D153" s="14" t="s">
        <v>95</v>
      </c>
      <c r="E153" s="7"/>
      <c r="F153" s="20">
        <v>0.69867287237299669</v>
      </c>
      <c r="G153" s="20">
        <v>0.47692328662020228</v>
      </c>
      <c r="H153" s="20">
        <v>0.60636957427339333</v>
      </c>
      <c r="I153" s="7"/>
      <c r="J153" s="20">
        <f>+J150+J151+J152</f>
        <v>0.52610120891886369</v>
      </c>
      <c r="K153" s="20">
        <f>+K150+K151+K152</f>
        <v>0.5084271949852841</v>
      </c>
      <c r="L153" s="20">
        <f>+L150+L151+L152</f>
        <v>0.51925715688153806</v>
      </c>
      <c r="M153" s="7"/>
      <c r="N153" s="7"/>
      <c r="O153" s="20">
        <v>0.69867287237299669</v>
      </c>
      <c r="P153" s="20">
        <v>0.47692328662020228</v>
      </c>
      <c r="Q153" s="20">
        <v>0.60636957427339333</v>
      </c>
      <c r="R153" s="7"/>
      <c r="S153" s="20">
        <f>+S150+S151+S152</f>
        <v>0.40816392078429709</v>
      </c>
      <c r="T153" s="20">
        <f>+T150+T151+T152</f>
        <v>0.60264072388556988</v>
      </c>
      <c r="U153" s="20">
        <f>+U150+U151+U152</f>
        <v>0.32268427367571845</v>
      </c>
      <c r="V153" s="7"/>
    </row>
    <row r="154" spans="2:22" ht="20.149999999999999" customHeight="1" outlineLevel="1" x14ac:dyDescent="0.25">
      <c r="B154" s="204"/>
      <c r="C154" s="9"/>
      <c r="D154" s="14" t="s">
        <v>96</v>
      </c>
      <c r="E154" s="7"/>
      <c r="F154" s="20">
        <v>5.6663226777895473E-3</v>
      </c>
      <c r="G154" s="20">
        <v>-2.030074194838988E-3</v>
      </c>
      <c r="H154" s="20">
        <v>0</v>
      </c>
      <c r="I154" s="7"/>
      <c r="J154" s="20">
        <f>-(SUM([2]H9!$AC$45:$AK$45)/1000)/J149</f>
        <v>0.35225177070262376</v>
      </c>
      <c r="K154" s="20">
        <f>-(SUM([2]H9!$AC$46:$AK$46)/1000)/K149</f>
        <v>0.28050109448304184</v>
      </c>
      <c r="L154" s="20">
        <f>-(SUM([2]H9!$AC$47:$AK$47)/1000)/L149</f>
        <v>-8.9391687398456578E-3</v>
      </c>
      <c r="M154" s="7"/>
      <c r="N154" s="7"/>
      <c r="O154" s="20">
        <v>5.6663226777895473E-3</v>
      </c>
      <c r="P154" s="20">
        <v>-2.030074194838988E-3</v>
      </c>
      <c r="Q154" s="20">
        <v>0</v>
      </c>
      <c r="R154" s="7"/>
      <c r="S154" s="20">
        <f>-(SUM([2]H9!$FA$45:$FI$45)/1000)/S149</f>
        <v>0.49007492451675549</v>
      </c>
      <c r="T154" s="20">
        <f>-(SUM([2]H9!$FA$46:$FI$46)/1000)/T149</f>
        <v>-3.7741220336128992E-2</v>
      </c>
      <c r="U154" s="20">
        <f>-(SUM([2]H9!$FA$47:$FI$47)/1000)/U149</f>
        <v>-8.9391687398456578E-3</v>
      </c>
      <c r="V154" s="7"/>
    </row>
    <row r="155" spans="2:22" ht="20.149999999999999" customHeight="1" outlineLevel="2" x14ac:dyDescent="0.25">
      <c r="B155" s="204"/>
      <c r="C155" s="9"/>
      <c r="D155" s="15" t="s">
        <v>87</v>
      </c>
      <c r="E155" s="7"/>
      <c r="F155" s="20">
        <v>0.14842470046481682</v>
      </c>
      <c r="G155" s="20">
        <v>0.14479700052177655</v>
      </c>
      <c r="H155" s="20">
        <v>0.14035990349661451</v>
      </c>
      <c r="I155" s="7"/>
      <c r="J155" s="20">
        <f>-(SUM([2]H9!$AL$45:$AN$45)/1000)/J149</f>
        <v>0.21025180254911197</v>
      </c>
      <c r="K155" s="20">
        <f>-(SUM([2]H9!$AL$46:$AN$46)/1000)/K149</f>
        <v>0.21050558688047108</v>
      </c>
      <c r="L155" s="20">
        <f>-(SUM([2]H9!$AL$47:$AN$47)/1000)/L149</f>
        <v>0.12542056772371679</v>
      </c>
      <c r="M155" s="7"/>
      <c r="N155" s="7"/>
      <c r="O155" s="20">
        <v>0.14842470046481682</v>
      </c>
      <c r="P155" s="20">
        <v>0.14479700052177655</v>
      </c>
      <c r="Q155" s="20">
        <v>0.14035990349661451</v>
      </c>
      <c r="R155" s="7"/>
      <c r="S155" s="20">
        <f>-(SUM([2]H9!$FJ$45:$FL$45)/1000)/S149</f>
        <v>0.2171013444115667</v>
      </c>
      <c r="T155" s="20">
        <f>-(SUM([2]H9!$FJ$46:$FL$46)/1000)/T149</f>
        <v>0.20828592693385786</v>
      </c>
      <c r="U155" s="20">
        <f>-(SUM([2]H9!$FJ$47:$FL$47)/1000)/U149</f>
        <v>0.12542056772371679</v>
      </c>
      <c r="V155" s="7"/>
    </row>
    <row r="156" spans="2:22" ht="20.149999999999999" customHeight="1" outlineLevel="2" x14ac:dyDescent="0.25">
      <c r="B156" s="204"/>
      <c r="C156" s="9"/>
      <c r="D156" s="15" t="s">
        <v>88</v>
      </c>
      <c r="E156" s="7"/>
      <c r="F156" s="20">
        <v>0.10688467614687169</v>
      </c>
      <c r="G156" s="20">
        <v>0.1200591187154131</v>
      </c>
      <c r="H156" s="20">
        <v>0.12893493499093631</v>
      </c>
      <c r="I156" s="7"/>
      <c r="J156" s="20">
        <f>-(SUM([2]H9!$AO$45:$AR$45)/1000)/J149</f>
        <v>0.16860320041575974</v>
      </c>
      <c r="K156" s="20">
        <f>-(SUM([2]H9!$AO$46:$AR$46)/1000)/K149</f>
        <v>0.2919737749890447</v>
      </c>
      <c r="L156" s="20">
        <f>-(SUM([2]H9!$AO$47:$AR$47)/1000)/L149</f>
        <v>0.19399550211363745</v>
      </c>
      <c r="M156" s="7"/>
      <c r="N156" s="7"/>
      <c r="O156" s="20">
        <v>0.10688467614687169</v>
      </c>
      <c r="P156" s="20">
        <v>0.1200591187154131</v>
      </c>
      <c r="Q156" s="20">
        <v>0.12893493499093631</v>
      </c>
      <c r="R156" s="7"/>
      <c r="S156" s="20">
        <f>-(SUM([2]H9!$FM$45:$FP$45)/1000)/S149</f>
        <v>0.13274114410558022</v>
      </c>
      <c r="T156" s="20">
        <f>-(SUM([2]H9!$FM$46:$FP$46)/1000)/T149</f>
        <v>0.30306810662215333</v>
      </c>
      <c r="U156" s="20">
        <f>-(SUM([2]H9!$FM$47:$FP$47)/1000)/U149</f>
        <v>0.19399550211363745</v>
      </c>
      <c r="V156" s="7"/>
    </row>
    <row r="157" spans="2:22" ht="20.149999999999999" customHeight="1" outlineLevel="1" x14ac:dyDescent="0.25">
      <c r="B157" s="204"/>
      <c r="C157" s="9"/>
      <c r="D157" s="14" t="s">
        <v>97</v>
      </c>
      <c r="E157" s="7"/>
      <c r="F157" s="20">
        <v>0.25530937661168845</v>
      </c>
      <c r="G157" s="20">
        <v>0.2648561192371896</v>
      </c>
      <c r="H157" s="20">
        <v>0.26929483848755081</v>
      </c>
      <c r="I157" s="7"/>
      <c r="J157" s="20">
        <f>+J155+J156</f>
        <v>0.37885500296487173</v>
      </c>
      <c r="K157" s="20">
        <f>+K155+K156</f>
        <v>0.50247936186951581</v>
      </c>
      <c r="L157" s="20">
        <f>+L155+L156</f>
        <v>0.31941606983735427</v>
      </c>
      <c r="M157" s="7"/>
      <c r="N157" s="7"/>
      <c r="O157" s="20">
        <v>0.25530937661168845</v>
      </c>
      <c r="P157" s="20">
        <v>0.2648561192371896</v>
      </c>
      <c r="Q157" s="20">
        <v>0.26929483848755081</v>
      </c>
      <c r="R157" s="7"/>
      <c r="S157" s="20">
        <f>+S155+S156</f>
        <v>0.34984248851714694</v>
      </c>
      <c r="T157" s="20">
        <f>+T155+T156</f>
        <v>0.51135403355601117</v>
      </c>
      <c r="U157" s="20">
        <f>+U155+U156</f>
        <v>0.31941606983735427</v>
      </c>
      <c r="V157" s="7"/>
    </row>
    <row r="158" spans="2:22" ht="20.149999999999999" customHeight="1" outlineLevel="1" x14ac:dyDescent="0.25">
      <c r="B158" s="204"/>
      <c r="C158" s="9"/>
      <c r="D158" s="14" t="s">
        <v>90</v>
      </c>
      <c r="E158" s="7"/>
      <c r="F158" s="20"/>
      <c r="G158" s="20"/>
      <c r="H158" s="20"/>
      <c r="I158" s="7"/>
      <c r="J158" s="20">
        <f>-(SUM([2]H9!$AT$45:$BJ$45)/1000/J149)</f>
        <v>0.14561073486735218</v>
      </c>
      <c r="K158" s="20">
        <f>-(SUM([2]H9!$AT$46:$BJ$46)/1000/K149)</f>
        <v>0.11781753617433639</v>
      </c>
      <c r="L158" s="20">
        <f>-(SUM([2]H9!$AT$47:$BJ$47)/1000/L149)</f>
        <v>9.9526536098169402E-2</v>
      </c>
      <c r="M158" s="7"/>
      <c r="N158" s="7"/>
      <c r="O158" s="20"/>
      <c r="P158" s="20"/>
      <c r="Q158" s="20"/>
      <c r="R158" s="7"/>
      <c r="S158" s="20">
        <f>-(SUM([2]H9!$FR$45:$GH$45)/1000/S149)</f>
        <v>0.15580476271336371</v>
      </c>
      <c r="T158" s="20">
        <f>-(SUM([2]H9!$FR$46:$GH$46)/1000/T149)</f>
        <v>7.8917911551600134E-2</v>
      </c>
      <c r="U158" s="20">
        <f>-(SUM([2]H9!$FR$47:$GH$47)/1000/U149)</f>
        <v>9.9526536098169402E-2</v>
      </c>
      <c r="V158" s="7"/>
    </row>
    <row r="159" spans="2:22" ht="20.149999999999999" customHeight="1" outlineLevel="1" x14ac:dyDescent="0.25">
      <c r="B159" s="204"/>
      <c r="C159" s="9"/>
      <c r="D159" s="14" t="s">
        <v>79</v>
      </c>
      <c r="E159" s="8"/>
      <c r="F159" s="20">
        <v>0.95964857166247464</v>
      </c>
      <c r="G159" s="20">
        <v>0.73974933166255308</v>
      </c>
      <c r="H159" s="20">
        <v>0.8756644127609442</v>
      </c>
      <c r="I159" s="8"/>
      <c r="J159" s="20">
        <f>+J153+J154+J157+J158</f>
        <v>1.4028187174537112</v>
      </c>
      <c r="K159" s="20">
        <f>+K153+K154+K157+K158</f>
        <v>1.4092251875121782</v>
      </c>
      <c r="L159" s="20">
        <f>+L153+L154+L157+L158</f>
        <v>0.92926059407721606</v>
      </c>
      <c r="M159" s="8"/>
      <c r="N159" s="8"/>
      <c r="O159" s="20">
        <v>0.95964857166247464</v>
      </c>
      <c r="P159" s="20">
        <v>0.73974933166255308</v>
      </c>
      <c r="Q159" s="20">
        <v>0.8756644127609442</v>
      </c>
      <c r="R159" s="8"/>
      <c r="S159" s="20">
        <f>+S153+S154+S157+S158</f>
        <v>1.4038860965315632</v>
      </c>
      <c r="T159" s="20">
        <f>+T153+T154+T157+T158</f>
        <v>1.1551714486570521</v>
      </c>
      <c r="U159" s="20">
        <f>+U153+U154+U157+U158</f>
        <v>0.7326877108713965</v>
      </c>
      <c r="V159" s="8"/>
    </row>
    <row r="160" spans="2:22" ht="19.5" customHeight="1" outlineLevel="1" x14ac:dyDescent="0.25">
      <c r="B160" s="204"/>
      <c r="C160" s="9"/>
      <c r="D160" s="14" t="s">
        <v>34</v>
      </c>
      <c r="E160" s="6"/>
      <c r="F160" s="19">
        <v>1.5694640300000162</v>
      </c>
      <c r="G160" s="19">
        <v>8.946853150000015</v>
      </c>
      <c r="H160" s="19">
        <v>4.3244638034730354</v>
      </c>
      <c r="I160" s="6"/>
      <c r="J160" s="19">
        <f>+[2]H9!$BK$45/1000</f>
        <v>-0.87655937000000106</v>
      </c>
      <c r="K160" s="19">
        <f>+[2]H9!$BK$46/1000</f>
        <v>-0.9441134000000001</v>
      </c>
      <c r="L160" s="19">
        <f>+[2]H9!$BK$47/1000</f>
        <v>0.15441646860514441</v>
      </c>
      <c r="M160" s="6"/>
      <c r="N160" s="6"/>
      <c r="O160" s="19">
        <v>1.5694640300000162</v>
      </c>
      <c r="P160" s="19">
        <v>8.946853150000015</v>
      </c>
      <c r="Q160" s="19">
        <v>4.3244638034730354</v>
      </c>
      <c r="R160" s="6"/>
      <c r="S160" s="19">
        <f>+[2]H9!$GI$45/1000</f>
        <v>-0.33779596087168468</v>
      </c>
      <c r="T160" s="19">
        <f>+[2]H9!$GI$46/1000</f>
        <v>-0.11828180000000096</v>
      </c>
      <c r="U160" s="19">
        <f>+[2]H9!$GI$47/1000</f>
        <v>0.19450460067030095</v>
      </c>
      <c r="V160" s="6"/>
    </row>
    <row r="161" spans="2:22" ht="7.5" customHeight="1" outlineLevel="1" x14ac:dyDescent="0.25">
      <c r="D161" s="21"/>
      <c r="E161" s="22"/>
      <c r="F161" s="8"/>
      <c r="G161" s="8"/>
      <c r="H161" s="8"/>
      <c r="I161" s="8"/>
      <c r="J161" s="8"/>
      <c r="K161" s="8"/>
      <c r="L161" s="8"/>
      <c r="M161" s="8"/>
      <c r="N161" s="22"/>
      <c r="O161" s="8"/>
      <c r="P161" s="8"/>
      <c r="Q161" s="8"/>
      <c r="R161" s="8"/>
      <c r="S161" s="8"/>
      <c r="T161" s="8"/>
      <c r="U161" s="8"/>
      <c r="V161" s="8"/>
    </row>
    <row r="162" spans="2:22" ht="19.5" customHeight="1" outlineLevel="1" x14ac:dyDescent="0.25">
      <c r="B162" s="204" t="s">
        <v>107</v>
      </c>
      <c r="C162" s="9"/>
      <c r="D162" s="14" t="s">
        <v>19</v>
      </c>
      <c r="E162" s="6"/>
      <c r="F162" s="19">
        <v>4.6081165099999994</v>
      </c>
      <c r="G162" s="19">
        <v>4.81530491</v>
      </c>
      <c r="H162" s="19">
        <v>4.6299022050921828</v>
      </c>
      <c r="I162" s="6"/>
      <c r="J162" s="19">
        <f>+[2]H9!$C$53/1000</f>
        <v>4.7522073000000074</v>
      </c>
      <c r="K162" s="19">
        <f>+[2]H9!$C$54/1000</f>
        <v>2.5081306899999984</v>
      </c>
      <c r="L162" s="19">
        <f>+[2]H9!$C$55/1000</f>
        <v>3.8220304784264103</v>
      </c>
      <c r="M162" s="6"/>
      <c r="N162" s="6"/>
      <c r="O162" s="19">
        <v>4.6081165099999994</v>
      </c>
      <c r="P162" s="19">
        <v>4.81530491</v>
      </c>
      <c r="Q162" s="19">
        <v>4.6299022050921828</v>
      </c>
      <c r="R162" s="6"/>
      <c r="S162" s="19">
        <f>+[2]H9!$EA$53/1000</f>
        <v>0.28530605000000014</v>
      </c>
      <c r="T162" s="19">
        <f>+[2]H9!$EA$54/1000</f>
        <v>0.19863173999999981</v>
      </c>
      <c r="U162" s="19">
        <f>+[2]H9!$EA$55/1000</f>
        <v>0.40284133854646142</v>
      </c>
      <c r="V162" s="6"/>
    </row>
    <row r="163" spans="2:22" ht="20.149999999999999" customHeight="1" outlineLevel="1" x14ac:dyDescent="0.25">
      <c r="B163" s="204"/>
      <c r="C163" s="9"/>
      <c r="D163" s="14" t="s">
        <v>20</v>
      </c>
      <c r="E163" s="6"/>
      <c r="F163" s="19">
        <v>-1.7088570000000278E-2</v>
      </c>
      <c r="G163" s="19">
        <v>-2.7836631900000022</v>
      </c>
      <c r="H163" s="19">
        <v>0.52833225436411024</v>
      </c>
      <c r="I163" s="6"/>
      <c r="J163" s="19">
        <f>+[2]H9!$N$53/1000</f>
        <v>3.1121795000000074</v>
      </c>
      <c r="K163" s="19">
        <f>+[2]H9!$N$54/1000</f>
        <v>1.3471783799999995</v>
      </c>
      <c r="L163" s="19">
        <f>+[2]H9!$N$55/1000</f>
        <v>2.7833635930188678</v>
      </c>
      <c r="M163" s="6"/>
      <c r="N163" s="6"/>
      <c r="O163" s="19">
        <v>-1.7088570000000278E-2</v>
      </c>
      <c r="P163" s="19">
        <v>-2.7836631900000022</v>
      </c>
      <c r="Q163" s="19">
        <v>0.52833225436411024</v>
      </c>
      <c r="R163" s="6"/>
      <c r="S163" s="19">
        <f>+[2]H9!$EL$53/1000</f>
        <v>1.1723254300000003</v>
      </c>
      <c r="T163" s="19">
        <f>+[2]H9!$EL$54/1000</f>
        <v>0.50403578000000016</v>
      </c>
      <c r="U163" s="19">
        <f>+[2]H9!$EL$55/1000</f>
        <v>0.92778786433962268</v>
      </c>
      <c r="V163" s="6"/>
    </row>
    <row r="164" spans="2:22" ht="19.5" customHeight="1" outlineLevel="1" x14ac:dyDescent="0.25">
      <c r="B164" s="204"/>
      <c r="C164" s="9"/>
      <c r="D164" s="14" t="s">
        <v>92</v>
      </c>
      <c r="E164" s="6"/>
      <c r="F164" s="20">
        <f>F167-F165-F166</f>
        <v>-0.76858040198798272</v>
      </c>
      <c r="G164" s="20">
        <f>G167-G165-G166</f>
        <v>-2.335659724695354E-3</v>
      </c>
      <c r="H164" s="20">
        <f>H167-H165-H166</f>
        <v>0.20755285761585987</v>
      </c>
      <c r="I164" s="6"/>
      <c r="J164" s="20">
        <f>-(SUM([2]H9!$O$53,[2]H9!$R$53:$V$53,[2]H9!$Y$53:$AB$53)/1000)/J163</f>
        <v>0.16693704524433725</v>
      </c>
      <c r="K164" s="20">
        <f>-(SUM([2]H9!$O$54,[2]H9!$R$54:$V$54,[2]H9!$Y$54:$AB$54)/1000)/K163</f>
        <v>0.33239345779881074</v>
      </c>
      <c r="L164" s="20">
        <f>-(SUM([2]H9!$O$55,[2]H9!$R$55:$V$55,[2]H9!$Y$55:$AB$55)/1000)/L163</f>
        <v>0.16151798031513809</v>
      </c>
      <c r="M164" s="6"/>
      <c r="N164" s="6"/>
      <c r="O164" s="20">
        <f>O167-O165-O166</f>
        <v>-0.76858040198798272</v>
      </c>
      <c r="P164" s="20">
        <f>P167-P165-P166</f>
        <v>-2.335659724695354E-3</v>
      </c>
      <c r="Q164" s="20">
        <f>Q167-Q165-Q166</f>
        <v>0.20755285761585987</v>
      </c>
      <c r="R164" s="6"/>
      <c r="S164" s="20">
        <f>-(SUM([2]H9!$EM$53,[2]H9!$EP$53:$ET$53,[2]H9!$EW$53:$EZ$53)/1000)/S163</f>
        <v>0.15691814345441604</v>
      </c>
      <c r="T164" s="20">
        <f>-(SUM([2]H9!$EM$54,[2]H9!$EP$54:$ET$54,[2]H9!$EW$54:$EZ$54)/1000)/T163</f>
        <v>0.39673419613186967</v>
      </c>
      <c r="U164" s="20">
        <f>-(SUM([2]H9!$EM$55,[2]H9!$EP$55:$ET$55,[2]H9!$EW$55:$EZ$55)/1000)/U163</f>
        <v>0.16151798031513809</v>
      </c>
      <c r="V164" s="6"/>
    </row>
    <row r="165" spans="2:22" ht="19.5" customHeight="1" outlineLevel="1" x14ac:dyDescent="0.25">
      <c r="B165" s="204"/>
      <c r="C165" s="9"/>
      <c r="D165" s="14" t="s">
        <v>93</v>
      </c>
      <c r="E165" s="6"/>
      <c r="F165" s="20">
        <f>0</f>
        <v>0</v>
      </c>
      <c r="G165" s="20">
        <f>0</f>
        <v>0</v>
      </c>
      <c r="H165" s="20">
        <f>0</f>
        <v>0</v>
      </c>
      <c r="I165" s="6"/>
      <c r="J165" s="20">
        <f>-(SUM([2]H9!$Q$53,[2]H9!$X$53)/1000)/J163</f>
        <v>0</v>
      </c>
      <c r="K165" s="20">
        <f>-(SUM([2]H9!$Q$54,[2]H9!$X$54)/1000)/K163</f>
        <v>0</v>
      </c>
      <c r="L165" s="20">
        <f>-(SUM([2]H9!$Q$55,[2]H9!$X$55)/1000)/L163</f>
        <v>0</v>
      </c>
      <c r="M165" s="6"/>
      <c r="N165" s="6"/>
      <c r="O165" s="20">
        <f>0</f>
        <v>0</v>
      </c>
      <c r="P165" s="20">
        <f>0</f>
        <v>0</v>
      </c>
      <c r="Q165" s="20">
        <f>0</f>
        <v>0</v>
      </c>
      <c r="R165" s="6"/>
      <c r="S165" s="20">
        <f>-(SUM([2]H9!$EO$53,[2]H9!$EV$53)/1000)/S163</f>
        <v>0</v>
      </c>
      <c r="T165" s="20">
        <f>-(SUM([2]H9!$EO$54,[2]H9!$EV$54)/1000)/T163</f>
        <v>0</v>
      </c>
      <c r="U165" s="20">
        <f>-(SUM([2]H9!$EO$55,[2]H9!$EV$55)/1000)/U163</f>
        <v>0</v>
      </c>
      <c r="V165" s="6"/>
    </row>
    <row r="166" spans="2:22" ht="19.5" customHeight="1" outlineLevel="1" x14ac:dyDescent="0.25">
      <c r="B166" s="204"/>
      <c r="C166" s="9"/>
      <c r="D166" s="14" t="s">
        <v>94</v>
      </c>
      <c r="E166" s="6"/>
      <c r="F166" s="20">
        <f>0</f>
        <v>0</v>
      </c>
      <c r="G166" s="20">
        <f>0</f>
        <v>0</v>
      </c>
      <c r="H166" s="20">
        <f>0</f>
        <v>0</v>
      </c>
      <c r="I166" s="6"/>
      <c r="J166" s="20">
        <f>-(SUM([2]H9!$P$53,[2]H9!$W$53)/1000)/J163</f>
        <v>0</v>
      </c>
      <c r="K166" s="20">
        <f>-(SUM([2]H9!$P$54,[2]H9!$W$54)/1000)/K163</f>
        <v>0</v>
      </c>
      <c r="L166" s="20">
        <f>-(SUM([2]H9!$P$55,[2]H9!$W$55)/1000)/L163</f>
        <v>0</v>
      </c>
      <c r="M166" s="6"/>
      <c r="N166" s="6"/>
      <c r="O166" s="20">
        <f>0</f>
        <v>0</v>
      </c>
      <c r="P166" s="20">
        <f>0</f>
        <v>0</v>
      </c>
      <c r="Q166" s="20">
        <f>0</f>
        <v>0</v>
      </c>
      <c r="R166" s="6"/>
      <c r="S166" s="20">
        <f>-(SUM([2]H9!$EN$53,[2]H9!$EU$53)/1000)/S163</f>
        <v>0</v>
      </c>
      <c r="T166" s="20">
        <f>-(SUM([2]H9!$EN$54,[2]H9!$EU$54)/1000)/T163</f>
        <v>0</v>
      </c>
      <c r="U166" s="20">
        <f>-(SUM([2]H9!$EN$55,[2]H9!$EU$55)/1000)/U163</f>
        <v>0</v>
      </c>
      <c r="V166" s="6"/>
    </row>
    <row r="167" spans="2:22" ht="19.5" customHeight="1" outlineLevel="2" x14ac:dyDescent="0.25">
      <c r="B167" s="204"/>
      <c r="C167" s="9"/>
      <c r="D167" s="14" t="s">
        <v>95</v>
      </c>
      <c r="E167" s="7"/>
      <c r="F167" s="20">
        <v>-0.76858040198798272</v>
      </c>
      <c r="G167" s="20">
        <v>-2.335659724695354E-3</v>
      </c>
      <c r="H167" s="20">
        <v>0.20755285761585987</v>
      </c>
      <c r="I167" s="7"/>
      <c r="J167" s="20">
        <f>+J164+J165+J166</f>
        <v>0.16693704524433725</v>
      </c>
      <c r="K167" s="20">
        <f>+K164+K165+K166</f>
        <v>0.33239345779881074</v>
      </c>
      <c r="L167" s="20">
        <f>+L164+L165+L166</f>
        <v>0.16151798031513809</v>
      </c>
      <c r="M167" s="7"/>
      <c r="N167" s="7"/>
      <c r="O167" s="20">
        <v>-0.76858040198798272</v>
      </c>
      <c r="P167" s="20">
        <v>-2.335659724695354E-3</v>
      </c>
      <c r="Q167" s="20">
        <v>0.20755285761585987</v>
      </c>
      <c r="R167" s="7"/>
      <c r="S167" s="20">
        <f>+S164+S165+S166</f>
        <v>0.15691814345441604</v>
      </c>
      <c r="T167" s="20">
        <f>+T164+T165+T166</f>
        <v>0.39673419613186967</v>
      </c>
      <c r="U167" s="20">
        <f>+U164+U165+U166</f>
        <v>0.16151798031513809</v>
      </c>
      <c r="V167" s="7"/>
    </row>
    <row r="168" spans="2:22" ht="20.149999999999999" customHeight="1" outlineLevel="1" x14ac:dyDescent="0.25">
      <c r="B168" s="204"/>
      <c r="C168" s="9"/>
      <c r="D168" s="14" t="s">
        <v>96</v>
      </c>
      <c r="E168" s="7"/>
      <c r="F168" s="20">
        <v>-2.4574701101379057</v>
      </c>
      <c r="G168" s="20">
        <v>4.1963995651356077E-2</v>
      </c>
      <c r="H168" s="20">
        <v>0</v>
      </c>
      <c r="I168" s="7"/>
      <c r="J168" s="20">
        <f>-(SUM([2]H9!$AC$53:$AK$53)/1000)/J163</f>
        <v>-0.47666699173360561</v>
      </c>
      <c r="K168" s="20">
        <f>-(SUM([2]H9!$AC$54:$AK$54)/1000)/K163</f>
        <v>-0.46059534447101108</v>
      </c>
      <c r="L168" s="20">
        <f>-(SUM([2]H9!$AC$55:$AK$55)/1000)/L163</f>
        <v>-2.8828637720117447E-3</v>
      </c>
      <c r="M168" s="7"/>
      <c r="N168" s="7"/>
      <c r="O168" s="20">
        <v>-2.4574701101379057</v>
      </c>
      <c r="P168" s="20">
        <v>4.1963995651356077E-2</v>
      </c>
      <c r="Q168" s="20">
        <v>0</v>
      </c>
      <c r="R168" s="7"/>
      <c r="S168" s="20">
        <f>-(SUM([2]H9!$FA$53:$FI$53)/1000)/S163</f>
        <v>-1.2966785681685675</v>
      </c>
      <c r="T168" s="20">
        <f>-(SUM([2]H9!$FA$54:$FI$54)/1000)/T163</f>
        <v>-1.0367313606188806</v>
      </c>
      <c r="U168" s="20">
        <f>-(SUM([2]H9!$FA$55:$FI$55)/1000)/U163</f>
        <v>-2.8828637720117447E-3</v>
      </c>
      <c r="V168" s="7"/>
    </row>
    <row r="169" spans="2:22" ht="20.149999999999999" customHeight="1" outlineLevel="2" x14ac:dyDescent="0.25">
      <c r="B169" s="204"/>
      <c r="C169" s="9"/>
      <c r="D169" s="15" t="s">
        <v>87</v>
      </c>
      <c r="E169" s="7"/>
      <c r="F169" s="20" t="e">
        <v>#VALUE!</v>
      </c>
      <c r="G169" s="20">
        <v>0.69392591637496137</v>
      </c>
      <c r="H169" s="20">
        <v>0</v>
      </c>
      <c r="I169" s="7"/>
      <c r="J169" s="20">
        <f>-(SUM([2]H9!$AL$53:$AN$53)/1000)/J163</f>
        <v>0.1205484934271942</v>
      </c>
      <c r="K169" s="20">
        <f>-(SUM([2]H9!$AL$54:$AN$54)/1000)/K163</f>
        <v>9.9558656812767557E-2</v>
      </c>
      <c r="L169" s="20">
        <f>-(SUM([2]H9!$AL$55:$AN$55)/1000)/L163</f>
        <v>0.12053279863614015</v>
      </c>
      <c r="M169" s="7"/>
      <c r="N169" s="7"/>
      <c r="O169" s="20" t="e">
        <v>#VALUE!</v>
      </c>
      <c r="P169" s="20">
        <v>0.69392591637496137</v>
      </c>
      <c r="Q169" s="20">
        <v>0</v>
      </c>
      <c r="R169" s="7"/>
      <c r="S169" s="20">
        <f>-(SUM([2]H9!$FJ$53:$FL$53)/1000)/S163</f>
        <v>0.12034512464683121</v>
      </c>
      <c r="T169" s="20">
        <f>-(SUM([2]H9!$FJ$54:$FL$54)/1000)/T163</f>
        <v>0.12965198621415319</v>
      </c>
      <c r="U169" s="20">
        <f>-(SUM([2]H9!$FJ$55:$FL$55)/1000)/U163</f>
        <v>0.12053279863614012</v>
      </c>
      <c r="V169" s="7"/>
    </row>
    <row r="170" spans="2:22" ht="20.149999999999999" customHeight="1" outlineLevel="2" x14ac:dyDescent="0.25">
      <c r="B170" s="204"/>
      <c r="C170" s="9"/>
      <c r="D170" s="15" t="s">
        <v>88</v>
      </c>
      <c r="E170" s="7"/>
      <c r="F170" s="20">
        <v>-5.5305411745979018</v>
      </c>
      <c r="G170" s="20">
        <v>-0.23070346739757674</v>
      </c>
      <c r="H170" s="20">
        <v>0.26671487523132692</v>
      </c>
      <c r="I170" s="7"/>
      <c r="J170" s="20">
        <f>-(SUM([2]H9!$AO$53:$AR$53)/1000)/J163</f>
        <v>7.0762750027753701E-2</v>
      </c>
      <c r="K170" s="20">
        <f>-(SUM([2]H9!$AO$54:$AR$54)/1000)/K163</f>
        <v>8.2334137517854206E-2</v>
      </c>
      <c r="L170" s="20">
        <f>-(SUM([2]H9!$AO$55:$AR$55)/1000)/L163</f>
        <v>8.4763085684065959E-2</v>
      </c>
      <c r="M170" s="7"/>
      <c r="N170" s="7"/>
      <c r="O170" s="20">
        <v>-5.5305411745979018</v>
      </c>
      <c r="P170" s="20">
        <v>-0.23070346739757674</v>
      </c>
      <c r="Q170" s="20">
        <v>0.26671487523132692</v>
      </c>
      <c r="R170" s="7"/>
      <c r="S170" s="20">
        <f>-(SUM([2]H9!$FM$53:$FP$53)/1000)/S163</f>
        <v>6.5650832124318909E-2</v>
      </c>
      <c r="T170" s="20">
        <f>-(SUM([2]H9!$FM$54:$FP$54)/1000)/T163</f>
        <v>7.4195546197137016E-2</v>
      </c>
      <c r="U170" s="20">
        <f>-(SUM([2]H9!$FM$55:$FP$55)/1000)/U163</f>
        <v>8.4763085684065959E-2</v>
      </c>
      <c r="V170" s="7"/>
    </row>
    <row r="171" spans="2:22" ht="20.149999999999999" customHeight="1" outlineLevel="1" x14ac:dyDescent="0.25">
      <c r="B171" s="204"/>
      <c r="C171" s="9"/>
      <c r="D171" s="14" t="s">
        <v>97</v>
      </c>
      <c r="E171" s="7"/>
      <c r="F171" s="20" t="e">
        <v>#VALUE!</v>
      </c>
      <c r="G171" s="20">
        <v>0.46322244897738468</v>
      </c>
      <c r="H171" s="20">
        <v>0.26671487523132692</v>
      </c>
      <c r="I171" s="7"/>
      <c r="J171" s="20">
        <f>+J169+J170</f>
        <v>0.1913112434549479</v>
      </c>
      <c r="K171" s="20">
        <f>+K169+K170</f>
        <v>0.18189279433062178</v>
      </c>
      <c r="L171" s="20">
        <f>+L169+L170</f>
        <v>0.20529588432020612</v>
      </c>
      <c r="M171" s="7"/>
      <c r="N171" s="7"/>
      <c r="O171" s="20" t="e">
        <v>#VALUE!</v>
      </c>
      <c r="P171" s="20">
        <v>0.46322244897738468</v>
      </c>
      <c r="Q171" s="20">
        <v>0.26671487523132692</v>
      </c>
      <c r="R171" s="7"/>
      <c r="S171" s="20">
        <f>+S169+S170</f>
        <v>0.18599595677115011</v>
      </c>
      <c r="T171" s="20">
        <f>+T169+T170</f>
        <v>0.20384753241129022</v>
      </c>
      <c r="U171" s="20">
        <f>+U169+U170</f>
        <v>0.20529588432020607</v>
      </c>
      <c r="V171" s="7"/>
    </row>
    <row r="172" spans="2:22" ht="20.149999999999999" customHeight="1" outlineLevel="1" x14ac:dyDescent="0.25">
      <c r="B172" s="204"/>
      <c r="C172" s="9"/>
      <c r="D172" s="14" t="s">
        <v>90</v>
      </c>
      <c r="E172" s="7"/>
      <c r="F172" s="20"/>
      <c r="G172" s="20"/>
      <c r="H172" s="20"/>
      <c r="I172" s="7"/>
      <c r="J172" s="20">
        <f>-(SUM([2]H9!$AT$53:$BJ$53)/1000/J163)</f>
        <v>4.9828902863732531E-2</v>
      </c>
      <c r="K172" s="20">
        <f>-(SUM([2]H9!$AT$54:$BJ$54)/1000/K163)</f>
        <v>6.9039001353332338E-2</v>
      </c>
      <c r="L172" s="20">
        <f>-(SUM([2]H9!$AT$55:$BJ$55)/1000/L163)</f>
        <v>4.6162864251742104E-2</v>
      </c>
      <c r="M172" s="7"/>
      <c r="N172" s="7"/>
      <c r="O172" s="20"/>
      <c r="P172" s="20"/>
      <c r="Q172" s="20"/>
      <c r="R172" s="7"/>
      <c r="S172" s="20">
        <f>-(SUM([2]H9!$FR$53:$GH$53)/1000/S163)</f>
        <v>2.5590590489877888E-2</v>
      </c>
      <c r="T172" s="20">
        <f>-(SUM([2]H9!$FR$54:$GH$54)/1000/T163)</f>
        <v>-2.8364871239894913E-2</v>
      </c>
      <c r="U172" s="20">
        <f>-(SUM([2]H9!$FR$55:$GH$55)/1000/U163)</f>
        <v>4.6162864251742104E-2</v>
      </c>
      <c r="V172" s="7"/>
    </row>
    <row r="173" spans="2:22" ht="20.149999999999999" customHeight="1" outlineLevel="1" x14ac:dyDescent="0.25">
      <c r="B173" s="204"/>
      <c r="C173" s="9"/>
      <c r="D173" s="14" t="s">
        <v>79</v>
      </c>
      <c r="E173" s="8"/>
      <c r="F173" s="20" t="e">
        <v>#VALUE!</v>
      </c>
      <c r="G173" s="20">
        <v>0.50285078490404533</v>
      </c>
      <c r="H173" s="20">
        <v>0.47426773284718676</v>
      </c>
      <c r="I173" s="8"/>
      <c r="J173" s="20">
        <f>+J167+J168+J171+J172</f>
        <v>-6.8589800170587883E-2</v>
      </c>
      <c r="K173" s="20">
        <f>+K167+K168+K171+K172</f>
        <v>0.12272990901175378</v>
      </c>
      <c r="L173" s="20">
        <f>+L167+L168+L171+L172</f>
        <v>0.41009386511507456</v>
      </c>
      <c r="M173" s="8"/>
      <c r="N173" s="8"/>
      <c r="O173" s="20" t="e">
        <v>#VALUE!</v>
      </c>
      <c r="P173" s="20">
        <v>0.50285078490404533</v>
      </c>
      <c r="Q173" s="20">
        <v>0.47426773284718676</v>
      </c>
      <c r="R173" s="8"/>
      <c r="S173" s="20">
        <f>+S167+S168+S171+S172</f>
        <v>-0.92817387745312352</v>
      </c>
      <c r="T173" s="20">
        <f>+T167+T168+T171+T172</f>
        <v>-0.46451450331561561</v>
      </c>
      <c r="U173" s="20">
        <f>+U167+U168+U171+U172</f>
        <v>0.41009386511507451</v>
      </c>
      <c r="V173" s="8"/>
    </row>
    <row r="174" spans="2:22" ht="19.5" customHeight="1" outlineLevel="1" x14ac:dyDescent="0.25">
      <c r="B174" s="204"/>
      <c r="C174" s="9"/>
      <c r="D174" s="14" t="s">
        <v>34</v>
      </c>
      <c r="E174" s="6"/>
      <c r="F174" s="19">
        <v>1.0582190099999995</v>
      </c>
      <c r="G174" s="19">
        <v>-1.3838959700000022</v>
      </c>
      <c r="H174" s="19">
        <v>0.27776131389680048</v>
      </c>
      <c r="I174" s="6"/>
      <c r="J174" s="19">
        <f>+[2]H9!$BK$53/1000</f>
        <v>3.3256432700000094</v>
      </c>
      <c r="K174" s="19">
        <f>+[2]H9!$BK$54/1000</f>
        <v>1.181839299999998</v>
      </c>
      <c r="L174" s="19">
        <f>+[2]H9!$BK$55/1000</f>
        <v>1.6419232591371784</v>
      </c>
      <c r="M174" s="6"/>
      <c r="N174" s="6"/>
      <c r="O174" s="19">
        <v>1.0582190099999995</v>
      </c>
      <c r="P174" s="19">
        <v>-1.3838959700000022</v>
      </c>
      <c r="Q174" s="19">
        <v>0.27776131389680048</v>
      </c>
      <c r="R174" s="6"/>
      <c r="S174" s="19">
        <f>+[2]H9!$GI$53/1000</f>
        <v>2.2604472700000007</v>
      </c>
      <c r="T174" s="19">
        <f>+[2]H9!$GI$54/1000</f>
        <v>0.73816770999999914</v>
      </c>
      <c r="U174" s="19">
        <f>+[2]H9!$GI$55/1000</f>
        <v>0.54730775304572665</v>
      </c>
      <c r="V174" s="6"/>
    </row>
    <row r="175" spans="2:22" ht="7.5" customHeight="1" outlineLevel="1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2:22" ht="19.5" customHeight="1" x14ac:dyDescent="0.25">
      <c r="B176" s="224" t="s">
        <v>46</v>
      </c>
      <c r="C176" s="9"/>
      <c r="D176" s="17" t="s">
        <v>19</v>
      </c>
      <c r="E176" s="6"/>
      <c r="F176" s="23">
        <v>0</v>
      </c>
      <c r="G176" s="23">
        <v>0</v>
      </c>
      <c r="H176" s="23">
        <v>0</v>
      </c>
      <c r="I176" s="6"/>
      <c r="J176" s="23">
        <f>+[2]H9!$C$65/1000</f>
        <v>48.504736440000016</v>
      </c>
      <c r="K176" s="23">
        <f>+[2]H9!$C$66/1000</f>
        <v>45.171235540000012</v>
      </c>
      <c r="L176" s="23">
        <f>+[2]H9!$C$67/1000</f>
        <v>49.222526283908522</v>
      </c>
      <c r="M176" s="6"/>
      <c r="N176" s="6"/>
      <c r="O176" s="23">
        <v>0</v>
      </c>
      <c r="P176" s="23">
        <v>0</v>
      </c>
      <c r="Q176" s="23">
        <v>0</v>
      </c>
      <c r="R176" s="6"/>
      <c r="S176" s="23">
        <f>+[2]H9!$EA$65/1000</f>
        <v>4.725789040000004</v>
      </c>
      <c r="T176" s="23">
        <f>+[2]H9!$EA$66/1000</f>
        <v>3.7562335800000008</v>
      </c>
      <c r="U176" s="23">
        <f>+[2]H9!$EA$67/1000</f>
        <v>5.9360936249677652</v>
      </c>
      <c r="V176" s="6"/>
    </row>
    <row r="177" spans="2:22" ht="20.149999999999999" customHeight="1" x14ac:dyDescent="0.25">
      <c r="B177" s="224"/>
      <c r="C177" s="9"/>
      <c r="D177" s="17" t="s">
        <v>20</v>
      </c>
      <c r="E177" s="6"/>
      <c r="F177" s="23">
        <v>0</v>
      </c>
      <c r="G177" s="23">
        <v>0</v>
      </c>
      <c r="H177" s="23">
        <v>0</v>
      </c>
      <c r="I177" s="6"/>
      <c r="J177" s="23">
        <f>+[2]H9!$N$65/1000</f>
        <v>26.890925740000014</v>
      </c>
      <c r="K177" s="23">
        <f>+[2]H9!$N$66/1000</f>
        <v>25.13832042999999</v>
      </c>
      <c r="L177" s="23">
        <f>+[2]H9!$N$67/1000</f>
        <v>29.435033999806059</v>
      </c>
      <c r="M177" s="6"/>
      <c r="N177" s="6"/>
      <c r="O177" s="23">
        <v>0</v>
      </c>
      <c r="P177" s="23">
        <v>0</v>
      </c>
      <c r="Q177" s="23">
        <v>0</v>
      </c>
      <c r="R177" s="6"/>
      <c r="S177" s="23">
        <f>+[2]H9!$EL$65/1000</f>
        <v>9.247668580000008</v>
      </c>
      <c r="T177" s="23">
        <f>+[2]H9!$EL$66/1000</f>
        <v>7.6772991000000008</v>
      </c>
      <c r="U177" s="23">
        <f>+[2]H9!$EL$67/1000</f>
        <v>9.8116779999353536</v>
      </c>
      <c r="V177" s="6"/>
    </row>
    <row r="178" spans="2:22" ht="19.5" customHeight="1" x14ac:dyDescent="0.25">
      <c r="B178" s="224"/>
      <c r="C178" s="9"/>
      <c r="D178" s="17" t="s">
        <v>92</v>
      </c>
      <c r="E178" s="6"/>
      <c r="F178" s="24">
        <f>0</f>
        <v>0</v>
      </c>
      <c r="G178" s="24">
        <f>0</f>
        <v>0</v>
      </c>
      <c r="H178" s="24">
        <f>0</f>
        <v>0</v>
      </c>
      <c r="I178" s="6"/>
      <c r="J178" s="24">
        <f>-(SUM([2]H9!$O$65,[2]H9!$R$65:$V$65,[2]H9!$Y$65:$AB$65)/1000)/J177</f>
        <v>0.28462324077975509</v>
      </c>
      <c r="K178" s="24">
        <f>-(SUM([2]H9!$O$66,[2]H9!$R$66:$V$66,[2]H9!$Y$66:$AB$66)/1000)/K177</f>
        <v>0.38463040388573827</v>
      </c>
      <c r="L178" s="24">
        <f>-(SUM([2]H9!$O$67,[2]H9!$R$67:$V$67,[2]H9!$Y$67:$AB$67)/1000)/L177</f>
        <v>0.33512060379578401</v>
      </c>
      <c r="M178" s="6"/>
      <c r="N178" s="6"/>
      <c r="O178" s="24">
        <f>0</f>
        <v>0</v>
      </c>
      <c r="P178" s="24">
        <f>0</f>
        <v>0</v>
      </c>
      <c r="Q178" s="24">
        <f>0</f>
        <v>0</v>
      </c>
      <c r="R178" s="6"/>
      <c r="S178" s="24">
        <f>-(SUM([2]H9!$EM$65,[2]H9!$EP$65:$ET$65,[2]H9!$EW$65:$EZ$65)/1000)/S177</f>
        <v>0.28532586292893364</v>
      </c>
      <c r="T178" s="24">
        <f>-(SUM([2]H9!$EM$66,[2]H9!$EP$66:$ET$66,[2]H9!$EW$66:$EZ$66)/1000)/T177</f>
        <v>0.34092375537225589</v>
      </c>
      <c r="U178" s="24">
        <f>-(SUM([2]H9!$EM$67,[2]H9!$EP$67:$ET$67,[2]H9!$EW$67:$EZ$67)/1000)/U177</f>
        <v>0.32054282775487353</v>
      </c>
      <c r="V178" s="6"/>
    </row>
    <row r="179" spans="2:22" ht="19.5" customHeight="1" x14ac:dyDescent="0.25">
      <c r="B179" s="224"/>
      <c r="C179" s="9"/>
      <c r="D179" s="17" t="s">
        <v>93</v>
      </c>
      <c r="E179" s="6"/>
      <c r="F179" s="24">
        <f>0</f>
        <v>0</v>
      </c>
      <c r="G179" s="24">
        <f>0</f>
        <v>0</v>
      </c>
      <c r="H179" s="24">
        <f>0</f>
        <v>0</v>
      </c>
      <c r="I179" s="6"/>
      <c r="J179" s="24">
        <f>-(SUM([2]H9!$Q$65,[2]H9!$X$65)/1000)/J177</f>
        <v>9.5904780045458576E-2</v>
      </c>
      <c r="K179" s="24">
        <f>-(SUM([2]H9!$Q$66,[2]H9!$X$66)/1000)/K177</f>
        <v>4.0345973106048136E-2</v>
      </c>
      <c r="L179" s="24">
        <f>-(SUM([2]H9!$Q$67,[2]H9!$X$67)/1000)/L177</f>
        <v>0.10496352215163363</v>
      </c>
      <c r="M179" s="6"/>
      <c r="N179" s="6"/>
      <c r="O179" s="24">
        <f>0</f>
        <v>0</v>
      </c>
      <c r="P179" s="24">
        <f>0</f>
        <v>0</v>
      </c>
      <c r="Q179" s="24">
        <f>0</f>
        <v>0</v>
      </c>
      <c r="R179" s="6"/>
      <c r="S179" s="24">
        <f>-(SUM([2]H9!$EO$65,[2]H9!$EV$65)/1000)/S177</f>
        <v>8.0469360116536021E-2</v>
      </c>
      <c r="T179" s="24">
        <f>-(SUM([2]H9!$EO$66,[2]H9!$EV$66)/1000)/T177</f>
        <v>9.8291337525144937E-3</v>
      </c>
      <c r="U179" s="24">
        <f>-(SUM([2]H9!$EO$67,[2]H9!$EV$67)/1000)/U177</f>
        <v>0.1049635221516336</v>
      </c>
      <c r="V179" s="6"/>
    </row>
    <row r="180" spans="2:22" ht="19.5" customHeight="1" x14ac:dyDescent="0.25">
      <c r="B180" s="224"/>
      <c r="C180" s="9"/>
      <c r="D180" s="17" t="s">
        <v>94</v>
      </c>
      <c r="E180" s="6"/>
      <c r="F180" s="24">
        <f>0</f>
        <v>0</v>
      </c>
      <c r="G180" s="24">
        <f>0</f>
        <v>0</v>
      </c>
      <c r="H180" s="24">
        <f>0</f>
        <v>0</v>
      </c>
      <c r="I180" s="6"/>
      <c r="J180" s="24">
        <f>-(SUM([2]H9!$P$65,[2]H9!$W$65)/1000)/J177</f>
        <v>2.5494466297983224E-3</v>
      </c>
      <c r="K180" s="24">
        <f>-(SUM([2]H9!$P$66,[2]H9!$W$66)/1000)/K177</f>
        <v>0</v>
      </c>
      <c r="L180" s="24">
        <f>-(SUM([2]H9!$P$67,[2]H9!$W$67)/1000)/L177</f>
        <v>4.9307905944336948E-2</v>
      </c>
      <c r="M180" s="6"/>
      <c r="N180" s="6"/>
      <c r="O180" s="24">
        <f>0</f>
        <v>0</v>
      </c>
      <c r="P180" s="24">
        <f>0</f>
        <v>0</v>
      </c>
      <c r="Q180" s="24">
        <f>0</f>
        <v>0</v>
      </c>
      <c r="R180" s="6"/>
      <c r="S180" s="24">
        <f>-(SUM([2]H9!$EN$65,[2]H9!$EU$65)/1000)/S177</f>
        <v>7.4134339273650663E-3</v>
      </c>
      <c r="T180" s="24">
        <f>-(SUM([2]H9!$EN$66,[2]H9!$EU$66)/1000)/T177</f>
        <v>0</v>
      </c>
      <c r="U180" s="24">
        <f>-(SUM([2]H9!$EN$67,[2]H9!$EU$67)/1000)/U177</f>
        <v>4.9307905944336948E-2</v>
      </c>
      <c r="V180" s="6"/>
    </row>
    <row r="181" spans="2:22" ht="19.5" hidden="1" customHeight="1" outlineLevel="1" x14ac:dyDescent="0.25">
      <c r="B181" s="224"/>
      <c r="C181" s="9"/>
      <c r="D181" s="17" t="s">
        <v>95</v>
      </c>
      <c r="E181" s="7"/>
      <c r="F181" s="24">
        <v>0</v>
      </c>
      <c r="G181" s="24">
        <v>0</v>
      </c>
      <c r="H181" s="24">
        <v>0</v>
      </c>
      <c r="I181" s="7"/>
      <c r="J181" s="24">
        <f>+J178+J179+J180</f>
        <v>0.38307746745501198</v>
      </c>
      <c r="K181" s="24">
        <f>+K178+K179+K180</f>
        <v>0.42497637699178642</v>
      </c>
      <c r="L181" s="24">
        <f>+L178+L179+L180</f>
        <v>0.48939203189175456</v>
      </c>
      <c r="M181" s="7"/>
      <c r="N181" s="7"/>
      <c r="O181" s="24">
        <v>0</v>
      </c>
      <c r="P181" s="24">
        <v>0</v>
      </c>
      <c r="Q181" s="24">
        <v>0</v>
      </c>
      <c r="R181" s="7"/>
      <c r="S181" s="24">
        <f>+S178+S179+S180</f>
        <v>0.37320865697283467</v>
      </c>
      <c r="T181" s="24">
        <f>+T178+T179+T180</f>
        <v>0.35075288912477037</v>
      </c>
      <c r="U181" s="24">
        <f>+U178+U179+U180</f>
        <v>0.47481425585084408</v>
      </c>
      <c r="V181" s="7"/>
    </row>
    <row r="182" spans="2:22" ht="20.149999999999999" customHeight="1" collapsed="1" x14ac:dyDescent="0.25">
      <c r="B182" s="224"/>
      <c r="C182" s="9"/>
      <c r="D182" s="17" t="s">
        <v>96</v>
      </c>
      <c r="E182" s="7"/>
      <c r="F182" s="24">
        <v>0</v>
      </c>
      <c r="G182" s="24">
        <v>0</v>
      </c>
      <c r="H182" s="24">
        <v>0</v>
      </c>
      <c r="I182" s="7"/>
      <c r="J182" s="24">
        <f>-(SUM([2]H9!$AC$65:$AK$65)/1000)/J177</f>
        <v>1.1284391356918761E-2</v>
      </c>
      <c r="K182" s="24">
        <f>-(SUM([2]H9!$AC$66:$AK$66)/1000)/K177</f>
        <v>-2.3666946710170337E-2</v>
      </c>
      <c r="L182" s="24">
        <f>-(SUM([2]H9!$AC$67:$AK$67)/1000)/L177</f>
        <v>-6.5019263289335149E-3</v>
      </c>
      <c r="M182" s="7"/>
      <c r="N182" s="7"/>
      <c r="O182" s="24">
        <v>0</v>
      </c>
      <c r="P182" s="24">
        <v>0</v>
      </c>
      <c r="Q182" s="24">
        <v>0</v>
      </c>
      <c r="R182" s="7"/>
      <c r="S182" s="24">
        <f>-(SUM([2]H9!$FA$65:$FI$65)/1000)/S177</f>
        <v>2.3667786978585729E-2</v>
      </c>
      <c r="T182" s="24">
        <f>-(SUM([2]H9!$FA$66:$FI$66)/1000)/T177</f>
        <v>-0.53923950676872767</v>
      </c>
      <c r="U182" s="24">
        <f>-(SUM([2]H9!$FA$67:$FI$67)/1000)/U177</f>
        <v>-6.501926328933481E-3</v>
      </c>
      <c r="V182" s="7"/>
    </row>
    <row r="183" spans="2:22" ht="20.149999999999999" hidden="1" customHeight="1" outlineLevel="1" x14ac:dyDescent="0.25">
      <c r="B183" s="224"/>
      <c r="C183" s="9"/>
      <c r="D183" s="18" t="s">
        <v>87</v>
      </c>
      <c r="E183" s="7"/>
      <c r="F183" s="24">
        <v>0</v>
      </c>
      <c r="G183" s="24">
        <v>0</v>
      </c>
      <c r="H183" s="24">
        <v>0</v>
      </c>
      <c r="I183" s="7"/>
      <c r="J183" s="24">
        <f>-(SUM([2]H9!$AL$65:$AN$65)/1000)/J177</f>
        <v>0.19491215292017669</v>
      </c>
      <c r="K183" s="24">
        <f>-(SUM([2]H9!$AL$66:$AN$66)/1000)/K177</f>
        <v>0.18717969456641237</v>
      </c>
      <c r="L183" s="24">
        <f>-(SUM([2]H9!$AL$67:$AN$67)/1000)/L177</f>
        <v>0.1888957763028985</v>
      </c>
      <c r="M183" s="7"/>
      <c r="N183" s="7"/>
      <c r="O183" s="24">
        <v>0</v>
      </c>
      <c r="P183" s="24">
        <v>0</v>
      </c>
      <c r="Q183" s="24">
        <v>0</v>
      </c>
      <c r="R183" s="7"/>
      <c r="S183" s="24">
        <f>-(SUM([2]H9!$FJ$65:$FL$65)/1000)/S177</f>
        <v>0.22007713753945948</v>
      </c>
      <c r="T183" s="24">
        <f>-(SUM([2]H9!$FJ$66:$FL$66)/1000)/T177</f>
        <v>0.18472489107530002</v>
      </c>
      <c r="U183" s="24">
        <f>-(SUM([2]H9!$FJ$67:$FL$67)/1000)/U177</f>
        <v>0.1888957763028985</v>
      </c>
      <c r="V183" s="7"/>
    </row>
    <row r="184" spans="2:22" ht="20.149999999999999" hidden="1" customHeight="1" outlineLevel="1" x14ac:dyDescent="0.25">
      <c r="B184" s="224"/>
      <c r="C184" s="9"/>
      <c r="D184" s="18" t="s">
        <v>88</v>
      </c>
      <c r="E184" s="7"/>
      <c r="F184" s="24">
        <v>0</v>
      </c>
      <c r="G184" s="24">
        <v>0</v>
      </c>
      <c r="H184" s="24">
        <v>0</v>
      </c>
      <c r="I184" s="7"/>
      <c r="J184" s="24">
        <f>-(SUM([2]H9!$AO$65:$AR$65)/1000)/J177</f>
        <v>0.190764794771249</v>
      </c>
      <c r="K184" s="24">
        <f>-(SUM([2]H9!$AO$66:$AR$66)/1000)/K177</f>
        <v>0.19927170647494222</v>
      </c>
      <c r="L184" s="24">
        <f>-(SUM([2]H9!$AO$67:$AR$67)/1000)/L177</f>
        <v>0.18390912345419022</v>
      </c>
      <c r="M184" s="7"/>
      <c r="N184" s="7"/>
      <c r="O184" s="24">
        <v>0</v>
      </c>
      <c r="P184" s="24">
        <v>0</v>
      </c>
      <c r="Q184" s="24">
        <v>0</v>
      </c>
      <c r="R184" s="7"/>
      <c r="S184" s="24">
        <f>-(SUM([2]H9!$FM$65:$FP$65)/1000)/S177</f>
        <v>0.18804418269928944</v>
      </c>
      <c r="T184" s="24">
        <f>-(SUM([2]H9!$FM$66:$FP$66)/1000)/T177</f>
        <v>0.21783895589009938</v>
      </c>
      <c r="U184" s="24">
        <f>-(SUM([2]H9!$FM$67:$FP$67)/1000)/U177</f>
        <v>0.18390912345419022</v>
      </c>
      <c r="V184" s="7"/>
    </row>
    <row r="185" spans="2:22" ht="20.149999999999999" customHeight="1" collapsed="1" x14ac:dyDescent="0.25">
      <c r="B185" s="224"/>
      <c r="C185" s="9"/>
      <c r="D185" s="17" t="s">
        <v>97</v>
      </c>
      <c r="E185" s="7"/>
      <c r="F185" s="24">
        <v>0</v>
      </c>
      <c r="G185" s="24">
        <v>0</v>
      </c>
      <c r="H185" s="24">
        <v>0</v>
      </c>
      <c r="I185" s="7"/>
      <c r="J185" s="24">
        <f>+J183+J184</f>
        <v>0.38567694769142569</v>
      </c>
      <c r="K185" s="24">
        <f>+K183+K184</f>
        <v>0.38645140104135456</v>
      </c>
      <c r="L185" s="24">
        <f>+L183+L184</f>
        <v>0.37280489975708875</v>
      </c>
      <c r="M185" s="7"/>
      <c r="N185" s="7"/>
      <c r="O185" s="24">
        <v>0</v>
      </c>
      <c r="P185" s="24">
        <v>0</v>
      </c>
      <c r="Q185" s="24">
        <v>0</v>
      </c>
      <c r="R185" s="7"/>
      <c r="S185" s="24">
        <f>+S183+S184</f>
        <v>0.40812132023874892</v>
      </c>
      <c r="T185" s="24">
        <f>+T183+T184</f>
        <v>0.40256384696539937</v>
      </c>
      <c r="U185" s="24">
        <f>+U183+U184</f>
        <v>0.37280489975708875</v>
      </c>
      <c r="V185" s="7"/>
    </row>
    <row r="186" spans="2:22" ht="20.149999999999999" customHeight="1" x14ac:dyDescent="0.25">
      <c r="B186" s="224"/>
      <c r="C186" s="9"/>
      <c r="D186" s="17" t="s">
        <v>90</v>
      </c>
      <c r="E186" s="7"/>
      <c r="F186" s="24"/>
      <c r="G186" s="24"/>
      <c r="H186" s="24"/>
      <c r="I186" s="7"/>
      <c r="J186" s="24">
        <f>-(SUM([2]H9!$AT$65:$BJ$65)/1000/J177)</f>
        <v>0.11459993567331911</v>
      </c>
      <c r="K186" s="24">
        <f>-(SUM([2]H9!$AT$66:$BJ$66)/1000/K177)</f>
        <v>0.15866281484900313</v>
      </c>
      <c r="L186" s="24">
        <f>-(SUM([2]H9!$AT$67:$BJ$67)/1000/L177)</f>
        <v>7.504341627223865E-2</v>
      </c>
      <c r="M186" s="7"/>
      <c r="N186" s="7"/>
      <c r="O186" s="24"/>
      <c r="P186" s="24"/>
      <c r="Q186" s="24"/>
      <c r="R186" s="7"/>
      <c r="S186" s="24">
        <f>-(SUM([2]H9!$FR$65:$GH$65)/1000/S177)</f>
        <v>0.12205163174219219</v>
      </c>
      <c r="T186" s="24">
        <f>-(SUM([2]H9!$FR$66:$GH$66)/1000/T177)</f>
        <v>0.18913646857916522</v>
      </c>
      <c r="U186" s="24">
        <f>-(SUM([2]H9!$FR$67:$GH$67)/1000/U177)</f>
        <v>7.5043416272238636E-2</v>
      </c>
      <c r="V186" s="7"/>
    </row>
    <row r="187" spans="2:22" ht="20.149999999999999" customHeight="1" x14ac:dyDescent="0.25">
      <c r="B187" s="224"/>
      <c r="C187" s="9"/>
      <c r="D187" s="17" t="s">
        <v>79</v>
      </c>
      <c r="E187" s="8"/>
      <c r="F187" s="24">
        <v>0</v>
      </c>
      <c r="G187" s="24">
        <v>0</v>
      </c>
      <c r="H187" s="24">
        <v>0</v>
      </c>
      <c r="I187" s="8"/>
      <c r="J187" s="24">
        <f>+J181+J182+J185+J186</f>
        <v>0.89463874217667549</v>
      </c>
      <c r="K187" s="24">
        <f>+K181+K182+K185+K186</f>
        <v>0.94642364617197383</v>
      </c>
      <c r="L187" s="24">
        <f>+L181+L182+L185+L186</f>
        <v>0.93073842159214837</v>
      </c>
      <c r="M187" s="8"/>
      <c r="N187" s="8"/>
      <c r="O187" s="24">
        <v>0</v>
      </c>
      <c r="P187" s="24">
        <v>0</v>
      </c>
      <c r="Q187" s="24">
        <v>0</v>
      </c>
      <c r="R187" s="8"/>
      <c r="S187" s="24">
        <f>+S181+S182+S185+S186</f>
        <v>0.92704939593236158</v>
      </c>
      <c r="T187" s="24">
        <f>+T181+T182+T185+T186</f>
        <v>0.40321369790060729</v>
      </c>
      <c r="U187" s="24">
        <f>+U181+U182+U185+U186</f>
        <v>0.916160645551238</v>
      </c>
      <c r="V187" s="8"/>
    </row>
    <row r="188" spans="2:22" ht="19.5" customHeight="1" x14ac:dyDescent="0.25">
      <c r="B188" s="224"/>
      <c r="C188" s="9"/>
      <c r="D188" s="17" t="s">
        <v>34</v>
      </c>
      <c r="E188" s="6"/>
      <c r="F188" s="23">
        <v>0</v>
      </c>
      <c r="G188" s="23">
        <v>0</v>
      </c>
      <c r="H188" s="23">
        <v>0</v>
      </c>
      <c r="I188" s="6"/>
      <c r="J188" s="23">
        <f>+[2]H9!$BK$65/1000</f>
        <v>2.833261760000009</v>
      </c>
      <c r="K188" s="23">
        <f>+[2]H9!$BK$66/1000</f>
        <v>1.3468195499999893</v>
      </c>
      <c r="L188" s="23">
        <f>+[2]H9!$BK$67/1000</f>
        <v>2.0387169153153377</v>
      </c>
      <c r="M188" s="6"/>
      <c r="N188" s="6"/>
      <c r="O188" s="23">
        <v>0</v>
      </c>
      <c r="P188" s="23">
        <v>0</v>
      </c>
      <c r="Q188" s="23">
        <v>0</v>
      </c>
      <c r="R188" s="6"/>
      <c r="S188" s="23">
        <f>+[2]H9!$GI$65/1000</f>
        <v>0.67462300912832185</v>
      </c>
      <c r="T188" s="23">
        <f>+[2]H9!$GI$66/1000</f>
        <v>4.5817069399999992</v>
      </c>
      <c r="U188" s="23">
        <f>+[2]H9!$GI$67/1000</f>
        <v>0.82260474957369978</v>
      </c>
      <c r="V188" s="6"/>
    </row>
    <row r="189" spans="2:22" ht="7.5" customHeight="1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2:22" ht="19.5" customHeight="1" x14ac:dyDescent="0.25">
      <c r="B190" s="225" t="s">
        <v>108</v>
      </c>
      <c r="C190" s="9"/>
      <c r="D190" s="16" t="s">
        <v>19</v>
      </c>
      <c r="E190" s="6"/>
      <c r="F190" s="25">
        <v>663.1699661099999</v>
      </c>
      <c r="G190" s="25">
        <v>646.55200311999999</v>
      </c>
      <c r="H190" s="25">
        <v>667.75800000000004</v>
      </c>
      <c r="I190" s="6"/>
      <c r="J190" s="25">
        <f>(+[2]H9!$C$61+[2]H9!$C$65)/1000</f>
        <v>48.504736440000016</v>
      </c>
      <c r="K190" s="25">
        <f>(+[2]H9!$C$62+[2]H9!$C$66)/1000</f>
        <v>45.171235540000012</v>
      </c>
      <c r="L190" s="25">
        <f>(+[2]H9!$C$63+[2]H9!$C$67)/1000</f>
        <v>49.222526283908522</v>
      </c>
      <c r="M190" s="6"/>
      <c r="N190" s="6"/>
      <c r="O190" s="25">
        <v>663.1699661099999</v>
      </c>
      <c r="P190" s="25">
        <v>646.55200311999999</v>
      </c>
      <c r="Q190" s="25">
        <v>667.75800000000004</v>
      </c>
      <c r="R190" s="6"/>
      <c r="S190" s="25">
        <f>(+[2]H9!$EA$61+[2]H9!$EA$65)/1000</f>
        <v>4.725789040000004</v>
      </c>
      <c r="T190" s="25">
        <f>(+[2]H9!$EA$62+[2]H9!$EA$66)/1000</f>
        <v>3.7562335800000008</v>
      </c>
      <c r="U190" s="25">
        <f>(+[2]H9!$EA$63+[2]H9!$EA$67)/1000</f>
        <v>5.9360936249677652</v>
      </c>
      <c r="V190" s="6"/>
    </row>
    <row r="191" spans="2:22" ht="20.149999999999999" customHeight="1" x14ac:dyDescent="0.25">
      <c r="B191" s="225"/>
      <c r="C191" s="9"/>
      <c r="D191" s="16" t="s">
        <v>20</v>
      </c>
      <c r="E191" s="6"/>
      <c r="F191" s="25">
        <v>619.93325228999993</v>
      </c>
      <c r="G191" s="25">
        <v>604.01472775999991</v>
      </c>
      <c r="H191" s="25">
        <v>610.10959537476765</v>
      </c>
      <c r="I191" s="6"/>
      <c r="J191" s="25">
        <f>(+[2]H9!$N$61+[2]H9!$N$65)/1000</f>
        <v>26.890925740000014</v>
      </c>
      <c r="K191" s="25">
        <f>(+[2]H9!$N$62+[2]H9!$N$66)/1000</f>
        <v>25.13832042999999</v>
      </c>
      <c r="L191" s="25">
        <f>(+[2]H9!$N$63+[2]H9!$N$67)/1000</f>
        <v>29.435033999806059</v>
      </c>
      <c r="M191" s="6"/>
      <c r="N191" s="6"/>
      <c r="O191" s="25">
        <v>619.93325228999993</v>
      </c>
      <c r="P191" s="25">
        <v>604.01472775999991</v>
      </c>
      <c r="Q191" s="25">
        <v>610.10959537476765</v>
      </c>
      <c r="R191" s="6"/>
      <c r="S191" s="25">
        <f>(+[2]H9!$EL$61+[2]H9!$EL$65)/1000</f>
        <v>9.247668580000008</v>
      </c>
      <c r="T191" s="25">
        <f>(+[2]H9!$EL$62+[2]H9!$EL$66)/1000</f>
        <v>7.6772991000000008</v>
      </c>
      <c r="U191" s="25">
        <f>(+[2]H9!$EL$63+[2]H9!$EL$67)/1000</f>
        <v>9.8116779999353536</v>
      </c>
      <c r="V191" s="6"/>
    </row>
    <row r="192" spans="2:22" ht="19.5" customHeight="1" x14ac:dyDescent="0.25">
      <c r="B192" s="225"/>
      <c r="C192" s="9"/>
      <c r="D192" s="16" t="s">
        <v>92</v>
      </c>
      <c r="E192" s="6"/>
      <c r="F192" s="26" t="str">
        <f>IFERROR(F195-F193-F194,"n/a")</f>
        <v>n/a</v>
      </c>
      <c r="G192" s="26" t="str">
        <f>IFERROR(G195-G193-G194,"n/a")</f>
        <v>n/a</v>
      </c>
      <c r="H192" s="26" t="str">
        <f>IFERROR(H195-H193-H194,"n/a")</f>
        <v>n/a</v>
      </c>
      <c r="I192" s="6"/>
      <c r="J192" s="26">
        <f>-((SUM([2]H9!$O$61:$AB$61,[2]H9!$O$65:$AB$65)-SUM([2]H9!$P$61:$Q$61,[2]H9!$P$65:$Q$65,[2]H9!$W$61:$X$61,[2]H9!$W$65:$X$65))/1000)/J191</f>
        <v>0.28462324077975504</v>
      </c>
      <c r="K192" s="26">
        <f>-((SUM([2]H9!$O$62:$AB$62,[2]H9!$O$66:$AB$66)-SUM([2]H9!$P$62:$Q$62,[2]H9!$P$66:$Q$66,[2]H9!$W$62:$X$62,[2]H9!$W$66:$X$66))/1000)/K191</f>
        <v>0.38463040388573827</v>
      </c>
      <c r="L192" s="26">
        <f>-((SUM([2]H9!$O$63:$AB$63,[2]H9!$O$67:$AB$67)-SUM([2]H9!$P$63:$Q$63,[2]H9!$P$67:$Q$67,[2]H9!$W$63:$X$63,[2]H9!$W$67:$X$67))/1000)/L191</f>
        <v>0.33512060379578401</v>
      </c>
      <c r="M192" s="6"/>
      <c r="N192" s="6"/>
      <c r="O192" s="26" t="str">
        <f>IFERROR(O195-O193-O194,"n/a")</f>
        <v>n/a</v>
      </c>
      <c r="P192" s="26" t="str">
        <f>IFERROR(P195-P193-P194,"n/a")</f>
        <v>n/a</v>
      </c>
      <c r="Q192" s="26" t="str">
        <f>IFERROR(Q195-Q193-Q194,"n/a")</f>
        <v>n/a</v>
      </c>
      <c r="R192" s="6"/>
      <c r="S192" s="26">
        <f>(-(SUM([2]H9!$EM$65,[2]H9!$EP$65:$ET$65,[2]H9!$EW$65:$EZ$65)/1000)-(SUM([2]H9!$EM$61,[2]H9!$EP$61:$ET$61,[2]H9!$EW$61:$EZ$61)/1000))/S191</f>
        <v>0.28532586292893364</v>
      </c>
      <c r="T192" s="26">
        <f>(-(SUM([2]H9!$EM$66,[2]H9!$EP$66:$ET$66,[2]H9!$EW$66:$EZ$66)/1000)-(SUM([2]H9!$EM$62,[2]H9!$EP$62:$ET$62,[2]H9!$EW$62:$EZ$62)/1000))/T191</f>
        <v>0.34092375537225589</v>
      </c>
      <c r="U192" s="26">
        <f>(-(SUM([2]H9!$EM$67,[2]H9!$EP$67:$ET$67,[2]H9!$EW$67:$EZ$67)/1000)-(SUM([2]H9!$EM$63,[2]H9!$EP$63:$ET$63,[2]H9!$EW$63:$EZ$63)/1000))/U191</f>
        <v>0.32054282775487353</v>
      </c>
      <c r="V192" s="6"/>
    </row>
    <row r="193" spans="2:33" ht="19.5" customHeight="1" x14ac:dyDescent="0.25">
      <c r="B193" s="225"/>
      <c r="C193" s="9"/>
      <c r="D193" s="16" t="s">
        <v>93</v>
      </c>
      <c r="E193" s="6"/>
      <c r="F193" s="26">
        <f>(F179*F177+F109*F107+F95*F93+F53*F51+F11*F9)/F191</f>
        <v>0</v>
      </c>
      <c r="G193" s="26">
        <f>(G179*G177+G109*G107+G95*G93+G53*G51+G11*G9)/G191</f>
        <v>0</v>
      </c>
      <c r="H193" s="26">
        <f>(H179*H177+H109*H107+H95*H93+H53*H51+H11*H9)/H191</f>
        <v>0</v>
      </c>
      <c r="I193" s="6"/>
      <c r="J193" s="26">
        <f>-(SUM([2]H9!$Q$65,[2]H9!$X$65,[2]H9!$X$61,[2]H9!$Q$61)/1000)/J191</f>
        <v>9.5904780045458576E-2</v>
      </c>
      <c r="K193" s="26">
        <f>-(SUM([2]H9!$Q$66,[2]H9!$X$66,[2]H9!$X$62,[2]H9!$Q$62)/1000)/K191</f>
        <v>4.0345973106048136E-2</v>
      </c>
      <c r="L193" s="26">
        <f>-(SUM([2]H9!$Q$67,[2]H9!$X$67,[2]H9!$X$63,[2]H9!$Q$63)/1000)/L191</f>
        <v>0.10496352215163363</v>
      </c>
      <c r="M193" s="6"/>
      <c r="N193" s="6"/>
      <c r="O193" s="26">
        <f>(O179*O177+O109*O107+O95*O93+O53*O51+O11*O9)/O191</f>
        <v>0</v>
      </c>
      <c r="P193" s="26">
        <f>(P179*P177+P109*P107+P95*P93+P53*P51+P11*P9)/P191</f>
        <v>0</v>
      </c>
      <c r="Q193" s="26">
        <f>(Q179*Q177+Q109*Q107+Q95*Q93+Q53*Q51+Q11*Q9)/Q191</f>
        <v>0</v>
      </c>
      <c r="R193" s="6"/>
      <c r="S193" s="26">
        <f>(-(SUM([2]H9!$EO$65,[2]H9!$EV$65)/1000)-(SUM([2]H9!$EO$61,[2]H9!$EV$61)/1000))/S191</f>
        <v>8.0469360116536021E-2</v>
      </c>
      <c r="T193" s="26">
        <f>(-(SUM([2]H9!$EO$66,[2]H9!$EV$66)/1000)-(SUM([2]H9!$EO$62,[2]H9!$EV$62))/1000)/T191</f>
        <v>9.8291337525144937E-3</v>
      </c>
      <c r="U193" s="26">
        <f>(-(SUM([2]H9!$EO$67,[2]H9!$EV$67)/1000)-(SUM([2]H9!$EO$63,[2]H9!$EV$63)/1000))/U191</f>
        <v>0.1049635221516336</v>
      </c>
      <c r="V193" s="6"/>
    </row>
    <row r="194" spans="2:33" ht="19.5" customHeight="1" x14ac:dyDescent="0.25">
      <c r="B194" s="225"/>
      <c r="C194" s="9"/>
      <c r="D194" s="16" t="s">
        <v>94</v>
      </c>
      <c r="E194" s="6"/>
      <c r="F194" s="26" t="e">
        <f>(F180*F177+F110*F107+F96*F93+F54*F51+F12*F9)/F191</f>
        <v>#VALUE!</v>
      </c>
      <c r="G194" s="26" t="e">
        <f>(G180*G177+G110*G107+G96*G93+G54*G51+G12*G9)/G191</f>
        <v>#VALUE!</v>
      </c>
      <c r="H194" s="26" t="e">
        <f>(H180*H177+H110*H107+H96*H93+H54*H51+H12*H9)/H191</f>
        <v>#VALUE!</v>
      </c>
      <c r="I194" s="6"/>
      <c r="J194" s="26">
        <f>-(SUM([2]H9!$P$61,[2]H9!$P$65,[2]H9!$W$61,[2]H9!$W$65)/1000)/J191</f>
        <v>2.5494466297983224E-3</v>
      </c>
      <c r="K194" s="26">
        <f>-(SUM([2]H9!$P$62,[2]H9!$P$66,[2]H9!$W$62,[2]H9!$W$66)/1000)/K191</f>
        <v>0</v>
      </c>
      <c r="L194" s="26">
        <f>-(SUM([2]H9!$P$63,[2]H9!$P$67,[2]H9!$W$63,[2]H9!$W$67)/1000)/L191</f>
        <v>4.9307905944336948E-2</v>
      </c>
      <c r="M194" s="6"/>
      <c r="N194" s="6"/>
      <c r="O194" s="26" t="e">
        <f>(O180*O177+O110*O107+O96*O93+O54*O51+O12*O9)/O191</f>
        <v>#VALUE!</v>
      </c>
      <c r="P194" s="26" t="e">
        <f>(P180*P177+P110*P107+P96*P93+P54*P51+P12*P9)/P191</f>
        <v>#VALUE!</v>
      </c>
      <c r="Q194" s="26" t="e">
        <f>(Q180*Q177+Q110*Q107+Q96*Q93+Q54*Q51+Q12*Q9)/Q191</f>
        <v>#VALUE!</v>
      </c>
      <c r="R194" s="6"/>
      <c r="S194" s="26">
        <f>(-(SUM([2]H9!$EN$65,[2]H9!$EU$65)/1000)-(SUM([2]H9!$EN$61,[2]H9!$EU$61)/1000))/S191</f>
        <v>7.4134339273650663E-3</v>
      </c>
      <c r="T194" s="26">
        <f>(-(SUM([2]H9!$EN$66,[2]H9!$EU$66)/1000)-(SUM([2]H9!$EN$62,[2]H9!$EU$62)/1000))/T191</f>
        <v>0</v>
      </c>
      <c r="U194" s="26">
        <f>(-(SUM([2]H9!$EN$67,[2]H9!$EU$67)/1000)-(SUM([2]H9!$EN$63,[2]H9!$EU$63)/1000))/U191</f>
        <v>4.9307905944336948E-2</v>
      </c>
      <c r="V194" s="6"/>
    </row>
    <row r="195" spans="2:33" ht="19.5" customHeight="1" outlineLevel="1" x14ac:dyDescent="0.25">
      <c r="B195" s="225"/>
      <c r="C195" s="9"/>
      <c r="D195" s="16" t="s">
        <v>95</v>
      </c>
      <c r="E195" s="7"/>
      <c r="F195" s="26">
        <v>0.63569160649838707</v>
      </c>
      <c r="G195" s="26">
        <v>0.54412843744530481</v>
      </c>
      <c r="H195" s="26">
        <v>0.64915456698178076</v>
      </c>
      <c r="I195" s="7"/>
      <c r="J195" s="26">
        <f>+J192+J193+J194</f>
        <v>0.38307746745501198</v>
      </c>
      <c r="K195" s="26">
        <f>+K192+K193+K194</f>
        <v>0.42497637699178642</v>
      </c>
      <c r="L195" s="26">
        <f>+L192+L193+L194</f>
        <v>0.48939203189175456</v>
      </c>
      <c r="M195" s="7"/>
      <c r="N195" s="7"/>
      <c r="O195" s="26">
        <v>0.63569160649838707</v>
      </c>
      <c r="P195" s="26">
        <v>0.54412843744530481</v>
      </c>
      <c r="Q195" s="26">
        <v>0.64915456698178076</v>
      </c>
      <c r="R195" s="7"/>
      <c r="S195" s="26">
        <f>+S192+S193+S194</f>
        <v>0.37320865697283467</v>
      </c>
      <c r="T195" s="26">
        <f>+T192+T193+T194</f>
        <v>0.35075288912477037</v>
      </c>
      <c r="U195" s="26">
        <f>+U192+U193+U194</f>
        <v>0.47481425585084408</v>
      </c>
      <c r="V195" s="7"/>
    </row>
    <row r="196" spans="2:33" ht="20.149999999999999" customHeight="1" x14ac:dyDescent="0.25">
      <c r="B196" s="225"/>
      <c r="C196" s="9"/>
      <c r="D196" s="16" t="s">
        <v>96</v>
      </c>
      <c r="E196" s="7"/>
      <c r="F196" s="26">
        <v>-3.5901680040206309E-2</v>
      </c>
      <c r="G196" s="26">
        <v>9.3873443136520355E-3</v>
      </c>
      <c r="H196" s="26">
        <v>-1.1883110927876153E-2</v>
      </c>
      <c r="I196" s="7"/>
      <c r="J196" s="26">
        <f>-(SUM([2]H9!$AC$61:$AK$61,[2]H9!$AC$65:$AK$65)/1000)/J191</f>
        <v>1.1284391356918761E-2</v>
      </c>
      <c r="K196" s="26">
        <f>-(SUM([2]H9!$AC$62:$AK$62,[2]H9!$AC$66:$AK$66)/1000)/K191</f>
        <v>-2.3666946710170337E-2</v>
      </c>
      <c r="L196" s="26">
        <f>-(SUM([2]H9!$AC$63:$AK$63,[2]H9!$AC$67:$AK$67)/1000)/L191</f>
        <v>-6.5019263289335149E-3</v>
      </c>
      <c r="M196" s="7"/>
      <c r="N196" s="7"/>
      <c r="O196" s="26">
        <v>-3.5901680040206309E-2</v>
      </c>
      <c r="P196" s="26">
        <v>9.3873443136520355E-3</v>
      </c>
      <c r="Q196" s="26">
        <v>-1.1883110927876153E-2</v>
      </c>
      <c r="R196" s="7"/>
      <c r="S196" s="26">
        <f>(-(SUM([2]H9!$FA$65:$FI$65)/1000)-(SUM([2]H9!$FA$61:$FI$61)/1000))/S191</f>
        <v>2.3667786978585729E-2</v>
      </c>
      <c r="T196" s="26">
        <f>(-(SUM([2]H9!$FA$66:$FI$66)/1000)-(SUM([2]H9!$FA$62:$FI$62)/1000))/T191</f>
        <v>-0.53923950676872767</v>
      </c>
      <c r="U196" s="26">
        <f>(-(SUM([2]H9!$FA$67:$FI$67)/1000)-(SUM([2]H9!$FA$63:$FI$63)/1000))/U191</f>
        <v>-6.501926328933481E-3</v>
      </c>
      <c r="V196" s="7"/>
    </row>
    <row r="197" spans="2:33" ht="20.149999999999999" customHeight="1" outlineLevel="1" x14ac:dyDescent="0.25">
      <c r="B197" s="225"/>
      <c r="C197" s="9"/>
      <c r="D197" s="13" t="s">
        <v>87</v>
      </c>
      <c r="E197" s="7"/>
      <c r="F197" s="26">
        <v>0.13643040047871993</v>
      </c>
      <c r="G197" s="26">
        <v>0.13366121748289339</v>
      </c>
      <c r="H197" s="26">
        <v>0.13661633561685846</v>
      </c>
      <c r="I197" s="7"/>
      <c r="J197" s="26">
        <f>-(SUM([2]H9!$AL$61:$AN$61,[2]H9!$AL$65:$AN$65)/1000)/J191</f>
        <v>0.19491215292017669</v>
      </c>
      <c r="K197" s="26">
        <f>-(SUM([2]H9!$AL$62:$AN$62,[2]H9!$AL$66:$AN$66)/1000)/K191</f>
        <v>0.18717969456641237</v>
      </c>
      <c r="L197" s="26">
        <f>-(SUM([2]H9!$AL$63:$AN$63,[2]H9!$AL$67:$AN$67)/1000)/L191</f>
        <v>0.1888957763028985</v>
      </c>
      <c r="M197" s="7"/>
      <c r="N197" s="7"/>
      <c r="O197" s="26">
        <v>0.13643040047871993</v>
      </c>
      <c r="P197" s="26">
        <v>0.13366121748289339</v>
      </c>
      <c r="Q197" s="26">
        <v>0.13661633561685846</v>
      </c>
      <c r="R197" s="7"/>
      <c r="S197" s="26">
        <f>(-(SUM([2]H9!$FJ$65:$FL$65)/1000)-(SUM([2]H9!$FJ$61:$FL$61)/1000))/S191</f>
        <v>0.22007713753945948</v>
      </c>
      <c r="T197" s="26">
        <f>(-(SUM([2]H9!$FJ$66:$FL$66)/1000)-(SUM([2]H9!$FJ$62:$FL$62)/1000))/T191</f>
        <v>0.18472489107530002</v>
      </c>
      <c r="U197" s="26">
        <f>(-(SUM([2]H9!$FJ$67:$FL$67)/1000)-(SUM([2]H9!$FJ$63:$FL$63)/1000))/U191</f>
        <v>0.1888957763028985</v>
      </c>
      <c r="V197" s="7"/>
    </row>
    <row r="198" spans="2:33" ht="20.149999999999999" customHeight="1" outlineLevel="1" x14ac:dyDescent="0.25">
      <c r="B198" s="225"/>
      <c r="C198" s="9"/>
      <c r="D198" s="13" t="s">
        <v>88</v>
      </c>
      <c r="E198" s="7"/>
      <c r="F198" s="26">
        <v>0.11982971375642451</v>
      </c>
      <c r="G198" s="26">
        <v>0.12707969296486946</v>
      </c>
      <c r="H198" s="26">
        <v>0.12094511823519646</v>
      </c>
      <c r="I198" s="7"/>
      <c r="J198" s="26">
        <f>-(SUM([2]H9!$AO$61:$AR$61,[2]H9!$AO$65:$AR$65)/1000)/J191</f>
        <v>0.19079024573588357</v>
      </c>
      <c r="K198" s="26">
        <f>-(SUM([2]H9!$AO$62:$AR$62,[2]H9!$AO$66:$AR$66)/1000)/K191</f>
        <v>0.1998502924644279</v>
      </c>
      <c r="L198" s="26">
        <f>-(SUM([2]H9!$AO$63:$AR$63,[2]H9!$AO$67:$AR$67)/1000)/L191</f>
        <v>0.18390912345419022</v>
      </c>
      <c r="M198" s="7"/>
      <c r="N198" s="7"/>
      <c r="O198" s="26">
        <v>0.11982971375642451</v>
      </c>
      <c r="P198" s="26">
        <v>0.12707969296486946</v>
      </c>
      <c r="Q198" s="26">
        <v>0.12094511823519646</v>
      </c>
      <c r="R198" s="7"/>
      <c r="S198" s="26">
        <f>(-(SUM([2]H9!$FM$65:$FP$65)/1000)-(SUM([2]H9!$FM$61:$FP$61)/1000))/S191</f>
        <v>0.19140879938411443</v>
      </c>
      <c r="T198" s="26">
        <f>(-(SUM([2]H9!$FM$66:$FP$66)/1000)-(SUM([2]H9!$FM$62:$FP$62)/1000))/T191</f>
        <v>0.2076554344482944</v>
      </c>
      <c r="U198" s="26">
        <f>(-(SUM([2]H9!$FM$67:$FP$67)/1000)-(SUM([2]H9!$FM$63:$FP$63)/1000))/U191</f>
        <v>0.18390912345419022</v>
      </c>
      <c r="V198" s="7"/>
    </row>
    <row r="199" spans="2:33" ht="20.149999999999999" customHeight="1" x14ac:dyDescent="0.25">
      <c r="B199" s="225"/>
      <c r="C199" s="9"/>
      <c r="D199" s="16" t="s">
        <v>97</v>
      </c>
      <c r="E199" s="7"/>
      <c r="F199" s="26">
        <v>0.25626011423514444</v>
      </c>
      <c r="G199" s="26">
        <v>0.26074091044776282</v>
      </c>
      <c r="H199" s="26">
        <v>0.25756145385205492</v>
      </c>
      <c r="I199" s="7"/>
      <c r="J199" s="26">
        <f>+J197+J198</f>
        <v>0.38570239865606026</v>
      </c>
      <c r="K199" s="26">
        <f>+K197+K198</f>
        <v>0.38702998703084024</v>
      </c>
      <c r="L199" s="26">
        <f>+L197+L198</f>
        <v>0.37280489975708875</v>
      </c>
      <c r="M199" s="7"/>
      <c r="N199" s="7"/>
      <c r="O199" s="26">
        <v>0.25626011423514444</v>
      </c>
      <c r="P199" s="26">
        <v>0.26074091044776282</v>
      </c>
      <c r="Q199" s="26">
        <v>0.25756145385205492</v>
      </c>
      <c r="R199" s="7"/>
      <c r="S199" s="26">
        <f>+S197+S198</f>
        <v>0.41148593692357394</v>
      </c>
      <c r="T199" s="26">
        <f>+T197+T198</f>
        <v>0.39238032552359442</v>
      </c>
      <c r="U199" s="26">
        <f>+U197+U198</f>
        <v>0.37280489975708875</v>
      </c>
      <c r="V199" s="7"/>
    </row>
    <row r="200" spans="2:33" ht="20.149999999999999" customHeight="1" x14ac:dyDescent="0.25">
      <c r="B200" s="225"/>
      <c r="C200" s="9"/>
      <c r="D200" s="16" t="s">
        <v>90</v>
      </c>
      <c r="E200" s="7"/>
      <c r="F200" s="26"/>
      <c r="G200" s="26"/>
      <c r="H200" s="26"/>
      <c r="I200" s="7"/>
      <c r="J200" s="26">
        <f>-(SUM([2]H9!$AT$61:$BJ$61,[2]H9!$AT$65:$BJ$65)/1000)/J191</f>
        <v>0.11459993567331911</v>
      </c>
      <c r="K200" s="26">
        <f>-(SUM([2]H9!$AT$62:$BJ$62,[2]H9!$AT$66:$BJ$66)/1000)/K191</f>
        <v>0.15866281484900313</v>
      </c>
      <c r="L200" s="26">
        <f>-(SUM([2]H9!$AT$63:$BJ$63,[2]H9!$AT$67:$BJ$67)/1000)/L191</f>
        <v>7.504341627223865E-2</v>
      </c>
      <c r="M200" s="7"/>
      <c r="N200" s="7"/>
      <c r="O200" s="26"/>
      <c r="P200" s="26"/>
      <c r="Q200" s="26"/>
      <c r="R200" s="7"/>
      <c r="S200" s="26">
        <f>(-(SUM([2]H9!$FR$65:$GH$65)/1000)-(SUM([2]H9!$FR$61:$GH$61)/1000))/S191</f>
        <v>0.12205163174219219</v>
      </c>
      <c r="T200" s="26">
        <f>(-(SUM([2]H9!$FR$66:$GH$66)/1000)-(SUM([2]H9!$FR$62:$GH$62)/1000))/T191</f>
        <v>0.18913646857916522</v>
      </c>
      <c r="U200" s="26">
        <f>(-(SUM([2]H9!$FR$67:$GH$67)/1000)-(SUM([2]H9!$FR$63:$GH$63)/1000))/U191</f>
        <v>7.5043416272238636E-2</v>
      </c>
      <c r="V200" s="7"/>
    </row>
    <row r="201" spans="2:33" ht="20.149999999999999" customHeight="1" x14ac:dyDescent="0.25">
      <c r="B201" s="225"/>
      <c r="C201" s="9"/>
      <c r="D201" s="16" t="s">
        <v>79</v>
      </c>
      <c r="E201" s="8"/>
      <c r="F201" s="26">
        <v>0.85605004069332524</v>
      </c>
      <c r="G201" s="26">
        <v>0.81425669220671981</v>
      </c>
      <c r="H201" s="26">
        <v>0.89483290990595954</v>
      </c>
      <c r="I201" s="8"/>
      <c r="J201" s="26">
        <f>+J195+J196+J199+J200</f>
        <v>0.89466419314131018</v>
      </c>
      <c r="K201" s="26">
        <f>+K195+K196+K199+K200</f>
        <v>0.9470022321614594</v>
      </c>
      <c r="L201" s="26">
        <f>+L195+L196+L199+L200</f>
        <v>0.93073842159214837</v>
      </c>
      <c r="M201" s="8"/>
      <c r="N201" s="8"/>
      <c r="O201" s="26">
        <v>0.85605004069332524</v>
      </c>
      <c r="P201" s="26">
        <v>0.81425669220671981</v>
      </c>
      <c r="Q201" s="26">
        <v>0.89483290990595954</v>
      </c>
      <c r="R201" s="8"/>
      <c r="S201" s="26">
        <f>+S195+S196+S199+S200</f>
        <v>0.93041401261718648</v>
      </c>
      <c r="T201" s="26">
        <f>+T195+T196+T199+T200</f>
        <v>0.39303017645880234</v>
      </c>
      <c r="U201" s="26">
        <f>+U195+U196+U199+U200</f>
        <v>0.916160645551238</v>
      </c>
      <c r="V201" s="8"/>
    </row>
    <row r="202" spans="2:33" ht="19.5" customHeight="1" x14ac:dyDescent="0.25">
      <c r="B202" s="225"/>
      <c r="C202" s="9"/>
      <c r="D202" s="16" t="s">
        <v>34</v>
      </c>
      <c r="E202" s="6"/>
      <c r="F202" s="25">
        <v>89.239366440000083</v>
      </c>
      <c r="G202" s="25">
        <v>112.19169349000006</v>
      </c>
      <c r="H202" s="25">
        <v>64.163450784016746</v>
      </c>
      <c r="I202" s="6"/>
      <c r="J202" s="25">
        <f>((+[2]H9!$BK$65/1000)+([2]H9!$BK$61/1000))</f>
        <v>2.832577360000009</v>
      </c>
      <c r="K202" s="25">
        <f>((+[2]H9!$BK$66/1000)+([2]H9!$BK$62/1000))</f>
        <v>1.3322748699999893</v>
      </c>
      <c r="L202" s="25">
        <f>((+[2]H9!$BK$67/1000)+([2]H9!$BK$63/1000))</f>
        <v>2.0387169153153377</v>
      </c>
      <c r="M202" s="6"/>
      <c r="N202" s="6"/>
      <c r="O202" s="25">
        <v>89.239366440000083</v>
      </c>
      <c r="P202" s="25">
        <v>112.19169349000006</v>
      </c>
      <c r="Q202" s="25">
        <v>64.163450784016746</v>
      </c>
      <c r="R202" s="6"/>
      <c r="S202" s="25">
        <f>((+[2]H9!$GI$65/1000)+([2]H9!$GI$61/1000))</f>
        <v>0.64350814912832188</v>
      </c>
      <c r="T202" s="25">
        <f>((+[2]H9!$GI$66/1000)+([2]H9!$GI$62/1000))</f>
        <v>4.6598888799999996</v>
      </c>
      <c r="U202" s="25">
        <f>((+[2]H9!$GI$67/1000)+([2]H9!$GI$63/1000))</f>
        <v>0.82260474957369978</v>
      </c>
      <c r="V202" s="6"/>
      <c r="X202" s="36"/>
      <c r="Y202" s="36"/>
      <c r="Z202" s="36"/>
      <c r="AB202" s="36"/>
      <c r="AC202" s="36"/>
      <c r="AD202" s="36"/>
      <c r="AE202" s="36"/>
      <c r="AF202" s="36"/>
      <c r="AG202" s="36"/>
    </row>
    <row r="203" spans="2:33" ht="7.5" customHeight="1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2:33" ht="19.5" customHeight="1" x14ac:dyDescent="0.25">
      <c r="B204" s="224" t="s">
        <v>48</v>
      </c>
      <c r="C204" s="9"/>
      <c r="D204" s="17" t="s">
        <v>19</v>
      </c>
      <c r="E204" s="6"/>
      <c r="F204" s="23">
        <v>104.56900124000002</v>
      </c>
      <c r="G204" s="23">
        <v>86.957286909999993</v>
      </c>
      <c r="H204" s="23">
        <v>93.39937754566202</v>
      </c>
      <c r="I204" s="6"/>
      <c r="J204" s="23"/>
      <c r="K204" s="23"/>
      <c r="L204" s="23"/>
      <c r="M204" s="6"/>
      <c r="N204" s="6"/>
      <c r="O204" s="23">
        <v>104.56900124000002</v>
      </c>
      <c r="P204" s="23">
        <v>86.957286909999993</v>
      </c>
      <c r="Q204" s="23">
        <v>93.39937754566202</v>
      </c>
      <c r="R204" s="6"/>
      <c r="S204" s="23"/>
      <c r="T204" s="23"/>
      <c r="U204" s="23"/>
      <c r="V204" s="6"/>
    </row>
    <row r="205" spans="2:33" ht="20.149999999999999" customHeight="1" x14ac:dyDescent="0.25">
      <c r="B205" s="224"/>
      <c r="C205" s="9"/>
      <c r="D205" s="17" t="s">
        <v>20</v>
      </c>
      <c r="E205" s="6"/>
      <c r="F205" s="23">
        <v>96.613065600000027</v>
      </c>
      <c r="G205" s="23">
        <v>80.999779810000007</v>
      </c>
      <c r="H205" s="23">
        <v>83.735445436524415</v>
      </c>
      <c r="I205" s="6"/>
      <c r="J205" s="23"/>
      <c r="K205" s="23"/>
      <c r="L205" s="23"/>
      <c r="M205" s="6"/>
      <c r="N205" s="6"/>
      <c r="O205" s="23">
        <v>96.613065600000027</v>
      </c>
      <c r="P205" s="23">
        <v>80.999779810000007</v>
      </c>
      <c r="Q205" s="23">
        <v>83.735445436524415</v>
      </c>
      <c r="R205" s="6"/>
      <c r="S205" s="23"/>
      <c r="T205" s="23"/>
      <c r="U205" s="23"/>
      <c r="V205" s="6"/>
    </row>
    <row r="206" spans="2:33" ht="19.5" customHeight="1" x14ac:dyDescent="0.25">
      <c r="B206" s="224"/>
      <c r="C206" s="9"/>
      <c r="D206" s="17" t="s">
        <v>92</v>
      </c>
      <c r="E206" s="6"/>
      <c r="F206" s="24" t="e">
        <f>#REF!</f>
        <v>#REF!</v>
      </c>
      <c r="G206" s="24" t="e">
        <f>#REF!</f>
        <v>#REF!</v>
      </c>
      <c r="H206" s="24" t="e">
        <f>#REF!</f>
        <v>#REF!</v>
      </c>
      <c r="I206" s="6"/>
      <c r="J206" s="24"/>
      <c r="K206" s="24"/>
      <c r="L206" s="24"/>
      <c r="M206" s="6"/>
      <c r="N206" s="6"/>
      <c r="O206" s="24" t="e">
        <f>#REF!</f>
        <v>#REF!</v>
      </c>
      <c r="P206" s="24" t="e">
        <f>#REF!</f>
        <v>#REF!</v>
      </c>
      <c r="Q206" s="24" t="e">
        <f>#REF!</f>
        <v>#REF!</v>
      </c>
      <c r="R206" s="6"/>
      <c r="S206" s="24"/>
      <c r="T206" s="24"/>
      <c r="U206" s="24"/>
      <c r="V206" s="6"/>
    </row>
    <row r="207" spans="2:33" ht="19.5" customHeight="1" x14ac:dyDescent="0.25">
      <c r="B207" s="224"/>
      <c r="C207" s="9"/>
      <c r="D207" s="17" t="s">
        <v>93</v>
      </c>
      <c r="E207" s="6"/>
      <c r="F207" s="24" t="e">
        <f>#REF!</f>
        <v>#REF!</v>
      </c>
      <c r="G207" s="24" t="e">
        <f>#REF!</f>
        <v>#REF!</v>
      </c>
      <c r="H207" s="24" t="e">
        <f>#REF!</f>
        <v>#REF!</v>
      </c>
      <c r="I207" s="6"/>
      <c r="J207" s="24"/>
      <c r="K207" s="24"/>
      <c r="L207" s="24"/>
      <c r="M207" s="6"/>
      <c r="N207" s="6"/>
      <c r="O207" s="24" t="e">
        <f>#REF!</f>
        <v>#REF!</v>
      </c>
      <c r="P207" s="24" t="e">
        <f>#REF!</f>
        <v>#REF!</v>
      </c>
      <c r="Q207" s="24" t="e">
        <f>#REF!</f>
        <v>#REF!</v>
      </c>
      <c r="R207" s="6"/>
      <c r="S207" s="24"/>
      <c r="T207" s="24"/>
      <c r="U207" s="24"/>
      <c r="V207" s="6"/>
    </row>
    <row r="208" spans="2:33" ht="19.5" customHeight="1" x14ac:dyDescent="0.25">
      <c r="B208" s="224"/>
      <c r="C208" s="9"/>
      <c r="D208" s="17" t="s">
        <v>94</v>
      </c>
      <c r="E208" s="6"/>
      <c r="F208" s="24" t="e">
        <f>#REF!</f>
        <v>#REF!</v>
      </c>
      <c r="G208" s="24" t="e">
        <f>#REF!</f>
        <v>#REF!</v>
      </c>
      <c r="H208" s="24" t="e">
        <f>#REF!</f>
        <v>#REF!</v>
      </c>
      <c r="I208" s="6"/>
      <c r="J208" s="24"/>
      <c r="K208" s="24"/>
      <c r="L208" s="24"/>
      <c r="M208" s="6"/>
      <c r="N208" s="6"/>
      <c r="O208" s="24" t="e">
        <f>#REF!</f>
        <v>#REF!</v>
      </c>
      <c r="P208" s="24" t="e">
        <f>#REF!</f>
        <v>#REF!</v>
      </c>
      <c r="Q208" s="24" t="e">
        <f>#REF!</f>
        <v>#REF!</v>
      </c>
      <c r="R208" s="6"/>
      <c r="S208" s="24"/>
      <c r="T208" s="24"/>
      <c r="U208" s="24"/>
      <c r="V208" s="6"/>
    </row>
    <row r="209" spans="2:22" ht="19.5" hidden="1" customHeight="1" outlineLevel="1" x14ac:dyDescent="0.25">
      <c r="B209" s="224"/>
      <c r="C209" s="9"/>
      <c r="D209" s="17" t="s">
        <v>95</v>
      </c>
      <c r="E209" s="7"/>
      <c r="F209" s="24">
        <v>0.79243570416214992</v>
      </c>
      <c r="G209" s="24">
        <v>0.8148559316435503</v>
      </c>
      <c r="H209" s="24">
        <v>0.75170059448810467</v>
      </c>
      <c r="I209" s="7"/>
      <c r="J209" s="24"/>
      <c r="K209" s="24"/>
      <c r="L209" s="24"/>
      <c r="M209" s="7"/>
      <c r="N209" s="7"/>
      <c r="O209" s="24">
        <v>0.79243570416214992</v>
      </c>
      <c r="P209" s="24">
        <v>0.8148559316435503</v>
      </c>
      <c r="Q209" s="24">
        <v>0.75170059448810467</v>
      </c>
      <c r="R209" s="7"/>
      <c r="S209" s="24"/>
      <c r="T209" s="24"/>
      <c r="U209" s="24"/>
      <c r="V209" s="7"/>
    </row>
    <row r="210" spans="2:22" ht="20.149999999999999" customHeight="1" collapsed="1" x14ac:dyDescent="0.25">
      <c r="B210" s="224"/>
      <c r="C210" s="9"/>
      <c r="D210" s="17" t="s">
        <v>96</v>
      </c>
      <c r="E210" s="7"/>
      <c r="F210" s="24">
        <v>-1.0319356743400948E-2</v>
      </c>
      <c r="G210" s="24">
        <v>1.8135499546365962E-2</v>
      </c>
      <c r="H210" s="24">
        <v>0</v>
      </c>
      <c r="I210" s="7"/>
      <c r="J210" s="24"/>
      <c r="K210" s="24"/>
      <c r="L210" s="24"/>
      <c r="M210" s="7"/>
      <c r="N210" s="7"/>
      <c r="O210" s="24">
        <v>-1.0319356743400948E-2</v>
      </c>
      <c r="P210" s="24">
        <v>1.8135499546365962E-2</v>
      </c>
      <c r="Q210" s="24">
        <v>0</v>
      </c>
      <c r="R210" s="7"/>
      <c r="S210" s="24"/>
      <c r="T210" s="24"/>
      <c r="U210" s="24"/>
      <c r="V210" s="7"/>
    </row>
    <row r="211" spans="2:22" ht="20.149999999999999" hidden="1" customHeight="1" outlineLevel="1" x14ac:dyDescent="0.25">
      <c r="B211" s="224"/>
      <c r="C211" s="9"/>
      <c r="D211" s="18" t="s">
        <v>87</v>
      </c>
      <c r="E211" s="7"/>
      <c r="F211" s="24">
        <v>5.3524374761171015E-2</v>
      </c>
      <c r="G211" s="24">
        <v>5.8053249663519033E-2</v>
      </c>
      <c r="H211" s="24">
        <v>5.3861513322713016E-2</v>
      </c>
      <c r="I211" s="7"/>
      <c r="J211" s="24"/>
      <c r="K211" s="24"/>
      <c r="L211" s="24"/>
      <c r="M211" s="7"/>
      <c r="N211" s="7"/>
      <c r="O211" s="24">
        <v>5.3524374761171015E-2</v>
      </c>
      <c r="P211" s="24">
        <v>5.8053249663519033E-2</v>
      </c>
      <c r="Q211" s="24">
        <v>5.3861513322713016E-2</v>
      </c>
      <c r="R211" s="7"/>
      <c r="S211" s="24"/>
      <c r="T211" s="24"/>
      <c r="U211" s="24"/>
      <c r="V211" s="7"/>
    </row>
    <row r="212" spans="2:22" ht="19.5" hidden="1" customHeight="1" outlineLevel="1" x14ac:dyDescent="0.25">
      <c r="B212" s="224"/>
      <c r="C212" s="9"/>
      <c r="D212" s="18" t="s">
        <v>88</v>
      </c>
      <c r="E212" s="7"/>
      <c r="F212" s="24">
        <v>9.9075295256959517E-2</v>
      </c>
      <c r="G212" s="24">
        <v>0.11209148693116676</v>
      </c>
      <c r="H212" s="24">
        <v>0.11658092181995375</v>
      </c>
      <c r="I212" s="7"/>
      <c r="J212" s="24"/>
      <c r="K212" s="24"/>
      <c r="L212" s="24"/>
      <c r="M212" s="7"/>
      <c r="N212" s="7"/>
      <c r="O212" s="24">
        <v>9.9075295256959517E-2</v>
      </c>
      <c r="P212" s="24">
        <v>0.11209148693116676</v>
      </c>
      <c r="Q212" s="24">
        <v>0.11658092181995375</v>
      </c>
      <c r="R212" s="7"/>
      <c r="S212" s="24"/>
      <c r="T212" s="24"/>
      <c r="U212" s="24"/>
      <c r="V212" s="7"/>
    </row>
    <row r="213" spans="2:22" ht="20.149999999999999" customHeight="1" collapsed="1" x14ac:dyDescent="0.25">
      <c r="B213" s="224"/>
      <c r="C213" s="9"/>
      <c r="D213" s="17" t="s">
        <v>97</v>
      </c>
      <c r="E213" s="7"/>
      <c r="F213" s="24">
        <v>0.15259967001813052</v>
      </c>
      <c r="G213" s="24">
        <v>0.17014473659468576</v>
      </c>
      <c r="H213" s="24">
        <v>0.17044243514266674</v>
      </c>
      <c r="I213" s="7"/>
      <c r="J213" s="24"/>
      <c r="K213" s="24"/>
      <c r="L213" s="24"/>
      <c r="M213" s="7"/>
      <c r="N213" s="7"/>
      <c r="O213" s="24">
        <v>0.15259967001813052</v>
      </c>
      <c r="P213" s="24">
        <v>0.17014473659468576</v>
      </c>
      <c r="Q213" s="24">
        <v>0.17044243514266674</v>
      </c>
      <c r="R213" s="7"/>
      <c r="S213" s="24"/>
      <c r="T213" s="24"/>
      <c r="U213" s="24"/>
      <c r="V213" s="7"/>
    </row>
    <row r="214" spans="2:22" ht="20.149999999999999" customHeight="1" x14ac:dyDescent="0.25">
      <c r="B214" s="224"/>
      <c r="C214" s="9"/>
      <c r="D214" s="17" t="s">
        <v>90</v>
      </c>
      <c r="E214" s="7"/>
      <c r="F214" s="24"/>
      <c r="G214" s="24"/>
      <c r="H214" s="24"/>
      <c r="I214" s="7"/>
      <c r="J214" s="24"/>
      <c r="K214" s="24"/>
      <c r="L214" s="24"/>
      <c r="M214" s="7"/>
      <c r="N214" s="7"/>
      <c r="O214" s="24"/>
      <c r="P214" s="24"/>
      <c r="Q214" s="24"/>
      <c r="R214" s="7"/>
      <c r="S214" s="24"/>
      <c r="T214" s="24"/>
      <c r="U214" s="24"/>
      <c r="V214" s="7"/>
    </row>
    <row r="215" spans="2:22" ht="20.149999999999999" customHeight="1" x14ac:dyDescent="0.25">
      <c r="B215" s="224"/>
      <c r="C215" s="9"/>
      <c r="D215" s="17" t="s">
        <v>79</v>
      </c>
      <c r="E215" s="8"/>
      <c r="F215" s="24">
        <v>0.93471601743687949</v>
      </c>
      <c r="G215" s="24">
        <v>1.003136167784602</v>
      </c>
      <c r="H215" s="24">
        <v>0.92214302963077155</v>
      </c>
      <c r="I215" s="8"/>
      <c r="J215" s="24"/>
      <c r="K215" s="24"/>
      <c r="L215" s="24"/>
      <c r="M215" s="8"/>
      <c r="N215" s="8"/>
      <c r="O215" s="24">
        <v>0.93471601743687949</v>
      </c>
      <c r="P215" s="24">
        <v>1.003136167784602</v>
      </c>
      <c r="Q215" s="24">
        <v>0.92214302963077155</v>
      </c>
      <c r="R215" s="8"/>
      <c r="S215" s="24"/>
      <c r="T215" s="24"/>
      <c r="U215" s="24"/>
      <c r="V215" s="8"/>
    </row>
    <row r="216" spans="2:22" ht="19.5" customHeight="1" x14ac:dyDescent="0.25">
      <c r="B216" s="224"/>
      <c r="C216" s="9"/>
      <c r="D216" s="17" t="s">
        <v>34</v>
      </c>
      <c r="E216" s="6"/>
      <c r="F216" s="23">
        <v>6.3072856900000263</v>
      </c>
      <c r="G216" s="23">
        <v>-0.25402889999998773</v>
      </c>
      <c r="H216" s="23">
        <v>6.5193880942056417</v>
      </c>
      <c r="I216" s="6"/>
      <c r="J216" s="23"/>
      <c r="K216" s="23"/>
      <c r="L216" s="23"/>
      <c r="M216" s="6"/>
      <c r="N216" s="6"/>
      <c r="O216" s="23">
        <v>6.3072856900000263</v>
      </c>
      <c r="P216" s="23">
        <v>-0.25402889999998773</v>
      </c>
      <c r="Q216" s="23">
        <v>6.5193880942056417</v>
      </c>
      <c r="R216" s="6"/>
      <c r="S216" s="23"/>
      <c r="T216" s="23"/>
      <c r="U216" s="23"/>
      <c r="V216" s="6"/>
    </row>
    <row r="217" spans="2:22" ht="7.5" customHeight="1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2:22" ht="19.5" customHeight="1" x14ac:dyDescent="0.25">
      <c r="B218" s="224" t="s">
        <v>49</v>
      </c>
      <c r="C218" s="9"/>
      <c r="D218" s="17" t="s">
        <v>19</v>
      </c>
      <c r="E218" s="6"/>
      <c r="F218" s="23">
        <v>0</v>
      </c>
      <c r="G218" s="23">
        <v>0</v>
      </c>
      <c r="H218" s="23">
        <v>0</v>
      </c>
      <c r="I218" s="6"/>
      <c r="J218" s="23"/>
      <c r="K218" s="23"/>
      <c r="L218" s="23"/>
      <c r="M218" s="6"/>
      <c r="N218" s="6"/>
      <c r="O218" s="23"/>
      <c r="P218" s="23"/>
      <c r="Q218" s="23"/>
      <c r="R218" s="6"/>
      <c r="S218" s="23"/>
      <c r="T218" s="23"/>
      <c r="U218" s="23"/>
      <c r="V218" s="6"/>
    </row>
    <row r="219" spans="2:22" ht="20.149999999999999" customHeight="1" x14ac:dyDescent="0.25">
      <c r="B219" s="224"/>
      <c r="C219" s="9"/>
      <c r="D219" s="17" t="s">
        <v>20</v>
      </c>
      <c r="E219" s="6"/>
      <c r="F219" s="23">
        <v>0</v>
      </c>
      <c r="G219" s="23">
        <v>0</v>
      </c>
      <c r="H219" s="23">
        <v>0</v>
      </c>
      <c r="I219" s="6"/>
      <c r="J219" s="23"/>
      <c r="K219" s="23"/>
      <c r="L219" s="23"/>
      <c r="M219" s="6"/>
      <c r="N219" s="6"/>
      <c r="O219" s="23"/>
      <c r="P219" s="23"/>
      <c r="Q219" s="23"/>
      <c r="R219" s="6"/>
      <c r="S219" s="23"/>
      <c r="T219" s="23"/>
      <c r="U219" s="23"/>
      <c r="V219" s="6"/>
    </row>
    <row r="220" spans="2:22" ht="19.5" customHeight="1" x14ac:dyDescent="0.25">
      <c r="B220" s="224"/>
      <c r="C220" s="9"/>
      <c r="D220" s="17" t="s">
        <v>92</v>
      </c>
      <c r="E220" s="6"/>
      <c r="F220" s="24">
        <f>0</f>
        <v>0</v>
      </c>
      <c r="G220" s="24">
        <f>0</f>
        <v>0</v>
      </c>
      <c r="H220" s="24">
        <f>0</f>
        <v>0</v>
      </c>
      <c r="I220" s="6"/>
      <c r="J220" s="24"/>
      <c r="K220" s="24"/>
      <c r="L220" s="24"/>
      <c r="M220" s="6"/>
      <c r="N220" s="6"/>
      <c r="O220" s="24"/>
      <c r="P220" s="24"/>
      <c r="Q220" s="24"/>
      <c r="R220" s="6"/>
      <c r="S220" s="24"/>
      <c r="T220" s="24"/>
      <c r="U220" s="24"/>
      <c r="V220" s="6"/>
    </row>
    <row r="221" spans="2:22" ht="19.5" customHeight="1" x14ac:dyDescent="0.25">
      <c r="B221" s="224"/>
      <c r="C221" s="9"/>
      <c r="D221" s="17" t="s">
        <v>93</v>
      </c>
      <c r="E221" s="6"/>
      <c r="F221" s="24">
        <f>0</f>
        <v>0</v>
      </c>
      <c r="G221" s="24">
        <f>0</f>
        <v>0</v>
      </c>
      <c r="H221" s="24">
        <f>0</f>
        <v>0</v>
      </c>
      <c r="I221" s="6"/>
      <c r="J221" s="24"/>
      <c r="K221" s="24"/>
      <c r="L221" s="24"/>
      <c r="M221" s="6"/>
      <c r="N221" s="6"/>
      <c r="O221" s="24"/>
      <c r="P221" s="24"/>
      <c r="Q221" s="24"/>
      <c r="R221" s="6"/>
      <c r="S221" s="24"/>
      <c r="T221" s="24"/>
      <c r="U221" s="24"/>
      <c r="V221" s="6"/>
    </row>
    <row r="222" spans="2:22" ht="19.5" customHeight="1" x14ac:dyDescent="0.25">
      <c r="B222" s="224"/>
      <c r="C222" s="9"/>
      <c r="D222" s="17" t="s">
        <v>94</v>
      </c>
      <c r="E222" s="6"/>
      <c r="F222" s="24">
        <f>0</f>
        <v>0</v>
      </c>
      <c r="G222" s="24">
        <f>0</f>
        <v>0</v>
      </c>
      <c r="H222" s="24">
        <f>0</f>
        <v>0</v>
      </c>
      <c r="I222" s="6"/>
      <c r="J222" s="24"/>
      <c r="K222" s="24"/>
      <c r="L222" s="24"/>
      <c r="M222" s="6"/>
      <c r="N222" s="6"/>
      <c r="O222" s="24"/>
      <c r="P222" s="24"/>
      <c r="Q222" s="24"/>
      <c r="R222" s="6"/>
      <c r="S222" s="24"/>
      <c r="T222" s="24"/>
      <c r="U222" s="24"/>
      <c r="V222" s="6"/>
    </row>
    <row r="223" spans="2:22" ht="19.5" hidden="1" customHeight="1" outlineLevel="1" x14ac:dyDescent="0.25">
      <c r="B223" s="224"/>
      <c r="C223" s="9"/>
      <c r="D223" s="17" t="s">
        <v>95</v>
      </c>
      <c r="E223" s="7"/>
      <c r="F223" s="24">
        <v>0</v>
      </c>
      <c r="G223" s="24">
        <v>0</v>
      </c>
      <c r="H223" s="24">
        <v>0</v>
      </c>
      <c r="I223" s="7"/>
      <c r="J223" s="24"/>
      <c r="K223" s="24"/>
      <c r="L223" s="24"/>
      <c r="M223" s="7"/>
      <c r="N223" s="7"/>
      <c r="O223" s="24"/>
      <c r="P223" s="24"/>
      <c r="Q223" s="24"/>
      <c r="R223" s="7"/>
      <c r="S223" s="24"/>
      <c r="T223" s="24"/>
      <c r="U223" s="24"/>
      <c r="V223" s="7"/>
    </row>
    <row r="224" spans="2:22" ht="20.149999999999999" customHeight="1" collapsed="1" x14ac:dyDescent="0.25">
      <c r="B224" s="224"/>
      <c r="C224" s="9"/>
      <c r="D224" s="17" t="s">
        <v>96</v>
      </c>
      <c r="E224" s="7"/>
      <c r="F224" s="24">
        <v>0</v>
      </c>
      <c r="G224" s="24">
        <v>0</v>
      </c>
      <c r="H224" s="24">
        <v>0</v>
      </c>
      <c r="I224" s="7"/>
      <c r="J224" s="24"/>
      <c r="K224" s="24"/>
      <c r="L224" s="24"/>
      <c r="M224" s="7"/>
      <c r="N224" s="7"/>
      <c r="O224" s="24"/>
      <c r="P224" s="24"/>
      <c r="Q224" s="24"/>
      <c r="R224" s="7"/>
      <c r="S224" s="24"/>
      <c r="T224" s="24"/>
      <c r="U224" s="24"/>
      <c r="V224" s="7"/>
    </row>
    <row r="225" spans="2:22" ht="20.149999999999999" hidden="1" customHeight="1" outlineLevel="1" x14ac:dyDescent="0.25">
      <c r="B225" s="224"/>
      <c r="C225" s="9"/>
      <c r="D225" s="18" t="s">
        <v>87</v>
      </c>
      <c r="E225" s="7"/>
      <c r="F225" s="24">
        <v>0</v>
      </c>
      <c r="G225" s="24">
        <v>0</v>
      </c>
      <c r="H225" s="24">
        <v>0</v>
      </c>
      <c r="I225" s="7"/>
      <c r="J225" s="24"/>
      <c r="K225" s="24"/>
      <c r="L225" s="24"/>
      <c r="M225" s="7"/>
      <c r="N225" s="7"/>
      <c r="O225" s="24"/>
      <c r="P225" s="24"/>
      <c r="Q225" s="24"/>
      <c r="R225" s="7"/>
      <c r="S225" s="24"/>
      <c r="T225" s="24"/>
      <c r="U225" s="24"/>
      <c r="V225" s="7"/>
    </row>
    <row r="226" spans="2:22" ht="19.5" hidden="1" customHeight="1" outlineLevel="1" x14ac:dyDescent="0.25">
      <c r="B226" s="224"/>
      <c r="C226" s="9"/>
      <c r="D226" s="18" t="s">
        <v>88</v>
      </c>
      <c r="E226" s="7"/>
      <c r="F226" s="24">
        <v>0</v>
      </c>
      <c r="G226" s="24">
        <v>0</v>
      </c>
      <c r="H226" s="24">
        <v>0</v>
      </c>
      <c r="I226" s="7"/>
      <c r="J226" s="24"/>
      <c r="K226" s="24"/>
      <c r="L226" s="24"/>
      <c r="M226" s="7"/>
      <c r="N226" s="7"/>
      <c r="O226" s="24"/>
      <c r="P226" s="24"/>
      <c r="Q226" s="24"/>
      <c r="R226" s="7"/>
      <c r="S226" s="24"/>
      <c r="T226" s="24"/>
      <c r="U226" s="24"/>
      <c r="V226" s="7"/>
    </row>
    <row r="227" spans="2:22" ht="20.149999999999999" customHeight="1" collapsed="1" x14ac:dyDescent="0.25">
      <c r="B227" s="224"/>
      <c r="C227" s="9"/>
      <c r="D227" s="17" t="s">
        <v>97</v>
      </c>
      <c r="E227" s="7"/>
      <c r="F227" s="24">
        <v>0</v>
      </c>
      <c r="G227" s="24">
        <v>0</v>
      </c>
      <c r="H227" s="24">
        <v>0</v>
      </c>
      <c r="I227" s="7"/>
      <c r="J227" s="24"/>
      <c r="K227" s="24"/>
      <c r="L227" s="24"/>
      <c r="M227" s="7"/>
      <c r="N227" s="7"/>
      <c r="O227" s="24"/>
      <c r="P227" s="24"/>
      <c r="Q227" s="24"/>
      <c r="R227" s="7"/>
      <c r="S227" s="24"/>
      <c r="T227" s="24"/>
      <c r="U227" s="24"/>
      <c r="V227" s="7"/>
    </row>
    <row r="228" spans="2:22" ht="20.149999999999999" customHeight="1" x14ac:dyDescent="0.25">
      <c r="B228" s="224"/>
      <c r="C228" s="9"/>
      <c r="D228" s="17" t="s">
        <v>90</v>
      </c>
      <c r="E228" s="7"/>
      <c r="F228" s="24"/>
      <c r="G228" s="24"/>
      <c r="H228" s="24"/>
      <c r="I228" s="7"/>
      <c r="J228" s="24"/>
      <c r="K228" s="24"/>
      <c r="L228" s="24"/>
      <c r="M228" s="7"/>
      <c r="N228" s="7"/>
      <c r="O228" s="24"/>
      <c r="P228" s="24"/>
      <c r="Q228" s="24"/>
      <c r="R228" s="7"/>
      <c r="S228" s="24"/>
      <c r="T228" s="24"/>
      <c r="U228" s="24"/>
      <c r="V228" s="7"/>
    </row>
    <row r="229" spans="2:22" ht="20.149999999999999" customHeight="1" x14ac:dyDescent="0.25">
      <c r="B229" s="224"/>
      <c r="C229" s="9"/>
      <c r="D229" s="17" t="s">
        <v>79</v>
      </c>
      <c r="E229" s="8"/>
      <c r="F229" s="24">
        <v>0</v>
      </c>
      <c r="G229" s="24">
        <v>0</v>
      </c>
      <c r="H229" s="24">
        <v>0</v>
      </c>
      <c r="I229" s="8"/>
      <c r="J229" s="24"/>
      <c r="K229" s="24"/>
      <c r="L229" s="24"/>
      <c r="M229" s="8"/>
      <c r="N229" s="8"/>
      <c r="O229" s="24"/>
      <c r="P229" s="24"/>
      <c r="Q229" s="24"/>
      <c r="R229" s="8"/>
      <c r="S229" s="24"/>
      <c r="T229" s="24"/>
      <c r="U229" s="24"/>
      <c r="V229" s="8"/>
    </row>
    <row r="230" spans="2:22" ht="19.5" customHeight="1" x14ac:dyDescent="0.25">
      <c r="B230" s="224"/>
      <c r="C230" s="9"/>
      <c r="D230" s="17" t="s">
        <v>34</v>
      </c>
      <c r="E230" s="6"/>
      <c r="F230" s="23">
        <v>0</v>
      </c>
      <c r="G230" s="23">
        <v>0</v>
      </c>
      <c r="H230" s="23">
        <v>0</v>
      </c>
      <c r="I230" s="6"/>
      <c r="J230" s="23"/>
      <c r="K230" s="23"/>
      <c r="L230" s="23"/>
      <c r="M230" s="6"/>
      <c r="N230" s="6"/>
      <c r="O230" s="23"/>
      <c r="P230" s="23"/>
      <c r="Q230" s="23"/>
      <c r="R230" s="6"/>
      <c r="S230" s="23"/>
      <c r="T230" s="23"/>
      <c r="U230" s="23"/>
      <c r="V230" s="6"/>
    </row>
    <row r="231" spans="2:22" ht="7.5" hidden="1" customHeight="1" outlineLevel="1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2:22" ht="19.5" hidden="1" customHeight="1" outlineLevel="1" x14ac:dyDescent="0.25">
      <c r="B232" s="224" t="s">
        <v>50</v>
      </c>
      <c r="C232" s="9"/>
      <c r="D232" s="17" t="s">
        <v>19</v>
      </c>
      <c r="E232" s="6"/>
      <c r="F232" s="23"/>
      <c r="G232" s="23"/>
      <c r="H232" s="23"/>
      <c r="I232" s="6"/>
      <c r="J232" s="23"/>
      <c r="K232" s="23"/>
      <c r="L232" s="23"/>
      <c r="M232" s="6"/>
      <c r="N232" s="6"/>
      <c r="O232" s="23"/>
      <c r="P232" s="23"/>
      <c r="Q232" s="23"/>
      <c r="R232" s="6"/>
      <c r="S232" s="23"/>
      <c r="T232" s="23"/>
      <c r="U232" s="23"/>
      <c r="V232" s="6"/>
    </row>
    <row r="233" spans="2:22" ht="20.149999999999999" hidden="1" customHeight="1" outlineLevel="1" x14ac:dyDescent="0.25">
      <c r="B233" s="224"/>
      <c r="C233" s="9"/>
      <c r="D233" s="17" t="s">
        <v>20</v>
      </c>
      <c r="E233" s="6"/>
      <c r="F233" s="23"/>
      <c r="G233" s="23"/>
      <c r="H233" s="23"/>
      <c r="I233" s="6"/>
      <c r="J233" s="23"/>
      <c r="K233" s="23"/>
      <c r="L233" s="23"/>
      <c r="M233" s="6"/>
      <c r="N233" s="6"/>
      <c r="O233" s="23"/>
      <c r="P233" s="23"/>
      <c r="Q233" s="23"/>
      <c r="R233" s="6"/>
      <c r="S233" s="23"/>
      <c r="T233" s="23"/>
      <c r="U233" s="23"/>
      <c r="V233" s="6"/>
    </row>
    <row r="234" spans="2:22" ht="19.5" hidden="1" customHeight="1" outlineLevel="1" x14ac:dyDescent="0.25">
      <c r="B234" s="224"/>
      <c r="C234" s="9"/>
      <c r="D234" s="17" t="s">
        <v>92</v>
      </c>
      <c r="E234" s="6"/>
      <c r="F234" s="24"/>
      <c r="G234" s="24"/>
      <c r="H234" s="24"/>
      <c r="I234" s="6"/>
      <c r="J234" s="24"/>
      <c r="K234" s="24"/>
      <c r="L234" s="24"/>
      <c r="M234" s="6"/>
      <c r="N234" s="6"/>
      <c r="O234" s="24"/>
      <c r="P234" s="24"/>
      <c r="Q234" s="24"/>
      <c r="R234" s="6"/>
      <c r="S234" s="24"/>
      <c r="T234" s="24"/>
      <c r="U234" s="24"/>
      <c r="V234" s="6"/>
    </row>
    <row r="235" spans="2:22" ht="19.5" hidden="1" customHeight="1" outlineLevel="1" x14ac:dyDescent="0.25">
      <c r="B235" s="224"/>
      <c r="C235" s="9"/>
      <c r="D235" s="17" t="s">
        <v>93</v>
      </c>
      <c r="E235" s="6"/>
      <c r="F235" s="24"/>
      <c r="G235" s="24"/>
      <c r="H235" s="24"/>
      <c r="I235" s="6"/>
      <c r="J235" s="24"/>
      <c r="K235" s="24"/>
      <c r="L235" s="24"/>
      <c r="M235" s="6"/>
      <c r="N235" s="6"/>
      <c r="O235" s="24"/>
      <c r="P235" s="24"/>
      <c r="Q235" s="24"/>
      <c r="R235" s="6"/>
      <c r="S235" s="24"/>
      <c r="T235" s="24"/>
      <c r="U235" s="24"/>
      <c r="V235" s="6"/>
    </row>
    <row r="236" spans="2:22" ht="19.5" hidden="1" customHeight="1" outlineLevel="1" x14ac:dyDescent="0.25">
      <c r="B236" s="224"/>
      <c r="C236" s="9"/>
      <c r="D236" s="17" t="s">
        <v>94</v>
      </c>
      <c r="E236" s="6"/>
      <c r="F236" s="24"/>
      <c r="G236" s="24"/>
      <c r="H236" s="24"/>
      <c r="I236" s="6"/>
      <c r="J236" s="24"/>
      <c r="K236" s="24"/>
      <c r="L236" s="24"/>
      <c r="M236" s="6"/>
      <c r="N236" s="6"/>
      <c r="O236" s="24"/>
      <c r="P236" s="24"/>
      <c r="Q236" s="24"/>
      <c r="R236" s="6"/>
      <c r="S236" s="24"/>
      <c r="T236" s="24"/>
      <c r="U236" s="24"/>
      <c r="V236" s="6"/>
    </row>
    <row r="237" spans="2:22" ht="19.5" hidden="1" customHeight="1" outlineLevel="2" x14ac:dyDescent="0.25">
      <c r="B237" s="224"/>
      <c r="C237" s="9"/>
      <c r="D237" s="17" t="s">
        <v>95</v>
      </c>
      <c r="E237" s="7"/>
      <c r="F237" s="24"/>
      <c r="G237" s="24"/>
      <c r="H237" s="24"/>
      <c r="I237" s="7"/>
      <c r="J237" s="24"/>
      <c r="K237" s="24"/>
      <c r="L237" s="24"/>
      <c r="M237" s="7"/>
      <c r="N237" s="7"/>
      <c r="O237" s="24"/>
      <c r="P237" s="24"/>
      <c r="Q237" s="24"/>
      <c r="R237" s="7"/>
      <c r="S237" s="24"/>
      <c r="T237" s="24"/>
      <c r="U237" s="24"/>
      <c r="V237" s="7"/>
    </row>
    <row r="238" spans="2:22" ht="20.149999999999999" hidden="1" customHeight="1" outlineLevel="1" x14ac:dyDescent="0.25">
      <c r="B238" s="224"/>
      <c r="C238" s="9"/>
      <c r="D238" s="17" t="s">
        <v>96</v>
      </c>
      <c r="E238" s="7"/>
      <c r="F238" s="24"/>
      <c r="G238" s="24"/>
      <c r="H238" s="24"/>
      <c r="I238" s="7"/>
      <c r="J238" s="24"/>
      <c r="K238" s="24"/>
      <c r="L238" s="24"/>
      <c r="M238" s="7"/>
      <c r="N238" s="7"/>
      <c r="O238" s="24"/>
      <c r="P238" s="24"/>
      <c r="Q238" s="24"/>
      <c r="R238" s="7"/>
      <c r="S238" s="24"/>
      <c r="T238" s="24"/>
      <c r="U238" s="24"/>
      <c r="V238" s="7"/>
    </row>
    <row r="239" spans="2:22" ht="20.149999999999999" hidden="1" customHeight="1" outlineLevel="2" x14ac:dyDescent="0.25">
      <c r="B239" s="224"/>
      <c r="C239" s="9"/>
      <c r="D239" s="18" t="s">
        <v>87</v>
      </c>
      <c r="E239" s="7"/>
      <c r="F239" s="24"/>
      <c r="G239" s="24"/>
      <c r="H239" s="24"/>
      <c r="I239" s="7"/>
      <c r="J239" s="24"/>
      <c r="K239" s="24"/>
      <c r="L239" s="24"/>
      <c r="M239" s="7"/>
      <c r="N239" s="7"/>
      <c r="O239" s="24"/>
      <c r="P239" s="24"/>
      <c r="Q239" s="24"/>
      <c r="R239" s="7"/>
      <c r="S239" s="24"/>
      <c r="T239" s="24"/>
      <c r="U239" s="24"/>
      <c r="V239" s="7"/>
    </row>
    <row r="240" spans="2:22" ht="19.5" hidden="1" customHeight="1" outlineLevel="2" x14ac:dyDescent="0.25">
      <c r="B240" s="224"/>
      <c r="C240" s="9"/>
      <c r="D240" s="18" t="s">
        <v>88</v>
      </c>
      <c r="E240" s="7"/>
      <c r="F240" s="24"/>
      <c r="G240" s="24"/>
      <c r="H240" s="24"/>
      <c r="I240" s="7"/>
      <c r="J240" s="24"/>
      <c r="K240" s="24"/>
      <c r="L240" s="24"/>
      <c r="M240" s="7"/>
      <c r="N240" s="7"/>
      <c r="O240" s="24"/>
      <c r="P240" s="24"/>
      <c r="Q240" s="24"/>
      <c r="R240" s="7"/>
      <c r="S240" s="24"/>
      <c r="T240" s="24"/>
      <c r="U240" s="24"/>
      <c r="V240" s="7"/>
    </row>
    <row r="241" spans="2:22" ht="20.149999999999999" hidden="1" customHeight="1" outlineLevel="1" x14ac:dyDescent="0.25">
      <c r="B241" s="224"/>
      <c r="C241" s="9"/>
      <c r="D241" s="17" t="s">
        <v>97</v>
      </c>
      <c r="E241" s="7"/>
      <c r="F241" s="24"/>
      <c r="G241" s="24"/>
      <c r="H241" s="24"/>
      <c r="I241" s="7"/>
      <c r="J241" s="24"/>
      <c r="K241" s="24"/>
      <c r="L241" s="24"/>
      <c r="M241" s="7"/>
      <c r="N241" s="7"/>
      <c r="O241" s="24"/>
      <c r="P241" s="24"/>
      <c r="Q241" s="24"/>
      <c r="R241" s="7"/>
      <c r="S241" s="24"/>
      <c r="T241" s="24"/>
      <c r="U241" s="24"/>
      <c r="V241" s="7"/>
    </row>
    <row r="242" spans="2:22" ht="20.149999999999999" hidden="1" customHeight="1" outlineLevel="1" x14ac:dyDescent="0.25">
      <c r="B242" s="224"/>
      <c r="C242" s="9"/>
      <c r="D242" s="17" t="s">
        <v>90</v>
      </c>
      <c r="E242" s="7"/>
      <c r="F242" s="24"/>
      <c r="G242" s="24"/>
      <c r="H242" s="24"/>
      <c r="I242" s="7"/>
      <c r="J242" s="24"/>
      <c r="K242" s="24"/>
      <c r="L242" s="24"/>
      <c r="M242" s="7"/>
      <c r="N242" s="7"/>
      <c r="O242" s="24"/>
      <c r="P242" s="24"/>
      <c r="Q242" s="24"/>
      <c r="R242" s="7"/>
      <c r="S242" s="24"/>
      <c r="T242" s="24"/>
      <c r="U242" s="24"/>
      <c r="V242" s="7"/>
    </row>
    <row r="243" spans="2:22" ht="20.149999999999999" hidden="1" customHeight="1" outlineLevel="1" x14ac:dyDescent="0.25">
      <c r="B243" s="224"/>
      <c r="C243" s="9"/>
      <c r="D243" s="17" t="s">
        <v>79</v>
      </c>
      <c r="E243" s="8"/>
      <c r="F243" s="24"/>
      <c r="G243" s="24"/>
      <c r="H243" s="24"/>
      <c r="I243" s="8"/>
      <c r="J243" s="24"/>
      <c r="K243" s="24"/>
      <c r="L243" s="24"/>
      <c r="M243" s="8"/>
      <c r="N243" s="8"/>
      <c r="O243" s="24"/>
      <c r="P243" s="24"/>
      <c r="Q243" s="24"/>
      <c r="R243" s="8"/>
      <c r="S243" s="24"/>
      <c r="T243" s="24"/>
      <c r="U243" s="24"/>
      <c r="V243" s="8"/>
    </row>
    <row r="244" spans="2:22" ht="19.5" hidden="1" customHeight="1" outlineLevel="1" x14ac:dyDescent="0.25">
      <c r="B244" s="224"/>
      <c r="C244" s="9"/>
      <c r="D244" s="17" t="s">
        <v>34</v>
      </c>
      <c r="E244" s="6"/>
      <c r="F244" s="23"/>
      <c r="G244" s="23"/>
      <c r="H244" s="23"/>
      <c r="I244" s="6"/>
      <c r="J244" s="23"/>
      <c r="K244" s="23"/>
      <c r="L244" s="23"/>
      <c r="M244" s="6"/>
      <c r="N244" s="6"/>
      <c r="O244" s="23"/>
      <c r="P244" s="23"/>
      <c r="Q244" s="23"/>
      <c r="R244" s="6"/>
      <c r="S244" s="23"/>
      <c r="T244" s="23"/>
      <c r="U244" s="23"/>
      <c r="V244" s="6"/>
    </row>
    <row r="245" spans="2:22" ht="7.5" hidden="1" customHeight="1" outlineLevel="1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2:22" ht="19.5" hidden="1" customHeight="1" outlineLevel="1" x14ac:dyDescent="0.25">
      <c r="B246" s="224" t="s">
        <v>51</v>
      </c>
      <c r="C246" s="9"/>
      <c r="D246" s="17" t="s">
        <v>19</v>
      </c>
      <c r="E246" s="6"/>
      <c r="F246" s="23"/>
      <c r="G246" s="23"/>
      <c r="H246" s="23"/>
      <c r="I246" s="6"/>
      <c r="J246" s="23"/>
      <c r="K246" s="23"/>
      <c r="L246" s="23"/>
      <c r="M246" s="6"/>
      <c r="N246" s="6"/>
      <c r="O246" s="23"/>
      <c r="P246" s="23"/>
      <c r="Q246" s="23"/>
      <c r="R246" s="6"/>
      <c r="S246" s="23"/>
      <c r="T246" s="23"/>
      <c r="U246" s="23"/>
      <c r="V246" s="6"/>
    </row>
    <row r="247" spans="2:22" ht="20.149999999999999" hidden="1" customHeight="1" outlineLevel="1" x14ac:dyDescent="0.25">
      <c r="B247" s="224"/>
      <c r="C247" s="9"/>
      <c r="D247" s="17" t="s">
        <v>20</v>
      </c>
      <c r="E247" s="6"/>
      <c r="F247" s="23"/>
      <c r="G247" s="23"/>
      <c r="H247" s="23"/>
      <c r="I247" s="6"/>
      <c r="J247" s="23"/>
      <c r="K247" s="23"/>
      <c r="L247" s="23"/>
      <c r="M247" s="6"/>
      <c r="N247" s="6"/>
      <c r="O247" s="23"/>
      <c r="P247" s="23"/>
      <c r="Q247" s="23"/>
      <c r="R247" s="6"/>
      <c r="S247" s="23"/>
      <c r="T247" s="23"/>
      <c r="U247" s="23"/>
      <c r="V247" s="6"/>
    </row>
    <row r="248" spans="2:22" ht="19.5" hidden="1" customHeight="1" outlineLevel="1" x14ac:dyDescent="0.25">
      <c r="B248" s="224"/>
      <c r="C248" s="9"/>
      <c r="D248" s="17" t="s">
        <v>92</v>
      </c>
      <c r="E248" s="6"/>
      <c r="F248" s="24"/>
      <c r="G248" s="24"/>
      <c r="H248" s="24"/>
      <c r="I248" s="6"/>
      <c r="J248" s="24"/>
      <c r="K248" s="24"/>
      <c r="L248" s="24"/>
      <c r="M248" s="6"/>
      <c r="N248" s="6"/>
      <c r="O248" s="24"/>
      <c r="P248" s="24"/>
      <c r="Q248" s="24"/>
      <c r="R248" s="6"/>
      <c r="S248" s="24"/>
      <c r="T248" s="24"/>
      <c r="U248" s="24"/>
      <c r="V248" s="6"/>
    </row>
    <row r="249" spans="2:22" ht="19.5" hidden="1" customHeight="1" outlineLevel="1" x14ac:dyDescent="0.25">
      <c r="B249" s="224"/>
      <c r="C249" s="9"/>
      <c r="D249" s="17" t="s">
        <v>93</v>
      </c>
      <c r="E249" s="6"/>
      <c r="F249" s="24"/>
      <c r="G249" s="24"/>
      <c r="H249" s="24"/>
      <c r="I249" s="6"/>
      <c r="J249" s="24"/>
      <c r="K249" s="24"/>
      <c r="L249" s="24"/>
      <c r="M249" s="6"/>
      <c r="N249" s="6"/>
      <c r="O249" s="24"/>
      <c r="P249" s="24"/>
      <c r="Q249" s="24"/>
      <c r="R249" s="6"/>
      <c r="S249" s="24"/>
      <c r="T249" s="24"/>
      <c r="U249" s="24"/>
      <c r="V249" s="6"/>
    </row>
    <row r="250" spans="2:22" ht="19.5" hidden="1" customHeight="1" outlineLevel="1" x14ac:dyDescent="0.25">
      <c r="B250" s="224"/>
      <c r="C250" s="9"/>
      <c r="D250" s="17" t="s">
        <v>94</v>
      </c>
      <c r="E250" s="6"/>
      <c r="F250" s="24"/>
      <c r="G250" s="24"/>
      <c r="H250" s="24"/>
      <c r="I250" s="6"/>
      <c r="J250" s="24"/>
      <c r="K250" s="24"/>
      <c r="L250" s="24"/>
      <c r="M250" s="6"/>
      <c r="N250" s="6"/>
      <c r="O250" s="24"/>
      <c r="P250" s="24"/>
      <c r="Q250" s="24"/>
      <c r="R250" s="6"/>
      <c r="S250" s="24"/>
      <c r="T250" s="24"/>
      <c r="U250" s="24"/>
      <c r="V250" s="6"/>
    </row>
    <row r="251" spans="2:22" ht="19.5" hidden="1" customHeight="1" outlineLevel="2" x14ac:dyDescent="0.25">
      <c r="B251" s="224"/>
      <c r="C251" s="9"/>
      <c r="D251" s="17" t="s">
        <v>95</v>
      </c>
      <c r="E251" s="7"/>
      <c r="F251" s="24"/>
      <c r="G251" s="24"/>
      <c r="H251" s="24"/>
      <c r="I251" s="7"/>
      <c r="J251" s="24"/>
      <c r="K251" s="24"/>
      <c r="L251" s="24"/>
      <c r="M251" s="7"/>
      <c r="N251" s="7"/>
      <c r="O251" s="24"/>
      <c r="P251" s="24"/>
      <c r="Q251" s="24"/>
      <c r="R251" s="7"/>
      <c r="S251" s="24"/>
      <c r="T251" s="24"/>
      <c r="U251" s="24"/>
      <c r="V251" s="7"/>
    </row>
    <row r="252" spans="2:22" ht="20.149999999999999" hidden="1" customHeight="1" outlineLevel="1" x14ac:dyDescent="0.25">
      <c r="B252" s="224"/>
      <c r="C252" s="9"/>
      <c r="D252" s="17" t="s">
        <v>96</v>
      </c>
      <c r="E252" s="7"/>
      <c r="F252" s="24"/>
      <c r="G252" s="24"/>
      <c r="H252" s="24"/>
      <c r="I252" s="7"/>
      <c r="J252" s="24"/>
      <c r="K252" s="24"/>
      <c r="L252" s="24"/>
      <c r="M252" s="7"/>
      <c r="N252" s="7"/>
      <c r="O252" s="24"/>
      <c r="P252" s="24"/>
      <c r="Q252" s="24"/>
      <c r="R252" s="7"/>
      <c r="S252" s="24"/>
      <c r="T252" s="24"/>
      <c r="U252" s="24"/>
      <c r="V252" s="7"/>
    </row>
    <row r="253" spans="2:22" ht="20.149999999999999" hidden="1" customHeight="1" outlineLevel="2" x14ac:dyDescent="0.25">
      <c r="B253" s="224"/>
      <c r="C253" s="9"/>
      <c r="D253" s="18" t="s">
        <v>87</v>
      </c>
      <c r="E253" s="7"/>
      <c r="F253" s="24"/>
      <c r="G253" s="24"/>
      <c r="H253" s="24"/>
      <c r="I253" s="7"/>
      <c r="J253" s="24"/>
      <c r="K253" s="24"/>
      <c r="L253" s="24"/>
      <c r="M253" s="7"/>
      <c r="N253" s="7"/>
      <c r="O253" s="24"/>
      <c r="P253" s="24"/>
      <c r="Q253" s="24"/>
      <c r="R253" s="7"/>
      <c r="S253" s="24"/>
      <c r="T253" s="24"/>
      <c r="U253" s="24"/>
      <c r="V253" s="7"/>
    </row>
    <row r="254" spans="2:22" ht="19.5" hidden="1" customHeight="1" outlineLevel="2" x14ac:dyDescent="0.25">
      <c r="B254" s="224"/>
      <c r="C254" s="9"/>
      <c r="D254" s="18" t="s">
        <v>88</v>
      </c>
      <c r="E254" s="7"/>
      <c r="F254" s="24"/>
      <c r="G254" s="24"/>
      <c r="H254" s="24"/>
      <c r="I254" s="7"/>
      <c r="J254" s="24"/>
      <c r="K254" s="24"/>
      <c r="L254" s="24"/>
      <c r="M254" s="7"/>
      <c r="N254" s="7"/>
      <c r="O254" s="24"/>
      <c r="P254" s="24"/>
      <c r="Q254" s="24"/>
      <c r="R254" s="7"/>
      <c r="S254" s="24"/>
      <c r="T254" s="24"/>
      <c r="U254" s="24"/>
      <c r="V254" s="7"/>
    </row>
    <row r="255" spans="2:22" ht="20.149999999999999" hidden="1" customHeight="1" outlineLevel="1" x14ac:dyDescent="0.25">
      <c r="B255" s="224"/>
      <c r="C255" s="9"/>
      <c r="D255" s="17" t="s">
        <v>97</v>
      </c>
      <c r="E255" s="7"/>
      <c r="F255" s="24"/>
      <c r="G255" s="24"/>
      <c r="H255" s="24"/>
      <c r="I255" s="7"/>
      <c r="J255" s="24"/>
      <c r="K255" s="24"/>
      <c r="L255" s="24"/>
      <c r="M255" s="7"/>
      <c r="N255" s="7"/>
      <c r="O255" s="24"/>
      <c r="P255" s="24"/>
      <c r="Q255" s="24"/>
      <c r="R255" s="7"/>
      <c r="S255" s="24"/>
      <c r="T255" s="24"/>
      <c r="U255" s="24"/>
      <c r="V255" s="7"/>
    </row>
    <row r="256" spans="2:22" ht="20.149999999999999" hidden="1" customHeight="1" outlineLevel="1" x14ac:dyDescent="0.25">
      <c r="B256" s="224"/>
      <c r="C256" s="9"/>
      <c r="D256" s="17" t="s">
        <v>90</v>
      </c>
      <c r="E256" s="7"/>
      <c r="F256" s="24"/>
      <c r="G256" s="24"/>
      <c r="H256" s="24"/>
      <c r="I256" s="7"/>
      <c r="J256" s="24"/>
      <c r="K256" s="24"/>
      <c r="L256" s="24"/>
      <c r="M256" s="7"/>
      <c r="N256" s="7"/>
      <c r="O256" s="24"/>
      <c r="P256" s="24"/>
      <c r="Q256" s="24"/>
      <c r="R256" s="7"/>
      <c r="S256" s="24"/>
      <c r="T256" s="24"/>
      <c r="U256" s="24"/>
      <c r="V256" s="7"/>
    </row>
    <row r="257" spans="2:22" ht="20.149999999999999" hidden="1" customHeight="1" outlineLevel="1" x14ac:dyDescent="0.25">
      <c r="B257" s="224"/>
      <c r="C257" s="9"/>
      <c r="D257" s="17" t="s">
        <v>79</v>
      </c>
      <c r="E257" s="8"/>
      <c r="F257" s="24"/>
      <c r="G257" s="24"/>
      <c r="H257" s="24"/>
      <c r="I257" s="8"/>
      <c r="J257" s="24"/>
      <c r="K257" s="24"/>
      <c r="L257" s="24"/>
      <c r="M257" s="8"/>
      <c r="N257" s="8"/>
      <c r="O257" s="24"/>
      <c r="P257" s="24"/>
      <c r="Q257" s="24"/>
      <c r="R257" s="8"/>
      <c r="S257" s="24"/>
      <c r="T257" s="24"/>
      <c r="U257" s="24"/>
      <c r="V257" s="8"/>
    </row>
    <row r="258" spans="2:22" ht="19.5" hidden="1" customHeight="1" outlineLevel="1" x14ac:dyDescent="0.25">
      <c r="B258" s="224"/>
      <c r="C258" s="9"/>
      <c r="D258" s="17" t="s">
        <v>34</v>
      </c>
      <c r="E258" s="6"/>
      <c r="F258" s="23"/>
      <c r="G258" s="23"/>
      <c r="H258" s="23"/>
      <c r="I258" s="6"/>
      <c r="J258" s="23"/>
      <c r="K258" s="23"/>
      <c r="L258" s="23"/>
      <c r="M258" s="6"/>
      <c r="N258" s="6"/>
      <c r="O258" s="23"/>
      <c r="P258" s="23"/>
      <c r="Q258" s="23"/>
      <c r="R258" s="6"/>
      <c r="S258" s="23"/>
      <c r="T258" s="23"/>
      <c r="U258" s="23"/>
      <c r="V258" s="6"/>
    </row>
    <row r="259" spans="2:22" ht="7.5" customHeight="1" collapsed="1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2:22" ht="19.5" customHeight="1" x14ac:dyDescent="0.25">
      <c r="B260" s="225" t="s">
        <v>109</v>
      </c>
      <c r="C260" s="9"/>
      <c r="D260" s="16" t="s">
        <v>19</v>
      </c>
      <c r="E260" s="6"/>
      <c r="F260" s="25">
        <v>767.73896734999994</v>
      </c>
      <c r="G260" s="25">
        <v>733.50929002999999</v>
      </c>
      <c r="H260" s="25">
        <v>761.15737754566203</v>
      </c>
      <c r="I260" s="6"/>
      <c r="J260" s="25">
        <f>+[2]H9!$C$81/1000</f>
        <v>35.415759620000152</v>
      </c>
      <c r="K260" s="25">
        <f>+[2]H9!$C$82/1000</f>
        <v>24.364716519999984</v>
      </c>
      <c r="L260" s="25">
        <f>+[2]H9!$C$83/1000</f>
        <v>27.974916263833261</v>
      </c>
      <c r="M260" s="6"/>
      <c r="N260" s="6"/>
      <c r="O260" s="25">
        <v>767.73896734999994</v>
      </c>
      <c r="P260" s="25">
        <v>733.50929002999999</v>
      </c>
      <c r="Q260" s="25">
        <v>761.15737754566203</v>
      </c>
      <c r="R260" s="6"/>
      <c r="S260" s="25">
        <f>+[2]H9!$EA$81/1000</f>
        <v>0.51990360000000513</v>
      </c>
      <c r="T260" s="25">
        <f>+[2]H9!$EA$82/1000</f>
        <v>0.37340332000000126</v>
      </c>
      <c r="U260" s="25">
        <f>+[2]H9!$EA$83/1000</f>
        <v>0.94939279370107399</v>
      </c>
      <c r="V260" s="6"/>
    </row>
    <row r="261" spans="2:22" ht="20.149999999999999" customHeight="1" x14ac:dyDescent="0.25">
      <c r="B261" s="225"/>
      <c r="C261" s="9"/>
      <c r="D261" s="16" t="s">
        <v>20</v>
      </c>
      <c r="E261" s="6"/>
      <c r="F261" s="25">
        <v>716.54631788999995</v>
      </c>
      <c r="G261" s="25">
        <v>685.01450756999998</v>
      </c>
      <c r="H261" s="25">
        <v>693.84504081129205</v>
      </c>
      <c r="I261" s="6"/>
      <c r="J261" s="25">
        <f>+[2]H9!$N$81/1000</f>
        <v>26.314280150000137</v>
      </c>
      <c r="K261" s="25">
        <f>+[2]H9!$N$82/1000</f>
        <v>21.382482499999988</v>
      </c>
      <c r="L261" s="25">
        <f>+[2]H9!$N$83/1000</f>
        <v>26.959171549999994</v>
      </c>
      <c r="M261" s="6"/>
      <c r="N261" s="6"/>
      <c r="O261" s="25">
        <v>716.54631788999995</v>
      </c>
      <c r="P261" s="25">
        <v>685.01450756999998</v>
      </c>
      <c r="Q261" s="25">
        <v>693.84504081129205</v>
      </c>
      <c r="R261" s="6"/>
      <c r="S261" s="25">
        <f>+[2]H9!$EL$81/1000</f>
        <v>9.1963364299999952</v>
      </c>
      <c r="T261" s="25">
        <f>+[2]H9!$EL$82/1000</f>
        <v>6.986375220000002</v>
      </c>
      <c r="U261" s="25">
        <f>+[2]H9!$EL$83/1000</f>
        <v>8.9863905166666633</v>
      </c>
      <c r="V261" s="6"/>
    </row>
    <row r="262" spans="2:22" ht="19.5" customHeight="1" x14ac:dyDescent="0.25">
      <c r="B262" s="225"/>
      <c r="C262" s="9"/>
      <c r="D262" s="16" t="s">
        <v>92</v>
      </c>
      <c r="E262" s="6"/>
      <c r="F262" s="26" t="e">
        <f>F265-F264-F263</f>
        <v>#VALUE!</v>
      </c>
      <c r="G262" s="26" t="e">
        <f>G265-G264-G263</f>
        <v>#VALUE!</v>
      </c>
      <c r="H262" s="26" t="e">
        <f>H265-H264-H263</f>
        <v>#VALUE!</v>
      </c>
      <c r="I262" s="6"/>
      <c r="J262" s="26">
        <f>-(SUM([2]H9!$O$81,[2]H9!$R$81:$V$81,[2]H9!$Y$81:$AB$81)/1000)/J261</f>
        <v>0.63254600791349835</v>
      </c>
      <c r="K262" s="26">
        <f>-(SUM([2]H9!$O$82,[2]H9!$R$82:$V$82,[2]H9!$Y$82:$AB$82)/1000)/K261</f>
        <v>0.81092469174241155</v>
      </c>
      <c r="L262" s="26">
        <f>-(SUM([2]H9!$O$83,[2]H9!$R$83:$V$83,[2]H9!$Y$83:$AB$83)/1000)/L261</f>
        <v>0.6063237637075396</v>
      </c>
      <c r="M262" s="6"/>
      <c r="N262" s="6"/>
      <c r="O262" s="26" t="e">
        <f>O265-O264-O263</f>
        <v>#VALUE!</v>
      </c>
      <c r="P262" s="26" t="e">
        <f>P265-P264-P263</f>
        <v>#VALUE!</v>
      </c>
      <c r="Q262" s="26" t="e">
        <f>Q265-Q264-Q263</f>
        <v>#VALUE!</v>
      </c>
      <c r="R262" s="6"/>
      <c r="S262" s="26">
        <f>-(SUM([2]H9!$EM$81,[2]H9!$EP$81:$ET$81,[2]H9!$EW$81:$EZ$81)/1000)/S261</f>
        <v>0.60042112552422156</v>
      </c>
      <c r="T262" s="26">
        <f>-(SUM([2]H9!$EM$82,[2]H9!$EP$82:$ET$82,[2]H9!$EW$82:$EZ$82)/1000)/T261</f>
        <v>0.65395394981376342</v>
      </c>
      <c r="U262" s="26">
        <f>-(SUM([2]H9!$EM$83,[2]H9!$EP$83:$ET$83,[2]H9!$EW$83:$EZ$83)/1000)/U261</f>
        <v>0.6063237637075396</v>
      </c>
      <c r="V262" s="6"/>
    </row>
    <row r="263" spans="2:22" ht="19.5" customHeight="1" x14ac:dyDescent="0.25">
      <c r="B263" s="225"/>
      <c r="C263" s="9"/>
      <c r="D263" s="16" t="s">
        <v>93</v>
      </c>
      <c r="E263" s="6"/>
      <c r="F263" s="26" t="e">
        <f>(F193*F191+F207*F205+F221*F219)/F261</f>
        <v>#REF!</v>
      </c>
      <c r="G263" s="26" t="e">
        <f>(G193*G191+G207*G205+G221*G219)/G261</f>
        <v>#REF!</v>
      </c>
      <c r="H263" s="26" t="e">
        <f>(H193*H191+H207*H205+H221*H219)/H261</f>
        <v>#REF!</v>
      </c>
      <c r="I263" s="6"/>
      <c r="J263" s="26">
        <f>-(SUM([2]H9!$Q$81,[2]H9!$X$81)/1000)/J261</f>
        <v>0.15745164436884579</v>
      </c>
      <c r="K263" s="26">
        <f>-(SUM([2]H9!$Q$82,[2]H9!$X$82)/1000)/K261</f>
        <v>2.8060352674204238E-2</v>
      </c>
      <c r="L263" s="26">
        <f>-(SUM([2]H9!$Q$83,[2]H9!$X$83)/1000)/L261</f>
        <v>0.18546563980004799</v>
      </c>
      <c r="M263" s="6"/>
      <c r="N263" s="6"/>
      <c r="O263" s="26" t="e">
        <f>(O193*O191+O207*O205+O221*O219)/O261</f>
        <v>#REF!</v>
      </c>
      <c r="P263" s="26" t="e">
        <f>(P193*P191+P207*P205+P221*P219)/P261</f>
        <v>#REF!</v>
      </c>
      <c r="Q263" s="26" t="e">
        <f>(Q193*Q191+Q207*Q205+Q221*Q219)/Q261</f>
        <v>#REF!</v>
      </c>
      <c r="R263" s="6"/>
      <c r="S263" s="26">
        <f>-(SUM([2]H9!$EO$81,[2]H9!$EV$81)/1000)/S261</f>
        <v>0.17868274964794872</v>
      </c>
      <c r="T263" s="26">
        <f>-(SUM([2]H9!$EO$82,[2]H9!$EV$82)/1000)/T261</f>
        <v>-1.4313574185613234E-2</v>
      </c>
      <c r="U263" s="26">
        <f>-(SUM([2]H9!$EO$83,[2]H9!$EV$83)/1000)/U261</f>
        <v>0.18546563980004799</v>
      </c>
      <c r="V263" s="6"/>
    </row>
    <row r="264" spans="2:22" ht="19.5" customHeight="1" x14ac:dyDescent="0.25">
      <c r="B264" s="225"/>
      <c r="C264" s="9"/>
      <c r="D264" s="16" t="s">
        <v>94</v>
      </c>
      <c r="E264" s="6"/>
      <c r="F264" s="26" t="e">
        <f>(F194*F191+F208*F205+F219*F222)/F261</f>
        <v>#VALUE!</v>
      </c>
      <c r="G264" s="26" t="e">
        <f>(G194*G191+G208*G205+G219*G222)/G261</f>
        <v>#VALUE!</v>
      </c>
      <c r="H264" s="26" t="e">
        <f>(H194*H191+H208*H205+H219*H222)/H261</f>
        <v>#VALUE!</v>
      </c>
      <c r="I264" s="6"/>
      <c r="J264" s="26">
        <f>-(SUM([2]H9!$P$81,[2]H9!$W$81)/1000)/J261</f>
        <v>0</v>
      </c>
      <c r="K264" s="26">
        <f>-(SUM([2]H9!$P$82,[2]H9!$W$82)/1000)/K261</f>
        <v>0</v>
      </c>
      <c r="L264" s="26">
        <f>-(SUM([2]H9!$P$83,[2]H9!$W$83)/1000)/L261</f>
        <v>0</v>
      </c>
      <c r="M264" s="6"/>
      <c r="N264" s="6"/>
      <c r="O264" s="26" t="e">
        <f>(O194*O191+O208*O205+O219*O222)/O261</f>
        <v>#VALUE!</v>
      </c>
      <c r="P264" s="26" t="e">
        <f>(P194*P191+P208*P205+P219*P222)/P261</f>
        <v>#VALUE!</v>
      </c>
      <c r="Q264" s="26" t="e">
        <f>(Q194*Q191+Q208*Q205+Q219*Q222)/Q261</f>
        <v>#VALUE!</v>
      </c>
      <c r="R264" s="6"/>
      <c r="S264" s="26">
        <f>-(SUM([2]H9!$EN$81,[2]H9!$EU$81)/1000)/S261</f>
        <v>0</v>
      </c>
      <c r="T264" s="26">
        <f>-(SUM([2]H9!$EN$82,[2]H9!$EU$82)/1000)/T261</f>
        <v>0</v>
      </c>
      <c r="U264" s="26">
        <f>-(SUM([2]H9!$EN$83,[2]H9!$EU$83)/1000)/U261</f>
        <v>0</v>
      </c>
      <c r="V264" s="6"/>
    </row>
    <row r="265" spans="2:22" ht="19.5" hidden="1" customHeight="1" outlineLevel="1" x14ac:dyDescent="0.25">
      <c r="B265" s="225"/>
      <c r="C265" s="9"/>
      <c r="D265" s="16" t="s">
        <v>95</v>
      </c>
      <c r="E265" s="7"/>
      <c r="F265" s="26">
        <v>0.65682565940175663</v>
      </c>
      <c r="G265" s="26">
        <v>0.57614070459620159</v>
      </c>
      <c r="H265" s="26">
        <v>0.6615301505572545</v>
      </c>
      <c r="I265" s="7"/>
      <c r="J265" s="26">
        <f>+J262+J263+J264</f>
        <v>0.7899976522823442</v>
      </c>
      <c r="K265" s="26">
        <f>+K262+K263+K264</f>
        <v>0.83898504441661581</v>
      </c>
      <c r="L265" s="26">
        <f>+L262+L263+L264</f>
        <v>0.79178940350758764</v>
      </c>
      <c r="M265" s="7"/>
      <c r="N265" s="7"/>
      <c r="O265" s="26">
        <v>0.65682565940175663</v>
      </c>
      <c r="P265" s="26">
        <v>0.57614070459620159</v>
      </c>
      <c r="Q265" s="26">
        <v>0.6615301505572545</v>
      </c>
      <c r="R265" s="7"/>
      <c r="S265" s="26">
        <f>+S262+S263+S264</f>
        <v>0.77910387517217028</v>
      </c>
      <c r="T265" s="26">
        <f>+T262+T263+T264</f>
        <v>0.63964037562815024</v>
      </c>
      <c r="U265" s="26">
        <f>+U262+U263+U264</f>
        <v>0.79178940350758764</v>
      </c>
      <c r="V265" s="7"/>
    </row>
    <row r="266" spans="2:22" ht="20.149999999999999" customHeight="1" collapsed="1" x14ac:dyDescent="0.25">
      <c r="B266" s="225"/>
      <c r="C266" s="9"/>
      <c r="D266" s="16" t="s">
        <v>96</v>
      </c>
      <c r="E266" s="7"/>
      <c r="F266" s="26">
        <v>-3.2452375205101303E-2</v>
      </c>
      <c r="G266" s="26">
        <v>1.0421772985983643E-2</v>
      </c>
      <c r="H266" s="26">
        <v>-1.04490189791121E-2</v>
      </c>
      <c r="I266" s="7"/>
      <c r="J266" s="26">
        <f>-(SUM([2]H9!$AC$81:$AK$81)/1000)/J261</f>
        <v>-4.6610519573719186E-2</v>
      </c>
      <c r="K266" s="26">
        <f>-(SUM([2]H9!$AC$82:$AK$82)/1000)/K261</f>
        <v>-0.19352072660412536</v>
      </c>
      <c r="L266" s="26">
        <f>-(SUM([2]H9!$AC$83:$AK$83)/1000)/L261</f>
        <v>-2.1866593159756673E-2</v>
      </c>
      <c r="M266" s="7"/>
      <c r="N266" s="7"/>
      <c r="O266" s="26">
        <v>-3.2452375205101303E-2</v>
      </c>
      <c r="P266" s="26">
        <v>1.0421772985983643E-2</v>
      </c>
      <c r="Q266" s="26">
        <v>-1.04490189791121E-2</v>
      </c>
      <c r="R266" s="7"/>
      <c r="S266" s="26">
        <f>-(SUM([2]H9!$FA$81:$FI$81)/1000)/S261</f>
        <v>-1.4795935428822042E-3</v>
      </c>
      <c r="T266" s="26">
        <f>-(SUM([2]H9!$FA$82:$FI$82)/1000)/T261</f>
        <v>-0.32069117238166334</v>
      </c>
      <c r="U266" s="26">
        <f>-(SUM([2]H9!$FA$83:$FI$83)/1000)/U261</f>
        <v>-2.1866593159756715E-2</v>
      </c>
      <c r="V266" s="7"/>
    </row>
    <row r="267" spans="2:22" ht="20.149999999999999" hidden="1" customHeight="1" outlineLevel="1" x14ac:dyDescent="0.25">
      <c r="B267" s="225"/>
      <c r="C267" s="9"/>
      <c r="D267" s="13" t="s">
        <v>87</v>
      </c>
      <c r="E267" s="7"/>
      <c r="F267" s="26">
        <v>0.12525205080151947</v>
      </c>
      <c r="G267" s="26">
        <v>0.12472092690864583</v>
      </c>
      <c r="H267" s="26">
        <v>0.12662921817818915</v>
      </c>
      <c r="I267" s="7"/>
      <c r="J267" s="26">
        <f>-(SUM([2]H9!$AL$81:$AN$81)/1000)/J261</f>
        <v>7.7232985603825965E-2</v>
      </c>
      <c r="K267" s="26">
        <f>-(SUM([2]H9!$AL$82:$AN$82)/1000)/K261</f>
        <v>6.9670024984236509E-2</v>
      </c>
      <c r="L267" s="26">
        <f>-(SUM([2]H9!$AL$83:$AN$83)/1000)/L261</f>
        <v>7.1958299764247044E-2</v>
      </c>
      <c r="M267" s="7"/>
      <c r="N267" s="7"/>
      <c r="O267" s="26">
        <v>0.12525205080151947</v>
      </c>
      <c r="P267" s="26">
        <v>0.12472092690864583</v>
      </c>
      <c r="Q267" s="26">
        <v>0.12662921817818915</v>
      </c>
      <c r="R267" s="7"/>
      <c r="S267" s="26">
        <f>-(SUM([2]H9!$FJ$81:$FL$81)/1000)/S261</f>
        <v>7.8880524382903688E-2</v>
      </c>
      <c r="T267" s="26">
        <f>-(SUM([2]H9!$FJ$82:$FL$82)/1000)/T261</f>
        <v>8.0055279367030607E-2</v>
      </c>
      <c r="U267" s="26">
        <f>-(SUM([2]H9!$FJ$83:$FL$83)/1000)/U261</f>
        <v>7.1958299764247058E-2</v>
      </c>
      <c r="V267" s="7"/>
    </row>
    <row r="268" spans="2:22" ht="20.149999999999999" hidden="1" customHeight="1" outlineLevel="1" x14ac:dyDescent="0.25">
      <c r="B268" s="225"/>
      <c r="C268" s="9"/>
      <c r="D268" s="13" t="s">
        <v>88</v>
      </c>
      <c r="E268" s="7"/>
      <c r="F268" s="26">
        <v>0.11703136290887124</v>
      </c>
      <c r="G268" s="26">
        <v>0.12530740730513432</v>
      </c>
      <c r="H268" s="26">
        <v>0.12041843301110733</v>
      </c>
      <c r="I268" s="7"/>
      <c r="J268" s="26">
        <f>-(SUM([2]H9!$AO$81:$AR$81)/1000)/J261</f>
        <v>0.12412636566081336</v>
      </c>
      <c r="K268" s="26">
        <f>-(SUM([2]H9!$AO$82:$AR$82)/1000)/K261</f>
        <v>0.1104182486762237</v>
      </c>
      <c r="L268" s="26">
        <f>-(SUM([2]H9!$AO$83:$AR$83)/1000)/L261</f>
        <v>0.12891717664976937</v>
      </c>
      <c r="M268" s="7"/>
      <c r="N268" s="7"/>
      <c r="O268" s="26">
        <v>0.11703136290887124</v>
      </c>
      <c r="P268" s="26">
        <v>0.12530740730513432</v>
      </c>
      <c r="Q268" s="26">
        <v>0.12041843301110733</v>
      </c>
      <c r="R268" s="7"/>
      <c r="S268" s="26">
        <f>-(SUM([2]H9!$FM$81:$FP$81)/1000)/S261</f>
        <v>0.12418356578109668</v>
      </c>
      <c r="T268" s="26">
        <f>-(SUM([2]H9!$FM$82:$FP$82)/1000)/T261</f>
        <v>0.1160700140580196</v>
      </c>
      <c r="U268" s="26">
        <f>-(SUM([2]H9!$FM$83:$FP$83)/1000)/U261</f>
        <v>0.12891717664976937</v>
      </c>
      <c r="V268" s="7"/>
    </row>
    <row r="269" spans="2:22" ht="20.149999999999999" customHeight="1" collapsed="1" x14ac:dyDescent="0.25">
      <c r="B269" s="225"/>
      <c r="C269" s="9"/>
      <c r="D269" s="16" t="s">
        <v>97</v>
      </c>
      <c r="E269" s="7"/>
      <c r="F269" s="26">
        <v>0.24228341371039072</v>
      </c>
      <c r="G269" s="26">
        <v>0.25002833421378012</v>
      </c>
      <c r="H269" s="26">
        <v>0.24704765118929647</v>
      </c>
      <c r="I269" s="7"/>
      <c r="J269" s="26">
        <f>+J267+J268</f>
        <v>0.20135935126463933</v>
      </c>
      <c r="K269" s="26">
        <f>+K267+K268</f>
        <v>0.18008827366046021</v>
      </c>
      <c r="L269" s="26">
        <f>+L267+L268</f>
        <v>0.20087547641401643</v>
      </c>
      <c r="M269" s="7"/>
      <c r="N269" s="7"/>
      <c r="O269" s="26">
        <v>0.24228341371039072</v>
      </c>
      <c r="P269" s="26">
        <v>0.25002833421378012</v>
      </c>
      <c r="Q269" s="26">
        <v>0.24704765118929647</v>
      </c>
      <c r="R269" s="7"/>
      <c r="S269" s="26">
        <f>+S267+S268</f>
        <v>0.20306409016400037</v>
      </c>
      <c r="T269" s="26">
        <f>+T267+T268</f>
        <v>0.1961252934250502</v>
      </c>
      <c r="U269" s="26">
        <f>+U267+U268</f>
        <v>0.20087547641401643</v>
      </c>
      <c r="V269" s="7"/>
    </row>
    <row r="270" spans="2:22" ht="20.149999999999999" customHeight="1" x14ac:dyDescent="0.25">
      <c r="B270" s="225"/>
      <c r="C270" s="9"/>
      <c r="D270" s="16" t="s">
        <v>90</v>
      </c>
      <c r="E270" s="7"/>
      <c r="F270" s="26"/>
      <c r="G270" s="26"/>
      <c r="H270" s="26"/>
      <c r="I270" s="7"/>
      <c r="J270" s="26">
        <f>-(SUM([2]H9!$AT$81:$BJ$81)/1000/J261)</f>
        <v>1.834933493325926E-2</v>
      </c>
      <c r="K270" s="26">
        <f>-(SUM([2]H9!$AT$82:$BJ$82)/1000/K261)</f>
        <v>5.8109592747241735E-2</v>
      </c>
      <c r="L270" s="26">
        <f>-(SUM([2]H9!$AT$83:$BJ$83)/1000/L261)</f>
        <v>1.9631487942252026E-2</v>
      </c>
      <c r="M270" s="7"/>
      <c r="N270" s="7"/>
      <c r="O270" s="26"/>
      <c r="P270" s="26"/>
      <c r="Q270" s="26"/>
      <c r="R270" s="7"/>
      <c r="S270" s="26">
        <f>-(SUM([2]H9!$FR$81:$GH$81)/1000/S261)</f>
        <v>-8.1847646150109671E-2</v>
      </c>
      <c r="T270" s="26">
        <f>-(SUM([2]H9!$FR$82:$GH$82)/1000/T261)</f>
        <v>0.10863123237746831</v>
      </c>
      <c r="U270" s="26">
        <f>-(SUM([2]H9!$FR$83:$GH$83)/1000/U261)</f>
        <v>1.9631487942252036E-2</v>
      </c>
      <c r="V270" s="7"/>
    </row>
    <row r="271" spans="2:22" ht="20.149999999999999" customHeight="1" x14ac:dyDescent="0.25">
      <c r="B271" s="225"/>
      <c r="C271" s="9"/>
      <c r="D271" s="16" t="s">
        <v>79</v>
      </c>
      <c r="E271" s="8"/>
      <c r="F271" s="26">
        <v>0.86665669790704614</v>
      </c>
      <c r="G271" s="26">
        <v>0.83659081179596551</v>
      </c>
      <c r="H271" s="26">
        <v>0.8981287827674389</v>
      </c>
      <c r="I271" s="8"/>
      <c r="J271" s="26">
        <f>+J265+J266+J269+J270</f>
        <v>0.96309581890652363</v>
      </c>
      <c r="K271" s="26">
        <f>+K265+K266+K269+K270</f>
        <v>0.88366218422019238</v>
      </c>
      <c r="L271" s="26">
        <f>+L265+L266+L269+L270</f>
        <v>0.99042977470409943</v>
      </c>
      <c r="M271" s="8"/>
      <c r="N271" s="8"/>
      <c r="O271" s="26">
        <v>0.86665669790704614</v>
      </c>
      <c r="P271" s="26">
        <v>0.83659081179596551</v>
      </c>
      <c r="Q271" s="26">
        <v>0.8981287827674389</v>
      </c>
      <c r="R271" s="8"/>
      <c r="S271" s="26">
        <f>+S265+S266+S269+S270</f>
        <v>0.89884072564317885</v>
      </c>
      <c r="T271" s="26">
        <f>+T265+T266+T269+T270</f>
        <v>0.62370572904900534</v>
      </c>
      <c r="U271" s="26">
        <f>+U265+U266+U269+U270</f>
        <v>0.99042977470409943</v>
      </c>
      <c r="V271" s="8"/>
    </row>
    <row r="272" spans="2:22" ht="19.5" customHeight="1" x14ac:dyDescent="0.25">
      <c r="B272" s="225"/>
      <c r="C272" s="9"/>
      <c r="D272" s="16" t="s">
        <v>34</v>
      </c>
      <c r="E272" s="6"/>
      <c r="F272" s="25">
        <v>95.546652130000155</v>
      </c>
      <c r="G272" s="25">
        <v>111.93766459000008</v>
      </c>
      <c r="H272" s="25">
        <v>70.68283887822237</v>
      </c>
      <c r="I272" s="6"/>
      <c r="J272" s="25">
        <f>+[2]H9!$BK$81/1000</f>
        <v>0.97110696000007524</v>
      </c>
      <c r="K272" s="25">
        <f>+[2]H9!$BK$82/1000</f>
        <v>2.4875913099999534</v>
      </c>
      <c r="L272" s="25">
        <f>+[2]H9!$BK$83/1000</f>
        <v>0.25800534552433735</v>
      </c>
      <c r="M272" s="6"/>
      <c r="N272" s="6"/>
      <c r="O272" s="25">
        <v>95.546652130000155</v>
      </c>
      <c r="P272" s="25">
        <v>111.93766459000008</v>
      </c>
      <c r="Q272" s="25">
        <v>70.68283887822237</v>
      </c>
      <c r="R272" s="6"/>
      <c r="S272" s="25">
        <f>+[2]H9!$GI$81/1000</f>
        <v>0.93029472000000046</v>
      </c>
      <c r="T272" s="25">
        <f>+[2]H9!$GI$82/1000</f>
        <v>2.6289329699999961</v>
      </c>
      <c r="U272" s="25">
        <f>+[2]H9!$GI$83/1000</f>
        <v>8.6001781841443289E-2</v>
      </c>
      <c r="V272" s="6"/>
    </row>
  </sheetData>
  <mergeCells count="23">
    <mergeCell ref="B22:B34"/>
    <mergeCell ref="B3:D3"/>
    <mergeCell ref="F3:V3"/>
    <mergeCell ref="F4:H4"/>
    <mergeCell ref="O4:Q4"/>
    <mergeCell ref="B8:B20"/>
    <mergeCell ref="B190:B202"/>
    <mergeCell ref="B36:B48"/>
    <mergeCell ref="B50:B62"/>
    <mergeCell ref="B64:B76"/>
    <mergeCell ref="B78:B90"/>
    <mergeCell ref="B92:B104"/>
    <mergeCell ref="B106:B118"/>
    <mergeCell ref="B120:B132"/>
    <mergeCell ref="B134:B146"/>
    <mergeCell ref="B148:B160"/>
    <mergeCell ref="B162:B174"/>
    <mergeCell ref="B176:B188"/>
    <mergeCell ref="B204:B216"/>
    <mergeCell ref="B218:B230"/>
    <mergeCell ref="B232:B244"/>
    <mergeCell ref="B246:B258"/>
    <mergeCell ref="B260:B272"/>
  </mergeCells>
  <conditionalFormatting sqref="J220:K220 S220:T220">
    <cfRule type="expression" dxfId="6345" priority="1815">
      <formula>J220&gt;L220+#REF!</formula>
    </cfRule>
    <cfRule type="expression" dxfId="6344" priority="1816">
      <formula>J220&lt;L220-#REF!</formula>
    </cfRule>
  </conditionalFormatting>
  <conditionalFormatting sqref="J221:K221 S221:T221">
    <cfRule type="expression" dxfId="6343" priority="1813">
      <formula>J221&gt;L221+#REF!</formula>
    </cfRule>
    <cfRule type="expression" dxfId="6342" priority="1814">
      <formula>J221&lt;L221-#REF!</formula>
    </cfRule>
  </conditionalFormatting>
  <conditionalFormatting sqref="J222:K222 S222:T222">
    <cfRule type="expression" dxfId="6341" priority="1811">
      <formula>J222&gt;L222+#REF!</formula>
    </cfRule>
    <cfRule type="expression" dxfId="6340" priority="1812">
      <formula>J222&lt;L222-#REF!</formula>
    </cfRule>
  </conditionalFormatting>
  <conditionalFormatting sqref="J223:K223 S223:T223">
    <cfRule type="expression" dxfId="6339" priority="1809">
      <formula>J223&gt;L223+#REF!</formula>
    </cfRule>
    <cfRule type="expression" dxfId="6338" priority="1810">
      <formula>J223&lt;L223-#REF!</formula>
    </cfRule>
  </conditionalFormatting>
  <conditionalFormatting sqref="J224:K224 S224:T224">
    <cfRule type="expression" dxfId="6337" priority="1807">
      <formula>J224&gt;L224+#REF!</formula>
    </cfRule>
    <cfRule type="expression" dxfId="6336" priority="1808">
      <formula>J224&lt;L224-#REF!</formula>
    </cfRule>
  </conditionalFormatting>
  <conditionalFormatting sqref="J225:K225 S225:T225">
    <cfRule type="expression" dxfId="6335" priority="1805">
      <formula>J225&gt;L225+#REF!</formula>
    </cfRule>
    <cfRule type="expression" dxfId="6334" priority="1806">
      <formula>J225&lt;L225-#REF!</formula>
    </cfRule>
  </conditionalFormatting>
  <conditionalFormatting sqref="J226:K226 S226:T226">
    <cfRule type="expression" dxfId="6333" priority="1803">
      <formula>J226&gt;L226+#REF!</formula>
    </cfRule>
    <cfRule type="expression" dxfId="6332" priority="1804">
      <formula>J226&lt;L226-#REF!</formula>
    </cfRule>
  </conditionalFormatting>
  <conditionalFormatting sqref="J229:K229 S229:T229">
    <cfRule type="expression" dxfId="6331" priority="1801">
      <formula>J229&gt;L229+#REF!</formula>
    </cfRule>
    <cfRule type="expression" dxfId="6330" priority="1802">
      <formula>J229&lt;L229-#REF!</formula>
    </cfRule>
  </conditionalFormatting>
  <conditionalFormatting sqref="J260">
    <cfRule type="expression" dxfId="6329" priority="1037">
      <formula>J260&lt;L260*#REF!</formula>
    </cfRule>
    <cfRule type="expression" dxfId="6328" priority="1038">
      <formula>J260&gt;L260*#REF!</formula>
    </cfRule>
  </conditionalFormatting>
  <conditionalFormatting sqref="J261">
    <cfRule type="expression" dxfId="6327" priority="1035">
      <formula>J261&lt;L261*#REF!</formula>
    </cfRule>
    <cfRule type="expression" dxfId="6326" priority="1036">
      <formula>J261&gt;L261*#REF!</formula>
    </cfRule>
  </conditionalFormatting>
  <conditionalFormatting sqref="J272">
    <cfRule type="expression" dxfId="6325" priority="1033">
      <formula>J272&lt;L272*#REF!</formula>
    </cfRule>
    <cfRule type="expression" dxfId="6324" priority="1034">
      <formula>J272&gt;L272*#REF!</formula>
    </cfRule>
  </conditionalFormatting>
  <conditionalFormatting sqref="J262">
    <cfRule type="expression" dxfId="6323" priority="1031">
      <formula>J262&gt;L262+#REF!</formula>
    </cfRule>
    <cfRule type="expression" dxfId="6322" priority="1032">
      <formula>J262&lt;L262-#REF!</formula>
    </cfRule>
  </conditionalFormatting>
  <conditionalFormatting sqref="J263">
    <cfRule type="expression" dxfId="6321" priority="1029">
      <formula>J263&gt;L263+#REF!</formula>
    </cfRule>
    <cfRule type="expression" dxfId="6320" priority="1030">
      <formula>J263&lt;L263-#REF!</formula>
    </cfRule>
  </conditionalFormatting>
  <conditionalFormatting sqref="J264">
    <cfRule type="expression" dxfId="6319" priority="1027">
      <formula>J264&gt;L264+#REF!</formula>
    </cfRule>
    <cfRule type="expression" dxfId="6318" priority="1028">
      <formula>J264&lt;L264-#REF!</formula>
    </cfRule>
  </conditionalFormatting>
  <conditionalFormatting sqref="J265">
    <cfRule type="expression" dxfId="6317" priority="1025">
      <formula>J265&gt;L265+#REF!</formula>
    </cfRule>
    <cfRule type="expression" dxfId="6316" priority="1026">
      <formula>J265&lt;L265-#REF!</formula>
    </cfRule>
  </conditionalFormatting>
  <conditionalFormatting sqref="J266">
    <cfRule type="expression" dxfId="6315" priority="1023">
      <formula>J266&gt;L266+#REF!</formula>
    </cfRule>
    <cfRule type="expression" dxfId="6314" priority="1024">
      <formula>J266&lt;L266-#REF!</formula>
    </cfRule>
  </conditionalFormatting>
  <conditionalFormatting sqref="J267">
    <cfRule type="expression" dxfId="6313" priority="1021">
      <formula>J267&gt;L267+#REF!</formula>
    </cfRule>
    <cfRule type="expression" dxfId="6312" priority="1022">
      <formula>J267&lt;L267-#REF!</formula>
    </cfRule>
  </conditionalFormatting>
  <conditionalFormatting sqref="J268">
    <cfRule type="expression" dxfId="6311" priority="1019">
      <formula>J268&gt;L268+#REF!</formula>
    </cfRule>
    <cfRule type="expression" dxfId="6310" priority="1020">
      <formula>J268&lt;L268-#REF!</formula>
    </cfRule>
  </conditionalFormatting>
  <conditionalFormatting sqref="J269:J270">
    <cfRule type="expression" dxfId="6309" priority="1017">
      <formula>J269&gt;L269+#REF!</formula>
    </cfRule>
    <cfRule type="expression" dxfId="6308" priority="1018">
      <formula>J269&lt;L269-#REF!</formula>
    </cfRule>
  </conditionalFormatting>
  <conditionalFormatting sqref="J271">
    <cfRule type="expression" dxfId="6307" priority="1015">
      <formula>J271&gt;L271+#REF!</formula>
    </cfRule>
    <cfRule type="expression" dxfId="6306" priority="1016">
      <formula>J271&lt;L271-#REF!</formula>
    </cfRule>
  </conditionalFormatting>
  <conditionalFormatting sqref="J8">
    <cfRule type="expression" dxfId="6305" priority="1391">
      <formula>J8&lt;L8*#REF!</formula>
    </cfRule>
    <cfRule type="expression" dxfId="6304" priority="1392">
      <formula>J8&gt;L8*#REF!</formula>
    </cfRule>
  </conditionalFormatting>
  <conditionalFormatting sqref="J9">
    <cfRule type="expression" dxfId="6303" priority="1389">
      <formula>J9&lt;L9*#REF!</formula>
    </cfRule>
    <cfRule type="expression" dxfId="6302" priority="1390">
      <formula>J9&gt;L9*#REF!</formula>
    </cfRule>
  </conditionalFormatting>
  <conditionalFormatting sqref="J20">
    <cfRule type="expression" dxfId="6301" priority="1387">
      <formula>J20&lt;L20*#REF!</formula>
    </cfRule>
    <cfRule type="expression" dxfId="6300" priority="1388">
      <formula>J20&gt;L20*#REF!</formula>
    </cfRule>
  </conditionalFormatting>
  <conditionalFormatting sqref="J10">
    <cfRule type="expression" dxfId="6299" priority="1385">
      <formula>J10&gt;L10+#REF!</formula>
    </cfRule>
    <cfRule type="expression" dxfId="6298" priority="1386">
      <formula>J10&lt;L10-#REF!</formula>
    </cfRule>
  </conditionalFormatting>
  <conditionalFormatting sqref="J11">
    <cfRule type="expression" dxfId="6297" priority="1383">
      <formula>J11&gt;L11+#REF!</formula>
    </cfRule>
    <cfRule type="expression" dxfId="6296" priority="1384">
      <formula>J11&lt;L11-#REF!</formula>
    </cfRule>
  </conditionalFormatting>
  <conditionalFormatting sqref="J12">
    <cfRule type="expression" dxfId="6295" priority="1381">
      <formula>J12&gt;L12+#REF!</formula>
    </cfRule>
    <cfRule type="expression" dxfId="6294" priority="1382">
      <formula>J12&lt;L12-#REF!</formula>
    </cfRule>
  </conditionalFormatting>
  <conditionalFormatting sqref="J13">
    <cfRule type="expression" dxfId="6293" priority="1379">
      <formula>J13&gt;L13+#REF!</formula>
    </cfRule>
    <cfRule type="expression" dxfId="6292" priority="1380">
      <formula>J13&lt;L13-#REF!</formula>
    </cfRule>
  </conditionalFormatting>
  <conditionalFormatting sqref="J14">
    <cfRule type="expression" dxfId="6291" priority="1377">
      <formula>J14&gt;L14+#REF!</formula>
    </cfRule>
    <cfRule type="expression" dxfId="6290" priority="1378">
      <formula>J14&lt;L14-#REF!</formula>
    </cfRule>
  </conditionalFormatting>
  <conditionalFormatting sqref="J15">
    <cfRule type="expression" dxfId="6289" priority="1375">
      <formula>J15&gt;L15+#REF!</formula>
    </cfRule>
    <cfRule type="expression" dxfId="6288" priority="1376">
      <formula>J15&lt;L15-#REF!</formula>
    </cfRule>
  </conditionalFormatting>
  <conditionalFormatting sqref="J16">
    <cfRule type="expression" dxfId="6287" priority="1373">
      <formula>J16&gt;L16+#REF!</formula>
    </cfRule>
    <cfRule type="expression" dxfId="6286" priority="1374">
      <formula>J16&lt;L16-#REF!</formula>
    </cfRule>
  </conditionalFormatting>
  <conditionalFormatting sqref="J17:J18">
    <cfRule type="expression" dxfId="6285" priority="1371">
      <formula>J17&gt;L17+#REF!</formula>
    </cfRule>
    <cfRule type="expression" dxfId="6284" priority="1372">
      <formula>J17&lt;L17-#REF!</formula>
    </cfRule>
  </conditionalFormatting>
  <conditionalFormatting sqref="J19">
    <cfRule type="expression" dxfId="6283" priority="1369">
      <formula>J19&gt;L19+#REF!</formula>
    </cfRule>
    <cfRule type="expression" dxfId="6282" priority="1370">
      <formula>J19&lt;L19-#REF!</formula>
    </cfRule>
  </conditionalFormatting>
  <conditionalFormatting sqref="F120">
    <cfRule type="expression" dxfId="6281" priority="1607">
      <formula>F120&lt;H120*#REF!</formula>
    </cfRule>
    <cfRule type="expression" dxfId="6280" priority="1608">
      <formula>F120&gt;H120*#REF!</formula>
    </cfRule>
  </conditionalFormatting>
  <conditionalFormatting sqref="F121">
    <cfRule type="expression" dxfId="6279" priority="1605">
      <formula>F121&lt;H121*#REF!</formula>
    </cfRule>
    <cfRule type="expression" dxfId="6278" priority="1606">
      <formula>F121&gt;H121*#REF!</formula>
    </cfRule>
  </conditionalFormatting>
  <conditionalFormatting sqref="F132">
    <cfRule type="expression" dxfId="6277" priority="1603">
      <formula>F132&lt;H132*#REF!</formula>
    </cfRule>
    <cfRule type="expression" dxfId="6276" priority="1604">
      <formula>F132&gt;H132*#REF!</formula>
    </cfRule>
  </conditionalFormatting>
  <conditionalFormatting sqref="F122">
    <cfRule type="expression" dxfId="6275" priority="1601">
      <formula>F122&gt;H122+#REF!</formula>
    </cfRule>
    <cfRule type="expression" dxfId="6274" priority="1602">
      <formula>F122&lt;H122-#REF!</formula>
    </cfRule>
  </conditionalFormatting>
  <conditionalFormatting sqref="F123">
    <cfRule type="expression" dxfId="6273" priority="1599">
      <formula>F123&gt;H123+#REF!</formula>
    </cfRule>
    <cfRule type="expression" dxfId="6272" priority="1600">
      <formula>F123&lt;H123-#REF!</formula>
    </cfRule>
  </conditionalFormatting>
  <conditionalFormatting sqref="F124">
    <cfRule type="expression" dxfId="6271" priority="1597">
      <formula>F124&gt;H124+#REF!</formula>
    </cfRule>
    <cfRule type="expression" dxfId="6270" priority="1598">
      <formula>F124&lt;H124-#REF!</formula>
    </cfRule>
  </conditionalFormatting>
  <conditionalFormatting sqref="F125">
    <cfRule type="expression" dxfId="6269" priority="1595">
      <formula>F125&gt;H125+#REF!</formula>
    </cfRule>
    <cfRule type="expression" dxfId="6268" priority="1596">
      <formula>F125&lt;H125-#REF!</formula>
    </cfRule>
  </conditionalFormatting>
  <conditionalFormatting sqref="F126">
    <cfRule type="expression" dxfId="6267" priority="1593">
      <formula>F126&gt;H126+#REF!</formula>
    </cfRule>
    <cfRule type="expression" dxfId="6266" priority="1594">
      <formula>F126&lt;H126-#REF!</formula>
    </cfRule>
  </conditionalFormatting>
  <conditionalFormatting sqref="F127">
    <cfRule type="expression" dxfId="6265" priority="1591">
      <formula>F127&gt;H127+#REF!</formula>
    </cfRule>
    <cfRule type="expression" dxfId="6264" priority="1592">
      <formula>F127&lt;H127-#REF!</formula>
    </cfRule>
  </conditionalFormatting>
  <conditionalFormatting sqref="F128">
    <cfRule type="expression" dxfId="6263" priority="1589">
      <formula>F128&gt;H128+#REF!</formula>
    </cfRule>
    <cfRule type="expression" dxfId="6262" priority="1590">
      <formula>F128&lt;H128-#REF!</formula>
    </cfRule>
  </conditionalFormatting>
  <conditionalFormatting sqref="F129:F130">
    <cfRule type="expression" dxfId="6261" priority="1587">
      <formula>F129&gt;H129+#REF!</formula>
    </cfRule>
    <cfRule type="expression" dxfId="6260" priority="1588">
      <formula>F129&lt;H129-#REF!</formula>
    </cfRule>
  </conditionalFormatting>
  <conditionalFormatting sqref="F131">
    <cfRule type="expression" dxfId="6259" priority="1585">
      <formula>F131&gt;H131+#REF!</formula>
    </cfRule>
    <cfRule type="expression" dxfId="6258" priority="1586">
      <formula>F131&lt;H131-#REF!</formula>
    </cfRule>
  </conditionalFormatting>
  <conditionalFormatting sqref="J134">
    <cfRule type="expression" dxfId="6257" priority="1181">
      <formula>J134&lt;L134*#REF!</formula>
    </cfRule>
    <cfRule type="expression" dxfId="6256" priority="1182">
      <formula>J134&gt;L134*#REF!</formula>
    </cfRule>
  </conditionalFormatting>
  <conditionalFormatting sqref="J135">
    <cfRule type="expression" dxfId="6255" priority="1179">
      <formula>J135&lt;L135*#REF!</formula>
    </cfRule>
    <cfRule type="expression" dxfId="6254" priority="1180">
      <formula>J135&gt;L135*#REF!</formula>
    </cfRule>
  </conditionalFormatting>
  <conditionalFormatting sqref="J136">
    <cfRule type="expression" dxfId="6253" priority="1175">
      <formula>J136&gt;L136+#REF!</formula>
    </cfRule>
    <cfRule type="expression" dxfId="6252" priority="1176">
      <formula>J136&lt;L136-#REF!</formula>
    </cfRule>
  </conditionalFormatting>
  <conditionalFormatting sqref="J137">
    <cfRule type="expression" dxfId="6251" priority="1173">
      <formula>J137&gt;L137+#REF!</formula>
    </cfRule>
    <cfRule type="expression" dxfId="6250" priority="1174">
      <formula>J137&lt;L137-#REF!</formula>
    </cfRule>
  </conditionalFormatting>
  <conditionalFormatting sqref="J138">
    <cfRule type="expression" dxfId="6249" priority="1171">
      <formula>J138&gt;L138+#REF!</formula>
    </cfRule>
    <cfRule type="expression" dxfId="6248" priority="1172">
      <formula>J138&lt;L138-#REF!</formula>
    </cfRule>
  </conditionalFormatting>
  <conditionalFormatting sqref="J139">
    <cfRule type="expression" dxfId="6247" priority="1169">
      <formula>J139&gt;L139+#REF!</formula>
    </cfRule>
    <cfRule type="expression" dxfId="6246" priority="1170">
      <formula>J139&lt;L139-#REF!</formula>
    </cfRule>
  </conditionalFormatting>
  <conditionalFormatting sqref="J140">
    <cfRule type="expression" dxfId="6245" priority="1167">
      <formula>J140&gt;L140+#REF!</formula>
    </cfRule>
    <cfRule type="expression" dxfId="6244" priority="1168">
      <formula>J140&lt;L140-#REF!</formula>
    </cfRule>
  </conditionalFormatting>
  <conditionalFormatting sqref="J141">
    <cfRule type="expression" dxfId="6243" priority="1165">
      <formula>J141&gt;L141+#REF!</formula>
    </cfRule>
    <cfRule type="expression" dxfId="6242" priority="1166">
      <formula>J141&lt;L141-#REF!</formula>
    </cfRule>
  </conditionalFormatting>
  <conditionalFormatting sqref="J142">
    <cfRule type="expression" dxfId="6241" priority="1163">
      <formula>J142&gt;L142+#REF!</formula>
    </cfRule>
    <cfRule type="expression" dxfId="6240" priority="1164">
      <formula>J142&lt;L142-#REF!</formula>
    </cfRule>
  </conditionalFormatting>
  <conditionalFormatting sqref="J143:J144">
    <cfRule type="expression" dxfId="6239" priority="1161">
      <formula>J143&gt;L143+#REF!</formula>
    </cfRule>
    <cfRule type="expression" dxfId="6238" priority="1162">
      <formula>J143&lt;L143-#REF!</formula>
    </cfRule>
  </conditionalFormatting>
  <conditionalFormatting sqref="J145">
    <cfRule type="expression" dxfId="6237" priority="1159">
      <formula>J145&gt;L145+#REF!</formula>
    </cfRule>
    <cfRule type="expression" dxfId="6236" priority="1160">
      <formula>J145&lt;L145-#REF!</formula>
    </cfRule>
  </conditionalFormatting>
  <conditionalFormatting sqref="J92">
    <cfRule type="expression" dxfId="6235" priority="1247">
      <formula>J92&lt;L92*#REF!</formula>
    </cfRule>
    <cfRule type="expression" dxfId="6234" priority="1248">
      <formula>J92&gt;L92*#REF!</formula>
    </cfRule>
  </conditionalFormatting>
  <conditionalFormatting sqref="J93">
    <cfRule type="expression" dxfId="6233" priority="1245">
      <formula>J93&lt;L93*#REF!</formula>
    </cfRule>
    <cfRule type="expression" dxfId="6232" priority="1246">
      <formula>J93&gt;L93*#REF!</formula>
    </cfRule>
  </conditionalFormatting>
  <conditionalFormatting sqref="J104">
    <cfRule type="expression" dxfId="6231" priority="1243">
      <formula>J104&lt;L104*#REF!</formula>
    </cfRule>
    <cfRule type="expression" dxfId="6230" priority="1244">
      <formula>J104&gt;L104*#REF!</formula>
    </cfRule>
  </conditionalFormatting>
  <conditionalFormatting sqref="J94">
    <cfRule type="expression" dxfId="6229" priority="1241">
      <formula>J94&gt;L94+#REF!</formula>
    </cfRule>
    <cfRule type="expression" dxfId="6228" priority="1242">
      <formula>J94&lt;L94-#REF!</formula>
    </cfRule>
  </conditionalFormatting>
  <conditionalFormatting sqref="J95">
    <cfRule type="expression" dxfId="6227" priority="1239">
      <formula>J95&gt;L95+#REF!</formula>
    </cfRule>
    <cfRule type="expression" dxfId="6226" priority="1240">
      <formula>J95&lt;L95-#REF!</formula>
    </cfRule>
  </conditionalFormatting>
  <conditionalFormatting sqref="J96">
    <cfRule type="expression" dxfId="6225" priority="1237">
      <formula>J96&gt;L96+#REF!</formula>
    </cfRule>
    <cfRule type="expression" dxfId="6224" priority="1238">
      <formula>J96&lt;L96-#REF!</formula>
    </cfRule>
  </conditionalFormatting>
  <conditionalFormatting sqref="J97">
    <cfRule type="expression" dxfId="6223" priority="1235">
      <formula>J97&gt;L97+#REF!</formula>
    </cfRule>
    <cfRule type="expression" dxfId="6222" priority="1236">
      <formula>J97&lt;L97-#REF!</formula>
    </cfRule>
  </conditionalFormatting>
  <conditionalFormatting sqref="J98">
    <cfRule type="expression" dxfId="6221" priority="1233">
      <formula>J98&gt;L98+#REF!</formula>
    </cfRule>
    <cfRule type="expression" dxfId="6220" priority="1234">
      <formula>J98&lt;L98-#REF!</formula>
    </cfRule>
  </conditionalFormatting>
  <conditionalFormatting sqref="J99">
    <cfRule type="expression" dxfId="6219" priority="1231">
      <formula>J99&gt;L99+#REF!</formula>
    </cfRule>
    <cfRule type="expression" dxfId="6218" priority="1232">
      <formula>J99&lt;L99-#REF!</formula>
    </cfRule>
  </conditionalFormatting>
  <conditionalFormatting sqref="J100">
    <cfRule type="expression" dxfId="6217" priority="1229">
      <formula>J100&gt;L100+#REF!</formula>
    </cfRule>
    <cfRule type="expression" dxfId="6216" priority="1230">
      <formula>J100&lt;L100-#REF!</formula>
    </cfRule>
  </conditionalFormatting>
  <conditionalFormatting sqref="J101:J102">
    <cfRule type="expression" dxfId="6215" priority="1227">
      <formula>J101&gt;L101+#REF!</formula>
    </cfRule>
    <cfRule type="expression" dxfId="6214" priority="1228">
      <formula>J101&lt;L101-#REF!</formula>
    </cfRule>
  </conditionalFormatting>
  <conditionalFormatting sqref="J103">
    <cfRule type="expression" dxfId="6213" priority="1225">
      <formula>J103&gt;L103+#REF!</formula>
    </cfRule>
    <cfRule type="expression" dxfId="6212" priority="1226">
      <formula>J103&lt;L103-#REF!</formula>
    </cfRule>
  </conditionalFormatting>
  <conditionalFormatting sqref="J160">
    <cfRule type="expression" dxfId="6211" priority="1153">
      <formula>J160&lt;L160*#REF!</formula>
    </cfRule>
    <cfRule type="expression" dxfId="6210" priority="1154">
      <formula>J160&gt;L160*#REF!</formula>
    </cfRule>
  </conditionalFormatting>
  <conditionalFormatting sqref="J146">
    <cfRule type="expression" dxfId="6209" priority="1177">
      <formula>J146&lt;L146*#REF!</formula>
    </cfRule>
    <cfRule type="expression" dxfId="6208" priority="1178">
      <formula>J146&gt;L146*#REF!</formula>
    </cfRule>
  </conditionalFormatting>
  <conditionalFormatting sqref="F134">
    <cfRule type="expression" dxfId="6207" priority="1583">
      <formula>F134&lt;H134*#REF!</formula>
    </cfRule>
    <cfRule type="expression" dxfId="6206" priority="1584">
      <formula>F134&gt;H134*#REF!</formula>
    </cfRule>
  </conditionalFormatting>
  <conditionalFormatting sqref="F135">
    <cfRule type="expression" dxfId="6205" priority="1581">
      <formula>F135&lt;H135*#REF!</formula>
    </cfRule>
    <cfRule type="expression" dxfId="6204" priority="1582">
      <formula>F135&gt;H135*#REF!</formula>
    </cfRule>
  </conditionalFormatting>
  <conditionalFormatting sqref="F146">
    <cfRule type="expression" dxfId="6203" priority="1579">
      <formula>F146&lt;H146*#REF!</formula>
    </cfRule>
    <cfRule type="expression" dxfId="6202" priority="1580">
      <formula>F146&gt;H146*#REF!</formula>
    </cfRule>
  </conditionalFormatting>
  <conditionalFormatting sqref="F136">
    <cfRule type="expression" dxfId="6201" priority="1577">
      <formula>F136&gt;H136+#REF!</formula>
    </cfRule>
    <cfRule type="expression" dxfId="6200" priority="1578">
      <formula>F136&lt;H136-#REF!</formula>
    </cfRule>
  </conditionalFormatting>
  <conditionalFormatting sqref="F137">
    <cfRule type="expression" dxfId="6199" priority="1575">
      <formula>F137&gt;H137+#REF!</formula>
    </cfRule>
    <cfRule type="expression" dxfId="6198" priority="1576">
      <formula>F137&lt;H137-#REF!</formula>
    </cfRule>
  </conditionalFormatting>
  <conditionalFormatting sqref="F138">
    <cfRule type="expression" dxfId="6197" priority="1573">
      <formula>F138&gt;H138+#REF!</formula>
    </cfRule>
    <cfRule type="expression" dxfId="6196" priority="1574">
      <formula>F138&lt;H138-#REF!</formula>
    </cfRule>
  </conditionalFormatting>
  <conditionalFormatting sqref="F139">
    <cfRule type="expression" dxfId="6195" priority="1571">
      <formula>F139&gt;H139+#REF!</formula>
    </cfRule>
    <cfRule type="expression" dxfId="6194" priority="1572">
      <formula>F139&lt;H139-#REF!</formula>
    </cfRule>
  </conditionalFormatting>
  <conditionalFormatting sqref="F140">
    <cfRule type="expression" dxfId="6193" priority="1569">
      <formula>F140&gt;H140+#REF!</formula>
    </cfRule>
    <cfRule type="expression" dxfId="6192" priority="1570">
      <formula>F140&lt;H140-#REF!</formula>
    </cfRule>
  </conditionalFormatting>
  <conditionalFormatting sqref="F141">
    <cfRule type="expression" dxfId="6191" priority="1567">
      <formula>F141&gt;H141+#REF!</formula>
    </cfRule>
    <cfRule type="expression" dxfId="6190" priority="1568">
      <formula>F141&lt;H141-#REF!</formula>
    </cfRule>
  </conditionalFormatting>
  <conditionalFormatting sqref="F142">
    <cfRule type="expression" dxfId="6189" priority="1565">
      <formula>F142&gt;H142+#REF!</formula>
    </cfRule>
    <cfRule type="expression" dxfId="6188" priority="1566">
      <formula>F142&lt;H142-#REF!</formula>
    </cfRule>
  </conditionalFormatting>
  <conditionalFormatting sqref="F143:F144">
    <cfRule type="expression" dxfId="6187" priority="1563">
      <formula>F143&gt;H143+#REF!</formula>
    </cfRule>
    <cfRule type="expression" dxfId="6186" priority="1564">
      <formula>F143&lt;H143-#REF!</formula>
    </cfRule>
  </conditionalFormatting>
  <conditionalFormatting sqref="F145">
    <cfRule type="expression" dxfId="6185" priority="1561">
      <formula>F145&gt;H145+#REF!</formula>
    </cfRule>
    <cfRule type="expression" dxfId="6184" priority="1562">
      <formula>F145&lt;H145-#REF!</formula>
    </cfRule>
  </conditionalFormatting>
  <conditionalFormatting sqref="J204">
    <cfRule type="expression" dxfId="6183" priority="1061">
      <formula>J204&lt;L204*#REF!</formula>
    </cfRule>
    <cfRule type="expression" dxfId="6182" priority="1062">
      <formula>J204&gt;L204*#REF!</formula>
    </cfRule>
  </conditionalFormatting>
  <conditionalFormatting sqref="J205">
    <cfRule type="expression" dxfId="6181" priority="1059">
      <formula>J205&lt;L205*#REF!</formula>
    </cfRule>
    <cfRule type="expression" dxfId="6180" priority="1060">
      <formula>J205&gt;L205*#REF!</formula>
    </cfRule>
  </conditionalFormatting>
  <conditionalFormatting sqref="J206">
    <cfRule type="expression" dxfId="6179" priority="1055">
      <formula>J206&gt;L206+#REF!</formula>
    </cfRule>
    <cfRule type="expression" dxfId="6178" priority="1056">
      <formula>J206&lt;L206-#REF!</formula>
    </cfRule>
  </conditionalFormatting>
  <conditionalFormatting sqref="J207">
    <cfRule type="expression" dxfId="6177" priority="1053">
      <formula>J207&gt;L207+#REF!</formula>
    </cfRule>
    <cfRule type="expression" dxfId="6176" priority="1054">
      <formula>J207&lt;L207-#REF!</formula>
    </cfRule>
  </conditionalFormatting>
  <conditionalFormatting sqref="J208">
    <cfRule type="expression" dxfId="6175" priority="1051">
      <formula>J208&gt;L208+#REF!</formula>
    </cfRule>
    <cfRule type="expression" dxfId="6174" priority="1052">
      <formula>J208&lt;L208-#REF!</formula>
    </cfRule>
  </conditionalFormatting>
  <conditionalFormatting sqref="J209">
    <cfRule type="expression" dxfId="6173" priority="1049">
      <formula>J209&gt;L209+#REF!</formula>
    </cfRule>
    <cfRule type="expression" dxfId="6172" priority="1050">
      <formula>J209&lt;L209-#REF!</formula>
    </cfRule>
  </conditionalFormatting>
  <conditionalFormatting sqref="J210">
    <cfRule type="expression" dxfId="6171" priority="1047">
      <formula>J210&gt;L210+#REF!</formula>
    </cfRule>
    <cfRule type="expression" dxfId="6170" priority="1048">
      <formula>J210&lt;L210-#REF!</formula>
    </cfRule>
  </conditionalFormatting>
  <conditionalFormatting sqref="J211">
    <cfRule type="expression" dxfId="6169" priority="1045">
      <formula>J211&gt;L211+#REF!</formula>
    </cfRule>
    <cfRule type="expression" dxfId="6168" priority="1046">
      <formula>J211&lt;L211-#REF!</formula>
    </cfRule>
  </conditionalFormatting>
  <conditionalFormatting sqref="J212">
    <cfRule type="expression" dxfId="6167" priority="1043">
      <formula>J212&gt;L212+#REF!</formula>
    </cfRule>
    <cfRule type="expression" dxfId="6166" priority="1044">
      <formula>J212&lt;L212-#REF!</formula>
    </cfRule>
  </conditionalFormatting>
  <conditionalFormatting sqref="J213:J214">
    <cfRule type="expression" dxfId="6165" priority="1041">
      <formula>J213&gt;L213+#REF!</formula>
    </cfRule>
    <cfRule type="expression" dxfId="6164" priority="1042">
      <formula>J213&lt;L213-#REF!</formula>
    </cfRule>
  </conditionalFormatting>
  <conditionalFormatting sqref="J215">
    <cfRule type="expression" dxfId="6163" priority="1039">
      <formula>J215&gt;L215+#REF!</formula>
    </cfRule>
    <cfRule type="expression" dxfId="6162" priority="1040">
      <formula>J215&lt;L215-#REF!</formula>
    </cfRule>
  </conditionalFormatting>
  <conditionalFormatting sqref="J48">
    <cfRule type="expression" dxfId="6161" priority="1339">
      <formula>J48&lt;L48*#REF!</formula>
    </cfRule>
    <cfRule type="expression" dxfId="6160" priority="1340">
      <formula>J48&gt;L48*#REF!</formula>
    </cfRule>
  </conditionalFormatting>
  <conditionalFormatting sqref="J62">
    <cfRule type="expression" dxfId="6159" priority="1315">
      <formula>J62&lt;L62*#REF!</formula>
    </cfRule>
    <cfRule type="expression" dxfId="6158" priority="1316">
      <formula>J62&gt;L62*#REF!</formula>
    </cfRule>
  </conditionalFormatting>
  <conditionalFormatting sqref="J76">
    <cfRule type="expression" dxfId="6157" priority="1291">
      <formula>J76&lt;L76*#REF!</formula>
    </cfRule>
    <cfRule type="expression" dxfId="6156" priority="1292">
      <formula>J76&gt;L76*#REF!</formula>
    </cfRule>
  </conditionalFormatting>
  <conditionalFormatting sqref="J90">
    <cfRule type="expression" dxfId="6155" priority="1267">
      <formula>J90&lt;L90*#REF!</formula>
    </cfRule>
    <cfRule type="expression" dxfId="6154" priority="1268">
      <formula>J90&gt;L90*#REF!</formula>
    </cfRule>
  </conditionalFormatting>
  <conditionalFormatting sqref="J118">
    <cfRule type="expression" dxfId="6153" priority="1219">
      <formula>J118&lt;L118*#REF!</formula>
    </cfRule>
    <cfRule type="expression" dxfId="6152" priority="1220">
      <formula>J118&gt;L118*#REF!</formula>
    </cfRule>
  </conditionalFormatting>
  <conditionalFormatting sqref="J218">
    <cfRule type="expression" dxfId="6151" priority="1013">
      <formula>J218&lt;L218*#REF!</formula>
    </cfRule>
    <cfRule type="expression" dxfId="6150" priority="1014">
      <formula>J218&gt;L218*#REF!</formula>
    </cfRule>
  </conditionalFormatting>
  <conditionalFormatting sqref="J219">
    <cfRule type="expression" dxfId="6149" priority="1011">
      <formula>J219&lt;L219*#REF!</formula>
    </cfRule>
    <cfRule type="expression" dxfId="6148" priority="1012">
      <formula>J219&gt;L219*#REF!</formula>
    </cfRule>
  </conditionalFormatting>
  <conditionalFormatting sqref="J132">
    <cfRule type="expression" dxfId="6147" priority="1201">
      <formula>J132&lt;L132*#REF!</formula>
    </cfRule>
    <cfRule type="expression" dxfId="6146" priority="1202">
      <formula>J132&gt;L132*#REF!</formula>
    </cfRule>
  </conditionalFormatting>
  <conditionalFormatting sqref="J227:J228">
    <cfRule type="expression" dxfId="6145" priority="1007">
      <formula>J227&gt;L227+#REF!</formula>
    </cfRule>
    <cfRule type="expression" dxfId="6144" priority="1008">
      <formula>J227&lt;L227-#REF!</formula>
    </cfRule>
  </conditionalFormatting>
  <conditionalFormatting sqref="J174">
    <cfRule type="expression" dxfId="6143" priority="1129">
      <formula>J174&lt;L174*#REF!</formula>
    </cfRule>
    <cfRule type="expression" dxfId="6142" priority="1130">
      <formula>J174&gt;L174*#REF!</formula>
    </cfRule>
  </conditionalFormatting>
  <conditionalFormatting sqref="J188">
    <cfRule type="expression" dxfId="6141" priority="1081">
      <formula>J188&lt;L188*#REF!</formula>
    </cfRule>
    <cfRule type="expression" dxfId="6140" priority="1082">
      <formula>J188&gt;L188*#REF!</formula>
    </cfRule>
  </conditionalFormatting>
  <conditionalFormatting sqref="F8">
    <cfRule type="expression" dxfId="6139" priority="1799">
      <formula>F8&lt;H8*#REF!</formula>
    </cfRule>
    <cfRule type="expression" dxfId="6138" priority="1800">
      <formula>F8&gt;H8*#REF!</formula>
    </cfRule>
  </conditionalFormatting>
  <conditionalFormatting sqref="F9">
    <cfRule type="expression" dxfId="6137" priority="1797">
      <formula>F9&lt;H9*#REF!</formula>
    </cfRule>
    <cfRule type="expression" dxfId="6136" priority="1798">
      <formula>F9&gt;H9*#REF!</formula>
    </cfRule>
  </conditionalFormatting>
  <conditionalFormatting sqref="F20">
    <cfRule type="expression" dxfId="6135" priority="1795">
      <formula>F20&lt;H20*#REF!</formula>
    </cfRule>
    <cfRule type="expression" dxfId="6134" priority="1796">
      <formula>F20&gt;H20*#REF!</formula>
    </cfRule>
  </conditionalFormatting>
  <conditionalFormatting sqref="F10">
    <cfRule type="expression" dxfId="6133" priority="1793">
      <formula>F10&gt;H10+#REF!</formula>
    </cfRule>
    <cfRule type="expression" dxfId="6132" priority="1794">
      <formula>F10&lt;H10-#REF!</formula>
    </cfRule>
  </conditionalFormatting>
  <conditionalFormatting sqref="F11">
    <cfRule type="expression" dxfId="6131" priority="1791">
      <formula>F11&gt;H11+#REF!</formula>
    </cfRule>
    <cfRule type="expression" dxfId="6130" priority="1792">
      <formula>F11&lt;H11-#REF!</formula>
    </cfRule>
  </conditionalFormatting>
  <conditionalFormatting sqref="F12">
    <cfRule type="expression" dxfId="6129" priority="1789">
      <formula>F12&gt;H12+#REF!</formula>
    </cfRule>
    <cfRule type="expression" dxfId="6128" priority="1790">
      <formula>F12&lt;H12-#REF!</formula>
    </cfRule>
  </conditionalFormatting>
  <conditionalFormatting sqref="F13">
    <cfRule type="expression" dxfId="6127" priority="1787">
      <formula>F13&gt;H13+#REF!</formula>
    </cfRule>
    <cfRule type="expression" dxfId="6126" priority="1788">
      <formula>F13&lt;H13-#REF!</formula>
    </cfRule>
  </conditionalFormatting>
  <conditionalFormatting sqref="F14">
    <cfRule type="expression" dxfId="6125" priority="1785">
      <formula>F14&gt;H14+#REF!</formula>
    </cfRule>
    <cfRule type="expression" dxfId="6124" priority="1786">
      <formula>F14&lt;H14-#REF!</formula>
    </cfRule>
  </conditionalFormatting>
  <conditionalFormatting sqref="F15">
    <cfRule type="expression" dxfId="6123" priority="1783">
      <formula>F15&gt;H15+#REF!</formula>
    </cfRule>
    <cfRule type="expression" dxfId="6122" priority="1784">
      <formula>F15&lt;H15-#REF!</formula>
    </cfRule>
  </conditionalFormatting>
  <conditionalFormatting sqref="F16">
    <cfRule type="expression" dxfId="6121" priority="1781">
      <formula>F16&gt;H16+#REF!</formula>
    </cfRule>
    <cfRule type="expression" dxfId="6120" priority="1782">
      <formula>F16&lt;H16-#REF!</formula>
    </cfRule>
  </conditionalFormatting>
  <conditionalFormatting sqref="F17:F18">
    <cfRule type="expression" dxfId="6119" priority="1779">
      <formula>F17&gt;H17+#REF!</formula>
    </cfRule>
    <cfRule type="expression" dxfId="6118" priority="1780">
      <formula>F17&lt;H17-#REF!</formula>
    </cfRule>
  </conditionalFormatting>
  <conditionalFormatting sqref="F19">
    <cfRule type="expression" dxfId="6117" priority="1777">
      <formula>F19&gt;H19+#REF!</formula>
    </cfRule>
    <cfRule type="expression" dxfId="6116" priority="1778">
      <formula>F19&lt;H19-#REF!</formula>
    </cfRule>
  </conditionalFormatting>
  <conditionalFormatting sqref="F22">
    <cfRule type="expression" dxfId="6115" priority="1775">
      <formula>F22&lt;H22*#REF!</formula>
    </cfRule>
    <cfRule type="expression" dxfId="6114" priority="1776">
      <formula>F22&gt;H22*#REF!</formula>
    </cfRule>
  </conditionalFormatting>
  <conditionalFormatting sqref="F23">
    <cfRule type="expression" dxfId="6113" priority="1773">
      <formula>F23&lt;H23*#REF!</formula>
    </cfRule>
    <cfRule type="expression" dxfId="6112" priority="1774">
      <formula>F23&gt;H23*#REF!</formula>
    </cfRule>
  </conditionalFormatting>
  <conditionalFormatting sqref="F34">
    <cfRule type="expression" dxfId="6111" priority="1771">
      <formula>F34&lt;H34*#REF!</formula>
    </cfRule>
    <cfRule type="expression" dxfId="6110" priority="1772">
      <formula>F34&gt;H34*#REF!</formula>
    </cfRule>
  </conditionalFormatting>
  <conditionalFormatting sqref="F24">
    <cfRule type="expression" dxfId="6109" priority="1769">
      <formula>F24&gt;H24+#REF!</formula>
    </cfRule>
    <cfRule type="expression" dxfId="6108" priority="1770">
      <formula>F24&lt;H24-#REF!</formula>
    </cfRule>
  </conditionalFormatting>
  <conditionalFormatting sqref="F25">
    <cfRule type="expression" dxfId="6107" priority="1767">
      <formula>F25&gt;H25+#REF!</formula>
    </cfRule>
    <cfRule type="expression" dxfId="6106" priority="1768">
      <formula>F25&lt;H25-#REF!</formula>
    </cfRule>
  </conditionalFormatting>
  <conditionalFormatting sqref="F26">
    <cfRule type="expression" dxfId="6105" priority="1765">
      <formula>F26&gt;H26+#REF!</formula>
    </cfRule>
    <cfRule type="expression" dxfId="6104" priority="1766">
      <formula>F26&lt;H26-#REF!</formula>
    </cfRule>
  </conditionalFormatting>
  <conditionalFormatting sqref="F27">
    <cfRule type="expression" dxfId="6103" priority="1763">
      <formula>F27&gt;H27+#REF!</formula>
    </cfRule>
    <cfRule type="expression" dxfId="6102" priority="1764">
      <formula>F27&lt;H27-#REF!</formula>
    </cfRule>
  </conditionalFormatting>
  <conditionalFormatting sqref="F28">
    <cfRule type="expression" dxfId="6101" priority="1761">
      <formula>F28&gt;H28+#REF!</formula>
    </cfRule>
    <cfRule type="expression" dxfId="6100" priority="1762">
      <formula>F28&lt;H28-#REF!</formula>
    </cfRule>
  </conditionalFormatting>
  <conditionalFormatting sqref="F29">
    <cfRule type="expression" dxfId="6099" priority="1759">
      <formula>F29&gt;H29+#REF!</formula>
    </cfRule>
    <cfRule type="expression" dxfId="6098" priority="1760">
      <formula>F29&lt;H29-#REF!</formula>
    </cfRule>
  </conditionalFormatting>
  <conditionalFormatting sqref="F30">
    <cfRule type="expression" dxfId="6097" priority="1757">
      <formula>F30&gt;H30+#REF!</formula>
    </cfRule>
    <cfRule type="expression" dxfId="6096" priority="1758">
      <formula>F30&lt;H30-#REF!</formula>
    </cfRule>
  </conditionalFormatting>
  <conditionalFormatting sqref="F31:F32">
    <cfRule type="expression" dxfId="6095" priority="1755">
      <formula>F31&gt;H31+#REF!</formula>
    </cfRule>
    <cfRule type="expression" dxfId="6094" priority="1756">
      <formula>F31&lt;H31-#REF!</formula>
    </cfRule>
  </conditionalFormatting>
  <conditionalFormatting sqref="F33">
    <cfRule type="expression" dxfId="6093" priority="1753">
      <formula>F33&gt;H33+#REF!</formula>
    </cfRule>
    <cfRule type="expression" dxfId="6092" priority="1754">
      <formula>F33&lt;H33-#REF!</formula>
    </cfRule>
  </conditionalFormatting>
  <conditionalFormatting sqref="F36">
    <cfRule type="expression" dxfId="6091" priority="1751">
      <formula>F36&lt;H36*#REF!</formula>
    </cfRule>
    <cfRule type="expression" dxfId="6090" priority="1752">
      <formula>F36&gt;H36*#REF!</formula>
    </cfRule>
  </conditionalFormatting>
  <conditionalFormatting sqref="F37">
    <cfRule type="expression" dxfId="6089" priority="1749">
      <formula>F37&lt;H37*#REF!</formula>
    </cfRule>
    <cfRule type="expression" dxfId="6088" priority="1750">
      <formula>F37&gt;H37*#REF!</formula>
    </cfRule>
  </conditionalFormatting>
  <conditionalFormatting sqref="F48">
    <cfRule type="expression" dxfId="6087" priority="1747">
      <formula>F48&lt;H48*#REF!</formula>
    </cfRule>
    <cfRule type="expression" dxfId="6086" priority="1748">
      <formula>F48&gt;H48*#REF!</formula>
    </cfRule>
  </conditionalFormatting>
  <conditionalFormatting sqref="F38">
    <cfRule type="expression" dxfId="6085" priority="1745">
      <formula>F38&gt;H38+#REF!</formula>
    </cfRule>
    <cfRule type="expression" dxfId="6084" priority="1746">
      <formula>F38&lt;H38-#REF!</formula>
    </cfRule>
  </conditionalFormatting>
  <conditionalFormatting sqref="F39">
    <cfRule type="expression" dxfId="6083" priority="1743">
      <formula>F39&gt;H39+#REF!</formula>
    </cfRule>
    <cfRule type="expression" dxfId="6082" priority="1744">
      <formula>F39&lt;H39-#REF!</formula>
    </cfRule>
  </conditionalFormatting>
  <conditionalFormatting sqref="F40">
    <cfRule type="expression" dxfId="6081" priority="1741">
      <formula>F40&gt;H40+#REF!</formula>
    </cfRule>
    <cfRule type="expression" dxfId="6080" priority="1742">
      <formula>F40&lt;H40-#REF!</formula>
    </cfRule>
  </conditionalFormatting>
  <conditionalFormatting sqref="F41">
    <cfRule type="expression" dxfId="6079" priority="1739">
      <formula>F41&gt;H41+#REF!</formula>
    </cfRule>
    <cfRule type="expression" dxfId="6078" priority="1740">
      <formula>F41&lt;H41-#REF!</formula>
    </cfRule>
  </conditionalFormatting>
  <conditionalFormatting sqref="F42">
    <cfRule type="expression" dxfId="6077" priority="1737">
      <formula>F42&gt;H42+#REF!</formula>
    </cfRule>
    <cfRule type="expression" dxfId="6076" priority="1738">
      <formula>F42&lt;H42-#REF!</formula>
    </cfRule>
  </conditionalFormatting>
  <conditionalFormatting sqref="F43">
    <cfRule type="expression" dxfId="6075" priority="1735">
      <formula>F43&gt;H43+#REF!</formula>
    </cfRule>
    <cfRule type="expression" dxfId="6074" priority="1736">
      <formula>F43&lt;H43-#REF!</formula>
    </cfRule>
  </conditionalFormatting>
  <conditionalFormatting sqref="F44">
    <cfRule type="expression" dxfId="6073" priority="1733">
      <formula>F44&gt;H44+#REF!</formula>
    </cfRule>
    <cfRule type="expression" dxfId="6072" priority="1734">
      <formula>F44&lt;H44-#REF!</formula>
    </cfRule>
  </conditionalFormatting>
  <conditionalFormatting sqref="F45:F46">
    <cfRule type="expression" dxfId="6071" priority="1731">
      <formula>F45&gt;H45+#REF!</formula>
    </cfRule>
    <cfRule type="expression" dxfId="6070" priority="1732">
      <formula>F45&lt;H45-#REF!</formula>
    </cfRule>
  </conditionalFormatting>
  <conditionalFormatting sqref="F47">
    <cfRule type="expression" dxfId="6069" priority="1729">
      <formula>F47&gt;H47+#REF!</formula>
    </cfRule>
    <cfRule type="expression" dxfId="6068" priority="1730">
      <formula>F47&lt;H47-#REF!</formula>
    </cfRule>
  </conditionalFormatting>
  <conditionalFormatting sqref="F50">
    <cfRule type="expression" dxfId="6067" priority="1727">
      <formula>F50&lt;H50*#REF!</formula>
    </cfRule>
    <cfRule type="expression" dxfId="6066" priority="1728">
      <formula>F50&gt;H50*#REF!</formula>
    </cfRule>
  </conditionalFormatting>
  <conditionalFormatting sqref="F51">
    <cfRule type="expression" dxfId="6065" priority="1725">
      <formula>F51&lt;H51*#REF!</formula>
    </cfRule>
    <cfRule type="expression" dxfId="6064" priority="1726">
      <formula>F51&gt;H51*#REF!</formula>
    </cfRule>
  </conditionalFormatting>
  <conditionalFormatting sqref="F62">
    <cfRule type="expression" dxfId="6063" priority="1723">
      <formula>F62&lt;H62*#REF!</formula>
    </cfRule>
    <cfRule type="expression" dxfId="6062" priority="1724">
      <formula>F62&gt;H62*#REF!</formula>
    </cfRule>
  </conditionalFormatting>
  <conditionalFormatting sqref="F52">
    <cfRule type="expression" dxfId="6061" priority="1721">
      <formula>F52&gt;H52+#REF!</formula>
    </cfRule>
    <cfRule type="expression" dxfId="6060" priority="1722">
      <formula>F52&lt;H52-#REF!</formula>
    </cfRule>
  </conditionalFormatting>
  <conditionalFormatting sqref="F53">
    <cfRule type="expression" dxfId="6059" priority="1719">
      <formula>F53&gt;H53+#REF!</formula>
    </cfRule>
    <cfRule type="expression" dxfId="6058" priority="1720">
      <formula>F53&lt;H53-#REF!</formula>
    </cfRule>
  </conditionalFormatting>
  <conditionalFormatting sqref="F54">
    <cfRule type="expression" dxfId="6057" priority="1717">
      <formula>F54&gt;H54+#REF!</formula>
    </cfRule>
    <cfRule type="expression" dxfId="6056" priority="1718">
      <formula>F54&lt;H54-#REF!</formula>
    </cfRule>
  </conditionalFormatting>
  <conditionalFormatting sqref="F55">
    <cfRule type="expression" dxfId="6055" priority="1715">
      <formula>F55&gt;H55+#REF!</formula>
    </cfRule>
    <cfRule type="expression" dxfId="6054" priority="1716">
      <formula>F55&lt;H55-#REF!</formula>
    </cfRule>
  </conditionalFormatting>
  <conditionalFormatting sqref="F56">
    <cfRule type="expression" dxfId="6053" priority="1713">
      <formula>F56&gt;H56+#REF!</formula>
    </cfRule>
    <cfRule type="expression" dxfId="6052" priority="1714">
      <formula>F56&lt;H56-#REF!</formula>
    </cfRule>
  </conditionalFormatting>
  <conditionalFormatting sqref="F57">
    <cfRule type="expression" dxfId="6051" priority="1711">
      <formula>F57&gt;H57+#REF!</formula>
    </cfRule>
    <cfRule type="expression" dxfId="6050" priority="1712">
      <formula>F57&lt;H57-#REF!</formula>
    </cfRule>
  </conditionalFormatting>
  <conditionalFormatting sqref="F58">
    <cfRule type="expression" dxfId="6049" priority="1709">
      <formula>F58&gt;H58+#REF!</formula>
    </cfRule>
    <cfRule type="expression" dxfId="6048" priority="1710">
      <formula>F58&lt;H58-#REF!</formula>
    </cfRule>
  </conditionalFormatting>
  <conditionalFormatting sqref="F59:F60">
    <cfRule type="expression" dxfId="6047" priority="1707">
      <formula>F59&gt;H59+#REF!</formula>
    </cfRule>
    <cfRule type="expression" dxfId="6046" priority="1708">
      <formula>F59&lt;H59-#REF!</formula>
    </cfRule>
  </conditionalFormatting>
  <conditionalFormatting sqref="F61">
    <cfRule type="expression" dxfId="6045" priority="1705">
      <formula>F61&gt;H61+#REF!</formula>
    </cfRule>
    <cfRule type="expression" dxfId="6044" priority="1706">
      <formula>F61&lt;H61-#REF!</formula>
    </cfRule>
  </conditionalFormatting>
  <conditionalFormatting sqref="F64">
    <cfRule type="expression" dxfId="6043" priority="1703">
      <formula>F64&lt;H64*#REF!</formula>
    </cfRule>
    <cfRule type="expression" dxfId="6042" priority="1704">
      <formula>F64&gt;H64*#REF!</formula>
    </cfRule>
  </conditionalFormatting>
  <conditionalFormatting sqref="F65">
    <cfRule type="expression" dxfId="6041" priority="1701">
      <formula>F65&lt;H65*#REF!</formula>
    </cfRule>
    <cfRule type="expression" dxfId="6040" priority="1702">
      <formula>F65&gt;H65*#REF!</formula>
    </cfRule>
  </conditionalFormatting>
  <conditionalFormatting sqref="F76">
    <cfRule type="expression" dxfId="6039" priority="1699">
      <formula>F76&lt;H76*#REF!</formula>
    </cfRule>
    <cfRule type="expression" dxfId="6038" priority="1700">
      <formula>F76&gt;H76*#REF!</formula>
    </cfRule>
  </conditionalFormatting>
  <conditionalFormatting sqref="F66">
    <cfRule type="expression" dxfId="6037" priority="1697">
      <formula>F66&gt;H66+#REF!</formula>
    </cfRule>
    <cfRule type="expression" dxfId="6036" priority="1698">
      <formula>F66&lt;H66-#REF!</formula>
    </cfRule>
  </conditionalFormatting>
  <conditionalFormatting sqref="F67">
    <cfRule type="expression" dxfId="6035" priority="1695">
      <formula>F67&gt;H67+#REF!</formula>
    </cfRule>
    <cfRule type="expression" dxfId="6034" priority="1696">
      <formula>F67&lt;H67-#REF!</formula>
    </cfRule>
  </conditionalFormatting>
  <conditionalFormatting sqref="F68">
    <cfRule type="expression" dxfId="6033" priority="1693">
      <formula>F68&gt;H68+#REF!</formula>
    </cfRule>
    <cfRule type="expression" dxfId="6032" priority="1694">
      <formula>F68&lt;H68-#REF!</formula>
    </cfRule>
  </conditionalFormatting>
  <conditionalFormatting sqref="F69">
    <cfRule type="expression" dxfId="6031" priority="1691">
      <formula>F69&gt;H69+#REF!</formula>
    </cfRule>
    <cfRule type="expression" dxfId="6030" priority="1692">
      <formula>F69&lt;H69-#REF!</formula>
    </cfRule>
  </conditionalFormatting>
  <conditionalFormatting sqref="F70">
    <cfRule type="expression" dxfId="6029" priority="1689">
      <formula>F70&gt;H70+#REF!</formula>
    </cfRule>
    <cfRule type="expression" dxfId="6028" priority="1690">
      <formula>F70&lt;H70-#REF!</formula>
    </cfRule>
  </conditionalFormatting>
  <conditionalFormatting sqref="F71">
    <cfRule type="expression" dxfId="6027" priority="1687">
      <formula>F71&gt;H71+#REF!</formula>
    </cfRule>
    <cfRule type="expression" dxfId="6026" priority="1688">
      <formula>F71&lt;H71-#REF!</formula>
    </cfRule>
  </conditionalFormatting>
  <conditionalFormatting sqref="F72">
    <cfRule type="expression" dxfId="6025" priority="1685">
      <formula>F72&gt;H72+#REF!</formula>
    </cfRule>
    <cfRule type="expression" dxfId="6024" priority="1686">
      <formula>F72&lt;H72-#REF!</formula>
    </cfRule>
  </conditionalFormatting>
  <conditionalFormatting sqref="F73:F74">
    <cfRule type="expression" dxfId="6023" priority="1683">
      <formula>F73&gt;H73+#REF!</formula>
    </cfRule>
    <cfRule type="expression" dxfId="6022" priority="1684">
      <formula>F73&lt;H73-#REF!</formula>
    </cfRule>
  </conditionalFormatting>
  <conditionalFormatting sqref="F75">
    <cfRule type="expression" dxfId="6021" priority="1681">
      <formula>F75&gt;H75+#REF!</formula>
    </cfRule>
    <cfRule type="expression" dxfId="6020" priority="1682">
      <formula>F75&lt;H75-#REF!</formula>
    </cfRule>
  </conditionalFormatting>
  <conditionalFormatting sqref="F78">
    <cfRule type="expression" dxfId="6019" priority="1679">
      <formula>F78&lt;H78*#REF!</formula>
    </cfRule>
    <cfRule type="expression" dxfId="6018" priority="1680">
      <formula>F78&gt;H78*#REF!</formula>
    </cfRule>
  </conditionalFormatting>
  <conditionalFormatting sqref="F79">
    <cfRule type="expression" dxfId="6017" priority="1677">
      <formula>F79&lt;H79*#REF!</formula>
    </cfRule>
    <cfRule type="expression" dxfId="6016" priority="1678">
      <formula>F79&gt;H79*#REF!</formula>
    </cfRule>
  </conditionalFormatting>
  <conditionalFormatting sqref="F90">
    <cfRule type="expression" dxfId="6015" priority="1675">
      <formula>F90&lt;H90*#REF!</formula>
    </cfRule>
    <cfRule type="expression" dxfId="6014" priority="1676">
      <formula>F90&gt;H90*#REF!</formula>
    </cfRule>
  </conditionalFormatting>
  <conditionalFormatting sqref="F80">
    <cfRule type="expression" dxfId="6013" priority="1673">
      <formula>F80&gt;H80+#REF!</formula>
    </cfRule>
    <cfRule type="expression" dxfId="6012" priority="1674">
      <formula>F80&lt;H80-#REF!</formula>
    </cfRule>
  </conditionalFormatting>
  <conditionalFormatting sqref="F81">
    <cfRule type="expression" dxfId="6011" priority="1671">
      <formula>F81&gt;H81+#REF!</formula>
    </cfRule>
    <cfRule type="expression" dxfId="6010" priority="1672">
      <formula>F81&lt;H81-#REF!</formula>
    </cfRule>
  </conditionalFormatting>
  <conditionalFormatting sqref="F82">
    <cfRule type="expression" dxfId="6009" priority="1669">
      <formula>F82&gt;H82+#REF!</formula>
    </cfRule>
    <cfRule type="expression" dxfId="6008" priority="1670">
      <formula>F82&lt;H82-#REF!</formula>
    </cfRule>
  </conditionalFormatting>
  <conditionalFormatting sqref="F83">
    <cfRule type="expression" dxfId="6007" priority="1667">
      <formula>F83&gt;H83+#REF!</formula>
    </cfRule>
    <cfRule type="expression" dxfId="6006" priority="1668">
      <formula>F83&lt;H83-#REF!</formula>
    </cfRule>
  </conditionalFormatting>
  <conditionalFormatting sqref="F84">
    <cfRule type="expression" dxfId="6005" priority="1665">
      <formula>F84&gt;H84+#REF!</formula>
    </cfRule>
    <cfRule type="expression" dxfId="6004" priority="1666">
      <formula>F84&lt;H84-#REF!</formula>
    </cfRule>
  </conditionalFormatting>
  <conditionalFormatting sqref="F85">
    <cfRule type="expression" dxfId="6003" priority="1663">
      <formula>F85&gt;H85+#REF!</formula>
    </cfRule>
    <cfRule type="expression" dxfId="6002" priority="1664">
      <formula>F85&lt;H85-#REF!</formula>
    </cfRule>
  </conditionalFormatting>
  <conditionalFormatting sqref="F86">
    <cfRule type="expression" dxfId="6001" priority="1661">
      <formula>F86&gt;H86+#REF!</formula>
    </cfRule>
    <cfRule type="expression" dxfId="6000" priority="1662">
      <formula>F86&lt;H86-#REF!</formula>
    </cfRule>
  </conditionalFormatting>
  <conditionalFormatting sqref="F87:F88">
    <cfRule type="expression" dxfId="5999" priority="1659">
      <formula>F87&gt;H87+#REF!</formula>
    </cfRule>
    <cfRule type="expression" dxfId="5998" priority="1660">
      <formula>F87&lt;H87-#REF!</formula>
    </cfRule>
  </conditionalFormatting>
  <conditionalFormatting sqref="F89">
    <cfRule type="expression" dxfId="5997" priority="1657">
      <formula>F89&gt;H89+#REF!</formula>
    </cfRule>
    <cfRule type="expression" dxfId="5996" priority="1658">
      <formula>F89&lt;H89-#REF!</formula>
    </cfRule>
  </conditionalFormatting>
  <conditionalFormatting sqref="F92">
    <cfRule type="expression" dxfId="5995" priority="1655">
      <formula>F92&lt;H92*#REF!</formula>
    </cfRule>
    <cfRule type="expression" dxfId="5994" priority="1656">
      <formula>F92&gt;H92*#REF!</formula>
    </cfRule>
  </conditionalFormatting>
  <conditionalFormatting sqref="F93">
    <cfRule type="expression" dxfId="5993" priority="1653">
      <formula>F93&lt;H93*#REF!</formula>
    </cfRule>
    <cfRule type="expression" dxfId="5992" priority="1654">
      <formula>F93&gt;H93*#REF!</formula>
    </cfRule>
  </conditionalFormatting>
  <conditionalFormatting sqref="F104">
    <cfRule type="expression" dxfId="5991" priority="1651">
      <formula>F104&lt;H104*#REF!</formula>
    </cfRule>
    <cfRule type="expression" dxfId="5990" priority="1652">
      <formula>F104&gt;H104*#REF!</formula>
    </cfRule>
  </conditionalFormatting>
  <conditionalFormatting sqref="F94">
    <cfRule type="expression" dxfId="5989" priority="1649">
      <formula>F94&gt;H94+#REF!</formula>
    </cfRule>
    <cfRule type="expression" dxfId="5988" priority="1650">
      <formula>F94&lt;H94-#REF!</formula>
    </cfRule>
  </conditionalFormatting>
  <conditionalFormatting sqref="F95">
    <cfRule type="expression" dxfId="5987" priority="1647">
      <formula>F95&gt;H95+#REF!</formula>
    </cfRule>
    <cfRule type="expression" dxfId="5986" priority="1648">
      <formula>F95&lt;H95-#REF!</formula>
    </cfRule>
  </conditionalFormatting>
  <conditionalFormatting sqref="F96">
    <cfRule type="expression" dxfId="5985" priority="1645">
      <formula>F96&gt;H96+#REF!</formula>
    </cfRule>
    <cfRule type="expression" dxfId="5984" priority="1646">
      <formula>F96&lt;H96-#REF!</formula>
    </cfRule>
  </conditionalFormatting>
  <conditionalFormatting sqref="F97">
    <cfRule type="expression" dxfId="5983" priority="1643">
      <formula>F97&gt;H97+#REF!</formula>
    </cfRule>
    <cfRule type="expression" dxfId="5982" priority="1644">
      <formula>F97&lt;H97-#REF!</formula>
    </cfRule>
  </conditionalFormatting>
  <conditionalFormatting sqref="F98">
    <cfRule type="expression" dxfId="5981" priority="1641">
      <formula>F98&gt;H98+#REF!</formula>
    </cfRule>
    <cfRule type="expression" dxfId="5980" priority="1642">
      <formula>F98&lt;H98-#REF!</formula>
    </cfRule>
  </conditionalFormatting>
  <conditionalFormatting sqref="F99">
    <cfRule type="expression" dxfId="5979" priority="1639">
      <formula>F99&gt;H99+#REF!</formula>
    </cfRule>
    <cfRule type="expression" dxfId="5978" priority="1640">
      <formula>F99&lt;H99-#REF!</formula>
    </cfRule>
  </conditionalFormatting>
  <conditionalFormatting sqref="F100">
    <cfRule type="expression" dxfId="5977" priority="1637">
      <formula>F100&gt;H100+#REF!</formula>
    </cfRule>
    <cfRule type="expression" dxfId="5976" priority="1638">
      <formula>F100&lt;H100-#REF!</formula>
    </cfRule>
  </conditionalFormatting>
  <conditionalFormatting sqref="F101:F102">
    <cfRule type="expression" dxfId="5975" priority="1635">
      <formula>F101&gt;H101+#REF!</formula>
    </cfRule>
    <cfRule type="expression" dxfId="5974" priority="1636">
      <formula>F101&lt;H101-#REF!</formula>
    </cfRule>
  </conditionalFormatting>
  <conditionalFormatting sqref="F103">
    <cfRule type="expression" dxfId="5973" priority="1633">
      <formula>F103&gt;H103+#REF!</formula>
    </cfRule>
    <cfRule type="expression" dxfId="5972" priority="1634">
      <formula>F103&lt;H103-#REF!</formula>
    </cfRule>
  </conditionalFormatting>
  <conditionalFormatting sqref="F106">
    <cfRule type="expression" dxfId="5971" priority="1631">
      <formula>F106&lt;H106*#REF!</formula>
    </cfRule>
    <cfRule type="expression" dxfId="5970" priority="1632">
      <formula>F106&gt;H106*#REF!</formula>
    </cfRule>
  </conditionalFormatting>
  <conditionalFormatting sqref="F107">
    <cfRule type="expression" dxfId="5969" priority="1629">
      <formula>F107&lt;H107*#REF!</formula>
    </cfRule>
    <cfRule type="expression" dxfId="5968" priority="1630">
      <formula>F107&gt;H107*#REF!</formula>
    </cfRule>
  </conditionalFormatting>
  <conditionalFormatting sqref="F118">
    <cfRule type="expression" dxfId="5967" priority="1627">
      <formula>F118&lt;H118*#REF!</formula>
    </cfRule>
    <cfRule type="expression" dxfId="5966" priority="1628">
      <formula>F118&gt;H118*#REF!</formula>
    </cfRule>
  </conditionalFormatting>
  <conditionalFormatting sqref="F108">
    <cfRule type="expression" dxfId="5965" priority="1625">
      <formula>F108&gt;H108+#REF!</formula>
    </cfRule>
    <cfRule type="expression" dxfId="5964" priority="1626">
      <formula>F108&lt;H108-#REF!</formula>
    </cfRule>
  </conditionalFormatting>
  <conditionalFormatting sqref="F109">
    <cfRule type="expression" dxfId="5963" priority="1623">
      <formula>F109&gt;H109+#REF!</formula>
    </cfRule>
    <cfRule type="expression" dxfId="5962" priority="1624">
      <formula>F109&lt;H109-#REF!</formula>
    </cfRule>
  </conditionalFormatting>
  <conditionalFormatting sqref="F110">
    <cfRule type="expression" dxfId="5961" priority="1621">
      <formula>F110&gt;H110+#REF!</formula>
    </cfRule>
    <cfRule type="expression" dxfId="5960" priority="1622">
      <formula>F110&lt;H110-#REF!</formula>
    </cfRule>
  </conditionalFormatting>
  <conditionalFormatting sqref="F111">
    <cfRule type="expression" dxfId="5959" priority="1619">
      <formula>F111&gt;H111+#REF!</formula>
    </cfRule>
    <cfRule type="expression" dxfId="5958" priority="1620">
      <formula>F111&lt;H111-#REF!</formula>
    </cfRule>
  </conditionalFormatting>
  <conditionalFormatting sqref="F112">
    <cfRule type="expression" dxfId="5957" priority="1617">
      <formula>F112&gt;H112+#REF!</formula>
    </cfRule>
    <cfRule type="expression" dxfId="5956" priority="1618">
      <formula>F112&lt;H112-#REF!</formula>
    </cfRule>
  </conditionalFormatting>
  <conditionalFormatting sqref="F113">
    <cfRule type="expression" dxfId="5955" priority="1615">
      <formula>F113&gt;H113+#REF!</formula>
    </cfRule>
    <cfRule type="expression" dxfId="5954" priority="1616">
      <formula>F113&lt;H113-#REF!</formula>
    </cfRule>
  </conditionalFormatting>
  <conditionalFormatting sqref="F114">
    <cfRule type="expression" dxfId="5953" priority="1613">
      <formula>F114&gt;H114+#REF!</formula>
    </cfRule>
    <cfRule type="expression" dxfId="5952" priority="1614">
      <formula>F114&lt;H114-#REF!</formula>
    </cfRule>
  </conditionalFormatting>
  <conditionalFormatting sqref="F115:F116">
    <cfRule type="expression" dxfId="5951" priority="1611">
      <formula>F115&gt;H115+#REF!</formula>
    </cfRule>
    <cfRule type="expression" dxfId="5950" priority="1612">
      <formula>F115&lt;H115-#REF!</formula>
    </cfRule>
  </conditionalFormatting>
  <conditionalFormatting sqref="F117">
    <cfRule type="expression" dxfId="5949" priority="1609">
      <formula>F117&gt;H117+#REF!</formula>
    </cfRule>
    <cfRule type="expression" dxfId="5948" priority="1610">
      <formula>F117&lt;H117-#REF!</formula>
    </cfRule>
  </conditionalFormatting>
  <conditionalFormatting sqref="F260">
    <cfRule type="expression" dxfId="5947" priority="1439">
      <formula>F260&lt;H260*#REF!</formula>
    </cfRule>
    <cfRule type="expression" dxfId="5946" priority="1440">
      <formula>F260&gt;H260*#REF!</formula>
    </cfRule>
  </conditionalFormatting>
  <conditionalFormatting sqref="F261">
    <cfRule type="expression" dxfId="5945" priority="1437">
      <formula>F261&lt;H261*#REF!</formula>
    </cfRule>
    <cfRule type="expression" dxfId="5944" priority="1438">
      <formula>F261&gt;H261*#REF!</formula>
    </cfRule>
  </conditionalFormatting>
  <conditionalFormatting sqref="F272">
    <cfRule type="expression" dxfId="5943" priority="1435">
      <formula>F272&lt;H272*#REF!</formula>
    </cfRule>
    <cfRule type="expression" dxfId="5942" priority="1436">
      <formula>F272&gt;H272*#REF!</formula>
    </cfRule>
  </conditionalFormatting>
  <conditionalFormatting sqref="F262">
    <cfRule type="expression" dxfId="5941" priority="1433">
      <formula>F262&gt;H262+#REF!</formula>
    </cfRule>
    <cfRule type="expression" dxfId="5940" priority="1434">
      <formula>F262&lt;H262-#REF!</formula>
    </cfRule>
  </conditionalFormatting>
  <conditionalFormatting sqref="F263">
    <cfRule type="expression" dxfId="5939" priority="1431">
      <formula>F263&gt;H263+#REF!</formula>
    </cfRule>
    <cfRule type="expression" dxfId="5938" priority="1432">
      <formula>F263&lt;H263-#REF!</formula>
    </cfRule>
  </conditionalFormatting>
  <conditionalFormatting sqref="F264">
    <cfRule type="expression" dxfId="5937" priority="1429">
      <formula>F264&gt;H264+#REF!</formula>
    </cfRule>
    <cfRule type="expression" dxfId="5936" priority="1430">
      <formula>F264&lt;H264-#REF!</formula>
    </cfRule>
  </conditionalFormatting>
  <conditionalFormatting sqref="F265">
    <cfRule type="expression" dxfId="5935" priority="1427">
      <formula>F265&gt;H265+#REF!</formula>
    </cfRule>
    <cfRule type="expression" dxfId="5934" priority="1428">
      <formula>F265&lt;H265-#REF!</formula>
    </cfRule>
  </conditionalFormatting>
  <conditionalFormatting sqref="F266">
    <cfRule type="expression" dxfId="5933" priority="1425">
      <formula>F266&gt;H266+#REF!</formula>
    </cfRule>
    <cfRule type="expression" dxfId="5932" priority="1426">
      <formula>F266&lt;H266-#REF!</formula>
    </cfRule>
  </conditionalFormatting>
  <conditionalFormatting sqref="F267">
    <cfRule type="expression" dxfId="5931" priority="1423">
      <formula>F267&gt;H267+#REF!</formula>
    </cfRule>
    <cfRule type="expression" dxfId="5930" priority="1424">
      <formula>F267&lt;H267-#REF!</formula>
    </cfRule>
  </conditionalFormatting>
  <conditionalFormatting sqref="F268">
    <cfRule type="expression" dxfId="5929" priority="1421">
      <formula>F268&gt;H268+#REF!</formula>
    </cfRule>
    <cfRule type="expression" dxfId="5928" priority="1422">
      <formula>F268&lt;H268-#REF!</formula>
    </cfRule>
  </conditionalFormatting>
  <conditionalFormatting sqref="F269:F270">
    <cfRule type="expression" dxfId="5927" priority="1419">
      <formula>F269&gt;H269+#REF!</formula>
    </cfRule>
    <cfRule type="expression" dxfId="5926" priority="1420">
      <formula>F269&lt;H269-#REF!</formula>
    </cfRule>
  </conditionalFormatting>
  <conditionalFormatting sqref="F271">
    <cfRule type="expression" dxfId="5925" priority="1417">
      <formula>F271&gt;H271+#REF!</formula>
    </cfRule>
    <cfRule type="expression" dxfId="5924" priority="1418">
      <formula>F271&lt;H271-#REF!</formula>
    </cfRule>
  </conditionalFormatting>
  <conditionalFormatting sqref="J232">
    <cfRule type="expression" dxfId="5923" priority="981">
      <formula>J232&lt;L232*#REF!</formula>
    </cfRule>
    <cfRule type="expression" dxfId="5922" priority="982">
      <formula>J232&gt;L232*#REF!</formula>
    </cfRule>
  </conditionalFormatting>
  <conditionalFormatting sqref="J233">
    <cfRule type="expression" dxfId="5921" priority="979">
      <formula>J233&lt;L233*#REF!</formula>
    </cfRule>
    <cfRule type="expression" dxfId="5920" priority="980">
      <formula>J233&gt;L233*#REF!</formula>
    </cfRule>
  </conditionalFormatting>
  <conditionalFormatting sqref="J244">
    <cfRule type="expression" dxfId="5919" priority="977">
      <formula>J244&lt;L244*#REF!</formula>
    </cfRule>
    <cfRule type="expression" dxfId="5918" priority="978">
      <formula>J244&gt;L244*#REF!</formula>
    </cfRule>
  </conditionalFormatting>
  <conditionalFormatting sqref="J234">
    <cfRule type="expression" dxfId="5917" priority="975">
      <formula>J234&gt;L234+#REF!</formula>
    </cfRule>
    <cfRule type="expression" dxfId="5916" priority="976">
      <formula>J234&lt;L234-#REF!</formula>
    </cfRule>
  </conditionalFormatting>
  <conditionalFormatting sqref="J235">
    <cfRule type="expression" dxfId="5915" priority="973">
      <formula>J235&gt;L235+#REF!</formula>
    </cfRule>
    <cfRule type="expression" dxfId="5914" priority="974">
      <formula>J235&lt;L235-#REF!</formula>
    </cfRule>
  </conditionalFormatting>
  <conditionalFormatting sqref="J236">
    <cfRule type="expression" dxfId="5913" priority="971">
      <formula>J236&gt;L236+#REF!</formula>
    </cfRule>
    <cfRule type="expression" dxfId="5912" priority="972">
      <formula>J236&lt;L236-#REF!</formula>
    </cfRule>
  </conditionalFormatting>
  <conditionalFormatting sqref="J237">
    <cfRule type="expression" dxfId="5911" priority="969">
      <formula>J237&gt;L237+#REF!</formula>
    </cfRule>
    <cfRule type="expression" dxfId="5910" priority="970">
      <formula>J237&lt;L237-#REF!</formula>
    </cfRule>
  </conditionalFormatting>
  <conditionalFormatting sqref="J238">
    <cfRule type="expression" dxfId="5909" priority="967">
      <formula>J238&gt;L238+#REF!</formula>
    </cfRule>
    <cfRule type="expression" dxfId="5908" priority="968">
      <formula>J238&lt;L238-#REF!</formula>
    </cfRule>
  </conditionalFormatting>
  <conditionalFormatting sqref="J239">
    <cfRule type="expression" dxfId="5907" priority="965">
      <formula>J239&gt;L239+#REF!</formula>
    </cfRule>
    <cfRule type="expression" dxfId="5906" priority="966">
      <formula>J239&lt;L239-#REF!</formula>
    </cfRule>
  </conditionalFormatting>
  <conditionalFormatting sqref="J240">
    <cfRule type="expression" dxfId="5905" priority="963">
      <formula>J240&gt;L240+#REF!</formula>
    </cfRule>
    <cfRule type="expression" dxfId="5904" priority="964">
      <formula>J240&lt;L240-#REF!</formula>
    </cfRule>
  </conditionalFormatting>
  <conditionalFormatting sqref="J241:J242">
    <cfRule type="expression" dxfId="5903" priority="961">
      <formula>J241&gt;L241+#REF!</formula>
    </cfRule>
    <cfRule type="expression" dxfId="5902" priority="962">
      <formula>J241&lt;L241-#REF!</formula>
    </cfRule>
  </conditionalFormatting>
  <conditionalFormatting sqref="J243">
    <cfRule type="expression" dxfId="5901" priority="959">
      <formula>J243&gt;L243+#REF!</formula>
    </cfRule>
    <cfRule type="expression" dxfId="5900" priority="960">
      <formula>J243&lt;L243-#REF!</formula>
    </cfRule>
  </conditionalFormatting>
  <conditionalFormatting sqref="F148">
    <cfRule type="expression" dxfId="5899" priority="1559">
      <formula>F148&lt;H148*#REF!</formula>
    </cfRule>
    <cfRule type="expression" dxfId="5898" priority="1560">
      <formula>F148&gt;H148*#REF!</formula>
    </cfRule>
  </conditionalFormatting>
  <conditionalFormatting sqref="F149">
    <cfRule type="expression" dxfId="5897" priority="1557">
      <formula>F149&lt;H149*#REF!</formula>
    </cfRule>
    <cfRule type="expression" dxfId="5896" priority="1558">
      <formula>F149&gt;H149*#REF!</formula>
    </cfRule>
  </conditionalFormatting>
  <conditionalFormatting sqref="F160">
    <cfRule type="expression" dxfId="5895" priority="1555">
      <formula>F160&lt;H160*#REF!</formula>
    </cfRule>
    <cfRule type="expression" dxfId="5894" priority="1556">
      <formula>F160&gt;H160*#REF!</formula>
    </cfRule>
  </conditionalFormatting>
  <conditionalFormatting sqref="F150">
    <cfRule type="expression" dxfId="5893" priority="1553">
      <formula>F150&gt;H150+#REF!</formula>
    </cfRule>
    <cfRule type="expression" dxfId="5892" priority="1554">
      <formula>F150&lt;H150-#REF!</formula>
    </cfRule>
  </conditionalFormatting>
  <conditionalFormatting sqref="F151">
    <cfRule type="expression" dxfId="5891" priority="1551">
      <formula>F151&gt;H151+#REF!</formula>
    </cfRule>
    <cfRule type="expression" dxfId="5890" priority="1552">
      <formula>F151&lt;H151-#REF!</formula>
    </cfRule>
  </conditionalFormatting>
  <conditionalFormatting sqref="F152">
    <cfRule type="expression" dxfId="5889" priority="1549">
      <formula>F152&gt;H152+#REF!</formula>
    </cfRule>
    <cfRule type="expression" dxfId="5888" priority="1550">
      <formula>F152&lt;H152-#REF!</formula>
    </cfRule>
  </conditionalFormatting>
  <conditionalFormatting sqref="F153">
    <cfRule type="expression" dxfId="5887" priority="1547">
      <formula>F153&gt;H153+#REF!</formula>
    </cfRule>
    <cfRule type="expression" dxfId="5886" priority="1548">
      <formula>F153&lt;H153-#REF!</formula>
    </cfRule>
  </conditionalFormatting>
  <conditionalFormatting sqref="F154">
    <cfRule type="expression" dxfId="5885" priority="1545">
      <formula>F154&gt;H154+#REF!</formula>
    </cfRule>
    <cfRule type="expression" dxfId="5884" priority="1546">
      <formula>F154&lt;H154-#REF!</formula>
    </cfRule>
  </conditionalFormatting>
  <conditionalFormatting sqref="F155">
    <cfRule type="expression" dxfId="5883" priority="1543">
      <formula>F155&gt;H155+#REF!</formula>
    </cfRule>
    <cfRule type="expression" dxfId="5882" priority="1544">
      <formula>F155&lt;H155-#REF!</formula>
    </cfRule>
  </conditionalFormatting>
  <conditionalFormatting sqref="F156">
    <cfRule type="expression" dxfId="5881" priority="1541">
      <formula>F156&gt;H156+#REF!</formula>
    </cfRule>
    <cfRule type="expression" dxfId="5880" priority="1542">
      <formula>F156&lt;H156-#REF!</formula>
    </cfRule>
  </conditionalFormatting>
  <conditionalFormatting sqref="F157:F158">
    <cfRule type="expression" dxfId="5879" priority="1539">
      <formula>F157&gt;H157+#REF!</formula>
    </cfRule>
    <cfRule type="expression" dxfId="5878" priority="1540">
      <formula>F157&lt;H157-#REF!</formula>
    </cfRule>
  </conditionalFormatting>
  <conditionalFormatting sqref="F159">
    <cfRule type="expression" dxfId="5877" priority="1537">
      <formula>F159&gt;H159+#REF!</formula>
    </cfRule>
    <cfRule type="expression" dxfId="5876" priority="1538">
      <formula>F159&lt;H159-#REF!</formula>
    </cfRule>
  </conditionalFormatting>
  <conditionalFormatting sqref="F162">
    <cfRule type="expression" dxfId="5875" priority="1535">
      <formula>F162&lt;H162*#REF!</formula>
    </cfRule>
    <cfRule type="expression" dxfId="5874" priority="1536">
      <formula>F162&gt;H162*#REF!</formula>
    </cfRule>
  </conditionalFormatting>
  <conditionalFormatting sqref="F163">
    <cfRule type="expression" dxfId="5873" priority="1533">
      <formula>F163&lt;H163*#REF!</formula>
    </cfRule>
    <cfRule type="expression" dxfId="5872" priority="1534">
      <formula>F163&gt;H163*#REF!</formula>
    </cfRule>
  </conditionalFormatting>
  <conditionalFormatting sqref="F174">
    <cfRule type="expression" dxfId="5871" priority="1531">
      <formula>F174&lt;H174*#REF!</formula>
    </cfRule>
    <cfRule type="expression" dxfId="5870" priority="1532">
      <formula>F174&gt;H174*#REF!</formula>
    </cfRule>
  </conditionalFormatting>
  <conditionalFormatting sqref="F164">
    <cfRule type="expression" dxfId="5869" priority="1529">
      <formula>F164&gt;H164+#REF!</formula>
    </cfRule>
    <cfRule type="expression" dxfId="5868" priority="1530">
      <formula>F164&lt;H164-#REF!</formula>
    </cfRule>
  </conditionalFormatting>
  <conditionalFormatting sqref="F165">
    <cfRule type="expression" dxfId="5867" priority="1527">
      <formula>F165&gt;H165+#REF!</formula>
    </cfRule>
    <cfRule type="expression" dxfId="5866" priority="1528">
      <formula>F165&lt;H165-#REF!</formula>
    </cfRule>
  </conditionalFormatting>
  <conditionalFormatting sqref="F166">
    <cfRule type="expression" dxfId="5865" priority="1525">
      <formula>F166&gt;H166+#REF!</formula>
    </cfRule>
    <cfRule type="expression" dxfId="5864" priority="1526">
      <formula>F166&lt;H166-#REF!</formula>
    </cfRule>
  </conditionalFormatting>
  <conditionalFormatting sqref="F167">
    <cfRule type="expression" dxfId="5863" priority="1523">
      <formula>F167&gt;H167+#REF!</formula>
    </cfRule>
    <cfRule type="expression" dxfId="5862" priority="1524">
      <formula>F167&lt;H167-#REF!</formula>
    </cfRule>
  </conditionalFormatting>
  <conditionalFormatting sqref="F168">
    <cfRule type="expression" dxfId="5861" priority="1521">
      <formula>F168&gt;H168+#REF!</formula>
    </cfRule>
    <cfRule type="expression" dxfId="5860" priority="1522">
      <formula>F168&lt;H168-#REF!</formula>
    </cfRule>
  </conditionalFormatting>
  <conditionalFormatting sqref="F169">
    <cfRule type="expression" dxfId="5859" priority="1519">
      <formula>F169&gt;H169+#REF!</formula>
    </cfRule>
    <cfRule type="expression" dxfId="5858" priority="1520">
      <formula>F169&lt;H169-#REF!</formula>
    </cfRule>
  </conditionalFormatting>
  <conditionalFormatting sqref="F170">
    <cfRule type="expression" dxfId="5857" priority="1517">
      <formula>F170&gt;H170+#REF!</formula>
    </cfRule>
    <cfRule type="expression" dxfId="5856" priority="1518">
      <formula>F170&lt;H170-#REF!</formula>
    </cfRule>
  </conditionalFormatting>
  <conditionalFormatting sqref="F171:F172">
    <cfRule type="expression" dxfId="5855" priority="1515">
      <formula>F171&gt;H171+#REF!</formula>
    </cfRule>
    <cfRule type="expression" dxfId="5854" priority="1516">
      <formula>F171&lt;H171-#REF!</formula>
    </cfRule>
  </conditionalFormatting>
  <conditionalFormatting sqref="F173">
    <cfRule type="expression" dxfId="5853" priority="1513">
      <formula>F173&gt;H173+#REF!</formula>
    </cfRule>
    <cfRule type="expression" dxfId="5852" priority="1514">
      <formula>F173&lt;H173-#REF!</formula>
    </cfRule>
  </conditionalFormatting>
  <conditionalFormatting sqref="F176">
    <cfRule type="expression" dxfId="5851" priority="1511">
      <formula>F176&lt;H176*#REF!</formula>
    </cfRule>
    <cfRule type="expression" dxfId="5850" priority="1512">
      <formula>F176&gt;H176*#REF!</formula>
    </cfRule>
  </conditionalFormatting>
  <conditionalFormatting sqref="F177">
    <cfRule type="expression" dxfId="5849" priority="1509">
      <formula>F177&lt;H177*#REF!</formula>
    </cfRule>
    <cfRule type="expression" dxfId="5848" priority="1510">
      <formula>F177&gt;H177*#REF!</formula>
    </cfRule>
  </conditionalFormatting>
  <conditionalFormatting sqref="F188">
    <cfRule type="expression" dxfId="5847" priority="1507">
      <formula>F188&lt;H188*#REF!</formula>
    </cfRule>
    <cfRule type="expression" dxfId="5846" priority="1508">
      <formula>F188&gt;H188*#REF!</formula>
    </cfRule>
  </conditionalFormatting>
  <conditionalFormatting sqref="F178">
    <cfRule type="expression" dxfId="5845" priority="1505">
      <formula>F178&gt;H178+#REF!</formula>
    </cfRule>
    <cfRule type="expression" dxfId="5844" priority="1506">
      <formula>F178&lt;H178-#REF!</formula>
    </cfRule>
  </conditionalFormatting>
  <conditionalFormatting sqref="F179">
    <cfRule type="expression" dxfId="5843" priority="1503">
      <formula>F179&gt;H179+#REF!</formula>
    </cfRule>
    <cfRule type="expression" dxfId="5842" priority="1504">
      <formula>F179&lt;H179-#REF!</formula>
    </cfRule>
  </conditionalFormatting>
  <conditionalFormatting sqref="F180">
    <cfRule type="expression" dxfId="5841" priority="1501">
      <formula>F180&gt;H180+#REF!</formula>
    </cfRule>
    <cfRule type="expression" dxfId="5840" priority="1502">
      <formula>F180&lt;H180-#REF!</formula>
    </cfRule>
  </conditionalFormatting>
  <conditionalFormatting sqref="F181">
    <cfRule type="expression" dxfId="5839" priority="1499">
      <formula>F181&gt;H181+#REF!</formula>
    </cfRule>
    <cfRule type="expression" dxfId="5838" priority="1500">
      <formula>F181&lt;H181-#REF!</formula>
    </cfRule>
  </conditionalFormatting>
  <conditionalFormatting sqref="F182">
    <cfRule type="expression" dxfId="5837" priority="1497">
      <formula>F182&gt;H182+#REF!</formula>
    </cfRule>
    <cfRule type="expression" dxfId="5836" priority="1498">
      <formula>F182&lt;H182-#REF!</formula>
    </cfRule>
  </conditionalFormatting>
  <conditionalFormatting sqref="F183">
    <cfRule type="expression" dxfId="5835" priority="1495">
      <formula>F183&gt;H183+#REF!</formula>
    </cfRule>
    <cfRule type="expression" dxfId="5834" priority="1496">
      <formula>F183&lt;H183-#REF!</formula>
    </cfRule>
  </conditionalFormatting>
  <conditionalFormatting sqref="F184">
    <cfRule type="expression" dxfId="5833" priority="1493">
      <formula>F184&gt;H184+#REF!</formula>
    </cfRule>
    <cfRule type="expression" dxfId="5832" priority="1494">
      <formula>F184&lt;H184-#REF!</formula>
    </cfRule>
  </conditionalFormatting>
  <conditionalFormatting sqref="F185:F186">
    <cfRule type="expression" dxfId="5831" priority="1491">
      <formula>F185&gt;H185+#REF!</formula>
    </cfRule>
    <cfRule type="expression" dxfId="5830" priority="1492">
      <formula>F185&lt;H185-#REF!</formula>
    </cfRule>
  </conditionalFormatting>
  <conditionalFormatting sqref="F187">
    <cfRule type="expression" dxfId="5829" priority="1489">
      <formula>F187&gt;H187+#REF!</formula>
    </cfRule>
    <cfRule type="expression" dxfId="5828" priority="1490">
      <formula>F187&lt;H187-#REF!</formula>
    </cfRule>
  </conditionalFormatting>
  <conditionalFormatting sqref="F190">
    <cfRule type="expression" dxfId="5827" priority="1487">
      <formula>F190&lt;H190*#REF!</formula>
    </cfRule>
    <cfRule type="expression" dxfId="5826" priority="1488">
      <formula>F190&gt;H190*#REF!</formula>
    </cfRule>
  </conditionalFormatting>
  <conditionalFormatting sqref="F191">
    <cfRule type="expression" dxfId="5825" priority="1485">
      <formula>F191&lt;H191*#REF!</formula>
    </cfRule>
    <cfRule type="expression" dxfId="5824" priority="1486">
      <formula>F191&gt;H191*#REF!</formula>
    </cfRule>
  </conditionalFormatting>
  <conditionalFormatting sqref="F202">
    <cfRule type="expression" dxfId="5823" priority="1483">
      <formula>F202&lt;H202*#REF!</formula>
    </cfRule>
    <cfRule type="expression" dxfId="5822" priority="1484">
      <formula>F202&gt;H202*#REF!</formula>
    </cfRule>
  </conditionalFormatting>
  <conditionalFormatting sqref="F192">
    <cfRule type="expression" dxfId="5821" priority="1481">
      <formula>F192&gt;H192+#REF!</formula>
    </cfRule>
    <cfRule type="expression" dxfId="5820" priority="1482">
      <formula>F192&lt;H192-#REF!</formula>
    </cfRule>
  </conditionalFormatting>
  <conditionalFormatting sqref="F193">
    <cfRule type="expression" dxfId="5819" priority="1479">
      <formula>F193&gt;H193+#REF!</formula>
    </cfRule>
    <cfRule type="expression" dxfId="5818" priority="1480">
      <formula>F193&lt;H193-#REF!</formula>
    </cfRule>
  </conditionalFormatting>
  <conditionalFormatting sqref="F194">
    <cfRule type="expression" dxfId="5817" priority="1477">
      <formula>F194&gt;H194+#REF!</formula>
    </cfRule>
    <cfRule type="expression" dxfId="5816" priority="1478">
      <formula>F194&lt;H194-#REF!</formula>
    </cfRule>
  </conditionalFormatting>
  <conditionalFormatting sqref="F195">
    <cfRule type="expression" dxfId="5815" priority="1475">
      <formula>F195&gt;H195+#REF!</formula>
    </cfRule>
    <cfRule type="expression" dxfId="5814" priority="1476">
      <formula>F195&lt;H195-#REF!</formula>
    </cfRule>
  </conditionalFormatting>
  <conditionalFormatting sqref="F196">
    <cfRule type="expression" dxfId="5813" priority="1473">
      <formula>F196&gt;H196+#REF!</formula>
    </cfRule>
    <cfRule type="expression" dxfId="5812" priority="1474">
      <formula>F196&lt;H196-#REF!</formula>
    </cfRule>
  </conditionalFormatting>
  <conditionalFormatting sqref="F197">
    <cfRule type="expression" dxfId="5811" priority="1471">
      <formula>F197&gt;H197+#REF!</formula>
    </cfRule>
    <cfRule type="expression" dxfId="5810" priority="1472">
      <formula>F197&lt;H197-#REF!</formula>
    </cfRule>
  </conditionalFormatting>
  <conditionalFormatting sqref="F198">
    <cfRule type="expression" dxfId="5809" priority="1469">
      <formula>F198&gt;H198+#REF!</formula>
    </cfRule>
    <cfRule type="expression" dxfId="5808" priority="1470">
      <formula>F198&lt;H198-#REF!</formula>
    </cfRule>
  </conditionalFormatting>
  <conditionalFormatting sqref="F199:F200">
    <cfRule type="expression" dxfId="5807" priority="1467">
      <formula>F199&gt;H199+#REF!</formula>
    </cfRule>
    <cfRule type="expression" dxfId="5806" priority="1468">
      <formula>F199&lt;H199-#REF!</formula>
    </cfRule>
  </conditionalFormatting>
  <conditionalFormatting sqref="F201">
    <cfRule type="expression" dxfId="5805" priority="1465">
      <formula>F201&gt;H201+#REF!</formula>
    </cfRule>
    <cfRule type="expression" dxfId="5804" priority="1466">
      <formula>F201&lt;H201-#REF!</formula>
    </cfRule>
  </conditionalFormatting>
  <conditionalFormatting sqref="F204">
    <cfRule type="expression" dxfId="5803" priority="1463">
      <formula>F204&lt;H204*#REF!</formula>
    </cfRule>
    <cfRule type="expression" dxfId="5802" priority="1464">
      <formula>F204&gt;H204*#REF!</formula>
    </cfRule>
  </conditionalFormatting>
  <conditionalFormatting sqref="F205">
    <cfRule type="expression" dxfId="5801" priority="1461">
      <formula>F205&lt;H205*#REF!</formula>
    </cfRule>
    <cfRule type="expression" dxfId="5800" priority="1462">
      <formula>F205&gt;H205*#REF!</formula>
    </cfRule>
  </conditionalFormatting>
  <conditionalFormatting sqref="F216">
    <cfRule type="expression" dxfId="5799" priority="1459">
      <formula>F216&lt;H216*#REF!</formula>
    </cfRule>
    <cfRule type="expression" dxfId="5798" priority="1460">
      <formula>F216&gt;H216*#REF!</formula>
    </cfRule>
  </conditionalFormatting>
  <conditionalFormatting sqref="F206">
    <cfRule type="expression" dxfId="5797" priority="1457">
      <formula>F206&gt;H206+#REF!</formula>
    </cfRule>
    <cfRule type="expression" dxfId="5796" priority="1458">
      <formula>F206&lt;H206-#REF!</formula>
    </cfRule>
  </conditionalFormatting>
  <conditionalFormatting sqref="F207">
    <cfRule type="expression" dxfId="5795" priority="1455">
      <formula>F207&gt;H207+#REF!</formula>
    </cfRule>
    <cfRule type="expression" dxfId="5794" priority="1456">
      <formula>F207&lt;H207-#REF!</formula>
    </cfRule>
  </conditionalFormatting>
  <conditionalFormatting sqref="F208">
    <cfRule type="expression" dxfId="5793" priority="1453">
      <formula>F208&gt;H208+#REF!</formula>
    </cfRule>
    <cfRule type="expression" dxfId="5792" priority="1454">
      <formula>F208&lt;H208-#REF!</formula>
    </cfRule>
  </conditionalFormatting>
  <conditionalFormatting sqref="F209">
    <cfRule type="expression" dxfId="5791" priority="1451">
      <formula>F209&gt;H209+#REF!</formula>
    </cfRule>
    <cfRule type="expression" dxfId="5790" priority="1452">
      <formula>F209&lt;H209-#REF!</formula>
    </cfRule>
  </conditionalFormatting>
  <conditionalFormatting sqref="F210">
    <cfRule type="expression" dxfId="5789" priority="1449">
      <formula>F210&gt;H210+#REF!</formula>
    </cfRule>
    <cfRule type="expression" dxfId="5788" priority="1450">
      <formula>F210&lt;H210-#REF!</formula>
    </cfRule>
  </conditionalFormatting>
  <conditionalFormatting sqref="F211">
    <cfRule type="expression" dxfId="5787" priority="1447">
      <formula>F211&gt;H211+#REF!</formula>
    </cfRule>
    <cfRule type="expression" dxfId="5786" priority="1448">
      <formula>F211&lt;H211-#REF!</formula>
    </cfRule>
  </conditionalFormatting>
  <conditionalFormatting sqref="F212">
    <cfRule type="expression" dxfId="5785" priority="1445">
      <formula>F212&gt;H212+#REF!</formula>
    </cfRule>
    <cfRule type="expression" dxfId="5784" priority="1446">
      <formula>F212&lt;H212-#REF!</formula>
    </cfRule>
  </conditionalFormatting>
  <conditionalFormatting sqref="F213:F214">
    <cfRule type="expression" dxfId="5783" priority="1443">
      <formula>F213&gt;H213+#REF!</formula>
    </cfRule>
    <cfRule type="expression" dxfId="5782" priority="1444">
      <formula>F213&lt;H213-#REF!</formula>
    </cfRule>
  </conditionalFormatting>
  <conditionalFormatting sqref="F215">
    <cfRule type="expression" dxfId="5781" priority="1441">
      <formula>F215&gt;H215+#REF!</formula>
    </cfRule>
    <cfRule type="expression" dxfId="5780" priority="1442">
      <formula>F215&lt;H215-#REF!</formula>
    </cfRule>
  </conditionalFormatting>
  <conditionalFormatting sqref="F218">
    <cfRule type="expression" dxfId="5779" priority="1415">
      <formula>F218&lt;H218*#REF!</formula>
    </cfRule>
    <cfRule type="expression" dxfId="5778" priority="1416">
      <formula>F218&gt;H218*#REF!</formula>
    </cfRule>
  </conditionalFormatting>
  <conditionalFormatting sqref="F219">
    <cfRule type="expression" dxfId="5777" priority="1413">
      <formula>F219&lt;H219*#REF!</formula>
    </cfRule>
    <cfRule type="expression" dxfId="5776" priority="1414">
      <formula>F219&gt;H219*#REF!</formula>
    </cfRule>
  </conditionalFormatting>
  <conditionalFormatting sqref="F230">
    <cfRule type="expression" dxfId="5775" priority="1411">
      <formula>F230&lt;H230*#REF!</formula>
    </cfRule>
    <cfRule type="expression" dxfId="5774" priority="1412">
      <formula>F230&gt;H230*#REF!</formula>
    </cfRule>
  </conditionalFormatting>
  <conditionalFormatting sqref="F220">
    <cfRule type="expression" dxfId="5773" priority="1409">
      <formula>F220&gt;H220+#REF!</formula>
    </cfRule>
    <cfRule type="expression" dxfId="5772" priority="1410">
      <formula>F220&lt;H220-#REF!</formula>
    </cfRule>
  </conditionalFormatting>
  <conditionalFormatting sqref="F221">
    <cfRule type="expression" dxfId="5771" priority="1407">
      <formula>F221&gt;H221+#REF!</formula>
    </cfRule>
    <cfRule type="expression" dxfId="5770" priority="1408">
      <formula>F221&lt;H221-#REF!</formula>
    </cfRule>
  </conditionalFormatting>
  <conditionalFormatting sqref="F222">
    <cfRule type="expression" dxfId="5769" priority="1405">
      <formula>F222&gt;H222+#REF!</formula>
    </cfRule>
    <cfRule type="expression" dxfId="5768" priority="1406">
      <formula>F222&lt;H222-#REF!</formula>
    </cfRule>
  </conditionalFormatting>
  <conditionalFormatting sqref="F223">
    <cfRule type="expression" dxfId="5767" priority="1403">
      <formula>F223&gt;H223+#REF!</formula>
    </cfRule>
    <cfRule type="expression" dxfId="5766" priority="1404">
      <formula>F223&lt;H223-#REF!</formula>
    </cfRule>
  </conditionalFormatting>
  <conditionalFormatting sqref="F224">
    <cfRule type="expression" dxfId="5765" priority="1401">
      <formula>F224&gt;H224+#REF!</formula>
    </cfRule>
    <cfRule type="expression" dxfId="5764" priority="1402">
      <formula>F224&lt;H224-#REF!</formula>
    </cfRule>
  </conditionalFormatting>
  <conditionalFormatting sqref="F225">
    <cfRule type="expression" dxfId="5763" priority="1399">
      <formula>F225&gt;H225+#REF!</formula>
    </cfRule>
    <cfRule type="expression" dxfId="5762" priority="1400">
      <formula>F225&lt;H225-#REF!</formula>
    </cfRule>
  </conditionalFormatting>
  <conditionalFormatting sqref="F226">
    <cfRule type="expression" dxfId="5761" priority="1397">
      <formula>F226&gt;H226+#REF!</formula>
    </cfRule>
    <cfRule type="expression" dxfId="5760" priority="1398">
      <formula>F226&lt;H226-#REF!</formula>
    </cfRule>
  </conditionalFormatting>
  <conditionalFormatting sqref="F227:F228">
    <cfRule type="expression" dxfId="5759" priority="1395">
      <formula>F227&gt;H227+#REF!</formula>
    </cfRule>
    <cfRule type="expression" dxfId="5758" priority="1396">
      <formula>F227&lt;H227-#REF!</formula>
    </cfRule>
  </conditionalFormatting>
  <conditionalFormatting sqref="F229">
    <cfRule type="expression" dxfId="5757" priority="1393">
      <formula>F229&gt;H229+#REF!</formula>
    </cfRule>
    <cfRule type="expression" dxfId="5756" priority="1394">
      <formula>F229&lt;H229-#REF!</formula>
    </cfRule>
  </conditionalFormatting>
  <conditionalFormatting sqref="J246">
    <cfRule type="expression" dxfId="5755" priority="933">
      <formula>J246&lt;L246*#REF!</formula>
    </cfRule>
    <cfRule type="expression" dxfId="5754" priority="934">
      <formula>J246&gt;L246*#REF!</formula>
    </cfRule>
  </conditionalFormatting>
  <conditionalFormatting sqref="J247">
    <cfRule type="expression" dxfId="5753" priority="931">
      <formula>J247&lt;L247*#REF!</formula>
    </cfRule>
    <cfRule type="expression" dxfId="5752" priority="932">
      <formula>J247&gt;L247*#REF!</formula>
    </cfRule>
  </conditionalFormatting>
  <conditionalFormatting sqref="J248">
    <cfRule type="expression" dxfId="5751" priority="927">
      <formula>J248&gt;L248+#REF!</formula>
    </cfRule>
    <cfRule type="expression" dxfId="5750" priority="928">
      <formula>J248&lt;L248-#REF!</formula>
    </cfRule>
  </conditionalFormatting>
  <conditionalFormatting sqref="J249">
    <cfRule type="expression" dxfId="5749" priority="925">
      <formula>J249&gt;L249+#REF!</formula>
    </cfRule>
    <cfRule type="expression" dxfId="5748" priority="926">
      <formula>J249&lt;L249-#REF!</formula>
    </cfRule>
  </conditionalFormatting>
  <conditionalFormatting sqref="J250">
    <cfRule type="expression" dxfId="5747" priority="923">
      <formula>J250&gt;L250+#REF!</formula>
    </cfRule>
    <cfRule type="expression" dxfId="5746" priority="924">
      <formula>J250&lt;L250-#REF!</formula>
    </cfRule>
  </conditionalFormatting>
  <conditionalFormatting sqref="J251">
    <cfRule type="expression" dxfId="5745" priority="921">
      <formula>J251&gt;L251+#REF!</formula>
    </cfRule>
    <cfRule type="expression" dxfId="5744" priority="922">
      <formula>J251&lt;L251-#REF!</formula>
    </cfRule>
  </conditionalFormatting>
  <conditionalFormatting sqref="J252">
    <cfRule type="expression" dxfId="5743" priority="919">
      <formula>J252&gt;L252+#REF!</formula>
    </cfRule>
    <cfRule type="expression" dxfId="5742" priority="920">
      <formula>J252&lt;L252-#REF!</formula>
    </cfRule>
  </conditionalFormatting>
  <conditionalFormatting sqref="J253">
    <cfRule type="expression" dxfId="5741" priority="917">
      <formula>J253&gt;L253+#REF!</formula>
    </cfRule>
    <cfRule type="expression" dxfId="5740" priority="918">
      <formula>J253&lt;L253-#REF!</formula>
    </cfRule>
  </conditionalFormatting>
  <conditionalFormatting sqref="J254">
    <cfRule type="expression" dxfId="5739" priority="915">
      <formula>J254&gt;L254+#REF!</formula>
    </cfRule>
    <cfRule type="expression" dxfId="5738" priority="916">
      <formula>J254&lt;L254-#REF!</formula>
    </cfRule>
  </conditionalFormatting>
  <conditionalFormatting sqref="J255:J256">
    <cfRule type="expression" dxfId="5737" priority="913">
      <formula>J255&gt;L255+#REF!</formula>
    </cfRule>
    <cfRule type="expression" dxfId="5736" priority="914">
      <formula>J255&lt;L255-#REF!</formula>
    </cfRule>
  </conditionalFormatting>
  <conditionalFormatting sqref="J257">
    <cfRule type="expression" dxfId="5735" priority="911">
      <formula>J257&gt;L257+#REF!</formula>
    </cfRule>
    <cfRule type="expression" dxfId="5734" priority="912">
      <formula>J257&lt;L257-#REF!</formula>
    </cfRule>
  </conditionalFormatting>
  <conditionalFormatting sqref="J22">
    <cfRule type="expression" dxfId="5733" priority="1367">
      <formula>J22&lt;L22*#REF!</formula>
    </cfRule>
    <cfRule type="expression" dxfId="5732" priority="1368">
      <formula>J22&gt;L22*#REF!</formula>
    </cfRule>
  </conditionalFormatting>
  <conditionalFormatting sqref="J23">
    <cfRule type="expression" dxfId="5731" priority="1365">
      <formula>J23&lt;L23*#REF!</formula>
    </cfRule>
    <cfRule type="expression" dxfId="5730" priority="1366">
      <formula>J23&gt;L23*#REF!</formula>
    </cfRule>
  </conditionalFormatting>
  <conditionalFormatting sqref="J34">
    <cfRule type="expression" dxfId="5729" priority="1363">
      <formula>J34&lt;L34*#REF!</formula>
    </cfRule>
    <cfRule type="expression" dxfId="5728" priority="1364">
      <formula>J34&gt;L34*#REF!</formula>
    </cfRule>
  </conditionalFormatting>
  <conditionalFormatting sqref="J24">
    <cfRule type="expression" dxfId="5727" priority="1361">
      <formula>J24&gt;L24+#REF!</formula>
    </cfRule>
    <cfRule type="expression" dxfId="5726" priority="1362">
      <formula>J24&lt;L24-#REF!</formula>
    </cfRule>
  </conditionalFormatting>
  <conditionalFormatting sqref="J25">
    <cfRule type="expression" dxfId="5725" priority="1359">
      <formula>J25&gt;L25+#REF!</formula>
    </cfRule>
    <cfRule type="expression" dxfId="5724" priority="1360">
      <formula>J25&lt;L25-#REF!</formula>
    </cfRule>
  </conditionalFormatting>
  <conditionalFormatting sqref="J26">
    <cfRule type="expression" dxfId="5723" priority="1357">
      <formula>J26&gt;L26+#REF!</formula>
    </cfRule>
    <cfRule type="expression" dxfId="5722" priority="1358">
      <formula>J26&lt;L26-#REF!</formula>
    </cfRule>
  </conditionalFormatting>
  <conditionalFormatting sqref="J27">
    <cfRule type="expression" dxfId="5721" priority="1355">
      <formula>J27&gt;L27+#REF!</formula>
    </cfRule>
    <cfRule type="expression" dxfId="5720" priority="1356">
      <formula>J27&lt;L27-#REF!</formula>
    </cfRule>
  </conditionalFormatting>
  <conditionalFormatting sqref="J28">
    <cfRule type="expression" dxfId="5719" priority="1353">
      <formula>J28&gt;L28+#REF!</formula>
    </cfRule>
    <cfRule type="expression" dxfId="5718" priority="1354">
      <formula>J28&lt;L28-#REF!</formula>
    </cfRule>
  </conditionalFormatting>
  <conditionalFormatting sqref="J29">
    <cfRule type="expression" dxfId="5717" priority="1351">
      <formula>J29&gt;L29+#REF!</formula>
    </cfRule>
    <cfRule type="expression" dxfId="5716" priority="1352">
      <formula>J29&lt;L29-#REF!</formula>
    </cfRule>
  </conditionalFormatting>
  <conditionalFormatting sqref="J30">
    <cfRule type="expression" dxfId="5715" priority="1349">
      <formula>J30&gt;L30+#REF!</formula>
    </cfRule>
    <cfRule type="expression" dxfId="5714" priority="1350">
      <formula>J30&lt;L30-#REF!</formula>
    </cfRule>
  </conditionalFormatting>
  <conditionalFormatting sqref="J31:J32">
    <cfRule type="expression" dxfId="5713" priority="1347">
      <formula>J31&gt;L31+#REF!</formula>
    </cfRule>
    <cfRule type="expression" dxfId="5712" priority="1348">
      <formula>J31&lt;L31-#REF!</formula>
    </cfRule>
  </conditionalFormatting>
  <conditionalFormatting sqref="J33">
    <cfRule type="expression" dxfId="5711" priority="1345">
      <formula>J33&gt;L33+#REF!</formula>
    </cfRule>
    <cfRule type="expression" dxfId="5710" priority="1346">
      <formula>J33&lt;L33-#REF!</formula>
    </cfRule>
  </conditionalFormatting>
  <conditionalFormatting sqref="J36">
    <cfRule type="expression" dxfId="5709" priority="1343">
      <formula>J36&lt;L36*#REF!</formula>
    </cfRule>
    <cfRule type="expression" dxfId="5708" priority="1344">
      <formula>J36&gt;L36*#REF!</formula>
    </cfRule>
  </conditionalFormatting>
  <conditionalFormatting sqref="J37">
    <cfRule type="expression" dxfId="5707" priority="1341">
      <formula>J37&lt;L37*#REF!</formula>
    </cfRule>
    <cfRule type="expression" dxfId="5706" priority="1342">
      <formula>J37&gt;L37*#REF!</formula>
    </cfRule>
  </conditionalFormatting>
  <conditionalFormatting sqref="J38">
    <cfRule type="expression" dxfId="5705" priority="1337">
      <formula>J38&gt;L38+#REF!</formula>
    </cfRule>
    <cfRule type="expression" dxfId="5704" priority="1338">
      <formula>J38&lt;L38-#REF!</formula>
    </cfRule>
  </conditionalFormatting>
  <conditionalFormatting sqref="J39">
    <cfRule type="expression" dxfId="5703" priority="1335">
      <formula>J39&gt;L39+#REF!</formula>
    </cfRule>
    <cfRule type="expression" dxfId="5702" priority="1336">
      <formula>J39&lt;L39-#REF!</formula>
    </cfRule>
  </conditionalFormatting>
  <conditionalFormatting sqref="J40">
    <cfRule type="expression" dxfId="5701" priority="1333">
      <formula>J40&gt;L40+#REF!</formula>
    </cfRule>
    <cfRule type="expression" dxfId="5700" priority="1334">
      <formula>J40&lt;L40-#REF!</formula>
    </cfRule>
  </conditionalFormatting>
  <conditionalFormatting sqref="J41">
    <cfRule type="expression" dxfId="5699" priority="1331">
      <formula>J41&gt;L41+#REF!</formula>
    </cfRule>
    <cfRule type="expression" dxfId="5698" priority="1332">
      <formula>J41&lt;L41-#REF!</formula>
    </cfRule>
  </conditionalFormatting>
  <conditionalFormatting sqref="J42">
    <cfRule type="expression" dxfId="5697" priority="1329">
      <formula>J42&gt;L42+#REF!</formula>
    </cfRule>
    <cfRule type="expression" dxfId="5696" priority="1330">
      <formula>J42&lt;L42-#REF!</formula>
    </cfRule>
  </conditionalFormatting>
  <conditionalFormatting sqref="J43">
    <cfRule type="expression" dxfId="5695" priority="1327">
      <formula>J43&gt;L43+#REF!</formula>
    </cfRule>
    <cfRule type="expression" dxfId="5694" priority="1328">
      <formula>J43&lt;L43-#REF!</formula>
    </cfRule>
  </conditionalFormatting>
  <conditionalFormatting sqref="J44">
    <cfRule type="expression" dxfId="5693" priority="1325">
      <formula>J44&gt;L44+#REF!</formula>
    </cfRule>
    <cfRule type="expression" dxfId="5692" priority="1326">
      <formula>J44&lt;L44-#REF!</formula>
    </cfRule>
  </conditionalFormatting>
  <conditionalFormatting sqref="J45:J46">
    <cfRule type="expression" dxfId="5691" priority="1323">
      <formula>J45&gt;L45+#REF!</formula>
    </cfRule>
    <cfRule type="expression" dxfId="5690" priority="1324">
      <formula>J45&lt;L45-#REF!</formula>
    </cfRule>
  </conditionalFormatting>
  <conditionalFormatting sqref="J47">
    <cfRule type="expression" dxfId="5689" priority="1321">
      <formula>J47&gt;L47+#REF!</formula>
    </cfRule>
    <cfRule type="expression" dxfId="5688" priority="1322">
      <formula>J47&lt;L47-#REF!</formula>
    </cfRule>
  </conditionalFormatting>
  <conditionalFormatting sqref="J50">
    <cfRule type="expression" dxfId="5687" priority="1319">
      <formula>J50&lt;L50*#REF!</formula>
    </cfRule>
    <cfRule type="expression" dxfId="5686" priority="1320">
      <formula>J50&gt;L50*#REF!</formula>
    </cfRule>
  </conditionalFormatting>
  <conditionalFormatting sqref="J51">
    <cfRule type="expression" dxfId="5685" priority="1317">
      <formula>J51&lt;L51*#REF!</formula>
    </cfRule>
    <cfRule type="expression" dxfId="5684" priority="1318">
      <formula>J51&gt;L51*#REF!</formula>
    </cfRule>
  </conditionalFormatting>
  <conditionalFormatting sqref="J52">
    <cfRule type="expression" dxfId="5683" priority="1313">
      <formula>J52&gt;L52+#REF!</formula>
    </cfRule>
    <cfRule type="expression" dxfId="5682" priority="1314">
      <formula>J52&lt;L52-#REF!</formula>
    </cfRule>
  </conditionalFormatting>
  <conditionalFormatting sqref="J53">
    <cfRule type="expression" dxfId="5681" priority="1311">
      <formula>J53&gt;L53+#REF!</formula>
    </cfRule>
    <cfRule type="expression" dxfId="5680" priority="1312">
      <formula>J53&lt;L53-#REF!</formula>
    </cfRule>
  </conditionalFormatting>
  <conditionalFormatting sqref="J54">
    <cfRule type="expression" dxfId="5679" priority="1309">
      <formula>J54&gt;L54+#REF!</formula>
    </cfRule>
    <cfRule type="expression" dxfId="5678" priority="1310">
      <formula>J54&lt;L54-#REF!</formula>
    </cfRule>
  </conditionalFormatting>
  <conditionalFormatting sqref="J55">
    <cfRule type="expression" dxfId="5677" priority="1307">
      <formula>J55&gt;L55+#REF!</formula>
    </cfRule>
    <cfRule type="expression" dxfId="5676" priority="1308">
      <formula>J55&lt;L55-#REF!</formula>
    </cfRule>
  </conditionalFormatting>
  <conditionalFormatting sqref="J56">
    <cfRule type="expression" dxfId="5675" priority="1305">
      <formula>J56&gt;L56+#REF!</formula>
    </cfRule>
    <cfRule type="expression" dxfId="5674" priority="1306">
      <formula>J56&lt;L56-#REF!</formula>
    </cfRule>
  </conditionalFormatting>
  <conditionalFormatting sqref="J57">
    <cfRule type="expression" dxfId="5673" priority="1303">
      <formula>J57&gt;L57+#REF!</formula>
    </cfRule>
    <cfRule type="expression" dxfId="5672" priority="1304">
      <formula>J57&lt;L57-#REF!</formula>
    </cfRule>
  </conditionalFormatting>
  <conditionalFormatting sqref="J58">
    <cfRule type="expression" dxfId="5671" priority="1301">
      <formula>J58&gt;L58+#REF!</formula>
    </cfRule>
    <cfRule type="expression" dxfId="5670" priority="1302">
      <formula>J58&lt;L58-#REF!</formula>
    </cfRule>
  </conditionalFormatting>
  <conditionalFormatting sqref="J59:J60">
    <cfRule type="expression" dxfId="5669" priority="1299">
      <formula>J59&gt;L59+#REF!</formula>
    </cfRule>
    <cfRule type="expression" dxfId="5668" priority="1300">
      <formula>J59&lt;L59-#REF!</formula>
    </cfRule>
  </conditionalFormatting>
  <conditionalFormatting sqref="J61">
    <cfRule type="expression" dxfId="5667" priority="1297">
      <formula>J61&gt;L61+#REF!</formula>
    </cfRule>
    <cfRule type="expression" dxfId="5666" priority="1298">
      <formula>J61&lt;L61-#REF!</formula>
    </cfRule>
  </conditionalFormatting>
  <conditionalFormatting sqref="J64">
    <cfRule type="expression" dxfId="5665" priority="1295">
      <formula>J64&lt;L64*#REF!</formula>
    </cfRule>
    <cfRule type="expression" dxfId="5664" priority="1296">
      <formula>J64&gt;L64*#REF!</formula>
    </cfRule>
  </conditionalFormatting>
  <conditionalFormatting sqref="J65">
    <cfRule type="expression" dxfId="5663" priority="1293">
      <formula>J65&lt;L65*#REF!</formula>
    </cfRule>
    <cfRule type="expression" dxfId="5662" priority="1294">
      <formula>J65&gt;L65*#REF!</formula>
    </cfRule>
  </conditionalFormatting>
  <conditionalFormatting sqref="J66">
    <cfRule type="expression" dxfId="5661" priority="1289">
      <formula>J66&gt;L66+#REF!</formula>
    </cfRule>
    <cfRule type="expression" dxfId="5660" priority="1290">
      <formula>J66&lt;L66-#REF!</formula>
    </cfRule>
  </conditionalFormatting>
  <conditionalFormatting sqref="J67">
    <cfRule type="expression" dxfId="5659" priority="1287">
      <formula>J67&gt;L67+#REF!</formula>
    </cfRule>
    <cfRule type="expression" dxfId="5658" priority="1288">
      <formula>J67&lt;L67-#REF!</formula>
    </cfRule>
  </conditionalFormatting>
  <conditionalFormatting sqref="J68">
    <cfRule type="expression" dxfId="5657" priority="1285">
      <formula>J68&gt;L68+#REF!</formula>
    </cfRule>
    <cfRule type="expression" dxfId="5656" priority="1286">
      <formula>J68&lt;L68-#REF!</formula>
    </cfRule>
  </conditionalFormatting>
  <conditionalFormatting sqref="J69">
    <cfRule type="expression" dxfId="5655" priority="1283">
      <formula>J69&gt;L69+#REF!</formula>
    </cfRule>
    <cfRule type="expression" dxfId="5654" priority="1284">
      <formula>J69&lt;L69-#REF!</formula>
    </cfRule>
  </conditionalFormatting>
  <conditionalFormatting sqref="J70">
    <cfRule type="expression" dxfId="5653" priority="1281">
      <formula>J70&gt;L70+#REF!</formula>
    </cfRule>
    <cfRule type="expression" dxfId="5652" priority="1282">
      <formula>J70&lt;L70-#REF!</formula>
    </cfRule>
  </conditionalFormatting>
  <conditionalFormatting sqref="J71">
    <cfRule type="expression" dxfId="5651" priority="1279">
      <formula>J71&gt;L71+#REF!</formula>
    </cfRule>
    <cfRule type="expression" dxfId="5650" priority="1280">
      <formula>J71&lt;L71-#REF!</formula>
    </cfRule>
  </conditionalFormatting>
  <conditionalFormatting sqref="J72">
    <cfRule type="expression" dxfId="5649" priority="1277">
      <formula>J72&gt;L72+#REF!</formula>
    </cfRule>
    <cfRule type="expression" dxfId="5648" priority="1278">
      <formula>J72&lt;L72-#REF!</formula>
    </cfRule>
  </conditionalFormatting>
  <conditionalFormatting sqref="J73:J74">
    <cfRule type="expression" dxfId="5647" priority="1275">
      <formula>J73&gt;L73+#REF!</formula>
    </cfRule>
    <cfRule type="expression" dxfId="5646" priority="1276">
      <formula>J73&lt;L73-#REF!</formula>
    </cfRule>
  </conditionalFormatting>
  <conditionalFormatting sqref="J75">
    <cfRule type="expression" dxfId="5645" priority="1273">
      <formula>J75&gt;L75+#REF!</formula>
    </cfRule>
    <cfRule type="expression" dxfId="5644" priority="1274">
      <formula>J75&lt;L75-#REF!</formula>
    </cfRule>
  </conditionalFormatting>
  <conditionalFormatting sqref="J78">
    <cfRule type="expression" dxfId="5643" priority="1271">
      <formula>J78&lt;L78*#REF!</formula>
    </cfRule>
    <cfRule type="expression" dxfId="5642" priority="1272">
      <formula>J78&gt;L78*#REF!</formula>
    </cfRule>
  </conditionalFormatting>
  <conditionalFormatting sqref="J79">
    <cfRule type="expression" dxfId="5641" priority="1269">
      <formula>J79&lt;L79*#REF!</formula>
    </cfRule>
    <cfRule type="expression" dxfId="5640" priority="1270">
      <formula>J79&gt;L79*#REF!</formula>
    </cfRule>
  </conditionalFormatting>
  <conditionalFormatting sqref="J202">
    <cfRule type="expression" dxfId="5639" priority="1105">
      <formula>J202&lt;L202*#REF!</formula>
    </cfRule>
    <cfRule type="expression" dxfId="5638" priority="1106">
      <formula>J202&gt;L202*#REF!</formula>
    </cfRule>
  </conditionalFormatting>
  <conditionalFormatting sqref="J80">
    <cfRule type="expression" dxfId="5637" priority="1265">
      <formula>J80&gt;L80+#REF!</formula>
    </cfRule>
    <cfRule type="expression" dxfId="5636" priority="1266">
      <formula>J80&lt;L80-#REF!</formula>
    </cfRule>
  </conditionalFormatting>
  <conditionalFormatting sqref="J81">
    <cfRule type="expression" dxfId="5635" priority="1263">
      <formula>J81&gt;L81+#REF!</formula>
    </cfRule>
    <cfRule type="expression" dxfId="5634" priority="1264">
      <formula>J81&lt;L81-#REF!</formula>
    </cfRule>
  </conditionalFormatting>
  <conditionalFormatting sqref="J82">
    <cfRule type="expression" dxfId="5633" priority="1261">
      <formula>J82&gt;L82+#REF!</formula>
    </cfRule>
    <cfRule type="expression" dxfId="5632" priority="1262">
      <formula>J82&lt;L82-#REF!</formula>
    </cfRule>
  </conditionalFormatting>
  <conditionalFormatting sqref="J83">
    <cfRule type="expression" dxfId="5631" priority="1259">
      <formula>J83&gt;L83+#REF!</formula>
    </cfRule>
    <cfRule type="expression" dxfId="5630" priority="1260">
      <formula>J83&lt;L83-#REF!</formula>
    </cfRule>
  </conditionalFormatting>
  <conditionalFormatting sqref="J84">
    <cfRule type="expression" dxfId="5629" priority="1257">
      <formula>J84&gt;L84+#REF!</formula>
    </cfRule>
    <cfRule type="expression" dxfId="5628" priority="1258">
      <formula>J84&lt;L84-#REF!</formula>
    </cfRule>
  </conditionalFormatting>
  <conditionalFormatting sqref="J85">
    <cfRule type="expression" dxfId="5627" priority="1255">
      <formula>J85&gt;L85+#REF!</formula>
    </cfRule>
    <cfRule type="expression" dxfId="5626" priority="1256">
      <formula>J85&lt;L85-#REF!</formula>
    </cfRule>
  </conditionalFormatting>
  <conditionalFormatting sqref="J86">
    <cfRule type="expression" dxfId="5625" priority="1253">
      <formula>J86&gt;L86+#REF!</formula>
    </cfRule>
    <cfRule type="expression" dxfId="5624" priority="1254">
      <formula>J86&lt;L86-#REF!</formula>
    </cfRule>
  </conditionalFormatting>
  <conditionalFormatting sqref="J87:J88">
    <cfRule type="expression" dxfId="5623" priority="1251">
      <formula>J87&gt;L87+#REF!</formula>
    </cfRule>
    <cfRule type="expression" dxfId="5622" priority="1252">
      <formula>J87&lt;L87-#REF!</formula>
    </cfRule>
  </conditionalFormatting>
  <conditionalFormatting sqref="J89">
    <cfRule type="expression" dxfId="5621" priority="1249">
      <formula>J89&gt;L89+#REF!</formula>
    </cfRule>
    <cfRule type="expression" dxfId="5620" priority="1250">
      <formula>J89&lt;L89-#REF!</formula>
    </cfRule>
  </conditionalFormatting>
  <conditionalFormatting sqref="J106">
    <cfRule type="expression" dxfId="5619" priority="1223">
      <formula>J106&lt;L106*#REF!</formula>
    </cfRule>
    <cfRule type="expression" dxfId="5618" priority="1224">
      <formula>J106&gt;L106*#REF!</formula>
    </cfRule>
  </conditionalFormatting>
  <conditionalFormatting sqref="J107">
    <cfRule type="expression" dxfId="5617" priority="1221">
      <formula>J107&lt;L107*#REF!</formula>
    </cfRule>
    <cfRule type="expression" dxfId="5616" priority="1222">
      <formula>J107&gt;L107*#REF!</formula>
    </cfRule>
  </conditionalFormatting>
  <conditionalFormatting sqref="J216">
    <cfRule type="expression" dxfId="5615" priority="1057">
      <formula>J216&lt;L216*#REF!</formula>
    </cfRule>
    <cfRule type="expression" dxfId="5614" priority="1058">
      <formula>J216&gt;L216*#REF!</formula>
    </cfRule>
  </conditionalFormatting>
  <conditionalFormatting sqref="J111">
    <cfRule type="expression" dxfId="5613" priority="1217">
      <formula>J111&gt;L111+#REF!</formula>
    </cfRule>
    <cfRule type="expression" dxfId="5612" priority="1218">
      <formula>J111&lt;L111-#REF!</formula>
    </cfRule>
  </conditionalFormatting>
  <conditionalFormatting sqref="J112">
    <cfRule type="expression" dxfId="5611" priority="1215">
      <formula>J112&gt;L112+#REF!</formula>
    </cfRule>
    <cfRule type="expression" dxfId="5610" priority="1216">
      <formula>J112&lt;L112-#REF!</formula>
    </cfRule>
  </conditionalFormatting>
  <conditionalFormatting sqref="J113">
    <cfRule type="expression" dxfId="5609" priority="1213">
      <formula>J113&gt;L113+#REF!</formula>
    </cfRule>
    <cfRule type="expression" dxfId="5608" priority="1214">
      <formula>J113&lt;L113-#REF!</formula>
    </cfRule>
  </conditionalFormatting>
  <conditionalFormatting sqref="J114">
    <cfRule type="expression" dxfId="5607" priority="1211">
      <formula>J114&gt;L114+#REF!</formula>
    </cfRule>
    <cfRule type="expression" dxfId="5606" priority="1212">
      <formula>J114&lt;L114-#REF!</formula>
    </cfRule>
  </conditionalFormatting>
  <conditionalFormatting sqref="J115:J116">
    <cfRule type="expression" dxfId="5605" priority="1209">
      <formula>J115&gt;L115+#REF!</formula>
    </cfRule>
    <cfRule type="expression" dxfId="5604" priority="1210">
      <formula>J115&lt;L115-#REF!</formula>
    </cfRule>
  </conditionalFormatting>
  <conditionalFormatting sqref="J117">
    <cfRule type="expression" dxfId="5603" priority="1207">
      <formula>J117&gt;L117+#REF!</formula>
    </cfRule>
    <cfRule type="expression" dxfId="5602" priority="1208">
      <formula>J117&lt;L117-#REF!</formula>
    </cfRule>
  </conditionalFormatting>
  <conditionalFormatting sqref="J120">
    <cfRule type="expression" dxfId="5601" priority="1205">
      <formula>J120&lt;L120*#REF!</formula>
    </cfRule>
    <cfRule type="expression" dxfId="5600" priority="1206">
      <formula>J120&gt;L120*#REF!</formula>
    </cfRule>
  </conditionalFormatting>
  <conditionalFormatting sqref="J121">
    <cfRule type="expression" dxfId="5599" priority="1203">
      <formula>J121&lt;L121*#REF!</formula>
    </cfRule>
    <cfRule type="expression" dxfId="5598" priority="1204">
      <formula>J121&gt;L121*#REF!</formula>
    </cfRule>
  </conditionalFormatting>
  <conditionalFormatting sqref="J122">
    <cfRule type="expression" dxfId="5597" priority="1199">
      <formula>J122&gt;L122+#REF!</formula>
    </cfRule>
    <cfRule type="expression" dxfId="5596" priority="1200">
      <formula>J122&lt;L122-#REF!</formula>
    </cfRule>
  </conditionalFormatting>
  <conditionalFormatting sqref="J123">
    <cfRule type="expression" dxfId="5595" priority="1197">
      <formula>J123&gt;L123+#REF!</formula>
    </cfRule>
    <cfRule type="expression" dxfId="5594" priority="1198">
      <formula>J123&lt;L123-#REF!</formula>
    </cfRule>
  </conditionalFormatting>
  <conditionalFormatting sqref="J124">
    <cfRule type="expression" dxfId="5593" priority="1195">
      <formula>J124&gt;L124+#REF!</formula>
    </cfRule>
    <cfRule type="expression" dxfId="5592" priority="1196">
      <formula>J124&lt;L124-#REF!</formula>
    </cfRule>
  </conditionalFormatting>
  <conditionalFormatting sqref="J125">
    <cfRule type="expression" dxfId="5591" priority="1193">
      <formula>J125&gt;L125+#REF!</formula>
    </cfRule>
    <cfRule type="expression" dxfId="5590" priority="1194">
      <formula>J125&lt;L125-#REF!</formula>
    </cfRule>
  </conditionalFormatting>
  <conditionalFormatting sqref="J126">
    <cfRule type="expression" dxfId="5589" priority="1191">
      <formula>J126&gt;L126+#REF!</formula>
    </cfRule>
    <cfRule type="expression" dxfId="5588" priority="1192">
      <formula>J126&lt;L126-#REF!</formula>
    </cfRule>
  </conditionalFormatting>
  <conditionalFormatting sqref="J127">
    <cfRule type="expression" dxfId="5587" priority="1189">
      <formula>J127&gt;L127+#REF!</formula>
    </cfRule>
    <cfRule type="expression" dxfId="5586" priority="1190">
      <formula>J127&lt;L127-#REF!</formula>
    </cfRule>
  </conditionalFormatting>
  <conditionalFormatting sqref="J128">
    <cfRule type="expression" dxfId="5585" priority="1187">
      <formula>J128&gt;L128+#REF!</formula>
    </cfRule>
    <cfRule type="expression" dxfId="5584" priority="1188">
      <formula>J128&lt;L128-#REF!</formula>
    </cfRule>
  </conditionalFormatting>
  <conditionalFormatting sqref="J129:J130">
    <cfRule type="expression" dxfId="5583" priority="1185">
      <formula>J129&gt;L129+#REF!</formula>
    </cfRule>
    <cfRule type="expression" dxfId="5582" priority="1186">
      <formula>J129&lt;L129-#REF!</formula>
    </cfRule>
  </conditionalFormatting>
  <conditionalFormatting sqref="J131">
    <cfRule type="expression" dxfId="5581" priority="1183">
      <formula>J131&gt;L131+#REF!</formula>
    </cfRule>
    <cfRule type="expression" dxfId="5580" priority="1184">
      <formula>J131&lt;L131-#REF!</formula>
    </cfRule>
  </conditionalFormatting>
  <conditionalFormatting sqref="J148">
    <cfRule type="expression" dxfId="5579" priority="1157">
      <formula>J148&lt;L148*#REF!</formula>
    </cfRule>
    <cfRule type="expression" dxfId="5578" priority="1158">
      <formula>J148&gt;L148*#REF!</formula>
    </cfRule>
  </conditionalFormatting>
  <conditionalFormatting sqref="J149">
    <cfRule type="expression" dxfId="5577" priority="1155">
      <formula>J149&lt;L149*#REF!</formula>
    </cfRule>
    <cfRule type="expression" dxfId="5576" priority="1156">
      <formula>J149&gt;L149*#REF!</formula>
    </cfRule>
  </conditionalFormatting>
  <conditionalFormatting sqref="J150">
    <cfRule type="expression" dxfId="5575" priority="1151">
      <formula>J150&gt;L150+#REF!</formula>
    </cfRule>
    <cfRule type="expression" dxfId="5574" priority="1152">
      <formula>J150&lt;L150-#REF!</formula>
    </cfRule>
  </conditionalFormatting>
  <conditionalFormatting sqref="J151">
    <cfRule type="expression" dxfId="5573" priority="1149">
      <formula>J151&gt;L151+#REF!</formula>
    </cfRule>
    <cfRule type="expression" dxfId="5572" priority="1150">
      <formula>J151&lt;L151-#REF!</formula>
    </cfRule>
  </conditionalFormatting>
  <conditionalFormatting sqref="J152">
    <cfRule type="expression" dxfId="5571" priority="1147">
      <formula>J152&gt;L152+#REF!</formula>
    </cfRule>
    <cfRule type="expression" dxfId="5570" priority="1148">
      <formula>J152&lt;L152-#REF!</formula>
    </cfRule>
  </conditionalFormatting>
  <conditionalFormatting sqref="J153">
    <cfRule type="expression" dxfId="5569" priority="1145">
      <formula>J153&gt;L153+#REF!</formula>
    </cfRule>
    <cfRule type="expression" dxfId="5568" priority="1146">
      <formula>J153&lt;L153-#REF!</formula>
    </cfRule>
  </conditionalFormatting>
  <conditionalFormatting sqref="J154">
    <cfRule type="expression" dxfId="5567" priority="1143">
      <formula>J154&gt;L154+#REF!</formula>
    </cfRule>
    <cfRule type="expression" dxfId="5566" priority="1144">
      <formula>J154&lt;L154-#REF!</formula>
    </cfRule>
  </conditionalFormatting>
  <conditionalFormatting sqref="J155">
    <cfRule type="expression" dxfId="5565" priority="1141">
      <formula>J155&gt;L155+#REF!</formula>
    </cfRule>
    <cfRule type="expression" dxfId="5564" priority="1142">
      <formula>J155&lt;L155-#REF!</formula>
    </cfRule>
  </conditionalFormatting>
  <conditionalFormatting sqref="J156">
    <cfRule type="expression" dxfId="5563" priority="1139">
      <formula>J156&gt;L156+#REF!</formula>
    </cfRule>
    <cfRule type="expression" dxfId="5562" priority="1140">
      <formula>J156&lt;L156-#REF!</formula>
    </cfRule>
  </conditionalFormatting>
  <conditionalFormatting sqref="J157:J158">
    <cfRule type="expression" dxfId="5561" priority="1137">
      <formula>J157&gt;L157+#REF!</formula>
    </cfRule>
    <cfRule type="expression" dxfId="5560" priority="1138">
      <formula>J157&lt;L157-#REF!</formula>
    </cfRule>
  </conditionalFormatting>
  <conditionalFormatting sqref="J159">
    <cfRule type="expression" dxfId="5559" priority="1135">
      <formula>J159&gt;L159+#REF!</formula>
    </cfRule>
    <cfRule type="expression" dxfId="5558" priority="1136">
      <formula>J159&lt;L159-#REF!</formula>
    </cfRule>
  </conditionalFormatting>
  <conditionalFormatting sqref="J162">
    <cfRule type="expression" dxfId="5557" priority="1133">
      <formula>J162&lt;L162*#REF!</formula>
    </cfRule>
    <cfRule type="expression" dxfId="5556" priority="1134">
      <formula>J162&gt;L162*#REF!</formula>
    </cfRule>
  </conditionalFormatting>
  <conditionalFormatting sqref="J163">
    <cfRule type="expression" dxfId="5555" priority="1131">
      <formula>J163&lt;L163*#REF!</formula>
    </cfRule>
    <cfRule type="expression" dxfId="5554" priority="1132">
      <formula>J163&gt;L163*#REF!</formula>
    </cfRule>
  </conditionalFormatting>
  <conditionalFormatting sqref="J164">
    <cfRule type="expression" dxfId="5553" priority="1127">
      <formula>J164&gt;L164+#REF!</formula>
    </cfRule>
    <cfRule type="expression" dxfId="5552" priority="1128">
      <formula>J164&lt;L164-#REF!</formula>
    </cfRule>
  </conditionalFormatting>
  <conditionalFormatting sqref="J165">
    <cfRule type="expression" dxfId="5551" priority="1125">
      <formula>J165&gt;L165+#REF!</formula>
    </cfRule>
    <cfRule type="expression" dxfId="5550" priority="1126">
      <formula>J165&lt;L165-#REF!</formula>
    </cfRule>
  </conditionalFormatting>
  <conditionalFormatting sqref="J166">
    <cfRule type="expression" dxfId="5549" priority="1123">
      <formula>J166&gt;L166+#REF!</formula>
    </cfRule>
    <cfRule type="expression" dxfId="5548" priority="1124">
      <formula>J166&lt;L166-#REF!</formula>
    </cfRule>
  </conditionalFormatting>
  <conditionalFormatting sqref="J167">
    <cfRule type="expression" dxfId="5547" priority="1121">
      <formula>J167&gt;L167+#REF!</formula>
    </cfRule>
    <cfRule type="expression" dxfId="5546" priority="1122">
      <formula>J167&lt;L167-#REF!</formula>
    </cfRule>
  </conditionalFormatting>
  <conditionalFormatting sqref="J168">
    <cfRule type="expression" dxfId="5545" priority="1119">
      <formula>J168&gt;L168+#REF!</formula>
    </cfRule>
    <cfRule type="expression" dxfId="5544" priority="1120">
      <formula>J168&lt;L168-#REF!</formula>
    </cfRule>
  </conditionalFormatting>
  <conditionalFormatting sqref="J169">
    <cfRule type="expression" dxfId="5543" priority="1117">
      <formula>J169&gt;L169+#REF!</formula>
    </cfRule>
    <cfRule type="expression" dxfId="5542" priority="1118">
      <formula>J169&lt;L169-#REF!</formula>
    </cfRule>
  </conditionalFormatting>
  <conditionalFormatting sqref="J170">
    <cfRule type="expression" dxfId="5541" priority="1115">
      <formula>J170&gt;L170+#REF!</formula>
    </cfRule>
    <cfRule type="expression" dxfId="5540" priority="1116">
      <formula>J170&lt;L170-#REF!</formula>
    </cfRule>
  </conditionalFormatting>
  <conditionalFormatting sqref="J171:J172">
    <cfRule type="expression" dxfId="5539" priority="1113">
      <formula>J171&gt;L171+#REF!</formula>
    </cfRule>
    <cfRule type="expression" dxfId="5538" priority="1114">
      <formula>J171&lt;L171-#REF!</formula>
    </cfRule>
  </conditionalFormatting>
  <conditionalFormatting sqref="J173">
    <cfRule type="expression" dxfId="5537" priority="1111">
      <formula>J173&gt;L173+#REF!</formula>
    </cfRule>
    <cfRule type="expression" dxfId="5536" priority="1112">
      <formula>J173&lt;L173-#REF!</formula>
    </cfRule>
  </conditionalFormatting>
  <conditionalFormatting sqref="J190">
    <cfRule type="expression" dxfId="5535" priority="1109">
      <formula>J190&lt;L190*#REF!</formula>
    </cfRule>
    <cfRule type="expression" dxfId="5534" priority="1110">
      <formula>J190&gt;L190*#REF!</formula>
    </cfRule>
  </conditionalFormatting>
  <conditionalFormatting sqref="J191">
    <cfRule type="expression" dxfId="5533" priority="1107">
      <formula>J191&lt;L191*#REF!</formula>
    </cfRule>
    <cfRule type="expression" dxfId="5532" priority="1108">
      <formula>J191&gt;L191*#REF!</formula>
    </cfRule>
  </conditionalFormatting>
  <conditionalFormatting sqref="J192">
    <cfRule type="expression" dxfId="5531" priority="1103">
      <formula>J192&gt;L192+#REF!</formula>
    </cfRule>
    <cfRule type="expression" dxfId="5530" priority="1104">
      <formula>J192&lt;L192-#REF!</formula>
    </cfRule>
  </conditionalFormatting>
  <conditionalFormatting sqref="J193">
    <cfRule type="expression" dxfId="5529" priority="1101">
      <formula>J193&gt;L193+#REF!</formula>
    </cfRule>
    <cfRule type="expression" dxfId="5528" priority="1102">
      <formula>J193&lt;L193-#REF!</formula>
    </cfRule>
  </conditionalFormatting>
  <conditionalFormatting sqref="J194">
    <cfRule type="expression" dxfId="5527" priority="1099">
      <formula>J194&gt;L194+#REF!</formula>
    </cfRule>
    <cfRule type="expression" dxfId="5526" priority="1100">
      <formula>J194&lt;L194-#REF!</formula>
    </cfRule>
  </conditionalFormatting>
  <conditionalFormatting sqref="J195">
    <cfRule type="expression" dxfId="5525" priority="1097">
      <formula>J195&gt;L195+#REF!</formula>
    </cfRule>
    <cfRule type="expression" dxfId="5524" priority="1098">
      <formula>J195&lt;L195-#REF!</formula>
    </cfRule>
  </conditionalFormatting>
  <conditionalFormatting sqref="J196">
    <cfRule type="expression" dxfId="5523" priority="1095">
      <formula>J196&gt;L196+#REF!</formula>
    </cfRule>
    <cfRule type="expression" dxfId="5522" priority="1096">
      <formula>J196&lt;L196-#REF!</formula>
    </cfRule>
  </conditionalFormatting>
  <conditionalFormatting sqref="J197">
    <cfRule type="expression" dxfId="5521" priority="1093">
      <formula>J197&gt;L197+#REF!</formula>
    </cfRule>
    <cfRule type="expression" dxfId="5520" priority="1094">
      <formula>J197&lt;L197-#REF!</formula>
    </cfRule>
  </conditionalFormatting>
  <conditionalFormatting sqref="J198">
    <cfRule type="expression" dxfId="5519" priority="1091">
      <formula>J198&gt;L198+#REF!</formula>
    </cfRule>
    <cfRule type="expression" dxfId="5518" priority="1092">
      <formula>J198&lt;L198-#REF!</formula>
    </cfRule>
  </conditionalFormatting>
  <conditionalFormatting sqref="J199:J200">
    <cfRule type="expression" dxfId="5517" priority="1089">
      <formula>J199&gt;L199+#REF!</formula>
    </cfRule>
    <cfRule type="expression" dxfId="5516" priority="1090">
      <formula>J199&lt;L199-#REF!</formula>
    </cfRule>
  </conditionalFormatting>
  <conditionalFormatting sqref="J201">
    <cfRule type="expression" dxfId="5515" priority="1087">
      <formula>J201&gt;L201+#REF!</formula>
    </cfRule>
    <cfRule type="expression" dxfId="5514" priority="1088">
      <formula>J201&lt;L201-#REF!</formula>
    </cfRule>
  </conditionalFormatting>
  <conditionalFormatting sqref="J176">
    <cfRule type="expression" dxfId="5513" priority="1085">
      <formula>J176&lt;L176*#REF!</formula>
    </cfRule>
    <cfRule type="expression" dxfId="5512" priority="1086">
      <formula>J176&gt;L176*#REF!</formula>
    </cfRule>
  </conditionalFormatting>
  <conditionalFormatting sqref="J177">
    <cfRule type="expression" dxfId="5511" priority="1083">
      <formula>J177&lt;L177*#REF!</formula>
    </cfRule>
    <cfRule type="expression" dxfId="5510" priority="1084">
      <formula>J177&gt;L177*#REF!</formula>
    </cfRule>
  </conditionalFormatting>
  <conditionalFormatting sqref="J178">
    <cfRule type="expression" dxfId="5509" priority="1079">
      <formula>J178&gt;L178+#REF!</formula>
    </cfRule>
    <cfRule type="expression" dxfId="5508" priority="1080">
      <formula>J178&lt;L178-#REF!</formula>
    </cfRule>
  </conditionalFormatting>
  <conditionalFormatting sqref="J179">
    <cfRule type="expression" dxfId="5507" priority="1077">
      <formula>J179&gt;L179+#REF!</formula>
    </cfRule>
    <cfRule type="expression" dxfId="5506" priority="1078">
      <formula>J179&lt;L179-#REF!</formula>
    </cfRule>
  </conditionalFormatting>
  <conditionalFormatting sqref="J180">
    <cfRule type="expression" dxfId="5505" priority="1075">
      <formula>J180&gt;L180+#REF!</formula>
    </cfRule>
    <cfRule type="expression" dxfId="5504" priority="1076">
      <formula>J180&lt;L180-#REF!</formula>
    </cfRule>
  </conditionalFormatting>
  <conditionalFormatting sqref="J181">
    <cfRule type="expression" dxfId="5503" priority="1073">
      <formula>J181&gt;L181+#REF!</formula>
    </cfRule>
    <cfRule type="expression" dxfId="5502" priority="1074">
      <formula>J181&lt;L181-#REF!</formula>
    </cfRule>
  </conditionalFormatting>
  <conditionalFormatting sqref="J182">
    <cfRule type="expression" dxfId="5501" priority="1071">
      <formula>J182&gt;L182+#REF!</formula>
    </cfRule>
    <cfRule type="expression" dxfId="5500" priority="1072">
      <formula>J182&lt;L182-#REF!</formula>
    </cfRule>
  </conditionalFormatting>
  <conditionalFormatting sqref="J183">
    <cfRule type="expression" dxfId="5499" priority="1069">
      <formula>J183&gt;L183+#REF!</formula>
    </cfRule>
    <cfRule type="expression" dxfId="5498" priority="1070">
      <formula>J183&lt;L183-#REF!</formula>
    </cfRule>
  </conditionalFormatting>
  <conditionalFormatting sqref="J184">
    <cfRule type="expression" dxfId="5497" priority="1067">
      <formula>J184&gt;L184+#REF!</formula>
    </cfRule>
    <cfRule type="expression" dxfId="5496" priority="1068">
      <formula>J184&lt;L184-#REF!</formula>
    </cfRule>
  </conditionalFormatting>
  <conditionalFormatting sqref="J185:J186">
    <cfRule type="expression" dxfId="5495" priority="1065">
      <formula>J185&gt;L185+#REF!</formula>
    </cfRule>
    <cfRule type="expression" dxfId="5494" priority="1066">
      <formula>J185&lt;L185-#REF!</formula>
    </cfRule>
  </conditionalFormatting>
  <conditionalFormatting sqref="J187">
    <cfRule type="expression" dxfId="5493" priority="1063">
      <formula>J187&gt;L187+#REF!</formula>
    </cfRule>
    <cfRule type="expression" dxfId="5492" priority="1064">
      <formula>J187&lt;L187-#REF!</formula>
    </cfRule>
  </conditionalFormatting>
  <conditionalFormatting sqref="J230">
    <cfRule type="expression" dxfId="5491" priority="1009">
      <formula>J230&lt;L230*#REF!</formula>
    </cfRule>
    <cfRule type="expression" dxfId="5490" priority="1010">
      <formula>J230&gt;L230*#REF!</formula>
    </cfRule>
  </conditionalFormatting>
  <conditionalFormatting sqref="F232">
    <cfRule type="expression" dxfId="5489" priority="1005">
      <formula>F232&lt;H232*#REF!</formula>
    </cfRule>
    <cfRule type="expression" dxfId="5488" priority="1006">
      <formula>F232&gt;H232*#REF!</formula>
    </cfRule>
  </conditionalFormatting>
  <conditionalFormatting sqref="F233">
    <cfRule type="expression" dxfId="5487" priority="1003">
      <formula>F233&lt;H233*#REF!</formula>
    </cfRule>
    <cfRule type="expression" dxfId="5486" priority="1004">
      <formula>F233&gt;H233*#REF!</formula>
    </cfRule>
  </conditionalFormatting>
  <conditionalFormatting sqref="F244">
    <cfRule type="expression" dxfId="5485" priority="1001">
      <formula>F244&lt;H244*#REF!</formula>
    </cfRule>
    <cfRule type="expression" dxfId="5484" priority="1002">
      <formula>F244&gt;H244*#REF!</formula>
    </cfRule>
  </conditionalFormatting>
  <conditionalFormatting sqref="F234">
    <cfRule type="expression" dxfId="5483" priority="999">
      <formula>F234&gt;H234+#REF!</formula>
    </cfRule>
    <cfRule type="expression" dxfId="5482" priority="1000">
      <formula>F234&lt;H234-#REF!</formula>
    </cfRule>
  </conditionalFormatting>
  <conditionalFormatting sqref="F235">
    <cfRule type="expression" dxfId="5481" priority="997">
      <formula>F235&gt;H235+#REF!</formula>
    </cfRule>
    <cfRule type="expression" dxfId="5480" priority="998">
      <formula>F235&lt;H235-#REF!</formula>
    </cfRule>
  </conditionalFormatting>
  <conditionalFormatting sqref="F236">
    <cfRule type="expression" dxfId="5479" priority="995">
      <formula>F236&gt;H236+#REF!</formula>
    </cfRule>
    <cfRule type="expression" dxfId="5478" priority="996">
      <formula>F236&lt;H236-#REF!</formula>
    </cfRule>
  </conditionalFormatting>
  <conditionalFormatting sqref="F237">
    <cfRule type="expression" dxfId="5477" priority="993">
      <formula>F237&gt;H237+#REF!</formula>
    </cfRule>
    <cfRule type="expression" dxfId="5476" priority="994">
      <formula>F237&lt;H237-#REF!</formula>
    </cfRule>
  </conditionalFormatting>
  <conditionalFormatting sqref="F238">
    <cfRule type="expression" dxfId="5475" priority="991">
      <formula>F238&gt;H238+#REF!</formula>
    </cfRule>
    <cfRule type="expression" dxfId="5474" priority="992">
      <formula>F238&lt;H238-#REF!</formula>
    </cfRule>
  </conditionalFormatting>
  <conditionalFormatting sqref="F239">
    <cfRule type="expression" dxfId="5473" priority="989">
      <formula>F239&gt;H239+#REF!</formula>
    </cfRule>
    <cfRule type="expression" dxfId="5472" priority="990">
      <formula>F239&lt;H239-#REF!</formula>
    </cfRule>
  </conditionalFormatting>
  <conditionalFormatting sqref="F240">
    <cfRule type="expression" dxfId="5471" priority="987">
      <formula>F240&gt;H240+#REF!</formula>
    </cfRule>
    <cfRule type="expression" dxfId="5470" priority="988">
      <formula>F240&lt;H240-#REF!</formula>
    </cfRule>
  </conditionalFormatting>
  <conditionalFormatting sqref="F241:F242">
    <cfRule type="expression" dxfId="5469" priority="985">
      <formula>F241&gt;H241+#REF!</formula>
    </cfRule>
    <cfRule type="expression" dxfId="5468" priority="986">
      <formula>F241&lt;H241-#REF!</formula>
    </cfRule>
  </conditionalFormatting>
  <conditionalFormatting sqref="F243">
    <cfRule type="expression" dxfId="5467" priority="983">
      <formula>F243&gt;H243+#REF!</formula>
    </cfRule>
    <cfRule type="expression" dxfId="5466" priority="984">
      <formula>F243&lt;H243-#REF!</formula>
    </cfRule>
  </conditionalFormatting>
  <conditionalFormatting sqref="F246">
    <cfRule type="expression" dxfId="5465" priority="957">
      <formula>F246&lt;H246*#REF!</formula>
    </cfRule>
    <cfRule type="expression" dxfId="5464" priority="958">
      <formula>F246&gt;H246*#REF!</formula>
    </cfRule>
  </conditionalFormatting>
  <conditionalFormatting sqref="F247">
    <cfRule type="expression" dxfId="5463" priority="955">
      <formula>F247&lt;H247*#REF!</formula>
    </cfRule>
    <cfRule type="expression" dxfId="5462" priority="956">
      <formula>F247&gt;H247*#REF!</formula>
    </cfRule>
  </conditionalFormatting>
  <conditionalFormatting sqref="F258">
    <cfRule type="expression" dxfId="5461" priority="953">
      <formula>F258&lt;H258*#REF!</formula>
    </cfRule>
    <cfRule type="expression" dxfId="5460" priority="954">
      <formula>F258&gt;H258*#REF!</formula>
    </cfRule>
  </conditionalFormatting>
  <conditionalFormatting sqref="F248">
    <cfRule type="expression" dxfId="5459" priority="951">
      <formula>F248&gt;H248+#REF!</formula>
    </cfRule>
    <cfRule type="expression" dxfId="5458" priority="952">
      <formula>F248&lt;H248-#REF!</formula>
    </cfRule>
  </conditionalFormatting>
  <conditionalFormatting sqref="F249">
    <cfRule type="expression" dxfId="5457" priority="949">
      <formula>F249&gt;H249+#REF!</formula>
    </cfRule>
    <cfRule type="expression" dxfId="5456" priority="950">
      <formula>F249&lt;H249-#REF!</formula>
    </cfRule>
  </conditionalFormatting>
  <conditionalFormatting sqref="F250">
    <cfRule type="expression" dxfId="5455" priority="947">
      <formula>F250&gt;H250+#REF!</formula>
    </cfRule>
    <cfRule type="expression" dxfId="5454" priority="948">
      <formula>F250&lt;H250-#REF!</formula>
    </cfRule>
  </conditionalFormatting>
  <conditionalFormatting sqref="F251">
    <cfRule type="expression" dxfId="5453" priority="945">
      <formula>F251&gt;H251+#REF!</formula>
    </cfRule>
    <cfRule type="expression" dxfId="5452" priority="946">
      <formula>F251&lt;H251-#REF!</formula>
    </cfRule>
  </conditionalFormatting>
  <conditionalFormatting sqref="F252">
    <cfRule type="expression" dxfId="5451" priority="943">
      <formula>F252&gt;H252+#REF!</formula>
    </cfRule>
    <cfRule type="expression" dxfId="5450" priority="944">
      <formula>F252&lt;H252-#REF!</formula>
    </cfRule>
  </conditionalFormatting>
  <conditionalFormatting sqref="F253">
    <cfRule type="expression" dxfId="5449" priority="941">
      <formula>F253&gt;H253+#REF!</formula>
    </cfRule>
    <cfRule type="expression" dxfId="5448" priority="942">
      <formula>F253&lt;H253-#REF!</formula>
    </cfRule>
  </conditionalFormatting>
  <conditionalFormatting sqref="F254">
    <cfRule type="expression" dxfId="5447" priority="939">
      <formula>F254&gt;H254+#REF!</formula>
    </cfRule>
    <cfRule type="expression" dxfId="5446" priority="940">
      <formula>F254&lt;H254-#REF!</formula>
    </cfRule>
  </conditionalFormatting>
  <conditionalFormatting sqref="F255:F256">
    <cfRule type="expression" dxfId="5445" priority="937">
      <formula>F255&gt;H255+#REF!</formula>
    </cfRule>
    <cfRule type="expression" dxfId="5444" priority="938">
      <formula>F255&lt;H255-#REF!</formula>
    </cfRule>
  </conditionalFormatting>
  <conditionalFormatting sqref="F257">
    <cfRule type="expression" dxfId="5443" priority="935">
      <formula>F257&gt;H257+#REF!</formula>
    </cfRule>
    <cfRule type="expression" dxfId="5442" priority="936">
      <formula>F257&lt;H257-#REF!</formula>
    </cfRule>
  </conditionalFormatting>
  <conditionalFormatting sqref="J258">
    <cfRule type="expression" dxfId="5441" priority="929">
      <formula>J258&lt;L258*#REF!</formula>
    </cfRule>
    <cfRule type="expression" dxfId="5440" priority="930">
      <formula>J258&gt;L258*#REF!</formula>
    </cfRule>
  </conditionalFormatting>
  <conditionalFormatting sqref="J108">
    <cfRule type="expression" dxfId="5439" priority="909">
      <formula>J108&gt;L108+#REF!</formula>
    </cfRule>
    <cfRule type="expression" dxfId="5438" priority="910">
      <formula>J108&lt;L108-#REF!</formula>
    </cfRule>
  </conditionalFormatting>
  <conditionalFormatting sqref="J109">
    <cfRule type="expression" dxfId="5437" priority="907">
      <formula>J109&gt;L109+#REF!</formula>
    </cfRule>
    <cfRule type="expression" dxfId="5436" priority="908">
      <formula>J109&lt;L109-#REF!</formula>
    </cfRule>
  </conditionalFormatting>
  <conditionalFormatting sqref="J110">
    <cfRule type="expression" dxfId="5435" priority="905">
      <formula>J110&gt;L110+#REF!</formula>
    </cfRule>
    <cfRule type="expression" dxfId="5434" priority="906">
      <formula>J110&lt;L110-#REF!</formula>
    </cfRule>
  </conditionalFormatting>
  <conditionalFormatting sqref="K67">
    <cfRule type="expression" dxfId="5433" priority="903">
      <formula>K67&gt;M67+#REF!</formula>
    </cfRule>
    <cfRule type="expression" dxfId="5432" priority="904">
      <formula>K67&lt;M67-#REF!</formula>
    </cfRule>
  </conditionalFormatting>
  <conditionalFormatting sqref="O120">
    <cfRule type="expression" dxfId="5431" priority="709">
      <formula>O120&lt;Q120*#REF!</formula>
    </cfRule>
    <cfRule type="expression" dxfId="5430" priority="710">
      <formula>O120&gt;Q120*#REF!</formula>
    </cfRule>
  </conditionalFormatting>
  <conditionalFormatting sqref="O121">
    <cfRule type="expression" dxfId="5429" priority="707">
      <formula>O121&lt;Q121*#REF!</formula>
    </cfRule>
    <cfRule type="expression" dxfId="5428" priority="708">
      <formula>O121&gt;Q121*#REF!</formula>
    </cfRule>
  </conditionalFormatting>
  <conditionalFormatting sqref="O132">
    <cfRule type="expression" dxfId="5427" priority="705">
      <formula>O132&lt;Q132*#REF!</formula>
    </cfRule>
    <cfRule type="expression" dxfId="5426" priority="706">
      <formula>O132&gt;Q132*#REF!</formula>
    </cfRule>
  </conditionalFormatting>
  <conditionalFormatting sqref="O122">
    <cfRule type="expression" dxfId="5425" priority="703">
      <formula>O122&gt;Q122+#REF!</formula>
    </cfRule>
    <cfRule type="expression" dxfId="5424" priority="704">
      <formula>O122&lt;Q122-#REF!</formula>
    </cfRule>
  </conditionalFormatting>
  <conditionalFormatting sqref="O123">
    <cfRule type="expression" dxfId="5423" priority="701">
      <formula>O123&gt;Q123+#REF!</formula>
    </cfRule>
    <cfRule type="expression" dxfId="5422" priority="702">
      <formula>O123&lt;Q123-#REF!</formula>
    </cfRule>
  </conditionalFormatting>
  <conditionalFormatting sqref="O124">
    <cfRule type="expression" dxfId="5421" priority="699">
      <formula>O124&gt;Q124+#REF!</formula>
    </cfRule>
    <cfRule type="expression" dxfId="5420" priority="700">
      <formula>O124&lt;Q124-#REF!</formula>
    </cfRule>
  </conditionalFormatting>
  <conditionalFormatting sqref="O125">
    <cfRule type="expression" dxfId="5419" priority="697">
      <formula>O125&gt;Q125+#REF!</formula>
    </cfRule>
    <cfRule type="expression" dxfId="5418" priority="698">
      <formula>O125&lt;Q125-#REF!</formula>
    </cfRule>
  </conditionalFormatting>
  <conditionalFormatting sqref="O126">
    <cfRule type="expression" dxfId="5417" priority="695">
      <formula>O126&gt;Q126+#REF!</formula>
    </cfRule>
    <cfRule type="expression" dxfId="5416" priority="696">
      <formula>O126&lt;Q126-#REF!</formula>
    </cfRule>
  </conditionalFormatting>
  <conditionalFormatting sqref="O127">
    <cfRule type="expression" dxfId="5415" priority="693">
      <formula>O127&gt;Q127+#REF!</formula>
    </cfRule>
    <cfRule type="expression" dxfId="5414" priority="694">
      <formula>O127&lt;Q127-#REF!</formula>
    </cfRule>
  </conditionalFormatting>
  <conditionalFormatting sqref="O128">
    <cfRule type="expression" dxfId="5413" priority="691">
      <formula>O128&gt;Q128+#REF!</formula>
    </cfRule>
    <cfRule type="expression" dxfId="5412" priority="692">
      <formula>O128&lt;Q128-#REF!</formula>
    </cfRule>
  </conditionalFormatting>
  <conditionalFormatting sqref="O129:O130">
    <cfRule type="expression" dxfId="5411" priority="689">
      <formula>O129&gt;Q129+#REF!</formula>
    </cfRule>
    <cfRule type="expression" dxfId="5410" priority="690">
      <formula>O129&lt;Q129-#REF!</formula>
    </cfRule>
  </conditionalFormatting>
  <conditionalFormatting sqref="O131">
    <cfRule type="expression" dxfId="5409" priority="687">
      <formula>O131&gt;Q131+#REF!</formula>
    </cfRule>
    <cfRule type="expression" dxfId="5408" priority="688">
      <formula>O131&lt;Q131-#REF!</formula>
    </cfRule>
  </conditionalFormatting>
  <conditionalFormatting sqref="O134">
    <cfRule type="expression" dxfId="5407" priority="685">
      <formula>O134&lt;Q134*#REF!</formula>
    </cfRule>
    <cfRule type="expression" dxfId="5406" priority="686">
      <formula>O134&gt;Q134*#REF!</formula>
    </cfRule>
  </conditionalFormatting>
  <conditionalFormatting sqref="O135">
    <cfRule type="expression" dxfId="5405" priority="683">
      <formula>O135&lt;Q135*#REF!</formula>
    </cfRule>
    <cfRule type="expression" dxfId="5404" priority="684">
      <formula>O135&gt;Q135*#REF!</formula>
    </cfRule>
  </conditionalFormatting>
  <conditionalFormatting sqref="O146">
    <cfRule type="expression" dxfId="5403" priority="681">
      <formula>O146&lt;Q146*#REF!</formula>
    </cfRule>
    <cfRule type="expression" dxfId="5402" priority="682">
      <formula>O146&gt;Q146*#REF!</formula>
    </cfRule>
  </conditionalFormatting>
  <conditionalFormatting sqref="O136">
    <cfRule type="expression" dxfId="5401" priority="679">
      <formula>O136&gt;Q136+#REF!</formula>
    </cfRule>
    <cfRule type="expression" dxfId="5400" priority="680">
      <formula>O136&lt;Q136-#REF!</formula>
    </cfRule>
  </conditionalFormatting>
  <conditionalFormatting sqref="O137">
    <cfRule type="expression" dxfId="5399" priority="677">
      <formula>O137&gt;Q137+#REF!</formula>
    </cfRule>
    <cfRule type="expression" dxfId="5398" priority="678">
      <formula>O137&lt;Q137-#REF!</formula>
    </cfRule>
  </conditionalFormatting>
  <conditionalFormatting sqref="O138">
    <cfRule type="expression" dxfId="5397" priority="675">
      <formula>O138&gt;Q138+#REF!</formula>
    </cfRule>
    <cfRule type="expression" dxfId="5396" priority="676">
      <formula>O138&lt;Q138-#REF!</formula>
    </cfRule>
  </conditionalFormatting>
  <conditionalFormatting sqref="O139">
    <cfRule type="expression" dxfId="5395" priority="673">
      <formula>O139&gt;Q139+#REF!</formula>
    </cfRule>
    <cfRule type="expression" dxfId="5394" priority="674">
      <formula>O139&lt;Q139-#REF!</formula>
    </cfRule>
  </conditionalFormatting>
  <conditionalFormatting sqref="O140">
    <cfRule type="expression" dxfId="5393" priority="671">
      <formula>O140&gt;Q140+#REF!</formula>
    </cfRule>
    <cfRule type="expression" dxfId="5392" priority="672">
      <formula>O140&lt;Q140-#REF!</formula>
    </cfRule>
  </conditionalFormatting>
  <conditionalFormatting sqref="O141">
    <cfRule type="expression" dxfId="5391" priority="669">
      <formula>O141&gt;Q141+#REF!</formula>
    </cfRule>
    <cfRule type="expression" dxfId="5390" priority="670">
      <formula>O141&lt;Q141-#REF!</formula>
    </cfRule>
  </conditionalFormatting>
  <conditionalFormatting sqref="O142">
    <cfRule type="expression" dxfId="5389" priority="667">
      <formula>O142&gt;Q142+#REF!</formula>
    </cfRule>
    <cfRule type="expression" dxfId="5388" priority="668">
      <formula>O142&lt;Q142-#REF!</formula>
    </cfRule>
  </conditionalFormatting>
  <conditionalFormatting sqref="O143:O144">
    <cfRule type="expression" dxfId="5387" priority="665">
      <formula>O143&gt;Q143+#REF!</formula>
    </cfRule>
    <cfRule type="expression" dxfId="5386" priority="666">
      <formula>O143&lt;Q143-#REF!</formula>
    </cfRule>
  </conditionalFormatting>
  <conditionalFormatting sqref="O145">
    <cfRule type="expression" dxfId="5385" priority="663">
      <formula>O145&gt;Q145+#REF!</formula>
    </cfRule>
    <cfRule type="expression" dxfId="5384" priority="664">
      <formula>O145&lt;Q145-#REF!</formula>
    </cfRule>
  </conditionalFormatting>
  <conditionalFormatting sqref="O8">
    <cfRule type="expression" dxfId="5383" priority="901">
      <formula>O8&lt;Q8*#REF!</formula>
    </cfRule>
    <cfRule type="expression" dxfId="5382" priority="902">
      <formula>O8&gt;Q8*#REF!</formula>
    </cfRule>
  </conditionalFormatting>
  <conditionalFormatting sqref="O9">
    <cfRule type="expression" dxfId="5381" priority="899">
      <formula>O9&lt;Q9*#REF!</formula>
    </cfRule>
    <cfRule type="expression" dxfId="5380" priority="900">
      <formula>O9&gt;Q9*#REF!</formula>
    </cfRule>
  </conditionalFormatting>
  <conditionalFormatting sqref="O20">
    <cfRule type="expression" dxfId="5379" priority="897">
      <formula>O20&lt;Q20*#REF!</formula>
    </cfRule>
    <cfRule type="expression" dxfId="5378" priority="898">
      <formula>O20&gt;Q20*#REF!</formula>
    </cfRule>
  </conditionalFormatting>
  <conditionalFormatting sqref="O10">
    <cfRule type="expression" dxfId="5377" priority="895">
      <formula>O10&gt;Q10+#REF!</formula>
    </cfRule>
    <cfRule type="expression" dxfId="5376" priority="896">
      <formula>O10&lt;Q10-#REF!</formula>
    </cfRule>
  </conditionalFormatting>
  <conditionalFormatting sqref="O11">
    <cfRule type="expression" dxfId="5375" priority="893">
      <formula>O11&gt;Q11+#REF!</formula>
    </cfRule>
    <cfRule type="expression" dxfId="5374" priority="894">
      <formula>O11&lt;Q11-#REF!</formula>
    </cfRule>
  </conditionalFormatting>
  <conditionalFormatting sqref="O12">
    <cfRule type="expression" dxfId="5373" priority="891">
      <formula>O12&gt;Q12+#REF!</formula>
    </cfRule>
    <cfRule type="expression" dxfId="5372" priority="892">
      <formula>O12&lt;Q12-#REF!</formula>
    </cfRule>
  </conditionalFormatting>
  <conditionalFormatting sqref="O13">
    <cfRule type="expression" dxfId="5371" priority="889">
      <formula>O13&gt;Q13+#REF!</formula>
    </cfRule>
    <cfRule type="expression" dxfId="5370" priority="890">
      <formula>O13&lt;Q13-#REF!</formula>
    </cfRule>
  </conditionalFormatting>
  <conditionalFormatting sqref="O14">
    <cfRule type="expression" dxfId="5369" priority="887">
      <formula>O14&gt;Q14+#REF!</formula>
    </cfRule>
    <cfRule type="expression" dxfId="5368" priority="888">
      <formula>O14&lt;Q14-#REF!</formula>
    </cfRule>
  </conditionalFormatting>
  <conditionalFormatting sqref="O15">
    <cfRule type="expression" dxfId="5367" priority="885">
      <formula>O15&gt;Q15+#REF!</formula>
    </cfRule>
    <cfRule type="expression" dxfId="5366" priority="886">
      <formula>O15&lt;Q15-#REF!</formula>
    </cfRule>
  </conditionalFormatting>
  <conditionalFormatting sqref="O16">
    <cfRule type="expression" dxfId="5365" priority="883">
      <formula>O16&gt;Q16+#REF!</formula>
    </cfRule>
    <cfRule type="expression" dxfId="5364" priority="884">
      <formula>O16&lt;Q16-#REF!</formula>
    </cfRule>
  </conditionalFormatting>
  <conditionalFormatting sqref="O17:O18">
    <cfRule type="expression" dxfId="5363" priority="881">
      <formula>O17&gt;Q17+#REF!</formula>
    </cfRule>
    <cfRule type="expression" dxfId="5362" priority="882">
      <formula>O17&lt;Q17-#REF!</formula>
    </cfRule>
  </conditionalFormatting>
  <conditionalFormatting sqref="O19">
    <cfRule type="expression" dxfId="5361" priority="879">
      <formula>O19&gt;Q19+#REF!</formula>
    </cfRule>
    <cfRule type="expression" dxfId="5360" priority="880">
      <formula>O19&lt;Q19-#REF!</formula>
    </cfRule>
  </conditionalFormatting>
  <conditionalFormatting sqref="O22">
    <cfRule type="expression" dxfId="5359" priority="877">
      <formula>O22&lt;Q22*#REF!</formula>
    </cfRule>
    <cfRule type="expression" dxfId="5358" priority="878">
      <formula>O22&gt;Q22*#REF!</formula>
    </cfRule>
  </conditionalFormatting>
  <conditionalFormatting sqref="O23">
    <cfRule type="expression" dxfId="5357" priority="875">
      <formula>O23&lt;Q23*#REF!</formula>
    </cfRule>
    <cfRule type="expression" dxfId="5356" priority="876">
      <formula>O23&gt;Q23*#REF!</formula>
    </cfRule>
  </conditionalFormatting>
  <conditionalFormatting sqref="O34">
    <cfRule type="expression" dxfId="5355" priority="873">
      <formula>O34&lt;Q34*#REF!</formula>
    </cfRule>
    <cfRule type="expression" dxfId="5354" priority="874">
      <formula>O34&gt;Q34*#REF!</formula>
    </cfRule>
  </conditionalFormatting>
  <conditionalFormatting sqref="O24">
    <cfRule type="expression" dxfId="5353" priority="871">
      <formula>O24&gt;Q24+#REF!</formula>
    </cfRule>
    <cfRule type="expression" dxfId="5352" priority="872">
      <formula>O24&lt;Q24-#REF!</formula>
    </cfRule>
  </conditionalFormatting>
  <conditionalFormatting sqref="O25">
    <cfRule type="expression" dxfId="5351" priority="869">
      <formula>O25&gt;Q25+#REF!</formula>
    </cfRule>
    <cfRule type="expression" dxfId="5350" priority="870">
      <formula>O25&lt;Q25-#REF!</formula>
    </cfRule>
  </conditionalFormatting>
  <conditionalFormatting sqref="O26">
    <cfRule type="expression" dxfId="5349" priority="867">
      <formula>O26&gt;Q26+#REF!</formula>
    </cfRule>
    <cfRule type="expression" dxfId="5348" priority="868">
      <formula>O26&lt;Q26-#REF!</formula>
    </cfRule>
  </conditionalFormatting>
  <conditionalFormatting sqref="O27">
    <cfRule type="expression" dxfId="5347" priority="865">
      <formula>O27&gt;Q27+#REF!</formula>
    </cfRule>
    <cfRule type="expression" dxfId="5346" priority="866">
      <formula>O27&lt;Q27-#REF!</formula>
    </cfRule>
  </conditionalFormatting>
  <conditionalFormatting sqref="O28">
    <cfRule type="expression" dxfId="5345" priority="863">
      <formula>O28&gt;Q28+#REF!</formula>
    </cfRule>
    <cfRule type="expression" dxfId="5344" priority="864">
      <formula>O28&lt;Q28-#REF!</formula>
    </cfRule>
  </conditionalFormatting>
  <conditionalFormatting sqref="O29">
    <cfRule type="expression" dxfId="5343" priority="861">
      <formula>O29&gt;Q29+#REF!</formula>
    </cfRule>
    <cfRule type="expression" dxfId="5342" priority="862">
      <formula>O29&lt;Q29-#REF!</formula>
    </cfRule>
  </conditionalFormatting>
  <conditionalFormatting sqref="O30">
    <cfRule type="expression" dxfId="5341" priority="859">
      <formula>O30&gt;Q30+#REF!</formula>
    </cfRule>
    <cfRule type="expression" dxfId="5340" priority="860">
      <formula>O30&lt;Q30-#REF!</formula>
    </cfRule>
  </conditionalFormatting>
  <conditionalFormatting sqref="O31:O32">
    <cfRule type="expression" dxfId="5339" priority="857">
      <formula>O31&gt;Q31+#REF!</formula>
    </cfRule>
    <cfRule type="expression" dxfId="5338" priority="858">
      <formula>O31&lt;Q31-#REF!</formula>
    </cfRule>
  </conditionalFormatting>
  <conditionalFormatting sqref="O33">
    <cfRule type="expression" dxfId="5337" priority="855">
      <formula>O33&gt;Q33+#REF!</formula>
    </cfRule>
    <cfRule type="expression" dxfId="5336" priority="856">
      <formula>O33&lt;Q33-#REF!</formula>
    </cfRule>
  </conditionalFormatting>
  <conditionalFormatting sqref="O36">
    <cfRule type="expression" dxfId="5335" priority="853">
      <formula>O36&lt;Q36*#REF!</formula>
    </cfRule>
    <cfRule type="expression" dxfId="5334" priority="854">
      <formula>O36&gt;Q36*#REF!</formula>
    </cfRule>
  </conditionalFormatting>
  <conditionalFormatting sqref="O37">
    <cfRule type="expression" dxfId="5333" priority="851">
      <formula>O37&lt;Q37*#REF!</formula>
    </cfRule>
    <cfRule type="expression" dxfId="5332" priority="852">
      <formula>O37&gt;Q37*#REF!</formula>
    </cfRule>
  </conditionalFormatting>
  <conditionalFormatting sqref="O48">
    <cfRule type="expression" dxfId="5331" priority="849">
      <formula>O48&lt;Q48*#REF!</formula>
    </cfRule>
    <cfRule type="expression" dxfId="5330" priority="850">
      <formula>O48&gt;Q48*#REF!</formula>
    </cfRule>
  </conditionalFormatting>
  <conditionalFormatting sqref="O38">
    <cfRule type="expression" dxfId="5329" priority="847">
      <formula>O38&gt;Q38+#REF!</formula>
    </cfRule>
    <cfRule type="expression" dxfId="5328" priority="848">
      <formula>O38&lt;Q38-#REF!</formula>
    </cfRule>
  </conditionalFormatting>
  <conditionalFormatting sqref="O39">
    <cfRule type="expression" dxfId="5327" priority="845">
      <formula>O39&gt;Q39+#REF!</formula>
    </cfRule>
    <cfRule type="expression" dxfId="5326" priority="846">
      <formula>O39&lt;Q39-#REF!</formula>
    </cfRule>
  </conditionalFormatting>
  <conditionalFormatting sqref="O40">
    <cfRule type="expression" dxfId="5325" priority="843">
      <formula>O40&gt;Q40+#REF!</formula>
    </cfRule>
    <cfRule type="expression" dxfId="5324" priority="844">
      <formula>O40&lt;Q40-#REF!</formula>
    </cfRule>
  </conditionalFormatting>
  <conditionalFormatting sqref="O41">
    <cfRule type="expression" dxfId="5323" priority="841">
      <formula>O41&gt;Q41+#REF!</formula>
    </cfRule>
    <cfRule type="expression" dxfId="5322" priority="842">
      <formula>O41&lt;Q41-#REF!</formula>
    </cfRule>
  </conditionalFormatting>
  <conditionalFormatting sqref="O42">
    <cfRule type="expression" dxfId="5321" priority="839">
      <formula>O42&gt;Q42+#REF!</formula>
    </cfRule>
    <cfRule type="expression" dxfId="5320" priority="840">
      <formula>O42&lt;Q42-#REF!</formula>
    </cfRule>
  </conditionalFormatting>
  <conditionalFormatting sqref="O43">
    <cfRule type="expression" dxfId="5319" priority="837">
      <formula>O43&gt;Q43+#REF!</formula>
    </cfRule>
    <cfRule type="expression" dxfId="5318" priority="838">
      <formula>O43&lt;Q43-#REF!</formula>
    </cfRule>
  </conditionalFormatting>
  <conditionalFormatting sqref="O44">
    <cfRule type="expression" dxfId="5317" priority="835">
      <formula>O44&gt;Q44+#REF!</formula>
    </cfRule>
    <cfRule type="expression" dxfId="5316" priority="836">
      <formula>O44&lt;Q44-#REF!</formula>
    </cfRule>
  </conditionalFormatting>
  <conditionalFormatting sqref="O45:O46">
    <cfRule type="expression" dxfId="5315" priority="833">
      <formula>O45&gt;Q45+#REF!</formula>
    </cfRule>
    <cfRule type="expression" dxfId="5314" priority="834">
      <formula>O45&lt;Q45-#REF!</formula>
    </cfRule>
  </conditionalFormatting>
  <conditionalFormatting sqref="O47">
    <cfRule type="expression" dxfId="5313" priority="831">
      <formula>O47&gt;Q47+#REF!</formula>
    </cfRule>
    <cfRule type="expression" dxfId="5312" priority="832">
      <formula>O47&lt;Q47-#REF!</formula>
    </cfRule>
  </conditionalFormatting>
  <conditionalFormatting sqref="O50">
    <cfRule type="expression" dxfId="5311" priority="829">
      <formula>O50&lt;Q50*#REF!</formula>
    </cfRule>
    <cfRule type="expression" dxfId="5310" priority="830">
      <formula>O50&gt;Q50*#REF!</formula>
    </cfRule>
  </conditionalFormatting>
  <conditionalFormatting sqref="O51">
    <cfRule type="expression" dxfId="5309" priority="827">
      <formula>O51&lt;Q51*#REF!</formula>
    </cfRule>
    <cfRule type="expression" dxfId="5308" priority="828">
      <formula>O51&gt;Q51*#REF!</formula>
    </cfRule>
  </conditionalFormatting>
  <conditionalFormatting sqref="O62">
    <cfRule type="expression" dxfId="5307" priority="825">
      <formula>O62&lt;Q62*#REF!</formula>
    </cfRule>
    <cfRule type="expression" dxfId="5306" priority="826">
      <formula>O62&gt;Q62*#REF!</formula>
    </cfRule>
  </conditionalFormatting>
  <conditionalFormatting sqref="O52">
    <cfRule type="expression" dxfId="5305" priority="823">
      <formula>O52&gt;Q52+#REF!</formula>
    </cfRule>
    <cfRule type="expression" dxfId="5304" priority="824">
      <formula>O52&lt;Q52-#REF!</formula>
    </cfRule>
  </conditionalFormatting>
  <conditionalFormatting sqref="O53">
    <cfRule type="expression" dxfId="5303" priority="821">
      <formula>O53&gt;Q53+#REF!</formula>
    </cfRule>
    <cfRule type="expression" dxfId="5302" priority="822">
      <formula>O53&lt;Q53-#REF!</formula>
    </cfRule>
  </conditionalFormatting>
  <conditionalFormatting sqref="O54">
    <cfRule type="expression" dxfId="5301" priority="819">
      <formula>O54&gt;Q54+#REF!</formula>
    </cfRule>
    <cfRule type="expression" dxfId="5300" priority="820">
      <formula>O54&lt;Q54-#REF!</formula>
    </cfRule>
  </conditionalFormatting>
  <conditionalFormatting sqref="O55">
    <cfRule type="expression" dxfId="5299" priority="817">
      <formula>O55&gt;Q55+#REF!</formula>
    </cfRule>
    <cfRule type="expression" dxfId="5298" priority="818">
      <formula>O55&lt;Q55-#REF!</formula>
    </cfRule>
  </conditionalFormatting>
  <conditionalFormatting sqref="O56">
    <cfRule type="expression" dxfId="5297" priority="815">
      <formula>O56&gt;Q56+#REF!</formula>
    </cfRule>
    <cfRule type="expression" dxfId="5296" priority="816">
      <formula>O56&lt;Q56-#REF!</formula>
    </cfRule>
  </conditionalFormatting>
  <conditionalFormatting sqref="O57">
    <cfRule type="expression" dxfId="5295" priority="813">
      <formula>O57&gt;Q57+#REF!</formula>
    </cfRule>
    <cfRule type="expression" dxfId="5294" priority="814">
      <formula>O57&lt;Q57-#REF!</formula>
    </cfRule>
  </conditionalFormatting>
  <conditionalFormatting sqref="O58">
    <cfRule type="expression" dxfId="5293" priority="811">
      <formula>O58&gt;Q58+#REF!</formula>
    </cfRule>
    <cfRule type="expression" dxfId="5292" priority="812">
      <formula>O58&lt;Q58-#REF!</formula>
    </cfRule>
  </conditionalFormatting>
  <conditionalFormatting sqref="O59:O60">
    <cfRule type="expression" dxfId="5291" priority="809">
      <formula>O59&gt;Q59+#REF!</formula>
    </cfRule>
    <cfRule type="expression" dxfId="5290" priority="810">
      <formula>O59&lt;Q59-#REF!</formula>
    </cfRule>
  </conditionalFormatting>
  <conditionalFormatting sqref="O61">
    <cfRule type="expression" dxfId="5289" priority="807">
      <formula>O61&gt;Q61+#REF!</formula>
    </cfRule>
    <cfRule type="expression" dxfId="5288" priority="808">
      <formula>O61&lt;Q61-#REF!</formula>
    </cfRule>
  </conditionalFormatting>
  <conditionalFormatting sqref="O64">
    <cfRule type="expression" dxfId="5287" priority="805">
      <formula>O64&lt;Q64*#REF!</formula>
    </cfRule>
    <cfRule type="expression" dxfId="5286" priority="806">
      <formula>O64&gt;Q64*#REF!</formula>
    </cfRule>
  </conditionalFormatting>
  <conditionalFormatting sqref="O65">
    <cfRule type="expression" dxfId="5285" priority="803">
      <formula>O65&lt;Q65*#REF!</formula>
    </cfRule>
    <cfRule type="expression" dxfId="5284" priority="804">
      <formula>O65&gt;Q65*#REF!</formula>
    </cfRule>
  </conditionalFormatting>
  <conditionalFormatting sqref="O76">
    <cfRule type="expression" dxfId="5283" priority="801">
      <formula>O76&lt;Q76*#REF!</formula>
    </cfRule>
    <cfRule type="expression" dxfId="5282" priority="802">
      <formula>O76&gt;Q76*#REF!</formula>
    </cfRule>
  </conditionalFormatting>
  <conditionalFormatting sqref="O66">
    <cfRule type="expression" dxfId="5281" priority="799">
      <formula>O66&gt;Q66+#REF!</formula>
    </cfRule>
    <cfRule type="expression" dxfId="5280" priority="800">
      <formula>O66&lt;Q66-#REF!</formula>
    </cfRule>
  </conditionalFormatting>
  <conditionalFormatting sqref="O67">
    <cfRule type="expression" dxfId="5279" priority="797">
      <formula>O67&gt;Q67+#REF!</formula>
    </cfRule>
    <cfRule type="expression" dxfId="5278" priority="798">
      <formula>O67&lt;Q67-#REF!</formula>
    </cfRule>
  </conditionalFormatting>
  <conditionalFormatting sqref="O68">
    <cfRule type="expression" dxfId="5277" priority="795">
      <formula>O68&gt;Q68+#REF!</formula>
    </cfRule>
    <cfRule type="expression" dxfId="5276" priority="796">
      <formula>O68&lt;Q68-#REF!</formula>
    </cfRule>
  </conditionalFormatting>
  <conditionalFormatting sqref="O69">
    <cfRule type="expression" dxfId="5275" priority="793">
      <formula>O69&gt;Q69+#REF!</formula>
    </cfRule>
    <cfRule type="expression" dxfId="5274" priority="794">
      <formula>O69&lt;Q69-#REF!</formula>
    </cfRule>
  </conditionalFormatting>
  <conditionalFormatting sqref="O70">
    <cfRule type="expression" dxfId="5273" priority="791">
      <formula>O70&gt;Q70+#REF!</formula>
    </cfRule>
    <cfRule type="expression" dxfId="5272" priority="792">
      <formula>O70&lt;Q70-#REF!</formula>
    </cfRule>
  </conditionalFormatting>
  <conditionalFormatting sqref="O71">
    <cfRule type="expression" dxfId="5271" priority="789">
      <formula>O71&gt;Q71+#REF!</formula>
    </cfRule>
    <cfRule type="expression" dxfId="5270" priority="790">
      <formula>O71&lt;Q71-#REF!</formula>
    </cfRule>
  </conditionalFormatting>
  <conditionalFormatting sqref="O72">
    <cfRule type="expression" dxfId="5269" priority="787">
      <formula>O72&gt;Q72+#REF!</formula>
    </cfRule>
    <cfRule type="expression" dxfId="5268" priority="788">
      <formula>O72&lt;Q72-#REF!</formula>
    </cfRule>
  </conditionalFormatting>
  <conditionalFormatting sqref="O73:O74">
    <cfRule type="expression" dxfId="5267" priority="785">
      <formula>O73&gt;Q73+#REF!</formula>
    </cfRule>
    <cfRule type="expression" dxfId="5266" priority="786">
      <formula>O73&lt;Q73-#REF!</formula>
    </cfRule>
  </conditionalFormatting>
  <conditionalFormatting sqref="O75">
    <cfRule type="expression" dxfId="5265" priority="783">
      <formula>O75&gt;Q75+#REF!</formula>
    </cfRule>
    <cfRule type="expression" dxfId="5264" priority="784">
      <formula>O75&lt;Q75-#REF!</formula>
    </cfRule>
  </conditionalFormatting>
  <conditionalFormatting sqref="O78">
    <cfRule type="expression" dxfId="5263" priority="781">
      <formula>O78&lt;Q78*#REF!</formula>
    </cfRule>
    <cfRule type="expression" dxfId="5262" priority="782">
      <formula>O78&gt;Q78*#REF!</formula>
    </cfRule>
  </conditionalFormatting>
  <conditionalFormatting sqref="O79">
    <cfRule type="expression" dxfId="5261" priority="779">
      <formula>O79&lt;Q79*#REF!</formula>
    </cfRule>
    <cfRule type="expression" dxfId="5260" priority="780">
      <formula>O79&gt;Q79*#REF!</formula>
    </cfRule>
  </conditionalFormatting>
  <conditionalFormatting sqref="O90">
    <cfRule type="expression" dxfId="5259" priority="777">
      <formula>O90&lt;Q90*#REF!</formula>
    </cfRule>
    <cfRule type="expression" dxfId="5258" priority="778">
      <formula>O90&gt;Q90*#REF!</formula>
    </cfRule>
  </conditionalFormatting>
  <conditionalFormatting sqref="O80">
    <cfRule type="expression" dxfId="5257" priority="775">
      <formula>O80&gt;Q80+#REF!</formula>
    </cfRule>
    <cfRule type="expression" dxfId="5256" priority="776">
      <formula>O80&lt;Q80-#REF!</formula>
    </cfRule>
  </conditionalFormatting>
  <conditionalFormatting sqref="O81">
    <cfRule type="expression" dxfId="5255" priority="773">
      <formula>O81&gt;Q81+#REF!</formula>
    </cfRule>
    <cfRule type="expression" dxfId="5254" priority="774">
      <formula>O81&lt;Q81-#REF!</formula>
    </cfRule>
  </conditionalFormatting>
  <conditionalFormatting sqref="O82">
    <cfRule type="expression" dxfId="5253" priority="771">
      <formula>O82&gt;Q82+#REF!</formula>
    </cfRule>
    <cfRule type="expression" dxfId="5252" priority="772">
      <formula>O82&lt;Q82-#REF!</formula>
    </cfRule>
  </conditionalFormatting>
  <conditionalFormatting sqref="O83">
    <cfRule type="expression" dxfId="5251" priority="769">
      <formula>O83&gt;Q83+#REF!</formula>
    </cfRule>
    <cfRule type="expression" dxfId="5250" priority="770">
      <formula>O83&lt;Q83-#REF!</formula>
    </cfRule>
  </conditionalFormatting>
  <conditionalFormatting sqref="O84">
    <cfRule type="expression" dxfId="5249" priority="767">
      <formula>O84&gt;Q84+#REF!</formula>
    </cfRule>
    <cfRule type="expression" dxfId="5248" priority="768">
      <formula>O84&lt;Q84-#REF!</formula>
    </cfRule>
  </conditionalFormatting>
  <conditionalFormatting sqref="O85">
    <cfRule type="expression" dxfId="5247" priority="765">
      <formula>O85&gt;Q85+#REF!</formula>
    </cfRule>
    <cfRule type="expression" dxfId="5246" priority="766">
      <formula>O85&lt;Q85-#REF!</formula>
    </cfRule>
  </conditionalFormatting>
  <conditionalFormatting sqref="O86">
    <cfRule type="expression" dxfId="5245" priority="763">
      <formula>O86&gt;Q86+#REF!</formula>
    </cfRule>
    <cfRule type="expression" dxfId="5244" priority="764">
      <formula>O86&lt;Q86-#REF!</formula>
    </cfRule>
  </conditionalFormatting>
  <conditionalFormatting sqref="O87:O88">
    <cfRule type="expression" dxfId="5243" priority="761">
      <formula>O87&gt;Q87+#REF!</formula>
    </cfRule>
    <cfRule type="expression" dxfId="5242" priority="762">
      <formula>O87&lt;Q87-#REF!</formula>
    </cfRule>
  </conditionalFormatting>
  <conditionalFormatting sqref="O89">
    <cfRule type="expression" dxfId="5241" priority="759">
      <formula>O89&gt;Q89+#REF!</formula>
    </cfRule>
    <cfRule type="expression" dxfId="5240" priority="760">
      <formula>O89&lt;Q89-#REF!</formula>
    </cfRule>
  </conditionalFormatting>
  <conditionalFormatting sqref="O92">
    <cfRule type="expression" dxfId="5239" priority="757">
      <formula>O92&lt;Q92*#REF!</formula>
    </cfRule>
    <cfRule type="expression" dxfId="5238" priority="758">
      <formula>O92&gt;Q92*#REF!</formula>
    </cfRule>
  </conditionalFormatting>
  <conditionalFormatting sqref="O93">
    <cfRule type="expression" dxfId="5237" priority="755">
      <formula>O93&lt;Q93*#REF!</formula>
    </cfRule>
    <cfRule type="expression" dxfId="5236" priority="756">
      <formula>O93&gt;Q93*#REF!</formula>
    </cfRule>
  </conditionalFormatting>
  <conditionalFormatting sqref="O104">
    <cfRule type="expression" dxfId="5235" priority="753">
      <formula>O104&lt;Q104*#REF!</formula>
    </cfRule>
    <cfRule type="expression" dxfId="5234" priority="754">
      <formula>O104&gt;Q104*#REF!</formula>
    </cfRule>
  </conditionalFormatting>
  <conditionalFormatting sqref="O94">
    <cfRule type="expression" dxfId="5233" priority="751">
      <formula>O94&gt;Q94+#REF!</formula>
    </cfRule>
    <cfRule type="expression" dxfId="5232" priority="752">
      <formula>O94&lt;Q94-#REF!</formula>
    </cfRule>
  </conditionalFormatting>
  <conditionalFormatting sqref="O95">
    <cfRule type="expression" dxfId="5231" priority="749">
      <formula>O95&gt;Q95+#REF!</formula>
    </cfRule>
    <cfRule type="expression" dxfId="5230" priority="750">
      <formula>O95&lt;Q95-#REF!</formula>
    </cfRule>
  </conditionalFormatting>
  <conditionalFormatting sqref="O96">
    <cfRule type="expression" dxfId="5229" priority="747">
      <formula>O96&gt;Q96+#REF!</formula>
    </cfRule>
    <cfRule type="expression" dxfId="5228" priority="748">
      <formula>O96&lt;Q96-#REF!</formula>
    </cfRule>
  </conditionalFormatting>
  <conditionalFormatting sqref="O97">
    <cfRule type="expression" dxfId="5227" priority="745">
      <formula>O97&gt;Q97+#REF!</formula>
    </cfRule>
    <cfRule type="expression" dxfId="5226" priority="746">
      <formula>O97&lt;Q97-#REF!</formula>
    </cfRule>
  </conditionalFormatting>
  <conditionalFormatting sqref="O98">
    <cfRule type="expression" dxfId="5225" priority="743">
      <formula>O98&gt;Q98+#REF!</formula>
    </cfRule>
    <cfRule type="expression" dxfId="5224" priority="744">
      <formula>O98&lt;Q98-#REF!</formula>
    </cfRule>
  </conditionalFormatting>
  <conditionalFormatting sqref="O99">
    <cfRule type="expression" dxfId="5223" priority="741">
      <formula>O99&gt;Q99+#REF!</formula>
    </cfRule>
    <cfRule type="expression" dxfId="5222" priority="742">
      <formula>O99&lt;Q99-#REF!</formula>
    </cfRule>
  </conditionalFormatting>
  <conditionalFormatting sqref="O100">
    <cfRule type="expression" dxfId="5221" priority="739">
      <formula>O100&gt;Q100+#REF!</formula>
    </cfRule>
    <cfRule type="expression" dxfId="5220" priority="740">
      <formula>O100&lt;Q100-#REF!</formula>
    </cfRule>
  </conditionalFormatting>
  <conditionalFormatting sqref="O101:O102">
    <cfRule type="expression" dxfId="5219" priority="737">
      <formula>O101&gt;Q101+#REF!</formula>
    </cfRule>
    <cfRule type="expression" dxfId="5218" priority="738">
      <formula>O101&lt;Q101-#REF!</formula>
    </cfRule>
  </conditionalFormatting>
  <conditionalFormatting sqref="O103">
    <cfRule type="expression" dxfId="5217" priority="735">
      <formula>O103&gt;Q103+#REF!</formula>
    </cfRule>
    <cfRule type="expression" dxfId="5216" priority="736">
      <formula>O103&lt;Q103-#REF!</formula>
    </cfRule>
  </conditionalFormatting>
  <conditionalFormatting sqref="O106">
    <cfRule type="expression" dxfId="5215" priority="733">
      <formula>O106&lt;Q106*#REF!</formula>
    </cfRule>
    <cfRule type="expression" dxfId="5214" priority="734">
      <formula>O106&gt;Q106*#REF!</formula>
    </cfRule>
  </conditionalFormatting>
  <conditionalFormatting sqref="O107">
    <cfRule type="expression" dxfId="5213" priority="731">
      <formula>O107&lt;Q107*#REF!</formula>
    </cfRule>
    <cfRule type="expression" dxfId="5212" priority="732">
      <formula>O107&gt;Q107*#REF!</formula>
    </cfRule>
  </conditionalFormatting>
  <conditionalFormatting sqref="O118">
    <cfRule type="expression" dxfId="5211" priority="729">
      <formula>O118&lt;Q118*#REF!</formula>
    </cfRule>
    <cfRule type="expression" dxfId="5210" priority="730">
      <formula>O118&gt;Q118*#REF!</formula>
    </cfRule>
  </conditionalFormatting>
  <conditionalFormatting sqref="O108">
    <cfRule type="expression" dxfId="5209" priority="727">
      <formula>O108&gt;Q108+#REF!</formula>
    </cfRule>
    <cfRule type="expression" dxfId="5208" priority="728">
      <formula>O108&lt;Q108-#REF!</formula>
    </cfRule>
  </conditionalFormatting>
  <conditionalFormatting sqref="O109">
    <cfRule type="expression" dxfId="5207" priority="725">
      <formula>O109&gt;Q109+#REF!</formula>
    </cfRule>
    <cfRule type="expression" dxfId="5206" priority="726">
      <formula>O109&lt;Q109-#REF!</formula>
    </cfRule>
  </conditionalFormatting>
  <conditionalFormatting sqref="O110">
    <cfRule type="expression" dxfId="5205" priority="723">
      <formula>O110&gt;Q110+#REF!</formula>
    </cfRule>
    <cfRule type="expression" dxfId="5204" priority="724">
      <formula>O110&lt;Q110-#REF!</formula>
    </cfRule>
  </conditionalFormatting>
  <conditionalFormatting sqref="O111">
    <cfRule type="expression" dxfId="5203" priority="721">
      <formula>O111&gt;Q111+#REF!</formula>
    </cfRule>
    <cfRule type="expression" dxfId="5202" priority="722">
      <formula>O111&lt;Q111-#REF!</formula>
    </cfRule>
  </conditionalFormatting>
  <conditionalFormatting sqref="O112">
    <cfRule type="expression" dxfId="5201" priority="719">
      <formula>O112&gt;Q112+#REF!</formula>
    </cfRule>
    <cfRule type="expression" dxfId="5200" priority="720">
      <formula>O112&lt;Q112-#REF!</formula>
    </cfRule>
  </conditionalFormatting>
  <conditionalFormatting sqref="O113">
    <cfRule type="expression" dxfId="5199" priority="717">
      <formula>O113&gt;Q113+#REF!</formula>
    </cfRule>
    <cfRule type="expression" dxfId="5198" priority="718">
      <formula>O113&lt;Q113-#REF!</formula>
    </cfRule>
  </conditionalFormatting>
  <conditionalFormatting sqref="O114">
    <cfRule type="expression" dxfId="5197" priority="715">
      <formula>O114&gt;Q114+#REF!</formula>
    </cfRule>
    <cfRule type="expression" dxfId="5196" priority="716">
      <formula>O114&lt;Q114-#REF!</formula>
    </cfRule>
  </conditionalFormatting>
  <conditionalFormatting sqref="O115:O116">
    <cfRule type="expression" dxfId="5195" priority="713">
      <formula>O115&gt;Q115+#REF!</formula>
    </cfRule>
    <cfRule type="expression" dxfId="5194" priority="714">
      <formula>O115&lt;Q115-#REF!</formula>
    </cfRule>
  </conditionalFormatting>
  <conditionalFormatting sqref="O117">
    <cfRule type="expression" dxfId="5193" priority="711">
      <formula>O117&gt;Q117+#REF!</formula>
    </cfRule>
    <cfRule type="expression" dxfId="5192" priority="712">
      <formula>O117&lt;Q117-#REF!</formula>
    </cfRule>
  </conditionalFormatting>
  <conditionalFormatting sqref="O260">
    <cfRule type="expression" dxfId="5191" priority="541">
      <formula>O260&lt;Q260*#REF!</formula>
    </cfRule>
    <cfRule type="expression" dxfId="5190" priority="542">
      <formula>O260&gt;Q260*#REF!</formula>
    </cfRule>
  </conditionalFormatting>
  <conditionalFormatting sqref="O261">
    <cfRule type="expression" dxfId="5189" priority="539">
      <formula>O261&lt;Q261*#REF!</formula>
    </cfRule>
    <cfRule type="expression" dxfId="5188" priority="540">
      <formula>O261&gt;Q261*#REF!</formula>
    </cfRule>
  </conditionalFormatting>
  <conditionalFormatting sqref="O272">
    <cfRule type="expression" dxfId="5187" priority="537">
      <formula>O272&lt;Q272*#REF!</formula>
    </cfRule>
    <cfRule type="expression" dxfId="5186" priority="538">
      <formula>O272&gt;Q272*#REF!</formula>
    </cfRule>
  </conditionalFormatting>
  <conditionalFormatting sqref="O262">
    <cfRule type="expression" dxfId="5185" priority="535">
      <formula>O262&gt;Q262+#REF!</formula>
    </cfRule>
    <cfRule type="expression" dxfId="5184" priority="536">
      <formula>O262&lt;Q262-#REF!</formula>
    </cfRule>
  </conditionalFormatting>
  <conditionalFormatting sqref="O263">
    <cfRule type="expression" dxfId="5183" priority="533">
      <formula>O263&gt;Q263+#REF!</formula>
    </cfRule>
    <cfRule type="expression" dxfId="5182" priority="534">
      <formula>O263&lt;Q263-#REF!</formula>
    </cfRule>
  </conditionalFormatting>
  <conditionalFormatting sqref="O264">
    <cfRule type="expression" dxfId="5181" priority="531">
      <formula>O264&gt;Q264+#REF!</formula>
    </cfRule>
    <cfRule type="expression" dxfId="5180" priority="532">
      <formula>O264&lt;Q264-#REF!</formula>
    </cfRule>
  </conditionalFormatting>
  <conditionalFormatting sqref="O265">
    <cfRule type="expression" dxfId="5179" priority="529">
      <formula>O265&gt;Q265+#REF!</formula>
    </cfRule>
    <cfRule type="expression" dxfId="5178" priority="530">
      <formula>O265&lt;Q265-#REF!</formula>
    </cfRule>
  </conditionalFormatting>
  <conditionalFormatting sqref="O266">
    <cfRule type="expression" dxfId="5177" priority="527">
      <formula>O266&gt;Q266+#REF!</formula>
    </cfRule>
    <cfRule type="expression" dxfId="5176" priority="528">
      <formula>O266&lt;Q266-#REF!</formula>
    </cfRule>
  </conditionalFormatting>
  <conditionalFormatting sqref="O267">
    <cfRule type="expression" dxfId="5175" priority="525">
      <formula>O267&gt;Q267+#REF!</formula>
    </cfRule>
    <cfRule type="expression" dxfId="5174" priority="526">
      <formula>O267&lt;Q267-#REF!</formula>
    </cfRule>
  </conditionalFormatting>
  <conditionalFormatting sqref="O268">
    <cfRule type="expression" dxfId="5173" priority="523">
      <formula>O268&gt;Q268+#REF!</formula>
    </cfRule>
    <cfRule type="expression" dxfId="5172" priority="524">
      <formula>O268&lt;Q268-#REF!</formula>
    </cfRule>
  </conditionalFormatting>
  <conditionalFormatting sqref="O269:O270">
    <cfRule type="expression" dxfId="5171" priority="521">
      <formula>O269&gt;Q269+#REF!</formula>
    </cfRule>
    <cfRule type="expression" dxfId="5170" priority="522">
      <formula>O269&lt;Q269-#REF!</formula>
    </cfRule>
  </conditionalFormatting>
  <conditionalFormatting sqref="O271">
    <cfRule type="expression" dxfId="5169" priority="519">
      <formula>O271&gt;Q271+#REF!</formula>
    </cfRule>
    <cfRule type="expression" dxfId="5168" priority="520">
      <formula>O271&lt;Q271-#REF!</formula>
    </cfRule>
  </conditionalFormatting>
  <conditionalFormatting sqref="O148">
    <cfRule type="expression" dxfId="5167" priority="661">
      <formula>O148&lt;Q148*#REF!</formula>
    </cfRule>
    <cfRule type="expression" dxfId="5166" priority="662">
      <formula>O148&gt;Q148*#REF!</formula>
    </cfRule>
  </conditionalFormatting>
  <conditionalFormatting sqref="O149">
    <cfRule type="expression" dxfId="5165" priority="659">
      <formula>O149&lt;Q149*#REF!</formula>
    </cfRule>
    <cfRule type="expression" dxfId="5164" priority="660">
      <formula>O149&gt;Q149*#REF!</formula>
    </cfRule>
  </conditionalFormatting>
  <conditionalFormatting sqref="O160">
    <cfRule type="expression" dxfId="5163" priority="657">
      <formula>O160&lt;Q160*#REF!</formula>
    </cfRule>
    <cfRule type="expression" dxfId="5162" priority="658">
      <formula>O160&gt;Q160*#REF!</formula>
    </cfRule>
  </conditionalFormatting>
  <conditionalFormatting sqref="O150">
    <cfRule type="expression" dxfId="5161" priority="655">
      <formula>O150&gt;Q150+#REF!</formula>
    </cfRule>
    <cfRule type="expression" dxfId="5160" priority="656">
      <formula>O150&lt;Q150-#REF!</formula>
    </cfRule>
  </conditionalFormatting>
  <conditionalFormatting sqref="O151">
    <cfRule type="expression" dxfId="5159" priority="653">
      <formula>O151&gt;Q151+#REF!</formula>
    </cfRule>
    <cfRule type="expression" dxfId="5158" priority="654">
      <formula>O151&lt;Q151-#REF!</formula>
    </cfRule>
  </conditionalFormatting>
  <conditionalFormatting sqref="O152">
    <cfRule type="expression" dxfId="5157" priority="651">
      <formula>O152&gt;Q152+#REF!</formula>
    </cfRule>
    <cfRule type="expression" dxfId="5156" priority="652">
      <formula>O152&lt;Q152-#REF!</formula>
    </cfRule>
  </conditionalFormatting>
  <conditionalFormatting sqref="O153">
    <cfRule type="expression" dxfId="5155" priority="649">
      <formula>O153&gt;Q153+#REF!</formula>
    </cfRule>
    <cfRule type="expression" dxfId="5154" priority="650">
      <formula>O153&lt;Q153-#REF!</formula>
    </cfRule>
  </conditionalFormatting>
  <conditionalFormatting sqref="O154">
    <cfRule type="expression" dxfId="5153" priority="647">
      <formula>O154&gt;Q154+#REF!</formula>
    </cfRule>
    <cfRule type="expression" dxfId="5152" priority="648">
      <formula>O154&lt;Q154-#REF!</formula>
    </cfRule>
  </conditionalFormatting>
  <conditionalFormatting sqref="O155">
    <cfRule type="expression" dxfId="5151" priority="645">
      <formula>O155&gt;Q155+#REF!</formula>
    </cfRule>
    <cfRule type="expression" dxfId="5150" priority="646">
      <formula>O155&lt;Q155-#REF!</formula>
    </cfRule>
  </conditionalFormatting>
  <conditionalFormatting sqref="O156">
    <cfRule type="expression" dxfId="5149" priority="643">
      <formula>O156&gt;Q156+#REF!</formula>
    </cfRule>
    <cfRule type="expression" dxfId="5148" priority="644">
      <formula>O156&lt;Q156-#REF!</formula>
    </cfRule>
  </conditionalFormatting>
  <conditionalFormatting sqref="O157:O158">
    <cfRule type="expression" dxfId="5147" priority="641">
      <formula>O157&gt;Q157+#REF!</formula>
    </cfRule>
    <cfRule type="expression" dxfId="5146" priority="642">
      <formula>O157&lt;Q157-#REF!</formula>
    </cfRule>
  </conditionalFormatting>
  <conditionalFormatting sqref="O159">
    <cfRule type="expression" dxfId="5145" priority="639">
      <formula>O159&gt;Q159+#REF!</formula>
    </cfRule>
    <cfRule type="expression" dxfId="5144" priority="640">
      <formula>O159&lt;Q159-#REF!</formula>
    </cfRule>
  </conditionalFormatting>
  <conditionalFormatting sqref="O162">
    <cfRule type="expression" dxfId="5143" priority="637">
      <formula>O162&lt;Q162*#REF!</formula>
    </cfRule>
    <cfRule type="expression" dxfId="5142" priority="638">
      <formula>O162&gt;Q162*#REF!</formula>
    </cfRule>
  </conditionalFormatting>
  <conditionalFormatting sqref="O163">
    <cfRule type="expression" dxfId="5141" priority="635">
      <formula>O163&lt;Q163*#REF!</formula>
    </cfRule>
    <cfRule type="expression" dxfId="5140" priority="636">
      <formula>O163&gt;Q163*#REF!</formula>
    </cfRule>
  </conditionalFormatting>
  <conditionalFormatting sqref="O174">
    <cfRule type="expression" dxfId="5139" priority="633">
      <formula>O174&lt;Q174*#REF!</formula>
    </cfRule>
    <cfRule type="expression" dxfId="5138" priority="634">
      <formula>O174&gt;Q174*#REF!</formula>
    </cfRule>
  </conditionalFormatting>
  <conditionalFormatting sqref="O164">
    <cfRule type="expression" dxfId="5137" priority="631">
      <formula>O164&gt;Q164+#REF!</formula>
    </cfRule>
    <cfRule type="expression" dxfId="5136" priority="632">
      <formula>O164&lt;Q164-#REF!</formula>
    </cfRule>
  </conditionalFormatting>
  <conditionalFormatting sqref="O165">
    <cfRule type="expression" dxfId="5135" priority="629">
      <formula>O165&gt;Q165+#REF!</formula>
    </cfRule>
    <cfRule type="expression" dxfId="5134" priority="630">
      <formula>O165&lt;Q165-#REF!</formula>
    </cfRule>
  </conditionalFormatting>
  <conditionalFormatting sqref="O166">
    <cfRule type="expression" dxfId="5133" priority="627">
      <formula>O166&gt;Q166+#REF!</formula>
    </cfRule>
    <cfRule type="expression" dxfId="5132" priority="628">
      <formula>O166&lt;Q166-#REF!</formula>
    </cfRule>
  </conditionalFormatting>
  <conditionalFormatting sqref="O167">
    <cfRule type="expression" dxfId="5131" priority="625">
      <formula>O167&gt;Q167+#REF!</formula>
    </cfRule>
    <cfRule type="expression" dxfId="5130" priority="626">
      <formula>O167&lt;Q167-#REF!</formula>
    </cfRule>
  </conditionalFormatting>
  <conditionalFormatting sqref="O168">
    <cfRule type="expression" dxfId="5129" priority="623">
      <formula>O168&gt;Q168+#REF!</formula>
    </cfRule>
    <cfRule type="expression" dxfId="5128" priority="624">
      <formula>O168&lt;Q168-#REF!</formula>
    </cfRule>
  </conditionalFormatting>
  <conditionalFormatting sqref="O169">
    <cfRule type="expression" dxfId="5127" priority="621">
      <formula>O169&gt;Q169+#REF!</formula>
    </cfRule>
    <cfRule type="expression" dxfId="5126" priority="622">
      <formula>O169&lt;Q169-#REF!</formula>
    </cfRule>
  </conditionalFormatting>
  <conditionalFormatting sqref="O170">
    <cfRule type="expression" dxfId="5125" priority="619">
      <formula>O170&gt;Q170+#REF!</formula>
    </cfRule>
    <cfRule type="expression" dxfId="5124" priority="620">
      <formula>O170&lt;Q170-#REF!</formula>
    </cfRule>
  </conditionalFormatting>
  <conditionalFormatting sqref="O171:O172">
    <cfRule type="expression" dxfId="5123" priority="617">
      <formula>O171&gt;Q171+#REF!</formula>
    </cfRule>
    <cfRule type="expression" dxfId="5122" priority="618">
      <formula>O171&lt;Q171-#REF!</formula>
    </cfRule>
  </conditionalFormatting>
  <conditionalFormatting sqref="O173">
    <cfRule type="expression" dxfId="5121" priority="615">
      <formula>O173&gt;Q173+#REF!</formula>
    </cfRule>
    <cfRule type="expression" dxfId="5120" priority="616">
      <formula>O173&lt;Q173-#REF!</formula>
    </cfRule>
  </conditionalFormatting>
  <conditionalFormatting sqref="O176">
    <cfRule type="expression" dxfId="5119" priority="613">
      <formula>O176&lt;Q176*#REF!</formula>
    </cfRule>
    <cfRule type="expression" dxfId="5118" priority="614">
      <formula>O176&gt;Q176*#REF!</formula>
    </cfRule>
  </conditionalFormatting>
  <conditionalFormatting sqref="O177">
    <cfRule type="expression" dxfId="5117" priority="611">
      <formula>O177&lt;Q177*#REF!</formula>
    </cfRule>
    <cfRule type="expression" dxfId="5116" priority="612">
      <formula>O177&gt;Q177*#REF!</formula>
    </cfRule>
  </conditionalFormatting>
  <conditionalFormatting sqref="O188">
    <cfRule type="expression" dxfId="5115" priority="609">
      <formula>O188&lt;Q188*#REF!</formula>
    </cfRule>
    <cfRule type="expression" dxfId="5114" priority="610">
      <formula>O188&gt;Q188*#REF!</formula>
    </cfRule>
  </conditionalFormatting>
  <conditionalFormatting sqref="O178">
    <cfRule type="expression" dxfId="5113" priority="607">
      <formula>O178&gt;Q178+#REF!</formula>
    </cfRule>
    <cfRule type="expression" dxfId="5112" priority="608">
      <formula>O178&lt;Q178-#REF!</formula>
    </cfRule>
  </conditionalFormatting>
  <conditionalFormatting sqref="O179">
    <cfRule type="expression" dxfId="5111" priority="605">
      <formula>O179&gt;Q179+#REF!</formula>
    </cfRule>
    <cfRule type="expression" dxfId="5110" priority="606">
      <formula>O179&lt;Q179-#REF!</formula>
    </cfRule>
  </conditionalFormatting>
  <conditionalFormatting sqref="O180">
    <cfRule type="expression" dxfId="5109" priority="603">
      <formula>O180&gt;Q180+#REF!</formula>
    </cfRule>
    <cfRule type="expression" dxfId="5108" priority="604">
      <formula>O180&lt;Q180-#REF!</formula>
    </cfRule>
  </conditionalFormatting>
  <conditionalFormatting sqref="O181">
    <cfRule type="expression" dxfId="5107" priority="601">
      <formula>O181&gt;Q181+#REF!</formula>
    </cfRule>
    <cfRule type="expression" dxfId="5106" priority="602">
      <formula>O181&lt;Q181-#REF!</formula>
    </cfRule>
  </conditionalFormatting>
  <conditionalFormatting sqref="O182">
    <cfRule type="expression" dxfId="5105" priority="599">
      <formula>O182&gt;Q182+#REF!</formula>
    </cfRule>
    <cfRule type="expression" dxfId="5104" priority="600">
      <formula>O182&lt;Q182-#REF!</formula>
    </cfRule>
  </conditionalFormatting>
  <conditionalFormatting sqref="O183">
    <cfRule type="expression" dxfId="5103" priority="597">
      <formula>O183&gt;Q183+#REF!</formula>
    </cfRule>
    <cfRule type="expression" dxfId="5102" priority="598">
      <formula>O183&lt;Q183-#REF!</formula>
    </cfRule>
  </conditionalFormatting>
  <conditionalFormatting sqref="O184">
    <cfRule type="expression" dxfId="5101" priority="595">
      <formula>O184&gt;Q184+#REF!</formula>
    </cfRule>
    <cfRule type="expression" dxfId="5100" priority="596">
      <formula>O184&lt;Q184-#REF!</formula>
    </cfRule>
  </conditionalFormatting>
  <conditionalFormatting sqref="O185:O186">
    <cfRule type="expression" dxfId="5099" priority="593">
      <formula>O185&gt;Q185+#REF!</formula>
    </cfRule>
    <cfRule type="expression" dxfId="5098" priority="594">
      <formula>O185&lt;Q185-#REF!</formula>
    </cfRule>
  </conditionalFormatting>
  <conditionalFormatting sqref="O187">
    <cfRule type="expression" dxfId="5097" priority="591">
      <formula>O187&gt;Q187+#REF!</formula>
    </cfRule>
    <cfRule type="expression" dxfId="5096" priority="592">
      <formula>O187&lt;Q187-#REF!</formula>
    </cfRule>
  </conditionalFormatting>
  <conditionalFormatting sqref="O190">
    <cfRule type="expression" dxfId="5095" priority="589">
      <formula>O190&lt;Q190*#REF!</formula>
    </cfRule>
    <cfRule type="expression" dxfId="5094" priority="590">
      <formula>O190&gt;Q190*#REF!</formula>
    </cfRule>
  </conditionalFormatting>
  <conditionalFormatting sqref="O191">
    <cfRule type="expression" dxfId="5093" priority="587">
      <formula>O191&lt;Q191*#REF!</formula>
    </cfRule>
    <cfRule type="expression" dxfId="5092" priority="588">
      <formula>O191&gt;Q191*#REF!</formula>
    </cfRule>
  </conditionalFormatting>
  <conditionalFormatting sqref="O202">
    <cfRule type="expression" dxfId="5091" priority="585">
      <formula>O202&lt;Q202*#REF!</formula>
    </cfRule>
    <cfRule type="expression" dxfId="5090" priority="586">
      <formula>O202&gt;Q202*#REF!</formula>
    </cfRule>
  </conditionalFormatting>
  <conditionalFormatting sqref="O192">
    <cfRule type="expression" dxfId="5089" priority="583">
      <formula>O192&gt;Q192+#REF!</formula>
    </cfRule>
    <cfRule type="expression" dxfId="5088" priority="584">
      <formula>O192&lt;Q192-#REF!</formula>
    </cfRule>
  </conditionalFormatting>
  <conditionalFormatting sqref="O193">
    <cfRule type="expression" dxfId="5087" priority="581">
      <formula>O193&gt;Q193+#REF!</formula>
    </cfRule>
    <cfRule type="expression" dxfId="5086" priority="582">
      <formula>O193&lt;Q193-#REF!</formula>
    </cfRule>
  </conditionalFormatting>
  <conditionalFormatting sqref="O194">
    <cfRule type="expression" dxfId="5085" priority="579">
      <formula>O194&gt;Q194+#REF!</formula>
    </cfRule>
    <cfRule type="expression" dxfId="5084" priority="580">
      <formula>O194&lt;Q194-#REF!</formula>
    </cfRule>
  </conditionalFormatting>
  <conditionalFormatting sqref="O195">
    <cfRule type="expression" dxfId="5083" priority="577">
      <formula>O195&gt;Q195+#REF!</formula>
    </cfRule>
    <cfRule type="expression" dxfId="5082" priority="578">
      <formula>O195&lt;Q195-#REF!</formula>
    </cfRule>
  </conditionalFormatting>
  <conditionalFormatting sqref="O196">
    <cfRule type="expression" dxfId="5081" priority="575">
      <formula>O196&gt;Q196+#REF!</formula>
    </cfRule>
    <cfRule type="expression" dxfId="5080" priority="576">
      <formula>O196&lt;Q196-#REF!</formula>
    </cfRule>
  </conditionalFormatting>
  <conditionalFormatting sqref="O197">
    <cfRule type="expression" dxfId="5079" priority="573">
      <formula>O197&gt;Q197+#REF!</formula>
    </cfRule>
    <cfRule type="expression" dxfId="5078" priority="574">
      <formula>O197&lt;Q197-#REF!</formula>
    </cfRule>
  </conditionalFormatting>
  <conditionalFormatting sqref="O198">
    <cfRule type="expression" dxfId="5077" priority="571">
      <formula>O198&gt;Q198+#REF!</formula>
    </cfRule>
    <cfRule type="expression" dxfId="5076" priority="572">
      <formula>O198&lt;Q198-#REF!</formula>
    </cfRule>
  </conditionalFormatting>
  <conditionalFormatting sqref="O199:O200">
    <cfRule type="expression" dxfId="5075" priority="569">
      <formula>O199&gt;Q199+#REF!</formula>
    </cfRule>
    <cfRule type="expression" dxfId="5074" priority="570">
      <formula>O199&lt;Q199-#REF!</formula>
    </cfRule>
  </conditionalFormatting>
  <conditionalFormatting sqref="O201">
    <cfRule type="expression" dxfId="5073" priority="567">
      <formula>O201&gt;Q201+#REF!</formula>
    </cfRule>
    <cfRule type="expression" dxfId="5072" priority="568">
      <formula>O201&lt;Q201-#REF!</formula>
    </cfRule>
  </conditionalFormatting>
  <conditionalFormatting sqref="O204">
    <cfRule type="expression" dxfId="5071" priority="565">
      <formula>O204&lt;Q204*#REF!</formula>
    </cfRule>
    <cfRule type="expression" dxfId="5070" priority="566">
      <formula>O204&gt;Q204*#REF!</formula>
    </cfRule>
  </conditionalFormatting>
  <conditionalFormatting sqref="O205">
    <cfRule type="expression" dxfId="5069" priority="563">
      <formula>O205&lt;Q205*#REF!</formula>
    </cfRule>
    <cfRule type="expression" dxfId="5068" priority="564">
      <formula>O205&gt;Q205*#REF!</formula>
    </cfRule>
  </conditionalFormatting>
  <conditionalFormatting sqref="O216">
    <cfRule type="expression" dxfId="5067" priority="561">
      <formula>O216&lt;Q216*#REF!</formula>
    </cfRule>
    <cfRule type="expression" dxfId="5066" priority="562">
      <formula>O216&gt;Q216*#REF!</formula>
    </cfRule>
  </conditionalFormatting>
  <conditionalFormatting sqref="O206">
    <cfRule type="expression" dxfId="5065" priority="559">
      <formula>O206&gt;Q206+#REF!</formula>
    </cfRule>
    <cfRule type="expression" dxfId="5064" priority="560">
      <formula>O206&lt;Q206-#REF!</formula>
    </cfRule>
  </conditionalFormatting>
  <conditionalFormatting sqref="O207">
    <cfRule type="expression" dxfId="5063" priority="557">
      <formula>O207&gt;Q207+#REF!</formula>
    </cfRule>
    <cfRule type="expression" dxfId="5062" priority="558">
      <formula>O207&lt;Q207-#REF!</formula>
    </cfRule>
  </conditionalFormatting>
  <conditionalFormatting sqref="O208">
    <cfRule type="expression" dxfId="5061" priority="555">
      <formula>O208&gt;Q208+#REF!</formula>
    </cfRule>
    <cfRule type="expression" dxfId="5060" priority="556">
      <formula>O208&lt;Q208-#REF!</formula>
    </cfRule>
  </conditionalFormatting>
  <conditionalFormatting sqref="O209">
    <cfRule type="expression" dxfId="5059" priority="553">
      <formula>O209&gt;Q209+#REF!</formula>
    </cfRule>
    <cfRule type="expression" dxfId="5058" priority="554">
      <formula>O209&lt;Q209-#REF!</formula>
    </cfRule>
  </conditionalFormatting>
  <conditionalFormatting sqref="O210">
    <cfRule type="expression" dxfId="5057" priority="551">
      <formula>O210&gt;Q210+#REF!</formula>
    </cfRule>
    <cfRule type="expression" dxfId="5056" priority="552">
      <formula>O210&lt;Q210-#REF!</formula>
    </cfRule>
  </conditionalFormatting>
  <conditionalFormatting sqref="O211">
    <cfRule type="expression" dxfId="5055" priority="549">
      <formula>O211&gt;Q211+#REF!</formula>
    </cfRule>
    <cfRule type="expression" dxfId="5054" priority="550">
      <formula>O211&lt;Q211-#REF!</formula>
    </cfRule>
  </conditionalFormatting>
  <conditionalFormatting sqref="O212">
    <cfRule type="expression" dxfId="5053" priority="547">
      <formula>O212&gt;Q212+#REF!</formula>
    </cfRule>
    <cfRule type="expression" dxfId="5052" priority="548">
      <formula>O212&lt;Q212-#REF!</formula>
    </cfRule>
  </conditionalFormatting>
  <conditionalFormatting sqref="O213:O214">
    <cfRule type="expression" dxfId="5051" priority="545">
      <formula>O213&gt;Q213+#REF!</formula>
    </cfRule>
    <cfRule type="expression" dxfId="5050" priority="546">
      <formula>O213&lt;Q213-#REF!</formula>
    </cfRule>
  </conditionalFormatting>
  <conditionalFormatting sqref="O215">
    <cfRule type="expression" dxfId="5049" priority="543">
      <formula>O215&gt;Q215+#REF!</formula>
    </cfRule>
    <cfRule type="expression" dxfId="5048" priority="544">
      <formula>O215&lt;Q215-#REF!</formula>
    </cfRule>
  </conditionalFormatting>
  <conditionalFormatting sqref="O218">
    <cfRule type="expression" dxfId="5047" priority="517">
      <formula>O218&lt;Q218*#REF!</formula>
    </cfRule>
    <cfRule type="expression" dxfId="5046" priority="518">
      <formula>O218&gt;Q218*#REF!</formula>
    </cfRule>
  </conditionalFormatting>
  <conditionalFormatting sqref="O219">
    <cfRule type="expression" dxfId="5045" priority="515">
      <formula>O219&lt;Q219*#REF!</formula>
    </cfRule>
    <cfRule type="expression" dxfId="5044" priority="516">
      <formula>O219&gt;Q219*#REF!</formula>
    </cfRule>
  </conditionalFormatting>
  <conditionalFormatting sqref="O230">
    <cfRule type="expression" dxfId="5043" priority="513">
      <formula>O230&lt;Q230*#REF!</formula>
    </cfRule>
    <cfRule type="expression" dxfId="5042" priority="514">
      <formula>O230&gt;Q230*#REF!</formula>
    </cfRule>
  </conditionalFormatting>
  <conditionalFormatting sqref="O220">
    <cfRule type="expression" dxfId="5041" priority="511">
      <formula>O220&gt;Q220+#REF!</formula>
    </cfRule>
    <cfRule type="expression" dxfId="5040" priority="512">
      <formula>O220&lt;Q220-#REF!</formula>
    </cfRule>
  </conditionalFormatting>
  <conditionalFormatting sqref="O221">
    <cfRule type="expression" dxfId="5039" priority="509">
      <formula>O221&gt;Q221+#REF!</formula>
    </cfRule>
    <cfRule type="expression" dxfId="5038" priority="510">
      <formula>O221&lt;Q221-#REF!</formula>
    </cfRule>
  </conditionalFormatting>
  <conditionalFormatting sqref="O222">
    <cfRule type="expression" dxfId="5037" priority="507">
      <formula>O222&gt;Q222+#REF!</formula>
    </cfRule>
    <cfRule type="expression" dxfId="5036" priority="508">
      <formula>O222&lt;Q222-#REF!</formula>
    </cfRule>
  </conditionalFormatting>
  <conditionalFormatting sqref="O223">
    <cfRule type="expression" dxfId="5035" priority="505">
      <formula>O223&gt;Q223+#REF!</formula>
    </cfRule>
    <cfRule type="expression" dxfId="5034" priority="506">
      <formula>O223&lt;Q223-#REF!</formula>
    </cfRule>
  </conditionalFormatting>
  <conditionalFormatting sqref="O224">
    <cfRule type="expression" dxfId="5033" priority="503">
      <formula>O224&gt;Q224+#REF!</formula>
    </cfRule>
    <cfRule type="expression" dxfId="5032" priority="504">
      <formula>O224&lt;Q224-#REF!</formula>
    </cfRule>
  </conditionalFormatting>
  <conditionalFormatting sqref="O225">
    <cfRule type="expression" dxfId="5031" priority="501">
      <formula>O225&gt;Q225+#REF!</formula>
    </cfRule>
    <cfRule type="expression" dxfId="5030" priority="502">
      <formula>O225&lt;Q225-#REF!</formula>
    </cfRule>
  </conditionalFormatting>
  <conditionalFormatting sqref="O226">
    <cfRule type="expression" dxfId="5029" priority="499">
      <formula>O226&gt;Q226+#REF!</formula>
    </cfRule>
    <cfRule type="expression" dxfId="5028" priority="500">
      <formula>O226&lt;Q226-#REF!</formula>
    </cfRule>
  </conditionalFormatting>
  <conditionalFormatting sqref="O227:O228">
    <cfRule type="expression" dxfId="5027" priority="497">
      <formula>O227&gt;Q227+#REF!</formula>
    </cfRule>
    <cfRule type="expression" dxfId="5026" priority="498">
      <formula>O227&lt;Q227-#REF!</formula>
    </cfRule>
  </conditionalFormatting>
  <conditionalFormatting sqref="O229">
    <cfRule type="expression" dxfId="5025" priority="495">
      <formula>O229&gt;Q229+#REF!</formula>
    </cfRule>
    <cfRule type="expression" dxfId="5024" priority="496">
      <formula>O229&lt;Q229-#REF!</formula>
    </cfRule>
  </conditionalFormatting>
  <conditionalFormatting sqref="O232">
    <cfRule type="expression" dxfId="5023" priority="493">
      <formula>O232&lt;Q232*#REF!</formula>
    </cfRule>
    <cfRule type="expression" dxfId="5022" priority="494">
      <formula>O232&gt;Q232*#REF!</formula>
    </cfRule>
  </conditionalFormatting>
  <conditionalFormatting sqref="O233">
    <cfRule type="expression" dxfId="5021" priority="491">
      <formula>O233&lt;Q233*#REF!</formula>
    </cfRule>
    <cfRule type="expression" dxfId="5020" priority="492">
      <formula>O233&gt;Q233*#REF!</formula>
    </cfRule>
  </conditionalFormatting>
  <conditionalFormatting sqref="O244">
    <cfRule type="expression" dxfId="5019" priority="489">
      <formula>O244&lt;Q244*#REF!</formula>
    </cfRule>
    <cfRule type="expression" dxfId="5018" priority="490">
      <formula>O244&gt;Q244*#REF!</formula>
    </cfRule>
  </conditionalFormatting>
  <conditionalFormatting sqref="O234">
    <cfRule type="expression" dxfId="5017" priority="487">
      <formula>O234&gt;Q234+#REF!</formula>
    </cfRule>
    <cfRule type="expression" dxfId="5016" priority="488">
      <formula>O234&lt;Q234-#REF!</formula>
    </cfRule>
  </conditionalFormatting>
  <conditionalFormatting sqref="O235">
    <cfRule type="expression" dxfId="5015" priority="485">
      <formula>O235&gt;Q235+#REF!</formula>
    </cfRule>
    <cfRule type="expression" dxfId="5014" priority="486">
      <formula>O235&lt;Q235-#REF!</formula>
    </cfRule>
  </conditionalFormatting>
  <conditionalFormatting sqref="O236">
    <cfRule type="expression" dxfId="5013" priority="483">
      <formula>O236&gt;Q236+#REF!</formula>
    </cfRule>
    <cfRule type="expression" dxfId="5012" priority="484">
      <formula>O236&lt;Q236-#REF!</formula>
    </cfRule>
  </conditionalFormatting>
  <conditionalFormatting sqref="O237">
    <cfRule type="expression" dxfId="5011" priority="481">
      <formula>O237&gt;Q237+#REF!</formula>
    </cfRule>
    <cfRule type="expression" dxfId="5010" priority="482">
      <formula>O237&lt;Q237-#REF!</formula>
    </cfRule>
  </conditionalFormatting>
  <conditionalFormatting sqref="O238">
    <cfRule type="expression" dxfId="5009" priority="479">
      <formula>O238&gt;Q238+#REF!</formula>
    </cfRule>
    <cfRule type="expression" dxfId="5008" priority="480">
      <formula>O238&lt;Q238-#REF!</formula>
    </cfRule>
  </conditionalFormatting>
  <conditionalFormatting sqref="O239">
    <cfRule type="expression" dxfId="5007" priority="477">
      <formula>O239&gt;Q239+#REF!</formula>
    </cfRule>
    <cfRule type="expression" dxfId="5006" priority="478">
      <formula>O239&lt;Q239-#REF!</formula>
    </cfRule>
  </conditionalFormatting>
  <conditionalFormatting sqref="O240">
    <cfRule type="expression" dxfId="5005" priority="475">
      <formula>O240&gt;Q240+#REF!</formula>
    </cfRule>
    <cfRule type="expression" dxfId="5004" priority="476">
      <formula>O240&lt;Q240-#REF!</formula>
    </cfRule>
  </conditionalFormatting>
  <conditionalFormatting sqref="O241:O242">
    <cfRule type="expression" dxfId="5003" priority="473">
      <formula>O241&gt;Q241+#REF!</formula>
    </cfRule>
    <cfRule type="expression" dxfId="5002" priority="474">
      <formula>O241&lt;Q241-#REF!</formula>
    </cfRule>
  </conditionalFormatting>
  <conditionalFormatting sqref="O243">
    <cfRule type="expression" dxfId="5001" priority="471">
      <formula>O243&gt;Q243+#REF!</formula>
    </cfRule>
    <cfRule type="expression" dxfId="5000" priority="472">
      <formula>O243&lt;Q243-#REF!</formula>
    </cfRule>
  </conditionalFormatting>
  <conditionalFormatting sqref="O246">
    <cfRule type="expression" dxfId="4999" priority="469">
      <formula>O246&lt;Q246*#REF!</formula>
    </cfRule>
    <cfRule type="expression" dxfId="4998" priority="470">
      <formula>O246&gt;Q246*#REF!</formula>
    </cfRule>
  </conditionalFormatting>
  <conditionalFormatting sqref="O247">
    <cfRule type="expression" dxfId="4997" priority="467">
      <formula>O247&lt;Q247*#REF!</formula>
    </cfRule>
    <cfRule type="expression" dxfId="4996" priority="468">
      <formula>O247&gt;Q247*#REF!</formula>
    </cfRule>
  </conditionalFormatting>
  <conditionalFormatting sqref="O258">
    <cfRule type="expression" dxfId="4995" priority="465">
      <formula>O258&lt;Q258*#REF!</formula>
    </cfRule>
    <cfRule type="expression" dxfId="4994" priority="466">
      <formula>O258&gt;Q258*#REF!</formula>
    </cfRule>
  </conditionalFormatting>
  <conditionalFormatting sqref="O248">
    <cfRule type="expression" dxfId="4993" priority="463">
      <formula>O248&gt;Q248+#REF!</formula>
    </cfRule>
    <cfRule type="expression" dxfId="4992" priority="464">
      <formula>O248&lt;Q248-#REF!</formula>
    </cfRule>
  </conditionalFormatting>
  <conditionalFormatting sqref="O249">
    <cfRule type="expression" dxfId="4991" priority="461">
      <formula>O249&gt;Q249+#REF!</formula>
    </cfRule>
    <cfRule type="expression" dxfId="4990" priority="462">
      <formula>O249&lt;Q249-#REF!</formula>
    </cfRule>
  </conditionalFormatting>
  <conditionalFormatting sqref="O250">
    <cfRule type="expression" dxfId="4989" priority="459">
      <formula>O250&gt;Q250+#REF!</formula>
    </cfRule>
    <cfRule type="expression" dxfId="4988" priority="460">
      <formula>O250&lt;Q250-#REF!</formula>
    </cfRule>
  </conditionalFormatting>
  <conditionalFormatting sqref="O251">
    <cfRule type="expression" dxfId="4987" priority="457">
      <formula>O251&gt;Q251+#REF!</formula>
    </cfRule>
    <cfRule type="expression" dxfId="4986" priority="458">
      <formula>O251&lt;Q251-#REF!</formula>
    </cfRule>
  </conditionalFormatting>
  <conditionalFormatting sqref="O252">
    <cfRule type="expression" dxfId="4985" priority="455">
      <formula>O252&gt;Q252+#REF!</formula>
    </cfRule>
    <cfRule type="expression" dxfId="4984" priority="456">
      <formula>O252&lt;Q252-#REF!</formula>
    </cfRule>
  </conditionalFormatting>
  <conditionalFormatting sqref="O253">
    <cfRule type="expression" dxfId="4983" priority="453">
      <formula>O253&gt;Q253+#REF!</formula>
    </cfRule>
    <cfRule type="expression" dxfId="4982" priority="454">
      <formula>O253&lt;Q253-#REF!</formula>
    </cfRule>
  </conditionalFormatting>
  <conditionalFormatting sqref="O254">
    <cfRule type="expression" dxfId="4981" priority="451">
      <formula>O254&gt;Q254+#REF!</formula>
    </cfRule>
    <cfRule type="expression" dxfId="4980" priority="452">
      <formula>O254&lt;Q254-#REF!</formula>
    </cfRule>
  </conditionalFormatting>
  <conditionalFormatting sqref="O255:O256">
    <cfRule type="expression" dxfId="4979" priority="449">
      <formula>O255&gt;Q255+#REF!</formula>
    </cfRule>
    <cfRule type="expression" dxfId="4978" priority="450">
      <formula>O255&lt;Q255-#REF!</formula>
    </cfRule>
  </conditionalFormatting>
  <conditionalFormatting sqref="O257">
    <cfRule type="expression" dxfId="4977" priority="447">
      <formula>O257&gt;Q257+#REF!</formula>
    </cfRule>
    <cfRule type="expression" dxfId="4976" priority="448">
      <formula>O257&lt;Q257-#REF!</formula>
    </cfRule>
  </conditionalFormatting>
  <conditionalFormatting sqref="K227:K228">
    <cfRule type="expression" dxfId="4975" priority="445">
      <formula>K227&gt;M227+#REF!</formula>
    </cfRule>
    <cfRule type="expression" dxfId="4974" priority="446">
      <formula>K227&lt;M227-#REF!</formula>
    </cfRule>
  </conditionalFormatting>
  <conditionalFormatting sqref="S260">
    <cfRule type="expression" dxfId="4973" priority="89">
      <formula>S260&lt;U260*#REF!</formula>
    </cfRule>
    <cfRule type="expression" dxfId="4972" priority="90">
      <formula>S260&gt;U260*#REF!</formula>
    </cfRule>
  </conditionalFormatting>
  <conditionalFormatting sqref="S261">
    <cfRule type="expression" dxfId="4971" priority="87">
      <formula>S261&lt;U261*#REF!</formula>
    </cfRule>
    <cfRule type="expression" dxfId="4970" priority="88">
      <formula>S261&gt;U261*#REF!</formula>
    </cfRule>
  </conditionalFormatting>
  <conditionalFormatting sqref="S272">
    <cfRule type="expression" dxfId="4969" priority="85">
      <formula>S272&lt;U272*#REF!</formula>
    </cfRule>
    <cfRule type="expression" dxfId="4968" priority="86">
      <formula>S272&gt;U272*#REF!</formula>
    </cfRule>
  </conditionalFormatting>
  <conditionalFormatting sqref="S262">
    <cfRule type="expression" dxfId="4967" priority="83">
      <formula>S262&gt;U262+#REF!</formula>
    </cfRule>
    <cfRule type="expression" dxfId="4966" priority="84">
      <formula>S262&lt;U262-#REF!</formula>
    </cfRule>
  </conditionalFormatting>
  <conditionalFormatting sqref="S263">
    <cfRule type="expression" dxfId="4965" priority="81">
      <formula>S263&gt;U263+#REF!</formula>
    </cfRule>
    <cfRule type="expression" dxfId="4964" priority="82">
      <formula>S263&lt;U263-#REF!</formula>
    </cfRule>
  </conditionalFormatting>
  <conditionalFormatting sqref="S264">
    <cfRule type="expression" dxfId="4963" priority="79">
      <formula>S264&gt;U264+#REF!</formula>
    </cfRule>
    <cfRule type="expression" dxfId="4962" priority="80">
      <formula>S264&lt;U264-#REF!</formula>
    </cfRule>
  </conditionalFormatting>
  <conditionalFormatting sqref="S265">
    <cfRule type="expression" dxfId="4961" priority="77">
      <formula>S265&gt;U265+#REF!</formula>
    </cfRule>
    <cfRule type="expression" dxfId="4960" priority="78">
      <formula>S265&lt;U265-#REF!</formula>
    </cfRule>
  </conditionalFormatting>
  <conditionalFormatting sqref="S266">
    <cfRule type="expression" dxfId="4959" priority="75">
      <formula>S266&gt;U266+#REF!</formula>
    </cfRule>
    <cfRule type="expression" dxfId="4958" priority="76">
      <formula>S266&lt;U266-#REF!</formula>
    </cfRule>
  </conditionalFormatting>
  <conditionalFormatting sqref="S267">
    <cfRule type="expression" dxfId="4957" priority="73">
      <formula>S267&gt;U267+#REF!</formula>
    </cfRule>
    <cfRule type="expression" dxfId="4956" priority="74">
      <formula>S267&lt;U267-#REF!</formula>
    </cfRule>
  </conditionalFormatting>
  <conditionalFormatting sqref="S268">
    <cfRule type="expression" dxfId="4955" priority="71">
      <formula>S268&gt;U268+#REF!</formula>
    </cfRule>
    <cfRule type="expression" dxfId="4954" priority="72">
      <formula>S268&lt;U268-#REF!</formula>
    </cfRule>
  </conditionalFormatting>
  <conditionalFormatting sqref="S269:S270">
    <cfRule type="expression" dxfId="4953" priority="69">
      <formula>S269&gt;U269+#REF!</formula>
    </cfRule>
    <cfRule type="expression" dxfId="4952" priority="70">
      <formula>S269&lt;U269-#REF!</formula>
    </cfRule>
  </conditionalFormatting>
  <conditionalFormatting sqref="S271">
    <cfRule type="expression" dxfId="4951" priority="67">
      <formula>S271&gt;U271+#REF!</formula>
    </cfRule>
    <cfRule type="expression" dxfId="4950" priority="68">
      <formula>S271&lt;U271-#REF!</formula>
    </cfRule>
  </conditionalFormatting>
  <conditionalFormatting sqref="S8">
    <cfRule type="expression" dxfId="4949" priority="443">
      <formula>S8&lt;U8*#REF!</formula>
    </cfRule>
    <cfRule type="expression" dxfId="4948" priority="444">
      <formula>S8&gt;U8*#REF!</formula>
    </cfRule>
  </conditionalFormatting>
  <conditionalFormatting sqref="S9">
    <cfRule type="expression" dxfId="4947" priority="441">
      <formula>S9&lt;U9*#REF!</formula>
    </cfRule>
    <cfRule type="expression" dxfId="4946" priority="442">
      <formula>S9&gt;U9*#REF!</formula>
    </cfRule>
  </conditionalFormatting>
  <conditionalFormatting sqref="S20">
    <cfRule type="expression" dxfId="4945" priority="439">
      <formula>S20&lt;U20*#REF!</formula>
    </cfRule>
    <cfRule type="expression" dxfId="4944" priority="440">
      <formula>S20&gt;U20*#REF!</formula>
    </cfRule>
  </conditionalFormatting>
  <conditionalFormatting sqref="S10">
    <cfRule type="expression" dxfId="4943" priority="437">
      <formula>S10&gt;U10+#REF!</formula>
    </cfRule>
    <cfRule type="expression" dxfId="4942" priority="438">
      <formula>S10&lt;U10-#REF!</formula>
    </cfRule>
  </conditionalFormatting>
  <conditionalFormatting sqref="S11">
    <cfRule type="expression" dxfId="4941" priority="435">
      <formula>S11&gt;U11+#REF!</formula>
    </cfRule>
    <cfRule type="expression" dxfId="4940" priority="436">
      <formula>S11&lt;U11-#REF!</formula>
    </cfRule>
  </conditionalFormatting>
  <conditionalFormatting sqref="S12">
    <cfRule type="expression" dxfId="4939" priority="433">
      <formula>S12&gt;U12+#REF!</formula>
    </cfRule>
    <cfRule type="expression" dxfId="4938" priority="434">
      <formula>S12&lt;U12-#REF!</formula>
    </cfRule>
  </conditionalFormatting>
  <conditionalFormatting sqref="S13">
    <cfRule type="expression" dxfId="4937" priority="431">
      <formula>S13&gt;U13+#REF!</formula>
    </cfRule>
    <cfRule type="expression" dxfId="4936" priority="432">
      <formula>S13&lt;U13-#REF!</formula>
    </cfRule>
  </conditionalFormatting>
  <conditionalFormatting sqref="S14">
    <cfRule type="expression" dxfId="4935" priority="429">
      <formula>S14&gt;U14+#REF!</formula>
    </cfRule>
    <cfRule type="expression" dxfId="4934" priority="430">
      <formula>S14&lt;U14-#REF!</formula>
    </cfRule>
  </conditionalFormatting>
  <conditionalFormatting sqref="S15">
    <cfRule type="expression" dxfId="4933" priority="427">
      <formula>S15&gt;U15+#REF!</formula>
    </cfRule>
    <cfRule type="expression" dxfId="4932" priority="428">
      <formula>S15&lt;U15-#REF!</formula>
    </cfRule>
  </conditionalFormatting>
  <conditionalFormatting sqref="S16">
    <cfRule type="expression" dxfId="4931" priority="425">
      <formula>S16&gt;U16+#REF!</formula>
    </cfRule>
    <cfRule type="expression" dxfId="4930" priority="426">
      <formula>S16&lt;U16-#REF!</formula>
    </cfRule>
  </conditionalFormatting>
  <conditionalFormatting sqref="S17:S18">
    <cfRule type="expression" dxfId="4929" priority="423">
      <formula>S17&gt;U17+#REF!</formula>
    </cfRule>
    <cfRule type="expression" dxfId="4928" priority="424">
      <formula>S17&lt;U17-#REF!</formula>
    </cfRule>
  </conditionalFormatting>
  <conditionalFormatting sqref="S19">
    <cfRule type="expression" dxfId="4927" priority="421">
      <formula>S19&gt;U19+#REF!</formula>
    </cfRule>
    <cfRule type="expression" dxfId="4926" priority="422">
      <formula>S19&lt;U19-#REF!</formula>
    </cfRule>
  </conditionalFormatting>
  <conditionalFormatting sqref="S134">
    <cfRule type="expression" dxfId="4925" priority="233">
      <formula>S134&lt;U134*#REF!</formula>
    </cfRule>
    <cfRule type="expression" dxfId="4924" priority="234">
      <formula>S134&gt;U134*#REF!</formula>
    </cfRule>
  </conditionalFormatting>
  <conditionalFormatting sqref="S135">
    <cfRule type="expression" dxfId="4923" priority="231">
      <formula>S135&lt;U135*#REF!</formula>
    </cfRule>
    <cfRule type="expression" dxfId="4922" priority="232">
      <formula>S135&gt;U135*#REF!</formula>
    </cfRule>
  </conditionalFormatting>
  <conditionalFormatting sqref="S136">
    <cfRule type="expression" dxfId="4921" priority="227">
      <formula>S136&gt;U136+#REF!</formula>
    </cfRule>
    <cfRule type="expression" dxfId="4920" priority="228">
      <formula>S136&lt;U136-#REF!</formula>
    </cfRule>
  </conditionalFormatting>
  <conditionalFormatting sqref="S137">
    <cfRule type="expression" dxfId="4919" priority="225">
      <formula>S137&gt;U137+#REF!</formula>
    </cfRule>
    <cfRule type="expression" dxfId="4918" priority="226">
      <formula>S137&lt;U137-#REF!</formula>
    </cfRule>
  </conditionalFormatting>
  <conditionalFormatting sqref="S138">
    <cfRule type="expression" dxfId="4917" priority="223">
      <formula>S138&gt;U138+#REF!</formula>
    </cfRule>
    <cfRule type="expression" dxfId="4916" priority="224">
      <formula>S138&lt;U138-#REF!</formula>
    </cfRule>
  </conditionalFormatting>
  <conditionalFormatting sqref="S139">
    <cfRule type="expression" dxfId="4915" priority="221">
      <formula>S139&gt;U139+#REF!</formula>
    </cfRule>
    <cfRule type="expression" dxfId="4914" priority="222">
      <formula>S139&lt;U139-#REF!</formula>
    </cfRule>
  </conditionalFormatting>
  <conditionalFormatting sqref="S140">
    <cfRule type="expression" dxfId="4913" priority="219">
      <formula>S140&gt;U140+#REF!</formula>
    </cfRule>
    <cfRule type="expression" dxfId="4912" priority="220">
      <formula>S140&lt;U140-#REF!</formula>
    </cfRule>
  </conditionalFormatting>
  <conditionalFormatting sqref="S141">
    <cfRule type="expression" dxfId="4911" priority="217">
      <formula>S141&gt;U141+#REF!</formula>
    </cfRule>
    <cfRule type="expression" dxfId="4910" priority="218">
      <formula>S141&lt;U141-#REF!</formula>
    </cfRule>
  </conditionalFormatting>
  <conditionalFormatting sqref="S142">
    <cfRule type="expression" dxfId="4909" priority="215">
      <formula>S142&gt;U142+#REF!</formula>
    </cfRule>
    <cfRule type="expression" dxfId="4908" priority="216">
      <formula>S142&lt;U142-#REF!</formula>
    </cfRule>
  </conditionalFormatting>
  <conditionalFormatting sqref="S143:S144">
    <cfRule type="expression" dxfId="4907" priority="213">
      <formula>S143&gt;U143+#REF!</formula>
    </cfRule>
    <cfRule type="expression" dxfId="4906" priority="214">
      <formula>S143&lt;U143-#REF!</formula>
    </cfRule>
  </conditionalFormatting>
  <conditionalFormatting sqref="S145">
    <cfRule type="expression" dxfId="4905" priority="211">
      <formula>S145&gt;U145+#REF!</formula>
    </cfRule>
    <cfRule type="expression" dxfId="4904" priority="212">
      <formula>S145&lt;U145-#REF!</formula>
    </cfRule>
  </conditionalFormatting>
  <conditionalFormatting sqref="S92">
    <cfRule type="expression" dxfId="4903" priority="299">
      <formula>S92&lt;U92*#REF!</formula>
    </cfRule>
    <cfRule type="expression" dxfId="4902" priority="300">
      <formula>S92&gt;U92*#REF!</formula>
    </cfRule>
  </conditionalFormatting>
  <conditionalFormatting sqref="S93">
    <cfRule type="expression" dxfId="4901" priority="297">
      <formula>S93&lt;U93*#REF!</formula>
    </cfRule>
    <cfRule type="expression" dxfId="4900" priority="298">
      <formula>S93&gt;U93*#REF!</formula>
    </cfRule>
  </conditionalFormatting>
  <conditionalFormatting sqref="S104">
    <cfRule type="expression" dxfId="4899" priority="295">
      <formula>S104&lt;U104*#REF!</formula>
    </cfRule>
    <cfRule type="expression" dxfId="4898" priority="296">
      <formula>S104&gt;U104*#REF!</formula>
    </cfRule>
  </conditionalFormatting>
  <conditionalFormatting sqref="S94">
    <cfRule type="expression" dxfId="4897" priority="293">
      <formula>S94&gt;U94+#REF!</formula>
    </cfRule>
    <cfRule type="expression" dxfId="4896" priority="294">
      <formula>S94&lt;U94-#REF!</formula>
    </cfRule>
  </conditionalFormatting>
  <conditionalFormatting sqref="S95">
    <cfRule type="expression" dxfId="4895" priority="291">
      <formula>S95&gt;U95+#REF!</formula>
    </cfRule>
    <cfRule type="expression" dxfId="4894" priority="292">
      <formula>S95&lt;U95-#REF!</formula>
    </cfRule>
  </conditionalFormatting>
  <conditionalFormatting sqref="S96">
    <cfRule type="expression" dxfId="4893" priority="289">
      <formula>S96&gt;U96+#REF!</formula>
    </cfRule>
    <cfRule type="expression" dxfId="4892" priority="290">
      <formula>S96&lt;U96-#REF!</formula>
    </cfRule>
  </conditionalFormatting>
  <conditionalFormatting sqref="S97">
    <cfRule type="expression" dxfId="4891" priority="287">
      <formula>S97&gt;U97+#REF!</formula>
    </cfRule>
    <cfRule type="expression" dxfId="4890" priority="288">
      <formula>S97&lt;U97-#REF!</formula>
    </cfRule>
  </conditionalFormatting>
  <conditionalFormatting sqref="S98">
    <cfRule type="expression" dxfId="4889" priority="285">
      <formula>S98&gt;U98+#REF!</formula>
    </cfRule>
    <cfRule type="expression" dxfId="4888" priority="286">
      <formula>S98&lt;U98-#REF!</formula>
    </cfRule>
  </conditionalFormatting>
  <conditionalFormatting sqref="S99">
    <cfRule type="expression" dxfId="4887" priority="283">
      <formula>S99&gt;U99+#REF!</formula>
    </cfRule>
    <cfRule type="expression" dxfId="4886" priority="284">
      <formula>S99&lt;U99-#REF!</formula>
    </cfRule>
  </conditionalFormatting>
  <conditionalFormatting sqref="S100">
    <cfRule type="expression" dxfId="4885" priority="281">
      <formula>S100&gt;U100+#REF!</formula>
    </cfRule>
    <cfRule type="expression" dxfId="4884" priority="282">
      <formula>S100&lt;U100-#REF!</formula>
    </cfRule>
  </conditionalFormatting>
  <conditionalFormatting sqref="S101:S102">
    <cfRule type="expression" dxfId="4883" priority="279">
      <formula>S101&gt;U101+#REF!</formula>
    </cfRule>
    <cfRule type="expression" dxfId="4882" priority="280">
      <formula>S101&lt;U101-#REF!</formula>
    </cfRule>
  </conditionalFormatting>
  <conditionalFormatting sqref="S103">
    <cfRule type="expression" dxfId="4881" priority="277">
      <formula>S103&gt;U103+#REF!</formula>
    </cfRule>
    <cfRule type="expression" dxfId="4880" priority="278">
      <formula>S103&lt;U103-#REF!</formula>
    </cfRule>
  </conditionalFormatting>
  <conditionalFormatting sqref="S160">
    <cfRule type="expression" dxfId="4879" priority="205">
      <formula>S160&lt;U160*#REF!</formula>
    </cfRule>
    <cfRule type="expression" dxfId="4878" priority="206">
      <formula>S160&gt;U160*#REF!</formula>
    </cfRule>
  </conditionalFormatting>
  <conditionalFormatting sqref="S146">
    <cfRule type="expression" dxfId="4877" priority="229">
      <formula>S146&lt;U146*#REF!</formula>
    </cfRule>
    <cfRule type="expression" dxfId="4876" priority="230">
      <formula>S146&gt;U146*#REF!</formula>
    </cfRule>
  </conditionalFormatting>
  <conditionalFormatting sqref="S204">
    <cfRule type="expression" dxfId="4875" priority="113">
      <formula>S204&lt;U204*#REF!</formula>
    </cfRule>
    <cfRule type="expression" dxfId="4874" priority="114">
      <formula>S204&gt;U204*#REF!</formula>
    </cfRule>
  </conditionalFormatting>
  <conditionalFormatting sqref="S205">
    <cfRule type="expression" dxfId="4873" priority="111">
      <formula>S205&lt;U205*#REF!</formula>
    </cfRule>
    <cfRule type="expression" dxfId="4872" priority="112">
      <formula>S205&gt;U205*#REF!</formula>
    </cfRule>
  </conditionalFormatting>
  <conditionalFormatting sqref="S206">
    <cfRule type="expression" dxfId="4871" priority="107">
      <formula>S206&gt;U206+#REF!</formula>
    </cfRule>
    <cfRule type="expression" dxfId="4870" priority="108">
      <formula>S206&lt;U206-#REF!</formula>
    </cfRule>
  </conditionalFormatting>
  <conditionalFormatting sqref="S207">
    <cfRule type="expression" dxfId="4869" priority="105">
      <formula>S207&gt;U207+#REF!</formula>
    </cfRule>
    <cfRule type="expression" dxfId="4868" priority="106">
      <formula>S207&lt;U207-#REF!</formula>
    </cfRule>
  </conditionalFormatting>
  <conditionalFormatting sqref="S208">
    <cfRule type="expression" dxfId="4867" priority="103">
      <formula>S208&gt;U208+#REF!</formula>
    </cfRule>
    <cfRule type="expression" dxfId="4866" priority="104">
      <formula>S208&lt;U208-#REF!</formula>
    </cfRule>
  </conditionalFormatting>
  <conditionalFormatting sqref="S209">
    <cfRule type="expression" dxfId="4865" priority="101">
      <formula>S209&gt;U209+#REF!</formula>
    </cfRule>
    <cfRule type="expression" dxfId="4864" priority="102">
      <formula>S209&lt;U209-#REF!</formula>
    </cfRule>
  </conditionalFormatting>
  <conditionalFormatting sqref="S210">
    <cfRule type="expression" dxfId="4863" priority="99">
      <formula>S210&gt;U210+#REF!</formula>
    </cfRule>
    <cfRule type="expression" dxfId="4862" priority="100">
      <formula>S210&lt;U210-#REF!</formula>
    </cfRule>
  </conditionalFormatting>
  <conditionalFormatting sqref="S211">
    <cfRule type="expression" dxfId="4861" priority="97">
      <formula>S211&gt;U211+#REF!</formula>
    </cfRule>
    <cfRule type="expression" dxfId="4860" priority="98">
      <formula>S211&lt;U211-#REF!</formula>
    </cfRule>
  </conditionalFormatting>
  <conditionalFormatting sqref="S212">
    <cfRule type="expression" dxfId="4859" priority="95">
      <formula>S212&gt;U212+#REF!</formula>
    </cfRule>
    <cfRule type="expression" dxfId="4858" priority="96">
      <formula>S212&lt;U212-#REF!</formula>
    </cfRule>
  </conditionalFormatting>
  <conditionalFormatting sqref="S213:S214">
    <cfRule type="expression" dxfId="4857" priority="93">
      <formula>S213&gt;U213+#REF!</formula>
    </cfRule>
    <cfRule type="expression" dxfId="4856" priority="94">
      <formula>S213&lt;U213-#REF!</formula>
    </cfRule>
  </conditionalFormatting>
  <conditionalFormatting sqref="S215">
    <cfRule type="expression" dxfId="4855" priority="91">
      <formula>S215&gt;U215+#REF!</formula>
    </cfRule>
    <cfRule type="expression" dxfId="4854" priority="92">
      <formula>S215&lt;U215-#REF!</formula>
    </cfRule>
  </conditionalFormatting>
  <conditionalFormatting sqref="S48">
    <cfRule type="expression" dxfId="4853" priority="391">
      <formula>S48&lt;U48*#REF!</formula>
    </cfRule>
    <cfRule type="expression" dxfId="4852" priority="392">
      <formula>S48&gt;U48*#REF!</formula>
    </cfRule>
  </conditionalFormatting>
  <conditionalFormatting sqref="S62">
    <cfRule type="expression" dxfId="4851" priority="367">
      <formula>S62&lt;U62*#REF!</formula>
    </cfRule>
    <cfRule type="expression" dxfId="4850" priority="368">
      <formula>S62&gt;U62*#REF!</formula>
    </cfRule>
  </conditionalFormatting>
  <conditionalFormatting sqref="S76">
    <cfRule type="expression" dxfId="4849" priority="343">
      <formula>S76&lt;U76*#REF!</formula>
    </cfRule>
    <cfRule type="expression" dxfId="4848" priority="344">
      <formula>S76&gt;U76*#REF!</formula>
    </cfRule>
  </conditionalFormatting>
  <conditionalFormatting sqref="S90">
    <cfRule type="expression" dxfId="4847" priority="319">
      <formula>S90&lt;U90*#REF!</formula>
    </cfRule>
    <cfRule type="expression" dxfId="4846" priority="320">
      <formula>S90&gt;U90*#REF!</formula>
    </cfRule>
  </conditionalFormatting>
  <conditionalFormatting sqref="S118">
    <cfRule type="expression" dxfId="4845" priority="271">
      <formula>S118&lt;U118*#REF!</formula>
    </cfRule>
    <cfRule type="expression" dxfId="4844" priority="272">
      <formula>S118&gt;U118*#REF!</formula>
    </cfRule>
  </conditionalFormatting>
  <conditionalFormatting sqref="S218">
    <cfRule type="expression" dxfId="4843" priority="65">
      <formula>S218&lt;U218*#REF!</formula>
    </cfRule>
    <cfRule type="expression" dxfId="4842" priority="66">
      <formula>S218&gt;U218*#REF!</formula>
    </cfRule>
  </conditionalFormatting>
  <conditionalFormatting sqref="S219">
    <cfRule type="expression" dxfId="4841" priority="63">
      <formula>S219&lt;U219*#REF!</formula>
    </cfRule>
    <cfRule type="expression" dxfId="4840" priority="64">
      <formula>S219&gt;U219*#REF!</formula>
    </cfRule>
  </conditionalFormatting>
  <conditionalFormatting sqref="S132">
    <cfRule type="expression" dxfId="4839" priority="253">
      <formula>S132&lt;U132*#REF!</formula>
    </cfRule>
    <cfRule type="expression" dxfId="4838" priority="254">
      <formula>S132&gt;U132*#REF!</formula>
    </cfRule>
  </conditionalFormatting>
  <conditionalFormatting sqref="S227:S228">
    <cfRule type="expression" dxfId="4837" priority="59">
      <formula>S227&gt;U227+#REF!</formula>
    </cfRule>
    <cfRule type="expression" dxfId="4836" priority="60">
      <formula>S227&lt;U227-#REF!</formula>
    </cfRule>
  </conditionalFormatting>
  <conditionalFormatting sqref="S174">
    <cfRule type="expression" dxfId="4835" priority="181">
      <formula>S174&lt;U174*#REF!</formula>
    </cfRule>
    <cfRule type="expression" dxfId="4834" priority="182">
      <formula>S174&gt;U174*#REF!</formula>
    </cfRule>
  </conditionalFormatting>
  <conditionalFormatting sqref="S188">
    <cfRule type="expression" dxfId="4833" priority="133">
      <formula>S188&lt;U188*#REF!</formula>
    </cfRule>
    <cfRule type="expression" dxfId="4832" priority="134">
      <formula>S188&gt;U188*#REF!</formula>
    </cfRule>
  </conditionalFormatting>
  <conditionalFormatting sqref="S232">
    <cfRule type="expression" dxfId="4831" priority="57">
      <formula>S232&lt;U232*#REF!</formula>
    </cfRule>
    <cfRule type="expression" dxfId="4830" priority="58">
      <formula>S232&gt;U232*#REF!</formula>
    </cfRule>
  </conditionalFormatting>
  <conditionalFormatting sqref="S233">
    <cfRule type="expression" dxfId="4829" priority="55">
      <formula>S233&lt;U233*#REF!</formula>
    </cfRule>
    <cfRule type="expression" dxfId="4828" priority="56">
      <formula>S233&gt;U233*#REF!</formula>
    </cfRule>
  </conditionalFormatting>
  <conditionalFormatting sqref="S244">
    <cfRule type="expression" dxfId="4827" priority="53">
      <formula>S244&lt;U244*#REF!</formula>
    </cfRule>
    <cfRule type="expression" dxfId="4826" priority="54">
      <formula>S244&gt;U244*#REF!</formula>
    </cfRule>
  </conditionalFormatting>
  <conditionalFormatting sqref="S234">
    <cfRule type="expression" dxfId="4825" priority="51">
      <formula>S234&gt;U234+#REF!</formula>
    </cfRule>
    <cfRule type="expression" dxfId="4824" priority="52">
      <formula>S234&lt;U234-#REF!</formula>
    </cfRule>
  </conditionalFormatting>
  <conditionalFormatting sqref="S235">
    <cfRule type="expression" dxfId="4823" priority="49">
      <formula>S235&gt;U235+#REF!</formula>
    </cfRule>
    <cfRule type="expression" dxfId="4822" priority="50">
      <formula>S235&lt;U235-#REF!</formula>
    </cfRule>
  </conditionalFormatting>
  <conditionalFormatting sqref="S236">
    <cfRule type="expression" dxfId="4821" priority="47">
      <formula>S236&gt;U236+#REF!</formula>
    </cfRule>
    <cfRule type="expression" dxfId="4820" priority="48">
      <formula>S236&lt;U236-#REF!</formula>
    </cfRule>
  </conditionalFormatting>
  <conditionalFormatting sqref="S237">
    <cfRule type="expression" dxfId="4819" priority="45">
      <formula>S237&gt;U237+#REF!</formula>
    </cfRule>
    <cfRule type="expression" dxfId="4818" priority="46">
      <formula>S237&lt;U237-#REF!</formula>
    </cfRule>
  </conditionalFormatting>
  <conditionalFormatting sqref="S238">
    <cfRule type="expression" dxfId="4817" priority="43">
      <formula>S238&gt;U238+#REF!</formula>
    </cfRule>
    <cfRule type="expression" dxfId="4816" priority="44">
      <formula>S238&lt;U238-#REF!</formula>
    </cfRule>
  </conditionalFormatting>
  <conditionalFormatting sqref="S239">
    <cfRule type="expression" dxfId="4815" priority="41">
      <formula>S239&gt;U239+#REF!</formula>
    </cfRule>
    <cfRule type="expression" dxfId="4814" priority="42">
      <formula>S239&lt;U239-#REF!</formula>
    </cfRule>
  </conditionalFormatting>
  <conditionalFormatting sqref="S240">
    <cfRule type="expression" dxfId="4813" priority="39">
      <formula>S240&gt;U240+#REF!</formula>
    </cfRule>
    <cfRule type="expression" dxfId="4812" priority="40">
      <formula>S240&lt;U240-#REF!</formula>
    </cfRule>
  </conditionalFormatting>
  <conditionalFormatting sqref="S241:S242">
    <cfRule type="expression" dxfId="4811" priority="37">
      <formula>S241&gt;U241+#REF!</formula>
    </cfRule>
    <cfRule type="expression" dxfId="4810" priority="38">
      <formula>S241&lt;U241-#REF!</formula>
    </cfRule>
  </conditionalFormatting>
  <conditionalFormatting sqref="S243">
    <cfRule type="expression" dxfId="4809" priority="35">
      <formula>S243&gt;U243+#REF!</formula>
    </cfRule>
    <cfRule type="expression" dxfId="4808" priority="36">
      <formula>S243&lt;U243-#REF!</formula>
    </cfRule>
  </conditionalFormatting>
  <conditionalFormatting sqref="S246">
    <cfRule type="expression" dxfId="4807" priority="33">
      <formula>S246&lt;U246*#REF!</formula>
    </cfRule>
    <cfRule type="expression" dxfId="4806" priority="34">
      <formula>S246&gt;U246*#REF!</formula>
    </cfRule>
  </conditionalFormatting>
  <conditionalFormatting sqref="S247">
    <cfRule type="expression" dxfId="4805" priority="31">
      <formula>S247&lt;U247*#REF!</formula>
    </cfRule>
    <cfRule type="expression" dxfId="4804" priority="32">
      <formula>S247&gt;U247*#REF!</formula>
    </cfRule>
  </conditionalFormatting>
  <conditionalFormatting sqref="S248">
    <cfRule type="expression" dxfId="4803" priority="27">
      <formula>S248&gt;U248+#REF!</formula>
    </cfRule>
    <cfRule type="expression" dxfId="4802" priority="28">
      <formula>S248&lt;U248-#REF!</formula>
    </cfRule>
  </conditionalFormatting>
  <conditionalFormatting sqref="S249">
    <cfRule type="expression" dxfId="4801" priority="25">
      <formula>S249&gt;U249+#REF!</formula>
    </cfRule>
    <cfRule type="expression" dxfId="4800" priority="26">
      <formula>S249&lt;U249-#REF!</formula>
    </cfRule>
  </conditionalFormatting>
  <conditionalFormatting sqref="S250">
    <cfRule type="expression" dxfId="4799" priority="23">
      <formula>S250&gt;U250+#REF!</formula>
    </cfRule>
    <cfRule type="expression" dxfId="4798" priority="24">
      <formula>S250&lt;U250-#REF!</formula>
    </cfRule>
  </conditionalFormatting>
  <conditionalFormatting sqref="S251">
    <cfRule type="expression" dxfId="4797" priority="21">
      <formula>S251&gt;U251+#REF!</formula>
    </cfRule>
    <cfRule type="expression" dxfId="4796" priority="22">
      <formula>S251&lt;U251-#REF!</formula>
    </cfRule>
  </conditionalFormatting>
  <conditionalFormatting sqref="S252">
    <cfRule type="expression" dxfId="4795" priority="19">
      <formula>S252&gt;U252+#REF!</formula>
    </cfRule>
    <cfRule type="expression" dxfId="4794" priority="20">
      <formula>S252&lt;U252-#REF!</formula>
    </cfRule>
  </conditionalFormatting>
  <conditionalFormatting sqref="S253">
    <cfRule type="expression" dxfId="4793" priority="17">
      <formula>S253&gt;U253+#REF!</formula>
    </cfRule>
    <cfRule type="expression" dxfId="4792" priority="18">
      <formula>S253&lt;U253-#REF!</formula>
    </cfRule>
  </conditionalFormatting>
  <conditionalFormatting sqref="S254">
    <cfRule type="expression" dxfId="4791" priority="15">
      <formula>S254&gt;U254+#REF!</formula>
    </cfRule>
    <cfRule type="expression" dxfId="4790" priority="16">
      <formula>S254&lt;U254-#REF!</formula>
    </cfRule>
  </conditionalFormatting>
  <conditionalFormatting sqref="S255:S256">
    <cfRule type="expression" dxfId="4789" priority="13">
      <formula>S255&gt;U255+#REF!</formula>
    </cfRule>
    <cfRule type="expression" dxfId="4788" priority="14">
      <formula>S255&lt;U255-#REF!</formula>
    </cfRule>
  </conditionalFormatting>
  <conditionalFormatting sqref="S257">
    <cfRule type="expression" dxfId="4787" priority="11">
      <formula>S257&gt;U257+#REF!</formula>
    </cfRule>
    <cfRule type="expression" dxfId="4786" priority="12">
      <formula>S257&lt;U257-#REF!</formula>
    </cfRule>
  </conditionalFormatting>
  <conditionalFormatting sqref="S22">
    <cfRule type="expression" dxfId="4785" priority="419">
      <formula>S22&lt;U22*#REF!</formula>
    </cfRule>
    <cfRule type="expression" dxfId="4784" priority="420">
      <formula>S22&gt;U22*#REF!</formula>
    </cfRule>
  </conditionalFormatting>
  <conditionalFormatting sqref="S23">
    <cfRule type="expression" dxfId="4783" priority="417">
      <formula>S23&lt;U23*#REF!</formula>
    </cfRule>
    <cfRule type="expression" dxfId="4782" priority="418">
      <formula>S23&gt;U23*#REF!</formula>
    </cfRule>
  </conditionalFormatting>
  <conditionalFormatting sqref="S34">
    <cfRule type="expression" dxfId="4781" priority="415">
      <formula>S34&lt;U34*#REF!</formula>
    </cfRule>
    <cfRule type="expression" dxfId="4780" priority="416">
      <formula>S34&gt;U34*#REF!</formula>
    </cfRule>
  </conditionalFormatting>
  <conditionalFormatting sqref="S24">
    <cfRule type="expression" dxfId="4779" priority="413">
      <formula>S24&gt;U24+#REF!</formula>
    </cfRule>
    <cfRule type="expression" dxfId="4778" priority="414">
      <formula>S24&lt;U24-#REF!</formula>
    </cfRule>
  </conditionalFormatting>
  <conditionalFormatting sqref="S25">
    <cfRule type="expression" dxfId="4777" priority="411">
      <formula>S25&gt;U25+#REF!</formula>
    </cfRule>
    <cfRule type="expression" dxfId="4776" priority="412">
      <formula>S25&lt;U25-#REF!</formula>
    </cfRule>
  </conditionalFormatting>
  <conditionalFormatting sqref="S26">
    <cfRule type="expression" dxfId="4775" priority="409">
      <formula>S26&gt;U26+#REF!</formula>
    </cfRule>
    <cfRule type="expression" dxfId="4774" priority="410">
      <formula>S26&lt;U26-#REF!</formula>
    </cfRule>
  </conditionalFormatting>
  <conditionalFormatting sqref="S27">
    <cfRule type="expression" dxfId="4773" priority="407">
      <formula>S27&gt;U27+#REF!</formula>
    </cfRule>
    <cfRule type="expression" dxfId="4772" priority="408">
      <formula>S27&lt;U27-#REF!</formula>
    </cfRule>
  </conditionalFormatting>
  <conditionalFormatting sqref="S28">
    <cfRule type="expression" dxfId="4771" priority="405">
      <formula>S28&gt;U28+#REF!</formula>
    </cfRule>
    <cfRule type="expression" dxfId="4770" priority="406">
      <formula>S28&lt;U28-#REF!</formula>
    </cfRule>
  </conditionalFormatting>
  <conditionalFormatting sqref="S29">
    <cfRule type="expression" dxfId="4769" priority="403">
      <formula>S29&gt;U29+#REF!</formula>
    </cfRule>
    <cfRule type="expression" dxfId="4768" priority="404">
      <formula>S29&lt;U29-#REF!</formula>
    </cfRule>
  </conditionalFormatting>
  <conditionalFormatting sqref="S30">
    <cfRule type="expression" dxfId="4767" priority="401">
      <formula>S30&gt;U30+#REF!</formula>
    </cfRule>
    <cfRule type="expression" dxfId="4766" priority="402">
      <formula>S30&lt;U30-#REF!</formula>
    </cfRule>
  </conditionalFormatting>
  <conditionalFormatting sqref="S31:S32">
    <cfRule type="expression" dxfId="4765" priority="399">
      <formula>S31&gt;U31+#REF!</formula>
    </cfRule>
    <cfRule type="expression" dxfId="4764" priority="400">
      <formula>S31&lt;U31-#REF!</formula>
    </cfRule>
  </conditionalFormatting>
  <conditionalFormatting sqref="S33">
    <cfRule type="expression" dxfId="4763" priority="397">
      <formula>S33&gt;U33+#REF!</formula>
    </cfRule>
    <cfRule type="expression" dxfId="4762" priority="398">
      <formula>S33&lt;U33-#REF!</formula>
    </cfRule>
  </conditionalFormatting>
  <conditionalFormatting sqref="S36">
    <cfRule type="expression" dxfId="4761" priority="395">
      <formula>S36&lt;U36*#REF!</formula>
    </cfRule>
    <cfRule type="expression" dxfId="4760" priority="396">
      <formula>S36&gt;U36*#REF!</formula>
    </cfRule>
  </conditionalFormatting>
  <conditionalFormatting sqref="S37">
    <cfRule type="expression" dxfId="4759" priority="393">
      <formula>S37&lt;U37*#REF!</formula>
    </cfRule>
    <cfRule type="expression" dxfId="4758" priority="394">
      <formula>S37&gt;U37*#REF!</formula>
    </cfRule>
  </conditionalFormatting>
  <conditionalFormatting sqref="S38">
    <cfRule type="expression" dxfId="4757" priority="389">
      <formula>S38&gt;U38+#REF!</formula>
    </cfRule>
    <cfRule type="expression" dxfId="4756" priority="390">
      <formula>S38&lt;U38-#REF!</formula>
    </cfRule>
  </conditionalFormatting>
  <conditionalFormatting sqref="S39">
    <cfRule type="expression" dxfId="4755" priority="387">
      <formula>S39&gt;U39+#REF!</formula>
    </cfRule>
    <cfRule type="expression" dxfId="4754" priority="388">
      <formula>S39&lt;U39-#REF!</formula>
    </cfRule>
  </conditionalFormatting>
  <conditionalFormatting sqref="S40">
    <cfRule type="expression" dxfId="4753" priority="385">
      <formula>S40&gt;U40+#REF!</formula>
    </cfRule>
    <cfRule type="expression" dxfId="4752" priority="386">
      <formula>S40&lt;U40-#REF!</formula>
    </cfRule>
  </conditionalFormatting>
  <conditionalFormatting sqref="S41">
    <cfRule type="expression" dxfId="4751" priority="383">
      <formula>S41&gt;U41+#REF!</formula>
    </cfRule>
    <cfRule type="expression" dxfId="4750" priority="384">
      <formula>S41&lt;U41-#REF!</formula>
    </cfRule>
  </conditionalFormatting>
  <conditionalFormatting sqref="S42">
    <cfRule type="expression" dxfId="4749" priority="381">
      <formula>S42&gt;U42+#REF!</formula>
    </cfRule>
    <cfRule type="expression" dxfId="4748" priority="382">
      <formula>S42&lt;U42-#REF!</formula>
    </cfRule>
  </conditionalFormatting>
  <conditionalFormatting sqref="S43">
    <cfRule type="expression" dxfId="4747" priority="379">
      <formula>S43&gt;U43+#REF!</formula>
    </cfRule>
    <cfRule type="expression" dxfId="4746" priority="380">
      <formula>S43&lt;U43-#REF!</formula>
    </cfRule>
  </conditionalFormatting>
  <conditionalFormatting sqref="S44">
    <cfRule type="expression" dxfId="4745" priority="377">
      <formula>S44&gt;U44+#REF!</formula>
    </cfRule>
    <cfRule type="expression" dxfId="4744" priority="378">
      <formula>S44&lt;U44-#REF!</formula>
    </cfRule>
  </conditionalFormatting>
  <conditionalFormatting sqref="S45:S46">
    <cfRule type="expression" dxfId="4743" priority="375">
      <formula>S45&gt;U45+#REF!</formula>
    </cfRule>
    <cfRule type="expression" dxfId="4742" priority="376">
      <formula>S45&lt;U45-#REF!</formula>
    </cfRule>
  </conditionalFormatting>
  <conditionalFormatting sqref="S47">
    <cfRule type="expression" dxfId="4741" priority="373">
      <formula>S47&gt;U47+#REF!</formula>
    </cfRule>
    <cfRule type="expression" dxfId="4740" priority="374">
      <formula>S47&lt;U47-#REF!</formula>
    </cfRule>
  </conditionalFormatting>
  <conditionalFormatting sqref="S50">
    <cfRule type="expression" dxfId="4739" priority="371">
      <formula>S50&lt;U50*#REF!</formula>
    </cfRule>
    <cfRule type="expression" dxfId="4738" priority="372">
      <formula>S50&gt;U50*#REF!</formula>
    </cfRule>
  </conditionalFormatting>
  <conditionalFormatting sqref="S51">
    <cfRule type="expression" dxfId="4737" priority="369">
      <formula>S51&lt;U51*#REF!</formula>
    </cfRule>
    <cfRule type="expression" dxfId="4736" priority="370">
      <formula>S51&gt;U51*#REF!</formula>
    </cfRule>
  </conditionalFormatting>
  <conditionalFormatting sqref="S52">
    <cfRule type="expression" dxfId="4735" priority="365">
      <formula>S52&gt;U52+#REF!</formula>
    </cfRule>
    <cfRule type="expression" dxfId="4734" priority="366">
      <formula>S52&lt;U52-#REF!</formula>
    </cfRule>
  </conditionalFormatting>
  <conditionalFormatting sqref="S53">
    <cfRule type="expression" dxfId="4733" priority="363">
      <formula>S53&gt;U53+#REF!</formula>
    </cfRule>
    <cfRule type="expression" dxfId="4732" priority="364">
      <formula>S53&lt;U53-#REF!</formula>
    </cfRule>
  </conditionalFormatting>
  <conditionalFormatting sqref="S54">
    <cfRule type="expression" dxfId="4731" priority="361">
      <formula>S54&gt;U54+#REF!</formula>
    </cfRule>
    <cfRule type="expression" dxfId="4730" priority="362">
      <formula>S54&lt;U54-#REF!</formula>
    </cfRule>
  </conditionalFormatting>
  <conditionalFormatting sqref="S55">
    <cfRule type="expression" dxfId="4729" priority="359">
      <formula>S55&gt;U55+#REF!</formula>
    </cfRule>
    <cfRule type="expression" dxfId="4728" priority="360">
      <formula>S55&lt;U55-#REF!</formula>
    </cfRule>
  </conditionalFormatting>
  <conditionalFormatting sqref="S56">
    <cfRule type="expression" dxfId="4727" priority="357">
      <formula>S56&gt;U56+#REF!</formula>
    </cfRule>
    <cfRule type="expression" dxfId="4726" priority="358">
      <formula>S56&lt;U56-#REF!</formula>
    </cfRule>
  </conditionalFormatting>
  <conditionalFormatting sqref="S57">
    <cfRule type="expression" dxfId="4725" priority="355">
      <formula>S57&gt;U57+#REF!</formula>
    </cfRule>
    <cfRule type="expression" dxfId="4724" priority="356">
      <formula>S57&lt;U57-#REF!</formula>
    </cfRule>
  </conditionalFormatting>
  <conditionalFormatting sqref="S58">
    <cfRule type="expression" dxfId="4723" priority="353">
      <formula>S58&gt;U58+#REF!</formula>
    </cfRule>
    <cfRule type="expression" dxfId="4722" priority="354">
      <formula>S58&lt;U58-#REF!</formula>
    </cfRule>
  </conditionalFormatting>
  <conditionalFormatting sqref="S59:S60">
    <cfRule type="expression" dxfId="4721" priority="351">
      <formula>S59&gt;U59+#REF!</formula>
    </cfRule>
    <cfRule type="expression" dxfId="4720" priority="352">
      <formula>S59&lt;U59-#REF!</formula>
    </cfRule>
  </conditionalFormatting>
  <conditionalFormatting sqref="S61">
    <cfRule type="expression" dxfId="4719" priority="349">
      <formula>S61&gt;U61+#REF!</formula>
    </cfRule>
    <cfRule type="expression" dxfId="4718" priority="350">
      <formula>S61&lt;U61-#REF!</formula>
    </cfRule>
  </conditionalFormatting>
  <conditionalFormatting sqref="S64">
    <cfRule type="expression" dxfId="4717" priority="347">
      <formula>S64&lt;U64*#REF!</formula>
    </cfRule>
    <cfRule type="expression" dxfId="4716" priority="348">
      <formula>S64&gt;U64*#REF!</formula>
    </cfRule>
  </conditionalFormatting>
  <conditionalFormatting sqref="S65">
    <cfRule type="expression" dxfId="4715" priority="345">
      <formula>S65&lt;U65*#REF!</formula>
    </cfRule>
    <cfRule type="expression" dxfId="4714" priority="346">
      <formula>S65&gt;U65*#REF!</formula>
    </cfRule>
  </conditionalFormatting>
  <conditionalFormatting sqref="S66">
    <cfRule type="expression" dxfId="4713" priority="341">
      <formula>S66&gt;U66+#REF!</formula>
    </cfRule>
    <cfRule type="expression" dxfId="4712" priority="342">
      <formula>S66&lt;U66-#REF!</formula>
    </cfRule>
  </conditionalFormatting>
  <conditionalFormatting sqref="S67">
    <cfRule type="expression" dxfId="4711" priority="339">
      <formula>S67&gt;U67+#REF!</formula>
    </cfRule>
    <cfRule type="expression" dxfId="4710" priority="340">
      <formula>S67&lt;U67-#REF!</formula>
    </cfRule>
  </conditionalFormatting>
  <conditionalFormatting sqref="S68">
    <cfRule type="expression" dxfId="4709" priority="337">
      <formula>S68&gt;U68+#REF!</formula>
    </cfRule>
    <cfRule type="expression" dxfId="4708" priority="338">
      <formula>S68&lt;U68-#REF!</formula>
    </cfRule>
  </conditionalFormatting>
  <conditionalFormatting sqref="S69">
    <cfRule type="expression" dxfId="4707" priority="335">
      <formula>S69&gt;U69+#REF!</formula>
    </cfRule>
    <cfRule type="expression" dxfId="4706" priority="336">
      <formula>S69&lt;U69-#REF!</formula>
    </cfRule>
  </conditionalFormatting>
  <conditionalFormatting sqref="S70">
    <cfRule type="expression" dxfId="4705" priority="333">
      <formula>S70&gt;U70+#REF!</formula>
    </cfRule>
    <cfRule type="expression" dxfId="4704" priority="334">
      <formula>S70&lt;U70-#REF!</formula>
    </cfRule>
  </conditionalFormatting>
  <conditionalFormatting sqref="S71">
    <cfRule type="expression" dxfId="4703" priority="331">
      <formula>S71&gt;U71+#REF!</formula>
    </cfRule>
    <cfRule type="expression" dxfId="4702" priority="332">
      <formula>S71&lt;U71-#REF!</formula>
    </cfRule>
  </conditionalFormatting>
  <conditionalFormatting sqref="S72">
    <cfRule type="expression" dxfId="4701" priority="329">
      <formula>S72&gt;U72+#REF!</formula>
    </cfRule>
    <cfRule type="expression" dxfId="4700" priority="330">
      <formula>S72&lt;U72-#REF!</formula>
    </cfRule>
  </conditionalFormatting>
  <conditionalFormatting sqref="S73:S74">
    <cfRule type="expression" dxfId="4699" priority="327">
      <formula>S73&gt;U73+#REF!</formula>
    </cfRule>
    <cfRule type="expression" dxfId="4698" priority="328">
      <formula>S73&lt;U73-#REF!</formula>
    </cfRule>
  </conditionalFormatting>
  <conditionalFormatting sqref="S75">
    <cfRule type="expression" dxfId="4697" priority="325">
      <formula>S75&gt;U75+#REF!</formula>
    </cfRule>
    <cfRule type="expression" dxfId="4696" priority="326">
      <formula>S75&lt;U75-#REF!</formula>
    </cfRule>
  </conditionalFormatting>
  <conditionalFormatting sqref="S78">
    <cfRule type="expression" dxfId="4695" priority="323">
      <formula>S78&lt;U78*#REF!</formula>
    </cfRule>
    <cfRule type="expression" dxfId="4694" priority="324">
      <formula>S78&gt;U78*#REF!</formula>
    </cfRule>
  </conditionalFormatting>
  <conditionalFormatting sqref="S79">
    <cfRule type="expression" dxfId="4693" priority="321">
      <formula>S79&lt;U79*#REF!</formula>
    </cfRule>
    <cfRule type="expression" dxfId="4692" priority="322">
      <formula>S79&gt;U79*#REF!</formula>
    </cfRule>
  </conditionalFormatting>
  <conditionalFormatting sqref="S202">
    <cfRule type="expression" dxfId="4691" priority="157">
      <formula>S202&lt;U202*#REF!</formula>
    </cfRule>
    <cfRule type="expression" dxfId="4690" priority="158">
      <formula>S202&gt;U202*#REF!</formula>
    </cfRule>
  </conditionalFormatting>
  <conditionalFormatting sqref="S80">
    <cfRule type="expression" dxfId="4689" priority="317">
      <formula>S80&gt;U80+#REF!</formula>
    </cfRule>
    <cfRule type="expression" dxfId="4688" priority="318">
      <formula>S80&lt;U80-#REF!</formula>
    </cfRule>
  </conditionalFormatting>
  <conditionalFormatting sqref="S81">
    <cfRule type="expression" dxfId="4687" priority="315">
      <formula>S81&gt;U81+#REF!</formula>
    </cfRule>
    <cfRule type="expression" dxfId="4686" priority="316">
      <formula>S81&lt;U81-#REF!</formula>
    </cfRule>
  </conditionalFormatting>
  <conditionalFormatting sqref="S82">
    <cfRule type="expression" dxfId="4685" priority="313">
      <formula>S82&gt;U82+#REF!</formula>
    </cfRule>
    <cfRule type="expression" dxfId="4684" priority="314">
      <formula>S82&lt;U82-#REF!</formula>
    </cfRule>
  </conditionalFormatting>
  <conditionalFormatting sqref="S83">
    <cfRule type="expression" dxfId="4683" priority="311">
      <formula>S83&gt;U83+#REF!</formula>
    </cfRule>
    <cfRule type="expression" dxfId="4682" priority="312">
      <formula>S83&lt;U83-#REF!</formula>
    </cfRule>
  </conditionalFormatting>
  <conditionalFormatting sqref="S84">
    <cfRule type="expression" dxfId="4681" priority="309">
      <formula>S84&gt;U84+#REF!</formula>
    </cfRule>
    <cfRule type="expression" dxfId="4680" priority="310">
      <formula>S84&lt;U84-#REF!</formula>
    </cfRule>
  </conditionalFormatting>
  <conditionalFormatting sqref="S85">
    <cfRule type="expression" dxfId="4679" priority="307">
      <formula>S85&gt;U85+#REF!</formula>
    </cfRule>
    <cfRule type="expression" dxfId="4678" priority="308">
      <formula>S85&lt;U85-#REF!</formula>
    </cfRule>
  </conditionalFormatting>
  <conditionalFormatting sqref="S86">
    <cfRule type="expression" dxfId="4677" priority="305">
      <formula>S86&gt;U86+#REF!</formula>
    </cfRule>
    <cfRule type="expression" dxfId="4676" priority="306">
      <formula>S86&lt;U86-#REF!</formula>
    </cfRule>
  </conditionalFormatting>
  <conditionalFormatting sqref="S87:S88">
    <cfRule type="expression" dxfId="4675" priority="303">
      <formula>S87&gt;U87+#REF!</formula>
    </cfRule>
    <cfRule type="expression" dxfId="4674" priority="304">
      <formula>S87&lt;U87-#REF!</formula>
    </cfRule>
  </conditionalFormatting>
  <conditionalFormatting sqref="S89">
    <cfRule type="expression" dxfId="4673" priority="301">
      <formula>S89&gt;U89+#REF!</formula>
    </cfRule>
    <cfRule type="expression" dxfId="4672" priority="302">
      <formula>S89&lt;U89-#REF!</formula>
    </cfRule>
  </conditionalFormatting>
  <conditionalFormatting sqref="S106">
    <cfRule type="expression" dxfId="4671" priority="275">
      <formula>S106&lt;U106*#REF!</formula>
    </cfRule>
    <cfRule type="expression" dxfId="4670" priority="276">
      <formula>S106&gt;U106*#REF!</formula>
    </cfRule>
  </conditionalFormatting>
  <conditionalFormatting sqref="S107">
    <cfRule type="expression" dxfId="4669" priority="273">
      <formula>S107&lt;U107*#REF!</formula>
    </cfRule>
    <cfRule type="expression" dxfId="4668" priority="274">
      <formula>S107&gt;U107*#REF!</formula>
    </cfRule>
  </conditionalFormatting>
  <conditionalFormatting sqref="S216">
    <cfRule type="expression" dxfId="4667" priority="109">
      <formula>S216&lt;U216*#REF!</formula>
    </cfRule>
    <cfRule type="expression" dxfId="4666" priority="110">
      <formula>S216&gt;U216*#REF!</formula>
    </cfRule>
  </conditionalFormatting>
  <conditionalFormatting sqref="S111">
    <cfRule type="expression" dxfId="4665" priority="269">
      <formula>S111&gt;U111+#REF!</formula>
    </cfRule>
    <cfRule type="expression" dxfId="4664" priority="270">
      <formula>S111&lt;U111-#REF!</formula>
    </cfRule>
  </conditionalFormatting>
  <conditionalFormatting sqref="S112">
    <cfRule type="expression" dxfId="4663" priority="267">
      <formula>S112&gt;U112+#REF!</formula>
    </cfRule>
    <cfRule type="expression" dxfId="4662" priority="268">
      <formula>S112&lt;U112-#REF!</formula>
    </cfRule>
  </conditionalFormatting>
  <conditionalFormatting sqref="S113">
    <cfRule type="expression" dxfId="4661" priority="265">
      <formula>S113&gt;U113+#REF!</formula>
    </cfRule>
    <cfRule type="expression" dxfId="4660" priority="266">
      <formula>S113&lt;U113-#REF!</formula>
    </cfRule>
  </conditionalFormatting>
  <conditionalFormatting sqref="S114">
    <cfRule type="expression" dxfId="4659" priority="263">
      <formula>S114&gt;U114+#REF!</formula>
    </cfRule>
    <cfRule type="expression" dxfId="4658" priority="264">
      <formula>S114&lt;U114-#REF!</formula>
    </cfRule>
  </conditionalFormatting>
  <conditionalFormatting sqref="S115:S116">
    <cfRule type="expression" dxfId="4657" priority="261">
      <formula>S115&gt;U115+#REF!</formula>
    </cfRule>
    <cfRule type="expression" dxfId="4656" priority="262">
      <formula>S115&lt;U115-#REF!</formula>
    </cfRule>
  </conditionalFormatting>
  <conditionalFormatting sqref="S117">
    <cfRule type="expression" dxfId="4655" priority="259">
      <formula>S117&gt;U117+#REF!</formula>
    </cfRule>
    <cfRule type="expression" dxfId="4654" priority="260">
      <formula>S117&lt;U117-#REF!</formula>
    </cfRule>
  </conditionalFormatting>
  <conditionalFormatting sqref="S120">
    <cfRule type="expression" dxfId="4653" priority="257">
      <formula>S120&lt;U120*#REF!</formula>
    </cfRule>
    <cfRule type="expression" dxfId="4652" priority="258">
      <formula>S120&gt;U120*#REF!</formula>
    </cfRule>
  </conditionalFormatting>
  <conditionalFormatting sqref="S121">
    <cfRule type="expression" dxfId="4651" priority="255">
      <formula>S121&lt;U121*#REF!</formula>
    </cfRule>
    <cfRule type="expression" dxfId="4650" priority="256">
      <formula>S121&gt;U121*#REF!</formula>
    </cfRule>
  </conditionalFormatting>
  <conditionalFormatting sqref="S122">
    <cfRule type="expression" dxfId="4649" priority="251">
      <formula>S122&gt;U122+#REF!</formula>
    </cfRule>
    <cfRule type="expression" dxfId="4648" priority="252">
      <formula>S122&lt;U122-#REF!</formula>
    </cfRule>
  </conditionalFormatting>
  <conditionalFormatting sqref="S123">
    <cfRule type="expression" dxfId="4647" priority="249">
      <formula>S123&gt;U123+#REF!</formula>
    </cfRule>
    <cfRule type="expression" dxfId="4646" priority="250">
      <formula>S123&lt;U123-#REF!</formula>
    </cfRule>
  </conditionalFormatting>
  <conditionalFormatting sqref="S124">
    <cfRule type="expression" dxfId="4645" priority="247">
      <formula>S124&gt;U124+#REF!</formula>
    </cfRule>
    <cfRule type="expression" dxfId="4644" priority="248">
      <formula>S124&lt;U124-#REF!</formula>
    </cfRule>
  </conditionalFormatting>
  <conditionalFormatting sqref="S125">
    <cfRule type="expression" dxfId="4643" priority="245">
      <formula>S125&gt;U125+#REF!</formula>
    </cfRule>
    <cfRule type="expression" dxfId="4642" priority="246">
      <formula>S125&lt;U125-#REF!</formula>
    </cfRule>
  </conditionalFormatting>
  <conditionalFormatting sqref="S126">
    <cfRule type="expression" dxfId="4641" priority="243">
      <formula>S126&gt;U126+#REF!</formula>
    </cfRule>
    <cfRule type="expression" dxfId="4640" priority="244">
      <formula>S126&lt;U126-#REF!</formula>
    </cfRule>
  </conditionalFormatting>
  <conditionalFormatting sqref="S127">
    <cfRule type="expression" dxfId="4639" priority="241">
      <formula>S127&gt;U127+#REF!</formula>
    </cfRule>
    <cfRule type="expression" dxfId="4638" priority="242">
      <formula>S127&lt;U127-#REF!</formula>
    </cfRule>
  </conditionalFormatting>
  <conditionalFormatting sqref="S128">
    <cfRule type="expression" dxfId="4637" priority="239">
      <formula>S128&gt;U128+#REF!</formula>
    </cfRule>
    <cfRule type="expression" dxfId="4636" priority="240">
      <formula>S128&lt;U128-#REF!</formula>
    </cfRule>
  </conditionalFormatting>
  <conditionalFormatting sqref="S129:S130">
    <cfRule type="expression" dxfId="4635" priority="237">
      <formula>S129&gt;U129+#REF!</formula>
    </cfRule>
    <cfRule type="expression" dxfId="4634" priority="238">
      <formula>S129&lt;U129-#REF!</formula>
    </cfRule>
  </conditionalFormatting>
  <conditionalFormatting sqref="S131">
    <cfRule type="expression" dxfId="4633" priority="235">
      <formula>S131&gt;U131+#REF!</formula>
    </cfRule>
    <cfRule type="expression" dxfId="4632" priority="236">
      <formula>S131&lt;U131-#REF!</formula>
    </cfRule>
  </conditionalFormatting>
  <conditionalFormatting sqref="S148">
    <cfRule type="expression" dxfId="4631" priority="209">
      <formula>S148&lt;U148*#REF!</formula>
    </cfRule>
    <cfRule type="expression" dxfId="4630" priority="210">
      <formula>S148&gt;U148*#REF!</formula>
    </cfRule>
  </conditionalFormatting>
  <conditionalFormatting sqref="S149">
    <cfRule type="expression" dxfId="4629" priority="207">
      <formula>S149&lt;U149*#REF!</formula>
    </cfRule>
    <cfRule type="expression" dxfId="4628" priority="208">
      <formula>S149&gt;U149*#REF!</formula>
    </cfRule>
  </conditionalFormatting>
  <conditionalFormatting sqref="S150">
    <cfRule type="expression" dxfId="4627" priority="203">
      <formula>S150&gt;U150+#REF!</formula>
    </cfRule>
    <cfRule type="expression" dxfId="4626" priority="204">
      <formula>S150&lt;U150-#REF!</formula>
    </cfRule>
  </conditionalFormatting>
  <conditionalFormatting sqref="S151">
    <cfRule type="expression" dxfId="4625" priority="201">
      <formula>S151&gt;U151+#REF!</formula>
    </cfRule>
    <cfRule type="expression" dxfId="4624" priority="202">
      <formula>S151&lt;U151-#REF!</formula>
    </cfRule>
  </conditionalFormatting>
  <conditionalFormatting sqref="S152">
    <cfRule type="expression" dxfId="4623" priority="199">
      <formula>S152&gt;U152+#REF!</formula>
    </cfRule>
    <cfRule type="expression" dxfId="4622" priority="200">
      <formula>S152&lt;U152-#REF!</formula>
    </cfRule>
  </conditionalFormatting>
  <conditionalFormatting sqref="S153">
    <cfRule type="expression" dxfId="4621" priority="197">
      <formula>S153&gt;U153+#REF!</formula>
    </cfRule>
    <cfRule type="expression" dxfId="4620" priority="198">
      <formula>S153&lt;U153-#REF!</formula>
    </cfRule>
  </conditionalFormatting>
  <conditionalFormatting sqref="S154">
    <cfRule type="expression" dxfId="4619" priority="195">
      <formula>S154&gt;U154+#REF!</formula>
    </cfRule>
    <cfRule type="expression" dxfId="4618" priority="196">
      <formula>S154&lt;U154-#REF!</formula>
    </cfRule>
  </conditionalFormatting>
  <conditionalFormatting sqref="S155">
    <cfRule type="expression" dxfId="4617" priority="193">
      <formula>S155&gt;U155+#REF!</formula>
    </cfRule>
    <cfRule type="expression" dxfId="4616" priority="194">
      <formula>S155&lt;U155-#REF!</formula>
    </cfRule>
  </conditionalFormatting>
  <conditionalFormatting sqref="S156">
    <cfRule type="expression" dxfId="4615" priority="191">
      <formula>S156&gt;U156+#REF!</formula>
    </cfRule>
    <cfRule type="expression" dxfId="4614" priority="192">
      <formula>S156&lt;U156-#REF!</formula>
    </cfRule>
  </conditionalFormatting>
  <conditionalFormatting sqref="S157:S158">
    <cfRule type="expression" dxfId="4613" priority="189">
      <formula>S157&gt;U157+#REF!</formula>
    </cfRule>
    <cfRule type="expression" dxfId="4612" priority="190">
      <formula>S157&lt;U157-#REF!</formula>
    </cfRule>
  </conditionalFormatting>
  <conditionalFormatting sqref="S159">
    <cfRule type="expression" dxfId="4611" priority="187">
      <formula>S159&gt;U159+#REF!</formula>
    </cfRule>
    <cfRule type="expression" dxfId="4610" priority="188">
      <formula>S159&lt;U159-#REF!</formula>
    </cfRule>
  </conditionalFormatting>
  <conditionalFormatting sqref="S162">
    <cfRule type="expression" dxfId="4609" priority="185">
      <formula>S162&lt;U162*#REF!</formula>
    </cfRule>
    <cfRule type="expression" dxfId="4608" priority="186">
      <formula>S162&gt;U162*#REF!</formula>
    </cfRule>
  </conditionalFormatting>
  <conditionalFormatting sqref="S163">
    <cfRule type="expression" dxfId="4607" priority="183">
      <formula>S163&lt;U163*#REF!</formula>
    </cfRule>
    <cfRule type="expression" dxfId="4606" priority="184">
      <formula>S163&gt;U163*#REF!</formula>
    </cfRule>
  </conditionalFormatting>
  <conditionalFormatting sqref="S164">
    <cfRule type="expression" dxfId="4605" priority="179">
      <formula>S164&gt;U164+#REF!</formula>
    </cfRule>
    <cfRule type="expression" dxfId="4604" priority="180">
      <formula>S164&lt;U164-#REF!</formula>
    </cfRule>
  </conditionalFormatting>
  <conditionalFormatting sqref="S165">
    <cfRule type="expression" dxfId="4603" priority="177">
      <formula>S165&gt;U165+#REF!</formula>
    </cfRule>
    <cfRule type="expression" dxfId="4602" priority="178">
      <formula>S165&lt;U165-#REF!</formula>
    </cfRule>
  </conditionalFormatting>
  <conditionalFormatting sqref="S166">
    <cfRule type="expression" dxfId="4601" priority="175">
      <formula>S166&gt;U166+#REF!</formula>
    </cfRule>
    <cfRule type="expression" dxfId="4600" priority="176">
      <formula>S166&lt;U166-#REF!</formula>
    </cfRule>
  </conditionalFormatting>
  <conditionalFormatting sqref="S167">
    <cfRule type="expression" dxfId="4599" priority="173">
      <formula>S167&gt;U167+#REF!</formula>
    </cfRule>
    <cfRule type="expression" dxfId="4598" priority="174">
      <formula>S167&lt;U167-#REF!</formula>
    </cfRule>
  </conditionalFormatting>
  <conditionalFormatting sqref="S168">
    <cfRule type="expression" dxfId="4597" priority="171">
      <formula>S168&gt;U168+#REF!</formula>
    </cfRule>
    <cfRule type="expression" dxfId="4596" priority="172">
      <formula>S168&lt;U168-#REF!</formula>
    </cfRule>
  </conditionalFormatting>
  <conditionalFormatting sqref="S169">
    <cfRule type="expression" dxfId="4595" priority="169">
      <formula>S169&gt;U169+#REF!</formula>
    </cfRule>
    <cfRule type="expression" dxfId="4594" priority="170">
      <formula>S169&lt;U169-#REF!</formula>
    </cfRule>
  </conditionalFormatting>
  <conditionalFormatting sqref="S170">
    <cfRule type="expression" dxfId="4593" priority="167">
      <formula>S170&gt;U170+#REF!</formula>
    </cfRule>
    <cfRule type="expression" dxfId="4592" priority="168">
      <formula>S170&lt;U170-#REF!</formula>
    </cfRule>
  </conditionalFormatting>
  <conditionalFormatting sqref="S171:S172">
    <cfRule type="expression" dxfId="4591" priority="165">
      <formula>S171&gt;U171+#REF!</formula>
    </cfRule>
    <cfRule type="expression" dxfId="4590" priority="166">
      <formula>S171&lt;U171-#REF!</formula>
    </cfRule>
  </conditionalFormatting>
  <conditionalFormatting sqref="S173">
    <cfRule type="expression" dxfId="4589" priority="163">
      <formula>S173&gt;U173+#REF!</formula>
    </cfRule>
    <cfRule type="expression" dxfId="4588" priority="164">
      <formula>S173&lt;U173-#REF!</formula>
    </cfRule>
  </conditionalFormatting>
  <conditionalFormatting sqref="S190">
    <cfRule type="expression" dxfId="4587" priority="161">
      <formula>S190&lt;U190*#REF!</formula>
    </cfRule>
    <cfRule type="expression" dxfId="4586" priority="162">
      <formula>S190&gt;U190*#REF!</formula>
    </cfRule>
  </conditionalFormatting>
  <conditionalFormatting sqref="S191">
    <cfRule type="expression" dxfId="4585" priority="159">
      <formula>S191&lt;U191*#REF!</formula>
    </cfRule>
    <cfRule type="expression" dxfId="4584" priority="160">
      <formula>S191&gt;U191*#REF!</formula>
    </cfRule>
  </conditionalFormatting>
  <conditionalFormatting sqref="S192">
    <cfRule type="expression" dxfId="4583" priority="155">
      <formula>S192&gt;U192+#REF!</formula>
    </cfRule>
    <cfRule type="expression" dxfId="4582" priority="156">
      <formula>S192&lt;U192-#REF!</formula>
    </cfRule>
  </conditionalFormatting>
  <conditionalFormatting sqref="S193">
    <cfRule type="expression" dxfId="4581" priority="153">
      <formula>S193&gt;U193+#REF!</formula>
    </cfRule>
    <cfRule type="expression" dxfId="4580" priority="154">
      <formula>S193&lt;U193-#REF!</formula>
    </cfRule>
  </conditionalFormatting>
  <conditionalFormatting sqref="S194">
    <cfRule type="expression" dxfId="4579" priority="151">
      <formula>S194&gt;U194+#REF!</formula>
    </cfRule>
    <cfRule type="expression" dxfId="4578" priority="152">
      <formula>S194&lt;U194-#REF!</formula>
    </cfRule>
  </conditionalFormatting>
  <conditionalFormatting sqref="S195">
    <cfRule type="expression" dxfId="4577" priority="149">
      <formula>S195&gt;U195+#REF!</formula>
    </cfRule>
    <cfRule type="expression" dxfId="4576" priority="150">
      <formula>S195&lt;U195-#REF!</formula>
    </cfRule>
  </conditionalFormatting>
  <conditionalFormatting sqref="S196">
    <cfRule type="expression" dxfId="4575" priority="147">
      <formula>S196&gt;U196+#REF!</formula>
    </cfRule>
    <cfRule type="expression" dxfId="4574" priority="148">
      <formula>S196&lt;U196-#REF!</formula>
    </cfRule>
  </conditionalFormatting>
  <conditionalFormatting sqref="S197">
    <cfRule type="expression" dxfId="4573" priority="145">
      <formula>S197&gt;U197+#REF!</formula>
    </cfRule>
    <cfRule type="expression" dxfId="4572" priority="146">
      <formula>S197&lt;U197-#REF!</formula>
    </cfRule>
  </conditionalFormatting>
  <conditionalFormatting sqref="S198">
    <cfRule type="expression" dxfId="4571" priority="143">
      <formula>S198&gt;U198+#REF!</formula>
    </cfRule>
    <cfRule type="expression" dxfId="4570" priority="144">
      <formula>S198&lt;U198-#REF!</formula>
    </cfRule>
  </conditionalFormatting>
  <conditionalFormatting sqref="S199:S200">
    <cfRule type="expression" dxfId="4569" priority="141">
      <formula>S199&gt;U199+#REF!</formula>
    </cfRule>
    <cfRule type="expression" dxfId="4568" priority="142">
      <formula>S199&lt;U199-#REF!</formula>
    </cfRule>
  </conditionalFormatting>
  <conditionalFormatting sqref="S201">
    <cfRule type="expression" dxfId="4567" priority="139">
      <formula>S201&gt;U201+#REF!</formula>
    </cfRule>
    <cfRule type="expression" dxfId="4566" priority="140">
      <formula>S201&lt;U201-#REF!</formula>
    </cfRule>
  </conditionalFormatting>
  <conditionalFormatting sqref="S176">
    <cfRule type="expression" dxfId="4565" priority="137">
      <formula>S176&lt;U176*#REF!</formula>
    </cfRule>
    <cfRule type="expression" dxfId="4564" priority="138">
      <formula>S176&gt;U176*#REF!</formula>
    </cfRule>
  </conditionalFormatting>
  <conditionalFormatting sqref="S177">
    <cfRule type="expression" dxfId="4563" priority="135">
      <formula>S177&lt;U177*#REF!</formula>
    </cfRule>
    <cfRule type="expression" dxfId="4562" priority="136">
      <formula>S177&gt;U177*#REF!</formula>
    </cfRule>
  </conditionalFormatting>
  <conditionalFormatting sqref="S178">
    <cfRule type="expression" dxfId="4561" priority="131">
      <formula>S178&gt;U178+#REF!</formula>
    </cfRule>
    <cfRule type="expression" dxfId="4560" priority="132">
      <formula>S178&lt;U178-#REF!</formula>
    </cfRule>
  </conditionalFormatting>
  <conditionalFormatting sqref="S179">
    <cfRule type="expression" dxfId="4559" priority="129">
      <formula>S179&gt;U179+#REF!</formula>
    </cfRule>
    <cfRule type="expression" dxfId="4558" priority="130">
      <formula>S179&lt;U179-#REF!</formula>
    </cfRule>
  </conditionalFormatting>
  <conditionalFormatting sqref="S180">
    <cfRule type="expression" dxfId="4557" priority="127">
      <formula>S180&gt;U180+#REF!</formula>
    </cfRule>
    <cfRule type="expression" dxfId="4556" priority="128">
      <formula>S180&lt;U180-#REF!</formula>
    </cfRule>
  </conditionalFormatting>
  <conditionalFormatting sqref="S181">
    <cfRule type="expression" dxfId="4555" priority="125">
      <formula>S181&gt;U181+#REF!</formula>
    </cfRule>
    <cfRule type="expression" dxfId="4554" priority="126">
      <formula>S181&lt;U181-#REF!</formula>
    </cfRule>
  </conditionalFormatting>
  <conditionalFormatting sqref="S182">
    <cfRule type="expression" dxfId="4553" priority="123">
      <formula>S182&gt;U182+#REF!</formula>
    </cfRule>
    <cfRule type="expression" dxfId="4552" priority="124">
      <formula>S182&lt;U182-#REF!</formula>
    </cfRule>
  </conditionalFormatting>
  <conditionalFormatting sqref="S183">
    <cfRule type="expression" dxfId="4551" priority="121">
      <formula>S183&gt;U183+#REF!</formula>
    </cfRule>
    <cfRule type="expression" dxfId="4550" priority="122">
      <formula>S183&lt;U183-#REF!</formula>
    </cfRule>
  </conditionalFormatting>
  <conditionalFormatting sqref="S184">
    <cfRule type="expression" dxfId="4549" priority="119">
      <formula>S184&gt;U184+#REF!</formula>
    </cfRule>
    <cfRule type="expression" dxfId="4548" priority="120">
      <formula>S184&lt;U184-#REF!</formula>
    </cfRule>
  </conditionalFormatting>
  <conditionalFormatting sqref="S185:S186">
    <cfRule type="expression" dxfId="4547" priority="117">
      <formula>S185&gt;U185+#REF!</formula>
    </cfRule>
    <cfRule type="expression" dxfId="4546" priority="118">
      <formula>S185&lt;U185-#REF!</formula>
    </cfRule>
  </conditionalFormatting>
  <conditionalFormatting sqref="S187">
    <cfRule type="expression" dxfId="4545" priority="115">
      <formula>S187&gt;U187+#REF!</formula>
    </cfRule>
    <cfRule type="expression" dxfId="4544" priority="116">
      <formula>S187&lt;U187-#REF!</formula>
    </cfRule>
  </conditionalFormatting>
  <conditionalFormatting sqref="S230">
    <cfRule type="expression" dxfId="4543" priority="61">
      <formula>S230&lt;U230*#REF!</formula>
    </cfRule>
    <cfRule type="expression" dxfId="4542" priority="62">
      <formula>S230&gt;U230*#REF!</formula>
    </cfRule>
  </conditionalFormatting>
  <conditionalFormatting sqref="S258">
    <cfRule type="expression" dxfId="4541" priority="29">
      <formula>S258&lt;U258*#REF!</formula>
    </cfRule>
    <cfRule type="expression" dxfId="4540" priority="30">
      <formula>S258&gt;U258*#REF!</formula>
    </cfRule>
  </conditionalFormatting>
  <conditionalFormatting sqref="S108">
    <cfRule type="expression" dxfId="4539" priority="9">
      <formula>S108&gt;U108+#REF!</formula>
    </cfRule>
    <cfRule type="expression" dxfId="4538" priority="10">
      <formula>S108&lt;U108-#REF!</formula>
    </cfRule>
  </conditionalFormatting>
  <conditionalFormatting sqref="S109">
    <cfRule type="expression" dxfId="4537" priority="7">
      <formula>S109&gt;U109+#REF!</formula>
    </cfRule>
    <cfRule type="expression" dxfId="4536" priority="8">
      <formula>S109&lt;U109-#REF!</formula>
    </cfRule>
  </conditionalFormatting>
  <conditionalFormatting sqref="S110">
    <cfRule type="expression" dxfId="4535" priority="5">
      <formula>S110&gt;U110+#REF!</formula>
    </cfRule>
    <cfRule type="expression" dxfId="4534" priority="6">
      <formula>S110&lt;U110-#REF!</formula>
    </cfRule>
  </conditionalFormatting>
  <conditionalFormatting sqref="T67">
    <cfRule type="expression" dxfId="4533" priority="3">
      <formula>T67&gt;V67+#REF!</formula>
    </cfRule>
    <cfRule type="expression" dxfId="4532" priority="4">
      <formula>T67&lt;V67-#REF!</formula>
    </cfRule>
  </conditionalFormatting>
  <conditionalFormatting sqref="T227:T228">
    <cfRule type="expression" dxfId="4531" priority="1">
      <formula>T227&gt;V227+#REF!</formula>
    </cfRule>
    <cfRule type="expression" dxfId="4530" priority="2">
      <formula>T227&lt;V227-#REF!</formula>
    </cfRule>
  </conditionalFormatting>
  <conditionalFormatting sqref="L220 U220">
    <cfRule type="expression" dxfId="4529" priority="1817">
      <formula>L220&gt;#REF!+#REF!</formula>
    </cfRule>
    <cfRule type="expression" dxfId="4528" priority="1818">
      <formula>L220&lt;#REF!-#REF!</formula>
    </cfRule>
  </conditionalFormatting>
  <conditionalFormatting sqref="L221 U221">
    <cfRule type="expression" dxfId="4527" priority="1819">
      <formula>L221&gt;#REF!+#REF!</formula>
    </cfRule>
    <cfRule type="expression" dxfId="4526" priority="1820">
      <formula>L221&lt;#REF!-#REF!</formula>
    </cfRule>
  </conditionalFormatting>
  <conditionalFormatting sqref="L222 U222">
    <cfRule type="expression" dxfId="4525" priority="1821">
      <formula>L222&gt;#REF!+#REF!</formula>
    </cfRule>
    <cfRule type="expression" dxfId="4524" priority="1822">
      <formula>L222&lt;#REF!-#REF!</formula>
    </cfRule>
  </conditionalFormatting>
  <conditionalFormatting sqref="L223 U223">
    <cfRule type="expression" dxfId="4523" priority="1823">
      <formula>L223&gt;#REF!+#REF!</formula>
    </cfRule>
    <cfRule type="expression" dxfId="4522" priority="1824">
      <formula>L223&lt;#REF!-#REF!</formula>
    </cfRule>
  </conditionalFormatting>
  <conditionalFormatting sqref="L224 U224">
    <cfRule type="expression" dxfId="4521" priority="1825">
      <formula>L224&gt;#REF!+#REF!</formula>
    </cfRule>
    <cfRule type="expression" dxfId="4520" priority="1826">
      <formula>L224&lt;#REF!-#REF!</formula>
    </cfRule>
  </conditionalFormatting>
  <conditionalFormatting sqref="L225 U225">
    <cfRule type="expression" dxfId="4519" priority="1827">
      <formula>L225&gt;#REF!+#REF!</formula>
    </cfRule>
    <cfRule type="expression" dxfId="4518" priority="1828">
      <formula>L225&lt;#REF!-#REF!</formula>
    </cfRule>
  </conditionalFormatting>
  <conditionalFormatting sqref="L226 U226">
    <cfRule type="expression" dxfId="4517" priority="1829">
      <formula>L226&gt;#REF!+#REF!</formula>
    </cfRule>
    <cfRule type="expression" dxfId="4516" priority="1830">
      <formula>L226&lt;#REF!-#REF!</formula>
    </cfRule>
  </conditionalFormatting>
  <conditionalFormatting sqref="L229 U229">
    <cfRule type="expression" dxfId="4515" priority="1831">
      <formula>L229&gt;#REF!+#REF!</formula>
    </cfRule>
    <cfRule type="expression" dxfId="4514" priority="1832">
      <formula>L229&lt;#REF!-#REF!</formula>
    </cfRule>
  </conditionalFormatting>
  <conditionalFormatting sqref="L227:L228 U227:U228">
    <cfRule type="expression" dxfId="4513" priority="1833">
      <formula>L227&gt;#REF!+#REF!</formula>
    </cfRule>
    <cfRule type="expression" dxfId="4512" priority="1834">
      <formula>L227&lt;#REF!-#REF!</formula>
    </cfRule>
  </conditionalFormatting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ustomProperties>
    <customPr name="_pios_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0596-053E-4A21-BD71-12A927F95CFC}">
  <sheetPr codeName="Sheet11"/>
  <dimension ref="A1:T272"/>
  <sheetViews>
    <sheetView zoomScale="70" zoomScaleNormal="70" zoomScaleSheetLayoutView="55" workbookViewId="0">
      <pane xSplit="5" ySplit="6" topLeftCell="J176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2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0.54296875" style="3" customWidth="1" collapsed="1"/>
    <col min="11" max="12" width="10.54296875" style="3" customWidth="1"/>
    <col min="13" max="13" width="0.54296875" style="3" customWidth="1"/>
    <col min="14" max="16" width="10.54296875" style="3" hidden="1" customWidth="1" outlineLevel="1"/>
    <col min="17" max="17" width="0.54296875" style="3" hidden="1" customWidth="1" outlineLevel="1"/>
    <col min="18" max="18" width="12.7265625" style="3" customWidth="1" collapsed="1"/>
    <col min="19" max="20" width="10.54296875" style="3" customWidth="1"/>
    <col min="21" max="16384" width="9.26953125" style="1"/>
  </cols>
  <sheetData>
    <row r="1" spans="2:20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s="10" customFormat="1" ht="40.15" customHeight="1" thickBot="1" x14ac:dyDescent="0.3">
      <c r="B3" s="206" t="e">
        <f>#REF!</f>
        <v>#REF!</v>
      </c>
      <c r="C3" s="206"/>
      <c r="D3" s="206"/>
      <c r="F3" s="207" t="s">
        <v>110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</row>
    <row r="4" spans="2:20" s="11" customFormat="1" ht="23" x14ac:dyDescent="0.25">
      <c r="E4" s="12"/>
      <c r="F4" s="205" t="s">
        <v>5</v>
      </c>
      <c r="G4" s="205"/>
      <c r="H4" s="205"/>
      <c r="I4" s="12"/>
      <c r="J4" s="30" t="s">
        <v>6</v>
      </c>
      <c r="K4" s="30"/>
      <c r="L4" s="30"/>
      <c r="M4" s="12"/>
      <c r="N4" s="205" t="s">
        <v>5</v>
      </c>
      <c r="O4" s="205"/>
      <c r="P4" s="205"/>
      <c r="Q4" s="12"/>
      <c r="R4" s="30" t="s">
        <v>13</v>
      </c>
      <c r="S4" s="30"/>
      <c r="T4" s="30"/>
    </row>
    <row r="6" spans="2:20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N6" s="5" t="s">
        <v>15</v>
      </c>
      <c r="O6" s="5" t="s">
        <v>16</v>
      </c>
      <c r="P6" s="5" t="s">
        <v>17</v>
      </c>
      <c r="R6" s="5" t="s">
        <v>15</v>
      </c>
      <c r="S6" s="5" t="s">
        <v>16</v>
      </c>
      <c r="T6" s="5" t="s">
        <v>17</v>
      </c>
    </row>
    <row r="7" spans="2:20" ht="16.5" customHeight="1" x14ac:dyDescent="0.25"/>
    <row r="8" spans="2:20" ht="19.5" customHeight="1" x14ac:dyDescent="0.25">
      <c r="B8" s="202" t="s">
        <v>18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/>
      <c r="K8" s="19"/>
      <c r="L8" s="19"/>
      <c r="M8" s="6"/>
      <c r="N8" s="19"/>
      <c r="O8" s="19"/>
      <c r="P8" s="19"/>
      <c r="Q8" s="6"/>
      <c r="R8" s="19"/>
      <c r="S8" s="19"/>
      <c r="T8" s="19"/>
    </row>
    <row r="9" spans="2:20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/>
      <c r="K9" s="19"/>
      <c r="L9" s="19"/>
      <c r="M9" s="6"/>
      <c r="N9" s="19"/>
      <c r="O9" s="19"/>
      <c r="P9" s="19"/>
      <c r="Q9" s="6"/>
      <c r="R9" s="19"/>
      <c r="S9" s="19"/>
      <c r="T9" s="19"/>
    </row>
    <row r="10" spans="2:20" ht="19.5" customHeight="1" x14ac:dyDescent="0.25">
      <c r="B10" s="202"/>
      <c r="C10" s="9"/>
      <c r="D10" s="14" t="s">
        <v>82</v>
      </c>
      <c r="E10" s="6"/>
      <c r="F10" s="20" t="str">
        <f>IFERROR((F24*F23+F38*F37)/F9,"n/a")</f>
        <v>n/a</v>
      </c>
      <c r="G10" s="20" t="str">
        <f>IFERROR((G24*G23+G38*G37)/G9,"n/a")</f>
        <v>n/a</v>
      </c>
      <c r="H10" s="20" t="str">
        <f>IFERROR((H24*H23+H38*H37)/H9,"n/a")</f>
        <v>n/a</v>
      </c>
      <c r="I10" s="6"/>
      <c r="J10" s="20"/>
      <c r="K10" s="20"/>
      <c r="L10" s="20"/>
      <c r="M10" s="6"/>
      <c r="N10" s="20"/>
      <c r="O10" s="20"/>
      <c r="P10" s="20"/>
      <c r="Q10" s="6"/>
      <c r="R10" s="20"/>
      <c r="S10" s="20"/>
      <c r="T10" s="20"/>
    </row>
    <row r="11" spans="2:20" ht="19.5" customHeight="1" x14ac:dyDescent="0.25">
      <c r="B11" s="202"/>
      <c r="C11" s="9"/>
      <c r="D11" s="14" t="s">
        <v>83</v>
      </c>
      <c r="E11" s="6"/>
      <c r="F11" s="20">
        <f>IFERROR((F25*F23+F39*F37)/F9,"n/a")</f>
        <v>0</v>
      </c>
      <c r="G11" s="20">
        <f>IFERROR((G25*G23+G39*G37)/G9,"n/a")</f>
        <v>0</v>
      </c>
      <c r="H11" s="20">
        <f>IFERROR((H25*H23+H39*H37)/H9,"n/a")</f>
        <v>0</v>
      </c>
      <c r="I11" s="6"/>
      <c r="J11" s="20"/>
      <c r="K11" s="20"/>
      <c r="L11" s="20"/>
      <c r="M11" s="6"/>
      <c r="N11" s="20"/>
      <c r="O11" s="20"/>
      <c r="P11" s="20"/>
      <c r="Q11" s="6"/>
      <c r="R11" s="20"/>
      <c r="S11" s="20"/>
      <c r="T11" s="20"/>
    </row>
    <row r="12" spans="2:20" ht="19.5" customHeight="1" x14ac:dyDescent="0.25">
      <c r="B12" s="202"/>
      <c r="C12" s="9"/>
      <c r="D12" s="14" t="s">
        <v>84</v>
      </c>
      <c r="E12" s="6"/>
      <c r="F12" s="20" t="str">
        <f>IFERROR((F26*F23+F40*F37)/F9,"n/a")</f>
        <v>n/a</v>
      </c>
      <c r="G12" s="20" t="str">
        <f>IFERROR((G26*G23+G40*G37)/G9,"n/a")</f>
        <v>n/a</v>
      </c>
      <c r="H12" s="20" t="str">
        <f>IFERROR((H26*H23+H40*H37)/H9,"n/a")</f>
        <v>n/a</v>
      </c>
      <c r="I12" s="6"/>
      <c r="J12" s="20"/>
      <c r="K12" s="20"/>
      <c r="L12" s="20"/>
      <c r="M12" s="6"/>
      <c r="N12" s="20"/>
      <c r="O12" s="20"/>
      <c r="P12" s="20"/>
      <c r="Q12" s="6"/>
      <c r="R12" s="20"/>
      <c r="S12" s="20"/>
      <c r="T12" s="20"/>
    </row>
    <row r="13" spans="2:20" ht="19.5" hidden="1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/>
      <c r="K13" s="20"/>
      <c r="L13" s="20"/>
      <c r="M13" s="7"/>
      <c r="N13" s="20"/>
      <c r="O13" s="20"/>
      <c r="P13" s="20"/>
      <c r="Q13" s="7"/>
      <c r="R13" s="20"/>
      <c r="S13" s="20"/>
      <c r="T13" s="20"/>
    </row>
    <row r="14" spans="2:20" ht="20.149999999999999" customHeight="1" collapsed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/>
      <c r="K14" s="20"/>
      <c r="L14" s="20"/>
      <c r="M14" s="7"/>
      <c r="N14" s="20"/>
      <c r="O14" s="20"/>
      <c r="P14" s="20"/>
      <c r="Q14" s="7"/>
      <c r="R14" s="20"/>
      <c r="S14" s="20"/>
      <c r="T14" s="20"/>
    </row>
    <row r="15" spans="2:20" ht="20.149999999999999" hidden="1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/>
      <c r="K15" s="20"/>
      <c r="L15" s="20"/>
      <c r="M15" s="7"/>
      <c r="N15" s="20"/>
      <c r="O15" s="20"/>
      <c r="P15" s="20"/>
      <c r="Q15" s="7"/>
      <c r="R15" s="20"/>
      <c r="S15" s="20"/>
      <c r="T15" s="20"/>
    </row>
    <row r="16" spans="2:20" ht="20.149999999999999" hidden="1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/>
      <c r="K16" s="20"/>
      <c r="L16" s="20"/>
      <c r="M16" s="7"/>
      <c r="N16" s="20"/>
      <c r="O16" s="20"/>
      <c r="P16" s="20"/>
      <c r="Q16" s="7"/>
      <c r="R16" s="20"/>
      <c r="S16" s="20"/>
      <c r="T16" s="20"/>
    </row>
    <row r="17" spans="2:20" ht="20.149999999999999" customHeight="1" collapsed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/>
      <c r="K17" s="20"/>
      <c r="L17" s="20"/>
      <c r="M17" s="7"/>
      <c r="N17" s="20"/>
      <c r="O17" s="20"/>
      <c r="P17" s="20"/>
      <c r="Q17" s="7"/>
      <c r="R17" s="20"/>
      <c r="S17" s="20"/>
      <c r="T17" s="20"/>
    </row>
    <row r="18" spans="2:20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/>
      <c r="K18" s="20"/>
      <c r="L18" s="20"/>
      <c r="M18" s="7"/>
      <c r="N18" s="20"/>
      <c r="O18" s="20"/>
      <c r="P18" s="20"/>
      <c r="Q18" s="7"/>
      <c r="R18" s="20"/>
      <c r="S18" s="20"/>
      <c r="T18" s="20"/>
    </row>
    <row r="19" spans="2:20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/>
      <c r="K19" s="20"/>
      <c r="L19" s="20"/>
      <c r="M19" s="8"/>
      <c r="N19" s="20"/>
      <c r="O19" s="20"/>
      <c r="P19" s="20"/>
      <c r="Q19" s="8"/>
      <c r="R19" s="20"/>
      <c r="S19" s="20"/>
      <c r="T19" s="20"/>
    </row>
    <row r="20" spans="2:20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/>
      <c r="K20" s="19"/>
      <c r="L20" s="19"/>
      <c r="M20" s="6"/>
      <c r="N20" s="19"/>
      <c r="O20" s="19"/>
      <c r="P20" s="19"/>
      <c r="Q20" s="6"/>
      <c r="R20" s="19"/>
      <c r="S20" s="19"/>
      <c r="T20" s="19"/>
    </row>
    <row r="21" spans="2:20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2:20" ht="19.5" hidden="1" customHeight="1" outlineLevel="1" x14ac:dyDescent="0.25">
      <c r="B22" s="202" t="s">
        <v>91</v>
      </c>
      <c r="C22" s="9"/>
      <c r="D22" s="14" t="s">
        <v>19</v>
      </c>
      <c r="E22" s="6"/>
      <c r="F22" s="19">
        <v>174.58809877999997</v>
      </c>
      <c r="G22" s="19">
        <v>185.33950579999998</v>
      </c>
      <c r="H22" s="19">
        <v>204.63270105388938</v>
      </c>
      <c r="I22" s="6"/>
      <c r="J22" s="19">
        <f>+[1]H9!$C$21/1000</f>
        <v>0</v>
      </c>
      <c r="K22" s="19">
        <f>+[1]H9!$C$22/1000</f>
        <v>0</v>
      </c>
      <c r="L22" s="19">
        <f>+[1]H9!$C$23/1000</f>
        <v>0</v>
      </c>
      <c r="M22" s="6"/>
      <c r="N22" s="19">
        <v>174.58809877999997</v>
      </c>
      <c r="O22" s="19">
        <v>185.33950579999998</v>
      </c>
      <c r="P22" s="19">
        <v>204.63270105388938</v>
      </c>
      <c r="Q22" s="6"/>
      <c r="R22" s="19">
        <f>+[1]H9!$EA$21/1000</f>
        <v>0</v>
      </c>
      <c r="S22" s="19">
        <f>+[1]H9!$EA$22/1000</f>
        <v>0</v>
      </c>
      <c r="T22" s="19">
        <f>+[1]H9!$EA$23/1000</f>
        <v>0</v>
      </c>
    </row>
    <row r="23" spans="2:20" ht="20.149999999999999" hidden="1" customHeight="1" outlineLevel="1" x14ac:dyDescent="0.25">
      <c r="B23" s="202"/>
      <c r="C23" s="9"/>
      <c r="D23" s="14" t="s">
        <v>20</v>
      </c>
      <c r="E23" s="6"/>
      <c r="F23" s="19">
        <v>160.90258041999999</v>
      </c>
      <c r="G23" s="19">
        <v>173.06633202</v>
      </c>
      <c r="H23" s="19">
        <v>181.1039563404037</v>
      </c>
      <c r="I23" s="6"/>
      <c r="J23" s="19">
        <f>+[1]H9!$N$21/1000</f>
        <v>0</v>
      </c>
      <c r="K23" s="19">
        <f>+[1]H9!$N$22/1000</f>
        <v>0</v>
      </c>
      <c r="L23" s="19">
        <f>+[1]H9!$N$23/1000</f>
        <v>0</v>
      </c>
      <c r="M23" s="6"/>
      <c r="N23" s="19">
        <v>160.90258041999999</v>
      </c>
      <c r="O23" s="19">
        <v>173.06633202</v>
      </c>
      <c r="P23" s="19">
        <v>181.1039563404037</v>
      </c>
      <c r="Q23" s="6"/>
      <c r="R23" s="19">
        <f>+[1]H9!$EL$21/1000</f>
        <v>0</v>
      </c>
      <c r="S23" s="19">
        <f>+[1]H9!$EL$22/1000</f>
        <v>0</v>
      </c>
      <c r="T23" s="19">
        <f>+[1]H9!$EL$23/1000</f>
        <v>0</v>
      </c>
    </row>
    <row r="24" spans="2:20" ht="19.5" hidden="1" customHeight="1" outlineLevel="1" x14ac:dyDescent="0.25">
      <c r="B24" s="202"/>
      <c r="C24" s="9"/>
      <c r="D24" s="14" t="s">
        <v>92</v>
      </c>
      <c r="E24" s="6"/>
      <c r="F24" s="20">
        <f>F27-F25-F26</f>
        <v>0.84420093000022511</v>
      </c>
      <c r="G24" s="20">
        <f>G27-G25-G26</f>
        <v>0.70110498335388471</v>
      </c>
      <c r="H24" s="20">
        <f>H27-H25-H26</f>
        <v>0.78019367284740149</v>
      </c>
      <c r="I24" s="6"/>
      <c r="J24" s="20" t="e">
        <f>-(SUM([1]H9!$O$21,[1]H9!$R$21:$V$21,[1]H9!$Y$21:$AB$21)/1000)/J23</f>
        <v>#DIV/0!</v>
      </c>
      <c r="K24" s="20" t="e">
        <f>-(SUM([1]H9!$O$22,[1]H9!$R$22:$V$22,[1]H9!$Y$22:$AB$22)/1000)/K23</f>
        <v>#DIV/0!</v>
      </c>
      <c r="L24" s="20" t="e">
        <f>-(SUM([1]H9!$O$23,[1]H9!$R$23:$V$23,[1]H9!$Y$23:$AB$23)/1000)/L23</f>
        <v>#DIV/0!</v>
      </c>
      <c r="M24" s="6"/>
      <c r="N24" s="20">
        <f>N27-N25-N26</f>
        <v>0.84420093000022511</v>
      </c>
      <c r="O24" s="20">
        <f>O27-O25-O26</f>
        <v>0.70110498335388471</v>
      </c>
      <c r="P24" s="20">
        <f>P27-P25-P26</f>
        <v>0.78019367284740149</v>
      </c>
      <c r="Q24" s="6"/>
      <c r="R24" s="20" t="e">
        <f>-(SUM([1]H9!$EM$21,[1]H9!$EP$21:$ET$21,[1]H9!$EW$21:$EZ$21)/1000)/R23</f>
        <v>#DIV/0!</v>
      </c>
      <c r="S24" s="20" t="e">
        <f>-(SUM([1]H9!$EM$22,[1]H9!$EP$22:$ET$22,[1]H9!$EW$22:$EZ$22)/1000)/S23</f>
        <v>#DIV/0!</v>
      </c>
      <c r="T24" s="20" t="e">
        <f>-(SUM([1]H9!$EM$23,[1]H9!$EP$23:$ET$23,[1]H9!$EW$23:$EZ$23)/1000)/T23</f>
        <v>#DIV/0!</v>
      </c>
    </row>
    <row r="25" spans="2:20" ht="19.5" hidden="1" customHeight="1" outlineLevel="1" x14ac:dyDescent="0.25">
      <c r="B25" s="202"/>
      <c r="C25" s="9"/>
      <c r="D25" s="14" t="s">
        <v>93</v>
      </c>
      <c r="E25" s="6"/>
      <c r="F25" s="20">
        <f>IFERROR(SUM(INDEX(LL_TOT_BR_YTD,2,Month),INDEX(LL_IBNR_TOT_BR_YTD,2,Month))/F23,0)</f>
        <v>0</v>
      </c>
      <c r="G25" s="20">
        <f>IFERROR(SUM(INDEX(LL_TOT_BR_YTD_PREV,2,Month),INDEX(LL_IBNR_TOT_BR_YTD_PREV,2,Month))/G23,0)</f>
        <v>0</v>
      </c>
      <c r="H25" s="20">
        <f>IFERROR(SUM(INDEX(LL_TOT_BR_YTD_PLAN,2,Month),INDEX(LL_IBNR_TOT_BR_YTD_PLAN,2,Month))/H23,0)</f>
        <v>0</v>
      </c>
      <c r="I25" s="6"/>
      <c r="J25" s="20" t="e">
        <f>-(SUM([1]H9!$Q$21,[1]H9!$X$21)/1000)/J23</f>
        <v>#DIV/0!</v>
      </c>
      <c r="K25" s="20" t="e">
        <f>-(SUM([1]H9!$Q$22,[1]H9!$X$22)/1000)/K23</f>
        <v>#DIV/0!</v>
      </c>
      <c r="L25" s="20" t="e">
        <f>-(SUM([1]H9!$Q$23,[1]H9!$X$23)/1000)/L23</f>
        <v>#DIV/0!</v>
      </c>
      <c r="M25" s="6"/>
      <c r="N25" s="20">
        <f>IFERROR(SUM(INDEX(LL_TOT_BR_YTD,2,Month),INDEX(LL_IBNR_TOT_BR_YTD,2,Month))/N23,0)</f>
        <v>0</v>
      </c>
      <c r="O25" s="20">
        <f>IFERROR(SUM(INDEX(LL_TOT_BR_YTD_PREV,2,Month),INDEX(LL_IBNR_TOT_BR_YTD_PREV,2,Month))/O23,0)</f>
        <v>0</v>
      </c>
      <c r="P25" s="20">
        <f>IFERROR(SUM(INDEX(LL_TOT_BR_YTD_PLAN,2,Month),INDEX(LL_IBNR_TOT_BR_YTD_PLAN,2,Month))/P23,0)</f>
        <v>0</v>
      </c>
      <c r="Q25" s="6"/>
      <c r="R25" s="20" t="e">
        <f>-(SUM([1]H9!$EO$21,[1]H9!$EV$21)/1000)/R23</f>
        <v>#DIV/0!</v>
      </c>
      <c r="S25" s="20" t="e">
        <f>-(SUM([1]H9!$EO$22,[1]H9!$EV$22)/1000)/S23</f>
        <v>#DIV/0!</v>
      </c>
      <c r="T25" s="20" t="e">
        <f>-(SUM([1]H9!$EO$23,[1]H9!$EV$23)/1000)/T23</f>
        <v>#DIV/0!</v>
      </c>
    </row>
    <row r="26" spans="2:20" ht="19.5" hidden="1" customHeight="1" outlineLevel="1" x14ac:dyDescent="0.25">
      <c r="B26" s="202"/>
      <c r="C26" s="9"/>
      <c r="D26" s="14" t="s">
        <v>94</v>
      </c>
      <c r="E26" s="6"/>
      <c r="F26" s="20">
        <f>0</f>
        <v>0</v>
      </c>
      <c r="G26" s="20">
        <f>0</f>
        <v>0</v>
      </c>
      <c r="H26" s="20">
        <f>0</f>
        <v>0</v>
      </c>
      <c r="I26" s="6"/>
      <c r="J26" s="20" t="e">
        <f>-(SUM([1]H9!$P$21,[1]H9!$W$21)/1000)/J23</f>
        <v>#DIV/0!</v>
      </c>
      <c r="K26" s="20" t="e">
        <f>-(SUM([1]H9!$P$22,[1]H9!$W$22)/1000)/K23</f>
        <v>#DIV/0!</v>
      </c>
      <c r="L26" s="20" t="e">
        <f>-(SUM([1]H9!$P$23,[1]H9!$W$23)/1000)/L23</f>
        <v>#DIV/0!</v>
      </c>
      <c r="M26" s="6"/>
      <c r="N26" s="20">
        <f>0</f>
        <v>0</v>
      </c>
      <c r="O26" s="20">
        <f>0</f>
        <v>0</v>
      </c>
      <c r="P26" s="20">
        <f>0</f>
        <v>0</v>
      </c>
      <c r="Q26" s="6"/>
      <c r="R26" s="20" t="e">
        <f>-(SUM([1]H9!$EN$21,[1]H9!$EU$21)/1000)/R23</f>
        <v>#DIV/0!</v>
      </c>
      <c r="S26" s="20" t="e">
        <f>-(SUM([1]H9!$EN$22,[1]H9!$EU$22)/1000)/S23</f>
        <v>#DIV/0!</v>
      </c>
      <c r="T26" s="20" t="e">
        <f>-(SUM([1]H9!$EN$23,[1]H9!$EU$23)/1000)/T23</f>
        <v>#DIV/0!</v>
      </c>
    </row>
    <row r="27" spans="2:20" ht="19.5" hidden="1" customHeight="1" outlineLevel="2" x14ac:dyDescent="0.25">
      <c r="B27" s="202"/>
      <c r="C27" s="9"/>
      <c r="D27" s="14" t="s">
        <v>95</v>
      </c>
      <c r="E27" s="7"/>
      <c r="F27" s="20">
        <v>0.84420093000022511</v>
      </c>
      <c r="G27" s="20">
        <v>0.70110498335388471</v>
      </c>
      <c r="H27" s="20">
        <v>0.78019367284740149</v>
      </c>
      <c r="I27" s="7"/>
      <c r="J27" s="20" t="e">
        <f>+J24+J25+J26</f>
        <v>#DIV/0!</v>
      </c>
      <c r="K27" s="20" t="e">
        <f>+K24+K25+K26</f>
        <v>#DIV/0!</v>
      </c>
      <c r="L27" s="20" t="e">
        <f>+L24+L25+L26</f>
        <v>#DIV/0!</v>
      </c>
      <c r="M27" s="7"/>
      <c r="N27" s="20">
        <v>0.84420093000022511</v>
      </c>
      <c r="O27" s="20">
        <v>0.70110498335388471</v>
      </c>
      <c r="P27" s="20">
        <v>0.78019367284740149</v>
      </c>
      <c r="Q27" s="7"/>
      <c r="R27" s="20" t="e">
        <f>+R24+R25+R26</f>
        <v>#DIV/0!</v>
      </c>
      <c r="S27" s="20" t="e">
        <f>+S24+S25+S26</f>
        <v>#DIV/0!</v>
      </c>
      <c r="T27" s="20" t="e">
        <f>+T24+T25+T26</f>
        <v>#DIV/0!</v>
      </c>
    </row>
    <row r="28" spans="2:20" ht="20.149999999999999" hidden="1" customHeight="1" outlineLevel="1" x14ac:dyDescent="0.25">
      <c r="B28" s="202"/>
      <c r="C28" s="9"/>
      <c r="D28" s="14" t="s">
        <v>96</v>
      </c>
      <c r="E28" s="7"/>
      <c r="F28" s="20">
        <v>-5.5435126252899945E-2</v>
      </c>
      <c r="G28" s="20">
        <v>7.5310574551806638E-3</v>
      </c>
      <c r="H28" s="20">
        <v>-2.1166480350811253E-2</v>
      </c>
      <c r="I28" s="7"/>
      <c r="J28" s="20" t="e">
        <f>-(SUM([1]H9!$AC$21:$AK$21)/1000)/J23</f>
        <v>#DIV/0!</v>
      </c>
      <c r="K28" s="20" t="e">
        <f>-(SUM([1]H9!$AC$22:$AK$22)/1000)/K23</f>
        <v>#DIV/0!</v>
      </c>
      <c r="L28" s="20" t="e">
        <f>-(SUM([1]H9!$AC$23:$AK$23)/1000)/L23</f>
        <v>#DIV/0!</v>
      </c>
      <c r="M28" s="7"/>
      <c r="N28" s="20">
        <v>-5.5435126252899945E-2</v>
      </c>
      <c r="O28" s="20">
        <v>7.5310574551806638E-3</v>
      </c>
      <c r="P28" s="20">
        <v>-2.1166480350811253E-2</v>
      </c>
      <c r="Q28" s="7"/>
      <c r="R28" s="20" t="e">
        <f>-(SUM([1]H9!$FA$21:$FI$21)/1000)/R23</f>
        <v>#DIV/0!</v>
      </c>
      <c r="S28" s="20" t="e">
        <f>-(SUM([1]H9!$FA$22:$FI$22)/1000)/S23</f>
        <v>#DIV/0!</v>
      </c>
      <c r="T28" s="20" t="e">
        <f>-(SUM([1]H9!$FA$23:$FI$23)/1000)/T23</f>
        <v>#DIV/0!</v>
      </c>
    </row>
    <row r="29" spans="2:20" ht="19.5" hidden="1" customHeight="1" outlineLevel="2" x14ac:dyDescent="0.25">
      <c r="B29" s="202"/>
      <c r="C29" s="9"/>
      <c r="D29" s="15" t="s">
        <v>87</v>
      </c>
      <c r="E29" s="7"/>
      <c r="F29" s="20">
        <v>8.2992445149998054E-2</v>
      </c>
      <c r="G29" s="20">
        <v>8.0171038110385201E-2</v>
      </c>
      <c r="H29" s="20">
        <v>8.2820650937018431E-2</v>
      </c>
      <c r="I29" s="7"/>
      <c r="J29" s="20" t="e">
        <f>-(SUM([1]H9!$AL$21:$AN$21)/1000)/J23</f>
        <v>#DIV/0!</v>
      </c>
      <c r="K29" s="20" t="e">
        <f>-(SUM([1]H9!$AL$22:$AN$22)/1000)/K23</f>
        <v>#DIV/0!</v>
      </c>
      <c r="L29" s="20" t="e">
        <f>-(SUM([1]H9!$AL$23:$AN$23)/1000)/L23</f>
        <v>#DIV/0!</v>
      </c>
      <c r="M29" s="7"/>
      <c r="N29" s="20">
        <v>8.2992445149998054E-2</v>
      </c>
      <c r="O29" s="20">
        <v>8.0171038110385201E-2</v>
      </c>
      <c r="P29" s="20">
        <v>8.2820650937018431E-2</v>
      </c>
      <c r="Q29" s="7"/>
      <c r="R29" s="20" t="e">
        <f>-(SUM([1]H9!$FJ$21:$FL$21)/1000)/R23</f>
        <v>#DIV/0!</v>
      </c>
      <c r="S29" s="20" t="e">
        <f>-(SUM([1]H9!$FJ$22:$FL$22)/1000)/S23</f>
        <v>#DIV/0!</v>
      </c>
      <c r="T29" s="20" t="e">
        <f>-(SUM([1]H9!$FJ$23:$FL$23)/1000)/T23</f>
        <v>#DIV/0!</v>
      </c>
    </row>
    <row r="30" spans="2:20" ht="20.149999999999999" hidden="1" customHeight="1" outlineLevel="2" x14ac:dyDescent="0.25">
      <c r="B30" s="202"/>
      <c r="C30" s="9"/>
      <c r="D30" s="15" t="s">
        <v>88</v>
      </c>
      <c r="E30" s="7"/>
      <c r="F30" s="20">
        <v>0.12293509736367968</v>
      </c>
      <c r="G30" s="20">
        <v>0.12278302216253326</v>
      </c>
      <c r="H30" s="20">
        <v>0.10688355881031411</v>
      </c>
      <c r="I30" s="7"/>
      <c r="J30" s="20" t="e">
        <f>-(SUM([1]H9!$AO$21:$AR$21)/1000)/J23</f>
        <v>#DIV/0!</v>
      </c>
      <c r="K30" s="20" t="e">
        <f>-(SUM([1]H9!$AO$22:$AR$22)/1000)/K23</f>
        <v>#DIV/0!</v>
      </c>
      <c r="L30" s="20" t="e">
        <f>-(SUM([1]H9!$AO$23:$AR$23)/1000)/L23</f>
        <v>#DIV/0!</v>
      </c>
      <c r="M30" s="7"/>
      <c r="N30" s="20">
        <v>0.12293509736367968</v>
      </c>
      <c r="O30" s="20">
        <v>0.12278302216253326</v>
      </c>
      <c r="P30" s="20">
        <v>0.10688355881031411</v>
      </c>
      <c r="Q30" s="7"/>
      <c r="R30" s="20" t="e">
        <f>-(SUM([1]H9!$FM$21:$FP$21)/1000)/R23</f>
        <v>#DIV/0!</v>
      </c>
      <c r="S30" s="20" t="e">
        <f>-(SUM([1]H9!$FM$22:$FP$22)/1000)/S23</f>
        <v>#DIV/0!</v>
      </c>
      <c r="T30" s="20" t="e">
        <f>-(SUM([1]H9!$FM$23:$FP$23)/1000)/T23</f>
        <v>#DIV/0!</v>
      </c>
    </row>
    <row r="31" spans="2:20" ht="20.149999999999999" hidden="1" customHeight="1" outlineLevel="1" x14ac:dyDescent="0.25">
      <c r="B31" s="202"/>
      <c r="C31" s="9"/>
      <c r="D31" s="14" t="s">
        <v>97</v>
      </c>
      <c r="E31" s="7"/>
      <c r="F31" s="20">
        <v>0.20592754251367776</v>
      </c>
      <c r="G31" s="20">
        <v>0.20295406027291846</v>
      </c>
      <c r="H31" s="20">
        <v>0.18970420974733251</v>
      </c>
      <c r="I31" s="7"/>
      <c r="J31" s="20" t="e">
        <f>+J29+J30</f>
        <v>#DIV/0!</v>
      </c>
      <c r="K31" s="20" t="e">
        <f>+K29+K30</f>
        <v>#DIV/0!</v>
      </c>
      <c r="L31" s="20" t="e">
        <f>+L29+L30</f>
        <v>#DIV/0!</v>
      </c>
      <c r="M31" s="7"/>
      <c r="N31" s="20">
        <v>0.20592754251367776</v>
      </c>
      <c r="O31" s="20">
        <v>0.20295406027291846</v>
      </c>
      <c r="P31" s="20">
        <v>0.18970420974733251</v>
      </c>
      <c r="Q31" s="7"/>
      <c r="R31" s="20" t="e">
        <f>+R29+R30</f>
        <v>#DIV/0!</v>
      </c>
      <c r="S31" s="20" t="e">
        <f>+S29+S30</f>
        <v>#DIV/0!</v>
      </c>
      <c r="T31" s="20" t="e">
        <f>+T29+T30</f>
        <v>#DIV/0!</v>
      </c>
    </row>
    <row r="32" spans="2:20" ht="20.149999999999999" hidden="1" customHeight="1" outlineLevel="1" x14ac:dyDescent="0.25">
      <c r="B32" s="202"/>
      <c r="C32" s="9"/>
      <c r="D32" s="14" t="s">
        <v>90</v>
      </c>
      <c r="E32" s="7"/>
      <c r="F32" s="20"/>
      <c r="G32" s="20"/>
      <c r="H32" s="20"/>
      <c r="I32" s="7"/>
      <c r="J32" s="20" t="e">
        <f>-(SUM([1]H9!$AT$21:$BJ$21)/1000/J23)</f>
        <v>#DIV/0!</v>
      </c>
      <c r="K32" s="20" t="e">
        <f>-(SUM([1]H9!$AT$22:$BJ$22)/1000/K23)</f>
        <v>#DIV/0!</v>
      </c>
      <c r="L32" s="20" t="e">
        <f>-(SUM([1]H9!$AT$23:$BJ$23)/1000/L23)</f>
        <v>#DIV/0!</v>
      </c>
      <c r="M32" s="7"/>
      <c r="N32" s="20"/>
      <c r="O32" s="20"/>
      <c r="P32" s="20"/>
      <c r="Q32" s="7"/>
      <c r="R32" s="20" t="e">
        <f>-(SUM([1]H9!$FR$21:$GH$21)/1000/R23)</f>
        <v>#DIV/0!</v>
      </c>
      <c r="S32" s="20" t="e">
        <f>-(SUM([1]H9!$FR$22:$GH$22)/1000/S23)</f>
        <v>#DIV/0!</v>
      </c>
      <c r="T32" s="20" t="e">
        <f>-(SUM([1]H9!$FR$23:$GH$23)/1000/T23)</f>
        <v>#DIV/0!</v>
      </c>
    </row>
    <row r="33" spans="2:20" ht="20.149999999999999" hidden="1" customHeight="1" outlineLevel="1" x14ac:dyDescent="0.25">
      <c r="B33" s="202"/>
      <c r="C33" s="9"/>
      <c r="D33" s="14" t="s">
        <v>79</v>
      </c>
      <c r="E33" s="8"/>
      <c r="F33" s="20">
        <v>0.99469334626100292</v>
      </c>
      <c r="G33" s="20">
        <v>0.91159010108198379</v>
      </c>
      <c r="H33" s="20">
        <v>0.94873140224392272</v>
      </c>
      <c r="I33" s="8"/>
      <c r="J33" s="20" t="e">
        <f>+J27+J28+J31+J32</f>
        <v>#DIV/0!</v>
      </c>
      <c r="K33" s="20" t="e">
        <f>+K27+K28+K31+K32</f>
        <v>#DIV/0!</v>
      </c>
      <c r="L33" s="20" t="e">
        <f>+L27+L28+L31+L32</f>
        <v>#DIV/0!</v>
      </c>
      <c r="M33" s="8"/>
      <c r="N33" s="20">
        <v>0.99469334626100292</v>
      </c>
      <c r="O33" s="20">
        <v>0.91159010108198379</v>
      </c>
      <c r="P33" s="20">
        <v>0.94873140224392272</v>
      </c>
      <c r="Q33" s="8"/>
      <c r="R33" s="20" t="e">
        <f>+R27+R28+R31+R32</f>
        <v>#DIV/0!</v>
      </c>
      <c r="S33" s="20" t="e">
        <f>+S27+S28+S31+S32</f>
        <v>#DIV/0!</v>
      </c>
      <c r="T33" s="20" t="e">
        <f>+T27+T28+T31+T32</f>
        <v>#DIV/0!</v>
      </c>
    </row>
    <row r="34" spans="2:20" ht="19.5" hidden="1" customHeight="1" outlineLevel="1" x14ac:dyDescent="0.25">
      <c r="B34" s="202"/>
      <c r="C34" s="9"/>
      <c r="D34" s="14" t="s">
        <v>34</v>
      </c>
      <c r="E34" s="6"/>
      <c r="F34" s="19">
        <v>0.85385428000004637</v>
      </c>
      <c r="G34" s="19">
        <v>15.300776920000013</v>
      </c>
      <c r="H34" s="19">
        <v>9.284945889650345</v>
      </c>
      <c r="I34" s="6"/>
      <c r="J34" s="19">
        <f>+[1]H9!$BK$21/1000</f>
        <v>0</v>
      </c>
      <c r="K34" s="19">
        <f>+[1]H9!$BK$22/1000</f>
        <v>0</v>
      </c>
      <c r="L34" s="19">
        <f>+[1]H9!$BK$23/1000</f>
        <v>0</v>
      </c>
      <c r="M34" s="6"/>
      <c r="N34" s="19">
        <v>0.85385428000004637</v>
      </c>
      <c r="O34" s="19">
        <v>15.300776920000013</v>
      </c>
      <c r="P34" s="19">
        <v>9.284945889650345</v>
      </c>
      <c r="Q34" s="6"/>
      <c r="R34" s="19">
        <f>+[1]H9!$GI$21/1000</f>
        <v>0</v>
      </c>
      <c r="S34" s="19">
        <f>+[1]H9!$GI$22/1000</f>
        <v>0</v>
      </c>
      <c r="T34" s="19">
        <f>+[1]H9!$GI$23/1000</f>
        <v>0</v>
      </c>
    </row>
    <row r="35" spans="2:20" ht="7.5" hidden="1" customHeight="1" outlineLevel="2" x14ac:dyDescent="0.25"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2:20" ht="19.5" hidden="1" customHeight="1" outlineLevel="1" x14ac:dyDescent="0.25">
      <c r="B36" s="202" t="s">
        <v>98</v>
      </c>
      <c r="C36" s="9"/>
      <c r="D36" s="14" t="s">
        <v>19</v>
      </c>
      <c r="E36" s="6"/>
      <c r="F36" s="19">
        <v>134.18965857000001</v>
      </c>
      <c r="G36" s="19">
        <v>133.70934485999999</v>
      </c>
      <c r="H36" s="19">
        <v>147.07866387770241</v>
      </c>
      <c r="I36" s="6"/>
      <c r="J36" s="19">
        <f>+[1]H9!$C$25/1000</f>
        <v>0</v>
      </c>
      <c r="K36" s="19">
        <f>+[1]H9!$C$26/1000</f>
        <v>0</v>
      </c>
      <c r="L36" s="19">
        <f>+[1]H9!$C$27/1000</f>
        <v>0</v>
      </c>
      <c r="M36" s="6"/>
      <c r="N36" s="19">
        <v>134.18965857000001</v>
      </c>
      <c r="O36" s="19">
        <v>133.70934485999999</v>
      </c>
      <c r="P36" s="19">
        <v>147.07866387770241</v>
      </c>
      <c r="Q36" s="6"/>
      <c r="R36" s="19">
        <f>+[1]H9!$EA$25/1000</f>
        <v>0</v>
      </c>
      <c r="S36" s="19">
        <f>+[1]H9!$EA$26/1000</f>
        <v>0</v>
      </c>
      <c r="T36" s="19">
        <f>+[1]H9!$EA$27/1000</f>
        <v>0</v>
      </c>
    </row>
    <row r="37" spans="2:20" ht="20.149999999999999" hidden="1" customHeight="1" outlineLevel="1" x14ac:dyDescent="0.25">
      <c r="B37" s="202"/>
      <c r="C37" s="9"/>
      <c r="D37" s="14" t="s">
        <v>20</v>
      </c>
      <c r="E37" s="6"/>
      <c r="F37" s="19">
        <v>131.07974526000004</v>
      </c>
      <c r="G37" s="19">
        <v>131.50071958000001</v>
      </c>
      <c r="H37" s="19">
        <v>138.49363431363389</v>
      </c>
      <c r="I37" s="6"/>
      <c r="J37" s="19">
        <f>+[1]H9!$N$25/1000</f>
        <v>0</v>
      </c>
      <c r="K37" s="19">
        <f>+[1]H9!$N$26/1000</f>
        <v>0</v>
      </c>
      <c r="L37" s="19">
        <f>+[1]H9!$N$27/1000</f>
        <v>0</v>
      </c>
      <c r="M37" s="6"/>
      <c r="N37" s="19">
        <v>131.07974526000004</v>
      </c>
      <c r="O37" s="19">
        <v>131.50071958000001</v>
      </c>
      <c r="P37" s="19">
        <v>138.49363431363389</v>
      </c>
      <c r="Q37" s="6"/>
      <c r="R37" s="19">
        <f>+[1]H9!$EL$25/1000</f>
        <v>0</v>
      </c>
      <c r="S37" s="19">
        <f>+[1]H9!$EL$26/1000</f>
        <v>0</v>
      </c>
      <c r="T37" s="19">
        <f>+[1]H9!$EL$27/1000</f>
        <v>0</v>
      </c>
    </row>
    <row r="38" spans="2:20" ht="19.5" hidden="1" customHeight="1" outlineLevel="1" x14ac:dyDescent="0.25">
      <c r="B38" s="202"/>
      <c r="C38" s="9"/>
      <c r="D38" s="14" t="s">
        <v>92</v>
      </c>
      <c r="E38" s="6"/>
      <c r="F38" s="20" t="e">
        <f>F41-F39-F40</f>
        <v>#REF!</v>
      </c>
      <c r="G38" s="20" t="e">
        <f>G41-G39-G40</f>
        <v>#REF!</v>
      </c>
      <c r="H38" s="20" t="e">
        <f>H41-H39-H40</f>
        <v>#REF!</v>
      </c>
      <c r="I38" s="6"/>
      <c r="J38" s="20" t="e">
        <f>-(SUM([1]H9!$O$25,[1]H9!$R$25:$V$25,[1]H9!$Y$25:$AB$25)/1000)/J37</f>
        <v>#DIV/0!</v>
      </c>
      <c r="K38" s="20" t="e">
        <f>-(SUM([1]H9!$O$26,[1]H9!$R$26:$V$26,[1]H9!$Y$26:$AB$26)/1000)/K37</f>
        <v>#DIV/0!</v>
      </c>
      <c r="L38" s="20" t="e">
        <f>-(SUM([1]H9!$O$27,[1]H9!$R$27:$V$27,[1]H9!$Y$27:$AB$27)/1000)/L37</f>
        <v>#DIV/0!</v>
      </c>
      <c r="M38" s="6"/>
      <c r="N38" s="20" t="e">
        <f>N41-N39-N40</f>
        <v>#REF!</v>
      </c>
      <c r="O38" s="20" t="e">
        <f>O41-O39-O40</f>
        <v>#REF!</v>
      </c>
      <c r="P38" s="20" t="e">
        <f>P41-P39-P40</f>
        <v>#REF!</v>
      </c>
      <c r="Q38" s="6"/>
      <c r="R38" s="20" t="e">
        <f>-(SUM([1]H9!$EM$25,[1]H9!$EP$25:$ET$25,[1]H9!$EW$25:$EZ$25)/1000)/R37</f>
        <v>#DIV/0!</v>
      </c>
      <c r="S38" s="20" t="e">
        <f>-(SUM([1]H9!$EM$26,[1]H9!$EP$26:$ET$26,[1]H9!$EW$26:$EZ$26)/1000)/S37</f>
        <v>#DIV/0!</v>
      </c>
      <c r="T38" s="20" t="e">
        <f>-(SUM([1]H9!$EM$27,[1]H9!$EP$27:$ET$27,[1]H9!$EW$27:$EZ$27)/1000)/T37</f>
        <v>#DIV/0!</v>
      </c>
    </row>
    <row r="39" spans="2:20" ht="19.5" hidden="1" customHeight="1" outlineLevel="1" x14ac:dyDescent="0.25">
      <c r="B39" s="202"/>
      <c r="C39" s="9"/>
      <c r="D39" s="14" t="s">
        <v>93</v>
      </c>
      <c r="E39" s="6"/>
      <c r="F39" s="20">
        <f>0</f>
        <v>0</v>
      </c>
      <c r="G39" s="20">
        <f>0</f>
        <v>0</v>
      </c>
      <c r="H39" s="20">
        <f>0</f>
        <v>0</v>
      </c>
      <c r="I39" s="6"/>
      <c r="J39" s="20" t="e">
        <f>-(SUM([1]H9!$Q$25,[1]H9!$X$25)/1000)/J37</f>
        <v>#DIV/0!</v>
      </c>
      <c r="K39" s="20" t="e">
        <f>-(SUM([1]H9!$Q$26,[1]H9!$X$26)/1000)/K37</f>
        <v>#DIV/0!</v>
      </c>
      <c r="L39" s="20" t="e">
        <f>-(SUM([1]H9!$Q$27,[1]H9!$X$27)/1000)/L37</f>
        <v>#DIV/0!</v>
      </c>
      <c r="M39" s="6"/>
      <c r="N39" s="20">
        <f>0</f>
        <v>0</v>
      </c>
      <c r="O39" s="20">
        <f>0</f>
        <v>0</v>
      </c>
      <c r="P39" s="20">
        <f>0</f>
        <v>0</v>
      </c>
      <c r="Q39" s="6"/>
      <c r="R39" s="20" t="e">
        <f>-(SUM([1]H9!$EO$25,[1]H9!$EV$25)/1000)/R37</f>
        <v>#DIV/0!</v>
      </c>
      <c r="S39" s="20" t="e">
        <f>-(SUM([1]H9!$EO$26,[1]H9!$EV$26)/1000)/S37</f>
        <v>#DIV/0!</v>
      </c>
      <c r="T39" s="20" t="e">
        <f>-(SUM([1]H9!$EO$27,[1]H9!$EV$27)/1000)/T37</f>
        <v>#DIV/0!</v>
      </c>
    </row>
    <row r="40" spans="2:20" ht="19.5" hidden="1" customHeight="1" outlineLevel="1" x14ac:dyDescent="0.25">
      <c r="B40" s="202"/>
      <c r="C40" s="9"/>
      <c r="D40" s="14" t="s">
        <v>94</v>
      </c>
      <c r="E40" s="6"/>
      <c r="F40" s="20" t="e">
        <f>INDEX(NatCat_TOT_BR_YTD,2,Month)/F37</f>
        <v>#REF!</v>
      </c>
      <c r="G40" s="20" t="e">
        <f>INDEX(NatCat_TOT_BR_YTD_PREV,2,Month)/G37</f>
        <v>#REF!</v>
      </c>
      <c r="H40" s="20" t="e">
        <f>INDEX(NatCat_TOT_BR_YTD_PLAN,2,Month)/H37</f>
        <v>#REF!</v>
      </c>
      <c r="I40" s="6"/>
      <c r="J40" s="20" t="e">
        <f>-(SUM([1]H9!$P$25,[1]H9!$W$25)/1000)/J37</f>
        <v>#DIV/0!</v>
      </c>
      <c r="K40" s="20" t="e">
        <f>-(SUM([1]H9!$P$26,[1]H9!$W$26)/1000)/K37</f>
        <v>#DIV/0!</v>
      </c>
      <c r="L40" s="20" t="e">
        <f>-(SUM([1]H9!$P$27,[1]H9!$W$27)/1000)/L37</f>
        <v>#DIV/0!</v>
      </c>
      <c r="M40" s="6"/>
      <c r="N40" s="20" t="e">
        <f>INDEX(NatCat_TOT_BR_YTD,2,Month)/N37</f>
        <v>#REF!</v>
      </c>
      <c r="O40" s="20" t="e">
        <f>INDEX(NatCat_TOT_BR_YTD_PREV,2,Month)/O37</f>
        <v>#REF!</v>
      </c>
      <c r="P40" s="20" t="e">
        <f>INDEX(NatCat_TOT_BR_YTD_PLAN,2,Month)/P37</f>
        <v>#REF!</v>
      </c>
      <c r="Q40" s="6"/>
      <c r="R40" s="20" t="e">
        <f>-(SUM([1]H9!$EN$25,[1]H9!$EU$25)/1000)/R37</f>
        <v>#DIV/0!</v>
      </c>
      <c r="S40" s="20" t="e">
        <f>-(SUM([1]H9!$EN$26,[1]H9!$EU$26)/1000)/S37</f>
        <v>#DIV/0!</v>
      </c>
      <c r="T40" s="20" t="e">
        <f>-(SUM([1]H9!$EN$27,[1]H9!$EU$27)/1000)/T37</f>
        <v>#DIV/0!</v>
      </c>
    </row>
    <row r="41" spans="2:20" ht="19.5" hidden="1" customHeight="1" outlineLevel="2" x14ac:dyDescent="0.25">
      <c r="B41" s="202"/>
      <c r="C41" s="9"/>
      <c r="D41" s="14" t="s">
        <v>95</v>
      </c>
      <c r="E41" s="7"/>
      <c r="F41" s="20">
        <v>0.47729705246148252</v>
      </c>
      <c r="G41" s="20">
        <v>0.40903539251948479</v>
      </c>
      <c r="H41" s="20">
        <v>0.55951837348520128</v>
      </c>
      <c r="I41" s="7"/>
      <c r="J41" s="20" t="e">
        <f>+J38+J39+J40</f>
        <v>#DIV/0!</v>
      </c>
      <c r="K41" s="20" t="e">
        <f>+K38+K39+K40</f>
        <v>#DIV/0!</v>
      </c>
      <c r="L41" s="20" t="e">
        <f>+L38+L39+L40</f>
        <v>#DIV/0!</v>
      </c>
      <c r="M41" s="7"/>
      <c r="N41" s="20">
        <v>0.47729705246148252</v>
      </c>
      <c r="O41" s="20">
        <v>0.40903539251948479</v>
      </c>
      <c r="P41" s="20">
        <v>0.55951837348520128</v>
      </c>
      <c r="Q41" s="7"/>
      <c r="R41" s="20" t="e">
        <f>+R38+R39+R40</f>
        <v>#DIV/0!</v>
      </c>
      <c r="S41" s="20" t="e">
        <f>+S38+S39+S40</f>
        <v>#DIV/0!</v>
      </c>
      <c r="T41" s="20" t="e">
        <f>+T38+T39+T40</f>
        <v>#DIV/0!</v>
      </c>
    </row>
    <row r="42" spans="2:20" ht="20.149999999999999" hidden="1" customHeight="1" outlineLevel="1" x14ac:dyDescent="0.25">
      <c r="B42" s="202"/>
      <c r="C42" s="9"/>
      <c r="D42" s="14" t="s">
        <v>96</v>
      </c>
      <c r="E42" s="7"/>
      <c r="F42" s="20">
        <v>-6.5176954555824203E-3</v>
      </c>
      <c r="G42" s="20">
        <v>1.0271172920679748E-2</v>
      </c>
      <c r="H42" s="20">
        <v>-1.3839384576522607E-2</v>
      </c>
      <c r="I42" s="7"/>
      <c r="J42" s="20" t="e">
        <f>-(SUM([1]H9!$AC$25:$AK$25)/1000)/J37</f>
        <v>#DIV/0!</v>
      </c>
      <c r="K42" s="20" t="e">
        <f>-(SUM([1]H9!$AC$26:$AK$26)/1000)/K37</f>
        <v>#DIV/0!</v>
      </c>
      <c r="L42" s="20" t="e">
        <f>-(SUM([1]H9!$AC$27:$AK$27)/1000)/L37</f>
        <v>#DIV/0!</v>
      </c>
      <c r="M42" s="7"/>
      <c r="N42" s="20">
        <v>-6.5176954555824203E-3</v>
      </c>
      <c r="O42" s="20">
        <v>1.0271172920679748E-2</v>
      </c>
      <c r="P42" s="20">
        <v>-1.3839384576522607E-2</v>
      </c>
      <c r="Q42" s="7"/>
      <c r="R42" s="20" t="e">
        <f>-(SUM([1]H9!$FA$25:$FI$25)/1000)/R37</f>
        <v>#DIV/0!</v>
      </c>
      <c r="S42" s="20" t="e">
        <f>-(SUM([1]H9!$FA$26:$FI$26)/1000)/S37</f>
        <v>#DIV/0!</v>
      </c>
      <c r="T42" s="20" t="e">
        <f>-(SUM([1]H9!$FA$27:$FI$27)/1000)/T37</f>
        <v>#DIV/0!</v>
      </c>
    </row>
    <row r="43" spans="2:20" ht="20.149999999999999" hidden="1" customHeight="1" outlineLevel="2" x14ac:dyDescent="0.25">
      <c r="B43" s="202"/>
      <c r="C43" s="9"/>
      <c r="D43" s="15" t="s">
        <v>87</v>
      </c>
      <c r="E43" s="7"/>
      <c r="F43" s="20">
        <v>0.14250764702775406</v>
      </c>
      <c r="G43" s="20">
        <v>0.14258208046225504</v>
      </c>
      <c r="H43" s="20">
        <v>0.14342599004580675</v>
      </c>
      <c r="I43" s="7"/>
      <c r="J43" s="20" t="e">
        <f>-(SUM([1]H9!$AL$25:$AN$25)/1000)/J37</f>
        <v>#DIV/0!</v>
      </c>
      <c r="K43" s="20" t="e">
        <f>-(SUM([1]H9!$AL$26:$AN$26)/1000)/K37</f>
        <v>#DIV/0!</v>
      </c>
      <c r="L43" s="20" t="e">
        <f>-(SUM([1]H9!$AL$27:$AN$27)/1000)/L37</f>
        <v>#DIV/0!</v>
      </c>
      <c r="M43" s="7"/>
      <c r="N43" s="20">
        <v>0.14250764702775406</v>
      </c>
      <c r="O43" s="20">
        <v>0.14258208046225504</v>
      </c>
      <c r="P43" s="20">
        <v>0.14342599004580675</v>
      </c>
      <c r="Q43" s="7"/>
      <c r="R43" s="20" t="e">
        <f>-(SUM([1]H9!$FJ$25:$FL$25)/1000)/R37</f>
        <v>#DIV/0!</v>
      </c>
      <c r="S43" s="20" t="e">
        <f>-(SUM([1]H9!$FJ$26:$FL$26)/1000)/S37</f>
        <v>#DIV/0!</v>
      </c>
      <c r="T43" s="20" t="e">
        <f>-(SUM([1]H9!$FJ$27:$FL$27)/1000)/T37</f>
        <v>#DIV/0!</v>
      </c>
    </row>
    <row r="44" spans="2:20" ht="20.149999999999999" hidden="1" customHeight="1" outlineLevel="2" x14ac:dyDescent="0.25">
      <c r="B44" s="202"/>
      <c r="C44" s="9"/>
      <c r="D44" s="15" t="s">
        <v>88</v>
      </c>
      <c r="E44" s="7"/>
      <c r="F44" s="20">
        <v>0.1612418402864387</v>
      </c>
      <c r="G44" s="20">
        <v>0.15005832449453124</v>
      </c>
      <c r="H44" s="20">
        <v>0.14611723939708512</v>
      </c>
      <c r="I44" s="7"/>
      <c r="J44" s="20" t="e">
        <f>-(SUM([1]H9!$AO$25:$AR$25)/1000)/J37</f>
        <v>#DIV/0!</v>
      </c>
      <c r="K44" s="20" t="e">
        <f>-(SUM([1]H9!$AO$26:$AR$26)/1000)/K37</f>
        <v>#DIV/0!</v>
      </c>
      <c r="L44" s="20" t="e">
        <f>-(SUM([1]H9!$AO$27:$AR$27)/1000)/L37</f>
        <v>#DIV/0!</v>
      </c>
      <c r="M44" s="7"/>
      <c r="N44" s="20">
        <v>0.1612418402864387</v>
      </c>
      <c r="O44" s="20">
        <v>0.15005832449453124</v>
      </c>
      <c r="P44" s="20">
        <v>0.14611723939708512</v>
      </c>
      <c r="Q44" s="7"/>
      <c r="R44" s="20" t="e">
        <f>-(SUM([1]H9!$FM$25:$FP$25)/1000)/R37</f>
        <v>#DIV/0!</v>
      </c>
      <c r="S44" s="20" t="e">
        <f>-(SUM([1]H9!$FM$26:$FP$26)/1000)/S37</f>
        <v>#DIV/0!</v>
      </c>
      <c r="T44" s="20" t="e">
        <f>-(SUM([1]H9!$FM$27:$FP$27)/1000)/T37</f>
        <v>#DIV/0!</v>
      </c>
    </row>
    <row r="45" spans="2:20" ht="20.149999999999999" hidden="1" customHeight="1" outlineLevel="1" x14ac:dyDescent="0.25">
      <c r="B45" s="202"/>
      <c r="C45" s="9"/>
      <c r="D45" s="14" t="s">
        <v>97</v>
      </c>
      <c r="E45" s="7"/>
      <c r="F45" s="20">
        <v>0.30374948731419277</v>
      </c>
      <c r="G45" s="20">
        <v>0.29264040495678634</v>
      </c>
      <c r="H45" s="20">
        <v>0.2895432294428919</v>
      </c>
      <c r="I45" s="7"/>
      <c r="J45" s="20" t="e">
        <f>+J43+J44</f>
        <v>#DIV/0!</v>
      </c>
      <c r="K45" s="20" t="e">
        <f>+K43+K44</f>
        <v>#DIV/0!</v>
      </c>
      <c r="L45" s="20" t="e">
        <f>+L43+L44</f>
        <v>#DIV/0!</v>
      </c>
      <c r="M45" s="7"/>
      <c r="N45" s="20">
        <v>0.30374948731419277</v>
      </c>
      <c r="O45" s="20">
        <v>0.29264040495678634</v>
      </c>
      <c r="P45" s="20">
        <v>0.2895432294428919</v>
      </c>
      <c r="Q45" s="7"/>
      <c r="R45" s="20" t="e">
        <f>+R43+R44</f>
        <v>#DIV/0!</v>
      </c>
      <c r="S45" s="20" t="e">
        <f>+S43+S44</f>
        <v>#DIV/0!</v>
      </c>
      <c r="T45" s="20" t="e">
        <f>+T43+T44</f>
        <v>#DIV/0!</v>
      </c>
    </row>
    <row r="46" spans="2:20" ht="20.149999999999999" hidden="1" customHeight="1" outlineLevel="1" x14ac:dyDescent="0.25">
      <c r="B46" s="202"/>
      <c r="C46" s="9"/>
      <c r="D46" s="14" t="s">
        <v>90</v>
      </c>
      <c r="E46" s="7"/>
      <c r="F46" s="20"/>
      <c r="G46" s="20"/>
      <c r="H46" s="20"/>
      <c r="I46" s="7"/>
      <c r="J46" s="20" t="e">
        <f>-(SUM([1]H9!$AT$25:$BJ$25)/1000/J37)</f>
        <v>#DIV/0!</v>
      </c>
      <c r="K46" s="20" t="e">
        <f>-(SUM([1]H9!$AT$26:$BJ$26)/1000/K37)</f>
        <v>#DIV/0!</v>
      </c>
      <c r="L46" s="20" t="e">
        <f>-(SUM([1]H9!$AT$27:$BJ$27)/1000/L37)</f>
        <v>#DIV/0!</v>
      </c>
      <c r="M46" s="7"/>
      <c r="N46" s="20"/>
      <c r="O46" s="20"/>
      <c r="P46" s="20"/>
      <c r="Q46" s="7"/>
      <c r="R46" s="20" t="e">
        <f>-(SUM([1]H9!$FR$25:$GH$25)/1000/R37)</f>
        <v>#DIV/0!</v>
      </c>
      <c r="S46" s="20" t="e">
        <f>-(SUM([1]H9!$FR$26:$GH$26)/1000/S37)</f>
        <v>#DIV/0!</v>
      </c>
      <c r="T46" s="20" t="e">
        <f>-(SUM([1]H9!$FR$27:$GH$27)/1000/T37)</f>
        <v>#DIV/0!</v>
      </c>
    </row>
    <row r="47" spans="2:20" ht="20.149999999999999" hidden="1" customHeight="1" outlineLevel="1" x14ac:dyDescent="0.25">
      <c r="B47" s="202"/>
      <c r="C47" s="9"/>
      <c r="D47" s="14" t="s">
        <v>79</v>
      </c>
      <c r="E47" s="8"/>
      <c r="F47" s="20">
        <v>0.77452884432009284</v>
      </c>
      <c r="G47" s="20">
        <v>0.71194697039695087</v>
      </c>
      <c r="H47" s="20">
        <v>0.83522221835157051</v>
      </c>
      <c r="I47" s="8"/>
      <c r="J47" s="20" t="e">
        <f>+J41+J42+J45+J46</f>
        <v>#DIV/0!</v>
      </c>
      <c r="K47" s="20" t="e">
        <f>+K41+K42+K45+K46</f>
        <v>#DIV/0!</v>
      </c>
      <c r="L47" s="20" t="e">
        <f>+L41+L42+L45+L46</f>
        <v>#DIV/0!</v>
      </c>
      <c r="M47" s="8"/>
      <c r="N47" s="20">
        <v>0.77452884432009284</v>
      </c>
      <c r="O47" s="20">
        <v>0.71194697039695087</v>
      </c>
      <c r="P47" s="20">
        <v>0.83522221835157051</v>
      </c>
      <c r="Q47" s="8"/>
      <c r="R47" s="20" t="e">
        <f>+R41+R42+R45+R46</f>
        <v>#DIV/0!</v>
      </c>
      <c r="S47" s="20" t="e">
        <f>+S41+S42+S45+S46</f>
        <v>#DIV/0!</v>
      </c>
      <c r="T47" s="20" t="e">
        <f>+T41+T42+T45+T46</f>
        <v>#DIV/0!</v>
      </c>
    </row>
    <row r="48" spans="2:20" ht="19.5" hidden="1" customHeight="1" outlineLevel="1" x14ac:dyDescent="0.25">
      <c r="B48" s="202"/>
      <c r="C48" s="9"/>
      <c r="D48" s="14" t="s">
        <v>34</v>
      </c>
      <c r="E48" s="6"/>
      <c r="F48" s="19">
        <v>29.55470165000002</v>
      </c>
      <c r="G48" s="19">
        <v>37.879180670000004</v>
      </c>
      <c r="H48" s="19">
        <v>22.820673834629417</v>
      </c>
      <c r="I48" s="6"/>
      <c r="J48" s="19">
        <f>+[1]H9!$BK$25/1000</f>
        <v>0</v>
      </c>
      <c r="K48" s="19">
        <f>+[1]H9!$BK$26/1000</f>
        <v>0</v>
      </c>
      <c r="L48" s="19">
        <f>+[1]H9!$BK$27/1000</f>
        <v>0</v>
      </c>
      <c r="M48" s="6"/>
      <c r="N48" s="19">
        <v>29.55470165000002</v>
      </c>
      <c r="O48" s="19">
        <v>37.879180670000004</v>
      </c>
      <c r="P48" s="19">
        <v>22.820673834629417</v>
      </c>
      <c r="Q48" s="6"/>
      <c r="R48" s="19">
        <f>+[1]H9!$GI$25/1000</f>
        <v>0</v>
      </c>
      <c r="S48" s="19">
        <f>+[1]H9!$GI$26/1000</f>
        <v>0</v>
      </c>
      <c r="T48" s="19">
        <f>+[1]H9!$GI$27/1000</f>
        <v>0</v>
      </c>
    </row>
    <row r="49" spans="2:20" ht="7.5" hidden="1" customHeight="1" outlineLevel="1" x14ac:dyDescent="0.25"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2:20" ht="19.5" customHeight="1" collapsed="1" x14ac:dyDescent="0.25">
      <c r="B50" s="204" t="s">
        <v>99</v>
      </c>
      <c r="C50" s="9"/>
      <c r="D50" s="14" t="s">
        <v>19</v>
      </c>
      <c r="E50" s="6"/>
      <c r="F50" s="19">
        <v>229.38382952000003</v>
      </c>
      <c r="G50" s="19">
        <v>212.12458179999999</v>
      </c>
      <c r="H50" s="19">
        <v>203.05293351311161</v>
      </c>
      <c r="I50" s="6"/>
      <c r="J50" s="19">
        <f t="shared" ref="J50:L51" si="0">J64+J78</f>
        <v>104.34645936000001</v>
      </c>
      <c r="K50" s="19">
        <f t="shared" si="0"/>
        <v>106.73087693000001</v>
      </c>
      <c r="L50" s="19">
        <f t="shared" si="0"/>
        <v>108.02706000000001</v>
      </c>
      <c r="M50" s="6"/>
      <c r="N50" s="19">
        <v>229.38382952000003</v>
      </c>
      <c r="O50" s="19">
        <v>212.12458179999999</v>
      </c>
      <c r="P50" s="19">
        <v>203.05293351311161</v>
      </c>
      <c r="Q50" s="6"/>
      <c r="R50" s="19">
        <f t="shared" ref="R50:T51" si="1">R64+R78</f>
        <v>21.888697140000005</v>
      </c>
      <c r="S50" s="19">
        <f t="shared" si="1"/>
        <v>22.670488880000004</v>
      </c>
      <c r="T50" s="19">
        <f t="shared" si="1"/>
        <v>28.287520000000001</v>
      </c>
    </row>
    <row r="51" spans="2:20" ht="20.149999999999999" customHeight="1" x14ac:dyDescent="0.25">
      <c r="B51" s="204"/>
      <c r="C51" s="9"/>
      <c r="D51" s="14" t="s">
        <v>20</v>
      </c>
      <c r="E51" s="6"/>
      <c r="F51" s="19">
        <v>211.42561673000003</v>
      </c>
      <c r="G51" s="19">
        <v>196.68713613999998</v>
      </c>
      <c r="H51" s="19">
        <v>187.22452828540679</v>
      </c>
      <c r="I51" s="6"/>
      <c r="J51" s="19">
        <f t="shared" si="0"/>
        <v>42.188409589999999</v>
      </c>
      <c r="K51" s="19">
        <f t="shared" si="0"/>
        <v>41.47480268999999</v>
      </c>
      <c r="L51" s="19">
        <f t="shared" si="0"/>
        <v>55.411310939651834</v>
      </c>
      <c r="M51" s="6"/>
      <c r="N51" s="19">
        <v>211.42561673000003</v>
      </c>
      <c r="O51" s="19">
        <v>196.68713613999998</v>
      </c>
      <c r="P51" s="19">
        <v>187.22452828540679</v>
      </c>
      <c r="Q51" s="6"/>
      <c r="R51" s="19">
        <f t="shared" si="1"/>
        <v>17.991318649999997</v>
      </c>
      <c r="S51" s="19">
        <f t="shared" si="1"/>
        <v>18.108111030000003</v>
      </c>
      <c r="T51" s="19">
        <f t="shared" si="1"/>
        <v>18.470436979883942</v>
      </c>
    </row>
    <row r="52" spans="2:20" ht="19.5" customHeight="1" x14ac:dyDescent="0.25">
      <c r="B52" s="204"/>
      <c r="C52" s="9"/>
      <c r="D52" s="14" t="s">
        <v>92</v>
      </c>
      <c r="E52" s="6"/>
      <c r="F52" s="20" t="str">
        <f>IFERROR((F66*F65+F80*F79)/F51,"n/a")</f>
        <v>n/a</v>
      </c>
      <c r="G52" s="20" t="str">
        <f>IFERROR((G66*G65+G80*G79)/G51,"n/a")</f>
        <v>n/a</v>
      </c>
      <c r="H52" s="20" t="str">
        <f>IFERROR((H66*H65+H80*H79)/H51,"n/a")</f>
        <v>n/a</v>
      </c>
      <c r="I52" s="6"/>
      <c r="J52" s="20">
        <f>(-(SUM([1]H9!$O$33,[1]H9!$R$33:$V$33,[1]H9!$Y$33:$AB$33)/1000)-(SUM([1]H9!$O$37,[1]H9!$R$37:$V$37,[1]H9!$Y$37:$AB$37)/1000))/J51</f>
        <v>0.29156833506204721</v>
      </c>
      <c r="K52" s="20">
        <f>(-(SUM([1]H9!$O$34,[1]H9!$R$34:$V$34,[1]H9!$Y$34:$AB$34)/1000)-(SUM([1]H9!$O$38,[1]H9!$R$38:$V$38,[1]H9!$Y$38:$AB$38)/1000))/K51</f>
        <v>0.3254381013803338</v>
      </c>
      <c r="L52" s="20">
        <f>(-(SUM([1]H9!$O$35,[1]H9!$R$35:$V$35,[1]H9!$Y$35:$AB$35)/1000)-(SUM([1]H9!$O$39,[1]H9!$R$39:$V$39,[1]H9!$Y$39:$AB$39)/1000))/L51</f>
        <v>0.31238630454078226</v>
      </c>
      <c r="M52" s="6"/>
      <c r="N52" s="20" t="str">
        <f>IFERROR((N66*N65+N80*N79)/N51,"n/a")</f>
        <v>n/a</v>
      </c>
      <c r="O52" s="20" t="str">
        <f>IFERROR((O66*O65+O80*O79)/O51,"n/a")</f>
        <v>n/a</v>
      </c>
      <c r="P52" s="20" t="str">
        <f>IFERROR((P66*P65+P80*P79)/P51,"n/a")</f>
        <v>n/a</v>
      </c>
      <c r="Q52" s="6"/>
      <c r="R52" s="20">
        <f>(-(SUM([1]H9!$EM$33,[1]H9!$EP$33:$ET$33,[1]H9!$EW$33:$EZ$33)/1000)-(SUM([1]H9!$EM$37,[1]H9!$EP$37:$ET$37,[1]H9!$EW$37:$EZ$37)/1000))/R51</f>
        <v>0.26978109936614375</v>
      </c>
      <c r="S52" s="20">
        <f>(-(SUM([1]H9!$EM$34,[1]H9!$EP$34:$ET$34,[1]H9!$EW$34:$EZ$34)/1000)-(SUM([1]H9!$EM$38,[1]H9!$EP$38:$ET$38,[1]H9!$EW$38:$EZ$38)/1000))/S51</f>
        <v>0.23213455016803144</v>
      </c>
      <c r="T52" s="20">
        <f>(-(SUM([1]H9!$EM$35,[1]H9!$EP$35:$ET$35,[1]H9!$EW$35:$EZ$35)/1000)-(SUM([1]H9!$EM$39,[1]H9!$EP$39:$ET$39,[1]H9!$EW$39:$EZ$39)/1000))/T51</f>
        <v>0.31238630454078231</v>
      </c>
    </row>
    <row r="53" spans="2:20" ht="19.5" customHeight="1" x14ac:dyDescent="0.25">
      <c r="B53" s="204"/>
      <c r="C53" s="9"/>
      <c r="D53" s="14" t="s">
        <v>93</v>
      </c>
      <c r="E53" s="6"/>
      <c r="F53" s="20">
        <f>IFERROR((F67*F65+F81*F79)/F51,"n/a")</f>
        <v>0</v>
      </c>
      <c r="G53" s="20">
        <f>IFERROR((G67*G65+G81*G79)/G51,"n/a")</f>
        <v>0</v>
      </c>
      <c r="H53" s="20">
        <f>IFERROR((H67*H65+H81*H79)/H51,"n/a")</f>
        <v>0</v>
      </c>
      <c r="I53" s="6"/>
      <c r="J53" s="20">
        <f>(-(SUM([1]H9!$Q$33,[1]H9!$X$33)/1000)-(SUM([1]H9!$Q$37,[1]H9!$X$37)/1000))/J51</f>
        <v>0.27833761289051712</v>
      </c>
      <c r="K53" s="20">
        <f>(-(SUM([1]H9!$Q$34,[1]H9!$X$34)/1000)-(SUM([1]H9!$Q$38,[1]H9!$X$38)/1000))/K51</f>
        <v>0.26845949987188339</v>
      </c>
      <c r="L53" s="20">
        <f>(-(SUM([1]H9!$Q$35,[1]H9!$X$35)/1000)-(SUM([1]H9!$Q$39,[1]H9!$X$39)/1000))/L51</f>
        <v>0.2610105893830505</v>
      </c>
      <c r="M53" s="6"/>
      <c r="N53" s="20">
        <f>IFERROR((N67*N65+N81*N79)/N51,"n/a")</f>
        <v>0</v>
      </c>
      <c r="O53" s="20">
        <f>IFERROR((O67*O65+O81*O79)/O51,"n/a")</f>
        <v>0</v>
      </c>
      <c r="P53" s="20">
        <f>IFERROR((P67*P65+P81*P79)/P51,"n/a")</f>
        <v>0</v>
      </c>
      <c r="Q53" s="6"/>
      <c r="R53" s="20">
        <f>(-(SUM([1]H9!$EO$33,[1]H9!$EV$33)/1000)-(SUM([1]H9!$EO$37,[1]H9!$EV$37)/1000))/R51</f>
        <v>0.20848023141185371</v>
      </c>
      <c r="S53" s="20">
        <f>(-(SUM([1]H9!$EO$34,[1]H9!$EV$34)/1000)-(SUM([1]H9!$EO$38,[1]H9!$EV$38)/1000))/S51</f>
        <v>0.32286198002499089</v>
      </c>
      <c r="T53" s="20">
        <f>(-(SUM([1]H9!$EO$35,[1]H9!$EV$35)/1000)-(SUM([1]H9!$EO$39,[1]H9!$EV$39)/1000))/T51</f>
        <v>0.26101058938305055</v>
      </c>
    </row>
    <row r="54" spans="2:20" ht="19.5" customHeight="1" x14ac:dyDescent="0.25">
      <c r="B54" s="204"/>
      <c r="C54" s="9"/>
      <c r="D54" s="14" t="s">
        <v>94</v>
      </c>
      <c r="E54" s="6"/>
      <c r="F54" s="20" t="str">
        <f>IFERROR((F68*F65+F82*F79)/F51,"n/a")</f>
        <v>n/a</v>
      </c>
      <c r="G54" s="20" t="str">
        <f>IFERROR((G68*G65+G82*G79)/G51,"n/a")</f>
        <v>n/a</v>
      </c>
      <c r="H54" s="20" t="str">
        <f>IFERROR((H68*H65+H82*H79)/H51,"n/a")</f>
        <v>n/a</v>
      </c>
      <c r="I54" s="6"/>
      <c r="J54" s="20">
        <f>(-(SUM([1]H9!$P$33,[1]H9!$W$33)/1000)-(SUM([1]H9!$P$37,[1]H9!$W$37)/1000))/J51</f>
        <v>1.4113457837982462E-2</v>
      </c>
      <c r="K54" s="20">
        <f>(-(SUM([1]H9!$P$34,[1]H9!$W$34)/1000)-(SUM([1]H9!$P$38,[1]H9!$W$38)/1000))/K51</f>
        <v>0</v>
      </c>
      <c r="L54" s="20">
        <f>(-(SUM([1]H9!$P$35,[1]H9!$W$35)/1000)-(SUM([1]H9!$P$39,[1]H9!$W$39)/1000))/L51</f>
        <v>0.1047565428044057</v>
      </c>
      <c r="M54" s="6"/>
      <c r="N54" s="20" t="str">
        <f>IFERROR((N68*N65+N82*N79)/N51,"n/a")</f>
        <v>n/a</v>
      </c>
      <c r="O54" s="20" t="str">
        <f>IFERROR((O68*O65+O82*O79)/O51,"n/a")</f>
        <v>n/a</v>
      </c>
      <c r="P54" s="20" t="str">
        <f>IFERROR((P68*P65+P82*P79)/P51,"n/a")</f>
        <v>n/a</v>
      </c>
      <c r="Q54" s="6"/>
      <c r="R54" s="20">
        <f>(-(SUM([1]H9!$EN$33,[1]H9!$EU$33)/1000)-(SUM([1]H9!$EN$37,[1]H9!$EU$37)/1000))/R51</f>
        <v>3.3095091670782013E-2</v>
      </c>
      <c r="S54" s="20">
        <f>(-(SUM([1]H9!$EN$34,[1]H9!$EU$34)/1000)-(SUM([1]H9!$EN$38,[1]H9!$EU$38)/1000))/S51</f>
        <v>0</v>
      </c>
      <c r="T54" s="20">
        <f>(-(SUM([1]H9!$EN$35,[1]H9!$EU$35)/1000)-(SUM([1]H9!$EN$39,[1]H9!$EU$39)/1000))/T51</f>
        <v>0.10475654280440572</v>
      </c>
    </row>
    <row r="55" spans="2:20" ht="19.5" hidden="1" customHeight="1" outlineLevel="1" x14ac:dyDescent="0.25">
      <c r="B55" s="204"/>
      <c r="C55" s="9"/>
      <c r="D55" s="14" t="s">
        <v>95</v>
      </c>
      <c r="E55" s="7"/>
      <c r="F55" s="20">
        <v>0.58127654633707238</v>
      </c>
      <c r="G55" s="20">
        <v>0.52862258732565415</v>
      </c>
      <c r="H55" s="20">
        <v>0.63822529577194531</v>
      </c>
      <c r="I55" s="7"/>
      <c r="J55" s="20">
        <f>+J52+J53+J54</f>
        <v>0.58401940579054679</v>
      </c>
      <c r="K55" s="20">
        <f>+K52+K53+K54</f>
        <v>0.59389760125221724</v>
      </c>
      <c r="L55" s="20">
        <f>+L52+L53+L54</f>
        <v>0.67815343672823847</v>
      </c>
      <c r="M55" s="7"/>
      <c r="N55" s="20">
        <v>0.58127654633707238</v>
      </c>
      <c r="O55" s="20">
        <v>0.52862258732565415</v>
      </c>
      <c r="P55" s="20">
        <v>0.63822529577194531</v>
      </c>
      <c r="Q55" s="7"/>
      <c r="R55" s="20">
        <f>+R52+R53+R54</f>
        <v>0.51135642244877955</v>
      </c>
      <c r="S55" s="20">
        <f>+S52+S53+S54</f>
        <v>0.55499653019302231</v>
      </c>
      <c r="T55" s="20">
        <f>+T52+T53+T54</f>
        <v>0.67815343672823858</v>
      </c>
    </row>
    <row r="56" spans="2:20" ht="20.149999999999999" customHeight="1" collapsed="1" x14ac:dyDescent="0.25">
      <c r="B56" s="204"/>
      <c r="C56" s="9"/>
      <c r="D56" s="14" t="s">
        <v>96</v>
      </c>
      <c r="E56" s="7"/>
      <c r="F56" s="20">
        <v>-5.0410234222519779E-2</v>
      </c>
      <c r="G56" s="20">
        <v>-9.0336924359673568E-2</v>
      </c>
      <c r="H56" s="20">
        <v>-2.670590251069002E-3</v>
      </c>
      <c r="I56" s="7"/>
      <c r="J56" s="20">
        <f>(-(SUM([1]H9!$AC$33:$AK$33)/1000)-(SUM([1]H9!$AC$37:$AK$37)/1000))/J51</f>
        <v>-0.10694857885966587</v>
      </c>
      <c r="K56" s="20">
        <f>(-(SUM([1]H9!$AC$34:$AK$34)/1000)-(SUM([1]H9!$AC$38:$AK$38)/1000))/K51</f>
        <v>-4.200879997001368E-2</v>
      </c>
      <c r="L56" s="20">
        <f>(-(SUM([1]H9!$AC$35:$AK$35)/1000)-(SUM([1]H9!$AC$39:$AK$39)/1000))/L51</f>
        <v>-1.9998889878365504E-2</v>
      </c>
      <c r="M56" s="7"/>
      <c r="N56" s="20">
        <v>-5.0410234222519779E-2</v>
      </c>
      <c r="O56" s="20">
        <v>-9.0336924359673568E-2</v>
      </c>
      <c r="P56" s="20">
        <v>-2.670590251069002E-3</v>
      </c>
      <c r="Q56" s="7"/>
      <c r="R56" s="20">
        <f>(-(SUM([1]H9!$FA$33:$FI$33)/1000)-(SUM([1]H9!$FA$37:$FI$37)/1000))/R51</f>
        <v>-9.7387922702374702E-2</v>
      </c>
      <c r="S56" s="20">
        <f>(-(SUM([1]H9!$FA$34:$FI$34)/1000)-(SUM([1]H9!$FA$38:$FI$38)/1000))/S51</f>
        <v>-7.8709811180110762E-4</v>
      </c>
      <c r="T56" s="20">
        <f>(-(SUM([1]H9!$FA$35:$FI$35)/1000)-(SUM([1]H9!$FA$39:$FI$39)/1000))/T51</f>
        <v>-1.9998889878365452E-2</v>
      </c>
    </row>
    <row r="57" spans="2:20" ht="20.149999999999999" hidden="1" customHeight="1" outlineLevel="1" x14ac:dyDescent="0.25">
      <c r="B57" s="204"/>
      <c r="C57" s="9"/>
      <c r="D57" s="15" t="s">
        <v>87</v>
      </c>
      <c r="E57" s="7"/>
      <c r="F57" s="20">
        <v>0.15730436554654667</v>
      </c>
      <c r="G57" s="20">
        <v>0.16042032742568968</v>
      </c>
      <c r="H57" s="20">
        <v>0.16278191221801697</v>
      </c>
      <c r="I57" s="7"/>
      <c r="J57" s="20">
        <f>(-(SUM([1]H9!$AL$33:$AN$33)/1000)-(SUM([1]H9!$AL$37:$AN$37)/1000))/J51</f>
        <v>0.1410756873236283</v>
      </c>
      <c r="K57" s="20">
        <f>(-(SUM([1]H9!$AL$34:$AN$34)/1000)-(SUM([1]H9!$AL$38:$AN$38)/1000))/K51</f>
        <v>0.14704184841053924</v>
      </c>
      <c r="L57" s="20">
        <f>(-(SUM([1]H9!$AL$35:$AN$35)/1000)-(SUM([1]H9!$AL$39:$AN$39)/1000))/L51</f>
        <v>0.14259694707309264</v>
      </c>
      <c r="M57" s="7"/>
      <c r="N57" s="20">
        <v>0.15730436554654667</v>
      </c>
      <c r="O57" s="20">
        <v>0.16042032742568968</v>
      </c>
      <c r="P57" s="20">
        <v>0.16278191221801697</v>
      </c>
      <c r="Q57" s="7"/>
      <c r="R57" s="20">
        <f>(-(SUM([1]H9!$FJ$33:$FL$33)/1000)-(SUM([1]H9!$FJ$37:$FL$37)/1000))/R51</f>
        <v>0.13215599624766802</v>
      </c>
      <c r="S57" s="20">
        <f>(-(SUM([1]H9!$FJ$34:$FL$34)/1000)-(SUM([1]H9!$FJ$38:$FL$38)/1000))/S51</f>
        <v>0.12879944882909197</v>
      </c>
      <c r="T57" s="20">
        <f>(-(SUM([1]H9!$FJ$35:$FL$35)/1000)-(SUM([1]H9!$FJ$39:$FL$39)/1000))/T51</f>
        <v>0.14259694707309267</v>
      </c>
    </row>
    <row r="58" spans="2:20" ht="20.149999999999999" hidden="1" customHeight="1" outlineLevel="1" x14ac:dyDescent="0.25">
      <c r="B58" s="204"/>
      <c r="C58" s="9"/>
      <c r="D58" s="15" t="s">
        <v>88</v>
      </c>
      <c r="E58" s="7"/>
      <c r="F58" s="20">
        <v>9.6659400436315324E-2</v>
      </c>
      <c r="G58" s="20">
        <v>0.1077703100771784</v>
      </c>
      <c r="H58" s="20">
        <v>0.10810289803432095</v>
      </c>
      <c r="I58" s="7"/>
      <c r="J58" s="20">
        <f>(-(SUM([1]H9!$AO$33:$AR$33)/1000)-(SUM([1]H9!$AO$37:$AR$37)/1000))/J51</f>
        <v>9.8796155401600194E-2</v>
      </c>
      <c r="K58" s="20">
        <f>(-(SUM([1]H9!$AO$34:$AR$34)/1000)-(SUM([1]H9!$AO$38:$AR$38)/1000))/K51</f>
        <v>8.8313371310700287E-2</v>
      </c>
      <c r="L58" s="20">
        <f>(-(SUM([1]H9!$AO$35:$AR$35)/1000)-(SUM([1]H9!$AO$39:$AR$39)/1000))/L51</f>
        <v>9.2228417556898964E-2</v>
      </c>
      <c r="M58" s="7"/>
      <c r="N58" s="20">
        <v>9.6659400436315324E-2</v>
      </c>
      <c r="O58" s="20">
        <v>0.1077703100771784</v>
      </c>
      <c r="P58" s="20">
        <v>0.10810289803432095</v>
      </c>
      <c r="Q58" s="7"/>
      <c r="R58" s="20">
        <f>(-(SUM([1]H9!$FM$33:$FP$33)/1000)-(SUM([1]H9!$FM$37:$FP$37)/1000))/R51</f>
        <v>7.7894237618875151E-2</v>
      </c>
      <c r="S58" s="20">
        <f>(-(SUM([1]H9!$FM$34:$FP$34)/1000)-(SUM([1]H9!$FM$38:$FP$38)/1000))/S51</f>
        <v>6.950964559001821E-2</v>
      </c>
      <c r="T58" s="20">
        <f>(-(SUM([1]H9!$FM$35:$FP$35)/1000)-(SUM([1]H9!$FM$39:$FP$39)/1000))/T51</f>
        <v>9.2228417556898978E-2</v>
      </c>
    </row>
    <row r="59" spans="2:20" ht="20.149999999999999" customHeight="1" collapsed="1" x14ac:dyDescent="0.25">
      <c r="B59" s="204"/>
      <c r="C59" s="9"/>
      <c r="D59" s="14" t="s">
        <v>97</v>
      </c>
      <c r="E59" s="7"/>
      <c r="F59" s="20">
        <v>0.25396376598286197</v>
      </c>
      <c r="G59" s="20">
        <v>0.26819063750286803</v>
      </c>
      <c r="H59" s="20">
        <v>0.2708848102523379</v>
      </c>
      <c r="I59" s="7"/>
      <c r="J59" s="20">
        <f>+J57+J58</f>
        <v>0.23987184272522849</v>
      </c>
      <c r="K59" s="20">
        <f>+K57+K58</f>
        <v>0.23535521972123952</v>
      </c>
      <c r="L59" s="20">
        <f>+L57+L58</f>
        <v>0.2348253646299916</v>
      </c>
      <c r="M59" s="7"/>
      <c r="N59" s="20">
        <v>0.25396376598286197</v>
      </c>
      <c r="O59" s="20">
        <v>0.26819063750286803</v>
      </c>
      <c r="P59" s="20">
        <v>0.2708848102523379</v>
      </c>
      <c r="Q59" s="7"/>
      <c r="R59" s="20">
        <f>+R57+R58</f>
        <v>0.21005023386654317</v>
      </c>
      <c r="S59" s="20">
        <f>+S57+S58</f>
        <v>0.19830909441911018</v>
      </c>
      <c r="T59" s="20">
        <f>+T57+T58</f>
        <v>0.23482536462999165</v>
      </c>
    </row>
    <row r="60" spans="2:20" ht="20.149999999999999" customHeight="1" x14ac:dyDescent="0.25">
      <c r="B60" s="204"/>
      <c r="C60" s="9"/>
      <c r="D60" s="14" t="s">
        <v>90</v>
      </c>
      <c r="E60" s="7"/>
      <c r="F60" s="20"/>
      <c r="G60" s="20"/>
      <c r="H60" s="20"/>
      <c r="I60" s="7"/>
      <c r="J60" s="20">
        <f>(-(SUM([1]H9!$AT$33:$BJ$33)/1000)-(SUM([1]H9!$AT$37:$BJ$37)/1000))/J51</f>
        <v>0.10501772366053301</v>
      </c>
      <c r="K60" s="20">
        <f>(-(SUM([1]H9!$AT$34:$BJ$34)/1000)-(SUM([1]H9!$AT$38:$BJ$38)/1000))/K51</f>
        <v>0.10944351402772168</v>
      </c>
      <c r="L60" s="20">
        <f>(-(SUM([1]H9!$AT$35:$BJ$35)/1000)-(SUM([1]H9!$AT$39:$BJ$39)/1000))/L51</f>
        <v>8.1884294669568331E-3</v>
      </c>
      <c r="M60" s="7"/>
      <c r="N60" s="20"/>
      <c r="O60" s="20"/>
      <c r="P60" s="20"/>
      <c r="Q60" s="7"/>
      <c r="R60" s="20">
        <f>(-(SUM([1]H9!$FR$33:$GH$33)/1000)-(SUM([1]H9!$FR$37:$GH$37)/1000))/R51</f>
        <v>0.15115298233017516</v>
      </c>
      <c r="S60" s="20">
        <f>(-(SUM([1]H9!$FR$34:$GH$34)/1000)-(SUM([1]H9!$FR$38:$GH$38)/1000))/S51</f>
        <v>5.5376398363071011E-2</v>
      </c>
      <c r="T60" s="20">
        <f>(-(SUM([1]H9!$FR$35:$GH$35)/1000)-(SUM([1]H9!$FR$39:$GH$39)/1000))/T51</f>
        <v>8.1884294669568227E-3</v>
      </c>
    </row>
    <row r="61" spans="2:20" ht="20.149999999999999" customHeight="1" x14ac:dyDescent="0.25">
      <c r="B61" s="204"/>
      <c r="C61" s="9"/>
      <c r="D61" s="14" t="s">
        <v>79</v>
      </c>
      <c r="E61" s="8"/>
      <c r="F61" s="20">
        <v>0.78483007809741478</v>
      </c>
      <c r="G61" s="20">
        <v>0.70647630046884868</v>
      </c>
      <c r="H61" s="20">
        <v>0.90643951577321424</v>
      </c>
      <c r="I61" s="8"/>
      <c r="J61" s="29">
        <f>+J55+J56+J59+J60</f>
        <v>0.82196039331664239</v>
      </c>
      <c r="K61" s="20">
        <f>+K55+K56+K59+K60</f>
        <v>0.89668753503116472</v>
      </c>
      <c r="L61" s="20">
        <f>+L55+L56+L59+L60</f>
        <v>0.90116834094682141</v>
      </c>
      <c r="M61" s="8"/>
      <c r="N61" s="20">
        <v>0.78483007809741478</v>
      </c>
      <c r="O61" s="20">
        <v>0.70647630046884868</v>
      </c>
      <c r="P61" s="20">
        <v>0.90643951577321424</v>
      </c>
      <c r="Q61" s="8"/>
      <c r="R61" s="29">
        <f>+R55+R56+R59+R60</f>
        <v>0.77517171594312317</v>
      </c>
      <c r="S61" s="20">
        <f>+S55+S56+S59+S60</f>
        <v>0.80789492486340242</v>
      </c>
      <c r="T61" s="20">
        <f>+T55+T56+T59+T60</f>
        <v>0.90116834094682174</v>
      </c>
    </row>
    <row r="62" spans="2:20" ht="19.5" customHeight="1" x14ac:dyDescent="0.25">
      <c r="B62" s="204"/>
      <c r="C62" s="9"/>
      <c r="D62" s="14" t="s">
        <v>34</v>
      </c>
      <c r="E62" s="6"/>
      <c r="F62" s="19">
        <v>45.460953930000031</v>
      </c>
      <c r="G62" s="19">
        <v>57.734353569999982</v>
      </c>
      <c r="H62" s="19">
        <v>17.516817525514227</v>
      </c>
      <c r="I62" s="6"/>
      <c r="J62" s="19">
        <f>+J76+J90</f>
        <v>7.5112078499999857</v>
      </c>
      <c r="K62" s="19">
        <f>+K76+K90</f>
        <v>4.2848640999999947</v>
      </c>
      <c r="L62" s="19">
        <f>+L76+L90</f>
        <v>5.4763917904773383</v>
      </c>
      <c r="M62" s="6"/>
      <c r="N62" s="19">
        <v>45.460953930000031</v>
      </c>
      <c r="O62" s="19">
        <v>57.734353569999982</v>
      </c>
      <c r="P62" s="19">
        <v>17.516817525514227</v>
      </c>
      <c r="Q62" s="6"/>
      <c r="R62" s="19">
        <f>+R76+R90</f>
        <v>4.0449572999999903</v>
      </c>
      <c r="S62" s="19">
        <f>+S76+S90</f>
        <v>3.4786600300000017</v>
      </c>
      <c r="T62" s="19">
        <f>+T76+T90</f>
        <v>1.8254639301591067</v>
      </c>
    </row>
    <row r="63" spans="2:20" ht="7.5" customHeight="1" x14ac:dyDescent="0.25"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2:20" ht="19.5" hidden="1" customHeight="1" outlineLevel="1" x14ac:dyDescent="0.25">
      <c r="B64" s="204" t="s">
        <v>100</v>
      </c>
      <c r="C64" s="9"/>
      <c r="D64" s="14" t="s">
        <v>19</v>
      </c>
      <c r="E64" s="6"/>
      <c r="F64" s="19">
        <v>208.45630805000005</v>
      </c>
      <c r="G64" s="19">
        <v>192.14014261</v>
      </c>
      <c r="H64" s="19">
        <v>184.88788181612301</v>
      </c>
      <c r="I64" s="6"/>
      <c r="J64" s="19">
        <f>+[1]H9!$C$33/1000</f>
        <v>90.38259432000001</v>
      </c>
      <c r="K64" s="19">
        <f>+[1]H9!$C$34/1000</f>
        <v>93.410961420000007</v>
      </c>
      <c r="L64" s="19">
        <f>+[1]H9!$C$35/1000</f>
        <v>93.716800000000006</v>
      </c>
      <c r="M64" s="6"/>
      <c r="N64" s="19">
        <v>208.45630805000005</v>
      </c>
      <c r="O64" s="19">
        <v>192.14014261</v>
      </c>
      <c r="P64" s="19">
        <v>184.88788181612301</v>
      </c>
      <c r="Q64" s="6"/>
      <c r="R64" s="19">
        <f>+[1]H9!$EA$33/1000</f>
        <v>19.087312040000004</v>
      </c>
      <c r="S64" s="19">
        <f>+[1]H9!$EA$34/1000</f>
        <v>20.556340760000005</v>
      </c>
      <c r="T64" s="19">
        <f>+[1]H9!$EA$35/1000</f>
        <v>26.39536</v>
      </c>
    </row>
    <row r="65" spans="2:20" ht="20.149999999999999" hidden="1" customHeight="1" outlineLevel="1" x14ac:dyDescent="0.25">
      <c r="B65" s="204"/>
      <c r="C65" s="9"/>
      <c r="D65" s="14" t="s">
        <v>20</v>
      </c>
      <c r="E65" s="6"/>
      <c r="F65" s="19">
        <v>191.27992135000002</v>
      </c>
      <c r="G65" s="19">
        <v>178.36638785999997</v>
      </c>
      <c r="H65" s="19">
        <v>170.14364820475578</v>
      </c>
      <c r="I65" s="6"/>
      <c r="J65" s="19">
        <f>+[1]H9!$N$33/1000</f>
        <v>35.856156949999999</v>
      </c>
      <c r="K65" s="19">
        <f>+[1]H9!$N$34/1000</f>
        <v>35.726927989999993</v>
      </c>
      <c r="L65" s="19">
        <f>+[1]H9!$N$35/1000</f>
        <v>47.982197257748105</v>
      </c>
      <c r="M65" s="6"/>
      <c r="N65" s="19">
        <v>191.27992135000002</v>
      </c>
      <c r="O65" s="19">
        <v>178.36638785999997</v>
      </c>
      <c r="P65" s="19">
        <v>170.14364820475578</v>
      </c>
      <c r="Q65" s="6"/>
      <c r="R65" s="19">
        <f>+[1]H9!$EL$33/1000</f>
        <v>15.583612559999997</v>
      </c>
      <c r="S65" s="19">
        <f>+[1]H9!$EL$34/1000</f>
        <v>15.788827030000004</v>
      </c>
      <c r="T65" s="19">
        <f>+[1]H9!$EL$35/1000</f>
        <v>15.994065752582701</v>
      </c>
    </row>
    <row r="66" spans="2:20" ht="19.5" hidden="1" customHeight="1" outlineLevel="1" x14ac:dyDescent="0.25">
      <c r="B66" s="204"/>
      <c r="C66" s="9"/>
      <c r="D66" s="14" t="s">
        <v>92</v>
      </c>
      <c r="E66" s="6"/>
      <c r="F66" s="20" t="e">
        <f>F69-F67-F68</f>
        <v>#REF!</v>
      </c>
      <c r="G66" s="20" t="e">
        <f>G69-G67-G68</f>
        <v>#REF!</v>
      </c>
      <c r="H66" s="20" t="e">
        <f>H69-H67-H68</f>
        <v>#REF!</v>
      </c>
      <c r="I66" s="6"/>
      <c r="J66" s="20">
        <f>-(SUM([1]H9!$O$33,[1]H9!$R$33:$V$33,[1]H9!$Y$33:$AB$33)/1000)/J65</f>
        <v>0.28243245608260886</v>
      </c>
      <c r="K66" s="20">
        <f>-(SUM([1]H9!$O$34,[1]H9!$R$34:$V$34,[1]H9!$Y$34:$AB$34)/1000)/K65</f>
        <v>0.28349522985554515</v>
      </c>
      <c r="L66" s="20">
        <f>-(SUM([1]H9!$O$35,[1]H9!$R$35:$V$35,[1]H9!$Y$35:$AB$35)/1000)/L65</f>
        <v>0.30053357029009742</v>
      </c>
      <c r="M66" s="6"/>
      <c r="N66" s="20" t="e">
        <f>N69-N67-N68</f>
        <v>#REF!</v>
      </c>
      <c r="O66" s="20" t="e">
        <f>O69-O67-O68</f>
        <v>#REF!</v>
      </c>
      <c r="P66" s="20" t="e">
        <f>P69-P67-P68</f>
        <v>#REF!</v>
      </c>
      <c r="Q66" s="6"/>
      <c r="R66" s="20">
        <f>-(SUM([1]H9!$EM$33,[1]H9!$EP$33:$ET$33,[1]H9!$EW$33:$EZ$33)/1000)/R65</f>
        <v>0.24892923123620092</v>
      </c>
      <c r="S66" s="20">
        <f>-(SUM([1]H9!$EM$34,[1]H9!$EP$34:$ET$34,[1]H9!$EW$34:$EZ$34)/1000)/S65</f>
        <v>0.18217808725603721</v>
      </c>
      <c r="T66" s="20">
        <f>-(SUM([1]H9!$EM$35,[1]H9!$EP$35:$ET$35,[1]H9!$EW$35:$EZ$35)/1000)/T65</f>
        <v>0.30053357029009747</v>
      </c>
    </row>
    <row r="67" spans="2:20" ht="19.5" hidden="1" customHeight="1" outlineLevel="1" x14ac:dyDescent="0.25">
      <c r="B67" s="204"/>
      <c r="C67" s="9"/>
      <c r="D67" s="14" t="s">
        <v>93</v>
      </c>
      <c r="E67" s="6"/>
      <c r="F67" s="20">
        <f>IFERROR(SUM(INDEX(LL_TOT_BR_YTD,1,Month),INDEX(LL_IBNR_TOT_BR_YTD,1,Month))/F65,0)</f>
        <v>0</v>
      </c>
      <c r="G67" s="20">
        <f>IFERROR(SUM(INDEX(LL_TOT_BR_YTD_PREV,1,Month),INDEX(LL_IBNR_TOT_BR_YTD_PREV,1,Month))/G65,0)</f>
        <v>0</v>
      </c>
      <c r="H67" s="20">
        <f>IFERROR(SUM(INDEX(LL_TOT_BR_YTD_PLAN,1,Month),INDEX(LL_IBNR_TOT_BR_YTD_PLAN,1,Month))/H65,0)</f>
        <v>0</v>
      </c>
      <c r="I67" s="6"/>
      <c r="J67" s="20">
        <f>-(SUM([1]H9!$Q$33,[1]H9!$X$33)/1000)/J65</f>
        <v>0.29820879108261483</v>
      </c>
      <c r="K67" s="20">
        <f>-(SUM([1]H9!$Q$34,[1]H9!$X$34)/1000)/K65</f>
        <v>0.31165021494596301</v>
      </c>
      <c r="L67" s="20">
        <f>-(SUM([1]H9!$Q$35,[1]H9!$X$35)/1000)/L65</f>
        <v>0.27537567121220796</v>
      </c>
      <c r="M67" s="6"/>
      <c r="N67" s="20">
        <f>IFERROR(SUM(INDEX(LL_TOT_BR_YTD,1,Month),INDEX(LL_IBNR_TOT_BR_YTD,1,Month))/N65,0)</f>
        <v>0</v>
      </c>
      <c r="O67" s="20">
        <f>IFERROR(SUM(INDEX(LL_TOT_BR_YTD_PREV,1,Month),INDEX(LL_IBNR_TOT_BR_YTD_PREV,1,Month))/O65,0)</f>
        <v>0</v>
      </c>
      <c r="P67" s="20">
        <f>IFERROR(SUM(INDEX(LL_TOT_BR_YTD_PLAN,1,Month),INDEX(LL_IBNR_TOT_BR_YTD_PLAN,1,Month))/P65,0)</f>
        <v>0</v>
      </c>
      <c r="Q67" s="6"/>
      <c r="R67" s="20">
        <f>-(SUM([1]H9!$EO$33,[1]H9!$EV$33)/1000)/R65</f>
        <v>0.2182314442471226</v>
      </c>
      <c r="S67" s="20">
        <f>-(SUM([1]H9!$EO$34,[1]H9!$EV$34)/1000)/S65</f>
        <v>0.37028846858284808</v>
      </c>
      <c r="T67" s="20">
        <f>-(SUM([1]H9!$EO$35,[1]H9!$EV$35)/1000)/T65</f>
        <v>0.27537567121220796</v>
      </c>
    </row>
    <row r="68" spans="2:20" ht="19.5" hidden="1" customHeight="1" outlineLevel="1" x14ac:dyDescent="0.25">
      <c r="B68" s="204"/>
      <c r="C68" s="9"/>
      <c r="D68" s="14" t="s">
        <v>94</v>
      </c>
      <c r="E68" s="6"/>
      <c r="F68" s="20" t="e">
        <f>INDEX(NatCat_TOT_BR_YTD,1,Month)/F65</f>
        <v>#REF!</v>
      </c>
      <c r="G68" s="20" t="e">
        <f>INDEX(NatCat_TOT_BR_YTD_PREV,1,Month)/G65</f>
        <v>#REF!</v>
      </c>
      <c r="H68" s="20" t="e">
        <f>INDEX(NatCat_TOT_BR_YTD_PLAN,1,Month)/H65</f>
        <v>#REF!</v>
      </c>
      <c r="I68" s="6"/>
      <c r="J68" s="20">
        <f>-(SUM([1]H9!$P$33,[1]H9!$W$33)/1000)/J65</f>
        <v>1.6396747170083995E-2</v>
      </c>
      <c r="K68" s="20">
        <f>-(SUM([1]H9!$P$34,[1]H9!$W$34)/1000)/K65</f>
        <v>0</v>
      </c>
      <c r="L68" s="20">
        <f>-(SUM([1]H9!$P$35,[1]H9!$W$35)/1000)/L65</f>
        <v>0.11730561508514742</v>
      </c>
      <c r="M68" s="6"/>
      <c r="N68" s="20" t="e">
        <f>INDEX(NatCat_TOT_BR_YTD,1,Month)/N65</f>
        <v>#REF!</v>
      </c>
      <c r="O68" s="20" t="e">
        <f>INDEX(NatCat_TOT_BR_YTD_PREV,1,Month)/O65</f>
        <v>#REF!</v>
      </c>
      <c r="P68" s="20" t="e">
        <f>INDEX(NatCat_TOT_BR_YTD_PLAN,1,Month)/P65</f>
        <v>#REF!</v>
      </c>
      <c r="Q68" s="6"/>
      <c r="R68" s="20">
        <f>-(SUM([1]H9!$EN$33,[1]H9!$EU$33)/1000)/R65</f>
        <v>3.7727089128812383E-2</v>
      </c>
      <c r="S68" s="20">
        <f>-(SUM([1]H9!$EN$34,[1]H9!$EU$34)/1000)/S65</f>
        <v>0</v>
      </c>
      <c r="T68" s="20">
        <f>-(SUM([1]H9!$EN$35,[1]H9!$EU$35)/1000)/T65</f>
        <v>0.11730561508514743</v>
      </c>
    </row>
    <row r="69" spans="2:20" ht="19.5" hidden="1" customHeight="1" outlineLevel="2" x14ac:dyDescent="0.25">
      <c r="B69" s="204"/>
      <c r="C69" s="9"/>
      <c r="D69" s="14" t="s">
        <v>95</v>
      </c>
      <c r="E69" s="7"/>
      <c r="F69" s="20">
        <v>0.57724464214915872</v>
      </c>
      <c r="G69" s="20">
        <v>0.51933459976050433</v>
      </c>
      <c r="H69" s="20">
        <v>0.6506701480974969</v>
      </c>
      <c r="I69" s="7"/>
      <c r="J69" s="20">
        <f>+J66+J67+J68</f>
        <v>0.59703799433530769</v>
      </c>
      <c r="K69" s="20">
        <f>+K66+K67+K68</f>
        <v>0.59514544480150811</v>
      </c>
      <c r="L69" s="20">
        <f>+L66+L67+L68</f>
        <v>0.69321485658745274</v>
      </c>
      <c r="M69" s="7"/>
      <c r="N69" s="20">
        <v>0.57724464214915872</v>
      </c>
      <c r="O69" s="20">
        <v>0.51933459976050433</v>
      </c>
      <c r="P69" s="20">
        <v>0.6506701480974969</v>
      </c>
      <c r="Q69" s="7"/>
      <c r="R69" s="20">
        <f>+R66+R67+R68</f>
        <v>0.50488776461213591</v>
      </c>
      <c r="S69" s="20">
        <f>+S66+S67+S68</f>
        <v>0.55246655583888526</v>
      </c>
      <c r="T69" s="20">
        <f>+T66+T67+T68</f>
        <v>0.69321485658745297</v>
      </c>
    </row>
    <row r="70" spans="2:20" ht="20.149999999999999" hidden="1" customHeight="1" outlineLevel="1" x14ac:dyDescent="0.25">
      <c r="B70" s="204"/>
      <c r="C70" s="9"/>
      <c r="D70" s="14" t="s">
        <v>96</v>
      </c>
      <c r="E70" s="7"/>
      <c r="F70" s="20">
        <v>-5.2351025655626104E-2</v>
      </c>
      <c r="G70" s="20">
        <v>-9.3800548302475445E-2</v>
      </c>
      <c r="H70" s="20">
        <v>-2.9386933057782183E-3</v>
      </c>
      <c r="I70" s="7"/>
      <c r="J70" s="20">
        <f>-(SUM([1]H9!$AC$33:$AK$33)/1000)/J65</f>
        <v>-0.13981170617338004</v>
      </c>
      <c r="K70" s="20">
        <f>-(SUM([1]H9!$AC$34:$AK$34)/1000)/K65</f>
        <v>-5.4188177347402416E-2</v>
      </c>
      <c r="L70" s="20">
        <f>-(SUM([1]H9!$AC$35:$AK$35)/1000)/L65</f>
        <v>-2.1718038117231601E-2</v>
      </c>
      <c r="M70" s="7"/>
      <c r="N70" s="20">
        <v>-5.2351025655626104E-2</v>
      </c>
      <c r="O70" s="20">
        <v>-9.3800548302475445E-2</v>
      </c>
      <c r="P70" s="20">
        <v>-2.9386933057782183E-3</v>
      </c>
      <c r="Q70" s="7"/>
      <c r="R70" s="20">
        <f>-(SUM([1]H9!$FA$33:$FI$33)/1000)/R65</f>
        <v>-9.5114371221251159E-2</v>
      </c>
      <c r="S70" s="20">
        <f>-(SUM([1]H9!$FA$34:$FI$34)/1000)/S65</f>
        <v>-9.4480128078266612E-2</v>
      </c>
      <c r="T70" s="20">
        <f>-(SUM([1]H9!$FA$35:$FI$35)/1000)/T65</f>
        <v>-2.1718038117231542E-2</v>
      </c>
    </row>
    <row r="71" spans="2:20" ht="20.149999999999999" hidden="1" customHeight="1" outlineLevel="2" x14ac:dyDescent="0.25">
      <c r="B71" s="204"/>
      <c r="C71" s="9"/>
      <c r="D71" s="15" t="s">
        <v>87</v>
      </c>
      <c r="E71" s="7"/>
      <c r="F71" s="20">
        <v>0.1593842372206726</v>
      </c>
      <c r="G71" s="20">
        <v>0.16249233029683222</v>
      </c>
      <c r="H71" s="20">
        <v>0.16586500507764584</v>
      </c>
      <c r="I71" s="7"/>
      <c r="J71" s="20">
        <f>-(SUM([1]H9!$AL$33:$AN$33)/1000)/J65</f>
        <v>0.14247320975094074</v>
      </c>
      <c r="K71" s="20">
        <f>-(SUM([1]H9!$AL$34:$AN$34)/1000)/K65</f>
        <v>0.14862468420140268</v>
      </c>
      <c r="L71" s="20">
        <f>-(SUM([1]H9!$AL$35:$AN$35)/1000)/L65</f>
        <v>0.14361198901218744</v>
      </c>
      <c r="M71" s="7"/>
      <c r="N71" s="20">
        <v>0.1593842372206726</v>
      </c>
      <c r="O71" s="20">
        <v>0.16249233029683222</v>
      </c>
      <c r="P71" s="20">
        <v>0.16586500507764584</v>
      </c>
      <c r="Q71" s="7"/>
      <c r="R71" s="20">
        <f>-(SUM([1]H9!$FJ$33:$FL$33)/1000)/R65</f>
        <v>0.13392149233463746</v>
      </c>
      <c r="S71" s="20">
        <f>-(SUM([1]H9!$FJ$34:$FL$34)/1000)/S65</f>
        <v>0.13058868376240618</v>
      </c>
      <c r="T71" s="20">
        <f>-(SUM([1]H9!$FJ$35:$FL$35)/1000)/T65</f>
        <v>0.14361198901218747</v>
      </c>
    </row>
    <row r="72" spans="2:20" ht="20.149999999999999" hidden="1" customHeight="1" outlineLevel="2" x14ac:dyDescent="0.25">
      <c r="B72" s="204"/>
      <c r="C72" s="9"/>
      <c r="D72" s="15" t="s">
        <v>88</v>
      </c>
      <c r="E72" s="7"/>
      <c r="F72" s="20">
        <v>9.5952978914166626E-2</v>
      </c>
      <c r="G72" s="20">
        <v>0.10808077408133257</v>
      </c>
      <c r="H72" s="20">
        <v>0.10585752916389896</v>
      </c>
      <c r="I72" s="7"/>
      <c r="J72" s="20">
        <f>-(SUM([1]H9!$AO$33:$AR$33)/1000)/J65</f>
        <v>9.7375685990798863E-2</v>
      </c>
      <c r="K72" s="20">
        <f>-(SUM([1]H9!$AO$34:$AR$34)/1000)/K65</f>
        <v>8.5851923536737318E-2</v>
      </c>
      <c r="L72" s="20">
        <f>-(SUM([1]H9!$AO$35:$AR$35)/1000)/L65</f>
        <v>9.1240221027027391E-2</v>
      </c>
      <c r="M72" s="7"/>
      <c r="N72" s="20">
        <v>9.5952978914166626E-2</v>
      </c>
      <c r="O72" s="20">
        <v>0.10808077408133257</v>
      </c>
      <c r="P72" s="20">
        <v>0.10585752916389896</v>
      </c>
      <c r="Q72" s="7"/>
      <c r="R72" s="20">
        <f>-(SUM([1]H9!$FM$33:$FP$33)/1000)/R65</f>
        <v>7.5235764845016151E-2</v>
      </c>
      <c r="S72" s="20">
        <f>-(SUM([1]H9!$FM$34:$FP$34)/1000)/S65</f>
        <v>6.6924092460591084E-2</v>
      </c>
      <c r="T72" s="20">
        <f>-(SUM([1]H9!$FM$35:$FP$35)/1000)/T65</f>
        <v>9.1240221027027391E-2</v>
      </c>
    </row>
    <row r="73" spans="2:20" ht="20.149999999999999" hidden="1" customHeight="1" outlineLevel="1" x14ac:dyDescent="0.25">
      <c r="B73" s="204"/>
      <c r="C73" s="9"/>
      <c r="D73" s="14" t="s">
        <v>97</v>
      </c>
      <c r="E73" s="7"/>
      <c r="F73" s="20">
        <v>0.25533721613483923</v>
      </c>
      <c r="G73" s="20">
        <v>0.27057310437816473</v>
      </c>
      <c r="H73" s="20">
        <v>0.27172253424154474</v>
      </c>
      <c r="I73" s="7"/>
      <c r="J73" s="20">
        <f>+J71+J72</f>
        <v>0.23984889574173962</v>
      </c>
      <c r="K73" s="20">
        <f>+K71+K72</f>
        <v>0.23447660773814</v>
      </c>
      <c r="L73" s="20">
        <f>+L71+L72</f>
        <v>0.23485221003921483</v>
      </c>
      <c r="M73" s="7"/>
      <c r="N73" s="20">
        <v>0.25533721613483923</v>
      </c>
      <c r="O73" s="20">
        <v>0.27057310437816473</v>
      </c>
      <c r="P73" s="20">
        <v>0.27172253424154474</v>
      </c>
      <c r="Q73" s="7"/>
      <c r="R73" s="20">
        <f>+R71+R72</f>
        <v>0.20915725717965361</v>
      </c>
      <c r="S73" s="20">
        <f>+S71+S72</f>
        <v>0.19751277622299726</v>
      </c>
      <c r="T73" s="20">
        <f>+T71+T72</f>
        <v>0.23485221003921486</v>
      </c>
    </row>
    <row r="74" spans="2:20" ht="20.149999999999999" hidden="1" customHeight="1" outlineLevel="1" x14ac:dyDescent="0.25">
      <c r="B74" s="204"/>
      <c r="C74" s="9"/>
      <c r="D74" s="14" t="s">
        <v>90</v>
      </c>
      <c r="E74" s="7"/>
      <c r="F74" s="20"/>
      <c r="G74" s="20"/>
      <c r="H74" s="20"/>
      <c r="I74" s="7"/>
      <c r="J74" s="20">
        <f>-(SUM([1]H9!$AT$33:$BJ$33)/1000/J65)</f>
        <v>0.11374165378869473</v>
      </c>
      <c r="K74" s="20">
        <f>-(SUM([1]H9!$AT$34:$BJ$34)/1000/K65)</f>
        <v>0.12576452140686847</v>
      </c>
      <c r="L74" s="20">
        <f>-(SUM([1]H9!$AT$35:$BJ$35)/1000/L65)</f>
        <v>1.1422104467370886E-3</v>
      </c>
      <c r="M74" s="7"/>
      <c r="N74" s="20"/>
      <c r="O74" s="20"/>
      <c r="P74" s="20"/>
      <c r="Q74" s="7"/>
      <c r="R74" s="20">
        <f>-(SUM([1]H9!$FR$33:$GH$33)/1000/R65)</f>
        <v>0.15521319274893478</v>
      </c>
      <c r="S74" s="20">
        <f>-(SUM([1]H9!$FR$34:$GH$34)/1000/S65)</f>
        <v>7.8035312418011843E-2</v>
      </c>
      <c r="T74" s="20">
        <f>-(SUM([1]H9!$FR$35:$GH$35)/1000/T65)</f>
        <v>1.1422104467370721E-3</v>
      </c>
    </row>
    <row r="75" spans="2:20" ht="20.149999999999999" hidden="1" customHeight="1" outlineLevel="1" x14ac:dyDescent="0.25">
      <c r="B75" s="204"/>
      <c r="C75" s="9"/>
      <c r="D75" s="14" t="s">
        <v>79</v>
      </c>
      <c r="E75" s="8"/>
      <c r="F75" s="20">
        <v>0.7802308326283719</v>
      </c>
      <c r="G75" s="20">
        <v>0.69610715583619387</v>
      </c>
      <c r="H75" s="20">
        <v>0.91945398903326336</v>
      </c>
      <c r="I75" s="8"/>
      <c r="J75" s="20">
        <f>+J69+J70+J73+J74</f>
        <v>0.81081683769236201</v>
      </c>
      <c r="K75" s="20">
        <f>+K69+K70+K73+K74</f>
        <v>0.90119839659911405</v>
      </c>
      <c r="L75" s="20">
        <f>+L69+L70+L73+L74</f>
        <v>0.90749123895617312</v>
      </c>
      <c r="M75" s="8"/>
      <c r="N75" s="20">
        <v>0.7802308326283719</v>
      </c>
      <c r="O75" s="20">
        <v>0.69610715583619387</v>
      </c>
      <c r="P75" s="20">
        <v>0.91945398903326336</v>
      </c>
      <c r="Q75" s="8"/>
      <c r="R75" s="20">
        <f>+R69+R70+R73+R74</f>
        <v>0.77414384331947306</v>
      </c>
      <c r="S75" s="20">
        <f>+S69+S70+S73+S74</f>
        <v>0.73353451640162781</v>
      </c>
      <c r="T75" s="20">
        <f>+T69+T70+T73+T74</f>
        <v>0.90749123895617345</v>
      </c>
    </row>
    <row r="76" spans="2:20" ht="19.5" hidden="1" customHeight="1" outlineLevel="1" x14ac:dyDescent="0.25">
      <c r="B76" s="204"/>
      <c r="C76" s="9"/>
      <c r="D76" s="14" t="s">
        <v>34</v>
      </c>
      <c r="E76" s="6"/>
      <c r="F76" s="19">
        <v>42.037429050000036</v>
      </c>
      <c r="G76" s="19">
        <v>54.204268909999989</v>
      </c>
      <c r="H76" s="19">
        <v>13.704392154220848</v>
      </c>
      <c r="I76" s="6"/>
      <c r="J76" s="19">
        <f>+[1]H9!$BK$33/1000</f>
        <v>6.7833811599999851</v>
      </c>
      <c r="K76" s="19">
        <f>+[1]H9!$BK$34/1000</f>
        <v>3.5298777699999966</v>
      </c>
      <c r="L76" s="19">
        <f>+[1]H9!$BK$35/1000</f>
        <v>4.4387736204747865</v>
      </c>
      <c r="M76" s="6"/>
      <c r="N76" s="19">
        <v>42.037429050000036</v>
      </c>
      <c r="O76" s="19">
        <v>54.204268909999989</v>
      </c>
      <c r="P76" s="19">
        <v>13.704392154220848</v>
      </c>
      <c r="Q76" s="6"/>
      <c r="R76" s="19">
        <f>+[1]H9!$GI$33/1000</f>
        <v>3.5196548399999892</v>
      </c>
      <c r="S76" s="19">
        <f>+[1]H9!$GI$34/1000</f>
        <v>4.2071774300000024</v>
      </c>
      <c r="T76" s="19">
        <f>+[1]H9!$GI$35/1000</f>
        <v>1.4795912068249228</v>
      </c>
    </row>
    <row r="77" spans="2:20" ht="7.5" hidden="1" customHeight="1" outlineLevel="2" x14ac:dyDescent="0.25"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2:20" ht="19.5" hidden="1" customHeight="1" outlineLevel="1" x14ac:dyDescent="0.25">
      <c r="B78" s="204" t="s">
        <v>101</v>
      </c>
      <c r="C78" s="9"/>
      <c r="D78" s="14" t="s">
        <v>19</v>
      </c>
      <c r="E78" s="6"/>
      <c r="F78" s="19">
        <v>20.927521469999995</v>
      </c>
      <c r="G78" s="19">
        <v>19.98443919</v>
      </c>
      <c r="H78" s="19">
        <v>18.16505169698857</v>
      </c>
      <c r="I78" s="6"/>
      <c r="J78" s="19">
        <f>+[1]H9!$C$37/1000</f>
        <v>13.963865039999998</v>
      </c>
      <c r="K78" s="19">
        <f>+[1]H9!$C$38/1000</f>
        <v>13.31991551</v>
      </c>
      <c r="L78" s="19">
        <f>+[1]H9!$C$39/1000</f>
        <v>14.31026</v>
      </c>
      <c r="M78" s="6"/>
      <c r="N78" s="19">
        <v>20.927521469999995</v>
      </c>
      <c r="O78" s="19">
        <v>19.98443919</v>
      </c>
      <c r="P78" s="19">
        <v>18.16505169698857</v>
      </c>
      <c r="Q78" s="6"/>
      <c r="R78" s="19">
        <f>+[1]H9!$EA$37/1000</f>
        <v>2.8013850999999996</v>
      </c>
      <c r="S78" s="19">
        <f>+[1]H9!$EA$38/1000</f>
        <v>2.1141481199999999</v>
      </c>
      <c r="T78" s="19">
        <f>+[1]H9!$EA$39/1000</f>
        <v>1.8921599999999998</v>
      </c>
    </row>
    <row r="79" spans="2:20" ht="20.149999999999999" hidden="1" customHeight="1" outlineLevel="1" x14ac:dyDescent="0.25">
      <c r="B79" s="204"/>
      <c r="C79" s="9"/>
      <c r="D79" s="14" t="s">
        <v>20</v>
      </c>
      <c r="E79" s="6"/>
      <c r="F79" s="19">
        <v>20.145695379999996</v>
      </c>
      <c r="G79" s="19">
        <v>18.32074828</v>
      </c>
      <c r="H79" s="19">
        <v>17.080880080651021</v>
      </c>
      <c r="I79" s="6"/>
      <c r="J79" s="19">
        <f>+[1]H9!$N$37/1000</f>
        <v>6.3322526400000001</v>
      </c>
      <c r="K79" s="19">
        <f>+[1]H9!$N$38/1000</f>
        <v>5.7478746999999979</v>
      </c>
      <c r="L79" s="19">
        <f>+[1]H9!$N$39/1000</f>
        <v>7.4291136819037273</v>
      </c>
      <c r="M79" s="6"/>
      <c r="N79" s="19">
        <v>20.145695379999996</v>
      </c>
      <c r="O79" s="19">
        <v>18.32074828</v>
      </c>
      <c r="P79" s="19">
        <v>17.080880080651021</v>
      </c>
      <c r="Q79" s="6"/>
      <c r="R79" s="19">
        <f>+[1]H9!$EL$37/1000</f>
        <v>2.4077060900000009</v>
      </c>
      <c r="S79" s="19">
        <f>+[1]H9!$EL$38/1000</f>
        <v>2.3192839999999992</v>
      </c>
      <c r="T79" s="19">
        <f>+[1]H9!$EL$39/1000</f>
        <v>2.4763712273012426</v>
      </c>
    </row>
    <row r="80" spans="2:20" ht="19.5" hidden="1" customHeight="1" outlineLevel="1" x14ac:dyDescent="0.25">
      <c r="B80" s="204"/>
      <c r="C80" s="9"/>
      <c r="D80" s="14" t="s">
        <v>82</v>
      </c>
      <c r="E80" s="6"/>
      <c r="F80" s="20">
        <f>F83-F81-F82</f>
        <v>0.61955878487029936</v>
      </c>
      <c r="G80" s="20">
        <f>G83-G81-G82</f>
        <v>0.61904819479349349</v>
      </c>
      <c r="H80" s="20">
        <f>H83-H81-H82</f>
        <v>0.51426139191916054</v>
      </c>
      <c r="I80" s="6"/>
      <c r="J80" s="20">
        <f>-(SUM([1]H9!$O$37,[1]H9!$R$37:$V$37,[1]H9!$Y$37:$AB$37)/1000)/J79</f>
        <v>0.34329992714883206</v>
      </c>
      <c r="K80" s="20">
        <f>-(SUM([1]H9!$O$38,[1]H9!$R$38:$V$38,[1]H9!$Y$38:$AB$38)/1000)/K79</f>
        <v>0.5861414097979557</v>
      </c>
      <c r="L80" s="20">
        <f>-(SUM([1]H9!$O$39,[1]H9!$R$39:$V$39,[1]H9!$Y$39:$AB$39)/1000)/L79</f>
        <v>0.38893920939743382</v>
      </c>
      <c r="M80" s="6"/>
      <c r="N80" s="20">
        <f>N83-N81-N82</f>
        <v>0.61955878487029936</v>
      </c>
      <c r="O80" s="20">
        <f>O83-O81-O82</f>
        <v>0.61904819479349349</v>
      </c>
      <c r="P80" s="20">
        <f>P83-P81-P82</f>
        <v>0.51426139191916054</v>
      </c>
      <c r="Q80" s="6"/>
      <c r="R80" s="20">
        <f>-(SUM([1]H9!$EM$37,[1]H9!$EP$37:$ET$37,[1]H9!$EW$37:$EZ$37)/1000)/R79</f>
        <v>0.40474251988123661</v>
      </c>
      <c r="S80" s="20">
        <f>-(SUM([1]H9!$EM$38,[1]H9!$EP$38:$ET$38,[1]H9!$EW$38:$EZ$38)/1000)/S79</f>
        <v>0.57221965917067519</v>
      </c>
      <c r="T80" s="20">
        <f>-(SUM([1]H9!$EM$39,[1]H9!$EP$39:$ET$39,[1]H9!$EW$39:$EZ$39)/1000)/T79</f>
        <v>0.38893920939743393</v>
      </c>
    </row>
    <row r="81" spans="2:20" ht="19.5" hidden="1" customHeight="1" outlineLevel="1" x14ac:dyDescent="0.25">
      <c r="B81" s="204"/>
      <c r="C81" s="9"/>
      <c r="D81" s="14" t="s">
        <v>83</v>
      </c>
      <c r="E81" s="6"/>
      <c r="F81" s="20">
        <f>IFERROR(SUM(INDEX(LL_TOT_BR_YTD,7,Month),INDEX(LL_IBNR_TOT_BR_YTD,7,Month))/F79,0)</f>
        <v>0</v>
      </c>
      <c r="G81" s="20">
        <f>IFERROR(SUM(INDEX(LL_TOT_BR_YTD_PREV,7,Month),INDEX(LL_IBNR_TOT_BR_YTD_PREV,7,Month))/G79,0)</f>
        <v>0</v>
      </c>
      <c r="H81" s="20">
        <f>IFERROR(SUM(INDEX(LL_TOT_BR_YTD_PLAN,7,Month),INDEX(LL_IBNR_TOT_BR_YTD_PLAN,7,Month))/H79,0)</f>
        <v>0</v>
      </c>
      <c r="I81" s="6"/>
      <c r="J81" s="20">
        <f>-(SUM([1]H9!$Q$37,[1]H9!$X$37)/1000)/J79</f>
        <v>0.16581776812998417</v>
      </c>
      <c r="K81" s="20">
        <f>-(SUM([1]H9!$Q$38,[1]H9!$X$38)/1000)/K79</f>
        <v>0</v>
      </c>
      <c r="L81" s="20">
        <f>-(SUM([1]H9!$Q$39,[1]H9!$X$39)/1000)/L79</f>
        <v>0.16823125937639224</v>
      </c>
      <c r="M81" s="6"/>
      <c r="N81" s="20">
        <f>IFERROR(SUM(INDEX(LL_TOT_BR_YTD,7,Month),INDEX(LL_IBNR_TOT_BR_YTD,7,Month))/N79,0)</f>
        <v>0</v>
      </c>
      <c r="O81" s="20">
        <f>IFERROR(SUM(INDEX(LL_TOT_BR_YTD_PREV,7,Month),INDEX(LL_IBNR_TOT_BR_YTD_PREV,7,Month))/O79,0)</f>
        <v>0</v>
      </c>
      <c r="P81" s="20">
        <f>IFERROR(SUM(INDEX(LL_TOT_BR_YTD_PLAN,7,Month),INDEX(LL_IBNR_TOT_BR_YTD_PLAN,7,Month))/P79,0)</f>
        <v>0</v>
      </c>
      <c r="Q81" s="6"/>
      <c r="R81" s="20">
        <f>-(SUM([1]H9!$EO$37,[1]H9!$EV$37)/1000)/R79</f>
        <v>0.14536658002140113</v>
      </c>
      <c r="S81" s="20">
        <f>-(SUM([1]H9!$EO$38,[1]H9!$EV$38)/1000)/S79</f>
        <v>0</v>
      </c>
      <c r="T81" s="20">
        <f>-(SUM([1]H9!$EO$39,[1]H9!$EV$39)/1000)/T79</f>
        <v>0.16823125937639224</v>
      </c>
    </row>
    <row r="82" spans="2:20" ht="19.5" hidden="1" customHeight="1" outlineLevel="1" x14ac:dyDescent="0.25">
      <c r="B82" s="204"/>
      <c r="C82" s="9"/>
      <c r="D82" s="14" t="s">
        <v>84</v>
      </c>
      <c r="E82" s="6"/>
      <c r="F82" s="20">
        <f>0</f>
        <v>0</v>
      </c>
      <c r="G82" s="20">
        <f>0</f>
        <v>0</v>
      </c>
      <c r="H82" s="20">
        <f>0</f>
        <v>0</v>
      </c>
      <c r="I82" s="6"/>
      <c r="J82" s="20">
        <f>-(SUM([1]H9!$P$37,[1]H9!$W$37)/1000)/J79</f>
        <v>1.1844126294998868E-3</v>
      </c>
      <c r="K82" s="20">
        <f>-(SUM([1]H9!$P$38,[1]H9!$W$38)/1000)/K79</f>
        <v>0</v>
      </c>
      <c r="L82" s="20">
        <f>-(SUM([1]H9!$P$39,[1]H9!$W$39)/1000)/L79</f>
        <v>2.3706220066311574E-2</v>
      </c>
      <c r="M82" s="6"/>
      <c r="N82" s="20">
        <f>0</f>
        <v>0</v>
      </c>
      <c r="O82" s="20">
        <f>0</f>
        <v>0</v>
      </c>
      <c r="P82" s="20">
        <f>0</f>
        <v>0</v>
      </c>
      <c r="Q82" s="6"/>
      <c r="R82" s="20">
        <f>-(SUM([1]H9!$EN$37,[1]H9!$EU$37)/1000)/R79</f>
        <v>3.1149981433157385E-3</v>
      </c>
      <c r="S82" s="20">
        <f>-(SUM([1]H9!$EN$38,[1]H9!$EU$38)/1000)/S79</f>
        <v>0</v>
      </c>
      <c r="T82" s="20">
        <f>-(SUM([1]H9!$EN$39,[1]H9!$EU$39)/1000)/T79</f>
        <v>2.3706220066311574E-2</v>
      </c>
    </row>
    <row r="83" spans="2:20" ht="19.5" hidden="1" customHeight="1" outlineLevel="2" x14ac:dyDescent="0.25">
      <c r="B83" s="204"/>
      <c r="C83" s="9"/>
      <c r="D83" s="14" t="s">
        <v>85</v>
      </c>
      <c r="E83" s="7"/>
      <c r="F83" s="20">
        <v>0.61955878487029936</v>
      </c>
      <c r="G83" s="20">
        <v>0.61904819479349349</v>
      </c>
      <c r="H83" s="20">
        <v>0.51426139191916054</v>
      </c>
      <c r="I83" s="7"/>
      <c r="J83" s="20">
        <f>+J80+J81+J82</f>
        <v>0.51030210790831609</v>
      </c>
      <c r="K83" s="20">
        <f>+K80+K81+K82</f>
        <v>0.5861414097979557</v>
      </c>
      <c r="L83" s="20">
        <f>+L80+L81+L82</f>
        <v>0.58087668884013766</v>
      </c>
      <c r="M83" s="7"/>
      <c r="N83" s="20">
        <v>0.61955878487029936</v>
      </c>
      <c r="O83" s="20">
        <v>0.61904819479349349</v>
      </c>
      <c r="P83" s="20">
        <v>0.51426139191916054</v>
      </c>
      <c r="Q83" s="7"/>
      <c r="R83" s="20">
        <f>+R80+R81+R82</f>
        <v>0.55322409804595341</v>
      </c>
      <c r="S83" s="20">
        <f>+S80+S81+S82</f>
        <v>0.57221965917067519</v>
      </c>
      <c r="T83" s="20">
        <f>+T80+T81+T82</f>
        <v>0.58087668884013777</v>
      </c>
    </row>
    <row r="84" spans="2:20" ht="20.149999999999999" hidden="1" customHeight="1" outlineLevel="1" x14ac:dyDescent="0.25">
      <c r="B84" s="204"/>
      <c r="C84" s="9"/>
      <c r="D84" s="14" t="s">
        <v>86</v>
      </c>
      <c r="E84" s="7"/>
      <c r="F84" s="20">
        <v>-3.1982752535792677E-2</v>
      </c>
      <c r="G84" s="20">
        <v>-5.6615916781757085E-2</v>
      </c>
      <c r="H84" s="20">
        <v>0</v>
      </c>
      <c r="I84" s="7"/>
      <c r="J84" s="20">
        <f>-(SUM([1]H9!$AC$37:$AK$37)/1000)/J79</f>
        <v>7.9137718990314895E-2</v>
      </c>
      <c r="K84" s="20">
        <f>-(SUM([1]H9!$AC$38:$AK$38)/1000)/K79</f>
        <v>3.3694266160673315E-2</v>
      </c>
      <c r="L84" s="20">
        <f>-(SUM([1]H9!$AC$39:$AK$39)/1000)/L79</f>
        <v>-8.8954778908071994E-3</v>
      </c>
      <c r="M84" s="7"/>
      <c r="N84" s="20">
        <v>-3.1982752535792677E-2</v>
      </c>
      <c r="O84" s="20">
        <v>-5.6615916781757085E-2</v>
      </c>
      <c r="P84" s="20">
        <v>0</v>
      </c>
      <c r="Q84" s="7"/>
      <c r="R84" s="20">
        <f>-(SUM([1]H9!$FA$37:$FI$37)/1000)/R79</f>
        <v>-0.1121032343279075</v>
      </c>
      <c r="S84" s="20">
        <f>-(SUM([1]H9!$FA$38:$FI$38)/1000)/S79</f>
        <v>0.63704037108004063</v>
      </c>
      <c r="T84" s="20">
        <f>-(SUM([1]H9!$FA$39:$FI$39)/1000)/T79</f>
        <v>-8.8954778908071977E-3</v>
      </c>
    </row>
    <row r="85" spans="2:20" ht="20.149999999999999" hidden="1" customHeight="1" outlineLevel="2" x14ac:dyDescent="0.25">
      <c r="B85" s="204"/>
      <c r="C85" s="9"/>
      <c r="D85" s="15" t="s">
        <v>87</v>
      </c>
      <c r="E85" s="7"/>
      <c r="F85" s="20">
        <v>0.13755634083254961</v>
      </c>
      <c r="G85" s="20">
        <v>0.14024780706173212</v>
      </c>
      <c r="H85" s="20">
        <v>0.13207104343289405</v>
      </c>
      <c r="I85" s="7"/>
      <c r="J85" s="20">
        <f>-(SUM([1]H9!$AL$37:$AN$37)/1000)/J79</f>
        <v>0.13316226593258593</v>
      </c>
      <c r="K85" s="20">
        <f>-(SUM([1]H9!$AL$38:$AN$38)/1000)/K79</f>
        <v>0.13720345365218212</v>
      </c>
      <c r="L85" s="20">
        <f>-(SUM([1]H9!$AL$39:$AN$39)/1000)/L79</f>
        <v>0.13604112566129092</v>
      </c>
      <c r="M85" s="7"/>
      <c r="N85" s="20">
        <v>0.13755634083254961</v>
      </c>
      <c r="O85" s="20">
        <v>0.14024780706173212</v>
      </c>
      <c r="P85" s="20">
        <v>0.13207104343289405</v>
      </c>
      <c r="Q85" s="7"/>
      <c r="R85" s="20">
        <f>-(SUM([1]H9!$FJ$37:$FL$37)/1000)/R79</f>
        <v>0.12072901721987149</v>
      </c>
      <c r="S85" s="20">
        <f>-(SUM([1]H9!$FJ$38:$FL$38)/1000)/S79</f>
        <v>0.11661899965679058</v>
      </c>
      <c r="T85" s="20">
        <f>-(SUM([1]H9!$FJ$39:$FL$39)/1000)/T79</f>
        <v>0.13604112566129095</v>
      </c>
    </row>
    <row r="86" spans="2:20" ht="20.149999999999999" hidden="1" customHeight="1" outlineLevel="2" x14ac:dyDescent="0.25">
      <c r="B86" s="204"/>
      <c r="C86" s="9"/>
      <c r="D86" s="15" t="s">
        <v>88</v>
      </c>
      <c r="E86" s="7"/>
      <c r="F86" s="20">
        <v>0.10336675159236923</v>
      </c>
      <c r="G86" s="20">
        <v>0.10474770739003897</v>
      </c>
      <c r="H86" s="20">
        <v>0.13046914903398416</v>
      </c>
      <c r="I86" s="7"/>
      <c r="J86" s="20">
        <f>-(SUM([1]H9!$AO$37:$AR$37)/1000)/J79</f>
        <v>0.10683951327627382</v>
      </c>
      <c r="K86" s="20">
        <f>-(SUM([1]H9!$AO$38:$AR$38)/1000)/K79</f>
        <v>0.10361293366398545</v>
      </c>
      <c r="L86" s="20">
        <f>-(SUM([1]H9!$AO$39:$AR$39)/1000)/L79</f>
        <v>9.8610853316526498E-2</v>
      </c>
      <c r="M86" s="7"/>
      <c r="N86" s="20">
        <v>0.10336675159236923</v>
      </c>
      <c r="O86" s="20">
        <v>0.10474770739003897</v>
      </c>
      <c r="P86" s="20">
        <v>0.13046914903398416</v>
      </c>
      <c r="Q86" s="7"/>
      <c r="R86" s="20">
        <f>-(SUM([1]H9!$FM$37:$FP$37)/1000)/R79</f>
        <v>9.5100909928752933E-2</v>
      </c>
      <c r="S86" s="20">
        <f>-(SUM([1]H9!$FM$38:$FP$38)/1000)/S79</f>
        <v>8.7111134298343829E-2</v>
      </c>
      <c r="T86" s="20">
        <f>-(SUM([1]H9!$FM$39:$FP$39)/1000)/T79</f>
        <v>9.8610853316526498E-2</v>
      </c>
    </row>
    <row r="87" spans="2:20" ht="20.149999999999999" hidden="1" customHeight="1" outlineLevel="1" x14ac:dyDescent="0.25">
      <c r="B87" s="204"/>
      <c r="C87" s="9"/>
      <c r="D87" s="14" t="s">
        <v>89</v>
      </c>
      <c r="E87" s="7"/>
      <c r="F87" s="20">
        <v>0.2409230924249188</v>
      </c>
      <c r="G87" s="20">
        <v>0.24499551445177109</v>
      </c>
      <c r="H87" s="20">
        <v>0.26254019246687821</v>
      </c>
      <c r="I87" s="7"/>
      <c r="J87" s="20">
        <f>+J85+J86</f>
        <v>0.24000177920885973</v>
      </c>
      <c r="K87" s="20">
        <f>+K85+K86</f>
        <v>0.24081638731616756</v>
      </c>
      <c r="L87" s="20">
        <f>+L85+L86</f>
        <v>0.23465197897781742</v>
      </c>
      <c r="M87" s="7"/>
      <c r="N87" s="20">
        <v>0.2409230924249188</v>
      </c>
      <c r="O87" s="20">
        <v>0.24499551445177109</v>
      </c>
      <c r="P87" s="20">
        <v>0.26254019246687821</v>
      </c>
      <c r="Q87" s="7"/>
      <c r="R87" s="20">
        <f>+R85+R86</f>
        <v>0.21582992714862442</v>
      </c>
      <c r="S87" s="20">
        <f>+S85+S86</f>
        <v>0.2037301339551344</v>
      </c>
      <c r="T87" s="20">
        <f>+T85+T86</f>
        <v>0.23465197897781745</v>
      </c>
    </row>
    <row r="88" spans="2:20" ht="20.149999999999999" hidden="1" customHeight="1" outlineLevel="1" x14ac:dyDescent="0.25">
      <c r="B88" s="204"/>
      <c r="C88" s="9"/>
      <c r="D88" s="14" t="s">
        <v>90</v>
      </c>
      <c r="E88" s="7"/>
      <c r="F88" s="20"/>
      <c r="G88" s="20"/>
      <c r="H88" s="20"/>
      <c r="I88" s="7"/>
      <c r="J88" s="20">
        <f>-(SUM([1]H9!$AT$37:$BJ$37)/1000/J79)</f>
        <v>5.5618777396095838E-2</v>
      </c>
      <c r="K88" s="20">
        <f>-(SUM([1]H9!$AT$38:$BJ$38)/1000/K79)</f>
        <v>7.9974168539199246E-3</v>
      </c>
      <c r="L88" s="20">
        <f>-(SUM([1]H9!$AT$39:$BJ$39)/1000/L79)</f>
        <v>5.3697636274900484E-2</v>
      </c>
      <c r="M88" s="7"/>
      <c r="N88" s="20"/>
      <c r="O88" s="20"/>
      <c r="P88" s="20"/>
      <c r="Q88" s="7"/>
      <c r="R88" s="20">
        <f>-(SUM([1]H9!$FR$37:$GH$37)/1000/R79)</f>
        <v>0.12487371745610369</v>
      </c>
      <c r="S88" s="20">
        <f>-(SUM([1]H9!$FR$38:$GH$38)/1000/S79)</f>
        <v>-9.8877101726222424E-2</v>
      </c>
      <c r="T88" s="20">
        <f>-(SUM([1]H9!$FR$39:$GH$39)/1000/T79)</f>
        <v>5.3697636274900491E-2</v>
      </c>
    </row>
    <row r="89" spans="2:20" ht="20.149999999999999" hidden="1" customHeight="1" outlineLevel="1" x14ac:dyDescent="0.25">
      <c r="B89" s="204"/>
      <c r="C89" s="9"/>
      <c r="D89" s="14" t="s">
        <v>79</v>
      </c>
      <c r="E89" s="8"/>
      <c r="F89" s="20">
        <v>0.82849912475942544</v>
      </c>
      <c r="G89" s="20">
        <v>0.80742779246350749</v>
      </c>
      <c r="H89" s="20">
        <v>0.77680158438603875</v>
      </c>
      <c r="I89" s="8"/>
      <c r="J89" s="20">
        <f>+J83+J84+J87+J88</f>
        <v>0.88506038350358662</v>
      </c>
      <c r="K89" s="20">
        <f>+K83+K84+K87+K88</f>
        <v>0.86864948012871646</v>
      </c>
      <c r="L89" s="20">
        <f>+L83+L84+L87+L88</f>
        <v>0.86033082620204837</v>
      </c>
      <c r="M89" s="8"/>
      <c r="N89" s="20">
        <v>0.82849912475942544</v>
      </c>
      <c r="O89" s="20">
        <v>0.80742779246350749</v>
      </c>
      <c r="P89" s="20">
        <v>0.77680158438603875</v>
      </c>
      <c r="Q89" s="8"/>
      <c r="R89" s="20">
        <f>+R83+R84+R87+R88</f>
        <v>0.78182450832277395</v>
      </c>
      <c r="S89" s="20">
        <f>+S83+S84+S87+S88</f>
        <v>1.3141130624796276</v>
      </c>
      <c r="T89" s="20">
        <f>+T83+T84+T87+T88</f>
        <v>0.86033082620204848</v>
      </c>
    </row>
    <row r="90" spans="2:20" ht="19.5" hidden="1" customHeight="1" outlineLevel="1" x14ac:dyDescent="0.25">
      <c r="B90" s="204"/>
      <c r="C90" s="9"/>
      <c r="D90" s="14" t="s">
        <v>34</v>
      </c>
      <c r="E90" s="6"/>
      <c r="F90" s="19">
        <v>3.4235248799999982</v>
      </c>
      <c r="G90" s="19">
        <v>3.5300846599999987</v>
      </c>
      <c r="H90" s="19">
        <v>3.8124253712933789</v>
      </c>
      <c r="I90" s="6"/>
      <c r="J90" s="19">
        <f>+[1]H9!$BK$37/1000</f>
        <v>0.72782669000000055</v>
      </c>
      <c r="K90" s="19">
        <f>+[1]H9!$BK$38/1000</f>
        <v>0.7549863299999986</v>
      </c>
      <c r="L90" s="19">
        <f>+[1]H9!$BK$39/1000</f>
        <v>1.0376181700025522</v>
      </c>
      <c r="M90" s="6"/>
      <c r="N90" s="19">
        <v>3.4235248799999982</v>
      </c>
      <c r="O90" s="19">
        <v>3.5300846599999987</v>
      </c>
      <c r="P90" s="19">
        <v>3.8124253712933789</v>
      </c>
      <c r="Q90" s="6"/>
      <c r="R90" s="19">
        <f>+[1]H9!$GI$37/1000</f>
        <v>0.52530246000000114</v>
      </c>
      <c r="S90" s="19">
        <f>+[1]H9!$GI$38/1000</f>
        <v>-0.72851740000000087</v>
      </c>
      <c r="T90" s="19">
        <f>+[1]H9!$GI$39/1000</f>
        <v>0.34587272333418378</v>
      </c>
    </row>
    <row r="91" spans="2:20" ht="7.5" hidden="1" customHeight="1" outlineLevel="1" x14ac:dyDescent="0.25">
      <c r="C91" s="9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2:20" ht="19.5" customHeight="1" collapsed="1" x14ac:dyDescent="0.25">
      <c r="B92" s="204" t="s">
        <v>102</v>
      </c>
      <c r="C92" s="9"/>
      <c r="D92" s="14" t="s">
        <v>19</v>
      </c>
      <c r="E92" s="6"/>
      <c r="F92" s="19">
        <v>73.936491399999994</v>
      </c>
      <c r="G92" s="19">
        <v>67.736238929999985</v>
      </c>
      <c r="H92" s="19">
        <v>64.262486641781877</v>
      </c>
      <c r="I92" s="6"/>
      <c r="J92" s="19">
        <f>+[1]H9!$C$41/1000</f>
        <v>34.074339359999996</v>
      </c>
      <c r="K92" s="19">
        <f>+[1]H9!$C$42/1000</f>
        <v>33.936046259999998</v>
      </c>
      <c r="L92" s="19">
        <f>+[1]H9!$C$43/1000</f>
        <v>35.573320000000002</v>
      </c>
      <c r="M92" s="6"/>
      <c r="N92" s="19">
        <v>73.936491399999994</v>
      </c>
      <c r="O92" s="19">
        <v>67.736238929999985</v>
      </c>
      <c r="P92" s="19">
        <v>64.262486641781877</v>
      </c>
      <c r="Q92" s="6"/>
      <c r="R92" s="19">
        <f>+[1]H9!$EA$41/1000</f>
        <v>3.8682378599999976</v>
      </c>
      <c r="S92" s="19">
        <f>+[1]H9!$EA$42/1000</f>
        <v>3.8366098399999973</v>
      </c>
      <c r="T92" s="19">
        <f>+[1]H9!$EA$43/1000</f>
        <v>2.647720000000001</v>
      </c>
    </row>
    <row r="93" spans="2:20" ht="20.149999999999999" customHeight="1" x14ac:dyDescent="0.25">
      <c r="B93" s="204"/>
      <c r="C93" s="9"/>
      <c r="D93" s="14" t="s">
        <v>20</v>
      </c>
      <c r="E93" s="6"/>
      <c r="F93" s="19">
        <v>71.393375890000002</v>
      </c>
      <c r="G93" s="19">
        <v>64.477333239999979</v>
      </c>
      <c r="H93" s="19">
        <v>61.30179304965408</v>
      </c>
      <c r="I93" s="6"/>
      <c r="J93" s="19">
        <f>+[1]H9!$N$41/1000</f>
        <v>12.091597999999998</v>
      </c>
      <c r="K93" s="19">
        <f>+[1]H9!$N$42/1000</f>
        <v>12.516155129999996</v>
      </c>
      <c r="L93" s="19">
        <f>+[1]H9!$N$43/1000</f>
        <v>13.506442429496509</v>
      </c>
      <c r="M93" s="6"/>
      <c r="N93" s="19">
        <v>71.393375890000002</v>
      </c>
      <c r="O93" s="19">
        <v>64.477333239999979</v>
      </c>
      <c r="P93" s="19">
        <v>61.30179304965408</v>
      </c>
      <c r="Q93" s="6"/>
      <c r="R93" s="19">
        <f>+[1]H9!$EL$41/1000</f>
        <v>4.665635</v>
      </c>
      <c r="S93" s="19">
        <f>+[1]H9!$EL$42/1000</f>
        <v>4.37741661</v>
      </c>
      <c r="T93" s="19">
        <f>+[1]H9!$EL$43/1000</f>
        <v>4.5021474764988358</v>
      </c>
    </row>
    <row r="94" spans="2:20" ht="19.5" customHeight="1" x14ac:dyDescent="0.25">
      <c r="B94" s="204"/>
      <c r="C94" s="9"/>
      <c r="D94" s="14" t="s">
        <v>92</v>
      </c>
      <c r="E94" s="6"/>
      <c r="F94" s="20">
        <f>F97-F95-F96</f>
        <v>0.60213230266957196</v>
      </c>
      <c r="G94" s="20">
        <f>G97-G95-G96</f>
        <v>0.49213122930950809</v>
      </c>
      <c r="H94" s="20">
        <f>H97-H95-H96</f>
        <v>0.56878005443336044</v>
      </c>
      <c r="I94" s="6"/>
      <c r="J94" s="20">
        <f>-(SUM([1]H9!$O$41,[1]H9!$R$41:$V$41,[1]H9!$Y$41:$AB$41)/1000)/J93</f>
        <v>0.39753423473658916</v>
      </c>
      <c r="K94" s="20">
        <f>-(SUM([1]H9!$O$42,[1]H9!$R$42:$V$42,[1]H9!$Y$42:$AB$42)/1000)/K93</f>
        <v>0.45376434005208599</v>
      </c>
      <c r="L94" s="20">
        <f>-(SUM([1]H9!$O$43,[1]H9!$R$43:$V$43,[1]H9!$Y$43:$AB$43)/1000)/L93</f>
        <v>0.44376002646185758</v>
      </c>
      <c r="M94" s="6"/>
      <c r="N94" s="20">
        <f>N97-N95-N96</f>
        <v>0.60213230266957196</v>
      </c>
      <c r="O94" s="20">
        <f>O97-O95-O96</f>
        <v>0.49213122930950809</v>
      </c>
      <c r="P94" s="20">
        <f>P97-P95-P96</f>
        <v>0.56878005443336044</v>
      </c>
      <c r="Q94" s="6"/>
      <c r="R94" s="20">
        <f>-(SUM([1]H9!$EM$41,[1]H9!$EP$41:$ET$41,[1]H9!$EW$41:$EZ$41)/1000)/R93</f>
        <v>0.35675078052955855</v>
      </c>
      <c r="S94" s="20">
        <f>-(SUM([1]H9!$EM$42,[1]H9!$EP$42:$ET$42,[1]H9!$EW$42:$EZ$42)/1000)/S93</f>
        <v>0.45442733459922746</v>
      </c>
      <c r="T94" s="20">
        <f>-(SUM([1]H9!$EM$43,[1]H9!$EP$43:$ET$43,[1]H9!$EW$43:$EZ$43)/1000)/T93</f>
        <v>0.44376002646185775</v>
      </c>
    </row>
    <row r="95" spans="2:20" ht="19.5" customHeight="1" x14ac:dyDescent="0.25">
      <c r="B95" s="204"/>
      <c r="C95" s="9"/>
      <c r="D95" s="14" t="s">
        <v>93</v>
      </c>
      <c r="E95" s="6"/>
      <c r="F95" s="20">
        <f>IFERROR(SUM(INDEX(LL_TOT_BR_YTD,4,Month),INDEX(LL_IBNR_TOT_BR_YTD,4,Month))/F93,0)</f>
        <v>0</v>
      </c>
      <c r="G95" s="20">
        <f>IFERROR(SUM(INDEX(LL_TOT_BR_YTD_PREV,4,Month),INDEX(LL_IBNR_TOT_BR_YTD_PREV,4,Month))/G93,0)</f>
        <v>0</v>
      </c>
      <c r="H95" s="20">
        <f>IFERROR(SUM(INDEX(LL_TOT_BR_YTD_PLAN,4,Month),INDEX(LL_IBNR_TOT_BR_YTD_PLAN,4,Month))/H93,0)</f>
        <v>0</v>
      </c>
      <c r="I95" s="6"/>
      <c r="J95" s="20">
        <f>-(SUM([1]H9!$Q$41,[1]H9!$X$41)/1000)/J93</f>
        <v>0.1585918108034628</v>
      </c>
      <c r="K95" s="20">
        <f>-(SUM([1]H9!$Q$42,[1]H9!$X$42)/1000)/K93</f>
        <v>0.15197213502786153</v>
      </c>
      <c r="L95" s="20">
        <f>-(SUM([1]H9!$Q$43,[1]H9!$X$43)/1000)/L93</f>
        <v>0.12834882852531426</v>
      </c>
      <c r="M95" s="6"/>
      <c r="N95" s="20">
        <f>IFERROR(SUM(INDEX(LL_TOT_BR_YTD,4,Month),INDEX(LL_IBNR_TOT_BR_YTD,4,Month))/N93,0)</f>
        <v>0</v>
      </c>
      <c r="O95" s="20">
        <f>IFERROR(SUM(INDEX(LL_TOT_BR_YTD_PREV,4,Month),INDEX(LL_IBNR_TOT_BR_YTD_PREV,4,Month))/O93,0)</f>
        <v>0</v>
      </c>
      <c r="P95" s="20">
        <f>IFERROR(SUM(INDEX(LL_TOT_BR_YTD_PLAN,4,Month),INDEX(LL_IBNR_TOT_BR_YTD_PLAN,4,Month))/P93,0)</f>
        <v>0</v>
      </c>
      <c r="Q95" s="6"/>
      <c r="R95" s="20">
        <f>-(SUM([1]H9!$EO$41,[1]H9!$EV$41)/1000)/R93</f>
        <v>0.17562235624603578</v>
      </c>
      <c r="S95" s="20">
        <f>-(SUM([1]H9!$EO$42,[1]H9!$EV$42)/1000)/S93</f>
        <v>0.15961378587799396</v>
      </c>
      <c r="T95" s="20">
        <f>-(SUM([1]H9!$EO$43,[1]H9!$EV$43)/1000)/T93</f>
        <v>0.12834882852531429</v>
      </c>
    </row>
    <row r="96" spans="2:20" ht="19.5" customHeight="1" x14ac:dyDescent="0.25">
      <c r="B96" s="204"/>
      <c r="C96" s="9"/>
      <c r="D96" s="14" t="s">
        <v>94</v>
      </c>
      <c r="E96" s="6"/>
      <c r="F96" s="20">
        <f>0</f>
        <v>0</v>
      </c>
      <c r="G96" s="20">
        <f>0</f>
        <v>0</v>
      </c>
      <c r="H96" s="20">
        <f>0</f>
        <v>0</v>
      </c>
      <c r="I96" s="6"/>
      <c r="J96" s="20">
        <f>-(SUM([1]H9!$P$41,[1]H9!$W$41)/1000)/J93</f>
        <v>0</v>
      </c>
      <c r="K96" s="20">
        <f>-(SUM([1]H9!$P$42,[1]H9!$W$42)/1000)/K93</f>
        <v>0</v>
      </c>
      <c r="L96" s="20">
        <f>-(SUM([1]H9!$P$43,[1]H9!$W$43)/1000)/L93</f>
        <v>0</v>
      </c>
      <c r="M96" s="6"/>
      <c r="N96" s="20">
        <f>0</f>
        <v>0</v>
      </c>
      <c r="O96" s="20">
        <f>0</f>
        <v>0</v>
      </c>
      <c r="P96" s="20">
        <f>0</f>
        <v>0</v>
      </c>
      <c r="Q96" s="6"/>
      <c r="R96" s="20">
        <f>-(SUM([1]H9!$EN$41,[1]H9!$EU$41)/1000)/R93</f>
        <v>0</v>
      </c>
      <c r="S96" s="20">
        <f>-(SUM([1]H9!$EN$42,[1]H9!$EU$42)/1000)/S93</f>
        <v>0</v>
      </c>
      <c r="T96" s="20">
        <f>-(SUM([1]H9!$EN$43,[1]H9!$EU$43)/1000)/T93</f>
        <v>0</v>
      </c>
    </row>
    <row r="97" spans="2:20" ht="19.5" hidden="1" customHeight="1" outlineLevel="1" x14ac:dyDescent="0.25">
      <c r="B97" s="204"/>
      <c r="C97" s="9"/>
      <c r="D97" s="14" t="s">
        <v>95</v>
      </c>
      <c r="E97" s="7"/>
      <c r="F97" s="20">
        <v>0.60213230266957196</v>
      </c>
      <c r="G97" s="20">
        <v>0.49213122930950809</v>
      </c>
      <c r="H97" s="20">
        <v>0.56878005443336044</v>
      </c>
      <c r="I97" s="7"/>
      <c r="J97" s="20">
        <f>+J94+J95+J96</f>
        <v>0.55612604554005196</v>
      </c>
      <c r="K97" s="20">
        <f>+K94+K95+K96</f>
        <v>0.60573647507994755</v>
      </c>
      <c r="L97" s="20">
        <f>+L94+L95+L96</f>
        <v>0.57210885498717179</v>
      </c>
      <c r="M97" s="7"/>
      <c r="N97" s="20">
        <v>0.60213230266957196</v>
      </c>
      <c r="O97" s="20">
        <v>0.49213122930950809</v>
      </c>
      <c r="P97" s="20">
        <v>0.56878005443336044</v>
      </c>
      <c r="Q97" s="7"/>
      <c r="R97" s="20">
        <f>+R94+R95+R96</f>
        <v>0.53237313677559439</v>
      </c>
      <c r="S97" s="20">
        <f>+S94+S95+S96</f>
        <v>0.61404112047722137</v>
      </c>
      <c r="T97" s="20">
        <f>+T94+T95+T96</f>
        <v>0.57210885498717201</v>
      </c>
    </row>
    <row r="98" spans="2:20" ht="20.149999999999999" customHeight="1" collapsed="1" x14ac:dyDescent="0.25">
      <c r="B98" s="204"/>
      <c r="C98" s="9"/>
      <c r="D98" s="14" t="s">
        <v>96</v>
      </c>
      <c r="E98" s="7"/>
      <c r="F98" s="20">
        <v>-1.8108815753326363E-2</v>
      </c>
      <c r="G98" s="20">
        <v>0.34234992238025652</v>
      </c>
      <c r="H98" s="20">
        <v>-1.6312736548994677E-2</v>
      </c>
      <c r="I98" s="7"/>
      <c r="J98" s="20">
        <f>-(SUM([1]H9!$AC$41:$AK$41)/1000)/J93</f>
        <v>-0.12257748810372293</v>
      </c>
      <c r="K98" s="20">
        <f>-(SUM([1]H9!$AC$42:$AK$42)/1000)/K93</f>
        <v>0.35957371838679053</v>
      </c>
      <c r="L98" s="20">
        <f>-(SUM([1]H9!$AC$43:$AK$43)/1000)/L93</f>
        <v>-3.46107319259253E-2</v>
      </c>
      <c r="M98" s="7"/>
      <c r="N98" s="20">
        <v>-1.8108815753326363E-2</v>
      </c>
      <c r="O98" s="20">
        <v>0.34234992238025652</v>
      </c>
      <c r="P98" s="20">
        <v>-1.6312736548994677E-2</v>
      </c>
      <c r="Q98" s="7"/>
      <c r="R98" s="20">
        <f>-(SUM([1]H9!$FA$41:$FI$41)/1000)/R93</f>
        <v>-0.58438511585239727</v>
      </c>
      <c r="S98" s="20">
        <f>-(SUM([1]H9!$FA$42:$FI$42)/1000)/S93</f>
        <v>5.8057734194050775E-2</v>
      </c>
      <c r="T98" s="20">
        <f>-(SUM([1]H9!$FA$43:$FI$43)/1000)/T93</f>
        <v>-3.4610731925925328E-2</v>
      </c>
    </row>
    <row r="99" spans="2:20" ht="20.149999999999999" hidden="1" customHeight="1" outlineLevel="1" x14ac:dyDescent="0.25">
      <c r="B99" s="204"/>
      <c r="C99" s="9"/>
      <c r="D99" s="15" t="s">
        <v>87</v>
      </c>
      <c r="E99" s="7"/>
      <c r="F99" s="20">
        <v>0.19134969189646484</v>
      </c>
      <c r="G99" s="20">
        <v>0.18797536918727567</v>
      </c>
      <c r="H99" s="20">
        <v>0.19462740988730837</v>
      </c>
      <c r="I99" s="7"/>
      <c r="J99" s="20">
        <f>-(SUM([1]H9!$AL$41:$AN$41)/1000)/J93</f>
        <v>0.19608202737140318</v>
      </c>
      <c r="K99" s="20">
        <f>-(SUM([1]H9!$AL$42:$AN$42)/1000)/K93</f>
        <v>0.196312514065172</v>
      </c>
      <c r="L99" s="20">
        <f>-(SUM([1]H9!$AL$43:$AN$43)/1000)/L93</f>
        <v>0.1970993456192672</v>
      </c>
      <c r="M99" s="7"/>
      <c r="N99" s="20">
        <v>0.19134969189646484</v>
      </c>
      <c r="O99" s="20">
        <v>0.18797536918727567</v>
      </c>
      <c r="P99" s="20">
        <v>0.19462740988730837</v>
      </c>
      <c r="Q99" s="7"/>
      <c r="R99" s="20">
        <f>-(SUM([1]H9!$FJ$41:$FL$41)/1000)/R93</f>
        <v>0.1851986171228569</v>
      </c>
      <c r="S99" s="20">
        <f>-(SUM([1]H9!$FJ$42:$FL$42)/1000)/S93</f>
        <v>0.18307138693842537</v>
      </c>
      <c r="T99" s="20">
        <f>-(SUM([1]H9!$FJ$43:$FL$43)/1000)/T93</f>
        <v>0.19709934561926726</v>
      </c>
    </row>
    <row r="100" spans="2:20" ht="20.149999999999999" hidden="1" customHeight="1" outlineLevel="1" x14ac:dyDescent="0.25">
      <c r="B100" s="204"/>
      <c r="C100" s="9"/>
      <c r="D100" s="15" t="s">
        <v>88</v>
      </c>
      <c r="E100" s="7"/>
      <c r="F100" s="20">
        <v>0.11007667226870506</v>
      </c>
      <c r="G100" s="20">
        <v>0.13582996240556058</v>
      </c>
      <c r="H100" s="20">
        <v>0.13760084462076994</v>
      </c>
      <c r="I100" s="7"/>
      <c r="J100" s="20">
        <f>-(SUM([1]H9!$AO$41:$AR$41)/1000)/J93</f>
        <v>0.11202596629494298</v>
      </c>
      <c r="K100" s="20">
        <f>-(SUM([1]H9!$AO$42:$AR$42)/1000)/K93</f>
        <v>8.7432307975876006E-2</v>
      </c>
      <c r="L100" s="20">
        <f>-(SUM([1]H9!$AO$43:$AR$43)/1000)/L93</f>
        <v>0.11885062758681315</v>
      </c>
      <c r="M100" s="7"/>
      <c r="N100" s="20">
        <v>0.11007667226870506</v>
      </c>
      <c r="O100" s="20">
        <v>0.13582996240556058</v>
      </c>
      <c r="P100" s="20">
        <v>0.13760084462076994</v>
      </c>
      <c r="Q100" s="7"/>
      <c r="R100" s="20">
        <f>-(SUM([1]H9!$FM$41:$FP$41)/1000)/R93</f>
        <v>9.9684966783728249E-2</v>
      </c>
      <c r="S100" s="20">
        <f>-(SUM([1]H9!$FM$42:$FP$42)/1000)/S93</f>
        <v>8.6986643932892641E-2</v>
      </c>
      <c r="T100" s="20">
        <f>-(SUM([1]H9!$FM$43:$FP$43)/1000)/T93</f>
        <v>0.11885062758681317</v>
      </c>
    </row>
    <row r="101" spans="2:20" ht="20.149999999999999" customHeight="1" collapsed="1" x14ac:dyDescent="0.25">
      <c r="B101" s="204"/>
      <c r="C101" s="9"/>
      <c r="D101" s="14" t="s">
        <v>97</v>
      </c>
      <c r="E101" s="7"/>
      <c r="F101" s="20">
        <v>0.30142636416516988</v>
      </c>
      <c r="G101" s="20">
        <v>0.32380533159283631</v>
      </c>
      <c r="H101" s="20">
        <v>0.3322282545080783</v>
      </c>
      <c r="I101" s="7"/>
      <c r="J101" s="20">
        <f>+J99+J100</f>
        <v>0.30810799366634617</v>
      </c>
      <c r="K101" s="20">
        <f>+K99+K100</f>
        <v>0.28374482204104801</v>
      </c>
      <c r="L101" s="20">
        <f>+L99+L100</f>
        <v>0.31594997320608037</v>
      </c>
      <c r="M101" s="7"/>
      <c r="N101" s="20">
        <v>0.30142636416516988</v>
      </c>
      <c r="O101" s="20">
        <v>0.32380533159283631</v>
      </c>
      <c r="P101" s="20">
        <v>0.3322282545080783</v>
      </c>
      <c r="Q101" s="7"/>
      <c r="R101" s="20">
        <f>+R99+R100</f>
        <v>0.28488358390658514</v>
      </c>
      <c r="S101" s="20">
        <f>+S99+S100</f>
        <v>0.27005803087131802</v>
      </c>
      <c r="T101" s="20">
        <f>+T99+T100</f>
        <v>0.31594997320608043</v>
      </c>
    </row>
    <row r="102" spans="2:20" ht="20.149999999999999" customHeight="1" x14ac:dyDescent="0.25">
      <c r="B102" s="204"/>
      <c r="C102" s="9"/>
      <c r="D102" s="14" t="s">
        <v>90</v>
      </c>
      <c r="E102" s="7"/>
      <c r="F102" s="20"/>
      <c r="G102" s="20"/>
      <c r="H102" s="20"/>
      <c r="I102" s="7"/>
      <c r="J102" s="20">
        <f>-(SUM([1]H9!$AT$41:$BJ$41)/1000/J93)</f>
        <v>1.5521061814989039E-2</v>
      </c>
      <c r="K102" s="20">
        <f>-(SUM([1]H9!$AT$42:$BJ$42)/1000/K93)</f>
        <v>6.8101793334036709E-2</v>
      </c>
      <c r="L102" s="20">
        <f>-(SUM([1]H9!$AT$43:$BJ$43)/1000/L93)</f>
        <v>1.7134567205218963E-2</v>
      </c>
      <c r="M102" s="7"/>
      <c r="N102" s="20"/>
      <c r="O102" s="20"/>
      <c r="P102" s="20"/>
      <c r="Q102" s="7"/>
      <c r="R102" s="20">
        <f>-(SUM([1]H9!$FR$41:$GH$41)/1000/R93)</f>
        <v>2.9658745272615163E-2</v>
      </c>
      <c r="S102" s="20">
        <f>-(SUM([1]H9!$FR$42:$GH$42)/1000/S93)</f>
        <v>0.13211298615692013</v>
      </c>
      <c r="T102" s="20">
        <f>-(SUM([1]H9!$FR$43:$GH$43)/1000/T93)</f>
        <v>1.7134567205218953E-2</v>
      </c>
    </row>
    <row r="103" spans="2:20" ht="20.149999999999999" customHeight="1" x14ac:dyDescent="0.25">
      <c r="B103" s="204"/>
      <c r="C103" s="9"/>
      <c r="D103" s="14" t="s">
        <v>79</v>
      </c>
      <c r="E103" s="8"/>
      <c r="F103" s="20">
        <v>0.88544985108141538</v>
      </c>
      <c r="G103" s="20">
        <v>1.1582864832826012</v>
      </c>
      <c r="H103" s="20">
        <v>0.88469557239244401</v>
      </c>
      <c r="I103" s="8"/>
      <c r="J103" s="20">
        <f>+J97+J98+J101+J102</f>
        <v>0.75717761291766417</v>
      </c>
      <c r="K103" s="20">
        <f>+K97+K98+K101+K102</f>
        <v>1.3171568088418226</v>
      </c>
      <c r="L103" s="20">
        <f>+L97+L98+L101+L102</f>
        <v>0.87058266347254576</v>
      </c>
      <c r="M103" s="8"/>
      <c r="N103" s="20">
        <v>0.88544985108141538</v>
      </c>
      <c r="O103" s="20">
        <v>1.1582864832826012</v>
      </c>
      <c r="P103" s="20">
        <v>0.88469557239244401</v>
      </c>
      <c r="Q103" s="8"/>
      <c r="R103" s="20">
        <f>+R97+R98+R101+R102</f>
        <v>0.26253035010239739</v>
      </c>
      <c r="S103" s="20">
        <f>+S97+S98+S101+S102</f>
        <v>1.0742698716995103</v>
      </c>
      <c r="T103" s="20">
        <f>+T97+T98+T101+T102</f>
        <v>0.87058266347254609</v>
      </c>
    </row>
    <row r="104" spans="2:20" ht="19.5" customHeight="1" x14ac:dyDescent="0.25">
      <c r="B104" s="204"/>
      <c r="C104" s="9"/>
      <c r="D104" s="14" t="s">
        <v>34</v>
      </c>
      <c r="E104" s="6"/>
      <c r="F104" s="19">
        <v>8.1781218399999922</v>
      </c>
      <c r="G104" s="19">
        <v>-10.205890329999947</v>
      </c>
      <c r="H104" s="19">
        <v>7.0683681589072158</v>
      </c>
      <c r="I104" s="6"/>
      <c r="J104" s="19">
        <f>+[1]H9!$BK$41/1000</f>
        <v>2.9361106899999978</v>
      </c>
      <c r="K104" s="19">
        <f>+[1]H9!$BK$42/1000</f>
        <v>-3.9695838200000102</v>
      </c>
      <c r="L104" s="19">
        <f>+[1]H9!$BK$43/1000</f>
        <v>1.747967805186835</v>
      </c>
      <c r="M104" s="6"/>
      <c r="N104" s="19">
        <v>8.1781218399999922</v>
      </c>
      <c r="O104" s="19">
        <v>-10.205890329999947</v>
      </c>
      <c r="P104" s="19">
        <v>7.0683681589072158</v>
      </c>
      <c r="Q104" s="6"/>
      <c r="R104" s="19">
        <f>+[1]H9!$GI$41/1000</f>
        <v>3.4407642100000011</v>
      </c>
      <c r="S104" s="19">
        <f>+[1]H9!$GI$42/1000</f>
        <v>-0.32511017000000558</v>
      </c>
      <c r="T104" s="19">
        <f>+[1]H9!$GI$43/1000</f>
        <v>0.58265593506227809</v>
      </c>
    </row>
    <row r="105" spans="2:20" ht="7.5" customHeight="1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2:20" ht="19.5" customHeight="1" x14ac:dyDescent="0.25">
      <c r="B106" s="204" t="s">
        <v>103</v>
      </c>
      <c r="C106" s="9"/>
      <c r="D106" s="14" t="s">
        <v>19</v>
      </c>
      <c r="E106" s="6"/>
      <c r="F106" s="19">
        <v>51.071887840000002</v>
      </c>
      <c r="G106" s="19">
        <v>47.642331730000009</v>
      </c>
      <c r="H106" s="19">
        <v>48.731214913514791</v>
      </c>
      <c r="I106" s="6"/>
      <c r="J106" s="19">
        <f t="shared" ref="J106:L107" si="2">+J120+J148+J162+J134</f>
        <v>35.303276349999997</v>
      </c>
      <c r="K106" s="19">
        <f t="shared" si="2"/>
        <v>35.13595608</v>
      </c>
      <c r="L106" s="19">
        <f t="shared" si="2"/>
        <v>34.629329999999996</v>
      </c>
      <c r="M106" s="6"/>
      <c r="N106" s="19">
        <v>51.071887840000002</v>
      </c>
      <c r="O106" s="19">
        <v>47.642331730000009</v>
      </c>
      <c r="P106" s="19">
        <v>48.731214913514791</v>
      </c>
      <c r="Q106" s="6"/>
      <c r="R106" s="19">
        <f t="shared" ref="R106:T107" si="3">+R120+R148+R162+R134</f>
        <v>4.1377124300000014</v>
      </c>
      <c r="S106" s="19">
        <f t="shared" si="3"/>
        <v>3.7846691200000002</v>
      </c>
      <c r="T106" s="19">
        <f t="shared" si="3"/>
        <v>5.2294400000000003</v>
      </c>
    </row>
    <row r="107" spans="2:20" ht="20.149999999999999" customHeight="1" x14ac:dyDescent="0.25">
      <c r="B107" s="204"/>
      <c r="C107" s="9"/>
      <c r="D107" s="14" t="s">
        <v>20</v>
      </c>
      <c r="E107" s="6"/>
      <c r="F107" s="19">
        <v>45.131933990000007</v>
      </c>
      <c r="G107" s="19">
        <v>38.28320678</v>
      </c>
      <c r="H107" s="19">
        <v>41.985683385669191</v>
      </c>
      <c r="I107" s="6"/>
      <c r="J107" s="19">
        <f t="shared" si="2"/>
        <v>18.448548349999999</v>
      </c>
      <c r="K107" s="19">
        <f t="shared" si="2"/>
        <v>17.845757080000002</v>
      </c>
      <c r="L107" s="19">
        <f t="shared" si="2"/>
        <v>19.381006722087843</v>
      </c>
      <c r="M107" s="6"/>
      <c r="N107" s="19">
        <v>45.131933990000007</v>
      </c>
      <c r="O107" s="19">
        <v>38.28320678</v>
      </c>
      <c r="P107" s="19">
        <v>41.985683385669191</v>
      </c>
      <c r="Q107" s="6"/>
      <c r="R107" s="19">
        <f t="shared" si="3"/>
        <v>6.5276557400000028</v>
      </c>
      <c r="S107" s="19">
        <f t="shared" si="3"/>
        <v>6.2690483500000003</v>
      </c>
      <c r="T107" s="19">
        <f t="shared" si="3"/>
        <v>6.4603355740292798</v>
      </c>
    </row>
    <row r="108" spans="2:20" ht="19.5" customHeight="1" x14ac:dyDescent="0.25">
      <c r="B108" s="204"/>
      <c r="C108" s="9"/>
      <c r="D108" s="14" t="s">
        <v>92</v>
      </c>
      <c r="E108" s="6"/>
      <c r="F108" s="29">
        <f>F111-F109-F110</f>
        <v>0.6596895124546821</v>
      </c>
      <c r="G108" s="20">
        <f>G111-G109-G110</f>
        <v>0.4657630109846298</v>
      </c>
      <c r="H108" s="20">
        <f>H111-H109-H110</f>
        <v>0.54568289348748922</v>
      </c>
      <c r="I108" s="6"/>
      <c r="J108" s="20">
        <f>(-(SUM([1]H9!$O$49,[1]H9!$R$49:$V$49,[1]H9!$Y$49:$AB$49)/1000)-(SUM([1]H9!$O$45,[1]H9!$R$45:$V$45,[1]H9!$Y$45:$AB$45)/1000)-(SUM([1]H9!$O$53,[1]H9!$R$53:$V$53,[1]H9!$Y$53:$AB$53)/1000)-(SUM([1]H9!$O$57,[1]H9!$R$57:$V$57,[1]H9!$Y$57:$AB$57)/1000))/J107</f>
        <v>0.48160462654837205</v>
      </c>
      <c r="K108" s="20">
        <f>(-(SUM([1]H9!$O$50,[1]H9!$R$50:$V$50,[1]H9!$Y$50:$AB$50)/1000)-(SUM([1]H9!$O$46,[1]H9!$R$46:$V$46,[1]H9!$Y$46:$AB$46)/1000)-(SUM([1]H9!$O$54,[1]H9!$R$54:$V$54,[1]H9!$Y$54:$AB$54)/1000)-(SUM([1]H9!$O$58,[1]H9!$R$58:$V$58,[1]H9!$Y$58:$AB$58)/1000))/K107</f>
        <v>0.52464133676305769</v>
      </c>
      <c r="L108" s="20">
        <f>(-(SUM([1]H9!$O$51,[1]H9!$R$51:$V$51,[1]H9!$Y$51:$AB$51)/1000)-(SUM([1]H9!$O$47,[1]H9!$R$47:$V$47,[1]H9!$Y$47:$AB$47)/1000)-(SUM([1]H9!$O$55,[1]H9!$R$55:$V$55,[1]H9!$Y$55:$AB$55)/1000)-(SUM([1]H9!$O$59,[1]H9!$R$59:$V$59,[1]H9!$Y$59:$AB$59)/1000))/L107</f>
        <v>0.46633750713969302</v>
      </c>
      <c r="M108" s="6"/>
      <c r="N108" s="29">
        <f>N111-N109-N110</f>
        <v>0.6596895124546821</v>
      </c>
      <c r="O108" s="20">
        <f>O111-O109-O110</f>
        <v>0.4657630109846298</v>
      </c>
      <c r="P108" s="20">
        <f>P111-P109-P110</f>
        <v>0.54568289348748922</v>
      </c>
      <c r="Q108" s="6"/>
      <c r="R108" s="20">
        <f>(-(SUM([1]H9!$EM$49,[1]H9!$EP$49:$ET$49,[1]H9!$EW$49:$EZ$49)/1000)-(SUM([1]H9!$EM$45,[1]H9!$EP$45:$ET$45,[1]H9!$EW$45:$EZ$45)/1000)-(SUM([1]H9!$EM$53,[1]H9!$EP$53:$ET$53,[1]H9!$EW$53:$EZ$53)/1000)-(SUM([1]H9!$EM$57,[1]H9!$EP$57:$ET$57,[1]H9!$EW$57:$EZ$57)/1000))/R107</f>
        <v>0.54301951186983821</v>
      </c>
      <c r="S108" s="20">
        <f>(-(SUM([1]H9!$EM$50,[1]H9!$EP$50:$ET$50,[1]H9!$EW$50:$EZ$50)/1000)-(SUM([1]H9!$EM$46,[1]H9!$EP$46:$ET$46,[1]H9!$EW$46:$EZ$46)/1000)-(SUM([1]H9!$EM$54,[1]H9!$EP$54:$ET$54,[1]H9!$EW$54:$EZ$54)/1000)-(SUM([1]H9!$EM$58,[1]H9!$EP$58:$ET$58,[1]H9!$EW$58:$EZ$58)/1000))/S107</f>
        <v>0.54154123249025499</v>
      </c>
      <c r="T108" s="20">
        <f>(-(SUM([1]H9!$EM$51,[1]H9!$EP$51:$ET$51,[1]H9!$EW$51:$EZ$51)/1000)-(SUM([1]H9!$EM$47,[1]H9!$EP$47:$ET$47,[1]H9!$EW$47:$EZ$47)/1000)-(SUM([1]H9!$EM$55,[1]H9!$EP$55:$ET$55,[1]H9!$EW$55:$EZ$55)/1000)-(SUM([1]H9!$EM$59,[1]H9!$EP$59:$ET$59,[1]H9!$EW$59:$EZ$59)/1000))/T107</f>
        <v>0.38509729821638033</v>
      </c>
    </row>
    <row r="109" spans="2:20" ht="19.5" customHeight="1" x14ac:dyDescent="0.25">
      <c r="B109" s="204"/>
      <c r="C109" s="9"/>
      <c r="D109" s="14" t="s">
        <v>93</v>
      </c>
      <c r="E109" s="6"/>
      <c r="F109" s="20">
        <f>IFERROR((F123*F121+F137*F135+F151*F149+F165*F163)/F107,"n/a")</f>
        <v>0</v>
      </c>
      <c r="G109" s="20">
        <f>IFERROR((G123*G121+G137*G135+G151*G149+G165*G163)/G107,"n/a")</f>
        <v>0</v>
      </c>
      <c r="H109" s="20">
        <f>IFERROR((H123*H121+H137*H135+H151*H149+H165*H163)/H107,"n/a")</f>
        <v>0</v>
      </c>
      <c r="I109" s="6"/>
      <c r="J109" s="20">
        <f>(-(SUM([1]H9!$Q$49,[1]H9!$X$49)/1000)-(SUM([1]H9!$Q$45,[1]H9!$X$45)/1000)-(SUM([1]H9!$Q$53,[1]H9!$X$53)/1000)-(SUM([1]H9!$Q$57,[1]H9!$X$57)/1000))/J107</f>
        <v>6.3499481331205337E-2</v>
      </c>
      <c r="K109" s="20">
        <f>(-(SUM([1]H9!$Q$50,[1]H9!$X$50)/1000)-(SUM([1]H9!$Q$46,[1]H9!$X$46)/1000)-(SUM([1]H9!$Q$54,[1]H9!$X$54)/1000)-(SUM([1]H9!$Q$58,[1]H9!$X$58)/1000))/K107</f>
        <v>5.4522763906186704E-2</v>
      </c>
      <c r="L109" s="20">
        <f>(-(SUM([1]H9!$Q$51,[1]H9!$X$51)/1000)-(SUM([1]H9!$Q$47,[1]H9!$X$47)/1000)-(SUM([1]H9!$Q$55,[1]H9!$X$55)/1000)-(SUM([1]H9!$Q$59,[1]H9!$X$59)/1000))/L107</f>
        <v>8.8639049961207916E-2</v>
      </c>
      <c r="M109" s="6"/>
      <c r="N109" s="20">
        <f>IFERROR((N123*N121+N137*N135+N151*N149+N165*N163)/N107,"n/a")</f>
        <v>0</v>
      </c>
      <c r="O109" s="20">
        <f>IFERROR((O123*O121+O137*O135+O151*O149+O165*O163)/O107,"n/a")</f>
        <v>0</v>
      </c>
      <c r="P109" s="20">
        <f>IFERROR((P123*P121+P137*P135+P151*P149+P165*P163)/P107,"n/a")</f>
        <v>0</v>
      </c>
      <c r="Q109" s="6"/>
      <c r="R109" s="20">
        <f>(-(SUM([1]H9!$EO$49,[1]H9!$EV$49)/1000)-(SUM([1]H9!$EO$45,[1]H9!$EV$45)/1000)-(SUM([1]H9!$EO$53,[1]H9!$EV$53)/1000)-(SUM([1]H9!$EO$57,[1]H9!$EV$57)/1000))/R107</f>
        <v>6.0699439767154473E-2</v>
      </c>
      <c r="S109" s="20">
        <f>(-(SUM([1]H9!$EO$50,[1]H9!$EV$50)/1000)-(SUM([1]H9!$EO$46,[1]H9!$EV$46)/1000)-(SUM([1]H9!$EO$54,[1]H9!$EV$54)/1000)-(SUM([1]H9!$EO$58,[1]H9!$EV$58)/1000))/S107</f>
        <v>7.3376368201084299E-2</v>
      </c>
      <c r="T109" s="20">
        <f>(-(SUM([1]H9!$EO$51,[1]H9!$EV$51)/1000)-(SUM([1]H9!$EO$47,[1]H9!$EV$47)/1000)-(SUM([1]H9!$EO$55,[1]H9!$EV$55)/1000)-(SUM([1]H9!$EO$59,[1]H9!$EV$59)/1000))/T107</f>
        <v>8.8639049961207944E-2</v>
      </c>
    </row>
    <row r="110" spans="2:20" ht="19.5" customHeight="1" x14ac:dyDescent="0.25">
      <c r="B110" s="204"/>
      <c r="C110" s="9"/>
      <c r="D110" s="14" t="s">
        <v>94</v>
      </c>
      <c r="E110" s="6"/>
      <c r="F110" s="20">
        <f>IFERROR((F124*F121+F138*F135+F152*F149+F166*F163)/F107,"n/a")</f>
        <v>0</v>
      </c>
      <c r="G110" s="20">
        <f>IFERROR((G124*G121+G138*G135+G152*G149+G166*G163)/G107,"n/a")</f>
        <v>0</v>
      </c>
      <c r="H110" s="20">
        <f>IFERROR((H124*H121+H138*H135+H152*H149+H166*H163)/H107,"n/a")</f>
        <v>0</v>
      </c>
      <c r="I110" s="6"/>
      <c r="J110" s="20">
        <f>(-(SUM([1]H9!$P$49,[1]H9!$W$49)/1000)-(SUM([1]H9!$P$45,[1]H9!$W$45)/1000)-(SUM([1]H9!$P$53,[1]H9!$W$53)/1000)-(SUM([1]H9!$P$57,[1]H9!$W$57)/1000))/J107</f>
        <v>0</v>
      </c>
      <c r="K110" s="20">
        <f>(-(SUM([1]H9!$P$50,[1]H9!$W$50)/1000)-(SUM([1]H9!$P$46,[1]H9!$W$46)/1000)-(SUM([1]H9!$P$54,[1]H9!$W$54)/1000)-(SUM([1]H9!$P$58,[1]H9!$W$58)/1000))/K107</f>
        <v>0</v>
      </c>
      <c r="L110" s="20">
        <f>(-(SUM([1]H9!$P$51,[1]H9!$W$51)/1000)-(SUM([1]H9!$P$47,[1]H9!$W$47)/1000)-(SUM([1]H9!$P$55,[1]H9!$W$55)/1000)-(SUM([1]H9!$P$59,[1]H9!$W$59)/1000))/L107</f>
        <v>0</v>
      </c>
      <c r="M110" s="6"/>
      <c r="N110" s="20">
        <f>IFERROR((N124*N121+N138*N135+N152*N149+N166*N163)/N107,"n/a")</f>
        <v>0</v>
      </c>
      <c r="O110" s="20">
        <f>IFERROR((O124*O121+O138*O135+O152*O149+O166*O163)/O107,"n/a")</f>
        <v>0</v>
      </c>
      <c r="P110" s="20">
        <f>IFERROR((P124*P121+P138*P135+P152*P149+P166*P163)/P107,"n/a")</f>
        <v>0</v>
      </c>
      <c r="Q110" s="6"/>
      <c r="R110" s="20">
        <f>(-(SUM([1]H9!$EN$49,[1]H9!$EU$49)/1000)-(SUM([1]H9!$EN$45,[1]H9!$EU$45)/1000)-(SUM([1]H9!$EN$53,[1]H9!$EU$53)/1000)-(SUM([1]H9!$EN$57,[1]H9!$EU$57)/1000))/R107</f>
        <v>0</v>
      </c>
      <c r="S110" s="20">
        <f>(-(SUM([1]H9!$EN$50,[1]H9!$EU$50)/1000)-(SUM([1]H9!$EN$46,[1]H9!$EU$46)/1000)-(SUM([1]H9!$EN$54,[1]H9!$EU$54)/1000)-(SUM([1]H9!$EN$58,[1]H9!$EU$58)/1000))/S107</f>
        <v>0</v>
      </c>
      <c r="T110" s="20">
        <f>(-(SUM([1]H9!$EN$51,[1]H9!$EU$51)/1000)-(SUM([1]H9!$EN$47,[1]H9!$EU$47)/1000)-(SUM([1]H9!$EN$55,[1]H9!$EU$55)/1000)-(SUM([1]H9!$EN$59,[1]H9!$EU$59)/1000))/T107</f>
        <v>0</v>
      </c>
    </row>
    <row r="111" spans="2:20" ht="19.5" hidden="1" customHeight="1" outlineLevel="1" x14ac:dyDescent="0.25">
      <c r="B111" s="204"/>
      <c r="C111" s="9"/>
      <c r="D111" s="14" t="s">
        <v>95</v>
      </c>
      <c r="E111" s="7"/>
      <c r="F111" s="20">
        <v>0.6596895124546821</v>
      </c>
      <c r="G111" s="20">
        <v>0.4657630109846298</v>
      </c>
      <c r="H111" s="20">
        <v>0.54568289348748922</v>
      </c>
      <c r="I111" s="7"/>
      <c r="J111" s="20">
        <f>+J108+J109+J110</f>
        <v>0.54510410787957742</v>
      </c>
      <c r="K111" s="20">
        <f>+K108+K109+K110</f>
        <v>0.5791641006692444</v>
      </c>
      <c r="L111" s="20">
        <f>+L108+L109+L110</f>
        <v>0.55497655710090088</v>
      </c>
      <c r="M111" s="7"/>
      <c r="N111" s="20">
        <v>0.6596895124546821</v>
      </c>
      <c r="O111" s="20">
        <v>0.4657630109846298</v>
      </c>
      <c r="P111" s="20">
        <v>0.54568289348748922</v>
      </c>
      <c r="Q111" s="7"/>
      <c r="R111" s="20">
        <f>+R108+R109+R110</f>
        <v>0.60371895163699274</v>
      </c>
      <c r="S111" s="20">
        <f>+S108+S109+S110</f>
        <v>0.61491760069133927</v>
      </c>
      <c r="T111" s="20">
        <f>+T108+T109+T110</f>
        <v>0.47373634817758825</v>
      </c>
    </row>
    <row r="112" spans="2:20" ht="20.149999999999999" customHeight="1" collapsed="1" x14ac:dyDescent="0.25">
      <c r="B112" s="204"/>
      <c r="C112" s="9"/>
      <c r="D112" s="14" t="s">
        <v>96</v>
      </c>
      <c r="E112" s="7"/>
      <c r="F112" s="29">
        <v>-1.1782969462771764E-2</v>
      </c>
      <c r="G112" s="20">
        <v>-3.3686937392970469E-2</v>
      </c>
      <c r="H112" s="20">
        <v>0</v>
      </c>
      <c r="I112" s="7"/>
      <c r="J112" s="20">
        <f>(-(SUM([1]H9!$AC$49:$AK$49)/1000)-(SUM([1]H9!$AC$45:$AK$45)/1000)-(SUM([1]H9!$AC$53:$AK$53)/1000)-(SUM([1]H9!$AC$57:$AK$57)/1000))/J107</f>
        <v>-0.13316820670066437</v>
      </c>
      <c r="K112" s="20">
        <f>(-(SUM([1]H9!$AC$50:$AK$50)/1000)-(SUM([1]H9!$AC$46:$AK$46)/1000)-(SUM([1]H9!$AC$54:$AK$54)/1000)-(SUM([1]H9!$AC$58:$AK$58)/1000))/K107</f>
        <v>-0.17476840775196748</v>
      </c>
      <c r="L112" s="20">
        <f>(-(SUM([1]H9!$AC$51:$AK$51)/1000)-(SUM([1]H9!$AC$47:$AK$47)/1000)-(SUM([1]H9!$AC$55:$AK$55)/1000)-(SUM([1]H9!$AC$59:$AK$59)/1000))/L107</f>
        <v>-2.2606388718621428E-2</v>
      </c>
      <c r="M112" s="7"/>
      <c r="N112" s="29">
        <v>-1.1782969462771764E-2</v>
      </c>
      <c r="O112" s="20">
        <v>-3.3686937392970469E-2</v>
      </c>
      <c r="P112" s="20">
        <v>0</v>
      </c>
      <c r="Q112" s="7"/>
      <c r="R112" s="20">
        <f>(-(SUM([1]H9!$FA$49:$FI$49)/1000)-(SUM([1]H9!$FA$45:$FI$45)/1000)-(SUM([1]H9!$FA$53:$FI$53)/1000)-(SUM([1]H9!$FA$57:$FI$57)/1000))/R107</f>
        <v>0.35063587621120462</v>
      </c>
      <c r="S112" s="20">
        <f>(-(SUM([1]H9!$FA$50:$FI$50)/1000)-(SUM([1]H9!$FA$46:$FI$46)/1000)-(SUM([1]H9!$FA$54:$FI$54)/1000)-(SUM([1]H9!$FA$58:$FI$58)/1000))/S107</f>
        <v>7.4519077524740865E-2</v>
      </c>
      <c r="T112" s="20">
        <f>(-(SUM([1]H9!$FA$51:$FI$51)/1000)-(SUM([1]H9!$FA$47:$FI$47)/1000)-(SUM([1]H9!$FA$55:$FI$55)/1000)-(SUM([1]H9!$FA$59:$FI$59)/1000))/T107</f>
        <v>-2.2606388718621438E-2</v>
      </c>
    </row>
    <row r="113" spans="2:20" ht="20.149999999999999" hidden="1" customHeight="1" outlineLevel="1" x14ac:dyDescent="0.25">
      <c r="B113" s="204"/>
      <c r="C113" s="9"/>
      <c r="D113" s="15" t="s">
        <v>87</v>
      </c>
      <c r="E113" s="7"/>
      <c r="F113" s="20">
        <v>-5.7148291065290515E-3</v>
      </c>
      <c r="G113" s="20">
        <v>0.11587391138606176</v>
      </c>
      <c r="H113" s="20">
        <v>0.1448214404409871</v>
      </c>
      <c r="I113" s="7"/>
      <c r="J113" s="20">
        <f>(-(SUM([1]H9!$AL$49:$AN$49)/1000)-(SUM([1]H9!$AL$45:$AN$45)/1000)-(SUM([1]H9!$AL$53:$AN$53)/1000)-(SUM([1]H9!$AL$57:$AN$57)/1000))/J107</f>
        <v>0.15551482401595029</v>
      </c>
      <c r="K113" s="20">
        <f>(-(SUM([1]H9!$AL$50:$AN$50)/1000)-(SUM([1]H9!$AL$46:$AN$46)/1000)-(SUM([1]H9!$AL$54:$AN$54)/1000)-(SUM([1]H9!$AL$58:$AN$58)/1000))/K107</f>
        <v>0.14940489876936053</v>
      </c>
      <c r="L113" s="20">
        <f>(-(SUM([1]H9!$AL$51:$AN$51)/1000)-(SUM([1]H9!$AL$47:$AN$47)/1000)-(SUM([1]H9!$AL$55:$AN$55)/1000)-(SUM([1]H9!$AL$59:$AN$59)/1000))/L107</f>
        <v>0.1465163537485813</v>
      </c>
      <c r="M113" s="7"/>
      <c r="N113" s="20">
        <v>-5.7148291065290515E-3</v>
      </c>
      <c r="O113" s="20">
        <v>0.11587391138606176</v>
      </c>
      <c r="P113" s="20">
        <v>0.1448214404409871</v>
      </c>
      <c r="Q113" s="7"/>
      <c r="R113" s="20">
        <f>(-(SUM([1]H9!$FJ$49:$FL$49)/1000)-(SUM([1]H9!$FJ$45:$FL$45)/1000)-(SUM([1]H9!$FJ$53:$FL$53)/1000)-(SUM([1]H9!$FJ$57:$FL$57)/1000))/R107</f>
        <v>0.15096803190175578</v>
      </c>
      <c r="S113" s="20">
        <f>(-(SUM([1]H9!$FJ$50:$FL$50)/1000)-(SUM([1]H9!$FJ$46:$FL$46)/1000)-(SUM([1]H9!$FJ$54:$FL$54)/1000)-(SUM([1]H9!$FJ$58:$FL$58)/1000))/S107</f>
        <v>0.14989251119749303</v>
      </c>
      <c r="T113" s="20">
        <f>(-(SUM([1]H9!$FJ$51:$FL$51)/1000)-(SUM([1]H9!$FJ$47:$FL$47)/1000)-(SUM([1]H9!$FJ$55:$FL$55)/1000)-(SUM([1]H9!$FJ$59:$FL$59)/1000))/T107</f>
        <v>0.1465163537485813</v>
      </c>
    </row>
    <row r="114" spans="2:20" ht="20.149999999999999" hidden="1" customHeight="1" outlineLevel="1" x14ac:dyDescent="0.25">
      <c r="B114" s="204"/>
      <c r="C114" s="9"/>
      <c r="D114" s="15" t="s">
        <v>88</v>
      </c>
      <c r="E114" s="7"/>
      <c r="F114" s="20">
        <v>0.11242637355457143</v>
      </c>
      <c r="G114" s="20">
        <v>0.14681821724862304</v>
      </c>
      <c r="H114" s="20">
        <v>0.13151486945869179</v>
      </c>
      <c r="I114" s="7"/>
      <c r="J114" s="20">
        <f>(-(SUM([1]H9!$AO$49:$AR$49)/1000)-(SUM([1]H9!$AO$45:$AR$45)/1000)-(SUM([1]H9!$AO$53:$AR$53)/1000)-(SUM([1]H9!$AO$57:$AR$57)/1000))/J107</f>
        <v>8.5302269324621413E-2</v>
      </c>
      <c r="K114" s="20">
        <f>(-(SUM([1]H9!$AO$50:$AR$50)/1000)-(SUM([1]H9!$AO$46:$AR$46)/1000)-(SUM([1]H9!$AO$54:$AR$54)/1000)-(SUM([1]H9!$AO$58:$AR$58)/1000))/K107</f>
        <v>7.9327281754078424E-2</v>
      </c>
      <c r="L114" s="20">
        <f>(-(SUM([1]H9!$AO$51:$AR$51)/1000)-(SUM([1]H9!$AO$47:$AR$47)/1000)-(SUM([1]H9!$AO$55:$AR$55)/1000)-(SUM([1]H9!$AO$59:$AR$59)/1000))/L107</f>
        <v>9.5724682073102682E-2</v>
      </c>
      <c r="M114" s="7"/>
      <c r="N114" s="20">
        <v>0.11242637355457143</v>
      </c>
      <c r="O114" s="20">
        <v>0.14681821724862304</v>
      </c>
      <c r="P114" s="20">
        <v>0.13151486945869179</v>
      </c>
      <c r="Q114" s="7"/>
      <c r="R114" s="20">
        <f>(-(SUM([1]H9!$FM$49:$FP$49)/1000)-(SUM([1]H9!$FM$45:$FP$45)/1000)-(SUM([1]H9!$FM$53:$FP$53)/1000)-(SUM([1]H9!$FM$57:$FP$57)/1000))/R107</f>
        <v>8.3636788112848554E-2</v>
      </c>
      <c r="S114" s="20">
        <f>(-(SUM([1]H9!$FM$50:$FP$50)/1000)-(SUM([1]H9!$FM$46:$FP$46)/1000)-(SUM([1]H9!$FM$54:$FP$54)/1000)-(SUM([1]H9!$FM$58:$FP$58)/1000))/S107</f>
        <v>7.5598855446696311E-2</v>
      </c>
      <c r="T114" s="20">
        <f>(-(SUM([1]H9!$FM$51:$FP$51)/1000)-(SUM([1]H9!$FM$47:$FP$47)/1000)-(SUM([1]H9!$FM$55:$FP$55)/1000)-(SUM([1]H9!$FM$59:$FP$59)/1000))/T107</f>
        <v>9.5724682073102682E-2</v>
      </c>
    </row>
    <row r="115" spans="2:20" ht="20.149999999999999" customHeight="1" collapsed="1" x14ac:dyDescent="0.25">
      <c r="B115" s="204"/>
      <c r="C115" s="9"/>
      <c r="D115" s="14" t="s">
        <v>97</v>
      </c>
      <c r="E115" s="7"/>
      <c r="F115" s="20">
        <v>1.451905429413257E-4</v>
      </c>
      <c r="G115" s="20">
        <v>0.2649351713999753</v>
      </c>
      <c r="H115" s="20">
        <v>0.27633630989967889</v>
      </c>
      <c r="I115" s="7"/>
      <c r="J115" s="20">
        <f>+J113+J114</f>
        <v>0.24081709334057172</v>
      </c>
      <c r="K115" s="20">
        <f>+K113+K114</f>
        <v>0.22873218052343897</v>
      </c>
      <c r="L115" s="20">
        <f>+L113+L114</f>
        <v>0.24224103582168399</v>
      </c>
      <c r="M115" s="7"/>
      <c r="N115" s="20">
        <v>1.451905429413257E-4</v>
      </c>
      <c r="O115" s="20">
        <v>0.2649351713999753</v>
      </c>
      <c r="P115" s="20">
        <v>0.27633630989967889</v>
      </c>
      <c r="Q115" s="7"/>
      <c r="R115" s="20">
        <f>+R113+R114</f>
        <v>0.23460482001460434</v>
      </c>
      <c r="S115" s="20">
        <f>+S113+S114</f>
        <v>0.22549136664418934</v>
      </c>
      <c r="T115" s="20">
        <f>+T113+T114</f>
        <v>0.24224103582168399</v>
      </c>
    </row>
    <row r="116" spans="2:20" ht="20.149999999999999" customHeight="1" x14ac:dyDescent="0.25">
      <c r="B116" s="204"/>
      <c r="C116" s="9"/>
      <c r="D116" s="14" t="s">
        <v>90</v>
      </c>
      <c r="E116" s="7"/>
      <c r="F116" s="20"/>
      <c r="G116" s="20"/>
      <c r="H116" s="20"/>
      <c r="I116" s="7"/>
      <c r="J116" s="20">
        <f>(-(SUM([1]H9!$AT$49:$BJ$49)/1000)-(SUM([1]H9!$AT$45:$BJ$45)/1000)-(SUM([1]H9!$AT$53:$BJ$53)/1000)-(SUM([1]H9!$AT$57:$BJ$57)/1000))/J107</f>
        <v>4.5507372399845258E-2</v>
      </c>
      <c r="K116" s="20">
        <f>(-(SUM([1]H9!$AT$50:$BJ$50)/1000)-(SUM([1]H9!$AT$46:$BJ$46)/1000)-(SUM([1]H9!$AT$54:$BJ$54)/1000)-(SUM([1]H9!$AT$58:$BJ$58)/1000))/K107</f>
        <v>3.5358104291756946E-2</v>
      </c>
      <c r="L116" s="20">
        <f>(-(SUM([1]H9!$AT$51:$BJ$51)/1000)-(SUM([1]H9!$AT$47:$BJ$47)/1000)-(SUM([1]H9!$AT$55:$BJ$55)/1000)-(SUM([1]H9!$AT$59:$BJ$59)/1000))/L107</f>
        <v>2.6558277208001167E-2</v>
      </c>
      <c r="M116" s="7"/>
      <c r="N116" s="20"/>
      <c r="O116" s="20"/>
      <c r="P116" s="20"/>
      <c r="Q116" s="7"/>
      <c r="R116" s="20">
        <f>(-(SUM([1]H9!$FR$49:$GH$49)/1000)-(SUM([1]H9!$FR$45:$GH$45)/1000)-(SUM([1]H9!$FR$53:$GH$53)/1000)-(SUM([1]H9!$FR$57:$GH$57)/1000))/R107</f>
        <v>-0.11015989332795281</v>
      </c>
      <c r="S116" s="20">
        <f>(-(SUM([1]H9!$FR$50:$GH$50)/1000)-(SUM([1]H9!$FR$46:$GH$46)/1000)-(SUM([1]H9!$FR$54:$GH$54)/1000)-(SUM([1]H9!$FR$58:$GH$58)/1000))/S107</f>
        <v>3.4699038491224923E-2</v>
      </c>
      <c r="T116" s="20">
        <f>(-(SUM([1]H9!$FR$51:$GH$51)/1000)-(SUM([1]H9!$FR$47:$GH$47)/1000)-(SUM([1]H9!$FR$55:$GH$55)/1000)-(SUM([1]H9!$FR$59:$GH$59)/1000))/T107</f>
        <v>2.6558277208001167E-2</v>
      </c>
    </row>
    <row r="117" spans="2:20" ht="20.149999999999999" customHeight="1" x14ac:dyDescent="0.25">
      <c r="B117" s="204"/>
      <c r="C117" s="9"/>
      <c r="D117" s="14" t="s">
        <v>79</v>
      </c>
      <c r="E117" s="8"/>
      <c r="F117" s="29">
        <v>7.1749404772184005E-3</v>
      </c>
      <c r="G117" s="20">
        <v>0.69787692012147562</v>
      </c>
      <c r="H117" s="20">
        <v>0.82201920338716805</v>
      </c>
      <c r="I117" s="8"/>
      <c r="J117" s="20">
        <f>+J111+J112+J115+J116</f>
        <v>0.69826036691933002</v>
      </c>
      <c r="K117" s="20">
        <f>+K111+K112+K115+K116</f>
        <v>0.66848597773247287</v>
      </c>
      <c r="L117" s="20">
        <f>+L111+L112+L115+L116</f>
        <v>0.80116948141196465</v>
      </c>
      <c r="M117" s="8"/>
      <c r="N117" s="29">
        <v>7.1749404772184005E-3</v>
      </c>
      <c r="O117" s="20">
        <v>0.69787692012147562</v>
      </c>
      <c r="P117" s="20">
        <v>0.82201920338716805</v>
      </c>
      <c r="Q117" s="8"/>
      <c r="R117" s="20">
        <f>+R111+R112+R115+R116</f>
        <v>1.0787997545348489</v>
      </c>
      <c r="S117" s="20">
        <f>+S111+S112+S115+S116</f>
        <v>0.94962708335149437</v>
      </c>
      <c r="T117" s="20">
        <f>+T111+T112+T115+T116</f>
        <v>0.71992927248865202</v>
      </c>
    </row>
    <row r="118" spans="2:20" ht="19.5" customHeight="1" x14ac:dyDescent="0.25">
      <c r="B118" s="204"/>
      <c r="C118" s="9"/>
      <c r="D118" s="14" t="s">
        <v>34</v>
      </c>
      <c r="E118" s="6"/>
      <c r="F118" s="19">
        <v>5.1917347400000144</v>
      </c>
      <c r="G118" s="19">
        <v>11.483272660000011</v>
      </c>
      <c r="H118" s="19">
        <v>7.4726453753155475</v>
      </c>
      <c r="I118" s="6"/>
      <c r="J118" s="19">
        <f>+J132+J160+J174+J146</f>
        <v>5.5666582099999999</v>
      </c>
      <c r="K118" s="19">
        <f>+K132+K160+K174+K146</f>
        <v>5.916118710000001</v>
      </c>
      <c r="L118" s="19">
        <f>+L132+L160+L174+L146</f>
        <v>3.8535356173109201</v>
      </c>
      <c r="M118" s="6"/>
      <c r="N118" s="19">
        <v>5.1917347400000144</v>
      </c>
      <c r="O118" s="19">
        <v>11.483272660000011</v>
      </c>
      <c r="P118" s="19">
        <v>7.4726453753155475</v>
      </c>
      <c r="Q118" s="6"/>
      <c r="R118" s="19">
        <f>+R132+R160+R174+R146</f>
        <v>-0.51437766999999668</v>
      </c>
      <c r="S118" s="19">
        <f>+S132+S160+S174+S146</f>
        <v>0.31579025000000127</v>
      </c>
      <c r="T118" s="19">
        <f>+T132+T160+T174+T146</f>
        <v>1.809350884185823</v>
      </c>
    </row>
    <row r="119" spans="2:20" ht="7.5" customHeight="1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2:20" ht="19.5" hidden="1" customHeight="1" outlineLevel="1" x14ac:dyDescent="0.25">
      <c r="B120" s="204" t="s">
        <v>104</v>
      </c>
      <c r="C120" s="9"/>
      <c r="D120" s="14" t="s">
        <v>19</v>
      </c>
      <c r="E120" s="6"/>
      <c r="F120" s="19">
        <v>2.5782758100000001</v>
      </c>
      <c r="G120" s="19">
        <v>2.733616</v>
      </c>
      <c r="H120" s="19">
        <v>2.7646412205329307</v>
      </c>
      <c r="I120" s="6"/>
      <c r="J120" s="19">
        <f>+[1]H9!$C$49/1000</f>
        <v>19.322857210000002</v>
      </c>
      <c r="K120" s="19">
        <f>+[1]H9!$C$50/1000</f>
        <v>19.459368179999998</v>
      </c>
      <c r="L120" s="19">
        <f>+[1]H9!$C$51/1000</f>
        <v>17.744019999999999</v>
      </c>
      <c r="M120" s="6"/>
      <c r="N120" s="19">
        <v>2.5782758100000001</v>
      </c>
      <c r="O120" s="19">
        <v>2.733616</v>
      </c>
      <c r="P120" s="19">
        <v>2.7646412205329307</v>
      </c>
      <c r="Q120" s="6"/>
      <c r="R120" s="19">
        <f>+[1]H9!$EA$49/1000</f>
        <v>3.3561733400000011</v>
      </c>
      <c r="S120" s="19">
        <f>+[1]H9!$EA$50/1000</f>
        <v>3.0007975399999998</v>
      </c>
      <c r="T120" s="19">
        <f>+[1]H9!$EA$51/1000</f>
        <v>3.6785600000000014</v>
      </c>
    </row>
    <row r="121" spans="2:20" ht="20.149999999999999" hidden="1" customHeight="1" outlineLevel="1" x14ac:dyDescent="0.25">
      <c r="B121" s="204"/>
      <c r="C121" s="9"/>
      <c r="D121" s="14" t="s">
        <v>20</v>
      </c>
      <c r="E121" s="6"/>
      <c r="F121" s="19">
        <v>2.3170537099999997</v>
      </c>
      <c r="G121" s="19">
        <v>2.45186583</v>
      </c>
      <c r="H121" s="19">
        <v>2.2151859576361677</v>
      </c>
      <c r="I121" s="6"/>
      <c r="J121" s="19">
        <f>+[1]H9!$N$49/1000</f>
        <v>11.58534944</v>
      </c>
      <c r="K121" s="19">
        <f>+[1]H9!$N$50/1000</f>
        <v>11.520724119999999</v>
      </c>
      <c r="L121" s="19">
        <f>+[1]H9!$N$51/1000</f>
        <v>11.947373838708574</v>
      </c>
      <c r="M121" s="6"/>
      <c r="N121" s="19">
        <v>2.3170537099999997</v>
      </c>
      <c r="O121" s="19">
        <v>2.45186583</v>
      </c>
      <c r="P121" s="19">
        <v>2.2151859576361677</v>
      </c>
      <c r="Q121" s="6"/>
      <c r="R121" s="19">
        <f>+[1]H9!$EL$49/1000</f>
        <v>4.4357582900000025</v>
      </c>
      <c r="S121" s="19">
        <f>+[1]H9!$EL$50/1000</f>
        <v>4.1246549799999999</v>
      </c>
      <c r="T121" s="19">
        <f>+[1]H9!$EL$51/1000</f>
        <v>3.9824579462361918</v>
      </c>
    </row>
    <row r="122" spans="2:20" ht="19.5" hidden="1" customHeight="1" outlineLevel="1" x14ac:dyDescent="0.25">
      <c r="B122" s="204"/>
      <c r="C122" s="9"/>
      <c r="D122" s="14" t="s">
        <v>92</v>
      </c>
      <c r="E122" s="6"/>
      <c r="F122" s="20">
        <f>F125-F123-F124</f>
        <v>0.27694958784533319</v>
      </c>
      <c r="G122" s="20">
        <f>G125-G123-G124</f>
        <v>0.22719697105122597</v>
      </c>
      <c r="H122" s="20">
        <f>H125-H123-H124</f>
        <v>0.19726891102097802</v>
      </c>
      <c r="I122" s="6"/>
      <c r="J122" s="20">
        <f>-(SUM([1]H9!$O$49,[1]H9!$R$49:$V$49,[1]H9!$Y$49:$AB$49)/1000)/J121</f>
        <v>0.54119991222293251</v>
      </c>
      <c r="K122" s="20">
        <f>-(SUM([1]H9!$O$50,[1]H9!$R$50:$V$50,[1]H9!$Y$50:$AB$50)/1000)/K121</f>
        <v>0.54613998082613591</v>
      </c>
      <c r="L122" s="20">
        <f>-(SUM([1]H9!$O$51,[1]H9!$R$51:$V$51,[1]H9!$Y$51:$AB$51)/1000)/L121</f>
        <v>0.52883605018485735</v>
      </c>
      <c r="M122" s="6"/>
      <c r="N122" s="20">
        <f>N125-N123-N124</f>
        <v>0.27694958784533319</v>
      </c>
      <c r="O122" s="20">
        <f>O125-O123-O124</f>
        <v>0.22719697105122597</v>
      </c>
      <c r="P122" s="20">
        <f>P125-P123-P124</f>
        <v>0.19726891102097802</v>
      </c>
      <c r="Q122" s="6"/>
      <c r="R122" s="20">
        <f>-(SUM([1]H9!$EM$49,[1]H9!$EP$49:$ET$49,[1]H9!$EW$49:$EZ$49)/1000)/R121</f>
        <v>0.57971740385340031</v>
      </c>
      <c r="S122" s="20">
        <f>-(SUM([1]H9!$EM$50,[1]H9!$EP$50:$ET$50,[1]H9!$EW$50:$EZ$50)/1000)/S121</f>
        <v>0.55775807216728701</v>
      </c>
      <c r="T122" s="20">
        <f>-(SUM([1]H9!$EM$51,[1]H9!$EP$51:$ET$51,[1]H9!$EW$51:$EZ$51)/1000)/T121</f>
        <v>0.52883605018485735</v>
      </c>
    </row>
    <row r="123" spans="2:20" ht="19.5" hidden="1" customHeight="1" outlineLevel="1" x14ac:dyDescent="0.25">
      <c r="B123" s="204"/>
      <c r="C123" s="9"/>
      <c r="D123" s="14" t="s">
        <v>93</v>
      </c>
      <c r="E123" s="6"/>
      <c r="F123" s="20">
        <f>IFERROR(SUM(INDEX(LL_TOT_BR_YTD,5,Month),INDEX(LL_IBNR_TOT_BR_YTD,5,Month))/F121,0)</f>
        <v>0</v>
      </c>
      <c r="G123" s="20">
        <f>IFERROR(SUM(INDEX(LL_TOT_BR_YTD_PREV,5,Month),INDEX(LL_IBNR_TOT_BR_YTD_PREV,5,Month))/G121,0)</f>
        <v>0</v>
      </c>
      <c r="H123" s="20">
        <f>IFERROR(SUM(INDEX(LL_TOT_BR_YTD_PLAN,5,Month),INDEX(LL_IBNR_TOT_BR_YTD_PLAN,5,Month))/H121,0)</f>
        <v>0</v>
      </c>
      <c r="I123" s="6"/>
      <c r="J123" s="20">
        <f>-(SUM([1]H9!$Q$49,[1]H9!$X$49)/1000)/J121</f>
        <v>5.6105342645581868E-2</v>
      </c>
      <c r="K123" s="20">
        <f>-(SUM([1]H9!$Q$50,[1]H9!$X$50)/1000)/K121</f>
        <v>8.4456496819576662E-2</v>
      </c>
      <c r="L123" s="20">
        <f>-(SUM([1]H9!$Q$51,[1]H9!$X$51)/1000)/L121</f>
        <v>6.8612978169691224E-2</v>
      </c>
      <c r="M123" s="6"/>
      <c r="N123" s="20">
        <f>IFERROR(SUM(INDEX(LL_TOT_BR_YTD,5,Month),INDEX(LL_IBNR_TOT_BR_YTD,5,Month))/N121,0)</f>
        <v>0</v>
      </c>
      <c r="O123" s="20">
        <f>IFERROR(SUM(INDEX(LL_TOT_BR_YTD_PREV,5,Month),INDEX(LL_IBNR_TOT_BR_YTD_PREV,5,Month))/O121,0)</f>
        <v>0</v>
      </c>
      <c r="P123" s="20">
        <f>IFERROR(SUM(INDEX(LL_TOT_BR_YTD_PLAN,5,Month),INDEX(LL_IBNR_TOT_BR_YTD_PLAN,5,Month))/P121,0)</f>
        <v>0</v>
      </c>
      <c r="Q123" s="6"/>
      <c r="R123" s="20">
        <f>-(SUM([1]H9!$EO$49,[1]H9!$EV$49)/1000)/R121</f>
        <v>3.3816089649916406E-2</v>
      </c>
      <c r="S123" s="20">
        <f>-(SUM([1]H9!$EO$50,[1]H9!$EV$50)/1000)/S121</f>
        <v>0.11152447955780292</v>
      </c>
      <c r="T123" s="20">
        <f>-(SUM([1]H9!$EO$51,[1]H9!$EV$51)/1000)/T121</f>
        <v>6.8612978169691224E-2</v>
      </c>
    </row>
    <row r="124" spans="2:20" ht="19.5" hidden="1" customHeight="1" outlineLevel="1" x14ac:dyDescent="0.25">
      <c r="B124" s="204"/>
      <c r="C124" s="9"/>
      <c r="D124" s="14" t="s">
        <v>94</v>
      </c>
      <c r="E124" s="6"/>
      <c r="F124" s="20">
        <f>0</f>
        <v>0</v>
      </c>
      <c r="G124" s="20">
        <f>0</f>
        <v>0</v>
      </c>
      <c r="H124" s="20">
        <f>0</f>
        <v>0</v>
      </c>
      <c r="I124" s="6"/>
      <c r="J124" s="20">
        <f>-(SUM([1]H9!$P$49,[1]H9!$W$49)/1000)/J121</f>
        <v>0</v>
      </c>
      <c r="K124" s="20">
        <f>-(SUM([1]H9!$P$50,[1]H9!$W$50)/1000)/K121</f>
        <v>0</v>
      </c>
      <c r="L124" s="20">
        <f>-(SUM([1]H9!$P$51,[1]H9!$W$51)/1000)/L121</f>
        <v>0</v>
      </c>
      <c r="M124" s="6"/>
      <c r="N124" s="20">
        <f>0</f>
        <v>0</v>
      </c>
      <c r="O124" s="20">
        <f>0</f>
        <v>0</v>
      </c>
      <c r="P124" s="20">
        <f>0</f>
        <v>0</v>
      </c>
      <c r="Q124" s="6"/>
      <c r="R124" s="20">
        <f>-(SUM([1]H9!$EN$49,[1]H9!$EU$49)/1000)/R121</f>
        <v>0</v>
      </c>
      <c r="S124" s="20">
        <f>-(SUM([1]H9!$EN$50,[1]H9!$EU$50)/1000)/S121</f>
        <v>0</v>
      </c>
      <c r="T124" s="20">
        <f>-(SUM([1]H9!$EN$51,[1]H9!$EU$51)/1000)/T121</f>
        <v>0</v>
      </c>
    </row>
    <row r="125" spans="2:20" ht="19.5" hidden="1" customHeight="1" outlineLevel="2" x14ac:dyDescent="0.25">
      <c r="B125" s="204"/>
      <c r="C125" s="9"/>
      <c r="D125" s="14" t="s">
        <v>95</v>
      </c>
      <c r="E125" s="7"/>
      <c r="F125" s="20">
        <v>0.27694958784533319</v>
      </c>
      <c r="G125" s="20">
        <v>0.22719697105122597</v>
      </c>
      <c r="H125" s="20">
        <v>0.19726891102097802</v>
      </c>
      <c r="I125" s="7"/>
      <c r="J125" s="20">
        <f>+J122+J123+J124</f>
        <v>0.59730525486851438</v>
      </c>
      <c r="K125" s="20">
        <f>+K122+K123+K124</f>
        <v>0.63059647764571258</v>
      </c>
      <c r="L125" s="20">
        <f>+L122+L123+L124</f>
        <v>0.59744902835454861</v>
      </c>
      <c r="M125" s="7"/>
      <c r="N125" s="20">
        <v>0.27694958784533319</v>
      </c>
      <c r="O125" s="20">
        <v>0.22719697105122597</v>
      </c>
      <c r="P125" s="20">
        <v>0.19726891102097802</v>
      </c>
      <c r="Q125" s="7"/>
      <c r="R125" s="20">
        <f>+R122+R123+R124</f>
        <v>0.61353349350331676</v>
      </c>
      <c r="S125" s="20">
        <f>+S122+S123+S124</f>
        <v>0.66928255172508999</v>
      </c>
      <c r="T125" s="20">
        <f>+T122+T123+T124</f>
        <v>0.59744902835454861</v>
      </c>
    </row>
    <row r="126" spans="2:20" ht="20.149999999999999" hidden="1" customHeight="1" outlineLevel="1" x14ac:dyDescent="0.25">
      <c r="B126" s="204"/>
      <c r="C126" s="9"/>
      <c r="D126" s="14" t="s">
        <v>96</v>
      </c>
      <c r="E126" s="7"/>
      <c r="F126" s="20">
        <v>7.8264970387760285E-2</v>
      </c>
      <c r="G126" s="20">
        <v>-6.9985089681681309E-2</v>
      </c>
      <c r="H126" s="20">
        <v>0</v>
      </c>
      <c r="I126" s="7"/>
      <c r="J126" s="20">
        <f>-(SUM([1]H9!$AC$49:$AK$49)/1000)/J121</f>
        <v>-9.284139469167367E-2</v>
      </c>
      <c r="K126" s="20">
        <f>-(SUM([1]H9!$AC$50:$AK$50)/1000)/K121</f>
        <v>-1.0263222065593592E-2</v>
      </c>
      <c r="L126" s="20">
        <f>-(SUM([1]H9!$AC$51:$AK$51)/1000)/L121</f>
        <v>-3.0449306662691186E-2</v>
      </c>
      <c r="M126" s="7"/>
      <c r="N126" s="20">
        <v>7.8264970387760285E-2</v>
      </c>
      <c r="O126" s="20">
        <v>-6.9985089681681309E-2</v>
      </c>
      <c r="P126" s="20">
        <v>0</v>
      </c>
      <c r="Q126" s="7"/>
      <c r="R126" s="20">
        <f>-(SUM([1]H9!$FA$49:$FI$49)/1000)/R121</f>
        <v>0.47692458688951667</v>
      </c>
      <c r="S126" s="20">
        <f>-(SUM([1]H9!$FA$50:$FI$50)/1000)/S121</f>
        <v>0.23138833541902679</v>
      </c>
      <c r="T126" s="20">
        <f>-(SUM([1]H9!$FA$51:$FI$51)/1000)/T121</f>
        <v>-3.0449306662691186E-2</v>
      </c>
    </row>
    <row r="127" spans="2:20" ht="20.149999999999999" hidden="1" customHeight="1" outlineLevel="2" x14ac:dyDescent="0.25">
      <c r="B127" s="204"/>
      <c r="C127" s="9"/>
      <c r="D127" s="15" t="s">
        <v>87</v>
      </c>
      <c r="E127" s="7"/>
      <c r="F127" s="20">
        <v>0.18303060398198542</v>
      </c>
      <c r="G127" s="20">
        <v>0.18614404769448578</v>
      </c>
      <c r="H127" s="20">
        <v>0.20438203736246632</v>
      </c>
      <c r="I127" s="7"/>
      <c r="J127" s="20">
        <f>-(SUM([1]H9!$AL$49:$AN$49)/1000)/J121</f>
        <v>0.15000505068926084</v>
      </c>
      <c r="K127" s="20">
        <f>-(SUM([1]H9!$AL$50:$AN$50)/1000)/K121</f>
        <v>0.14500368662590624</v>
      </c>
      <c r="L127" s="20">
        <f>-(SUM([1]H9!$AL$51:$AN$51)/1000)/L121</f>
        <v>0.1441423546560118</v>
      </c>
      <c r="M127" s="7"/>
      <c r="N127" s="20">
        <v>0.18303060398198542</v>
      </c>
      <c r="O127" s="20">
        <v>0.18614404769448578</v>
      </c>
      <c r="P127" s="20">
        <v>0.20438203736246632</v>
      </c>
      <c r="Q127" s="7"/>
      <c r="R127" s="20">
        <f>-(SUM([1]H9!$FJ$49:$FL$49)/1000)/R121</f>
        <v>0.14705462231126201</v>
      </c>
      <c r="S127" s="20">
        <f>-(SUM([1]H9!$FJ$50:$FL$50)/1000)/S121</f>
        <v>0.14633029742526496</v>
      </c>
      <c r="T127" s="20">
        <f>-(SUM([1]H9!$FJ$51:$FL$51)/1000)/T121</f>
        <v>0.14414235465601177</v>
      </c>
    </row>
    <row r="128" spans="2:20" ht="20.149999999999999" hidden="1" customHeight="1" outlineLevel="2" x14ac:dyDescent="0.25">
      <c r="B128" s="204"/>
      <c r="C128" s="9"/>
      <c r="D128" s="15" t="s">
        <v>88</v>
      </c>
      <c r="E128" s="7"/>
      <c r="F128" s="20">
        <v>6.9275062251362332E-2</v>
      </c>
      <c r="G128" s="20">
        <v>3.175185160927016E-2</v>
      </c>
      <c r="H128" s="20">
        <v>8.4249843678186484E-2</v>
      </c>
      <c r="I128" s="7"/>
      <c r="J128" s="20">
        <f>-(SUM([1]H9!$AO$49:$AR$49)/1000)/J121</f>
        <v>0.10093111701600949</v>
      </c>
      <c r="K128" s="20">
        <f>-(SUM([1]H9!$AO$50:$AR$50)/1000)/K121</f>
        <v>8.91736412832356E-2</v>
      </c>
      <c r="L128" s="20">
        <f>-(SUM([1]H9!$AO$51:$AR$51)/1000)/L121</f>
        <v>0.10602511875694307</v>
      </c>
      <c r="M128" s="7"/>
      <c r="N128" s="20">
        <v>6.9275062251362332E-2</v>
      </c>
      <c r="O128" s="20">
        <v>3.175185160927016E-2</v>
      </c>
      <c r="P128" s="20">
        <v>8.4249843678186484E-2</v>
      </c>
      <c r="Q128" s="7"/>
      <c r="R128" s="20">
        <f>-(SUM([1]H9!$FM$49:$FP$49)/1000)/R121</f>
        <v>9.123650874132723E-2</v>
      </c>
      <c r="S128" s="20">
        <f>-(SUM([1]H9!$FM$50:$FP$50)/1000)/S121</f>
        <v>8.4124902975521137E-2</v>
      </c>
      <c r="T128" s="20">
        <f>-(SUM([1]H9!$FM$51:$FP$51)/1000)/T121</f>
        <v>0.10602511875694304</v>
      </c>
    </row>
    <row r="129" spans="2:20" ht="20.149999999999999" hidden="1" customHeight="1" outlineLevel="1" x14ac:dyDescent="0.25">
      <c r="B129" s="204"/>
      <c r="C129" s="9"/>
      <c r="D129" s="14" t="s">
        <v>97</v>
      </c>
      <c r="E129" s="7"/>
      <c r="F129" s="20">
        <v>0.25230566623334771</v>
      </c>
      <c r="G129" s="20">
        <v>0.21789589930375597</v>
      </c>
      <c r="H129" s="20">
        <v>0.28863188104065279</v>
      </c>
      <c r="I129" s="7"/>
      <c r="J129" s="20">
        <f>+J127+J128</f>
        <v>0.25093616770527033</v>
      </c>
      <c r="K129" s="20">
        <f>+K127+K128</f>
        <v>0.23417732790914184</v>
      </c>
      <c r="L129" s="20">
        <f>+L127+L128</f>
        <v>0.25016747341295487</v>
      </c>
      <c r="M129" s="7"/>
      <c r="N129" s="20">
        <v>0.25230566623334771</v>
      </c>
      <c r="O129" s="20">
        <v>0.21789589930375597</v>
      </c>
      <c r="P129" s="20">
        <v>0.28863188104065279</v>
      </c>
      <c r="Q129" s="7"/>
      <c r="R129" s="20">
        <f>+R127+R128</f>
        <v>0.23829113105258926</v>
      </c>
      <c r="S129" s="20">
        <f>+S127+S128</f>
        <v>0.2304552004007861</v>
      </c>
      <c r="T129" s="20">
        <f>+T127+T128</f>
        <v>0.25016747341295481</v>
      </c>
    </row>
    <row r="130" spans="2:20" ht="20.149999999999999" hidden="1" customHeight="1" outlineLevel="1" x14ac:dyDescent="0.25">
      <c r="B130" s="204"/>
      <c r="C130" s="9"/>
      <c r="D130" s="14" t="s">
        <v>90</v>
      </c>
      <c r="E130" s="7"/>
      <c r="F130" s="20"/>
      <c r="G130" s="20"/>
      <c r="H130" s="20"/>
      <c r="I130" s="7"/>
      <c r="J130" s="20">
        <f>-(SUM([1]H9!$AT$49:$BJ$49)/1000/J121)</f>
        <v>-5.7004192529560786E-2</v>
      </c>
      <c r="K130" s="20">
        <f>-(SUM([1]H9!$AT$50:$BJ$50)/1000/K121)</f>
        <v>3.6648457649205476E-2</v>
      </c>
      <c r="L130" s="20">
        <f>-(SUM([1]H9!$AT$51:$BJ$51)/1000/L121)</f>
        <v>2.5729277091930895E-2</v>
      </c>
      <c r="M130" s="7"/>
      <c r="N130" s="20"/>
      <c r="O130" s="20"/>
      <c r="P130" s="20"/>
      <c r="Q130" s="7"/>
      <c r="R130" s="20">
        <f>-(SUM([1]H9!$FR$49:$GH$49)/1000/R121)</f>
        <v>-0.18272171227796968</v>
      </c>
      <c r="S130" s="20">
        <f>-(SUM([1]H9!$FR$50:$GH$50)/1000/S121)</f>
        <v>3.7186729737089454E-2</v>
      </c>
      <c r="T130" s="20">
        <f>-(SUM([1]H9!$FR$51:$GH$51)/1000/T121)</f>
        <v>2.5729277091930888E-2</v>
      </c>
    </row>
    <row r="131" spans="2:20" ht="20.149999999999999" hidden="1" customHeight="1" outlineLevel="1" x14ac:dyDescent="0.25">
      <c r="B131" s="204"/>
      <c r="C131" s="9"/>
      <c r="D131" s="14" t="s">
        <v>79</v>
      </c>
      <c r="E131" s="8"/>
      <c r="F131" s="20">
        <v>0.60752022446644127</v>
      </c>
      <c r="G131" s="20">
        <v>0.37510778067330053</v>
      </c>
      <c r="H131" s="20">
        <v>0.48590079206163078</v>
      </c>
      <c r="I131" s="8"/>
      <c r="J131" s="20">
        <f>+J125+J126+J129+J130</f>
        <v>0.69839583535255034</v>
      </c>
      <c r="K131" s="20">
        <f>+K125+K126+K129+K130</f>
        <v>0.89115904113846622</v>
      </c>
      <c r="L131" s="20">
        <f>+L125+L126+L129+L130</f>
        <v>0.84289647219674313</v>
      </c>
      <c r="M131" s="8"/>
      <c r="N131" s="20">
        <v>0.60752022446644127</v>
      </c>
      <c r="O131" s="20">
        <v>0.37510778067330053</v>
      </c>
      <c r="P131" s="20">
        <v>0.48590079206163078</v>
      </c>
      <c r="Q131" s="8"/>
      <c r="R131" s="20">
        <f>+R125+R126+R129+R130</f>
        <v>1.1460274991674531</v>
      </c>
      <c r="S131" s="20">
        <f>+S125+S126+S129+S130</f>
        <v>1.1683128172819923</v>
      </c>
      <c r="T131" s="20">
        <f>+T125+T126+T129+T130</f>
        <v>0.84289647219674313</v>
      </c>
    </row>
    <row r="132" spans="2:20" ht="19.5" hidden="1" customHeight="1" outlineLevel="1" x14ac:dyDescent="0.25">
      <c r="B132" s="204"/>
      <c r="C132" s="9"/>
      <c r="D132" s="14" t="s">
        <v>34</v>
      </c>
      <c r="E132" s="6"/>
      <c r="F132" s="19">
        <v>0.9093967199999996</v>
      </c>
      <c r="G132" s="19">
        <v>1.5321518799999998</v>
      </c>
      <c r="H132" s="19">
        <v>1.1388253462569518</v>
      </c>
      <c r="I132" s="6"/>
      <c r="J132" s="19">
        <f>+[1]H9!$BK$49/1000</f>
        <v>3.4941896399999988</v>
      </c>
      <c r="K132" s="19">
        <f>+[1]H9!$BK$50/1000</f>
        <v>1.2539266600000005</v>
      </c>
      <c r="L132" s="19">
        <f>+[1]H9!$BK$51/1000</f>
        <v>1.8769745780454543</v>
      </c>
      <c r="M132" s="6"/>
      <c r="N132" s="19">
        <v>0.9093967199999996</v>
      </c>
      <c r="O132" s="19">
        <v>1.5321518799999998</v>
      </c>
      <c r="P132" s="19">
        <v>1.1388253462569518</v>
      </c>
      <c r="Q132" s="6"/>
      <c r="R132" s="19">
        <f>+[1]H9!$GI$49/1000</f>
        <v>-0.64774268999999784</v>
      </c>
      <c r="S132" s="19">
        <f>+[1]H9!$GI$50/1000</f>
        <v>-0.6942322999999998</v>
      </c>
      <c r="T132" s="19">
        <f>+[1]H9!$GI$51/1000</f>
        <v>0.62565819268181933</v>
      </c>
    </row>
    <row r="133" spans="2:20" ht="7.5" hidden="1" customHeight="1" outlineLevel="1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2:20" ht="19.5" hidden="1" customHeight="1" outlineLevel="1" x14ac:dyDescent="0.25">
      <c r="B134" s="204" t="s">
        <v>105</v>
      </c>
      <c r="C134" s="9"/>
      <c r="D134" s="14" t="s">
        <v>19</v>
      </c>
      <c r="E134" s="6"/>
      <c r="F134" s="19">
        <v>3.9291138499999994</v>
      </c>
      <c r="G134" s="19">
        <v>4.1917961400000001</v>
      </c>
      <c r="H134" s="19">
        <v>4.4139901662291425</v>
      </c>
      <c r="I134" s="6"/>
      <c r="J134" s="19">
        <f>+[1]H9!$C$57/1000</f>
        <v>1.973784E-2</v>
      </c>
      <c r="K134" s="19">
        <f>+[1]H9!$C$58/1000</f>
        <v>1.9352150000000002E-2</v>
      </c>
      <c r="L134" s="19">
        <f>+[1]H9!$C$59/1000</f>
        <v>1.533E-2</v>
      </c>
      <c r="M134" s="6"/>
      <c r="N134" s="19">
        <v>3.9291138499999994</v>
      </c>
      <c r="O134" s="19">
        <v>4.1917961400000001</v>
      </c>
      <c r="P134" s="19">
        <v>4.4139901662291425</v>
      </c>
      <c r="Q134" s="6"/>
      <c r="R134" s="19">
        <f>+[1]H9!$EA$57/1000</f>
        <v>0</v>
      </c>
      <c r="S134" s="19">
        <f>+[1]H9!$EA$58/1000</f>
        <v>0</v>
      </c>
      <c r="T134" s="19">
        <f>+[1]H9!$EA$59/1000</f>
        <v>0</v>
      </c>
    </row>
    <row r="135" spans="2:20" ht="20.149999999999999" hidden="1" customHeight="1" outlineLevel="1" x14ac:dyDescent="0.25">
      <c r="B135" s="204"/>
      <c r="C135" s="9"/>
      <c r="D135" s="14" t="s">
        <v>20</v>
      </c>
      <c r="E135" s="6"/>
      <c r="F135" s="19">
        <v>3.9370871899999997</v>
      </c>
      <c r="G135" s="19">
        <v>4.2753675999999992</v>
      </c>
      <c r="H135" s="19">
        <v>4.4615854579151879</v>
      </c>
      <c r="I135" s="6"/>
      <c r="J135" s="19">
        <f>+[1]H9!$N$57/1000</f>
        <v>2.0557409999999998E-2</v>
      </c>
      <c r="K135" s="19">
        <f>+[1]H9!$N$58/1000</f>
        <v>2.0293139999999998E-2</v>
      </c>
      <c r="L135" s="19">
        <f>+[1]H9!$N$59/1000</f>
        <v>1.7489798607679127E-2</v>
      </c>
      <c r="M135" s="6"/>
      <c r="N135" s="19">
        <v>3.9370871899999997</v>
      </c>
      <c r="O135" s="19">
        <v>4.2753675999999992</v>
      </c>
      <c r="P135" s="19">
        <v>4.4615854579151879</v>
      </c>
      <c r="Q135" s="6"/>
      <c r="R135" s="19">
        <f>+[1]H9!$EL$57/1000</f>
        <v>7.3106599999999983E-3</v>
      </c>
      <c r="S135" s="19">
        <f>+[1]H9!$EL$58/1000</f>
        <v>7.2169899999999995E-3</v>
      </c>
      <c r="T135" s="19">
        <f>+[1]H9!$EL$59/1000</f>
        <v>5.8299328692263752E-3</v>
      </c>
    </row>
    <row r="136" spans="2:20" ht="19.5" hidden="1" customHeight="1" outlineLevel="1" x14ac:dyDescent="0.25">
      <c r="B136" s="204"/>
      <c r="C136" s="9"/>
      <c r="D136" s="14" t="s">
        <v>92</v>
      </c>
      <c r="E136" s="6"/>
      <c r="F136" s="20">
        <f>F139-F137-F138</f>
        <v>0.49361970822901691</v>
      </c>
      <c r="G136" s="20">
        <f>G139-G137-G138</f>
        <v>0.20816248876470886</v>
      </c>
      <c r="H136" s="20">
        <f>H139-H137-H138</f>
        <v>0.28562485264551746</v>
      </c>
      <c r="I136" s="6"/>
      <c r="J136" s="20">
        <f>-(SUM([1]H9!$O$57,[1]H9!$R$57:$V$57,[1]H9!$Y$57:$AB$57)/1000)/J135</f>
        <v>8.5774423918188146E-3</v>
      </c>
      <c r="K136" s="20">
        <f>-(SUM([1]H9!$O$58,[1]H9!$R$58:$V$58,[1]H9!$Y$58:$AB$58)/1000)/K135</f>
        <v>2.0992315629813821E-4</v>
      </c>
      <c r="L136" s="20">
        <f>-(SUM([1]H9!$O$59,[1]H9!$R$59:$V$59,[1]H9!$Y$59:$AB$59)/1000)/L135</f>
        <v>0.14407971437418496</v>
      </c>
      <c r="M136" s="6"/>
      <c r="N136" s="20">
        <f>N139-N137-N138</f>
        <v>0.49361970822901691</v>
      </c>
      <c r="O136" s="20">
        <f>O139-O137-O138</f>
        <v>0.20816248876470886</v>
      </c>
      <c r="P136" s="20">
        <f>P139-P137-P138</f>
        <v>0.28562485264551746</v>
      </c>
      <c r="Q136" s="6"/>
      <c r="R136" s="20">
        <f>-(SUM([1]H9!$EM$57,[1]H9!$EP$57:$ET$57,[1]H9!$EW$57:$EZ$57)/1000)/R135</f>
        <v>1.5923322928436012E-2</v>
      </c>
      <c r="S136" s="20">
        <f>-(SUM([1]H9!$EM$58,[1]H9!$EP$58:$ET$58,[1]H9!$EW$58:$EZ$58)/1000)/S135</f>
        <v>1.9675792816672882E-4</v>
      </c>
      <c r="T136" s="20">
        <f>-(SUM([1]H9!$EM$59,[1]H9!$EP$59:$ET$59,[1]H9!$EW$59:$EZ$59)/1000)/T135</f>
        <v>0.1440797143741849</v>
      </c>
    </row>
    <row r="137" spans="2:20" ht="19.5" hidden="1" customHeight="1" outlineLevel="1" x14ac:dyDescent="0.25">
      <c r="B137" s="204"/>
      <c r="C137" s="9"/>
      <c r="D137" s="14" t="s">
        <v>93</v>
      </c>
      <c r="E137" s="6"/>
      <c r="F137" s="20">
        <f>IFERROR(SUM(INDEX(LL_TOT_BR_YTD,6,Month),INDEX(LL_IBNR_TOT_BR_YTD,6,Month))/F135,0)</f>
        <v>0</v>
      </c>
      <c r="G137" s="20">
        <f>IFERROR(SUM(INDEX(LL_TOT_BR_YTD_PREV,6,Month),INDEX(LL_IBNR_TOT_BR_YTD_PREV,6,Month))/G135,0)</f>
        <v>0</v>
      </c>
      <c r="H137" s="20">
        <f>IFERROR(SUM(INDEX(LL_TOT_BR_YTD_PLAN,6,Month),INDEX(LL_IBNR_TOT_BR_YTD_PLAN,6,Month))/H135,0)</f>
        <v>0</v>
      </c>
      <c r="I137" s="6"/>
      <c r="J137" s="20">
        <f>-(SUM([1]H9!$Q$57,[1]H9!$X$57)/1000)/J135</f>
        <v>0</v>
      </c>
      <c r="K137" s="20">
        <f>-(SUM([1]H9!$Q$58,[1]H9!$X$58)/1000)/K135</f>
        <v>0</v>
      </c>
      <c r="L137" s="20">
        <f>-(SUM([1]H9!$Q$59,[1]H9!$X$59)/1000)/L135</f>
        <v>0</v>
      </c>
      <c r="M137" s="6"/>
      <c r="N137" s="20">
        <f>IFERROR(SUM(INDEX(LL_TOT_BR_YTD,6,Month),INDEX(LL_IBNR_TOT_BR_YTD,6,Month))/N135,0)</f>
        <v>0</v>
      </c>
      <c r="O137" s="20">
        <f>IFERROR(SUM(INDEX(LL_TOT_BR_YTD_PREV,6,Month),INDEX(LL_IBNR_TOT_BR_YTD_PREV,6,Month))/O135,0)</f>
        <v>0</v>
      </c>
      <c r="P137" s="20">
        <f>IFERROR(SUM(INDEX(LL_TOT_BR_YTD_PLAN,6,Month),INDEX(LL_IBNR_TOT_BR_YTD_PLAN,6,Month))/P135,0)</f>
        <v>0</v>
      </c>
      <c r="Q137" s="6"/>
      <c r="R137" s="20">
        <f>-(SUM([1]H9!$EO$57,[1]H9!$EV$57)/1000)/R135</f>
        <v>0</v>
      </c>
      <c r="S137" s="20">
        <f>-(SUM([1]H9!$EO$58,[1]H9!$EV$58)/1000)/S135</f>
        <v>0</v>
      </c>
      <c r="T137" s="20">
        <f>-(SUM([1]H9!$EO$59,[1]H9!$EV$59)/1000)/T135</f>
        <v>0</v>
      </c>
    </row>
    <row r="138" spans="2:20" ht="19.5" hidden="1" customHeight="1" outlineLevel="1" x14ac:dyDescent="0.25">
      <c r="B138" s="204"/>
      <c r="C138" s="9"/>
      <c r="D138" s="14" t="s">
        <v>94</v>
      </c>
      <c r="E138" s="6"/>
      <c r="F138" s="20">
        <f>0</f>
        <v>0</v>
      </c>
      <c r="G138" s="20">
        <f>0</f>
        <v>0</v>
      </c>
      <c r="H138" s="20">
        <f>0</f>
        <v>0</v>
      </c>
      <c r="I138" s="6"/>
      <c r="J138" s="20">
        <f>-(SUM([1]H9!$P$57,[1]H9!$W$57)/1000)/J135</f>
        <v>0</v>
      </c>
      <c r="K138" s="20">
        <f>-(SUM([1]H9!$P$58,[1]H9!$W$58)/1000)/K135</f>
        <v>0</v>
      </c>
      <c r="L138" s="20">
        <f>-(SUM([1]H9!$P$59,[1]H9!$W$59)/1000)/L135</f>
        <v>0</v>
      </c>
      <c r="M138" s="6"/>
      <c r="N138" s="20">
        <f>0</f>
        <v>0</v>
      </c>
      <c r="O138" s="20">
        <f>0</f>
        <v>0</v>
      </c>
      <c r="P138" s="20">
        <f>0</f>
        <v>0</v>
      </c>
      <c r="Q138" s="6"/>
      <c r="R138" s="20">
        <f>-(SUM([1]H9!$EN$57,[1]H9!$EU$57)/1000)/R135</f>
        <v>0</v>
      </c>
      <c r="S138" s="20">
        <f>-(SUM([1]H9!$EN$58,[1]H9!$EU$58)/1000)/S135</f>
        <v>0</v>
      </c>
      <c r="T138" s="20">
        <f>-(SUM([1]H9!$EN$59,[1]H9!$EU$59)/1000)/T135</f>
        <v>0</v>
      </c>
    </row>
    <row r="139" spans="2:20" ht="19.5" hidden="1" customHeight="1" outlineLevel="2" x14ac:dyDescent="0.25">
      <c r="B139" s="204"/>
      <c r="C139" s="9"/>
      <c r="D139" s="14" t="s">
        <v>95</v>
      </c>
      <c r="E139" s="7"/>
      <c r="F139" s="20">
        <v>0.49361970822901691</v>
      </c>
      <c r="G139" s="20">
        <v>0.20816248876470886</v>
      </c>
      <c r="H139" s="20">
        <v>0.28562485264551746</v>
      </c>
      <c r="I139" s="7"/>
      <c r="J139" s="20">
        <f>+J136+J137+J138</f>
        <v>8.5774423918188146E-3</v>
      </c>
      <c r="K139" s="20">
        <f>+K136+K137+K138</f>
        <v>2.0992315629813821E-4</v>
      </c>
      <c r="L139" s="20">
        <f>+L136+L137+L138</f>
        <v>0.14407971437418496</v>
      </c>
      <c r="M139" s="7"/>
      <c r="N139" s="20">
        <v>0.49361970822901691</v>
      </c>
      <c r="O139" s="20">
        <v>0.20816248876470886</v>
      </c>
      <c r="P139" s="20">
        <v>0.28562485264551746</v>
      </c>
      <c r="Q139" s="7"/>
      <c r="R139" s="20">
        <f>+R136+R137+R138</f>
        <v>1.5923322928436012E-2</v>
      </c>
      <c r="S139" s="20">
        <f>+S136+S137+S138</f>
        <v>1.9675792816672882E-4</v>
      </c>
      <c r="T139" s="20">
        <f>+T136+T137+T138</f>
        <v>0.1440797143741849</v>
      </c>
    </row>
    <row r="140" spans="2:20" ht="20.149999999999999" hidden="1" customHeight="1" outlineLevel="1" x14ac:dyDescent="0.25">
      <c r="B140" s="204"/>
      <c r="C140" s="9"/>
      <c r="D140" s="14" t="s">
        <v>96</v>
      </c>
      <c r="E140" s="7"/>
      <c r="F140" s="20">
        <v>-0.24777656498889986</v>
      </c>
      <c r="G140" s="20">
        <v>-0.21788168577597833</v>
      </c>
      <c r="H140" s="20">
        <v>0</v>
      </c>
      <c r="I140" s="7"/>
      <c r="J140" s="20">
        <f>-(SUM([1]H9!$AC$57:$AK$57)/1000)/J135</f>
        <v>7.4085208204730066E-4</v>
      </c>
      <c r="K140" s="20">
        <f>-(SUM([1]H9!$AC$58:$AK$58)/1000)/K135</f>
        <v>8.8207147834194231E-5</v>
      </c>
      <c r="L140" s="20">
        <f>-(SUM([1]H9!$AC$59:$AK$59)/1000)/L135</f>
        <v>1.2055736892309656E-2</v>
      </c>
      <c r="M140" s="7"/>
      <c r="N140" s="20">
        <v>-0.24777656498889986</v>
      </c>
      <c r="O140" s="20">
        <v>-0.21788168577597833</v>
      </c>
      <c r="P140" s="20">
        <v>0</v>
      </c>
      <c r="Q140" s="7"/>
      <c r="R140" s="20">
        <f>-(SUM([1]H9!$FA$57:$FI$57)/1000)/R135</f>
        <v>1.4772947996487317E-4</v>
      </c>
      <c r="S140" s="20">
        <f>-(SUM([1]H9!$FA$58:$FI$58)/1000)/S135</f>
        <v>8.1751533534063389E-5</v>
      </c>
      <c r="T140" s="20">
        <f>-(SUM([1]H9!$FA$59:$FI$59)/1000)/T135</f>
        <v>1.2055736892309658E-2</v>
      </c>
    </row>
    <row r="141" spans="2:20" ht="20.149999999999999" hidden="1" customHeight="1" outlineLevel="2" x14ac:dyDescent="0.25">
      <c r="B141" s="204"/>
      <c r="C141" s="9"/>
      <c r="D141" s="15" t="s">
        <v>87</v>
      </c>
      <c r="E141" s="7"/>
      <c r="F141" s="20">
        <v>0.1658069858493533</v>
      </c>
      <c r="G141" s="20">
        <v>0.21963125229278538</v>
      </c>
      <c r="H141" s="20">
        <v>0.16717916113669204</v>
      </c>
      <c r="I141" s="7"/>
      <c r="J141" s="20">
        <f>-(SUM([1]H9!$AL$57:$AN$57)/1000)/J135</f>
        <v>0.2000140095469225</v>
      </c>
      <c r="K141" s="20">
        <f>-(SUM([1]H9!$AL$58:$AN$58)/1000)/K135</f>
        <v>0.20000699743854333</v>
      </c>
      <c r="L141" s="20">
        <f>-(SUM([1]H9!$AL$59:$AN$59)/1000)/L135</f>
        <v>0.19942056295731317</v>
      </c>
      <c r="M141" s="7"/>
      <c r="N141" s="20">
        <v>0.1658069858493533</v>
      </c>
      <c r="O141" s="20">
        <v>0.21963125229278538</v>
      </c>
      <c r="P141" s="20">
        <v>0.16717916113669204</v>
      </c>
      <c r="Q141" s="7"/>
      <c r="R141" s="20">
        <f>-(SUM([1]H9!$FJ$57:$FL$57)/1000)/R135</f>
        <v>0.2000079336202204</v>
      </c>
      <c r="S141" s="20">
        <f>-(SUM([1]H9!$FJ$58:$FL$58)/1000)/S135</f>
        <v>0.20006124436918998</v>
      </c>
      <c r="T141" s="20">
        <f>-(SUM([1]H9!$FJ$59:$FL$59)/1000)/T135</f>
        <v>0.19942056295731314</v>
      </c>
    </row>
    <row r="142" spans="2:20" ht="20.149999999999999" hidden="1" customHeight="1" outlineLevel="2" x14ac:dyDescent="0.25">
      <c r="B142" s="204"/>
      <c r="C142" s="9"/>
      <c r="D142" s="15" t="s">
        <v>88</v>
      </c>
      <c r="E142" s="7"/>
      <c r="F142" s="20">
        <v>0.16807597293774948</v>
      </c>
      <c r="G142" s="20">
        <v>0.18193374529946854</v>
      </c>
      <c r="H142" s="20">
        <v>0.15908397356614867</v>
      </c>
      <c r="I142" s="7"/>
      <c r="J142" s="20">
        <f>-(SUM([1]H9!$AO$57:$AR$57)/1000)/J135</f>
        <v>6.2150825420128328E-2</v>
      </c>
      <c r="K142" s="20">
        <f>-(SUM([1]H9!$AO$58:$AR$58)/1000)/K135</f>
        <v>3.5000004927773623E-2</v>
      </c>
      <c r="L142" s="20">
        <f>-(SUM([1]H9!$AO$59:$AR$59)/1000)/L135</f>
        <v>7.3583035421648291E-2</v>
      </c>
      <c r="M142" s="7"/>
      <c r="N142" s="20">
        <v>0.16807597293774948</v>
      </c>
      <c r="O142" s="20">
        <v>0.18193374529946854</v>
      </c>
      <c r="P142" s="20">
        <v>0.15908397356614867</v>
      </c>
      <c r="Q142" s="7"/>
      <c r="R142" s="20">
        <f>-(SUM([1]H9!$FM$57:$FP$57)/1000)/R135</f>
        <v>8.7365573012559761E-2</v>
      </c>
      <c r="S142" s="20">
        <f>-(SUM([1]H9!$FM$58:$FP$58)/1000)/S135</f>
        <v>3.1097451984830247E-2</v>
      </c>
      <c r="T142" s="20">
        <f>-(SUM([1]H9!$FM$59:$FP$59)/1000)/T135</f>
        <v>7.3583035421648305E-2</v>
      </c>
    </row>
    <row r="143" spans="2:20" ht="20.149999999999999" hidden="1" customHeight="1" outlineLevel="1" x14ac:dyDescent="0.25">
      <c r="B143" s="204"/>
      <c r="C143" s="9"/>
      <c r="D143" s="14" t="s">
        <v>97</v>
      </c>
      <c r="E143" s="7"/>
      <c r="F143" s="20">
        <v>0.33388295878710278</v>
      </c>
      <c r="G143" s="20" t="e">
        <v>#VALUE!</v>
      </c>
      <c r="H143" s="20">
        <v>0.32626313470284068</v>
      </c>
      <c r="I143" s="7"/>
      <c r="J143" s="20">
        <f>+J141+J142</f>
        <v>0.26216483496705084</v>
      </c>
      <c r="K143" s="20">
        <f>+K141+K142</f>
        <v>0.23500700236631694</v>
      </c>
      <c r="L143" s="20">
        <f>+L141+L142</f>
        <v>0.27300359837896149</v>
      </c>
      <c r="M143" s="7"/>
      <c r="N143" s="20">
        <v>0.33388295878710278</v>
      </c>
      <c r="O143" s="20" t="e">
        <v>#VALUE!</v>
      </c>
      <c r="P143" s="20">
        <v>0.32626313470284068</v>
      </c>
      <c r="Q143" s="7"/>
      <c r="R143" s="20">
        <f>+R141+R142</f>
        <v>0.28737350663278016</v>
      </c>
      <c r="S143" s="20">
        <f>+S141+S142</f>
        <v>0.23115869635402023</v>
      </c>
      <c r="T143" s="20">
        <f>+T141+T142</f>
        <v>0.27300359837896143</v>
      </c>
    </row>
    <row r="144" spans="2:20" ht="20.149999999999999" hidden="1" customHeight="1" outlineLevel="1" x14ac:dyDescent="0.25">
      <c r="B144" s="204"/>
      <c r="C144" s="9"/>
      <c r="D144" s="14" t="s">
        <v>90</v>
      </c>
      <c r="E144" s="7"/>
      <c r="F144" s="20"/>
      <c r="G144" s="20"/>
      <c r="H144" s="20"/>
      <c r="I144" s="7"/>
      <c r="J144" s="20">
        <f>-(SUM([1]H9!$AT$57:$BJ$57)/1000/J135)</f>
        <v>0.63873221383433043</v>
      </c>
      <c r="K144" s="20">
        <f>-(SUM([1]H9!$AT$58:$BJ$58)/1000/K135)</f>
        <v>0.62237189513303515</v>
      </c>
      <c r="L144" s="20">
        <f>-(SUM([1]H9!$AT$59:$BJ$59)/1000/L135)</f>
        <v>0.5202688301744588</v>
      </c>
      <c r="M144" s="7"/>
      <c r="N144" s="20"/>
      <c r="O144" s="20"/>
      <c r="P144" s="20"/>
      <c r="Q144" s="7"/>
      <c r="R144" s="20">
        <f>-(SUM([1]H9!$FR$57:$GH$57)/1000/R135)</f>
        <v>0.17330856584767992</v>
      </c>
      <c r="S144" s="20">
        <f>-(SUM([1]H9!$FR$58:$GH$58)/1000/S135)</f>
        <v>0.14091747390532611</v>
      </c>
      <c r="T144" s="20">
        <f>-(SUM([1]H9!$FR$59:$GH$59)/1000/T135)</f>
        <v>0.5202688301744588</v>
      </c>
    </row>
    <row r="145" spans="2:20" ht="20.149999999999999" hidden="1" customHeight="1" outlineLevel="1" x14ac:dyDescent="0.25">
      <c r="B145" s="204"/>
      <c r="C145" s="9"/>
      <c r="D145" s="14" t="s">
        <v>79</v>
      </c>
      <c r="E145" s="8"/>
      <c r="F145" s="20">
        <v>0.57972610202721986</v>
      </c>
      <c r="G145" s="20" t="e">
        <v>#VALUE!</v>
      </c>
      <c r="H145" s="20">
        <v>0.61188798734835825</v>
      </c>
      <c r="I145" s="8"/>
      <c r="J145" s="20">
        <f>+J139+J140+J143+J144</f>
        <v>0.91021534327524733</v>
      </c>
      <c r="K145" s="20">
        <f>+K139+K140+K143+K144</f>
        <v>0.85767702780348443</v>
      </c>
      <c r="L145" s="20">
        <f>+L139+L140+L143+L144</f>
        <v>0.94940787981991492</v>
      </c>
      <c r="M145" s="8"/>
      <c r="N145" s="20">
        <v>0.57972610202721986</v>
      </c>
      <c r="O145" s="20" t="e">
        <v>#VALUE!</v>
      </c>
      <c r="P145" s="20">
        <v>0.61188798734835825</v>
      </c>
      <c r="Q145" s="8"/>
      <c r="R145" s="20">
        <f>+R139+R140+R143+R144</f>
        <v>0.47675312488886101</v>
      </c>
      <c r="S145" s="20">
        <f>+S139+S140+S143+S144</f>
        <v>0.37235467972104713</v>
      </c>
      <c r="T145" s="20">
        <f>+T139+T140+T143+T144</f>
        <v>0.94940787981991481</v>
      </c>
    </row>
    <row r="146" spans="2:20" ht="19.5" hidden="1" customHeight="1" outlineLevel="1" x14ac:dyDescent="0.25">
      <c r="B146" s="204"/>
      <c r="C146" s="9"/>
      <c r="D146" s="14" t="s">
        <v>34</v>
      </c>
      <c r="E146" s="6"/>
      <c r="F146" s="19">
        <v>1.6546549799999999</v>
      </c>
      <c r="G146" s="19">
        <v>2.3881635999999977</v>
      </c>
      <c r="H146" s="19">
        <v>1.7315949116887599</v>
      </c>
      <c r="I146" s="6"/>
      <c r="J146" s="19">
        <f>+[1]H9!$BK$57/1000</f>
        <v>1.8457399999999981E-3</v>
      </c>
      <c r="K146" s="19">
        <f>+[1]H9!$BK$58/1000</f>
        <v>2.8881799999999976E-3</v>
      </c>
      <c r="L146" s="19">
        <f>+[1]H9!$BK$59/1000</f>
        <v>8.8484599308518829E-4</v>
      </c>
      <c r="M146" s="6"/>
      <c r="N146" s="19">
        <v>1.6546549799999999</v>
      </c>
      <c r="O146" s="19">
        <v>2.3881635999999977</v>
      </c>
      <c r="P146" s="19">
        <v>1.7315949116887599</v>
      </c>
      <c r="Q146" s="6"/>
      <c r="R146" s="19">
        <f>+[1]H9!$GI$57/1000</f>
        <v>3.8252799999999999E-3</v>
      </c>
      <c r="S146" s="19">
        <f>+[1]H9!$GI$58/1000</f>
        <v>4.5297099999999993E-3</v>
      </c>
      <c r="T146" s="19">
        <f>+[1]H9!$GI$59/1000</f>
        <v>2.9494866436172845E-4</v>
      </c>
    </row>
    <row r="147" spans="2:20" ht="7.5" hidden="1" customHeight="1" outlineLevel="1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2:20" ht="19.5" hidden="1" customHeight="1" outlineLevel="1" x14ac:dyDescent="0.25">
      <c r="B148" s="204" t="s">
        <v>106</v>
      </c>
      <c r="C148" s="9"/>
      <c r="D148" s="14" t="s">
        <v>19</v>
      </c>
      <c r="E148" s="6"/>
      <c r="F148" s="19">
        <v>39.956381669999999</v>
      </c>
      <c r="G148" s="19">
        <v>35.901614680000009</v>
      </c>
      <c r="H148" s="19">
        <v>36.922681321660534</v>
      </c>
      <c r="I148" s="6"/>
      <c r="J148" s="19">
        <f>+[1]H9!$C$45/1000</f>
        <v>14.84662047</v>
      </c>
      <c r="K148" s="19">
        <f>+[1]H9!$C$46/1000</f>
        <v>14.408480090000001</v>
      </c>
      <c r="L148" s="19">
        <f>+[1]H9!$C$47/1000</f>
        <v>15.67407</v>
      </c>
      <c r="M148" s="6"/>
      <c r="N148" s="19">
        <v>39.956381669999999</v>
      </c>
      <c r="O148" s="19">
        <v>35.901614680000009</v>
      </c>
      <c r="P148" s="19">
        <v>36.922681321660534</v>
      </c>
      <c r="Q148" s="6"/>
      <c r="R148" s="19">
        <f>+[1]H9!$EA$45/1000</f>
        <v>0.76455925999999996</v>
      </c>
      <c r="S148" s="19">
        <f>+[1]H9!$EA$46/1000</f>
        <v>0.75974905000000037</v>
      </c>
      <c r="T148" s="19">
        <f>+[1]H9!$EA$47/1000</f>
        <v>1.3150299999999988</v>
      </c>
    </row>
    <row r="149" spans="2:20" ht="20.149999999999999" hidden="1" customHeight="1" outlineLevel="1" x14ac:dyDescent="0.25">
      <c r="B149" s="204"/>
      <c r="C149" s="9"/>
      <c r="D149" s="14" t="s">
        <v>20</v>
      </c>
      <c r="E149" s="6"/>
      <c r="F149" s="19">
        <v>38.89488166000001</v>
      </c>
      <c r="G149" s="19">
        <v>34.339636540000008</v>
      </c>
      <c r="H149" s="19">
        <v>34.780579715753724</v>
      </c>
      <c r="I149" s="6"/>
      <c r="J149" s="19">
        <f>+[1]H9!$N$45/1000</f>
        <v>5.9122976300000012</v>
      </c>
      <c r="K149" s="19">
        <f>+[1]H9!$N$46/1000</f>
        <v>5.9173515700000019</v>
      </c>
      <c r="L149" s="19">
        <f>+[1]H9!$N$47/1000</f>
        <v>6.9978755012949225</v>
      </c>
      <c r="M149" s="6"/>
      <c r="N149" s="19">
        <v>38.89488166000001</v>
      </c>
      <c r="O149" s="19">
        <v>34.339636540000008</v>
      </c>
      <c r="P149" s="19">
        <v>34.780579715753724</v>
      </c>
      <c r="Q149" s="6"/>
      <c r="R149" s="19">
        <f>+[1]H9!$EL$45/1000</f>
        <v>2.052365930000001</v>
      </c>
      <c r="S149" s="19">
        <f>+[1]H9!$EL$46/1000</f>
        <v>2.0085262100000003</v>
      </c>
      <c r="T149" s="19">
        <f>+[1]H9!$EL$47/1000</f>
        <v>2.3326251670983074</v>
      </c>
    </row>
    <row r="150" spans="2:20" ht="19.5" hidden="1" customHeight="1" outlineLevel="1" x14ac:dyDescent="0.25">
      <c r="B150" s="204"/>
      <c r="C150" s="9"/>
      <c r="D150" s="14" t="s">
        <v>92</v>
      </c>
      <c r="E150" s="6"/>
      <c r="F150" s="20">
        <f>F153-F151-F152</f>
        <v>0.69867287237299669</v>
      </c>
      <c r="G150" s="20">
        <f>G153-G151-G152</f>
        <v>0.47692328662020228</v>
      </c>
      <c r="H150" s="20">
        <f>H153-H151-H152</f>
        <v>0.60636957427339333</v>
      </c>
      <c r="I150" s="6"/>
      <c r="J150" s="20">
        <f>-(SUM([1]H9!$O$45,[1]H9!$R$45:$V$45,[1]H9!$Y$45:$AB$45)/1000)/J149</f>
        <v>0.43184510967546391</v>
      </c>
      <c r="K150" s="20">
        <f>-(SUM([1]H9!$O$46,[1]H9!$R$46:$V$46,[1]H9!$Y$46:$AB$46)/1000)/K149</f>
        <v>0.50233927371667031</v>
      </c>
      <c r="L150" s="20">
        <f>-(SUM([1]H9!$O$47,[1]H9!$R$47:$V$47,[1]H9!$Y$47:$AB$47)/1000)/L149</f>
        <v>0.37490181731431271</v>
      </c>
      <c r="M150" s="6"/>
      <c r="N150" s="20">
        <f>N153-N151-N152</f>
        <v>0.69867287237299669</v>
      </c>
      <c r="O150" s="20">
        <f>O153-O151-O152</f>
        <v>0.47692328662020228</v>
      </c>
      <c r="P150" s="20">
        <f>P153-P151-P152</f>
        <v>0.60636957427339333</v>
      </c>
      <c r="Q150" s="6"/>
      <c r="R150" s="20">
        <f>-(SUM([1]H9!$EM$45,[1]H9!$EP$45:$ET$45,[1]H9!$EW$45:$EZ$45)/1000)/R149</f>
        <v>0.46490529765768879</v>
      </c>
      <c r="S150" s="20">
        <f>-(SUM([1]H9!$EM$46,[1]H9!$EP$46:$ET$46,[1]H9!$EW$46:$EZ$46)/1000)/S149</f>
        <v>0.52802863847119019</v>
      </c>
      <c r="T150" s="20">
        <f>-(SUM([1]H9!$EM$47,[1]H9!$EP$47:$ET$47,[1]H9!$EW$47:$EZ$47)/1000)/T149</f>
        <v>0.1499025250355078</v>
      </c>
    </row>
    <row r="151" spans="2:20" ht="19.5" hidden="1" customHeight="1" outlineLevel="1" x14ac:dyDescent="0.25">
      <c r="B151" s="204"/>
      <c r="C151" s="9"/>
      <c r="D151" s="14" t="s">
        <v>93</v>
      </c>
      <c r="E151" s="6"/>
      <c r="F151" s="20">
        <f>IFERROR(SUM(INDEX(LL_TOT_BR_YTD,8,Month),INDEX(LL_IBNR_TOT_BR_YTD,8,Month))/F149,0)</f>
        <v>0</v>
      </c>
      <c r="G151" s="20">
        <f>IFERROR(SUM(INDEX(LL_TOT_BR_YTD_PREV,8,Month),INDEX(LL_IBNR_TOT_BR_YTD_PREV,8,Month))/G149,0)</f>
        <v>0</v>
      </c>
      <c r="H151" s="20">
        <f>IFERROR(SUM(INDEX(LL_TOT_BR_YTD_PLAN,8,Month),INDEX(LL_IBNR_TOT_BR_YTD_PLAN,8,Month))/H149,0)</f>
        <v>0</v>
      </c>
      <c r="I151" s="6"/>
      <c r="J151" s="20">
        <f>-(SUM([1]H9!$Q$45,[1]H9!$X$45)/1000)/J149</f>
        <v>8.8201454692101458E-2</v>
      </c>
      <c r="K151" s="20">
        <f>-(SUM([1]H9!$Q$46,[1]H9!$X$46)/1000)/K149</f>
        <v>0</v>
      </c>
      <c r="L151" s="20">
        <f>-(SUM([1]H9!$Q$47,[1]H9!$X$47)/1000)/L149</f>
        <v>0.12834882852531426</v>
      </c>
      <c r="M151" s="6"/>
      <c r="N151" s="20">
        <f>IFERROR(SUM(INDEX(LL_TOT_BR_YTD,8,Month),INDEX(LL_IBNR_TOT_BR_YTD,8,Month))/N149,0)</f>
        <v>0</v>
      </c>
      <c r="O151" s="20">
        <f>IFERROR(SUM(INDEX(LL_TOT_BR_YTD_PREV,8,Month),INDEX(LL_IBNR_TOT_BR_YTD_PREV,8,Month))/O149,0)</f>
        <v>0</v>
      </c>
      <c r="P151" s="20">
        <f>IFERROR(SUM(INDEX(LL_TOT_BR_YTD_PLAN,8,Month),INDEX(LL_IBNR_TOT_BR_YTD_PLAN,8,Month))/P149,0)</f>
        <v>0</v>
      </c>
      <c r="Q151" s="6"/>
      <c r="R151" s="20">
        <f>-(SUM([1]H9!$EO$45,[1]H9!$EV$45)/1000)/R149</f>
        <v>0.11997131837539819</v>
      </c>
      <c r="S151" s="20">
        <f>-(SUM([1]H9!$EO$46,[1]H9!$EV$46)/1000)/S149</f>
        <v>0</v>
      </c>
      <c r="T151" s="20">
        <f>-(SUM([1]H9!$EO$47,[1]H9!$EV$47)/1000)/T149</f>
        <v>0.12834882852531429</v>
      </c>
    </row>
    <row r="152" spans="2:20" ht="19.5" hidden="1" customHeight="1" outlineLevel="1" x14ac:dyDescent="0.25">
      <c r="B152" s="204"/>
      <c r="C152" s="9"/>
      <c r="D152" s="14" t="s">
        <v>94</v>
      </c>
      <c r="E152" s="6"/>
      <c r="F152" s="20">
        <f>0</f>
        <v>0</v>
      </c>
      <c r="G152" s="20">
        <f>0</f>
        <v>0</v>
      </c>
      <c r="H152" s="20">
        <f>0</f>
        <v>0</v>
      </c>
      <c r="I152" s="6"/>
      <c r="J152" s="20">
        <f>-(SUM([1]H9!$P$45,[1]H9!$W$45)/1000)/J149</f>
        <v>0</v>
      </c>
      <c r="K152" s="20">
        <f>-(SUM([1]H9!$P$46,[1]H9!$W$46)/1000)/K149</f>
        <v>0</v>
      </c>
      <c r="L152" s="20">
        <f>-(SUM([1]H9!$P$47,[1]H9!$W$47)/1000)/L149</f>
        <v>0</v>
      </c>
      <c r="M152" s="6"/>
      <c r="N152" s="20">
        <f>0</f>
        <v>0</v>
      </c>
      <c r="O152" s="20">
        <f>0</f>
        <v>0</v>
      </c>
      <c r="P152" s="20">
        <f>0</f>
        <v>0</v>
      </c>
      <c r="Q152" s="6"/>
      <c r="R152" s="20">
        <f>-(SUM([1]H9!$EN$45,[1]H9!$EU$45)/1000)/R149</f>
        <v>0</v>
      </c>
      <c r="S152" s="20">
        <f>-(SUM([1]H9!$EN$46,[1]H9!$EU$46)/1000)/S149</f>
        <v>0</v>
      </c>
      <c r="T152" s="20">
        <f>-(SUM([1]H9!$EN$47,[1]H9!$EU$47)/1000)/T149</f>
        <v>0</v>
      </c>
    </row>
    <row r="153" spans="2:20" ht="19.5" hidden="1" customHeight="1" outlineLevel="2" x14ac:dyDescent="0.25">
      <c r="B153" s="204"/>
      <c r="C153" s="9"/>
      <c r="D153" s="14" t="s">
        <v>95</v>
      </c>
      <c r="E153" s="7"/>
      <c r="F153" s="20">
        <v>0.69867287237299669</v>
      </c>
      <c r="G153" s="20">
        <v>0.47692328662020228</v>
      </c>
      <c r="H153" s="20">
        <v>0.60636957427339333</v>
      </c>
      <c r="I153" s="7"/>
      <c r="J153" s="20">
        <f>+J150+J151+J152</f>
        <v>0.52004656436756536</v>
      </c>
      <c r="K153" s="20">
        <f>+K150+K151+K152</f>
        <v>0.50233927371667031</v>
      </c>
      <c r="L153" s="20">
        <f>+L150+L151+L152</f>
        <v>0.50325064583962698</v>
      </c>
      <c r="M153" s="7"/>
      <c r="N153" s="20">
        <v>0.69867287237299669</v>
      </c>
      <c r="O153" s="20">
        <v>0.47692328662020228</v>
      </c>
      <c r="P153" s="20">
        <v>0.60636957427339333</v>
      </c>
      <c r="Q153" s="7"/>
      <c r="R153" s="20">
        <f>+R150+R151+R152</f>
        <v>0.58487661603308694</v>
      </c>
      <c r="S153" s="20">
        <f>+S150+S151+S152</f>
        <v>0.52802863847119019</v>
      </c>
      <c r="T153" s="20">
        <f>+T150+T151+T152</f>
        <v>0.27825135356082209</v>
      </c>
    </row>
    <row r="154" spans="2:20" ht="20.149999999999999" hidden="1" customHeight="1" outlineLevel="1" x14ac:dyDescent="0.25">
      <c r="B154" s="204"/>
      <c r="C154" s="9"/>
      <c r="D154" s="14" t="s">
        <v>96</v>
      </c>
      <c r="E154" s="7"/>
      <c r="F154" s="20">
        <v>5.6663226777895473E-3</v>
      </c>
      <c r="G154" s="20">
        <v>-2.030074194838988E-3</v>
      </c>
      <c r="H154" s="20">
        <v>0</v>
      </c>
      <c r="I154" s="7"/>
      <c r="J154" s="20">
        <f>-(SUM([1]H9!$AC$45:$AK$45)/1000)/J149</f>
        <v>-0.1967749160828359</v>
      </c>
      <c r="K154" s="20">
        <f>-(SUM([1]H9!$AC$46:$AK$46)/1000)/K149</f>
        <v>-0.46088659558891137</v>
      </c>
      <c r="L154" s="20">
        <f>-(SUM([1]H9!$AC$47:$AK$47)/1000)/L149</f>
        <v>-1.0397160648591345E-2</v>
      </c>
      <c r="M154" s="7"/>
      <c r="N154" s="20">
        <v>5.6663226777895473E-3</v>
      </c>
      <c r="O154" s="20">
        <v>-2.030074194838988E-3</v>
      </c>
      <c r="P154" s="20">
        <v>0</v>
      </c>
      <c r="Q154" s="7"/>
      <c r="R154" s="20">
        <f>-(SUM([1]H9!$FA$45:$FI$45)/1000)/R149</f>
        <v>9.8057416106103343E-2</v>
      </c>
      <c r="S154" s="20">
        <f>-(SUM([1]H9!$FA$46:$FI$46)/1000)/S149</f>
        <v>-0.23943206098366041</v>
      </c>
      <c r="T154" s="20">
        <f>-(SUM([1]H9!$FA$47:$FI$47)/1000)/T149</f>
        <v>-1.0397160648591346E-2</v>
      </c>
    </row>
    <row r="155" spans="2:20" ht="20.149999999999999" hidden="1" customHeight="1" outlineLevel="2" x14ac:dyDescent="0.25">
      <c r="B155" s="204"/>
      <c r="C155" s="9"/>
      <c r="D155" s="15" t="s">
        <v>87</v>
      </c>
      <c r="E155" s="7"/>
      <c r="F155" s="20">
        <v>0.14842470046481682</v>
      </c>
      <c r="G155" s="20">
        <v>0.14479700052177655</v>
      </c>
      <c r="H155" s="20">
        <v>0.14035990349661451</v>
      </c>
      <c r="I155" s="7"/>
      <c r="J155" s="20">
        <f>-(SUM([1]H9!$AL$45:$AN$45)/1000)/J149</f>
        <v>0.16153917643689397</v>
      </c>
      <c r="K155" s="20">
        <f>-(SUM([1]H9!$AL$46:$AN$46)/1000)/K149</f>
        <v>0.15517563375062399</v>
      </c>
      <c r="L155" s="20">
        <f>-(SUM([1]H9!$AL$47:$AN$47)/1000)/L149</f>
        <v>0.14792480474771946</v>
      </c>
      <c r="M155" s="7"/>
      <c r="N155" s="20">
        <v>0.14842470046481682</v>
      </c>
      <c r="O155" s="20">
        <v>0.14479700052177655</v>
      </c>
      <c r="P155" s="20">
        <v>0.14035990349661451</v>
      </c>
      <c r="Q155" s="7"/>
      <c r="R155" s="20">
        <f>-(SUM([1]H9!$FJ$45:$FL$45)/1000)/R149</f>
        <v>0.15845090548740479</v>
      </c>
      <c r="S155" s="20">
        <f>-(SUM([1]H9!$FJ$46:$FL$46)/1000)/S149</f>
        <v>0.1544431028360839</v>
      </c>
      <c r="T155" s="20">
        <f>-(SUM([1]H9!$FJ$47:$FL$47)/1000)/T149</f>
        <v>0.14792480474771949</v>
      </c>
    </row>
    <row r="156" spans="2:20" ht="20.149999999999999" hidden="1" customHeight="1" outlineLevel="2" x14ac:dyDescent="0.25">
      <c r="B156" s="204"/>
      <c r="C156" s="9"/>
      <c r="D156" s="15" t="s">
        <v>88</v>
      </c>
      <c r="E156" s="7"/>
      <c r="F156" s="20">
        <v>0.10688467614687169</v>
      </c>
      <c r="G156" s="20">
        <v>0.1200591187154131</v>
      </c>
      <c r="H156" s="20">
        <v>0.12893493499093631</v>
      </c>
      <c r="I156" s="7"/>
      <c r="J156" s="20">
        <f>-(SUM([1]H9!$AO$45:$AR$45)/1000)/J149</f>
        <v>6.5770252841618165E-2</v>
      </c>
      <c r="K156" s="20">
        <f>-(SUM([1]H9!$AO$46:$AR$46)/1000)/K149</f>
        <v>6.2978071455030996E-2</v>
      </c>
      <c r="L156" s="20">
        <f>-(SUM([1]H9!$AO$47:$AR$47)/1000)/L149</f>
        <v>8.1380009787039811E-2</v>
      </c>
      <c r="M156" s="7"/>
      <c r="N156" s="20">
        <v>0.10688467614687169</v>
      </c>
      <c r="O156" s="20">
        <v>0.1200591187154131</v>
      </c>
      <c r="P156" s="20">
        <v>0.12893493499093631</v>
      </c>
      <c r="Q156" s="7"/>
      <c r="R156" s="20">
        <f>-(SUM([1]H9!$FM$45:$FP$45)/1000)/R149</f>
        <v>6.5938343655899567E-2</v>
      </c>
      <c r="S156" s="20">
        <f>-(SUM([1]H9!$FM$46:$FP$46)/1000)/S149</f>
        <v>6.0772191765423852E-2</v>
      </c>
      <c r="T156" s="20">
        <f>-(SUM([1]H9!$FM$47:$FP$47)/1000)/T149</f>
        <v>8.1380009787039825E-2</v>
      </c>
    </row>
    <row r="157" spans="2:20" ht="20.149999999999999" hidden="1" customHeight="1" outlineLevel="1" x14ac:dyDescent="0.25">
      <c r="B157" s="204"/>
      <c r="C157" s="9"/>
      <c r="D157" s="14" t="s">
        <v>97</v>
      </c>
      <c r="E157" s="7"/>
      <c r="F157" s="20">
        <v>0.25530937661168845</v>
      </c>
      <c r="G157" s="20">
        <v>0.2648561192371896</v>
      </c>
      <c r="H157" s="20">
        <v>0.26929483848755081</v>
      </c>
      <c r="I157" s="7"/>
      <c r="J157" s="20">
        <f>+J155+J156</f>
        <v>0.22730942927851214</v>
      </c>
      <c r="K157" s="20">
        <f>+K155+K156</f>
        <v>0.21815370520565497</v>
      </c>
      <c r="L157" s="20">
        <f>+L155+L156</f>
        <v>0.22930481453475926</v>
      </c>
      <c r="M157" s="7"/>
      <c r="N157" s="20">
        <v>0.25530937661168845</v>
      </c>
      <c r="O157" s="20">
        <v>0.2648561192371896</v>
      </c>
      <c r="P157" s="20">
        <v>0.26929483848755081</v>
      </c>
      <c r="Q157" s="7"/>
      <c r="R157" s="20">
        <f>+R155+R156</f>
        <v>0.22438924914330435</v>
      </c>
      <c r="S157" s="20">
        <f>+S155+S156</f>
        <v>0.21521529460150773</v>
      </c>
      <c r="T157" s="20">
        <f>+T155+T156</f>
        <v>0.22930481453475932</v>
      </c>
    </row>
    <row r="158" spans="2:20" ht="20.149999999999999" hidden="1" customHeight="1" outlineLevel="1" x14ac:dyDescent="0.25">
      <c r="B158" s="204"/>
      <c r="C158" s="9"/>
      <c r="D158" s="14" t="s">
        <v>90</v>
      </c>
      <c r="E158" s="7"/>
      <c r="F158" s="20"/>
      <c r="G158" s="20"/>
      <c r="H158" s="20"/>
      <c r="I158" s="7"/>
      <c r="J158" s="20">
        <f>-(SUM([1]H9!$AT$45:$BJ$45)/1000/J149)</f>
        <v>0.25033030686582669</v>
      </c>
      <c r="K158" s="20">
        <f>-(SUM([1]H9!$AT$46:$BJ$46)/1000/K149)</f>
        <v>3.2406036337638104E-2</v>
      </c>
      <c r="L158" s="20">
        <f>-(SUM([1]H9!$AT$47:$BJ$47)/1000/L149)</f>
        <v>2.5775045704969236E-2</v>
      </c>
      <c r="M158" s="7"/>
      <c r="N158" s="20"/>
      <c r="O158" s="20"/>
      <c r="P158" s="20"/>
      <c r="Q158" s="7"/>
      <c r="R158" s="20">
        <f>-(SUM([1]H9!$FR$45:$GH$45)/1000/R149)</f>
        <v>4.3186099858907694E-2</v>
      </c>
      <c r="S158" s="20">
        <f>-(SUM([1]H9!$FR$46:$GH$46)/1000/S149)</f>
        <v>3.0505108519345629E-2</v>
      </c>
      <c r="T158" s="20">
        <f>-(SUM([1]H9!$FR$47:$GH$47)/1000/T149)</f>
        <v>2.5775045704969236E-2</v>
      </c>
    </row>
    <row r="159" spans="2:20" ht="20.149999999999999" hidden="1" customHeight="1" outlineLevel="1" x14ac:dyDescent="0.25">
      <c r="B159" s="204"/>
      <c r="C159" s="9"/>
      <c r="D159" s="14" t="s">
        <v>79</v>
      </c>
      <c r="E159" s="8"/>
      <c r="F159" s="20">
        <v>0.95964857166247464</v>
      </c>
      <c r="G159" s="20">
        <v>0.73974933166255308</v>
      </c>
      <c r="H159" s="20">
        <v>0.8756644127609442</v>
      </c>
      <c r="I159" s="8"/>
      <c r="J159" s="20">
        <f>+J153+J154+J157+J158</f>
        <v>0.80091138442906828</v>
      </c>
      <c r="K159" s="20">
        <f>+K153+K154+K157+K158</f>
        <v>0.29201241967105201</v>
      </c>
      <c r="L159" s="20">
        <f>+L153+L154+L157+L158</f>
        <v>0.74793334543076417</v>
      </c>
      <c r="M159" s="8"/>
      <c r="N159" s="20">
        <v>0.95964857166247464</v>
      </c>
      <c r="O159" s="20">
        <v>0.73974933166255308</v>
      </c>
      <c r="P159" s="20">
        <v>0.8756644127609442</v>
      </c>
      <c r="Q159" s="8"/>
      <c r="R159" s="20">
        <f>+R153+R154+R157+R158</f>
        <v>0.95050938114140227</v>
      </c>
      <c r="S159" s="20">
        <f>+S153+S154+S157+S158</f>
        <v>0.53431698060838306</v>
      </c>
      <c r="T159" s="20">
        <f>+T153+T154+T157+T158</f>
        <v>0.52293405315195929</v>
      </c>
    </row>
    <row r="160" spans="2:20" ht="19.5" hidden="1" customHeight="1" outlineLevel="1" x14ac:dyDescent="0.25">
      <c r="B160" s="204"/>
      <c r="C160" s="9"/>
      <c r="D160" s="14" t="s">
        <v>34</v>
      </c>
      <c r="E160" s="6"/>
      <c r="F160" s="19">
        <v>1.5694640300000162</v>
      </c>
      <c r="G160" s="19">
        <v>8.946853150000015</v>
      </c>
      <c r="H160" s="19">
        <v>4.3244638034730354</v>
      </c>
      <c r="I160" s="6"/>
      <c r="J160" s="19">
        <f>+[1]H9!$BK$45/1000</f>
        <v>1.1770711500000011</v>
      </c>
      <c r="K160" s="19">
        <f>+[1]H9!$BK$46/1000</f>
        <v>4.1894114200000008</v>
      </c>
      <c r="L160" s="19">
        <f>+[1]H9!$BK$47/1000</f>
        <v>1.7639310667034251</v>
      </c>
      <c r="M160" s="6"/>
      <c r="N160" s="19">
        <v>1.5694640300000162</v>
      </c>
      <c r="O160" s="19">
        <v>8.946853150000015</v>
      </c>
      <c r="P160" s="19">
        <v>4.3244638034730354</v>
      </c>
      <c r="Q160" s="6"/>
      <c r="R160" s="19">
        <f>+[1]H9!$GI$45/1000</f>
        <v>0.10157286000000114</v>
      </c>
      <c r="S160" s="19">
        <f>+[1]H9!$GI$46/1000</f>
        <v>0.93533655000000104</v>
      </c>
      <c r="T160" s="19">
        <f>+[1]H9!$GI$47/1000</f>
        <v>1.1128160339833233</v>
      </c>
    </row>
    <row r="161" spans="2:20" ht="7.5" hidden="1" customHeight="1" outlineLevel="1" x14ac:dyDescent="0.25">
      <c r="D161" s="21"/>
      <c r="E161" s="2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2:20" ht="19.5" hidden="1" customHeight="1" outlineLevel="1" x14ac:dyDescent="0.25">
      <c r="B162" s="204" t="s">
        <v>107</v>
      </c>
      <c r="C162" s="9"/>
      <c r="D162" s="14" t="s">
        <v>19</v>
      </c>
      <c r="E162" s="6"/>
      <c r="F162" s="19">
        <v>4.6081165099999994</v>
      </c>
      <c r="G162" s="19">
        <v>4.81530491</v>
      </c>
      <c r="H162" s="19">
        <v>4.6299022050921828</v>
      </c>
      <c r="I162" s="6"/>
      <c r="J162" s="19">
        <f>+[1]H9!$C$53/1000</f>
        <v>1.1140608300000001</v>
      </c>
      <c r="K162" s="19">
        <f>+[1]H9!$C$54/1000</f>
        <v>1.2487556599999998</v>
      </c>
      <c r="L162" s="19">
        <f>+[1]H9!$C$55/1000</f>
        <v>1.19591</v>
      </c>
      <c r="M162" s="6"/>
      <c r="N162" s="19">
        <v>4.6081165099999994</v>
      </c>
      <c r="O162" s="19">
        <v>4.81530491</v>
      </c>
      <c r="P162" s="19">
        <v>4.6299022050921828</v>
      </c>
      <c r="Q162" s="6"/>
      <c r="R162" s="19">
        <f>+[1]H9!$EA$53/1000</f>
        <v>1.6979829999999994E-2</v>
      </c>
      <c r="S162" s="19">
        <f>+[1]H9!$EA$54/1000</f>
        <v>2.4122530000000097E-2</v>
      </c>
      <c r="T162" s="19">
        <f>+[1]H9!$EA$55/1000</f>
        <v>0.23585000000000014</v>
      </c>
    </row>
    <row r="163" spans="2:20" ht="20.149999999999999" hidden="1" customHeight="1" outlineLevel="1" x14ac:dyDescent="0.25">
      <c r="B163" s="204"/>
      <c r="C163" s="9"/>
      <c r="D163" s="14" t="s">
        <v>20</v>
      </c>
      <c r="E163" s="6"/>
      <c r="F163" s="19">
        <v>-1.7088570000000278E-2</v>
      </c>
      <c r="G163" s="19">
        <v>-2.7836631900000022</v>
      </c>
      <c r="H163" s="19">
        <v>0.52833225436411024</v>
      </c>
      <c r="I163" s="6"/>
      <c r="J163" s="19">
        <f>+[1]H9!$N$53/1000</f>
        <v>0.93034387000000007</v>
      </c>
      <c r="K163" s="19">
        <f>+[1]H9!$N$54/1000</f>
        <v>0.38738824999999993</v>
      </c>
      <c r="L163" s="19">
        <f>+[1]H9!$N$55/1000</f>
        <v>0.41826758347666482</v>
      </c>
      <c r="M163" s="6"/>
      <c r="N163" s="19">
        <v>-1.7088570000000278E-2</v>
      </c>
      <c r="O163" s="19">
        <v>-2.7836631900000022</v>
      </c>
      <c r="P163" s="19">
        <v>0.52833225436411024</v>
      </c>
      <c r="Q163" s="6"/>
      <c r="R163" s="19">
        <f>+[1]H9!$EL$53/1000</f>
        <v>3.2220860000000018E-2</v>
      </c>
      <c r="S163" s="19">
        <f>+[1]H9!$EL$54/1000</f>
        <v>0.12865017000000001</v>
      </c>
      <c r="T163" s="19">
        <f>+[1]H9!$EL$55/1000</f>
        <v>0.13942252782555495</v>
      </c>
    </row>
    <row r="164" spans="2:20" ht="19.5" hidden="1" customHeight="1" outlineLevel="1" x14ac:dyDescent="0.25">
      <c r="B164" s="204"/>
      <c r="C164" s="9"/>
      <c r="D164" s="14" t="s">
        <v>92</v>
      </c>
      <c r="E164" s="6"/>
      <c r="F164" s="20">
        <f>F167-F165-F166</f>
        <v>-0.76858040198798272</v>
      </c>
      <c r="G164" s="20">
        <f>G167-G165-G166</f>
        <v>-2.335659724695354E-3</v>
      </c>
      <c r="H164" s="20">
        <f>H167-H165-H166</f>
        <v>0.20755285761585987</v>
      </c>
      <c r="I164" s="6"/>
      <c r="J164" s="20">
        <f>-(SUM([1]H9!$O$53,[1]H9!$R$53:$V$53,[1]H9!$Y$53:$AB$53)/1000)/J163</f>
        <v>6.6150798628898361E-2</v>
      </c>
      <c r="K164" s="20">
        <f>-(SUM([1]H9!$O$54,[1]H9!$R$54:$V$54,[1]H9!$Y$54:$AB$54)/1000)/K163</f>
        <v>0.25341876011985398</v>
      </c>
      <c r="L164" s="20">
        <f>-(SUM([1]H9!$O$55,[1]H9!$R$55:$V$55,[1]H9!$Y$55:$AB$55)/1000)/L163</f>
        <v>0.22438315909830681</v>
      </c>
      <c r="M164" s="6"/>
      <c r="N164" s="20">
        <f>N167-N165-N166</f>
        <v>-0.76858040198798272</v>
      </c>
      <c r="O164" s="20">
        <f>O167-O165-O166</f>
        <v>-2.335659724695354E-3</v>
      </c>
      <c r="P164" s="20">
        <f>P167-P165-P166</f>
        <v>0.20755285761585987</v>
      </c>
      <c r="Q164" s="6"/>
      <c r="R164" s="20">
        <f>-(SUM([1]H9!$EM$53,[1]H9!$EP$53:$ET$53,[1]H9!$EW$53:$EZ$53)/1000)/R163</f>
        <v>0.58614046924880303</v>
      </c>
      <c r="S164" s="20">
        <f>-(SUM([1]H9!$EM$54,[1]H9!$EP$54:$ET$54,[1]H9!$EW$54:$EZ$54)/1000)/S163</f>
        <v>0.26294391993419047</v>
      </c>
      <c r="T164" s="20">
        <f>-(SUM([1]H9!$EM$55,[1]H9!$EP$55:$ET$55,[1]H9!$EW$55:$EZ$55)/1000)/T163</f>
        <v>0.22438315909830678</v>
      </c>
    </row>
    <row r="165" spans="2:20" ht="19.5" hidden="1" customHeight="1" outlineLevel="1" x14ac:dyDescent="0.25">
      <c r="B165" s="204"/>
      <c r="C165" s="9"/>
      <c r="D165" s="14" t="s">
        <v>93</v>
      </c>
      <c r="E165" s="6"/>
      <c r="F165" s="20">
        <f>0</f>
        <v>0</v>
      </c>
      <c r="G165" s="20">
        <f>0</f>
        <v>0</v>
      </c>
      <c r="H165" s="20">
        <f>0</f>
        <v>0</v>
      </c>
      <c r="I165" s="6"/>
      <c r="J165" s="20">
        <f>-(SUM([1]H9!$Q$53,[1]H9!$X$53)/1000)/J163</f>
        <v>0</v>
      </c>
      <c r="K165" s="20">
        <f>-(SUM([1]H9!$Q$54,[1]H9!$X$54)/1000)/K163</f>
        <v>0</v>
      </c>
      <c r="L165" s="20">
        <f>-(SUM([1]H9!$Q$55,[1]H9!$X$55)/1000)/L163</f>
        <v>0</v>
      </c>
      <c r="M165" s="6"/>
      <c r="N165" s="20">
        <f>0</f>
        <v>0</v>
      </c>
      <c r="O165" s="20">
        <f>0</f>
        <v>0</v>
      </c>
      <c r="P165" s="20">
        <f>0</f>
        <v>0</v>
      </c>
      <c r="Q165" s="6"/>
      <c r="R165" s="20">
        <f>-(SUM([1]H9!$EO$53,[1]H9!$EV$53)/1000)/R163</f>
        <v>0</v>
      </c>
      <c r="S165" s="20">
        <f>-(SUM([1]H9!$EO$54,[1]H9!$EV$54)/1000)/S163</f>
        <v>0</v>
      </c>
      <c r="T165" s="20">
        <f>-(SUM([1]H9!$EO$55,[1]H9!$EV$55)/1000)/T163</f>
        <v>0</v>
      </c>
    </row>
    <row r="166" spans="2:20" ht="19.5" hidden="1" customHeight="1" outlineLevel="1" x14ac:dyDescent="0.25">
      <c r="B166" s="204"/>
      <c r="C166" s="9"/>
      <c r="D166" s="14" t="s">
        <v>94</v>
      </c>
      <c r="E166" s="6"/>
      <c r="F166" s="20">
        <f>0</f>
        <v>0</v>
      </c>
      <c r="G166" s="20">
        <f>0</f>
        <v>0</v>
      </c>
      <c r="H166" s="20">
        <f>0</f>
        <v>0</v>
      </c>
      <c r="I166" s="6"/>
      <c r="J166" s="20">
        <f>-(SUM([1]H9!$P$53,[1]H9!$W$53)/1000)/J163</f>
        <v>0</v>
      </c>
      <c r="K166" s="20">
        <f>-(SUM([1]H9!$P$54,[1]H9!$W$54)/1000)/K163</f>
        <v>0</v>
      </c>
      <c r="L166" s="20">
        <f>-(SUM([1]H9!$P$55,[1]H9!$W$55)/1000)/L163</f>
        <v>0</v>
      </c>
      <c r="M166" s="6"/>
      <c r="N166" s="20">
        <f>0</f>
        <v>0</v>
      </c>
      <c r="O166" s="20">
        <f>0</f>
        <v>0</v>
      </c>
      <c r="P166" s="20">
        <f>0</f>
        <v>0</v>
      </c>
      <c r="Q166" s="6"/>
      <c r="R166" s="20">
        <f>-(SUM([1]H9!$EN$53,[1]H9!$EU$53)/1000)/R163</f>
        <v>0</v>
      </c>
      <c r="S166" s="20">
        <f>-(SUM([1]H9!$EN$54,[1]H9!$EU$54)/1000)/S163</f>
        <v>0</v>
      </c>
      <c r="T166" s="20">
        <f>-(SUM([1]H9!$EN$55,[1]H9!$EU$55)/1000)/T163</f>
        <v>0</v>
      </c>
    </row>
    <row r="167" spans="2:20" ht="19.5" hidden="1" customHeight="1" outlineLevel="2" x14ac:dyDescent="0.25">
      <c r="B167" s="204"/>
      <c r="C167" s="9"/>
      <c r="D167" s="14" t="s">
        <v>95</v>
      </c>
      <c r="E167" s="7"/>
      <c r="F167" s="20">
        <v>-0.76858040198798272</v>
      </c>
      <c r="G167" s="20">
        <v>-2.335659724695354E-3</v>
      </c>
      <c r="H167" s="20">
        <v>0.20755285761585987</v>
      </c>
      <c r="I167" s="7"/>
      <c r="J167" s="20">
        <f>+J164+J165+J166</f>
        <v>6.6150798628898361E-2</v>
      </c>
      <c r="K167" s="20">
        <f>+K164+K165+K166</f>
        <v>0.25341876011985398</v>
      </c>
      <c r="L167" s="20">
        <f>+L164+L165+L166</f>
        <v>0.22438315909830681</v>
      </c>
      <c r="M167" s="7"/>
      <c r="N167" s="20">
        <v>-0.76858040198798272</v>
      </c>
      <c r="O167" s="20">
        <v>-2.335659724695354E-3</v>
      </c>
      <c r="P167" s="20">
        <v>0.20755285761585987</v>
      </c>
      <c r="Q167" s="7"/>
      <c r="R167" s="20">
        <f>+R164+R165+R166</f>
        <v>0.58614046924880303</v>
      </c>
      <c r="S167" s="20">
        <f>+S164+S165+S166</f>
        <v>0.26294391993419047</v>
      </c>
      <c r="T167" s="20">
        <f>+T164+T165+T166</f>
        <v>0.22438315909830678</v>
      </c>
    </row>
    <row r="168" spans="2:20" ht="20.149999999999999" hidden="1" customHeight="1" outlineLevel="1" x14ac:dyDescent="0.25">
      <c r="B168" s="204"/>
      <c r="C168" s="9"/>
      <c r="D168" s="14" t="s">
        <v>96</v>
      </c>
      <c r="E168" s="7"/>
      <c r="F168" s="20">
        <v>-2.4574701101379057</v>
      </c>
      <c r="G168" s="20">
        <v>4.1963995651356077E-2</v>
      </c>
      <c r="H168" s="20">
        <v>0</v>
      </c>
      <c r="I168" s="7"/>
      <c r="J168" s="20">
        <f>-(SUM([1]H9!$AC$53:$AK$53)/1000)/J163</f>
        <v>-0.23408920832680927</v>
      </c>
      <c r="K168" s="20">
        <f>-(SUM([1]H9!$AC$54:$AK$54)/1000)/K163</f>
        <v>-0.7057740393519939</v>
      </c>
      <c r="L168" s="20">
        <f>-(SUM([1]H9!$AC$55:$AK$55)/1000)/L163</f>
        <v>-4.2990147566392498E-3</v>
      </c>
      <c r="M168" s="7"/>
      <c r="N168" s="20">
        <v>-2.4574701101379057</v>
      </c>
      <c r="O168" s="20">
        <v>4.1963995651356077E-2</v>
      </c>
      <c r="P168" s="20">
        <v>0</v>
      </c>
      <c r="Q168" s="7"/>
      <c r="R168" s="20">
        <f>-(SUM([1]H9!$FA$53:$FI$53)/1000)/R163</f>
        <v>-0.86722328330156218</v>
      </c>
      <c r="S168" s="20">
        <f>-(SUM([1]H9!$FA$54:$FI$54)/1000)/S163</f>
        <v>-4.9190529635522597E-2</v>
      </c>
      <c r="T168" s="20">
        <f>-(SUM([1]H9!$FA$55:$FI$55)/1000)/T163</f>
        <v>-4.2990147566392507E-3</v>
      </c>
    </row>
    <row r="169" spans="2:20" ht="20.149999999999999" hidden="1" customHeight="1" outlineLevel="2" x14ac:dyDescent="0.25">
      <c r="B169" s="204"/>
      <c r="C169" s="9"/>
      <c r="D169" s="15" t="s">
        <v>87</v>
      </c>
      <c r="E169" s="7"/>
      <c r="F169" s="20" t="e">
        <v>#VALUE!</v>
      </c>
      <c r="G169" s="20">
        <v>0.69392591637496137</v>
      </c>
      <c r="H169" s="20">
        <v>0</v>
      </c>
      <c r="I169" s="7"/>
      <c r="J169" s="20">
        <f>-(SUM([1]H9!$AL$53:$AN$53)/1000)/J163</f>
        <v>0.18485891673580854</v>
      </c>
      <c r="K169" s="20">
        <f>-(SUM([1]H9!$AL$54:$AN$54)/1000)/K163</f>
        <v>0.18949596432003271</v>
      </c>
      <c r="L169" s="20">
        <f>-(SUM([1]H9!$AL$55:$AN$55)/1000)/L163</f>
        <v>0.18855070362418175</v>
      </c>
      <c r="M169" s="7"/>
      <c r="N169" s="20" t="e">
        <v>#VALUE!</v>
      </c>
      <c r="O169" s="20">
        <v>0.69392591637496137</v>
      </c>
      <c r="P169" s="20">
        <v>0</v>
      </c>
      <c r="Q169" s="7"/>
      <c r="R169" s="20">
        <f>-(SUM([1]H9!$FJ$53:$FL$53)/1000)/R163</f>
        <v>0.20195457228640054</v>
      </c>
      <c r="S169" s="20">
        <f>-(SUM([1]H9!$FJ$54:$FL$54)/1000)/S163</f>
        <v>0.19024110111941547</v>
      </c>
      <c r="T169" s="20">
        <f>-(SUM([1]H9!$FJ$55:$FL$55)/1000)/T163</f>
        <v>0.18855070362418172</v>
      </c>
    </row>
    <row r="170" spans="2:20" ht="20.149999999999999" hidden="1" customHeight="1" outlineLevel="2" x14ac:dyDescent="0.25">
      <c r="B170" s="204"/>
      <c r="C170" s="9"/>
      <c r="D170" s="15" t="s">
        <v>88</v>
      </c>
      <c r="E170" s="7"/>
      <c r="F170" s="20">
        <v>-5.5305411745979018</v>
      </c>
      <c r="G170" s="20">
        <v>-0.23070346739757674</v>
      </c>
      <c r="H170" s="20">
        <v>0.26671487523132692</v>
      </c>
      <c r="I170" s="7"/>
      <c r="J170" s="20">
        <f>-(SUM([1]H9!$AO$53:$AR$53)/1000)/J163</f>
        <v>1.5316712948299427E-2</v>
      </c>
      <c r="K170" s="20">
        <f>-(SUM([1]H9!$AO$54:$AR$54)/1000)/K163</f>
        <v>3.8557777630064932E-2</v>
      </c>
      <c r="L170" s="20">
        <f>-(SUM([1]H9!$AO$55:$AR$55)/1000)/L163</f>
        <v>4.2424629812389508E-2</v>
      </c>
      <c r="M170" s="7"/>
      <c r="N170" s="20">
        <v>-5.5305411745979018</v>
      </c>
      <c r="O170" s="20">
        <v>-0.23070346739757674</v>
      </c>
      <c r="P170" s="20">
        <v>0.26671487523132692</v>
      </c>
      <c r="Q170" s="7"/>
      <c r="R170" s="20">
        <f>-(SUM([1]H9!$FM$53:$FP$53)/1000)/R163</f>
        <v>0.16389227351473537</v>
      </c>
      <c r="S170" s="20">
        <f>-(SUM([1]H9!$FM$54:$FP$54)/1000)/S163</f>
        <v>3.6220006549544395E-2</v>
      </c>
      <c r="T170" s="20">
        <f>-(SUM([1]H9!$FM$55:$FP$55)/1000)/T163</f>
        <v>4.2424629812389508E-2</v>
      </c>
    </row>
    <row r="171" spans="2:20" ht="20.149999999999999" hidden="1" customHeight="1" outlineLevel="1" x14ac:dyDescent="0.25">
      <c r="B171" s="204"/>
      <c r="C171" s="9"/>
      <c r="D171" s="14" t="s">
        <v>97</v>
      </c>
      <c r="E171" s="7"/>
      <c r="F171" s="20" t="e">
        <v>#VALUE!</v>
      </c>
      <c r="G171" s="20">
        <v>0.46322244897738468</v>
      </c>
      <c r="H171" s="20">
        <v>0.26671487523132692</v>
      </c>
      <c r="I171" s="7"/>
      <c r="J171" s="20">
        <f>+J169+J170</f>
        <v>0.20017562968410796</v>
      </c>
      <c r="K171" s="20">
        <f>+K169+K170</f>
        <v>0.22805374195009764</v>
      </c>
      <c r="L171" s="20">
        <f>+L169+L170</f>
        <v>0.23097533343657126</v>
      </c>
      <c r="M171" s="7"/>
      <c r="N171" s="20" t="e">
        <v>#VALUE!</v>
      </c>
      <c r="O171" s="20">
        <v>0.46322244897738468</v>
      </c>
      <c r="P171" s="20">
        <v>0.26671487523132692</v>
      </c>
      <c r="Q171" s="7"/>
      <c r="R171" s="20">
        <f>+R169+R170</f>
        <v>0.36584684580113591</v>
      </c>
      <c r="S171" s="20">
        <f>+S169+S170</f>
        <v>0.22646110766895988</v>
      </c>
      <c r="T171" s="20">
        <f>+T169+T170</f>
        <v>0.23097533343657123</v>
      </c>
    </row>
    <row r="172" spans="2:20" ht="20.149999999999999" hidden="1" customHeight="1" outlineLevel="1" x14ac:dyDescent="0.25">
      <c r="B172" s="204"/>
      <c r="C172" s="9"/>
      <c r="D172" s="14" t="s">
        <v>90</v>
      </c>
      <c r="E172" s="7"/>
      <c r="F172" s="20"/>
      <c r="G172" s="20"/>
      <c r="H172" s="20"/>
      <c r="I172" s="7"/>
      <c r="J172" s="20">
        <f>-(SUM([1]H9!$AT$53:$BJ$53)/1000/J163)</f>
        <v>7.3096520752052654E-3</v>
      </c>
      <c r="K172" s="20">
        <f>-(SUM([1]H9!$AT$54:$BJ$54)/1000/K163)</f>
        <v>1.1326053384427636E-2</v>
      </c>
      <c r="L172" s="20">
        <f>-(SUM([1]H9!$AT$55:$BJ$55)/1000/L163)</f>
        <v>4.2697306314571401E-2</v>
      </c>
      <c r="M172" s="7"/>
      <c r="N172" s="20"/>
      <c r="O172" s="20"/>
      <c r="P172" s="20"/>
      <c r="Q172" s="7"/>
      <c r="R172" s="20">
        <f>-(SUM([1]H9!$FR$53:$GH$53)/1000/R163)</f>
        <v>4.7261618715329121E-2</v>
      </c>
      <c r="S172" s="20">
        <f>-(SUM([1]H9!$FR$54:$GH$54)/1000/S163)</f>
        <v>1.4459444554173535E-2</v>
      </c>
      <c r="T172" s="20">
        <f>-(SUM([1]H9!$FR$55:$GH$55)/1000/T163)</f>
        <v>4.2697306314571408E-2</v>
      </c>
    </row>
    <row r="173" spans="2:20" ht="20.149999999999999" hidden="1" customHeight="1" outlineLevel="1" x14ac:dyDescent="0.25">
      <c r="B173" s="204"/>
      <c r="C173" s="9"/>
      <c r="D173" s="14" t="s">
        <v>79</v>
      </c>
      <c r="E173" s="8"/>
      <c r="F173" s="20" t="e">
        <v>#VALUE!</v>
      </c>
      <c r="G173" s="20">
        <v>0.50285078490404533</v>
      </c>
      <c r="H173" s="20">
        <v>0.47426773284718676</v>
      </c>
      <c r="I173" s="8"/>
      <c r="J173" s="20">
        <f>+J167+J168+J171+J172</f>
        <v>3.9546872061402318E-2</v>
      </c>
      <c r="K173" s="20">
        <f>+K167+K168+K171+K172</f>
        <v>-0.21297548389761464</v>
      </c>
      <c r="L173" s="20">
        <f>+L167+L168+L171+L172</f>
        <v>0.49375678409281026</v>
      </c>
      <c r="M173" s="8"/>
      <c r="N173" s="20" t="e">
        <v>#VALUE!</v>
      </c>
      <c r="O173" s="20">
        <v>0.50285078490404533</v>
      </c>
      <c r="P173" s="20">
        <v>0.47426773284718676</v>
      </c>
      <c r="Q173" s="8"/>
      <c r="R173" s="20">
        <f>+R167+R168+R171+R172</f>
        <v>0.1320256504637059</v>
      </c>
      <c r="S173" s="20">
        <f>+S167+S168+S171+S172</f>
        <v>0.45467394252180132</v>
      </c>
      <c r="T173" s="20">
        <f>+T167+T168+T171+T172</f>
        <v>0.49375678409281015</v>
      </c>
    </row>
    <row r="174" spans="2:20" ht="19.5" hidden="1" customHeight="1" outlineLevel="1" x14ac:dyDescent="0.25">
      <c r="B174" s="204"/>
      <c r="C174" s="9"/>
      <c r="D174" s="14" t="s">
        <v>34</v>
      </c>
      <c r="E174" s="6"/>
      <c r="F174" s="19">
        <v>1.0582190099999995</v>
      </c>
      <c r="G174" s="19">
        <v>-1.3838959700000022</v>
      </c>
      <c r="H174" s="19">
        <v>0.27776131389680048</v>
      </c>
      <c r="I174" s="6"/>
      <c r="J174" s="19">
        <f>+[1]H9!$BK$53/1000</f>
        <v>0.89355167999999985</v>
      </c>
      <c r="K174" s="19">
        <f>+[1]H9!$BK$54/1000</f>
        <v>0.46989244999999991</v>
      </c>
      <c r="L174" s="19">
        <f>+[1]H9!$BK$55/1000</f>
        <v>0.21174512656895575</v>
      </c>
      <c r="M174" s="6"/>
      <c r="N174" s="19">
        <v>1.0582190099999995</v>
      </c>
      <c r="O174" s="19">
        <v>-1.3838959700000022</v>
      </c>
      <c r="P174" s="19">
        <v>0.27776131389680048</v>
      </c>
      <c r="Q174" s="6"/>
      <c r="R174" s="19">
        <f>+[1]H9!$GI$53/1000</f>
        <v>2.796688000000001E-2</v>
      </c>
      <c r="S174" s="19">
        <f>+[1]H9!$GI$54/1000</f>
        <v>7.0156290000000024E-2</v>
      </c>
      <c r="T174" s="19">
        <f>+[1]H9!$GI$55/1000</f>
        <v>7.0581708856318551E-2</v>
      </c>
    </row>
    <row r="175" spans="2:20" ht="7.5" hidden="1" customHeight="1" outlineLevel="1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2:20" ht="19.5" customHeight="1" collapsed="1" x14ac:dyDescent="0.25">
      <c r="B176" s="224" t="s">
        <v>46</v>
      </c>
      <c r="C176" s="9"/>
      <c r="D176" s="17" t="s">
        <v>19</v>
      </c>
      <c r="E176" s="6"/>
      <c r="F176" s="23">
        <v>0</v>
      </c>
      <c r="G176" s="23">
        <v>0</v>
      </c>
      <c r="H176" s="23">
        <v>0</v>
      </c>
      <c r="I176" s="6"/>
      <c r="J176" s="23"/>
      <c r="K176" s="23"/>
      <c r="L176" s="23"/>
      <c r="M176" s="6"/>
      <c r="N176" s="23">
        <v>0</v>
      </c>
      <c r="O176" s="23">
        <v>0</v>
      </c>
      <c r="P176" s="23">
        <v>0</v>
      </c>
      <c r="Q176" s="6"/>
      <c r="R176" s="23"/>
      <c r="S176" s="23"/>
      <c r="T176" s="23"/>
    </row>
    <row r="177" spans="2:20" ht="20.149999999999999" customHeight="1" x14ac:dyDescent="0.25">
      <c r="B177" s="224"/>
      <c r="C177" s="9"/>
      <c r="D177" s="17" t="s">
        <v>20</v>
      </c>
      <c r="E177" s="6"/>
      <c r="F177" s="23">
        <v>0</v>
      </c>
      <c r="G177" s="23">
        <v>0</v>
      </c>
      <c r="H177" s="23">
        <v>0</v>
      </c>
      <c r="I177" s="6"/>
      <c r="J177" s="23"/>
      <c r="K177" s="23"/>
      <c r="L177" s="23"/>
      <c r="M177" s="6"/>
      <c r="N177" s="23">
        <v>0</v>
      </c>
      <c r="O177" s="23">
        <v>0</v>
      </c>
      <c r="P177" s="23">
        <v>0</v>
      </c>
      <c r="Q177" s="6"/>
      <c r="R177" s="23"/>
      <c r="S177" s="23"/>
      <c r="T177" s="23"/>
    </row>
    <row r="178" spans="2:20" ht="19.5" customHeight="1" x14ac:dyDescent="0.25">
      <c r="B178" s="224"/>
      <c r="C178" s="9"/>
      <c r="D178" s="17" t="s">
        <v>92</v>
      </c>
      <c r="E178" s="6"/>
      <c r="F178" s="24">
        <f>0</f>
        <v>0</v>
      </c>
      <c r="G178" s="24">
        <f>0</f>
        <v>0</v>
      </c>
      <c r="H178" s="24">
        <f>0</f>
        <v>0</v>
      </c>
      <c r="I178" s="6"/>
      <c r="J178" s="24"/>
      <c r="K178" s="24"/>
      <c r="L178" s="24"/>
      <c r="M178" s="6"/>
      <c r="N178" s="24">
        <f>0</f>
        <v>0</v>
      </c>
      <c r="O178" s="24">
        <f>0</f>
        <v>0</v>
      </c>
      <c r="P178" s="24">
        <f>0</f>
        <v>0</v>
      </c>
      <c r="Q178" s="6"/>
      <c r="R178" s="24"/>
      <c r="S178" s="24"/>
      <c r="T178" s="24"/>
    </row>
    <row r="179" spans="2:20" ht="19.5" customHeight="1" x14ac:dyDescent="0.25">
      <c r="B179" s="224"/>
      <c r="C179" s="9"/>
      <c r="D179" s="17" t="s">
        <v>93</v>
      </c>
      <c r="E179" s="6"/>
      <c r="F179" s="24">
        <f>0</f>
        <v>0</v>
      </c>
      <c r="G179" s="24">
        <f>0</f>
        <v>0</v>
      </c>
      <c r="H179" s="24">
        <f>0</f>
        <v>0</v>
      </c>
      <c r="I179" s="6"/>
      <c r="J179" s="24"/>
      <c r="K179" s="24"/>
      <c r="L179" s="24"/>
      <c r="M179" s="6"/>
      <c r="N179" s="24">
        <f>0</f>
        <v>0</v>
      </c>
      <c r="O179" s="24">
        <f>0</f>
        <v>0</v>
      </c>
      <c r="P179" s="24">
        <f>0</f>
        <v>0</v>
      </c>
      <c r="Q179" s="6"/>
      <c r="R179" s="24"/>
      <c r="S179" s="24"/>
      <c r="T179" s="24"/>
    </row>
    <row r="180" spans="2:20" ht="19.5" customHeight="1" x14ac:dyDescent="0.25">
      <c r="B180" s="224"/>
      <c r="C180" s="9"/>
      <c r="D180" s="17" t="s">
        <v>94</v>
      </c>
      <c r="E180" s="6"/>
      <c r="F180" s="24">
        <f>0</f>
        <v>0</v>
      </c>
      <c r="G180" s="24">
        <f>0</f>
        <v>0</v>
      </c>
      <c r="H180" s="24">
        <f>0</f>
        <v>0</v>
      </c>
      <c r="I180" s="6"/>
      <c r="J180" s="24"/>
      <c r="K180" s="24"/>
      <c r="L180" s="24"/>
      <c r="M180" s="6"/>
      <c r="N180" s="24">
        <f>0</f>
        <v>0</v>
      </c>
      <c r="O180" s="24">
        <f>0</f>
        <v>0</v>
      </c>
      <c r="P180" s="24">
        <f>0</f>
        <v>0</v>
      </c>
      <c r="Q180" s="6"/>
      <c r="R180" s="24"/>
      <c r="S180" s="24"/>
      <c r="T180" s="24"/>
    </row>
    <row r="181" spans="2:20" ht="19.5" customHeight="1" outlineLevel="1" x14ac:dyDescent="0.25">
      <c r="B181" s="224"/>
      <c r="C181" s="9"/>
      <c r="D181" s="17" t="s">
        <v>95</v>
      </c>
      <c r="E181" s="7"/>
      <c r="F181" s="24">
        <v>0</v>
      </c>
      <c r="G181" s="24">
        <v>0</v>
      </c>
      <c r="H181" s="24">
        <v>0</v>
      </c>
      <c r="I181" s="7"/>
      <c r="J181" s="24"/>
      <c r="K181" s="24"/>
      <c r="L181" s="24"/>
      <c r="M181" s="7"/>
      <c r="N181" s="24">
        <v>0</v>
      </c>
      <c r="O181" s="24">
        <v>0</v>
      </c>
      <c r="P181" s="24">
        <v>0</v>
      </c>
      <c r="Q181" s="7"/>
      <c r="R181" s="24"/>
      <c r="S181" s="24"/>
      <c r="T181" s="24"/>
    </row>
    <row r="182" spans="2:20" ht="20.149999999999999" customHeight="1" x14ac:dyDescent="0.25">
      <c r="B182" s="224"/>
      <c r="C182" s="9"/>
      <c r="D182" s="17" t="s">
        <v>96</v>
      </c>
      <c r="E182" s="7"/>
      <c r="F182" s="24">
        <v>0</v>
      </c>
      <c r="G182" s="24">
        <v>0</v>
      </c>
      <c r="H182" s="24">
        <v>0</v>
      </c>
      <c r="I182" s="7"/>
      <c r="J182" s="24"/>
      <c r="K182" s="24"/>
      <c r="L182" s="24"/>
      <c r="M182" s="7"/>
      <c r="N182" s="24">
        <v>0</v>
      </c>
      <c r="O182" s="24">
        <v>0</v>
      </c>
      <c r="P182" s="24">
        <v>0</v>
      </c>
      <c r="Q182" s="7"/>
      <c r="R182" s="24"/>
      <c r="S182" s="24"/>
      <c r="T182" s="24"/>
    </row>
    <row r="183" spans="2:20" ht="20.149999999999999" customHeight="1" outlineLevel="1" x14ac:dyDescent="0.25">
      <c r="B183" s="224"/>
      <c r="C183" s="9"/>
      <c r="D183" s="18" t="s">
        <v>87</v>
      </c>
      <c r="E183" s="7"/>
      <c r="F183" s="24">
        <v>0</v>
      </c>
      <c r="G183" s="24">
        <v>0</v>
      </c>
      <c r="H183" s="24">
        <v>0</v>
      </c>
      <c r="I183" s="7"/>
      <c r="J183" s="24"/>
      <c r="K183" s="24"/>
      <c r="L183" s="24"/>
      <c r="M183" s="7"/>
      <c r="N183" s="24">
        <v>0</v>
      </c>
      <c r="O183" s="24">
        <v>0</v>
      </c>
      <c r="P183" s="24">
        <v>0</v>
      </c>
      <c r="Q183" s="7"/>
      <c r="R183" s="24"/>
      <c r="S183" s="24"/>
      <c r="T183" s="24"/>
    </row>
    <row r="184" spans="2:20" ht="20.149999999999999" customHeight="1" outlineLevel="1" x14ac:dyDescent="0.25">
      <c r="B184" s="224"/>
      <c r="C184" s="9"/>
      <c r="D184" s="18" t="s">
        <v>88</v>
      </c>
      <c r="E184" s="7"/>
      <c r="F184" s="24">
        <v>0</v>
      </c>
      <c r="G184" s="24">
        <v>0</v>
      </c>
      <c r="H184" s="24">
        <v>0</v>
      </c>
      <c r="I184" s="7"/>
      <c r="J184" s="24"/>
      <c r="K184" s="24"/>
      <c r="L184" s="24"/>
      <c r="M184" s="7"/>
      <c r="N184" s="24">
        <v>0</v>
      </c>
      <c r="O184" s="24">
        <v>0</v>
      </c>
      <c r="P184" s="24">
        <v>0</v>
      </c>
      <c r="Q184" s="7"/>
      <c r="R184" s="24"/>
      <c r="S184" s="24"/>
      <c r="T184" s="24"/>
    </row>
    <row r="185" spans="2:20" ht="20.149999999999999" customHeight="1" x14ac:dyDescent="0.25">
      <c r="B185" s="224"/>
      <c r="C185" s="9"/>
      <c r="D185" s="17" t="s">
        <v>97</v>
      </c>
      <c r="E185" s="7"/>
      <c r="F185" s="24">
        <v>0</v>
      </c>
      <c r="G185" s="24">
        <v>0</v>
      </c>
      <c r="H185" s="24">
        <v>0</v>
      </c>
      <c r="I185" s="7"/>
      <c r="J185" s="24"/>
      <c r="K185" s="24"/>
      <c r="L185" s="24"/>
      <c r="M185" s="7"/>
      <c r="N185" s="24">
        <v>0</v>
      </c>
      <c r="O185" s="24">
        <v>0</v>
      </c>
      <c r="P185" s="24">
        <v>0</v>
      </c>
      <c r="Q185" s="7"/>
      <c r="R185" s="24"/>
      <c r="S185" s="24"/>
      <c r="T185" s="24"/>
    </row>
    <row r="186" spans="2:20" ht="20.149999999999999" customHeight="1" x14ac:dyDescent="0.25">
      <c r="B186" s="224"/>
      <c r="C186" s="9"/>
      <c r="D186" s="17" t="s">
        <v>90</v>
      </c>
      <c r="E186" s="7"/>
      <c r="F186" s="24"/>
      <c r="G186" s="24"/>
      <c r="H186" s="24"/>
      <c r="I186" s="7"/>
      <c r="J186" s="24"/>
      <c r="K186" s="24"/>
      <c r="L186" s="24"/>
      <c r="M186" s="7"/>
      <c r="N186" s="24"/>
      <c r="O186" s="24"/>
      <c r="P186" s="24"/>
      <c r="Q186" s="7"/>
      <c r="R186" s="24"/>
      <c r="S186" s="24"/>
      <c r="T186" s="24"/>
    </row>
    <row r="187" spans="2:20" ht="20.149999999999999" customHeight="1" x14ac:dyDescent="0.25">
      <c r="B187" s="224"/>
      <c r="C187" s="9"/>
      <c r="D187" s="17" t="s">
        <v>79</v>
      </c>
      <c r="E187" s="8"/>
      <c r="F187" s="24">
        <v>0</v>
      </c>
      <c r="G187" s="24">
        <v>0</v>
      </c>
      <c r="H187" s="24">
        <v>0</v>
      </c>
      <c r="I187" s="8"/>
      <c r="J187" s="24"/>
      <c r="K187" s="24"/>
      <c r="L187" s="24"/>
      <c r="M187" s="8"/>
      <c r="N187" s="24">
        <v>0</v>
      </c>
      <c r="O187" s="24">
        <v>0</v>
      </c>
      <c r="P187" s="24">
        <v>0</v>
      </c>
      <c r="Q187" s="8"/>
      <c r="R187" s="24"/>
      <c r="S187" s="24"/>
      <c r="T187" s="24"/>
    </row>
    <row r="188" spans="2:20" ht="19.5" customHeight="1" x14ac:dyDescent="0.25">
      <c r="B188" s="224"/>
      <c r="C188" s="9"/>
      <c r="D188" s="17" t="s">
        <v>34</v>
      </c>
      <c r="E188" s="6"/>
      <c r="F188" s="23">
        <v>0</v>
      </c>
      <c r="G188" s="23">
        <v>0</v>
      </c>
      <c r="H188" s="23">
        <v>0</v>
      </c>
      <c r="I188" s="6"/>
      <c r="J188" s="23"/>
      <c r="K188" s="23"/>
      <c r="L188" s="23"/>
      <c r="M188" s="6"/>
      <c r="N188" s="23">
        <v>0</v>
      </c>
      <c r="O188" s="23">
        <v>0</v>
      </c>
      <c r="P188" s="23">
        <v>0</v>
      </c>
      <c r="Q188" s="6"/>
      <c r="R188" s="23"/>
      <c r="S188" s="23"/>
      <c r="T188" s="23"/>
    </row>
    <row r="189" spans="2:20" ht="7.5" customHeight="1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2:20" ht="19.5" customHeight="1" x14ac:dyDescent="0.25">
      <c r="B190" s="225" t="s">
        <v>108</v>
      </c>
      <c r="C190" s="9"/>
      <c r="D190" s="16" t="s">
        <v>19</v>
      </c>
      <c r="E190" s="6"/>
      <c r="F190" s="25">
        <v>663.1699661099999</v>
      </c>
      <c r="G190" s="25">
        <v>646.55200311999999</v>
      </c>
      <c r="H190" s="25">
        <v>667.75800000000004</v>
      </c>
      <c r="I190" s="6"/>
      <c r="J190" s="25">
        <f>(+[1]H9!$C$61)/1000</f>
        <v>1.8923619999999999</v>
      </c>
      <c r="K190" s="25">
        <f>(+[1]H9!$C$62)/1000</f>
        <v>1.70135163</v>
      </c>
      <c r="L190" s="25">
        <f>(+[1]H9!$C$63)/1000</f>
        <v>1.6033299999999999</v>
      </c>
      <c r="M190" s="6"/>
      <c r="N190" s="25">
        <v>663.1699661099999</v>
      </c>
      <c r="O190" s="25">
        <v>646.55200311999999</v>
      </c>
      <c r="P190" s="25">
        <v>667.75800000000004</v>
      </c>
      <c r="Q190" s="6"/>
      <c r="R190" s="25">
        <f>(+[1]H9!$EA$61)/1000</f>
        <v>0.21419374999999991</v>
      </c>
      <c r="S190" s="25">
        <f>(+[1]H9!$EA$62)/1000</f>
        <v>0.23528170999999998</v>
      </c>
      <c r="T190" s="25">
        <f>(+[1]H9!$EA$63)/1000</f>
        <v>0.24896000000000004</v>
      </c>
    </row>
    <row r="191" spans="2:20" ht="20.149999999999999" customHeight="1" x14ac:dyDescent="0.25">
      <c r="B191" s="225"/>
      <c r="C191" s="9"/>
      <c r="D191" s="16" t="s">
        <v>20</v>
      </c>
      <c r="E191" s="6"/>
      <c r="F191" s="25">
        <v>619.93325228999993</v>
      </c>
      <c r="G191" s="25">
        <v>604.01472775999991</v>
      </c>
      <c r="H191" s="25">
        <v>610.10959537476765</v>
      </c>
      <c r="I191" s="6"/>
      <c r="J191" s="25">
        <f>(+[1]H9!$N$61)/1000</f>
        <v>0.86120008999999975</v>
      </c>
      <c r="K191" s="25">
        <f>(+[1]H9!$N$62)/1000</f>
        <v>0.77956283999999965</v>
      </c>
      <c r="L191" s="25">
        <f>(+[1]H9!$N$63)/1000</f>
        <v>0.8665907897237648</v>
      </c>
      <c r="M191" s="6"/>
      <c r="N191" s="25">
        <v>619.93325228999993</v>
      </c>
      <c r="O191" s="25">
        <v>604.01472775999991</v>
      </c>
      <c r="P191" s="25">
        <v>610.10959537476765</v>
      </c>
      <c r="Q191" s="6"/>
      <c r="R191" s="25">
        <f>(+[1]H9!$EL$61)/1000</f>
        <v>0.30403236999999989</v>
      </c>
      <c r="S191" s="25">
        <f>(+[1]H9!$EL$62)/1000</f>
        <v>0.28457027000000007</v>
      </c>
      <c r="T191" s="25">
        <f>(+[1]H9!$EL$63)/1000</f>
        <v>0.28886359657458832</v>
      </c>
    </row>
    <row r="192" spans="2:20" ht="19.5" customHeight="1" x14ac:dyDescent="0.25">
      <c r="B192" s="225"/>
      <c r="C192" s="9"/>
      <c r="D192" s="16" t="s">
        <v>92</v>
      </c>
      <c r="E192" s="6"/>
      <c r="F192" s="26" t="str">
        <f>IFERROR(F195-F193-F194,"n/a")</f>
        <v>n/a</v>
      </c>
      <c r="G192" s="26" t="str">
        <f>IFERROR(G195-G193-G194,"n/a")</f>
        <v>n/a</v>
      </c>
      <c r="H192" s="26" t="str">
        <f>IFERROR(H195-H193-H194,"n/a")</f>
        <v>n/a</v>
      </c>
      <c r="I192" s="6"/>
      <c r="J192" s="26">
        <f>(-(SUM([1]H9!$O$61,[1]H9!$R$61:$V$61,[1]H9!$Y$61:$AB$61)/1000))/J191</f>
        <v>4.458836041227076E-2</v>
      </c>
      <c r="K192" s="26">
        <f>(-(SUM([1]H9!$O$62,[1]H9!$R$62:$V$62,[1]H9!$Y$62:$AB$62)/1000))/K191</f>
        <v>8.1194993850656136E-2</v>
      </c>
      <c r="L192" s="26">
        <f>(-(SUM([1]H9!$O$63,[1]H9!$R$63:$V$63,[1]H9!$Y$63:$AB$63)/1000))/L191</f>
        <v>8.9793312500998965E-2</v>
      </c>
      <c r="M192" s="6"/>
      <c r="N192" s="26" t="str">
        <f>IFERROR(N195-N193-N194,"n/a")</f>
        <v>n/a</v>
      </c>
      <c r="O192" s="26" t="str">
        <f>IFERROR(O195-O193-O194,"n/a")</f>
        <v>n/a</v>
      </c>
      <c r="P192" s="26" t="str">
        <f>IFERROR(P195-P193-P194,"n/a")</f>
        <v>n/a</v>
      </c>
      <c r="Q192" s="6"/>
      <c r="R192" s="26">
        <f>(-(SUM([1]H9!$EM$61,[1]H9!$EP$61:$ET$61,[1]H9!$EW$61:$EZ$61)/1000))/R191</f>
        <v>4.5462198646808574E-2</v>
      </c>
      <c r="S192" s="26">
        <f>(-(SUM([1]H9!$EM$62,[1]H9!$EP$62:$ET$62,[1]H9!$EW$62:$EZ$62)/1000))/S191</f>
        <v>6.1919996069863495E-2</v>
      </c>
      <c r="T192" s="26">
        <f>(-(SUM([1]H9!$EM$63,[1]H9!$EP$63:$ET$63,[1]H9!$EW$63:$EZ$63)/1000))/T191</f>
        <v>8.9793312500998951E-2</v>
      </c>
    </row>
    <row r="193" spans="2:20" ht="19.5" customHeight="1" x14ac:dyDescent="0.25">
      <c r="B193" s="225"/>
      <c r="C193" s="9"/>
      <c r="D193" s="16" t="s">
        <v>93</v>
      </c>
      <c r="E193" s="6"/>
      <c r="F193" s="26">
        <f>(F179*F177+F109*F107+F95*F93+F53*F51+F11*F9)/F191</f>
        <v>0</v>
      </c>
      <c r="G193" s="26">
        <f>(G179*G177+G109*G107+G95*G93+G53*G51+G11*G9)/G191</f>
        <v>0</v>
      </c>
      <c r="H193" s="26">
        <f>(H179*H177+H109*H107+H95*H93+H53*H51+H11*H9)/H191</f>
        <v>0</v>
      </c>
      <c r="I193" s="6"/>
      <c r="J193" s="26">
        <f>-(SUM([1]H9!$Q$61,[1]H9!$X$61)/1000)/J191</f>
        <v>0</v>
      </c>
      <c r="K193" s="26">
        <f>-(SUM([1]H9!$Q$62,[1]H9!$X$62)/1000)/K191</f>
        <v>0</v>
      </c>
      <c r="L193" s="26">
        <f>-(SUM([1]H9!$Q$63,[1]H9!$X$63)/1000)/L191</f>
        <v>0</v>
      </c>
      <c r="M193" s="6"/>
      <c r="N193" s="26">
        <f>(N179*N177+N109*N107+N95*N93+N53*N51+N11*N9)/N191</f>
        <v>0</v>
      </c>
      <c r="O193" s="26">
        <f>(O179*O177+O109*O107+O95*O93+O53*O51+O11*O9)/O191</f>
        <v>0</v>
      </c>
      <c r="P193" s="26">
        <f>(P179*P177+P109*P107+P95*P93+P53*P51+P11*P9)/P191</f>
        <v>0</v>
      </c>
      <c r="Q193" s="6"/>
      <c r="R193" s="26">
        <f>-(SUM([1]H9!$EO$61,[1]H9!$EV$61)/1000)/R191</f>
        <v>0</v>
      </c>
      <c r="S193" s="26">
        <f>-(SUM([1]H9!$EO$62,[1]H9!$EV$62)/1000)/S191</f>
        <v>0</v>
      </c>
      <c r="T193" s="26">
        <f>-(SUM([1]H9!$EO$63,[1]H9!$EV$63)/1000)/T191</f>
        <v>0</v>
      </c>
    </row>
    <row r="194" spans="2:20" ht="19.5" customHeight="1" x14ac:dyDescent="0.25">
      <c r="B194" s="225"/>
      <c r="C194" s="9"/>
      <c r="D194" s="16" t="s">
        <v>94</v>
      </c>
      <c r="E194" s="6"/>
      <c r="F194" s="26" t="e">
        <f>(F180*F177+F110*F107+F96*F93+F54*F51+F12*F9)/F191</f>
        <v>#VALUE!</v>
      </c>
      <c r="G194" s="26" t="e">
        <f>(G180*G177+G110*G107+G96*G93+G54*G51+G12*G9)/G191</f>
        <v>#VALUE!</v>
      </c>
      <c r="H194" s="26" t="e">
        <f>(H180*H177+H110*H107+H96*H93+H54*H51+H12*H9)/H191</f>
        <v>#VALUE!</v>
      </c>
      <c r="I194" s="6"/>
      <c r="J194" s="26">
        <f>(-(SUM([1]H9!$P$61,[1]H9!$W$61)/1000))/J191</f>
        <v>0</v>
      </c>
      <c r="K194" s="26">
        <f>(-(SUM([1]H9!$P$62,[1]H9!$W$62)/1000))/K191</f>
        <v>0</v>
      </c>
      <c r="L194" s="26">
        <f>(-(SUM([1]H9!$P$63,[1]H9!$W$63)/1000))/L191</f>
        <v>0</v>
      </c>
      <c r="M194" s="6"/>
      <c r="N194" s="26" t="e">
        <f>(N180*N177+N110*N107+N96*N93+N54*N51+N12*N9)/N191</f>
        <v>#VALUE!</v>
      </c>
      <c r="O194" s="26" t="e">
        <f>(O180*O177+O110*O107+O96*O93+O54*O51+O12*O9)/O191</f>
        <v>#VALUE!</v>
      </c>
      <c r="P194" s="26" t="e">
        <f>(P180*P177+P110*P107+P96*P93+P54*P51+P12*P9)/P191</f>
        <v>#VALUE!</v>
      </c>
      <c r="Q194" s="6"/>
      <c r="R194" s="26">
        <f>(-(SUM([1]H9!$EN$61,[1]H9!$EU$61)/1000))/R191</f>
        <v>0</v>
      </c>
      <c r="S194" s="26">
        <f>(-(SUM([1]H9!$EN$62,[1]H9!$EU$62)/1000))/S191</f>
        <v>0</v>
      </c>
      <c r="T194" s="26">
        <f>(-(SUM([1]H9!$EN$63,[1]H9!$EU$63)/1000))/T191</f>
        <v>0</v>
      </c>
    </row>
    <row r="195" spans="2:20" ht="19.5" hidden="1" customHeight="1" outlineLevel="1" x14ac:dyDescent="0.25">
      <c r="B195" s="225"/>
      <c r="C195" s="9"/>
      <c r="D195" s="16" t="s">
        <v>95</v>
      </c>
      <c r="E195" s="7"/>
      <c r="F195" s="26">
        <v>0.63569160649838707</v>
      </c>
      <c r="G195" s="26">
        <v>0.54412843744530481</v>
      </c>
      <c r="H195" s="26">
        <v>0.64915456698178076</v>
      </c>
      <c r="I195" s="7"/>
      <c r="J195" s="26">
        <f>+J192+J193+J194</f>
        <v>4.458836041227076E-2</v>
      </c>
      <c r="K195" s="26">
        <f>+K192+K193+K194</f>
        <v>8.1194993850656136E-2</v>
      </c>
      <c r="L195" s="26">
        <f>+L192+L193+L194</f>
        <v>8.9793312500998965E-2</v>
      </c>
      <c r="M195" s="7"/>
      <c r="N195" s="26">
        <v>0.63569160649838707</v>
      </c>
      <c r="O195" s="26">
        <v>0.54412843744530481</v>
      </c>
      <c r="P195" s="26">
        <v>0.64915456698178076</v>
      </c>
      <c r="Q195" s="7"/>
      <c r="R195" s="26">
        <f>+R192+R193+R194</f>
        <v>4.5462198646808574E-2</v>
      </c>
      <c r="S195" s="26">
        <f>+S192+S193+S194</f>
        <v>6.1919996069863495E-2</v>
      </c>
      <c r="T195" s="26">
        <f>+T192+T193+T194</f>
        <v>8.9793312500998951E-2</v>
      </c>
    </row>
    <row r="196" spans="2:20" ht="20.149999999999999" customHeight="1" collapsed="1" x14ac:dyDescent="0.25">
      <c r="B196" s="225"/>
      <c r="C196" s="9"/>
      <c r="D196" s="16" t="s">
        <v>96</v>
      </c>
      <c r="E196" s="7"/>
      <c r="F196" s="26">
        <v>-3.5901680040206309E-2</v>
      </c>
      <c r="G196" s="26">
        <v>9.3873443136520355E-3</v>
      </c>
      <c r="H196" s="26">
        <v>-1.1883110927876153E-2</v>
      </c>
      <c r="I196" s="7"/>
      <c r="J196" s="26">
        <f>(-(SUM([1]H9!$AC$61:$AK$61)/1000))/J191</f>
        <v>2.660612819954541E-3</v>
      </c>
      <c r="K196" s="26">
        <f>(-(SUM([1]H9!$AC$62:$AK$62)/1000))/K191</f>
        <v>-0.16328754202804238</v>
      </c>
      <c r="L196" s="26">
        <f>(-(SUM([1]H9!$AC$63:$AK$63)/1000))/L191</f>
        <v>-7.4041555494829686E-4</v>
      </c>
      <c r="M196" s="7"/>
      <c r="N196" s="26">
        <v>-3.5901680040206309E-2</v>
      </c>
      <c r="O196" s="26">
        <v>9.3873443136520355E-3</v>
      </c>
      <c r="P196" s="26">
        <v>-1.1883110927876153E-2</v>
      </c>
      <c r="Q196" s="7"/>
      <c r="R196" s="26">
        <f>(-(SUM([1]H9!$FA$61:$FI$61)/1000))/R191</f>
        <v>-4.3581050267772495E-2</v>
      </c>
      <c r="S196" s="26">
        <f>(-(SUM([1]H9!$FA$62:$FI$62)/1000))/S191</f>
        <v>-0.29902891823520422</v>
      </c>
      <c r="T196" s="26">
        <f>(-(SUM([1]H9!$FA$63:$FI$63)/1000))/T191</f>
        <v>-7.4041555494829664E-4</v>
      </c>
    </row>
    <row r="197" spans="2:20" ht="20.149999999999999" hidden="1" customHeight="1" outlineLevel="1" x14ac:dyDescent="0.25">
      <c r="B197" s="225"/>
      <c r="C197" s="9"/>
      <c r="D197" s="13" t="s">
        <v>87</v>
      </c>
      <c r="E197" s="7"/>
      <c r="F197" s="26">
        <v>0.13643040047871993</v>
      </c>
      <c r="G197" s="26">
        <v>0.13366121748289339</v>
      </c>
      <c r="H197" s="26">
        <v>0.13661633561685846</v>
      </c>
      <c r="I197" s="7"/>
      <c r="J197" s="26">
        <f>(-(SUM([1]H9!$AL$61:$AN$61)/1000))/J191</f>
        <v>0.18386909365046644</v>
      </c>
      <c r="K197" s="26">
        <f>(-(SUM([1]H9!$AL$62:$AN$62)/1000))/K191</f>
        <v>0.1745966239232235</v>
      </c>
      <c r="L197" s="26">
        <f>(-(SUM([1]H9!$AL$63:$AN$63)/1000))/L191</f>
        <v>0.18666085656704579</v>
      </c>
      <c r="M197" s="7"/>
      <c r="N197" s="26">
        <v>0.13643040047871993</v>
      </c>
      <c r="O197" s="26">
        <v>0.13366121748289339</v>
      </c>
      <c r="P197" s="26">
        <v>0.13661633561685846</v>
      </c>
      <c r="Q197" s="7"/>
      <c r="R197" s="26">
        <f>(-(SUM([1]H9!$FJ$61:$FL$61)/1000))/R191</f>
        <v>0.18382384744098149</v>
      </c>
      <c r="S197" s="26">
        <f>(-(SUM([1]H9!$FJ$62:$FL$62)/1000))/S191</f>
        <v>0.17437186955615569</v>
      </c>
      <c r="T197" s="26">
        <f>(-(SUM([1]H9!$FJ$63:$FL$63)/1000))/T191</f>
        <v>0.18666085656704576</v>
      </c>
    </row>
    <row r="198" spans="2:20" ht="20.149999999999999" hidden="1" customHeight="1" outlineLevel="1" x14ac:dyDescent="0.25">
      <c r="B198" s="225"/>
      <c r="C198" s="9"/>
      <c r="D198" s="13" t="s">
        <v>88</v>
      </c>
      <c r="E198" s="7"/>
      <c r="F198" s="26">
        <v>0.11982971375642451</v>
      </c>
      <c r="G198" s="26">
        <v>0.12707969296486946</v>
      </c>
      <c r="H198" s="26">
        <v>0.12094511823519646</v>
      </c>
      <c r="I198" s="7"/>
      <c r="J198" s="26">
        <f>(-(SUM([1]H9!$AO$61:$AR$61)/1000))/J191</f>
        <v>0.1018481082601838</v>
      </c>
      <c r="K198" s="26">
        <f>(-(SUM([1]H9!$AO$62:$AR$62)/1000))/K191</f>
        <v>8.1549192365300574E-2</v>
      </c>
      <c r="L198" s="26">
        <f>(-(SUM([1]H9!$AO$63:$AR$63)/1000))/L191</f>
        <v>0.12021551489692811</v>
      </c>
      <c r="M198" s="7"/>
      <c r="N198" s="26">
        <v>0.11982971375642451</v>
      </c>
      <c r="O198" s="26">
        <v>0.12707969296486946</v>
      </c>
      <c r="P198" s="26">
        <v>0.12094511823519646</v>
      </c>
      <c r="Q198" s="7"/>
      <c r="R198" s="26">
        <f>(-(SUM([1]H9!$FM$61:$FP$61)/1000))/R191</f>
        <v>0.11578865763536961</v>
      </c>
      <c r="S198" s="26">
        <f>(-(SUM([1]H9!$FM$62:$FP$62)/1000))/S191</f>
        <v>7.424313861036852E-2</v>
      </c>
      <c r="T198" s="26">
        <f>(-(SUM([1]H9!$FM$63:$FP$63)/1000))/T191</f>
        <v>0.12021551489692808</v>
      </c>
    </row>
    <row r="199" spans="2:20" ht="20.149999999999999" customHeight="1" collapsed="1" x14ac:dyDescent="0.25">
      <c r="B199" s="225"/>
      <c r="C199" s="9"/>
      <c r="D199" s="16" t="s">
        <v>97</v>
      </c>
      <c r="E199" s="7"/>
      <c r="F199" s="26">
        <v>0.25626011423514444</v>
      </c>
      <c r="G199" s="26">
        <v>0.26074091044776282</v>
      </c>
      <c r="H199" s="26">
        <v>0.25756145385205492</v>
      </c>
      <c r="I199" s="7"/>
      <c r="J199" s="26">
        <f>+J197+J198</f>
        <v>0.28571720191065025</v>
      </c>
      <c r="K199" s="26">
        <f>+K197+K198</f>
        <v>0.25614581628852406</v>
      </c>
      <c r="L199" s="26">
        <f>+L197+L198</f>
        <v>0.3068763714639739</v>
      </c>
      <c r="M199" s="7"/>
      <c r="N199" s="26">
        <v>0.25626011423514444</v>
      </c>
      <c r="O199" s="26">
        <v>0.26074091044776282</v>
      </c>
      <c r="P199" s="26">
        <v>0.25756145385205492</v>
      </c>
      <c r="Q199" s="7"/>
      <c r="R199" s="26">
        <f>+R197+R198</f>
        <v>0.29961250507635107</v>
      </c>
      <c r="S199" s="26">
        <f>+S197+S198</f>
        <v>0.24861500816652421</v>
      </c>
      <c r="T199" s="26">
        <f>+T197+T198</f>
        <v>0.30687637146397384</v>
      </c>
    </row>
    <row r="200" spans="2:20" ht="20.149999999999999" customHeight="1" x14ac:dyDescent="0.25">
      <c r="B200" s="225"/>
      <c r="C200" s="9"/>
      <c r="D200" s="16" t="s">
        <v>90</v>
      </c>
      <c r="E200" s="7"/>
      <c r="F200" s="26"/>
      <c r="G200" s="26"/>
      <c r="H200" s="26"/>
      <c r="I200" s="7"/>
      <c r="J200" s="26">
        <f>(-(SUM([1]H9!$AT$61:$BJ$61)/1000))/J191</f>
        <v>0</v>
      </c>
      <c r="K200" s="26">
        <f>(-(SUM([1]H9!$AT$62:$BJ$62)/1000))/K191</f>
        <v>0</v>
      </c>
      <c r="L200" s="26">
        <f>(-(SUM([1]H9!$AT$63:$BJ$63)/1000))/L191</f>
        <v>0</v>
      </c>
      <c r="M200" s="7"/>
      <c r="N200" s="26"/>
      <c r="O200" s="26"/>
      <c r="P200" s="26"/>
      <c r="Q200" s="7"/>
      <c r="R200" s="26">
        <f>(-(SUM([1]H9!$FR$61:$GH$61)/1000))/R191</f>
        <v>0</v>
      </c>
      <c r="S200" s="26">
        <f>(-(SUM([1]H9!$FR$62:$GH$62)/1000))/S191</f>
        <v>0</v>
      </c>
      <c r="T200" s="26">
        <f>(-(SUM([1]H9!$FR$63:$GH$63)/1000))/T191</f>
        <v>0</v>
      </c>
    </row>
    <row r="201" spans="2:20" ht="20.149999999999999" customHeight="1" x14ac:dyDescent="0.25">
      <c r="B201" s="225"/>
      <c r="C201" s="9"/>
      <c r="D201" s="16" t="s">
        <v>79</v>
      </c>
      <c r="E201" s="8"/>
      <c r="F201" s="26">
        <v>0.85605004069332524</v>
      </c>
      <c r="G201" s="26">
        <v>0.81425669220671981</v>
      </c>
      <c r="H201" s="26">
        <v>0.89483290990595954</v>
      </c>
      <c r="I201" s="8"/>
      <c r="J201" s="26">
        <f>+J195+J196+J199+J200</f>
        <v>0.33296617514287558</v>
      </c>
      <c r="K201" s="26">
        <f>+K195+K196+K199+K200</f>
        <v>0.1740532681111378</v>
      </c>
      <c r="L201" s="26">
        <f>+L195+L196+L199+L200</f>
        <v>0.39592926841002457</v>
      </c>
      <c r="M201" s="8"/>
      <c r="N201" s="26">
        <v>0.85605004069332524</v>
      </c>
      <c r="O201" s="26">
        <v>0.81425669220671981</v>
      </c>
      <c r="P201" s="26">
        <v>0.89483290990595954</v>
      </c>
      <c r="Q201" s="8"/>
      <c r="R201" s="26">
        <f>+R195+R196+R199+R200</f>
        <v>0.30149365345538715</v>
      </c>
      <c r="S201" s="26">
        <f>+S195+S196+S199+S200</f>
        <v>1.1506086001183469E-2</v>
      </c>
      <c r="T201" s="26">
        <f>+T195+T196+T199+T200</f>
        <v>0.39592926841002452</v>
      </c>
    </row>
    <row r="202" spans="2:20" ht="19.5" customHeight="1" x14ac:dyDescent="0.25">
      <c r="B202" s="225"/>
      <c r="C202" s="9"/>
      <c r="D202" s="16" t="s">
        <v>34</v>
      </c>
      <c r="E202" s="6"/>
      <c r="F202" s="25">
        <v>89.239366440000083</v>
      </c>
      <c r="G202" s="25">
        <v>112.19169349000006</v>
      </c>
      <c r="H202" s="25">
        <v>64.163450784016746</v>
      </c>
      <c r="I202" s="6"/>
      <c r="J202" s="25">
        <f>(([1]H9!$BK$61/1000))</f>
        <v>0.57444958999999973</v>
      </c>
      <c r="K202" s="25">
        <f>(([1]H9!$BK$62/1000))</f>
        <v>0.64387737999999972</v>
      </c>
      <c r="L202" s="25">
        <f>(([1]H9!$BK$63/1000))</f>
        <v>0.52348213233756902</v>
      </c>
      <c r="M202" s="6"/>
      <c r="N202" s="25">
        <v>89.239366440000083</v>
      </c>
      <c r="O202" s="25">
        <v>112.19169349000006</v>
      </c>
      <c r="P202" s="25">
        <v>64.163450784016746</v>
      </c>
      <c r="Q202" s="6"/>
      <c r="R202" s="25">
        <f>(+([1]H9!$GI$61/1000))</f>
        <v>0.21236853999999991</v>
      </c>
      <c r="S202" s="25">
        <f>(+([1]H9!$GI$62/1000))</f>
        <v>0.28129598</v>
      </c>
      <c r="T202" s="25">
        <f>(+([1]H9!$GI$63/1000))</f>
        <v>0.17449404411252312</v>
      </c>
    </row>
    <row r="203" spans="2:20" ht="7.5" customHeight="1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2:20" ht="19.5" customHeight="1" x14ac:dyDescent="0.25">
      <c r="B204" s="224" t="s">
        <v>48</v>
      </c>
      <c r="C204" s="9"/>
      <c r="D204" s="17" t="s">
        <v>19</v>
      </c>
      <c r="E204" s="6"/>
      <c r="F204" s="23">
        <v>104.56900124000002</v>
      </c>
      <c r="G204" s="23">
        <v>86.957286909999993</v>
      </c>
      <c r="H204" s="23">
        <v>93.39937754566202</v>
      </c>
      <c r="I204" s="6"/>
      <c r="J204" s="23">
        <f>+[1]H9!$C$65/1000</f>
        <v>175.61643707000002</v>
      </c>
      <c r="K204" s="23">
        <f>+[1]H9!$C$66/1000</f>
        <v>177.50423089999995</v>
      </c>
      <c r="L204" s="23">
        <f>+[1]H9!$C$67/1000</f>
        <v>179.83303999999998</v>
      </c>
      <c r="M204" s="6"/>
      <c r="N204" s="23">
        <v>104.56900124000002</v>
      </c>
      <c r="O204" s="23">
        <v>86.957286909999993</v>
      </c>
      <c r="P204" s="23">
        <v>93.39937754566202</v>
      </c>
      <c r="Q204" s="6"/>
      <c r="R204" s="23">
        <f>+[1]H9!$EA$65/1000</f>
        <v>30.108841179999999</v>
      </c>
      <c r="S204" s="23">
        <f>+[1]H9!$EA$66/1000</f>
        <v>30.527049550000001</v>
      </c>
      <c r="T204" s="23">
        <f>+[1]H9!$EA$67/1000</f>
        <v>36.413640000000001</v>
      </c>
    </row>
    <row r="205" spans="2:20" ht="20.149999999999999" customHeight="1" x14ac:dyDescent="0.25">
      <c r="B205" s="224"/>
      <c r="C205" s="9"/>
      <c r="D205" s="17" t="s">
        <v>20</v>
      </c>
      <c r="E205" s="6"/>
      <c r="F205" s="23">
        <v>96.613065600000027</v>
      </c>
      <c r="G205" s="23">
        <v>80.999779810000007</v>
      </c>
      <c r="H205" s="23">
        <v>83.735445436524415</v>
      </c>
      <c r="I205" s="6"/>
      <c r="J205" s="23">
        <f>+[1]H9!$N$65/1000</f>
        <v>73.58975602999999</v>
      </c>
      <c r="K205" s="23">
        <f>+[1]H9!$N$66/1000</f>
        <v>72.616277739999987</v>
      </c>
      <c r="L205" s="23">
        <f>+[1]H9!$N$67/1000</f>
        <v>89.165350880959963</v>
      </c>
      <c r="M205" s="6"/>
      <c r="N205" s="23">
        <v>96.613065600000027</v>
      </c>
      <c r="O205" s="23">
        <v>80.999779810000007</v>
      </c>
      <c r="P205" s="23">
        <v>83.735445436524415</v>
      </c>
      <c r="Q205" s="6"/>
      <c r="R205" s="23">
        <f>+[1]H9!$EL$65/1000</f>
        <v>29.48864176</v>
      </c>
      <c r="S205" s="23">
        <f>+[1]H9!$EL$66/1000</f>
        <v>29.039146260000006</v>
      </c>
      <c r="T205" s="23">
        <f>+[1]H9!$EL$67/1000</f>
        <v>29.721783626986646</v>
      </c>
    </row>
    <row r="206" spans="2:20" ht="19.5" customHeight="1" x14ac:dyDescent="0.25">
      <c r="B206" s="224"/>
      <c r="C206" s="9"/>
      <c r="D206" s="17" t="s">
        <v>92</v>
      </c>
      <c r="E206" s="6"/>
      <c r="F206" s="24" t="e">
        <f>#REF!</f>
        <v>#REF!</v>
      </c>
      <c r="G206" s="24" t="e">
        <f>#REF!</f>
        <v>#REF!</v>
      </c>
      <c r="H206" s="24" t="e">
        <f>#REF!</f>
        <v>#REF!</v>
      </c>
      <c r="I206" s="6"/>
      <c r="J206" s="24">
        <f>-(SUM([1]H9!$O$65,[1]H9!$R$65:$V$65,[1]H9!$Y$65:$AB$65)/1000)/J205</f>
        <v>0.35373040547374424</v>
      </c>
      <c r="K206" s="24">
        <f>-(SUM([1]H9!$O$66,[1]H9!$R$66:$V$66,[1]H9!$Y$66:$AB$66)/1000)/K205</f>
        <v>0.39388943161645917</v>
      </c>
      <c r="L206" s="24">
        <f>-(SUM([1]H9!$O$67,[1]H9!$R$67:$V$67,[1]H9!$Y$67:$AB$67)/1000)/L205</f>
        <v>0.36358583241181303</v>
      </c>
      <c r="M206" s="6"/>
      <c r="N206" s="24" t="e">
        <f>#REF!</f>
        <v>#REF!</v>
      </c>
      <c r="O206" s="24" t="e">
        <f>#REF!</f>
        <v>#REF!</v>
      </c>
      <c r="P206" s="24" t="e">
        <f>#REF!</f>
        <v>#REF!</v>
      </c>
      <c r="Q206" s="6"/>
      <c r="R206" s="24">
        <f>-(SUM([1]H9!$EM$65,[1]H9!$EP$65:$ET$65,[1]H9!$EW$65:$EZ$65)/1000)/R205</f>
        <v>0.3417130279502158</v>
      </c>
      <c r="S206" s="24">
        <f>-(SUM([1]H9!$EM$66,[1]H9!$EP$66:$ET$66,[1]H9!$EW$66:$EZ$66)/1000)/S205</f>
        <v>0.33077090644656248</v>
      </c>
      <c r="T206" s="24">
        <f>-(SUM([1]H9!$EM$67,[1]H9!$EP$67:$ET$67,[1]H9!$EW$67:$EZ$67)/1000)/T205</f>
        <v>0.34592743686140931</v>
      </c>
    </row>
    <row r="207" spans="2:20" ht="19.5" customHeight="1" x14ac:dyDescent="0.25">
      <c r="B207" s="224"/>
      <c r="C207" s="9"/>
      <c r="D207" s="17" t="s">
        <v>93</v>
      </c>
      <c r="E207" s="6"/>
      <c r="F207" s="24" t="e">
        <f>#REF!</f>
        <v>#REF!</v>
      </c>
      <c r="G207" s="24" t="e">
        <f>#REF!</f>
        <v>#REF!</v>
      </c>
      <c r="H207" s="24" t="e">
        <f>#REF!</f>
        <v>#REF!</v>
      </c>
      <c r="I207" s="6"/>
      <c r="J207" s="24">
        <f>-(SUM([1]H9!$Q$65,[1]H9!$X$65)/1000)/J205</f>
        <v>0.20154602611738259</v>
      </c>
      <c r="K207" s="24">
        <f>-(SUM([1]H9!$Q$66,[1]H9!$X$66)/1000)/K205</f>
        <v>0.19292384629034093</v>
      </c>
      <c r="L207" s="24">
        <f>-(SUM([1]H9!$Q$67,[1]H9!$X$67)/1000)/L205</f>
        <v>0.20091200041673921</v>
      </c>
      <c r="M207" s="6"/>
      <c r="N207" s="24" t="e">
        <f>#REF!</f>
        <v>#REF!</v>
      </c>
      <c r="O207" s="24" t="e">
        <f>#REF!</f>
        <v>#REF!</v>
      </c>
      <c r="P207" s="24" t="e">
        <f>#REF!</f>
        <v>#REF!</v>
      </c>
      <c r="Q207" s="6"/>
      <c r="R207" s="24">
        <f>-(SUM([1]H9!$EO$65,[1]H9!$EV$65)/1000)/R205</f>
        <v>0.16841905349428418</v>
      </c>
      <c r="S207" s="24">
        <f>-(SUM([1]H9!$EO$66,[1]H9!$EV$66)/1000)/S205</f>
        <v>0.24123011594162105</v>
      </c>
      <c r="T207" s="24">
        <f>-(SUM([1]H9!$EO$67,[1]H9!$EV$67)/1000)/T205</f>
        <v>0.20091200041673923</v>
      </c>
    </row>
    <row r="208" spans="2:20" ht="19.5" customHeight="1" x14ac:dyDescent="0.25">
      <c r="B208" s="224"/>
      <c r="C208" s="9"/>
      <c r="D208" s="17" t="s">
        <v>94</v>
      </c>
      <c r="E208" s="6"/>
      <c r="F208" s="24" t="e">
        <f>#REF!</f>
        <v>#REF!</v>
      </c>
      <c r="G208" s="24" t="e">
        <f>#REF!</f>
        <v>#REF!</v>
      </c>
      <c r="H208" s="24" t="e">
        <f>#REF!</f>
        <v>#REF!</v>
      </c>
      <c r="I208" s="6"/>
      <c r="J208" s="24">
        <f>-(SUM([1]H9!$P$65,[1]H9!$W$65)/1000)/J205</f>
        <v>8.0911307785456743E-3</v>
      </c>
      <c r="K208" s="24">
        <f>-(SUM([1]H9!$P$66,[1]H9!$W$66)/1000)/K205</f>
        <v>0</v>
      </c>
      <c r="L208" s="24">
        <f>-(SUM([1]H9!$P$67,[1]H9!$W$67)/1000)/L205</f>
        <v>6.5100370367491986E-2</v>
      </c>
      <c r="M208" s="6"/>
      <c r="N208" s="24" t="e">
        <f>#REF!</f>
        <v>#REF!</v>
      </c>
      <c r="O208" s="24" t="e">
        <f>#REF!</f>
        <v>#REF!</v>
      </c>
      <c r="P208" s="24" t="e">
        <f>#REF!</f>
        <v>#REF!</v>
      </c>
      <c r="Q208" s="6"/>
      <c r="R208" s="24">
        <f>-(SUM([1]H9!$EN$65,[1]H9!$EU$65)/1000)/R205</f>
        <v>2.0191650224042058E-2</v>
      </c>
      <c r="S208" s="24">
        <f>-(SUM([1]H9!$EN$66,[1]H9!$EU$66)/1000)/S205</f>
        <v>0</v>
      </c>
      <c r="T208" s="24">
        <f>-(SUM([1]H9!$EN$67,[1]H9!$EU$67)/1000)/T205</f>
        <v>6.5100370367492E-2</v>
      </c>
    </row>
    <row r="209" spans="2:20" ht="19.5" hidden="1" customHeight="1" outlineLevel="1" x14ac:dyDescent="0.25">
      <c r="B209" s="224"/>
      <c r="C209" s="9"/>
      <c r="D209" s="17" t="s">
        <v>95</v>
      </c>
      <c r="E209" s="7"/>
      <c r="F209" s="24">
        <v>0.79243570416214992</v>
      </c>
      <c r="G209" s="24">
        <v>0.8148559316435503</v>
      </c>
      <c r="H209" s="24">
        <v>0.75170059448810467</v>
      </c>
      <c r="I209" s="7"/>
      <c r="J209" s="24">
        <f>+J206+J207+J208</f>
        <v>0.56336756236967256</v>
      </c>
      <c r="K209" s="24">
        <f>+K206+K207+K208</f>
        <v>0.58681327790680005</v>
      </c>
      <c r="L209" s="24">
        <f>+L206+L207+L208</f>
        <v>0.6295982031960442</v>
      </c>
      <c r="M209" s="7"/>
      <c r="N209" s="24">
        <v>0.79243570416214992</v>
      </c>
      <c r="O209" s="24">
        <v>0.8148559316435503</v>
      </c>
      <c r="P209" s="24">
        <v>0.75170059448810467</v>
      </c>
      <c r="Q209" s="7"/>
      <c r="R209" s="24">
        <f>+R206+R207+R208</f>
        <v>0.53032373166854196</v>
      </c>
      <c r="S209" s="24">
        <f>+S206+S207+S208</f>
        <v>0.57200102238818351</v>
      </c>
      <c r="T209" s="24">
        <f>+T206+T207+T208</f>
        <v>0.6119398076456406</v>
      </c>
    </row>
    <row r="210" spans="2:20" ht="20.149999999999999" customHeight="1" collapsed="1" x14ac:dyDescent="0.25">
      <c r="B210" s="224"/>
      <c r="C210" s="9"/>
      <c r="D210" s="17" t="s">
        <v>96</v>
      </c>
      <c r="E210" s="7"/>
      <c r="F210" s="24">
        <v>-1.0319356743400948E-2</v>
      </c>
      <c r="G210" s="24">
        <v>1.8135499546365962E-2</v>
      </c>
      <c r="H210" s="24">
        <v>0</v>
      </c>
      <c r="I210" s="7"/>
      <c r="J210" s="24">
        <f>-(SUM([1]H9!$AC$65:$AK$65)/1000)/J205</f>
        <v>-0.11480697036902494</v>
      </c>
      <c r="K210" s="24">
        <f>-(SUM([1]H9!$AC$66:$AK$66)/1000)/K205</f>
        <v>-6.7201695706195089E-3</v>
      </c>
      <c r="L210" s="24">
        <f>-(SUM([1]H9!$AC$67:$AK$67)/1000)/L205</f>
        <v>-2.2591833630596771E-2</v>
      </c>
      <c r="M210" s="7"/>
      <c r="N210" s="24">
        <v>-1.0319356743400948E-2</v>
      </c>
      <c r="O210" s="24">
        <v>1.8135499546365962E-2</v>
      </c>
      <c r="P210" s="24">
        <v>0</v>
      </c>
      <c r="Q210" s="7"/>
      <c r="R210" s="24">
        <f>-(SUM([1]H9!$FA$65:$FI$65)/1000)/R205</f>
        <v>-7.4709597611524375E-2</v>
      </c>
      <c r="S210" s="24">
        <f>-(SUM([1]H9!$FA$66:$FI$66)/1000)/S205</f>
        <v>2.1417950253472866E-2</v>
      </c>
      <c r="T210" s="24">
        <f>-(SUM([1]H9!$FA$67:$FI$67)/1000)/T205</f>
        <v>-2.2591833630596771E-2</v>
      </c>
    </row>
    <row r="211" spans="2:20" ht="20.149999999999999" hidden="1" customHeight="1" outlineLevel="1" x14ac:dyDescent="0.25">
      <c r="B211" s="224"/>
      <c r="C211" s="9"/>
      <c r="D211" s="18" t="s">
        <v>87</v>
      </c>
      <c r="E211" s="7"/>
      <c r="F211" s="24">
        <v>5.3524374761171015E-2</v>
      </c>
      <c r="G211" s="24">
        <v>5.8053249663519033E-2</v>
      </c>
      <c r="H211" s="24">
        <v>5.3861513322713016E-2</v>
      </c>
      <c r="I211" s="7"/>
      <c r="J211" s="24">
        <f>-(SUM([1]H9!$AL$65:$AN$65)/1000)/J205</f>
        <v>0.1542344393066471</v>
      </c>
      <c r="K211" s="24">
        <f>-(SUM([1]H9!$AL$66:$AN$66)/1000)/K205</f>
        <v>0.15641068990986817</v>
      </c>
      <c r="L211" s="24">
        <f>-(SUM([1]H9!$AL$67:$AN$67)/1000)/L205</f>
        <v>0.15213294872713726</v>
      </c>
      <c r="M211" s="7"/>
      <c r="N211" s="24">
        <v>5.3524374761171015E-2</v>
      </c>
      <c r="O211" s="24">
        <v>5.8053249663519033E-2</v>
      </c>
      <c r="P211" s="24">
        <v>5.3861513322713016E-2</v>
      </c>
      <c r="Q211" s="7"/>
      <c r="R211" s="24">
        <f>-(SUM([1]H9!$FJ$65:$FL$65)/1000)/R205</f>
        <v>0.14524526306972235</v>
      </c>
      <c r="S211" s="24">
        <f>-(SUM([1]H9!$FJ$66:$FL$66)/1000)/S205</f>
        <v>0.14198072020041541</v>
      </c>
      <c r="T211" s="24">
        <f>-(SUM([1]H9!$FJ$67:$FL$67)/1000)/T205</f>
        <v>0.15213294872713731</v>
      </c>
    </row>
    <row r="212" spans="2:20" ht="19.5" hidden="1" customHeight="1" outlineLevel="1" x14ac:dyDescent="0.25">
      <c r="B212" s="224"/>
      <c r="C212" s="9"/>
      <c r="D212" s="18" t="s">
        <v>88</v>
      </c>
      <c r="E212" s="7"/>
      <c r="F212" s="24">
        <v>9.9075295256959517E-2</v>
      </c>
      <c r="G212" s="24">
        <v>0.11209148693116676</v>
      </c>
      <c r="H212" s="24">
        <v>0.11658092181995375</v>
      </c>
      <c r="I212" s="7"/>
      <c r="J212" s="24">
        <f>-(SUM([1]H9!$AO$65:$AR$65)/1000)/J205</f>
        <v>9.7622830235655572E-2</v>
      </c>
      <c r="K212" s="24">
        <f>-(SUM([1]H9!$AO$66:$AR$66)/1000)/K205</f>
        <v>8.5880525607893832E-2</v>
      </c>
      <c r="L212" s="24">
        <f>-(SUM([1]H9!$AO$67:$AR$67)/1000)/L205</f>
        <v>9.7293006318452793E-2</v>
      </c>
      <c r="M212" s="7"/>
      <c r="N212" s="24">
        <v>9.9075295256959517E-2</v>
      </c>
      <c r="O212" s="24">
        <v>0.11209148693116676</v>
      </c>
      <c r="P212" s="24">
        <v>0.11658092181995375</v>
      </c>
      <c r="Q212" s="7"/>
      <c r="R212" s="24">
        <f>-(SUM([1]H9!$FM$65:$FP$65)/1000)/R205</f>
        <v>8.3003801935705016E-2</v>
      </c>
      <c r="S212" s="24">
        <f>-(SUM([1]H9!$FM$66:$FP$66)/1000)/S205</f>
        <v>7.3505102763306907E-2</v>
      </c>
      <c r="T212" s="24">
        <f>-(SUM([1]H9!$FM$67:$FP$67)/1000)/T205</f>
        <v>9.7293006318452793E-2</v>
      </c>
    </row>
    <row r="213" spans="2:20" ht="20.149999999999999" customHeight="1" collapsed="1" x14ac:dyDescent="0.25">
      <c r="B213" s="224"/>
      <c r="C213" s="9"/>
      <c r="D213" s="17" t="s">
        <v>97</v>
      </c>
      <c r="E213" s="7"/>
      <c r="F213" s="24">
        <v>0.15259967001813052</v>
      </c>
      <c r="G213" s="24">
        <v>0.17014473659468576</v>
      </c>
      <c r="H213" s="24">
        <v>0.17044243514266674</v>
      </c>
      <c r="I213" s="7"/>
      <c r="J213" s="24">
        <f>+J211+J212</f>
        <v>0.2518572695423027</v>
      </c>
      <c r="K213" s="24">
        <f>+K211+K212</f>
        <v>0.242291215517762</v>
      </c>
      <c r="L213" s="24">
        <f>+L211+L212</f>
        <v>0.24942595504559006</v>
      </c>
      <c r="M213" s="7"/>
      <c r="N213" s="24">
        <v>0.15259967001813052</v>
      </c>
      <c r="O213" s="24">
        <v>0.17014473659468576</v>
      </c>
      <c r="P213" s="24">
        <v>0.17044243514266674</v>
      </c>
      <c r="Q213" s="7"/>
      <c r="R213" s="24">
        <f>+R211+R212</f>
        <v>0.22824906500542735</v>
      </c>
      <c r="S213" s="24">
        <f>+S211+S212</f>
        <v>0.21548582296372232</v>
      </c>
      <c r="T213" s="24">
        <f>+T211+T212</f>
        <v>0.24942595504559012</v>
      </c>
    </row>
    <row r="214" spans="2:20" ht="20.149999999999999" customHeight="1" x14ac:dyDescent="0.25">
      <c r="B214" s="224"/>
      <c r="C214" s="9"/>
      <c r="D214" s="17" t="s">
        <v>90</v>
      </c>
      <c r="E214" s="7"/>
      <c r="F214" s="24"/>
      <c r="G214" s="24"/>
      <c r="H214" s="24"/>
      <c r="I214" s="7"/>
      <c r="J214" s="24">
        <f>-(SUM([1]H9!$AT$65:$BJ$65)/1000/J205)</f>
        <v>7.4164536403342099E-2</v>
      </c>
      <c r="K214" s="24">
        <f>-(SUM([1]H9!$AT$66:$BJ$66)/1000/K205)</f>
        <v>8.2936127923871311E-2</v>
      </c>
      <c r="L214" s="24">
        <f>-(SUM([1]H9!$AT$67:$BJ$67)/1000/L205)</f>
        <v>1.3456850604556351E-2</v>
      </c>
      <c r="M214" s="7"/>
      <c r="N214" s="24"/>
      <c r="O214" s="24"/>
      <c r="P214" s="24"/>
      <c r="Q214" s="7"/>
      <c r="R214" s="24">
        <f>-(SUM([1]H9!$FR$65:$GH$65)/1000/R205)</f>
        <v>7.2527331282551372E-2</v>
      </c>
      <c r="S214" s="24">
        <f>-(SUM([1]H9!$FR$66:$GH$66)/1000/S205)</f>
        <v>6.1937271980942933E-2</v>
      </c>
      <c r="T214" s="24">
        <f>-(SUM([1]H9!$FR$67:$GH$67)/1000/T205)</f>
        <v>1.3456850604556335E-2</v>
      </c>
    </row>
    <row r="215" spans="2:20" ht="20.149999999999999" customHeight="1" x14ac:dyDescent="0.25">
      <c r="B215" s="224"/>
      <c r="C215" s="9"/>
      <c r="D215" s="17" t="s">
        <v>79</v>
      </c>
      <c r="E215" s="8"/>
      <c r="F215" s="24">
        <v>0.93471601743687949</v>
      </c>
      <c r="G215" s="24">
        <v>1.003136167784602</v>
      </c>
      <c r="H215" s="24">
        <v>0.92214302963077155</v>
      </c>
      <c r="I215" s="8"/>
      <c r="J215" s="24">
        <f>+J209+J210+J213+J214</f>
        <v>0.77458239794629247</v>
      </c>
      <c r="K215" s="24">
        <f>+K209+K210+K213+K214</f>
        <v>0.90532045177781384</v>
      </c>
      <c r="L215" s="24">
        <f>+L209+L210+L213+L214</f>
        <v>0.86988917521559384</v>
      </c>
      <c r="M215" s="8"/>
      <c r="N215" s="24">
        <v>0.93471601743687949</v>
      </c>
      <c r="O215" s="24">
        <v>1.003136167784602</v>
      </c>
      <c r="P215" s="24">
        <v>0.92214302963077155</v>
      </c>
      <c r="Q215" s="8"/>
      <c r="R215" s="24">
        <f>+R209+R210+R213+R214</f>
        <v>0.75639053034499626</v>
      </c>
      <c r="S215" s="24">
        <f>+S209+S210+S213+S214</f>
        <v>0.87084206758632154</v>
      </c>
      <c r="T215" s="24">
        <f>+T209+T210+T213+T214</f>
        <v>0.85223077966519034</v>
      </c>
    </row>
    <row r="216" spans="2:20" ht="19.5" customHeight="1" x14ac:dyDescent="0.25">
      <c r="B216" s="224"/>
      <c r="C216" s="9"/>
      <c r="D216" s="17" t="s">
        <v>34</v>
      </c>
      <c r="E216" s="6"/>
      <c r="F216" s="23">
        <v>6.3072856900000263</v>
      </c>
      <c r="G216" s="23">
        <v>-0.25402889999998773</v>
      </c>
      <c r="H216" s="23">
        <v>6.5193880942056417</v>
      </c>
      <c r="I216" s="6"/>
      <c r="J216" s="23">
        <f>+[1]H9!$BK$65/1000</f>
        <v>16.588426339999984</v>
      </c>
      <c r="K216" s="23">
        <f>+[1]H9!$BK$66/1000</f>
        <v>6.8752763699999857</v>
      </c>
      <c r="L216" s="23">
        <f>+[1]H9!$BK$67/1000</f>
        <v>11.601377345312663</v>
      </c>
      <c r="M216" s="6"/>
      <c r="N216" s="23">
        <v>6.3072856900000263</v>
      </c>
      <c r="O216" s="23">
        <v>-0.25402889999998773</v>
      </c>
      <c r="P216" s="23">
        <v>6.5193880942056417</v>
      </c>
      <c r="Q216" s="6"/>
      <c r="R216" s="23">
        <f>+[1]H9!$GI$65/1000</f>
        <v>7.1837123799999949</v>
      </c>
      <c r="S216" s="23">
        <f>+[1]H9!$GI$66/1000</f>
        <v>3.7506360899999973</v>
      </c>
      <c r="T216" s="23">
        <f>+[1]H9!$GI$67/1000</f>
        <v>4.3919647935197306</v>
      </c>
    </row>
    <row r="217" spans="2:20" ht="7.5" customHeight="1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2:20" ht="19.5" customHeight="1" x14ac:dyDescent="0.25">
      <c r="B218" s="224" t="s">
        <v>49</v>
      </c>
      <c r="C218" s="9"/>
      <c r="D218" s="17" t="s">
        <v>19</v>
      </c>
      <c r="E218" s="6"/>
      <c r="F218" s="23">
        <v>0</v>
      </c>
      <c r="G218" s="23">
        <v>0</v>
      </c>
      <c r="H218" s="23">
        <v>0</v>
      </c>
      <c r="I218" s="6"/>
      <c r="J218" s="23"/>
      <c r="K218" s="23"/>
      <c r="L218" s="23"/>
      <c r="M218" s="6"/>
      <c r="N218" s="23"/>
      <c r="O218" s="23"/>
      <c r="P218" s="23"/>
      <c r="Q218" s="6"/>
      <c r="R218" s="23"/>
      <c r="S218" s="23"/>
      <c r="T218" s="23"/>
    </row>
    <row r="219" spans="2:20" ht="20.149999999999999" customHeight="1" x14ac:dyDescent="0.25">
      <c r="B219" s="224"/>
      <c r="C219" s="9"/>
      <c r="D219" s="17" t="s">
        <v>20</v>
      </c>
      <c r="E219" s="6"/>
      <c r="F219" s="23">
        <v>0</v>
      </c>
      <c r="G219" s="23">
        <v>0</v>
      </c>
      <c r="H219" s="23">
        <v>0</v>
      </c>
      <c r="I219" s="6"/>
      <c r="J219" s="23"/>
      <c r="K219" s="23"/>
      <c r="L219" s="23"/>
      <c r="M219" s="6"/>
      <c r="N219" s="23"/>
      <c r="O219" s="23"/>
      <c r="P219" s="23"/>
      <c r="Q219" s="6"/>
      <c r="R219" s="23"/>
      <c r="S219" s="23"/>
      <c r="T219" s="23"/>
    </row>
    <row r="220" spans="2:20" ht="19.5" customHeight="1" x14ac:dyDescent="0.25">
      <c r="B220" s="224"/>
      <c r="C220" s="9"/>
      <c r="D220" s="17" t="s">
        <v>92</v>
      </c>
      <c r="E220" s="6"/>
      <c r="F220" s="24">
        <f>0</f>
        <v>0</v>
      </c>
      <c r="G220" s="24">
        <f>0</f>
        <v>0</v>
      </c>
      <c r="H220" s="24">
        <f>0</f>
        <v>0</v>
      </c>
      <c r="I220" s="6"/>
      <c r="J220" s="24"/>
      <c r="K220" s="24"/>
      <c r="L220" s="24"/>
      <c r="M220" s="6"/>
      <c r="N220" s="24"/>
      <c r="O220" s="24"/>
      <c r="P220" s="24"/>
      <c r="Q220" s="6"/>
      <c r="R220" s="24"/>
      <c r="S220" s="24"/>
      <c r="T220" s="24"/>
    </row>
    <row r="221" spans="2:20" ht="19.5" customHeight="1" x14ac:dyDescent="0.25">
      <c r="B221" s="224"/>
      <c r="C221" s="9"/>
      <c r="D221" s="17" t="s">
        <v>93</v>
      </c>
      <c r="E221" s="6"/>
      <c r="F221" s="24">
        <f>0</f>
        <v>0</v>
      </c>
      <c r="G221" s="24">
        <f>0</f>
        <v>0</v>
      </c>
      <c r="H221" s="24">
        <f>0</f>
        <v>0</v>
      </c>
      <c r="I221" s="6"/>
      <c r="J221" s="24"/>
      <c r="K221" s="24"/>
      <c r="L221" s="24"/>
      <c r="M221" s="6"/>
      <c r="N221" s="24"/>
      <c r="O221" s="24"/>
      <c r="P221" s="24"/>
      <c r="Q221" s="6"/>
      <c r="R221" s="24"/>
      <c r="S221" s="24"/>
      <c r="T221" s="24"/>
    </row>
    <row r="222" spans="2:20" ht="19.5" customHeight="1" x14ac:dyDescent="0.25">
      <c r="B222" s="224"/>
      <c r="C222" s="9"/>
      <c r="D222" s="17" t="s">
        <v>94</v>
      </c>
      <c r="E222" s="6"/>
      <c r="F222" s="24">
        <f>0</f>
        <v>0</v>
      </c>
      <c r="G222" s="24">
        <f>0</f>
        <v>0</v>
      </c>
      <c r="H222" s="24">
        <f>0</f>
        <v>0</v>
      </c>
      <c r="I222" s="6"/>
      <c r="J222" s="24"/>
      <c r="K222" s="24"/>
      <c r="L222" s="24"/>
      <c r="M222" s="6"/>
      <c r="N222" s="24"/>
      <c r="O222" s="24"/>
      <c r="P222" s="24"/>
      <c r="Q222" s="6"/>
      <c r="R222" s="24"/>
      <c r="S222" s="24"/>
      <c r="T222" s="24"/>
    </row>
    <row r="223" spans="2:20" ht="19.5" hidden="1" customHeight="1" outlineLevel="1" x14ac:dyDescent="0.25">
      <c r="B223" s="224"/>
      <c r="C223" s="9"/>
      <c r="D223" s="17" t="s">
        <v>95</v>
      </c>
      <c r="E223" s="7"/>
      <c r="F223" s="24">
        <v>0</v>
      </c>
      <c r="G223" s="24">
        <v>0</v>
      </c>
      <c r="H223" s="24">
        <v>0</v>
      </c>
      <c r="I223" s="7"/>
      <c r="J223" s="24"/>
      <c r="K223" s="24"/>
      <c r="L223" s="24"/>
      <c r="M223" s="7"/>
      <c r="N223" s="24"/>
      <c r="O223" s="24"/>
      <c r="P223" s="24"/>
      <c r="Q223" s="7"/>
      <c r="R223" s="24"/>
      <c r="S223" s="24"/>
      <c r="T223" s="24"/>
    </row>
    <row r="224" spans="2:20" ht="20.149999999999999" customHeight="1" collapsed="1" x14ac:dyDescent="0.25">
      <c r="B224" s="224"/>
      <c r="C224" s="9"/>
      <c r="D224" s="17" t="s">
        <v>96</v>
      </c>
      <c r="E224" s="7"/>
      <c r="F224" s="24">
        <v>0</v>
      </c>
      <c r="G224" s="24">
        <v>0</v>
      </c>
      <c r="H224" s="24">
        <v>0</v>
      </c>
      <c r="I224" s="7"/>
      <c r="J224" s="24"/>
      <c r="K224" s="24"/>
      <c r="L224" s="24"/>
      <c r="M224" s="7"/>
      <c r="N224" s="24"/>
      <c r="O224" s="24"/>
      <c r="P224" s="24"/>
      <c r="Q224" s="7"/>
      <c r="R224" s="24"/>
      <c r="S224" s="24"/>
      <c r="T224" s="24"/>
    </row>
    <row r="225" spans="2:20" ht="20.149999999999999" hidden="1" customHeight="1" outlineLevel="1" x14ac:dyDescent="0.25">
      <c r="B225" s="224"/>
      <c r="C225" s="9"/>
      <c r="D225" s="18" t="s">
        <v>87</v>
      </c>
      <c r="E225" s="7"/>
      <c r="F225" s="24">
        <v>0</v>
      </c>
      <c r="G225" s="24">
        <v>0</v>
      </c>
      <c r="H225" s="24">
        <v>0</v>
      </c>
      <c r="I225" s="7"/>
      <c r="J225" s="24"/>
      <c r="K225" s="24"/>
      <c r="L225" s="24"/>
      <c r="M225" s="7"/>
      <c r="N225" s="24"/>
      <c r="O225" s="24"/>
      <c r="P225" s="24"/>
      <c r="Q225" s="7"/>
      <c r="R225" s="24"/>
      <c r="S225" s="24"/>
      <c r="T225" s="24"/>
    </row>
    <row r="226" spans="2:20" ht="19.5" hidden="1" customHeight="1" outlineLevel="1" x14ac:dyDescent="0.25">
      <c r="B226" s="224"/>
      <c r="C226" s="9"/>
      <c r="D226" s="18" t="s">
        <v>88</v>
      </c>
      <c r="E226" s="7"/>
      <c r="F226" s="24">
        <v>0</v>
      </c>
      <c r="G226" s="24">
        <v>0</v>
      </c>
      <c r="H226" s="24">
        <v>0</v>
      </c>
      <c r="I226" s="7"/>
      <c r="J226" s="24"/>
      <c r="K226" s="24"/>
      <c r="L226" s="24"/>
      <c r="M226" s="7"/>
      <c r="N226" s="24"/>
      <c r="O226" s="24"/>
      <c r="P226" s="24"/>
      <c r="Q226" s="7"/>
      <c r="R226" s="24"/>
      <c r="S226" s="24"/>
      <c r="T226" s="24"/>
    </row>
    <row r="227" spans="2:20" ht="20.149999999999999" customHeight="1" collapsed="1" x14ac:dyDescent="0.25">
      <c r="B227" s="224"/>
      <c r="C227" s="9"/>
      <c r="D227" s="17" t="s">
        <v>97</v>
      </c>
      <c r="E227" s="7"/>
      <c r="F227" s="24">
        <v>0</v>
      </c>
      <c r="G227" s="24">
        <v>0</v>
      </c>
      <c r="H227" s="24">
        <v>0</v>
      </c>
      <c r="I227" s="7"/>
      <c r="J227" s="24"/>
      <c r="K227" s="24"/>
      <c r="L227" s="24"/>
      <c r="M227" s="7"/>
      <c r="N227" s="24"/>
      <c r="O227" s="24"/>
      <c r="P227" s="24"/>
      <c r="Q227" s="7"/>
      <c r="R227" s="24"/>
      <c r="S227" s="24"/>
      <c r="T227" s="24"/>
    </row>
    <row r="228" spans="2:20" ht="20.149999999999999" customHeight="1" x14ac:dyDescent="0.25">
      <c r="B228" s="224"/>
      <c r="C228" s="9"/>
      <c r="D228" s="17" t="s">
        <v>90</v>
      </c>
      <c r="E228" s="7"/>
      <c r="F228" s="24"/>
      <c r="G228" s="24"/>
      <c r="H228" s="24"/>
      <c r="I228" s="7"/>
      <c r="J228" s="24"/>
      <c r="K228" s="24"/>
      <c r="L228" s="24"/>
      <c r="M228" s="7"/>
      <c r="N228" s="24"/>
      <c r="O228" s="24"/>
      <c r="P228" s="24"/>
      <c r="Q228" s="7"/>
      <c r="R228" s="24"/>
      <c r="S228" s="24"/>
      <c r="T228" s="24"/>
    </row>
    <row r="229" spans="2:20" ht="20.149999999999999" customHeight="1" x14ac:dyDescent="0.25">
      <c r="B229" s="224"/>
      <c r="C229" s="9"/>
      <c r="D229" s="17" t="s">
        <v>79</v>
      </c>
      <c r="E229" s="8"/>
      <c r="F229" s="24">
        <v>0</v>
      </c>
      <c r="G229" s="24">
        <v>0</v>
      </c>
      <c r="H229" s="24">
        <v>0</v>
      </c>
      <c r="I229" s="8"/>
      <c r="J229" s="24"/>
      <c r="K229" s="24"/>
      <c r="L229" s="24"/>
      <c r="M229" s="8"/>
      <c r="N229" s="24"/>
      <c r="O229" s="24"/>
      <c r="P229" s="24"/>
      <c r="Q229" s="8"/>
      <c r="R229" s="24"/>
      <c r="S229" s="24"/>
      <c r="T229" s="24"/>
    </row>
    <row r="230" spans="2:20" ht="19.5" customHeight="1" x14ac:dyDescent="0.25">
      <c r="B230" s="224"/>
      <c r="C230" s="9"/>
      <c r="D230" s="17" t="s">
        <v>34</v>
      </c>
      <c r="E230" s="6"/>
      <c r="F230" s="23">
        <v>0</v>
      </c>
      <c r="G230" s="23">
        <v>0</v>
      </c>
      <c r="H230" s="23">
        <v>0</v>
      </c>
      <c r="I230" s="6"/>
      <c r="J230" s="23"/>
      <c r="K230" s="23"/>
      <c r="L230" s="23"/>
      <c r="M230" s="6"/>
      <c r="N230" s="23"/>
      <c r="O230" s="23"/>
      <c r="P230" s="23"/>
      <c r="Q230" s="6"/>
      <c r="R230" s="23"/>
      <c r="S230" s="23"/>
      <c r="T230" s="23"/>
    </row>
    <row r="231" spans="2:20" ht="7.5" hidden="1" customHeight="1" outlineLevel="1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2:20" ht="19.5" hidden="1" customHeight="1" outlineLevel="1" x14ac:dyDescent="0.25">
      <c r="B232" s="224" t="s">
        <v>50</v>
      </c>
      <c r="C232" s="9"/>
      <c r="D232" s="17" t="s">
        <v>19</v>
      </c>
      <c r="E232" s="6"/>
      <c r="F232" s="23"/>
      <c r="G232" s="23"/>
      <c r="H232" s="23"/>
      <c r="I232" s="6"/>
      <c r="J232" s="23"/>
      <c r="K232" s="23"/>
      <c r="L232" s="23"/>
      <c r="M232" s="6"/>
      <c r="N232" s="23"/>
      <c r="O232" s="23"/>
      <c r="P232" s="23"/>
      <c r="Q232" s="6"/>
      <c r="R232" s="23"/>
      <c r="S232" s="23"/>
      <c r="T232" s="23"/>
    </row>
    <row r="233" spans="2:20" ht="20.149999999999999" hidden="1" customHeight="1" outlineLevel="1" x14ac:dyDescent="0.25">
      <c r="B233" s="224"/>
      <c r="C233" s="9"/>
      <c r="D233" s="17" t="s">
        <v>20</v>
      </c>
      <c r="E233" s="6"/>
      <c r="F233" s="23"/>
      <c r="G233" s="23"/>
      <c r="H233" s="23"/>
      <c r="I233" s="6"/>
      <c r="J233" s="23"/>
      <c r="K233" s="23"/>
      <c r="L233" s="23"/>
      <c r="M233" s="6"/>
      <c r="N233" s="23"/>
      <c r="O233" s="23"/>
      <c r="P233" s="23"/>
      <c r="Q233" s="6"/>
      <c r="R233" s="23"/>
      <c r="S233" s="23"/>
      <c r="T233" s="23"/>
    </row>
    <row r="234" spans="2:20" ht="19.5" hidden="1" customHeight="1" outlineLevel="1" x14ac:dyDescent="0.25">
      <c r="B234" s="224"/>
      <c r="C234" s="9"/>
      <c r="D234" s="17" t="s">
        <v>92</v>
      </c>
      <c r="E234" s="6"/>
      <c r="F234" s="24"/>
      <c r="G234" s="24"/>
      <c r="H234" s="24"/>
      <c r="I234" s="6"/>
      <c r="J234" s="24"/>
      <c r="K234" s="24"/>
      <c r="L234" s="24"/>
      <c r="M234" s="6"/>
      <c r="N234" s="24"/>
      <c r="O234" s="24"/>
      <c r="P234" s="24"/>
      <c r="Q234" s="6"/>
      <c r="R234" s="24"/>
      <c r="S234" s="24"/>
      <c r="T234" s="24"/>
    </row>
    <row r="235" spans="2:20" ht="19.5" hidden="1" customHeight="1" outlineLevel="1" x14ac:dyDescent="0.25">
      <c r="B235" s="224"/>
      <c r="C235" s="9"/>
      <c r="D235" s="17" t="s">
        <v>93</v>
      </c>
      <c r="E235" s="6"/>
      <c r="F235" s="24"/>
      <c r="G235" s="24"/>
      <c r="H235" s="24"/>
      <c r="I235" s="6"/>
      <c r="J235" s="24"/>
      <c r="K235" s="24"/>
      <c r="L235" s="24"/>
      <c r="M235" s="6"/>
      <c r="N235" s="24"/>
      <c r="O235" s="24"/>
      <c r="P235" s="24"/>
      <c r="Q235" s="6"/>
      <c r="R235" s="24"/>
      <c r="S235" s="24"/>
      <c r="T235" s="24"/>
    </row>
    <row r="236" spans="2:20" ht="19.5" hidden="1" customHeight="1" outlineLevel="1" x14ac:dyDescent="0.25">
      <c r="B236" s="224"/>
      <c r="C236" s="9"/>
      <c r="D236" s="17" t="s">
        <v>94</v>
      </c>
      <c r="E236" s="6"/>
      <c r="F236" s="24"/>
      <c r="G236" s="24"/>
      <c r="H236" s="24"/>
      <c r="I236" s="6"/>
      <c r="J236" s="24"/>
      <c r="K236" s="24"/>
      <c r="L236" s="24"/>
      <c r="M236" s="6"/>
      <c r="N236" s="24"/>
      <c r="O236" s="24"/>
      <c r="P236" s="24"/>
      <c r="Q236" s="6"/>
      <c r="R236" s="24"/>
      <c r="S236" s="24"/>
      <c r="T236" s="24"/>
    </row>
    <row r="237" spans="2:20" ht="19.5" hidden="1" customHeight="1" outlineLevel="2" x14ac:dyDescent="0.25">
      <c r="B237" s="224"/>
      <c r="C237" s="9"/>
      <c r="D237" s="17" t="s">
        <v>95</v>
      </c>
      <c r="E237" s="7"/>
      <c r="F237" s="24"/>
      <c r="G237" s="24"/>
      <c r="H237" s="24"/>
      <c r="I237" s="7"/>
      <c r="J237" s="24"/>
      <c r="K237" s="24"/>
      <c r="L237" s="24"/>
      <c r="M237" s="7"/>
      <c r="N237" s="24"/>
      <c r="O237" s="24"/>
      <c r="P237" s="24"/>
      <c r="Q237" s="7"/>
      <c r="R237" s="24"/>
      <c r="S237" s="24"/>
      <c r="T237" s="24"/>
    </row>
    <row r="238" spans="2:20" ht="20.149999999999999" hidden="1" customHeight="1" outlineLevel="1" x14ac:dyDescent="0.25">
      <c r="B238" s="224"/>
      <c r="C238" s="9"/>
      <c r="D238" s="17" t="s">
        <v>96</v>
      </c>
      <c r="E238" s="7"/>
      <c r="F238" s="24"/>
      <c r="G238" s="24"/>
      <c r="H238" s="24"/>
      <c r="I238" s="7"/>
      <c r="J238" s="24"/>
      <c r="K238" s="24"/>
      <c r="L238" s="24"/>
      <c r="M238" s="7"/>
      <c r="N238" s="24"/>
      <c r="O238" s="24"/>
      <c r="P238" s="24"/>
      <c r="Q238" s="7"/>
      <c r="R238" s="24"/>
      <c r="S238" s="24"/>
      <c r="T238" s="24"/>
    </row>
    <row r="239" spans="2:20" ht="20.149999999999999" hidden="1" customHeight="1" outlineLevel="2" x14ac:dyDescent="0.25">
      <c r="B239" s="224"/>
      <c r="C239" s="9"/>
      <c r="D239" s="18" t="s">
        <v>87</v>
      </c>
      <c r="E239" s="7"/>
      <c r="F239" s="24"/>
      <c r="G239" s="24"/>
      <c r="H239" s="24"/>
      <c r="I239" s="7"/>
      <c r="J239" s="24"/>
      <c r="K239" s="24"/>
      <c r="L239" s="24"/>
      <c r="M239" s="7"/>
      <c r="N239" s="24"/>
      <c r="O239" s="24"/>
      <c r="P239" s="24"/>
      <c r="Q239" s="7"/>
      <c r="R239" s="24"/>
      <c r="S239" s="24"/>
      <c r="T239" s="24"/>
    </row>
    <row r="240" spans="2:20" ht="19.5" hidden="1" customHeight="1" outlineLevel="2" x14ac:dyDescent="0.25">
      <c r="B240" s="224"/>
      <c r="C240" s="9"/>
      <c r="D240" s="18" t="s">
        <v>88</v>
      </c>
      <c r="E240" s="7"/>
      <c r="F240" s="24"/>
      <c r="G240" s="24"/>
      <c r="H240" s="24"/>
      <c r="I240" s="7"/>
      <c r="J240" s="24"/>
      <c r="K240" s="24"/>
      <c r="L240" s="24"/>
      <c r="M240" s="7"/>
      <c r="N240" s="24"/>
      <c r="O240" s="24"/>
      <c r="P240" s="24"/>
      <c r="Q240" s="7"/>
      <c r="R240" s="24"/>
      <c r="S240" s="24"/>
      <c r="T240" s="24"/>
    </row>
    <row r="241" spans="2:20" ht="20.149999999999999" hidden="1" customHeight="1" outlineLevel="1" x14ac:dyDescent="0.25">
      <c r="B241" s="224"/>
      <c r="C241" s="9"/>
      <c r="D241" s="17" t="s">
        <v>97</v>
      </c>
      <c r="E241" s="7"/>
      <c r="F241" s="24"/>
      <c r="G241" s="24"/>
      <c r="H241" s="24"/>
      <c r="I241" s="7"/>
      <c r="J241" s="24"/>
      <c r="K241" s="24"/>
      <c r="L241" s="24"/>
      <c r="M241" s="7"/>
      <c r="N241" s="24"/>
      <c r="O241" s="24"/>
      <c r="P241" s="24"/>
      <c r="Q241" s="7"/>
      <c r="R241" s="24"/>
      <c r="S241" s="24"/>
      <c r="T241" s="24"/>
    </row>
    <row r="242" spans="2:20" ht="20.149999999999999" hidden="1" customHeight="1" outlineLevel="1" x14ac:dyDescent="0.25">
      <c r="B242" s="224"/>
      <c r="C242" s="9"/>
      <c r="D242" s="17" t="s">
        <v>90</v>
      </c>
      <c r="E242" s="7"/>
      <c r="F242" s="24"/>
      <c r="G242" s="24"/>
      <c r="H242" s="24"/>
      <c r="I242" s="7"/>
      <c r="J242" s="24"/>
      <c r="K242" s="24"/>
      <c r="L242" s="24"/>
      <c r="M242" s="7"/>
      <c r="N242" s="24"/>
      <c r="O242" s="24"/>
      <c r="P242" s="24"/>
      <c r="Q242" s="7"/>
      <c r="R242" s="24"/>
      <c r="S242" s="24"/>
      <c r="T242" s="24"/>
    </row>
    <row r="243" spans="2:20" ht="20.149999999999999" hidden="1" customHeight="1" outlineLevel="1" x14ac:dyDescent="0.25">
      <c r="B243" s="224"/>
      <c r="C243" s="9"/>
      <c r="D243" s="17" t="s">
        <v>79</v>
      </c>
      <c r="E243" s="8"/>
      <c r="F243" s="24"/>
      <c r="G243" s="24"/>
      <c r="H243" s="24"/>
      <c r="I243" s="8"/>
      <c r="J243" s="24"/>
      <c r="K243" s="24"/>
      <c r="L243" s="24"/>
      <c r="M243" s="8"/>
      <c r="N243" s="24"/>
      <c r="O243" s="24"/>
      <c r="P243" s="24"/>
      <c r="Q243" s="8"/>
      <c r="R243" s="24"/>
      <c r="S243" s="24"/>
      <c r="T243" s="24"/>
    </row>
    <row r="244" spans="2:20" ht="19.5" hidden="1" customHeight="1" outlineLevel="1" x14ac:dyDescent="0.25">
      <c r="B244" s="224"/>
      <c r="C244" s="9"/>
      <c r="D244" s="17" t="s">
        <v>34</v>
      </c>
      <c r="E244" s="6"/>
      <c r="F244" s="23"/>
      <c r="G244" s="23"/>
      <c r="H244" s="23"/>
      <c r="I244" s="6"/>
      <c r="J244" s="23"/>
      <c r="K244" s="23"/>
      <c r="L244" s="23"/>
      <c r="M244" s="6"/>
      <c r="N244" s="23"/>
      <c r="O244" s="23"/>
      <c r="P244" s="23"/>
      <c r="Q244" s="6"/>
      <c r="R244" s="23"/>
      <c r="S244" s="23"/>
      <c r="T244" s="23"/>
    </row>
    <row r="245" spans="2:20" ht="7.5" hidden="1" customHeight="1" outlineLevel="1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2:20" ht="19.5" hidden="1" customHeight="1" outlineLevel="1" x14ac:dyDescent="0.25">
      <c r="B246" s="224" t="s">
        <v>51</v>
      </c>
      <c r="C246" s="9"/>
      <c r="D246" s="17" t="s">
        <v>19</v>
      </c>
      <c r="E246" s="6"/>
      <c r="F246" s="23"/>
      <c r="G246" s="23"/>
      <c r="H246" s="23"/>
      <c r="I246" s="6"/>
      <c r="J246" s="23"/>
      <c r="K246" s="23"/>
      <c r="L246" s="23"/>
      <c r="M246" s="6"/>
      <c r="N246" s="23"/>
      <c r="O246" s="23"/>
      <c r="P246" s="23"/>
      <c r="Q246" s="6"/>
      <c r="R246" s="23"/>
      <c r="S246" s="23"/>
      <c r="T246" s="23"/>
    </row>
    <row r="247" spans="2:20" ht="20.149999999999999" hidden="1" customHeight="1" outlineLevel="1" x14ac:dyDescent="0.25">
      <c r="B247" s="224"/>
      <c r="C247" s="9"/>
      <c r="D247" s="17" t="s">
        <v>20</v>
      </c>
      <c r="E247" s="6"/>
      <c r="F247" s="23"/>
      <c r="G247" s="23"/>
      <c r="H247" s="23"/>
      <c r="I247" s="6"/>
      <c r="J247" s="23"/>
      <c r="K247" s="23"/>
      <c r="L247" s="23"/>
      <c r="M247" s="6"/>
      <c r="N247" s="23"/>
      <c r="O247" s="23"/>
      <c r="P247" s="23"/>
      <c r="Q247" s="6"/>
      <c r="R247" s="23"/>
      <c r="S247" s="23"/>
      <c r="T247" s="23"/>
    </row>
    <row r="248" spans="2:20" ht="19.5" hidden="1" customHeight="1" outlineLevel="1" x14ac:dyDescent="0.25">
      <c r="B248" s="224"/>
      <c r="C248" s="9"/>
      <c r="D248" s="17" t="s">
        <v>92</v>
      </c>
      <c r="E248" s="6"/>
      <c r="F248" s="24"/>
      <c r="G248" s="24"/>
      <c r="H248" s="24"/>
      <c r="I248" s="6"/>
      <c r="J248" s="24"/>
      <c r="K248" s="24"/>
      <c r="L248" s="24"/>
      <c r="M248" s="6"/>
      <c r="N248" s="24"/>
      <c r="O248" s="24"/>
      <c r="P248" s="24"/>
      <c r="Q248" s="6"/>
      <c r="R248" s="24"/>
      <c r="S248" s="24"/>
      <c r="T248" s="24"/>
    </row>
    <row r="249" spans="2:20" ht="19.5" hidden="1" customHeight="1" outlineLevel="1" x14ac:dyDescent="0.25">
      <c r="B249" s="224"/>
      <c r="C249" s="9"/>
      <c r="D249" s="17" t="s">
        <v>93</v>
      </c>
      <c r="E249" s="6"/>
      <c r="F249" s="24"/>
      <c r="G249" s="24"/>
      <c r="H249" s="24"/>
      <c r="I249" s="6"/>
      <c r="J249" s="24"/>
      <c r="K249" s="24"/>
      <c r="L249" s="24"/>
      <c r="M249" s="6"/>
      <c r="N249" s="24"/>
      <c r="O249" s="24"/>
      <c r="P249" s="24"/>
      <c r="Q249" s="6"/>
      <c r="R249" s="24"/>
      <c r="S249" s="24"/>
      <c r="T249" s="24"/>
    </row>
    <row r="250" spans="2:20" ht="19.5" hidden="1" customHeight="1" outlineLevel="1" x14ac:dyDescent="0.25">
      <c r="B250" s="224"/>
      <c r="C250" s="9"/>
      <c r="D250" s="17" t="s">
        <v>94</v>
      </c>
      <c r="E250" s="6"/>
      <c r="F250" s="24"/>
      <c r="G250" s="24"/>
      <c r="H250" s="24"/>
      <c r="I250" s="6"/>
      <c r="J250" s="24"/>
      <c r="K250" s="24"/>
      <c r="L250" s="24"/>
      <c r="M250" s="6"/>
      <c r="N250" s="24"/>
      <c r="O250" s="24"/>
      <c r="P250" s="24"/>
      <c r="Q250" s="6"/>
      <c r="R250" s="24"/>
      <c r="S250" s="24"/>
      <c r="T250" s="24"/>
    </row>
    <row r="251" spans="2:20" ht="19.5" hidden="1" customHeight="1" outlineLevel="2" x14ac:dyDescent="0.25">
      <c r="B251" s="224"/>
      <c r="C251" s="9"/>
      <c r="D251" s="17" t="s">
        <v>95</v>
      </c>
      <c r="E251" s="7"/>
      <c r="F251" s="24"/>
      <c r="G251" s="24"/>
      <c r="H251" s="24"/>
      <c r="I251" s="7"/>
      <c r="J251" s="24"/>
      <c r="K251" s="24"/>
      <c r="L251" s="24"/>
      <c r="M251" s="7"/>
      <c r="N251" s="24"/>
      <c r="O251" s="24"/>
      <c r="P251" s="24"/>
      <c r="Q251" s="7"/>
      <c r="R251" s="24"/>
      <c r="S251" s="24"/>
      <c r="T251" s="24"/>
    </row>
    <row r="252" spans="2:20" ht="20.149999999999999" hidden="1" customHeight="1" outlineLevel="1" x14ac:dyDescent="0.25">
      <c r="B252" s="224"/>
      <c r="C252" s="9"/>
      <c r="D252" s="17" t="s">
        <v>96</v>
      </c>
      <c r="E252" s="7"/>
      <c r="F252" s="24"/>
      <c r="G252" s="24"/>
      <c r="H252" s="24"/>
      <c r="I252" s="7"/>
      <c r="J252" s="24"/>
      <c r="K252" s="24"/>
      <c r="L252" s="24"/>
      <c r="M252" s="7"/>
      <c r="N252" s="24"/>
      <c r="O252" s="24"/>
      <c r="P252" s="24"/>
      <c r="Q252" s="7"/>
      <c r="R252" s="24"/>
      <c r="S252" s="24"/>
      <c r="T252" s="24"/>
    </row>
    <row r="253" spans="2:20" ht="20.149999999999999" hidden="1" customHeight="1" outlineLevel="2" x14ac:dyDescent="0.25">
      <c r="B253" s="224"/>
      <c r="C253" s="9"/>
      <c r="D253" s="18" t="s">
        <v>87</v>
      </c>
      <c r="E253" s="7"/>
      <c r="F253" s="24"/>
      <c r="G253" s="24"/>
      <c r="H253" s="24"/>
      <c r="I253" s="7"/>
      <c r="J253" s="24"/>
      <c r="K253" s="24"/>
      <c r="L253" s="24"/>
      <c r="M253" s="7"/>
      <c r="N253" s="24"/>
      <c r="O253" s="24"/>
      <c r="P253" s="24"/>
      <c r="Q253" s="7"/>
      <c r="R253" s="24"/>
      <c r="S253" s="24"/>
      <c r="T253" s="24"/>
    </row>
    <row r="254" spans="2:20" ht="19.5" hidden="1" customHeight="1" outlineLevel="2" x14ac:dyDescent="0.25">
      <c r="B254" s="224"/>
      <c r="C254" s="9"/>
      <c r="D254" s="18" t="s">
        <v>88</v>
      </c>
      <c r="E254" s="7"/>
      <c r="F254" s="24"/>
      <c r="G254" s="24"/>
      <c r="H254" s="24"/>
      <c r="I254" s="7"/>
      <c r="J254" s="24"/>
      <c r="K254" s="24"/>
      <c r="L254" s="24"/>
      <c r="M254" s="7"/>
      <c r="N254" s="24"/>
      <c r="O254" s="24"/>
      <c r="P254" s="24"/>
      <c r="Q254" s="7"/>
      <c r="R254" s="24"/>
      <c r="S254" s="24"/>
      <c r="T254" s="24"/>
    </row>
    <row r="255" spans="2:20" ht="20.149999999999999" hidden="1" customHeight="1" outlineLevel="1" x14ac:dyDescent="0.25">
      <c r="B255" s="224"/>
      <c r="C255" s="9"/>
      <c r="D255" s="17" t="s">
        <v>97</v>
      </c>
      <c r="E255" s="7"/>
      <c r="F255" s="24"/>
      <c r="G255" s="24"/>
      <c r="H255" s="24"/>
      <c r="I255" s="7"/>
      <c r="J255" s="24"/>
      <c r="K255" s="24"/>
      <c r="L255" s="24"/>
      <c r="M255" s="7"/>
      <c r="N255" s="24"/>
      <c r="O255" s="24"/>
      <c r="P255" s="24"/>
      <c r="Q255" s="7"/>
      <c r="R255" s="24"/>
      <c r="S255" s="24"/>
      <c r="T255" s="24"/>
    </row>
    <row r="256" spans="2:20" ht="20.149999999999999" hidden="1" customHeight="1" outlineLevel="1" x14ac:dyDescent="0.25">
      <c r="B256" s="224"/>
      <c r="C256" s="9"/>
      <c r="D256" s="17" t="s">
        <v>90</v>
      </c>
      <c r="E256" s="7"/>
      <c r="F256" s="24"/>
      <c r="G256" s="24"/>
      <c r="H256" s="24"/>
      <c r="I256" s="7"/>
      <c r="J256" s="24"/>
      <c r="K256" s="24"/>
      <c r="L256" s="24"/>
      <c r="M256" s="7"/>
      <c r="N256" s="24"/>
      <c r="O256" s="24"/>
      <c r="P256" s="24"/>
      <c r="Q256" s="7"/>
      <c r="R256" s="24"/>
      <c r="S256" s="24"/>
      <c r="T256" s="24"/>
    </row>
    <row r="257" spans="2:20" ht="20.149999999999999" hidden="1" customHeight="1" outlineLevel="1" x14ac:dyDescent="0.25">
      <c r="B257" s="224"/>
      <c r="C257" s="9"/>
      <c r="D257" s="17" t="s">
        <v>79</v>
      </c>
      <c r="E257" s="8"/>
      <c r="F257" s="24"/>
      <c r="G257" s="24"/>
      <c r="H257" s="24"/>
      <c r="I257" s="8"/>
      <c r="J257" s="24"/>
      <c r="K257" s="24"/>
      <c r="L257" s="24"/>
      <c r="M257" s="8"/>
      <c r="N257" s="24"/>
      <c r="O257" s="24"/>
      <c r="P257" s="24"/>
      <c r="Q257" s="8"/>
      <c r="R257" s="24"/>
      <c r="S257" s="24"/>
      <c r="T257" s="24"/>
    </row>
    <row r="258" spans="2:20" ht="19.5" hidden="1" customHeight="1" outlineLevel="1" x14ac:dyDescent="0.25">
      <c r="B258" s="224"/>
      <c r="C258" s="9"/>
      <c r="D258" s="17" t="s">
        <v>34</v>
      </c>
      <c r="E258" s="6"/>
      <c r="F258" s="23"/>
      <c r="G258" s="23"/>
      <c r="H258" s="23"/>
      <c r="I258" s="6"/>
      <c r="J258" s="23"/>
      <c r="K258" s="23"/>
      <c r="L258" s="23"/>
      <c r="M258" s="6"/>
      <c r="N258" s="23"/>
      <c r="O258" s="23"/>
      <c r="P258" s="23"/>
      <c r="Q258" s="6"/>
      <c r="R258" s="23"/>
      <c r="S258" s="23"/>
      <c r="T258" s="23"/>
    </row>
    <row r="259" spans="2:20" ht="7.5" customHeight="1" collapsed="1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2:20" ht="19.5" customHeight="1" x14ac:dyDescent="0.25">
      <c r="B260" s="225" t="s">
        <v>109</v>
      </c>
      <c r="C260" s="9"/>
      <c r="D260" s="16" t="s">
        <v>19</v>
      </c>
      <c r="E260" s="6"/>
      <c r="F260" s="25">
        <v>767.73896734999994</v>
      </c>
      <c r="G260" s="25">
        <v>733.50929002999999</v>
      </c>
      <c r="H260" s="25">
        <v>761.15737754566203</v>
      </c>
      <c r="I260" s="6"/>
      <c r="J260" s="25">
        <f>+[1]H9!$C$81/1000</f>
        <v>0</v>
      </c>
      <c r="K260" s="25">
        <f>+[1]H9!$C$82/1000</f>
        <v>0</v>
      </c>
      <c r="L260" s="25">
        <f>+[1]H9!$C$83/1000</f>
        <v>0</v>
      </c>
      <c r="M260" s="6"/>
      <c r="N260" s="25">
        <v>767.73896734999994</v>
      </c>
      <c r="O260" s="25">
        <v>733.50929002999999</v>
      </c>
      <c r="P260" s="25">
        <v>761.15737754566203</v>
      </c>
      <c r="Q260" s="6"/>
      <c r="R260" s="25">
        <f>+[1]H9!$EA$81/1000</f>
        <v>0</v>
      </c>
      <c r="S260" s="25">
        <f>+[1]H9!$EA$82/1000</f>
        <v>0</v>
      </c>
      <c r="T260" s="25">
        <f>+[1]H9!$EA$83/1000</f>
        <v>0</v>
      </c>
    </row>
    <row r="261" spans="2:20" ht="20.149999999999999" customHeight="1" x14ac:dyDescent="0.25">
      <c r="B261" s="225"/>
      <c r="C261" s="9"/>
      <c r="D261" s="16" t="s">
        <v>20</v>
      </c>
      <c r="E261" s="6"/>
      <c r="F261" s="25">
        <v>716.54631788999995</v>
      </c>
      <c r="G261" s="25">
        <v>685.01450756999998</v>
      </c>
      <c r="H261" s="25">
        <v>693.84504081129205</v>
      </c>
      <c r="I261" s="6"/>
      <c r="J261" s="25">
        <f>+[1]H9!$N$81/1000</f>
        <v>0</v>
      </c>
      <c r="K261" s="25">
        <f>+[1]H9!$N$82/1000</f>
        <v>0</v>
      </c>
      <c r="L261" s="25">
        <f>+[1]H9!$N$83/1000</f>
        <v>0</v>
      </c>
      <c r="M261" s="6"/>
      <c r="N261" s="25">
        <v>716.54631788999995</v>
      </c>
      <c r="O261" s="25">
        <v>685.01450756999998</v>
      </c>
      <c r="P261" s="25">
        <v>693.84504081129205</v>
      </c>
      <c r="Q261" s="6"/>
      <c r="R261" s="25">
        <f>+[1]H9!$EL$81/1000</f>
        <v>0</v>
      </c>
      <c r="S261" s="25">
        <f>+[1]H9!$EL$82/1000</f>
        <v>0</v>
      </c>
      <c r="T261" s="25">
        <f>+[1]H9!$EL$83/1000</f>
        <v>0</v>
      </c>
    </row>
    <row r="262" spans="2:20" ht="19.5" customHeight="1" x14ac:dyDescent="0.25">
      <c r="B262" s="225"/>
      <c r="C262" s="9"/>
      <c r="D262" s="16" t="s">
        <v>92</v>
      </c>
      <c r="E262" s="6"/>
      <c r="F262" s="26" t="e">
        <f>F265-F264-F263</f>
        <v>#VALUE!</v>
      </c>
      <c r="G262" s="26" t="e">
        <f>G265-G264-G263</f>
        <v>#VALUE!</v>
      </c>
      <c r="H262" s="26" t="e">
        <f>H265-H264-H263</f>
        <v>#VALUE!</v>
      </c>
      <c r="I262" s="6"/>
      <c r="J262" s="26" t="e">
        <f>-(SUM([1]H9!$O$81,[1]H9!$R$81:$V$81,[1]H9!$Y$81:$AB$81)/1000)/J261</f>
        <v>#DIV/0!</v>
      </c>
      <c r="K262" s="26" t="e">
        <f>-(SUM([1]H9!$O$82,[1]H9!$R$82:$V$82,[1]H9!$Y$82:$AB$82)/1000)/K261</f>
        <v>#DIV/0!</v>
      </c>
      <c r="L262" s="26" t="e">
        <f>-(SUM([1]H9!$O$83,[1]H9!$R$83:$V$83,[1]H9!$Y$83:$AB$83)/1000)/L261</f>
        <v>#DIV/0!</v>
      </c>
      <c r="M262" s="6"/>
      <c r="N262" s="26" t="e">
        <f>N265-N264-N263</f>
        <v>#VALUE!</v>
      </c>
      <c r="O262" s="26" t="e">
        <f>O265-O264-O263</f>
        <v>#VALUE!</v>
      </c>
      <c r="P262" s="26" t="e">
        <f>P265-P264-P263</f>
        <v>#VALUE!</v>
      </c>
      <c r="Q262" s="6"/>
      <c r="R262" s="26" t="e">
        <f>-(SUM([1]H9!$EM$81,[1]H9!$EP$81:$ET$81,[1]H9!$EW$81:$EZ$81)/1000)/R261</f>
        <v>#DIV/0!</v>
      </c>
      <c r="S262" s="26" t="e">
        <f>-(SUM([1]H9!$EM$82,[1]H9!$EP$82:$ET$82,[1]H9!$EW$82:$EZ$82)/1000)/S261</f>
        <v>#DIV/0!</v>
      </c>
      <c r="T262" s="26" t="e">
        <f>-(SUM([1]H9!$EM$83,[1]H9!$EP$83:$ET$83,[1]H9!$EW$83:$EZ$83)/1000)/T261</f>
        <v>#DIV/0!</v>
      </c>
    </row>
    <row r="263" spans="2:20" ht="19.5" customHeight="1" x14ac:dyDescent="0.25">
      <c r="B263" s="225"/>
      <c r="C263" s="9"/>
      <c r="D263" s="16" t="s">
        <v>93</v>
      </c>
      <c r="E263" s="6"/>
      <c r="F263" s="26" t="e">
        <f>(F193*F191+F207*F205+F221*F219)/F261</f>
        <v>#REF!</v>
      </c>
      <c r="G263" s="26" t="e">
        <f>(G193*G191+G207*G205+G221*G219)/G261</f>
        <v>#REF!</v>
      </c>
      <c r="H263" s="26" t="e">
        <f>(H193*H191+H207*H205+H221*H219)/H261</f>
        <v>#REF!</v>
      </c>
      <c r="I263" s="6"/>
      <c r="J263" s="26" t="e">
        <f>-(SUM([1]H9!$Q$81,[1]H9!$X$81)/1000)/J261</f>
        <v>#DIV/0!</v>
      </c>
      <c r="K263" s="26" t="e">
        <f>-(SUM([1]H9!$Q$82,[1]H9!$X$82)/1000)/K261</f>
        <v>#DIV/0!</v>
      </c>
      <c r="L263" s="26" t="e">
        <f>-(SUM([1]H9!$Q$83,[1]H9!$X$83)/1000)/L261</f>
        <v>#DIV/0!</v>
      </c>
      <c r="M263" s="6"/>
      <c r="N263" s="26" t="e">
        <f>(N193*N191+N207*N205+N221*N219)/N261</f>
        <v>#REF!</v>
      </c>
      <c r="O263" s="26" t="e">
        <f>(O193*O191+O207*O205+O221*O219)/O261</f>
        <v>#REF!</v>
      </c>
      <c r="P263" s="26" t="e">
        <f>(P193*P191+P207*P205+P221*P219)/P261</f>
        <v>#REF!</v>
      </c>
      <c r="Q263" s="6"/>
      <c r="R263" s="26" t="e">
        <f>-(SUM([1]H9!$EO$81,[1]H9!$EV$81)/1000)/R261</f>
        <v>#DIV/0!</v>
      </c>
      <c r="S263" s="26" t="e">
        <f>-(SUM([1]H9!$EO$82,[1]H9!$EV$82)/1000)/S261</f>
        <v>#DIV/0!</v>
      </c>
      <c r="T263" s="26" t="e">
        <f>-(SUM([1]H9!$EO$83,[1]H9!$EV$83)/1000)/T261</f>
        <v>#DIV/0!</v>
      </c>
    </row>
    <row r="264" spans="2:20" ht="19.5" customHeight="1" x14ac:dyDescent="0.25">
      <c r="B264" s="225"/>
      <c r="C264" s="9"/>
      <c r="D264" s="16" t="s">
        <v>94</v>
      </c>
      <c r="E264" s="6"/>
      <c r="F264" s="26" t="e">
        <f>(F194*F191+F208*F205+F219*F222)/F261</f>
        <v>#VALUE!</v>
      </c>
      <c r="G264" s="26" t="e">
        <f>(G194*G191+G208*G205+G219*G222)/G261</f>
        <v>#VALUE!</v>
      </c>
      <c r="H264" s="26" t="e">
        <f>(H194*H191+H208*H205+H219*H222)/H261</f>
        <v>#VALUE!</v>
      </c>
      <c r="I264" s="6"/>
      <c r="J264" s="26" t="e">
        <f>-(SUM([1]H9!$P$81,[1]H9!$W$81)/1000)/J261</f>
        <v>#DIV/0!</v>
      </c>
      <c r="K264" s="26" t="e">
        <f>-(SUM([1]H9!$P$82,[1]H9!$W$82)/1000)/K261</f>
        <v>#DIV/0!</v>
      </c>
      <c r="L264" s="26" t="e">
        <f>-(SUM([1]H9!$P$83,[1]H9!$W$83)/1000)/L261</f>
        <v>#DIV/0!</v>
      </c>
      <c r="M264" s="6"/>
      <c r="N264" s="26" t="e">
        <f>(N194*N191+N208*N205+N219*N222)/N261</f>
        <v>#VALUE!</v>
      </c>
      <c r="O264" s="26" t="e">
        <f>(O194*O191+O208*O205+O219*O222)/O261</f>
        <v>#VALUE!</v>
      </c>
      <c r="P264" s="26" t="e">
        <f>(P194*P191+P208*P205+P219*P222)/P261</f>
        <v>#VALUE!</v>
      </c>
      <c r="Q264" s="6"/>
      <c r="R264" s="26" t="e">
        <f>-(SUM([1]H9!$EN$81,[1]H9!$EU$81)/1000)/R261</f>
        <v>#DIV/0!</v>
      </c>
      <c r="S264" s="26" t="e">
        <f>-(SUM([1]H9!$EN$82,[1]H9!$EU$82)/1000)/S261</f>
        <v>#DIV/0!</v>
      </c>
      <c r="T264" s="26" t="e">
        <f>-(SUM([1]H9!$EN$83,[1]H9!$EU$83)/1000)/T261</f>
        <v>#DIV/0!</v>
      </c>
    </row>
    <row r="265" spans="2:20" ht="19.5" hidden="1" customHeight="1" outlineLevel="1" x14ac:dyDescent="0.25">
      <c r="B265" s="225"/>
      <c r="C265" s="9"/>
      <c r="D265" s="16" t="s">
        <v>95</v>
      </c>
      <c r="E265" s="7"/>
      <c r="F265" s="26">
        <v>0.65682565940175663</v>
      </c>
      <c r="G265" s="26">
        <v>0.57614070459620159</v>
      </c>
      <c r="H265" s="26">
        <v>0.6615301505572545</v>
      </c>
      <c r="I265" s="7"/>
      <c r="J265" s="26" t="e">
        <f>+J262+J263+J264</f>
        <v>#DIV/0!</v>
      </c>
      <c r="K265" s="26" t="e">
        <f>+K262+K263+K264</f>
        <v>#DIV/0!</v>
      </c>
      <c r="L265" s="26" t="e">
        <f>+L262+L263+L264</f>
        <v>#DIV/0!</v>
      </c>
      <c r="M265" s="7"/>
      <c r="N265" s="26">
        <v>0.65682565940175663</v>
      </c>
      <c r="O265" s="26">
        <v>0.57614070459620159</v>
      </c>
      <c r="P265" s="26">
        <v>0.6615301505572545</v>
      </c>
      <c r="Q265" s="7"/>
      <c r="R265" s="26" t="e">
        <f>+R262+R263+R264</f>
        <v>#DIV/0!</v>
      </c>
      <c r="S265" s="26" t="e">
        <f>+S262+S263+S264</f>
        <v>#DIV/0!</v>
      </c>
      <c r="T265" s="26" t="e">
        <f>+T262+T263+T264</f>
        <v>#DIV/0!</v>
      </c>
    </row>
    <row r="266" spans="2:20" ht="20.149999999999999" customHeight="1" collapsed="1" x14ac:dyDescent="0.25">
      <c r="B266" s="225"/>
      <c r="C266" s="9"/>
      <c r="D266" s="16" t="s">
        <v>96</v>
      </c>
      <c r="E266" s="7"/>
      <c r="F266" s="26">
        <v>-3.2452375205101303E-2</v>
      </c>
      <c r="G266" s="26">
        <v>1.0421772985983643E-2</v>
      </c>
      <c r="H266" s="26">
        <v>-1.04490189791121E-2</v>
      </c>
      <c r="I266" s="7"/>
      <c r="J266" s="26" t="e">
        <f>-(SUM([1]H9!$AC$81:$AK$81)/1000)/J261</f>
        <v>#DIV/0!</v>
      </c>
      <c r="K266" s="26" t="e">
        <f>-(SUM([1]H9!$AC$82:$AK$82)/1000)/K261</f>
        <v>#DIV/0!</v>
      </c>
      <c r="L266" s="26" t="e">
        <f>-(SUM([1]H9!$AC$83:$AK$83)/1000)/L261</f>
        <v>#DIV/0!</v>
      </c>
      <c r="M266" s="7"/>
      <c r="N266" s="26">
        <v>-3.2452375205101303E-2</v>
      </c>
      <c r="O266" s="26">
        <v>1.0421772985983643E-2</v>
      </c>
      <c r="P266" s="26">
        <v>-1.04490189791121E-2</v>
      </c>
      <c r="Q266" s="7"/>
      <c r="R266" s="26" t="e">
        <f>-(SUM([1]H9!$FA$81:$FI$81)/1000)/R261</f>
        <v>#DIV/0!</v>
      </c>
      <c r="S266" s="26" t="e">
        <f>-(SUM([1]H9!$FA$82:$FI$82)/1000)/S261</f>
        <v>#DIV/0!</v>
      </c>
      <c r="T266" s="26" t="e">
        <f>-(SUM([1]H9!$FA$83:$FI$83)/1000)/T261</f>
        <v>#DIV/0!</v>
      </c>
    </row>
    <row r="267" spans="2:20" ht="20.149999999999999" hidden="1" customHeight="1" outlineLevel="1" x14ac:dyDescent="0.25">
      <c r="B267" s="225"/>
      <c r="C267" s="9"/>
      <c r="D267" s="13" t="s">
        <v>87</v>
      </c>
      <c r="E267" s="7"/>
      <c r="F267" s="26">
        <v>0.12525205080151947</v>
      </c>
      <c r="G267" s="26">
        <v>0.12472092690864583</v>
      </c>
      <c r="H267" s="26">
        <v>0.12662921817818915</v>
      </c>
      <c r="I267" s="7"/>
      <c r="J267" s="26" t="e">
        <f>-(SUM([1]H9!$AL$81:$AN$81)/1000)/J261</f>
        <v>#DIV/0!</v>
      </c>
      <c r="K267" s="26" t="e">
        <f>-(SUM([1]H9!$AL$82:$AN$82)/1000)/K261</f>
        <v>#DIV/0!</v>
      </c>
      <c r="L267" s="26" t="e">
        <f>-(SUM([1]H9!$AL$83:$AN$83)/1000)/L261</f>
        <v>#DIV/0!</v>
      </c>
      <c r="M267" s="7"/>
      <c r="N267" s="26">
        <v>0.12525205080151947</v>
      </c>
      <c r="O267" s="26">
        <v>0.12472092690864583</v>
      </c>
      <c r="P267" s="26">
        <v>0.12662921817818915</v>
      </c>
      <c r="Q267" s="7"/>
      <c r="R267" s="26" t="e">
        <f>-(SUM([1]H9!$FJ$81:$FL$81)/1000)/R261</f>
        <v>#DIV/0!</v>
      </c>
      <c r="S267" s="26" t="e">
        <f>-(SUM([1]H9!$FJ$82:$FL$82)/1000)/S261</f>
        <v>#DIV/0!</v>
      </c>
      <c r="T267" s="26" t="e">
        <f>-(SUM([1]H9!$FJ$83:$FL$83)/1000)/T261</f>
        <v>#DIV/0!</v>
      </c>
    </row>
    <row r="268" spans="2:20" ht="20.149999999999999" hidden="1" customHeight="1" outlineLevel="1" x14ac:dyDescent="0.25">
      <c r="B268" s="225"/>
      <c r="C268" s="9"/>
      <c r="D268" s="13" t="s">
        <v>88</v>
      </c>
      <c r="E268" s="7"/>
      <c r="F268" s="26">
        <v>0.11703136290887124</v>
      </c>
      <c r="G268" s="26">
        <v>0.12530740730513432</v>
      </c>
      <c r="H268" s="26">
        <v>0.12041843301110733</v>
      </c>
      <c r="I268" s="7"/>
      <c r="J268" s="26" t="e">
        <f>-(SUM([1]H9!$AO$81:$AR$81)/1000)/J261</f>
        <v>#DIV/0!</v>
      </c>
      <c r="K268" s="26" t="e">
        <f>-(SUM([1]H9!$AO$82:$AR$82)/1000)/K261</f>
        <v>#DIV/0!</v>
      </c>
      <c r="L268" s="26" t="e">
        <f>-(SUM([1]H9!$AO$83:$AR$83)/1000)/L261</f>
        <v>#DIV/0!</v>
      </c>
      <c r="M268" s="7"/>
      <c r="N268" s="26">
        <v>0.11703136290887124</v>
      </c>
      <c r="O268" s="26">
        <v>0.12530740730513432</v>
      </c>
      <c r="P268" s="26">
        <v>0.12041843301110733</v>
      </c>
      <c r="Q268" s="7"/>
      <c r="R268" s="26" t="e">
        <f>-(SUM([1]H9!$FM$81:$FP$81)/1000)/R261</f>
        <v>#DIV/0!</v>
      </c>
      <c r="S268" s="26" t="e">
        <f>-(SUM([1]H9!$FM$82:$FP$82)/1000)/S261</f>
        <v>#DIV/0!</v>
      </c>
      <c r="T268" s="26" t="e">
        <f>-(SUM([1]H9!$FM$83:$FP$83)/1000)/T261</f>
        <v>#DIV/0!</v>
      </c>
    </row>
    <row r="269" spans="2:20" ht="20.149999999999999" customHeight="1" collapsed="1" x14ac:dyDescent="0.25">
      <c r="B269" s="225"/>
      <c r="C269" s="9"/>
      <c r="D269" s="16" t="s">
        <v>97</v>
      </c>
      <c r="E269" s="7"/>
      <c r="F269" s="26">
        <v>0.24228341371039072</v>
      </c>
      <c r="G269" s="26">
        <v>0.25002833421378012</v>
      </c>
      <c r="H269" s="26">
        <v>0.24704765118929647</v>
      </c>
      <c r="I269" s="7"/>
      <c r="J269" s="26" t="e">
        <f>+J267+J268</f>
        <v>#DIV/0!</v>
      </c>
      <c r="K269" s="26" t="e">
        <f>+K267+K268</f>
        <v>#DIV/0!</v>
      </c>
      <c r="L269" s="26" t="e">
        <f>+L267+L268</f>
        <v>#DIV/0!</v>
      </c>
      <c r="M269" s="7"/>
      <c r="N269" s="26">
        <v>0.24228341371039072</v>
      </c>
      <c r="O269" s="26">
        <v>0.25002833421378012</v>
      </c>
      <c r="P269" s="26">
        <v>0.24704765118929647</v>
      </c>
      <c r="Q269" s="7"/>
      <c r="R269" s="26" t="e">
        <f>+R267+R268</f>
        <v>#DIV/0!</v>
      </c>
      <c r="S269" s="26" t="e">
        <f>+S267+S268</f>
        <v>#DIV/0!</v>
      </c>
      <c r="T269" s="26" t="e">
        <f>+T267+T268</f>
        <v>#DIV/0!</v>
      </c>
    </row>
    <row r="270" spans="2:20" ht="20.149999999999999" customHeight="1" x14ac:dyDescent="0.25">
      <c r="B270" s="225"/>
      <c r="C270" s="9"/>
      <c r="D270" s="16" t="s">
        <v>90</v>
      </c>
      <c r="E270" s="7"/>
      <c r="F270" s="26"/>
      <c r="G270" s="26"/>
      <c r="H270" s="26"/>
      <c r="I270" s="7"/>
      <c r="J270" s="26" t="e">
        <f>-(SUM([1]H9!$AT$81:$BJ$81)/1000/J261)</f>
        <v>#DIV/0!</v>
      </c>
      <c r="K270" s="26" t="e">
        <f>-(SUM([1]H9!$AT$82:$BJ$82)/1000/K261)</f>
        <v>#DIV/0!</v>
      </c>
      <c r="L270" s="26" t="e">
        <f>-(SUM([1]H9!$AT$83:$BJ$83)/1000/L261)</f>
        <v>#DIV/0!</v>
      </c>
      <c r="M270" s="7"/>
      <c r="N270" s="26"/>
      <c r="O270" s="26"/>
      <c r="P270" s="26"/>
      <c r="Q270" s="7"/>
      <c r="R270" s="26" t="e">
        <f>-(SUM([1]H9!$FR$81:$GH$81)/1000/R261)</f>
        <v>#DIV/0!</v>
      </c>
      <c r="S270" s="26" t="e">
        <f>-(SUM([1]H9!$FR$82:$GH$82)/1000/S261)</f>
        <v>#DIV/0!</v>
      </c>
      <c r="T270" s="26" t="e">
        <f>-(SUM([1]H9!$FR$83:$GH$83)/1000/T261)</f>
        <v>#DIV/0!</v>
      </c>
    </row>
    <row r="271" spans="2:20" ht="20.149999999999999" customHeight="1" x14ac:dyDescent="0.25">
      <c r="B271" s="225"/>
      <c r="C271" s="9"/>
      <c r="D271" s="16" t="s">
        <v>79</v>
      </c>
      <c r="E271" s="8"/>
      <c r="F271" s="26">
        <v>0.86665669790704614</v>
      </c>
      <c r="G271" s="26">
        <v>0.83659081179596551</v>
      </c>
      <c r="H271" s="26">
        <v>0.8981287827674389</v>
      </c>
      <c r="I271" s="8"/>
      <c r="J271" s="26" t="e">
        <f>+J265+J266+J269+J270</f>
        <v>#DIV/0!</v>
      </c>
      <c r="K271" s="26" t="e">
        <f>+K265+K266+K269+K270</f>
        <v>#DIV/0!</v>
      </c>
      <c r="L271" s="26" t="e">
        <f>+L265+L266+L269+L270</f>
        <v>#DIV/0!</v>
      </c>
      <c r="M271" s="8"/>
      <c r="N271" s="26">
        <v>0.86665669790704614</v>
      </c>
      <c r="O271" s="26">
        <v>0.83659081179596551</v>
      </c>
      <c r="P271" s="26">
        <v>0.8981287827674389</v>
      </c>
      <c r="Q271" s="8"/>
      <c r="R271" s="26" t="e">
        <f>+R265+R266+R269+R270</f>
        <v>#DIV/0!</v>
      </c>
      <c r="S271" s="26" t="e">
        <f>+S265+S266+S269+S270</f>
        <v>#DIV/0!</v>
      </c>
      <c r="T271" s="26" t="e">
        <f>+T265+T266+T269+T270</f>
        <v>#DIV/0!</v>
      </c>
    </row>
    <row r="272" spans="2:20" ht="19.5" customHeight="1" x14ac:dyDescent="0.25">
      <c r="B272" s="225"/>
      <c r="C272" s="9"/>
      <c r="D272" s="16" t="s">
        <v>34</v>
      </c>
      <c r="E272" s="6"/>
      <c r="F272" s="25">
        <v>95.546652130000155</v>
      </c>
      <c r="G272" s="25">
        <v>111.93766459000008</v>
      </c>
      <c r="H272" s="25">
        <v>70.68283887822237</v>
      </c>
      <c r="I272" s="6"/>
      <c r="J272" s="25">
        <f>+[1]H9!$BK$81/1000</f>
        <v>-0.30267144999999995</v>
      </c>
      <c r="K272" s="25">
        <f>+[1]H9!$BK$82/1000</f>
        <v>-1.7061000000000002E-4</v>
      </c>
      <c r="L272" s="25">
        <f>+[1]H9!$BK$83/1000</f>
        <v>0</v>
      </c>
      <c r="M272" s="6"/>
      <c r="N272" s="25">
        <v>95.546652130000155</v>
      </c>
      <c r="O272" s="25">
        <v>111.93766459000008</v>
      </c>
      <c r="P272" s="25">
        <v>70.68283887822237</v>
      </c>
      <c r="Q272" s="6"/>
      <c r="R272" s="25">
        <f>+[1]H9!$GI$81/1000</f>
        <v>-0.14469740999999997</v>
      </c>
      <c r="S272" s="25">
        <f>+[1]H9!$GI$82/1000</f>
        <v>0</v>
      </c>
      <c r="T272" s="25">
        <f>+[1]H9!$GI$83/1000</f>
        <v>0</v>
      </c>
    </row>
  </sheetData>
  <mergeCells count="23">
    <mergeCell ref="B22:B34"/>
    <mergeCell ref="B3:D3"/>
    <mergeCell ref="F3:T3"/>
    <mergeCell ref="F4:H4"/>
    <mergeCell ref="N4:P4"/>
    <mergeCell ref="B8:B20"/>
    <mergeCell ref="B190:B202"/>
    <mergeCell ref="B36:B48"/>
    <mergeCell ref="B50:B62"/>
    <mergeCell ref="B64:B76"/>
    <mergeCell ref="B78:B90"/>
    <mergeCell ref="B92:B104"/>
    <mergeCell ref="B106:B118"/>
    <mergeCell ref="B120:B132"/>
    <mergeCell ref="B134:B146"/>
    <mergeCell ref="B148:B160"/>
    <mergeCell ref="B162:B174"/>
    <mergeCell ref="B176:B188"/>
    <mergeCell ref="B204:B216"/>
    <mergeCell ref="B218:B230"/>
    <mergeCell ref="B232:B244"/>
    <mergeCell ref="B246:B258"/>
    <mergeCell ref="B260:B272"/>
  </mergeCells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ustomProperties>
    <customPr name="_pios_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1A29-6AFA-4037-AAFF-278763492AB8}">
  <sheetPr codeName="Sheet12"/>
  <dimension ref="A1:CJ25"/>
  <sheetViews>
    <sheetView zoomScale="70" zoomScaleNormal="70" zoomScaleSheetLayoutView="55" workbookViewId="0">
      <pane xSplit="5" ySplit="6" topLeftCell="J7" activePane="bottomRight" state="frozen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6953125" defaultRowHeight="16.5" outlineLevelRow="1" outlineLevelCol="1" x14ac:dyDescent="0.25"/>
  <cols>
    <col min="1" max="1" width="0.54296875" style="3" customWidth="1"/>
    <col min="2" max="2" width="20.54296875" style="3" customWidth="1"/>
    <col min="3" max="3" width="0.54296875" style="3" customWidth="1"/>
    <col min="4" max="4" width="44" style="3" bestFit="1" customWidth="1"/>
    <col min="5" max="5" width="0.54296875" style="3" customWidth="1"/>
    <col min="6" max="8" width="10.54296875" style="3" hidden="1" customWidth="1" outlineLevel="1"/>
    <col min="9" max="9" width="0.54296875" style="3" hidden="1" customWidth="1" outlineLevel="1"/>
    <col min="10" max="10" width="10.54296875" style="3" customWidth="1" collapsed="1"/>
    <col min="11" max="12" width="10.54296875" style="3" customWidth="1"/>
    <col min="13" max="13" width="0.54296875" style="3" customWidth="1"/>
    <col min="14" max="16" width="10.54296875" style="3" customWidth="1"/>
    <col min="17" max="17" width="0.54296875" style="3" customWidth="1"/>
    <col min="18" max="20" width="10.54296875" style="3" customWidth="1"/>
    <col min="21" max="21" width="0.54296875" style="3" customWidth="1"/>
    <col min="22" max="24" width="10.54296875" style="3" customWidth="1"/>
    <col min="25" max="25" width="0.54296875" style="3" customWidth="1"/>
    <col min="26" max="28" width="10.54296875" style="3" customWidth="1"/>
    <col min="29" max="29" width="0.54296875" style="3" customWidth="1"/>
    <col min="30" max="32" width="10.54296875" style="3" customWidth="1"/>
    <col min="33" max="33" width="0.54296875" style="3" customWidth="1"/>
    <col min="34" max="36" width="10.54296875" style="3" customWidth="1"/>
    <col min="37" max="37" width="0.54296875" style="3" customWidth="1"/>
    <col min="38" max="40" width="10.54296875" style="3" customWidth="1"/>
    <col min="41" max="41" width="0.54296875" style="3" customWidth="1"/>
    <col min="42" max="44" width="10.54296875" style="3" customWidth="1"/>
    <col min="45" max="45" width="0.54296875" style="3" customWidth="1"/>
    <col min="46" max="48" width="10.54296875" style="3" customWidth="1"/>
    <col min="49" max="49" width="0.54296875" style="3" customWidth="1"/>
    <col min="50" max="52" width="12.54296875" style="3" customWidth="1"/>
    <col min="53" max="53" width="10.7265625" style="3" customWidth="1"/>
    <col min="54" max="54" width="20.54296875" style="3" customWidth="1"/>
    <col min="55" max="55" width="0.54296875" style="3" customWidth="1"/>
    <col min="56" max="56" width="44" style="3" bestFit="1" customWidth="1"/>
    <col min="57" max="57" width="0.54296875" style="3" customWidth="1"/>
    <col min="58" max="60" width="10.54296875" style="3" hidden="1" customWidth="1" outlineLevel="1"/>
    <col min="61" max="61" width="0.54296875" style="3" hidden="1" customWidth="1" outlineLevel="1"/>
    <col min="62" max="62" width="10.54296875" style="3" customWidth="1" collapsed="1"/>
    <col min="63" max="64" width="10.54296875" style="3" customWidth="1"/>
    <col min="65" max="65" width="0.54296875" style="3" customWidth="1"/>
    <col min="66" max="68" width="10.54296875" style="3" customWidth="1"/>
    <col min="69" max="69" width="0.54296875" style="3" customWidth="1"/>
    <col min="70" max="72" width="10.54296875" style="3" customWidth="1"/>
    <col min="73" max="73" width="0.54296875" style="3" customWidth="1"/>
    <col min="74" max="76" width="10.54296875" style="3" customWidth="1"/>
    <col min="77" max="77" width="0.54296875" style="3" customWidth="1"/>
    <col min="78" max="80" width="10.54296875" style="3" customWidth="1"/>
    <col min="81" max="81" width="0.54296875" style="3" customWidth="1"/>
    <col min="82" max="84" width="10.54296875" style="3" customWidth="1"/>
    <col min="85" max="85" width="0.54296875" style="3" customWidth="1"/>
    <col min="86" max="88" width="12.54296875" style="3" customWidth="1"/>
    <col min="89" max="16384" width="9.26953125" style="1"/>
  </cols>
  <sheetData>
    <row r="1" spans="2:88" ht="20" x14ac:dyDescent="0.25">
      <c r="B1" s="2" t="e">
        <f>#REF!</f>
        <v>#REF!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2"/>
      <c r="BC1" s="2"/>
      <c r="BD1" s="2"/>
      <c r="BE1" s="4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2:88" ht="20" x14ac:dyDescent="0.25"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/>
      <c r="V2" s="4"/>
      <c r="W2" s="2"/>
      <c r="X2" s="4"/>
      <c r="Y2" s="4"/>
      <c r="Z2" s="4"/>
      <c r="AA2" s="2"/>
      <c r="AB2" s="4"/>
      <c r="AC2" s="4"/>
      <c r="AD2" s="4"/>
      <c r="AE2" s="2"/>
      <c r="AF2" s="4"/>
      <c r="AG2" s="4"/>
      <c r="AH2" s="4"/>
      <c r="AI2" s="2"/>
      <c r="AJ2" s="4"/>
      <c r="AK2" s="4"/>
      <c r="AL2" s="4"/>
      <c r="AM2" s="2"/>
      <c r="AN2" s="4"/>
      <c r="AO2" s="4"/>
      <c r="AP2" s="4"/>
      <c r="AQ2" s="2"/>
      <c r="AR2" s="4"/>
      <c r="AS2" s="4"/>
      <c r="AT2" s="4"/>
      <c r="AU2" s="2"/>
      <c r="AV2" s="4"/>
      <c r="AW2" s="4"/>
      <c r="AX2" s="4"/>
      <c r="AY2" s="2"/>
      <c r="AZ2" s="4"/>
      <c r="BA2" s="4"/>
      <c r="BB2" s="2"/>
      <c r="BC2" s="2"/>
      <c r="BD2" s="2"/>
      <c r="BE2" s="4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4"/>
      <c r="BV2" s="4"/>
      <c r="BW2" s="2"/>
      <c r="BX2" s="4"/>
      <c r="BY2" s="4"/>
      <c r="BZ2" s="4"/>
      <c r="CA2" s="2"/>
      <c r="CB2" s="4"/>
      <c r="CC2" s="4"/>
      <c r="CD2" s="4"/>
      <c r="CE2" s="2"/>
      <c r="CF2" s="4"/>
      <c r="CG2" s="4"/>
      <c r="CH2" s="4"/>
      <c r="CI2" s="2"/>
      <c r="CJ2" s="4"/>
    </row>
    <row r="3" spans="2:88" s="10" customFormat="1" ht="40.15" customHeight="1" thickBot="1" x14ac:dyDescent="0.3">
      <c r="B3" s="206" t="e">
        <f>#REF!</f>
        <v>#REF!</v>
      </c>
      <c r="C3" s="206"/>
      <c r="D3" s="206"/>
      <c r="F3" s="207" t="s">
        <v>4</v>
      </c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B3" s="206" t="e">
        <f>+#REF!</f>
        <v>#REF!</v>
      </c>
      <c r="BC3" s="206"/>
      <c r="BD3" s="206"/>
      <c r="BF3" s="207" t="s">
        <v>4</v>
      </c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BW3" s="207"/>
      <c r="BX3" s="207"/>
      <c r="BY3" s="207"/>
      <c r="BZ3" s="207"/>
      <c r="CA3" s="207"/>
      <c r="CB3" s="207"/>
      <c r="CC3" s="207"/>
      <c r="CD3" s="207"/>
      <c r="CE3" s="207"/>
      <c r="CF3" s="207"/>
      <c r="CG3" s="207"/>
      <c r="CH3" s="207"/>
      <c r="CI3" s="207"/>
      <c r="CJ3" s="207"/>
    </row>
    <row r="4" spans="2:88" s="11" customFormat="1" ht="26.5" x14ac:dyDescent="0.25">
      <c r="E4" s="12"/>
      <c r="F4" s="205" t="s">
        <v>5</v>
      </c>
      <c r="G4" s="205"/>
      <c r="H4" s="205"/>
      <c r="I4" s="12"/>
      <c r="J4" s="30" t="s">
        <v>111</v>
      </c>
      <c r="K4" s="30"/>
      <c r="L4" s="30"/>
      <c r="M4" s="12"/>
      <c r="N4" s="30" t="s">
        <v>112</v>
      </c>
      <c r="O4" s="30"/>
      <c r="P4" s="30"/>
      <c r="Q4" s="12"/>
      <c r="R4" s="30" t="s">
        <v>113</v>
      </c>
      <c r="S4" s="30"/>
      <c r="T4" s="30"/>
      <c r="U4" s="12"/>
      <c r="V4" s="205" t="s">
        <v>71</v>
      </c>
      <c r="W4" s="205"/>
      <c r="X4" s="205"/>
      <c r="Y4" s="12"/>
      <c r="Z4" s="205" t="s">
        <v>114</v>
      </c>
      <c r="AA4" s="205"/>
      <c r="AB4" s="205"/>
      <c r="AC4" s="12"/>
      <c r="AD4" s="205" t="s">
        <v>115</v>
      </c>
      <c r="AE4" s="205"/>
      <c r="AF4" s="205"/>
      <c r="AG4" s="12"/>
      <c r="AH4" s="205" t="s">
        <v>116</v>
      </c>
      <c r="AI4" s="205"/>
      <c r="AJ4" s="205"/>
      <c r="AK4" s="12"/>
      <c r="AL4" s="205" t="s">
        <v>117</v>
      </c>
      <c r="AM4" s="205"/>
      <c r="AN4" s="205"/>
      <c r="AO4" s="12"/>
      <c r="AP4" s="205" t="s">
        <v>118</v>
      </c>
      <c r="AQ4" s="205"/>
      <c r="AR4" s="205"/>
      <c r="AS4" s="12"/>
      <c r="AT4" s="205" t="s">
        <v>119</v>
      </c>
      <c r="AU4" s="205"/>
      <c r="AV4" s="205"/>
      <c r="AW4" s="12"/>
      <c r="AX4" s="205" t="s">
        <v>12</v>
      </c>
      <c r="AY4" s="205"/>
      <c r="AZ4" s="205"/>
      <c r="BA4" s="12"/>
      <c r="BE4" s="12"/>
      <c r="BF4" s="205" t="s">
        <v>5</v>
      </c>
      <c r="BG4" s="205"/>
      <c r="BH4" s="205"/>
      <c r="BI4" s="12"/>
      <c r="BJ4" s="30" t="s">
        <v>13</v>
      </c>
      <c r="BK4" s="30"/>
      <c r="BL4" s="30"/>
      <c r="BM4" s="12"/>
      <c r="BN4" s="30" t="s">
        <v>7</v>
      </c>
      <c r="BO4" s="30"/>
      <c r="BP4" s="30"/>
      <c r="BQ4" s="12"/>
      <c r="BR4" s="30" t="s">
        <v>8</v>
      </c>
      <c r="BS4" s="30"/>
      <c r="BT4" s="30"/>
      <c r="BU4" s="12"/>
      <c r="BV4" s="205" t="s">
        <v>9</v>
      </c>
      <c r="BW4" s="205"/>
      <c r="BX4" s="205"/>
      <c r="BY4" s="12"/>
      <c r="BZ4" s="205" t="s">
        <v>10</v>
      </c>
      <c r="CA4" s="205"/>
      <c r="CB4" s="205"/>
      <c r="CC4" s="12"/>
      <c r="CD4" s="205" t="s">
        <v>11</v>
      </c>
      <c r="CE4" s="205"/>
      <c r="CF4" s="205"/>
      <c r="CG4" s="12"/>
      <c r="CH4" s="205" t="s">
        <v>12</v>
      </c>
      <c r="CI4" s="205"/>
      <c r="CJ4" s="205"/>
    </row>
    <row r="6" spans="2:88" x14ac:dyDescent="0.25">
      <c r="F6" s="5" t="s">
        <v>15</v>
      </c>
      <c r="G6" s="5" t="s">
        <v>16</v>
      </c>
      <c r="H6" s="5" t="s">
        <v>17</v>
      </c>
      <c r="J6" s="5" t="s">
        <v>15</v>
      </c>
      <c r="K6" s="5" t="s">
        <v>16</v>
      </c>
      <c r="L6" s="5" t="s">
        <v>17</v>
      </c>
      <c r="N6" s="5" t="s">
        <v>15</v>
      </c>
      <c r="O6" s="5" t="s">
        <v>16</v>
      </c>
      <c r="P6" s="5" t="s">
        <v>17</v>
      </c>
      <c r="R6" s="5" t="s">
        <v>15</v>
      </c>
      <c r="S6" s="5" t="s">
        <v>16</v>
      </c>
      <c r="T6" s="5" t="s">
        <v>17</v>
      </c>
      <c r="V6" s="5" t="s">
        <v>15</v>
      </c>
      <c r="W6" s="5" t="s">
        <v>16</v>
      </c>
      <c r="X6" s="5" t="s">
        <v>17</v>
      </c>
      <c r="Z6" s="5" t="s">
        <v>15</v>
      </c>
      <c r="AA6" s="5" t="s">
        <v>16</v>
      </c>
      <c r="AB6" s="5" t="s">
        <v>17</v>
      </c>
      <c r="AD6" s="5" t="s">
        <v>15</v>
      </c>
      <c r="AE6" s="5" t="s">
        <v>16</v>
      </c>
      <c r="AF6" s="5" t="s">
        <v>17</v>
      </c>
      <c r="AH6" s="5" t="s">
        <v>15</v>
      </c>
      <c r="AI6" s="5" t="s">
        <v>16</v>
      </c>
      <c r="AJ6" s="5" t="s">
        <v>17</v>
      </c>
      <c r="AL6" s="5" t="s">
        <v>15</v>
      </c>
      <c r="AM6" s="5" t="s">
        <v>16</v>
      </c>
      <c r="AN6" s="5" t="s">
        <v>17</v>
      </c>
      <c r="AP6" s="5" t="s">
        <v>15</v>
      </c>
      <c r="AQ6" s="5" t="s">
        <v>16</v>
      </c>
      <c r="AR6" s="5" t="s">
        <v>17</v>
      </c>
      <c r="AT6" s="5" t="s">
        <v>15</v>
      </c>
      <c r="AU6" s="5" t="s">
        <v>16</v>
      </c>
      <c r="AV6" s="5" t="s">
        <v>17</v>
      </c>
      <c r="AX6" s="5" t="s">
        <v>15</v>
      </c>
      <c r="AY6" s="5" t="s">
        <v>16</v>
      </c>
      <c r="AZ6" s="5" t="s">
        <v>17</v>
      </c>
      <c r="BF6" s="5" t="s">
        <v>15</v>
      </c>
      <c r="BG6" s="5" t="s">
        <v>16</v>
      </c>
      <c r="BH6" s="5" t="s">
        <v>17</v>
      </c>
      <c r="BJ6" s="5" t="s">
        <v>15</v>
      </c>
      <c r="BK6" s="5" t="s">
        <v>16</v>
      </c>
      <c r="BL6" s="5" t="s">
        <v>17</v>
      </c>
      <c r="BN6" s="5" t="s">
        <v>15</v>
      </c>
      <c r="BO6" s="5" t="s">
        <v>16</v>
      </c>
      <c r="BP6" s="5" t="s">
        <v>17</v>
      </c>
      <c r="BR6" s="5" t="s">
        <v>15</v>
      </c>
      <c r="BS6" s="5" t="s">
        <v>16</v>
      </c>
      <c r="BT6" s="5" t="s">
        <v>17</v>
      </c>
      <c r="BV6" s="5" t="s">
        <v>15</v>
      </c>
      <c r="BW6" s="5" t="s">
        <v>16</v>
      </c>
      <c r="BX6" s="5" t="s">
        <v>17</v>
      </c>
      <c r="BZ6" s="5" t="s">
        <v>15</v>
      </c>
      <c r="CA6" s="5" t="s">
        <v>16</v>
      </c>
      <c r="CB6" s="5" t="s">
        <v>17</v>
      </c>
      <c r="CD6" s="5" t="s">
        <v>15</v>
      </c>
      <c r="CE6" s="5" t="s">
        <v>16</v>
      </c>
      <c r="CF6" s="5" t="s">
        <v>17</v>
      </c>
      <c r="CH6" s="5" t="s">
        <v>15</v>
      </c>
      <c r="CI6" s="5" t="s">
        <v>16</v>
      </c>
      <c r="CJ6" s="5" t="s">
        <v>17</v>
      </c>
    </row>
    <row r="7" spans="2:88" ht="16.5" customHeight="1" x14ac:dyDescent="0.25"/>
    <row r="8" spans="2:88" ht="19.5" customHeight="1" x14ac:dyDescent="0.25">
      <c r="B8" s="202" t="s">
        <v>120</v>
      </c>
      <c r="C8" s="9"/>
      <c r="D8" s="14" t="s">
        <v>19</v>
      </c>
      <c r="E8" s="6"/>
      <c r="F8" s="19">
        <v>308.77775735</v>
      </c>
      <c r="G8" s="19">
        <v>319.04885065999997</v>
      </c>
      <c r="H8" s="19">
        <v>351.71136493159179</v>
      </c>
      <c r="I8" s="6"/>
      <c r="J8" s="19">
        <f>(+[3]Retail!$C$29+[3]MGA!$C$29)/1000</f>
        <v>49.586188919999998</v>
      </c>
      <c r="K8" s="19">
        <f>(+[3]Retail!$C$30+[3]MGA!$C$30)/1000</f>
        <v>45.737781849999998</v>
      </c>
      <c r="L8" s="19">
        <f>(+[3]Retail!$C$31+[3]MGA!$C$31)/1000</f>
        <v>48.065055149590805</v>
      </c>
      <c r="M8" s="6"/>
      <c r="N8" s="19">
        <f>+([3]Retail!$C$81-[3]Retail!$C$29+[3]MGA!$C$81-[3]MGA!$C$29)/1000</f>
        <v>-44.61755651</v>
      </c>
      <c r="O8" s="19">
        <f>+([3]Retail!$C$82-[3]Retail!$C$30+[3]MGA!$C$82-[3]MGA!$C$30)/1000</f>
        <v>-41.350716280000007</v>
      </c>
      <c r="P8" s="19">
        <f>+([3]Retail!$C$83-[3]Retail!$C$31+[3]MGA!$C$83-[3]MGA!$C$31)/1000</f>
        <v>-43.381707565334565</v>
      </c>
      <c r="Q8" s="6"/>
      <c r="R8" s="19">
        <f>+([3]SME!$C$81-[3]SME!$C$29+[3]Bancassurance!$C$81-[3]Bancassurance!$C$29)/1000</f>
        <v>68.031830220000003</v>
      </c>
      <c r="S8" s="19">
        <f>+([3]SME!$C$82-[3]SME!$C$30+[3]Bancassurance!$C$82-[3]Bancassurance!$C$30)/1000</f>
        <v>71.865926980000054</v>
      </c>
      <c r="T8" s="19">
        <f>+([3]SME!$C$83-[3]SME!$C$31+[3]Bancassurance!$C$83-[3]Bancassurance!$C$31)/1000</f>
        <v>57.039222888002087</v>
      </c>
      <c r="U8" s="6"/>
      <c r="V8" s="19">
        <f>+([3]SME!$C$29+[3]MidCorp!$C$29+[3]Bancassurance!$C$29)/1000</f>
        <v>130.52988062</v>
      </c>
      <c r="W8" s="19">
        <f>+([3]SME!$C$30+[3]MidCorp!$C$30+[3]Bancassurance!$C$30)/1000</f>
        <v>128.95847887000002</v>
      </c>
      <c r="X8" s="19">
        <f>+([3]SME!$C$31+[3]MidCorp!$C$31+[3]Bancassurance!$C$31)/1000</f>
        <v>130.48292154200604</v>
      </c>
      <c r="Y8" s="6"/>
      <c r="Z8" s="19">
        <f t="shared" ref="Z8:AB9" si="0">+J8+N8+R8+V8</f>
        <v>203.53034324999999</v>
      </c>
      <c r="AA8" s="19">
        <f t="shared" si="0"/>
        <v>205.21147142000007</v>
      </c>
      <c r="AB8" s="19">
        <f t="shared" si="0"/>
        <v>192.20549201426437</v>
      </c>
      <c r="AC8" s="6"/>
      <c r="AD8" s="19">
        <f>+([3]Bancassurance!$C$33+[3]MidCorp!$C$33)/1000</f>
        <v>108.75011292000001</v>
      </c>
      <c r="AE8" s="19">
        <f>+([3]Bancassurance!$C$34+[3]MidCorp!$C$34)/1000</f>
        <v>110.62614524000001</v>
      </c>
      <c r="AF8" s="19">
        <f>+([3]Bancassurance!$C$35+[3]MidCorp!$C$35)/1000</f>
        <v>112.8216236725016</v>
      </c>
      <c r="AG8" s="6"/>
      <c r="AH8" s="19">
        <f>+([3]Bancassurance!$C$37+[3]MidCorp!$C$37)/1000</f>
        <v>21.495266920000002</v>
      </c>
      <c r="AI8" s="19">
        <f>+([3]Bancassurance!$C$38+[3]MidCorp!$C$38)/1000</f>
        <v>21.370802630000007</v>
      </c>
      <c r="AJ8" s="19">
        <f>+([3]Bancassurance!$C$39+[3]MidCorp!$C$39)/1000</f>
        <v>23.80596328432329</v>
      </c>
      <c r="AK8" s="6"/>
      <c r="AL8" s="19">
        <f>+([3]Bancassurance!$C$41+[3]MidCorp!$C$41)/1000</f>
        <v>43.765218250000004</v>
      </c>
      <c r="AM8" s="19">
        <f>+([3]Bancassurance!$C$42+[3]MidCorp!$C$42)/1000</f>
        <v>43.411764529999992</v>
      </c>
      <c r="AN8" s="19">
        <f>+([3]Bancassurance!$C$43+[3]MidCorp!$C$43)/1000</f>
        <v>45.574569333571134</v>
      </c>
      <c r="AO8" s="6"/>
      <c r="AP8" s="19">
        <f>+([3]H9!$C$45+[3]H9!$C$49+[3]H9!$C$53+[3]H9!$C$57+[3]H9!$C$65+[3]H9!$C$69+[3]H9!$C$73)/1000</f>
        <v>308.36464508000017</v>
      </c>
      <c r="AQ8" s="19">
        <f>+([3]H9!$C$46+[3]H9!$C$50+[3]H9!$C$54+[3]H9!$C$58+[3]H9!$C$66+[3]H9!$C$70+[3]H9!$C$74)/1000</f>
        <v>292.83537506999988</v>
      </c>
      <c r="AR8" s="19">
        <f>+([3]H9!$C$47+[3]H9!$C$51+[3]H9!$C$55+[3]H9!$C$59+[3]H9!$C$67+[3]H9!$C$71+[3]H9!$C$75)/1000</f>
        <v>303.01872254125425</v>
      </c>
      <c r="AS8" s="6"/>
      <c r="AT8" s="19">
        <f>+[3]H9!$C$81/1000</f>
        <v>35.415759620000152</v>
      </c>
      <c r="AU8" s="19">
        <f>+[3]H9!$C$82/1000</f>
        <v>24.364716519999984</v>
      </c>
      <c r="AV8" s="19">
        <f>+[3]H9!$C$83/1000</f>
        <v>27.974916263833261</v>
      </c>
      <c r="AW8" s="6"/>
      <c r="AX8" s="27" t="e">
        <f>+#REF!</f>
        <v>#REF!</v>
      </c>
      <c r="AY8" s="27" t="e">
        <f>+#REF!</f>
        <v>#REF!</v>
      </c>
      <c r="AZ8" s="27" t="e">
        <f>+#REF!</f>
        <v>#REF!</v>
      </c>
      <c r="BA8" s="6"/>
      <c r="BB8" s="202" t="s">
        <v>18</v>
      </c>
      <c r="BC8" s="9"/>
      <c r="BD8" s="14" t="s">
        <v>19</v>
      </c>
      <c r="BE8" s="6"/>
      <c r="BF8" s="19">
        <v>308.77775735</v>
      </c>
      <c r="BG8" s="19">
        <v>319.04885065999997</v>
      </c>
      <c r="BH8" s="19">
        <v>351.71136493159179</v>
      </c>
      <c r="BI8" s="6"/>
      <c r="BJ8" s="19">
        <f>+[3]Retail!$EA$29/1000</f>
        <v>4.9789050400000034</v>
      </c>
      <c r="BK8" s="19">
        <f>+[3]Retail!$EA$30/1000</f>
        <v>5.3052733600000037</v>
      </c>
      <c r="BL8" s="19">
        <f>+[3]Retail!$EA$31/1000</f>
        <v>5.1760378426388218</v>
      </c>
      <c r="BM8" s="6"/>
      <c r="BN8" s="19">
        <f>+[3]SME!$EA$29/1000</f>
        <v>4.6252414399999981</v>
      </c>
      <c r="BO8" s="19">
        <f>+[3]SME!$EA$30/1000</f>
        <v>4.9669908099999995</v>
      </c>
      <c r="BP8" s="19">
        <f>+[3]SME!$EA$31/1000</f>
        <v>4.9987721919466059</v>
      </c>
      <c r="BQ8" s="6"/>
      <c r="BR8" s="19">
        <f>+[3]MidCorp!$EA$29/1000</f>
        <v>22.023731459999997</v>
      </c>
      <c r="BS8" s="19">
        <f>+[3]MidCorp!$EA$30/1000</f>
        <v>21.463096250000007</v>
      </c>
      <c r="BT8" s="19">
        <f>+[3]MidCorp!$EA$31/1000</f>
        <v>22.347233566319037</v>
      </c>
      <c r="BU8" s="6"/>
      <c r="BV8" s="19">
        <f>+[3]MGA!$EA$29/1000</f>
        <v>8.3157735699999975</v>
      </c>
      <c r="BW8" s="19">
        <f>+[3]MGA!$EA$30/1000</f>
        <v>7.6347286299999997</v>
      </c>
      <c r="BX8" s="19">
        <f>+[3]MGA!$EA$31/1000</f>
        <v>8.3452600000000015</v>
      </c>
      <c r="BY8" s="6"/>
      <c r="BZ8" s="19">
        <f>+[3]Bancassurance!$EA$29/1000</f>
        <v>1.5743920000000002E-2</v>
      </c>
      <c r="CA8" s="19">
        <f>+[3]Bancassurance!$EA$30/1000</f>
        <v>0</v>
      </c>
      <c r="CB8" s="19">
        <f>+[3]Bancassurance!$EA$31/1000</f>
        <v>0</v>
      </c>
      <c r="CC8" s="6"/>
      <c r="CD8" s="19">
        <f>+[3]Specials!$EA$29/1000</f>
        <v>5.9704430000000017E-2</v>
      </c>
      <c r="CE8" s="19">
        <f>+[3]Specials!$EA$30/1000</f>
        <v>5.5331399999999989E-2</v>
      </c>
      <c r="CF8" s="19">
        <f>+[3]Specials!$EA$31/1000</f>
        <v>0</v>
      </c>
      <c r="CG8" s="6"/>
      <c r="CH8" s="27">
        <f>+'[3]Total P&amp;C'!$EA$29/1000</f>
        <v>40.019099860000019</v>
      </c>
      <c r="CI8" s="27">
        <f>+'[3]Total P&amp;C'!$EA$30/1000</f>
        <v>39.42542044999999</v>
      </c>
      <c r="CJ8" s="27">
        <f>+'[3]Total P&amp;C'!$EA$31/1000</f>
        <v>40.867303600904471</v>
      </c>
    </row>
    <row r="9" spans="2:88" ht="20.149999999999999" customHeight="1" x14ac:dyDescent="0.25">
      <c r="B9" s="202"/>
      <c r="C9" s="9"/>
      <c r="D9" s="14" t="s">
        <v>20</v>
      </c>
      <c r="E9" s="6"/>
      <c r="F9" s="19">
        <v>291.98232567999997</v>
      </c>
      <c r="G9" s="19">
        <v>304.56705160000001</v>
      </c>
      <c r="H9" s="19">
        <v>319.59759065403762</v>
      </c>
      <c r="I9" s="6"/>
      <c r="J9" s="19">
        <f>+([3]Retail!$N$29+[3]MGA!$N$29)/1000</f>
        <v>42.829326540000018</v>
      </c>
      <c r="K9" s="19">
        <f>+([3]Retail!$N$30+[3]MGA!$N$30)/1000</f>
        <v>39.742322959999996</v>
      </c>
      <c r="L9" s="19">
        <f>+([3]Retail!$N$31+[3]MGA!$N$31)/1000</f>
        <v>44.075565060345617</v>
      </c>
      <c r="M9" s="6"/>
      <c r="N9" s="19">
        <f>+([3]Retail!$N$81-[3]Retail!$N$29+[3]MGA!$N$81-[3]MGA!$N$29)/1000</f>
        <v>-38.53253418000002</v>
      </c>
      <c r="O9" s="19">
        <f>+([3]Retail!$N$82-[3]Retail!$N$30+[3]MGA!$N$82-[3]MGA!$N$30)/1000</f>
        <v>-33.677795879999998</v>
      </c>
      <c r="P9" s="19">
        <f>+([3]Retail!$N$83-[3]Retail!$N$31+[3]MGA!$N$83-[3]MGA!$N$31)/1000</f>
        <v>-39.52077385116926</v>
      </c>
      <c r="Q9" s="6"/>
      <c r="R9" s="19">
        <f>+([3]SME!$N$81-[3]SME!$N$29+[3]Bancassurance!$N$81-[3]Bancassurance!$N$29)/1000</f>
        <v>44.80922808000004</v>
      </c>
      <c r="S9" s="19">
        <f>+([3]SME!$N$82-[3]SME!$N$30+[3]Bancassurance!$N$82-[3]Bancassurance!$N$30)/1000</f>
        <v>46.637549670000034</v>
      </c>
      <c r="T9" s="19">
        <f>+([3]SME!$N$83-[3]SME!$N$31+[3]Bancassurance!$N$83-[3]Bancassurance!$N$31)/1000</f>
        <v>41.877307515740476</v>
      </c>
      <c r="U9" s="6"/>
      <c r="V9" s="19">
        <f>+([3]Bancassurance!$N$29+[3]MidCorp!$N$29+[3]SME!$N$29)/1000</f>
        <v>99.51031368999999</v>
      </c>
      <c r="W9" s="19">
        <f>+([3]Bancassurance!$N$30+[3]MidCorp!$N$30+[3]SME!$N$30)/1000</f>
        <v>95.175923669999989</v>
      </c>
      <c r="X9" s="19">
        <f>+([3]Bancassurance!$N$31+[3]MidCorp!$N$31+[3]SME!$N$31)/1000</f>
        <v>96.236738333141588</v>
      </c>
      <c r="Y9" s="6"/>
      <c r="Z9" s="19">
        <f t="shared" si="0"/>
        <v>148.61633413000004</v>
      </c>
      <c r="AA9" s="19">
        <f t="shared" si="0"/>
        <v>147.87800042000003</v>
      </c>
      <c r="AB9" s="19">
        <f t="shared" si="0"/>
        <v>142.66883705805841</v>
      </c>
      <c r="AC9" s="6"/>
      <c r="AD9" s="19">
        <f>+([3]Bancassurance!$N$33+[3]MidCorp!$N$33)/1000</f>
        <v>45.576712239999999</v>
      </c>
      <c r="AE9" s="19">
        <f>+([3]Bancassurance!$N$34+[3]MidCorp!$N$34)/1000</f>
        <v>44.934647699999985</v>
      </c>
      <c r="AF9" s="19">
        <f>+([3]Bancassurance!$N$35+[3]MidCorp!$N$35)/1000</f>
        <v>59.291027558376626</v>
      </c>
      <c r="AG9" s="6"/>
      <c r="AH9" s="19">
        <f>+([3]Bancassurance!$N$37+[3]MidCorp!$N$37)/1000</f>
        <v>11.689634729999998</v>
      </c>
      <c r="AI9" s="19">
        <f>+([3]Bancassurance!$N$38+[3]MidCorp!$N$38)/1000</f>
        <v>11.070775670000003</v>
      </c>
      <c r="AJ9" s="19">
        <f>+([3]Bancassurance!$N$39+[3]MidCorp!$N$39)/1000</f>
        <v>14.421655364791338</v>
      </c>
      <c r="AK9" s="6"/>
      <c r="AL9" s="19">
        <f>+([3]Bancassurance!$N$41+[3]MidCorp!$N$41)/1000</f>
        <v>16.718490540000005</v>
      </c>
      <c r="AM9" s="19">
        <f>+([3]Bancassurance!$N$42+[3]MidCorp!$N$42)/1000</f>
        <v>17.023118399999987</v>
      </c>
      <c r="AN9" s="19">
        <f>+([3]Bancassurance!$N$43+[3]MidCorp!$N$43)/1000</f>
        <v>18.221859697264513</v>
      </c>
      <c r="AO9" s="6"/>
      <c r="AP9" s="19">
        <f>+([3]H9!$N$45+[3]H9!$N$49+[3]H9!$N$53+[3]H9!$N$57+[3]H9!$N$65+[3]H9!$N$69+[3]H9!$N$73)/1000</f>
        <v>152.82158822000014</v>
      </c>
      <c r="AQ9" s="19">
        <f>+([3]H9!$N$46+[3]H9!$N$50+[3]H9!$N$54+[3]H9!$N$58+[3]H9!$N$66+[3]H9!$N$70+[3]H9!$N$74)/1000</f>
        <v>143.22151517999998</v>
      </c>
      <c r="AR9" s="19">
        <f>+([3]H9!$N$47+[3]H9!$N$51+[3]H9!$N$55+[3]H9!$N$59+[3]H9!$N$67+[3]H9!$N$71+[3]H9!$N$75)/1000</f>
        <v>172.1936309624802</v>
      </c>
      <c r="AS9" s="6"/>
      <c r="AT9" s="19">
        <f>+[3]H9!$N$81/1000</f>
        <v>26.314280150000137</v>
      </c>
      <c r="AU9" s="19">
        <f>+[3]H9!$N$82/1000</f>
        <v>21.382482499999988</v>
      </c>
      <c r="AV9" s="19">
        <f>+[3]H9!$N$83/1000</f>
        <v>26.959171549999994</v>
      </c>
      <c r="AW9" s="6"/>
      <c r="AX9" s="27" t="e">
        <f>+#REF!</f>
        <v>#REF!</v>
      </c>
      <c r="AY9" s="27" t="e">
        <f>+#REF!</f>
        <v>#REF!</v>
      </c>
      <c r="AZ9" s="27" t="e">
        <f>+#REF!</f>
        <v>#REF!</v>
      </c>
      <c r="BA9" s="6"/>
      <c r="BB9" s="202"/>
      <c r="BC9" s="9"/>
      <c r="BD9" s="14" t="s">
        <v>20</v>
      </c>
      <c r="BE9" s="6"/>
      <c r="BF9" s="19">
        <v>291.98232567999997</v>
      </c>
      <c r="BG9" s="19">
        <v>304.56705160000001</v>
      </c>
      <c r="BH9" s="19">
        <v>319.59759065403762</v>
      </c>
      <c r="BI9" s="6"/>
      <c r="BJ9" s="19">
        <f>+[3]Retail!$EL$29/1000</f>
        <v>4.9594883799999998</v>
      </c>
      <c r="BK9" s="19">
        <f>+[3]Retail!$EL$30/1000</f>
        <v>5.1894701600000044</v>
      </c>
      <c r="BL9" s="19">
        <f>+[3]Retail!$EL$31/1000</f>
        <v>4.6287989421747699</v>
      </c>
      <c r="BM9" s="6"/>
      <c r="BN9" s="19">
        <f>+[3]SME!$EL$29/1000</f>
        <v>6.7925240399999982</v>
      </c>
      <c r="BO9" s="19">
        <f>+[3]SME!$EL$30/1000</f>
        <v>7.2711600999999995</v>
      </c>
      <c r="BP9" s="19">
        <f>+[3]SME!$EL$31/1000</f>
        <v>6.8123198364246278</v>
      </c>
      <c r="BQ9" s="6"/>
      <c r="BR9" s="19">
        <f>+[3]MidCorp!$EL$29/1000</f>
        <v>28.617283150000002</v>
      </c>
      <c r="BS9" s="19">
        <f>+[3]MidCorp!$EL$30/1000</f>
        <v>27.298353789999997</v>
      </c>
      <c r="BT9" s="19">
        <f>+[3]MidCorp!$EL$31/1000</f>
        <v>25.266592941289232</v>
      </c>
      <c r="BU9" s="6"/>
      <c r="BV9" s="19">
        <f>+[3]MGA!$EL$29/1000</f>
        <v>9.3332423800000068</v>
      </c>
      <c r="BW9" s="19">
        <f>+[3]MGA!$EL$30/1000</f>
        <v>8.270558369999998</v>
      </c>
      <c r="BX9" s="19">
        <f>+[3]MGA!$EL$31/1000</f>
        <v>10.063056077940438</v>
      </c>
      <c r="BY9" s="6"/>
      <c r="BZ9" s="19">
        <f>+[3]Bancassurance!$EL$29/1000</f>
        <v>1.5777300000000001E-2</v>
      </c>
      <c r="CA9" s="19">
        <f>+[3]Bancassurance!$EL$30/1000</f>
        <v>0</v>
      </c>
      <c r="CB9" s="19">
        <f>+[3]Bancassurance!$EL$31/1000</f>
        <v>0</v>
      </c>
      <c r="CC9" s="6"/>
      <c r="CD9" s="19">
        <f>+[3]Specials!$EL$29/1000</f>
        <v>1.7683890000000004E-2</v>
      </c>
      <c r="CE9" s="19">
        <f>+[3]Specials!$EL$30/1000</f>
        <v>1.4312839999999997E-2</v>
      </c>
      <c r="CF9" s="19">
        <f>+[3]Specials!$EL$31/1000</f>
        <v>0</v>
      </c>
      <c r="CG9" s="6"/>
      <c r="CH9" s="27">
        <f>+'[3]Total P&amp;C'!$EL$29/1000</f>
        <v>49.735999140000004</v>
      </c>
      <c r="CI9" s="27">
        <f>+'[3]Total P&amp;C'!$EL$30/1000</f>
        <v>48.043855260000001</v>
      </c>
      <c r="CJ9" s="27">
        <f>+'[3]Total P&amp;C'!$EL$31/1000</f>
        <v>46.770767797829073</v>
      </c>
    </row>
    <row r="10" spans="2:88" ht="19.5" customHeight="1" x14ac:dyDescent="0.25">
      <c r="B10" s="202"/>
      <c r="C10" s="9"/>
      <c r="D10" s="14" t="s">
        <v>82</v>
      </c>
      <c r="E10" s="6"/>
      <c r="F10" s="20" t="str">
        <f>IFERROR((#REF!*#REF!+#REF!*#REF!)/F9,"n/a")</f>
        <v>n/a</v>
      </c>
      <c r="G10" s="20" t="str">
        <f>IFERROR((#REF!*#REF!+#REF!*#REF!)/G9,"n/a")</f>
        <v>n/a</v>
      </c>
      <c r="H10" s="20" t="str">
        <f>IFERROR((#REF!*#REF!+#REF!*#REF!)/H9,"n/a")</f>
        <v>n/a</v>
      </c>
      <c r="I10" s="6"/>
      <c r="J10" s="20">
        <f>-(SUM([3]Retail!$O$29,[3]Retail!$R$29:$V$29,[3]Retail!$Y$29:$AB$29)+SUM([3]MGA!$O$29,[3]MGA!$R$29:$V$29,[3]MGA!$Y$29:$AB$29))/1000/J9</f>
        <v>0.59189546477597166</v>
      </c>
      <c r="K10" s="20">
        <f>-(SUM([3]Retail!$O$30,[3]Retail!$R$30:$V$30,[3]Retail!$Y$30:$AB$30)+SUM([3]MGA!$O$30,[3]MGA!$R$30:$V$30,[3]MGA!$Y$30:$AB$30))/1000/K9</f>
        <v>0.61608043465122353</v>
      </c>
      <c r="L10" s="20">
        <f>-(SUM([3]Retail!$O$31,[3]Retail!$R$31:$V$31,[3]Retail!$Y$31:$AB$31)+SUM([3]MGA!$O$31,[3]MGA!$R$31:$V$31,[3]MGA!$Y$31:$AB$31))/1000/L9</f>
        <v>0.5581750889482795</v>
      </c>
      <c r="M10" s="6"/>
      <c r="N10" s="20">
        <f>-(SUM([3]Retail!$O$81,[3]Retail!$R$81:$V$81,[3]Retail!$Y$81:$AB$81,[3]MGA!$O$81,[3]MGA!$R$81:$V$81,[3]MGA!$Y$81:$AB$81)-SUM([3]MGA!$Y$29:$AB$29,[3]MGA!$R$29:$V$29,[3]MGA!$O$29,[3]Retail!$Y$29:$AB$29,[3]Retail!$R$29:$V$29,[3]Retail!$O$29))/1000/N9</f>
        <v>0.57091153947132256</v>
      </c>
      <c r="O10" s="20">
        <f>-(SUM([3]Retail!$O$82,[3]Retail!$R$82:$V$82,[3]Retail!$Y$82:$AB$82,[3]MGA!$O$82,[3]MGA!$R$82:$V$82,[3]MGA!$Y$82:$AB$82)-SUM([3]MGA!$Y$30:$AB$30,[3]MGA!$R$30:$V$30,[3]MGA!$O$30,[3]Retail!$Y$30:$AB$30,[3]Retail!$R$30:$V$30,[3]Retail!$O$30))/1000/O9</f>
        <v>0.64112548606747188</v>
      </c>
      <c r="P10" s="20">
        <f>-(SUM([3]Retail!$O$83,[3]Retail!$R$83:$V$83,[3]Retail!$Y$83:$AB$83,[3]MGA!$O$83,[3]MGA!$R$83:$V$83,[3]MGA!$Y$83:$AB$83)-SUM([3]MGA!$Y$31:$AB$31,[3]MGA!$R$31:$V$31,[3]MGA!$O$31,[3]Retail!$Y$31:$AB$31,[3]Retail!$R$31:$V$31,[3]Retail!$O$31))/1000/P9</f>
        <v>0.53881598066710557</v>
      </c>
      <c r="Q10" s="6"/>
      <c r="R10" s="20">
        <f>-(SUM([3]SME!$O$81,[3]SME!$R$81:$V$81,[3]SME!$Y$81:$AB$81,[3]Bancassurance!$O$81,[3]Bancassurance!$R$81:$V$81,[3]Bancassurance!$Y$81:$AB$81)-SUM([3]Bancassurance!$Y$29:$AB$29,[3]Bancassurance!$R$29:$V$29,[3]Bancassurance!$O$29,[3]SME!$Y$29:$AB$29,[3]SME!$R$29:$V$29,[3]SME!$O$29))/1000/R9</f>
        <v>0.8827919946782774</v>
      </c>
      <c r="S10" s="20">
        <f>-(SUM([3]SME!$O$82,[3]SME!$R$82:$V$82,[3]SME!$Y$82:$AB$82,[3]Bancassurance!$O$82,[3]Bancassurance!$R$82:$V$82,[3]Bancassurance!$Y$82:$AB$82)-SUM([3]Bancassurance!$Y$30:$AB$30,[3]Bancassurance!$R$30:$V$30,[3]Bancassurance!$O$30,[3]SME!$Y$30:$AB$30,[3]SME!$R$30:$V$30,[3]SME!$O$30))/1000/S9</f>
        <v>0.85421871898631729</v>
      </c>
      <c r="T10" s="20">
        <f>-(SUM([3]SME!$O$83,[3]SME!$R$83:$V$83,[3]SME!$Y$83:$AB$83,[3]Bancassurance!$O$83,[3]Bancassurance!$R$83:$V$83,[3]Bancassurance!$Y$83:$AB$83)-SUM([3]Bancassurance!$Y$31:$AB$31,[3]Bancassurance!$R$31:$V$31,[3]Bancassurance!$O$31,[3]SME!$Y$31:$AB$31,[3]SME!$R$31:$V$31,[3]SME!$O$31))/1000/T9</f>
        <v>0.93315082190037257</v>
      </c>
      <c r="U10" s="6"/>
      <c r="V10" s="20">
        <f>-(SUM([3]Bancassurance!$O$29,[3]Bancassurance!$R$29:$V$29,[3]Bancassurance!$Y$29:$AB$29,[3]MidCorp!$O$29,[3]MidCorp!$R$29:$V$29,[3]MidCorp!$Y$29:$AB$29,[3]SME!$O$29,[3]SME!$R$29:$V$29,[3]SME!$Y$29:$AB$29))/1000/V9</f>
        <v>0.62644917132554834</v>
      </c>
      <c r="W10" s="20">
        <f>-(SUM([3]Bancassurance!$O$30,[3]Bancassurance!$R$30:$V$30,[3]Bancassurance!$Y$30:$AB$30,[3]MidCorp!$O$30,[3]MidCorp!$R$30:$V$30,[3]MidCorp!$Y$30:$AB$30,[3]SME!$O$30,[3]SME!$R$30:$V$30,[3]SME!$Y$30:$AB$30))/1000/W9</f>
        <v>0.60106594277711978</v>
      </c>
      <c r="X10" s="20">
        <f>-(SUM([3]Bancassurance!$O$31,[3]Bancassurance!$R$31:$V$31,[3]Bancassurance!$Y$31:$AB$31,[3]MidCorp!$O$31,[3]MidCorp!$R$31:$V$31,[3]MidCorp!$Y$31:$AB$31,[3]SME!$O$31,[3]SME!$R$31:$V$31,[3]SME!$Y$31:$AB$31))/1000/X9</f>
        <v>0.60354575993292636</v>
      </c>
      <c r="Y10" s="6"/>
      <c r="Z10" s="20">
        <f>-SUM([3]Retail!$O$81,[3]Retail!$R$81:$V$81,[3]Retail!$Y$81:$AB$81,[3]SME!$O$81,[3]SME!$R$81:$V$81,[3]SME!$Y$81:$AB$81,[3]MidCorp!$O$29,[3]MidCorp!$R$29:$V$29,[3]MidCorp!$Y$29:$AB$29,[3]MGA!$O$81,[3]MGA!$R$81:$V$81,[3]MGA!$Y$81:$AB$81,[3]Bancassurance!$O$29,[3]Bancassurance!$R$29:$V$29,[3]Bancassurance!$Y$29:$AB$29)/1000/Z9</f>
        <v>0.70817949953010972</v>
      </c>
      <c r="AA10" s="20">
        <f>-SUM([3]Retail!$O$82,[3]Retail!$R$82:$V$82,[3]Retail!$Y$82:$AB$82,[3]SME!$O$82,[3]SME!$R$82:$V$82,[3]SME!$Y$82:$AB$82,[3]MidCorp!$O$30,[3]MidCorp!$R$30:$V$30,[3]MidCorp!$Y$30:$AB$30,[3]MGA!$O$82,[3]MGA!$R$82:$V$82,[3]MGA!$Y$82:$AB$82,[3]Bancassurance!$O$30,[3]Bancassurance!$R$30:$V$30,[3]Bancassurance!$Y$30:$AB$30)/1000/AA9</f>
        <v>0.67564161452271732</v>
      </c>
      <c r="AB10" s="20">
        <f>-SUM([3]Retail!$O$83,[3]Retail!$R$83:$V$83,[3]Retail!$Y$83:$AB$83,[3]SME!$O$83,[3]SME!$R$83:$V$83,[3]SME!$Y$83:$AB$83,[3]MidCorp!$O$31,[3]MidCorp!$R$31:$V$31,[3]MidCorp!$Y$31:$AB$31,[3]MGA!$O$83,[3]MGA!$R$83:$V$83,[3]MGA!$Y$83:$AB$83,[3]Bancassurance!$O$31,[3]Bancassurance!$R$31:$V$31,[3]Bancassurance!$Y$31:$AB$31)/1000/AB9</f>
        <v>0.70250158782430039</v>
      </c>
      <c r="AC10" s="6"/>
      <c r="AD10" s="20">
        <f>-SUM([3]Bancassurance!$O$33,[3]Bancassurance!$R$33:$V$33,[3]Bancassurance!$Y$33:$AB$33,[3]MidCorp!$O$33,[3]MidCorp!$R$33:$V$33,[3]MidCorp!$Y$33:$AB$33)/1000/AD9</f>
        <v>0.25094230873637957</v>
      </c>
      <c r="AE10" s="20">
        <f>-SUM([3]Bancassurance!$O$34,[3]Bancassurance!$R$34:$V$34,[3]Bancassurance!$Y$34:$AB$34,[3]MidCorp!$O$34,[3]MidCorp!$R$34:$V$34,[3]MidCorp!$Y$34:$AB$34)/1000/AE9</f>
        <v>0.28395427527870787</v>
      </c>
      <c r="AF10" s="20">
        <f>-SUM([3]Bancassurance!$O$35,[3]Bancassurance!$R$35:$V$35,[3]Bancassurance!$Y$35:$AB$35,[3]MidCorp!$O$35,[3]MidCorp!$R$35:$V$35,[3]MidCorp!$Y$35:$AB$35)/1000/AF9</f>
        <v>0.29751405779646106</v>
      </c>
      <c r="AG10" s="6"/>
      <c r="AH10" s="20">
        <f>-SUM([3]Bancassurance!$O$37,[3]Bancassurance!$R$37:$V$37,[3]Bancassurance!$Y$37:$AB$37,[3]MidCorp!$O$37,[3]MidCorp!$R$37:$V$37,[3]MidCorp!$Y$37:$AB$37)/1000/AH9</f>
        <v>0.35006600929095083</v>
      </c>
      <c r="AI10" s="20">
        <f>-SUM([3]Bancassurance!$O$38,[3]Bancassurance!$R$38:$V$38,[3]Bancassurance!$Y$38:$AB$38,[3]MidCorp!$O$38,[3]MidCorp!$R$38:$V$38,[3]MidCorp!$Y$38:$AB$38)/1000/AI9</f>
        <v>0.51628379983242845</v>
      </c>
      <c r="AJ10" s="20">
        <f>-SUM([3]Bancassurance!$O$39,[3]Bancassurance!$R$39:$V$39,[3]Bancassurance!$Y$39:$AB$39,[3]MidCorp!$O$39,[3]MidCorp!$R$39:$V$39,[3]MidCorp!$Y$39:$AB$39)/1000/AJ9</f>
        <v>0.37396225508313385</v>
      </c>
      <c r="AK10" s="6"/>
      <c r="AL10" s="20">
        <f>-SUM([3]Bancassurance!$O$41,[3]Bancassurance!$R$41:$V$41,[3]Bancassurance!$Y$41:$AB$41,[3]MidCorp!$O$41,[3]MidCorp!$R$41:$V$41,[3]MidCorp!$Y$41:$AB$41)/1000/AL9</f>
        <v>0.42449529423000992</v>
      </c>
      <c r="AM10" s="20">
        <f>-SUM([3]Bancassurance!$O$42,[3]Bancassurance!$R$42:$V$42,[3]Bancassurance!$Y$42:$AB$42,[3]MidCorp!$O$42,[3]MidCorp!$R$42:$V$42,[3]MidCorp!$Y$42:$AB$42)/1000/AM9</f>
        <v>0.46082895202996327</v>
      </c>
      <c r="AN10" s="20">
        <f>-SUM([3]Bancassurance!$O$43,[3]Bancassurance!$R$43:$V$43,[3]Bancassurance!$Y$43:$AB$43,[3]MidCorp!$O$43,[3]MidCorp!$R$43:$V$43,[3]MidCorp!$Y$43:$AB$43)/1000/AN9</f>
        <v>0.43972725284868247</v>
      </c>
      <c r="AO10" s="6"/>
      <c r="AP10" s="20">
        <f>-SUM([3]H9!$O$45,[3]H9!$R$45:$V$45,[3]H9!$Y$45:$AB$45,[3]H9!$Y$49:$AB$49,[3]H9!$R$49:$V$49,[3]H9!$O$49,[3]H9!$O$53,[3]H9!$R$53:$V$53,[3]H9!$Y$53:$AB$53,[3]H9!$Y$57:$AB$57,[3]H9!$R$57:$V$57,[3]H9!$O$57,[3]H9!$O$65,[3]H9!$O$69,[3]H9!$O$73,[3]H9!$R$65:$V$65,[3]H9!$R$69:$V$69,[3]H9!$R$73:$V$73,[3]H9!$Y$65:$AB$65,[3]H9!$Y$69:$AB$69,[3]H9!$Y$73:$AB$73)/1000/AP9</f>
        <v>0.40349335630537986</v>
      </c>
      <c r="AQ10" s="20">
        <f>-SUM([3]H9!$O$46,[3]H9!$R$46:$V$46,[3]H9!$Y$46:$AB$46,[3]H9!$Y$50:$AB$50,[3]H9!$R$50:$V$50,[3]H9!$O$50,[3]H9!$O$54,[3]H9!$R$54:$V$54,[3]H9!$Y$54:$AB$54,[3]H9!$Y$58:$AB$58,[3]H9!$R$58:$V$58,[3]H9!$O$58,[3]H9!$O$66,[3]H9!$O$70,[3]H9!$O$74,[3]H9!$R$66:$V$66,[3]H9!$R$70:$V$70,[3]H9!$R$74:$V$74,[3]H9!$Y$66:$AB$66,[3]H9!$Y$70:$AB$70,[3]H9!$Y$74:$AB$74)/1000/AQ9</f>
        <v>0.47279952589530716</v>
      </c>
      <c r="AR10" s="20">
        <f>-SUM([3]H9!$O$47,[3]H9!$R$47:$V$47,[3]H9!$Y$47:$AB$47,[3]H9!$Y$51:$AB$51,[3]H9!$R$51:$V$51,[3]H9!$O$51,[3]H9!$O$55,[3]H9!$R$55:$V$55,[3]H9!$Y$55:$AB$55,[3]H9!$Y$59:$AB$59,[3]H9!$R$59:$V$59,[3]H9!$O$59,[3]H9!$O$67,[3]H9!$O$71,[3]H9!$O$75,[3]H9!$R$67:$V$67,[3]H9!$R$71:$V$71,[3]H9!$R$75:$V$75,[3]H9!$Y$67:$AB$67,[3]H9!$Y$71:$AB$71,[3]H9!$Y$75:$AB$75)/1000/AR9</f>
        <v>0.40655623462856316</v>
      </c>
      <c r="AS10" s="6"/>
      <c r="AT10" s="20">
        <f>-SUM([3]H9!$O$81,[3]H9!$R$81:$V$81,[3]H9!$Y$81:$AB$81)/1000/AT9</f>
        <v>0.63254600791349835</v>
      </c>
      <c r="AU10" s="20">
        <f>-SUM([3]H9!$O$82,[3]H9!$R$82:$V$82,[3]H9!$Y$82:$AB$82)/1000/AU9</f>
        <v>0.81093267070369457</v>
      </c>
      <c r="AV10" s="20">
        <f>-SUM([3]H9!$O$83,[3]H9!$R$83:$V$83,[3]H9!$Y$83:$AB$83)/1000/AV9</f>
        <v>0.6063237637075396</v>
      </c>
      <c r="AW10" s="6"/>
      <c r="AX10" s="28" t="e">
        <f>+#REF!</f>
        <v>#REF!</v>
      </c>
      <c r="AY10" s="28" t="e">
        <f>+#REF!</f>
        <v>#REF!</v>
      </c>
      <c r="AZ10" s="28" t="e">
        <f>+#REF!</f>
        <v>#REF!</v>
      </c>
      <c r="BA10" s="6"/>
      <c r="BB10" s="202"/>
      <c r="BC10" s="9"/>
      <c r="BD10" s="14" t="s">
        <v>82</v>
      </c>
      <c r="BE10" s="6"/>
      <c r="BF10" s="20" t="str">
        <f>IFERROR((#REF!*#REF!+#REF!*#REF!)/BF9,"n/a")</f>
        <v>n/a</v>
      </c>
      <c r="BG10" s="20" t="str">
        <f>IFERROR((#REF!*#REF!+#REF!*#REF!)/BG9,"n/a")</f>
        <v>n/a</v>
      </c>
      <c r="BH10" s="20" t="str">
        <f>IFERROR((#REF!*#REF!+#REF!*#REF!)/BH9,"n/a")</f>
        <v>n/a</v>
      </c>
      <c r="BI10" s="6"/>
      <c r="BJ10" s="20">
        <f>-(SUM([3]Retail!$EM$29,[3]Retail!$EP$29:$ET$29,[3]Retail!$EW$29:$EZ$29)/1000)/BJ9</f>
        <v>0.48270462346851833</v>
      </c>
      <c r="BK10" s="20">
        <f>-(SUM([3]Retail!$EM$30,[3]Retail!$EP$30:$ET$30,[3]Retail!$EW$30:$EZ$30)/1000)/BK9</f>
        <v>0.87919849645348369</v>
      </c>
      <c r="BL10" s="20">
        <f>-(SUM([3]Retail!$EM$31,[3]Retail!$EP$31:$ET$31,[3]Retail!$EW$31:$EZ$31)/1000)/BL9</f>
        <v>0.55679373112387343</v>
      </c>
      <c r="BM10" s="6"/>
      <c r="BN10" s="20">
        <f>-(SUM([3]SME!$EM$29,[3]SME!$EP$29:$ET$29,[3]SME!$EW$29:$EZ$29)/1000)/BN9</f>
        <v>0.6342120308146173</v>
      </c>
      <c r="BO10" s="20">
        <f>-(SUM([3]SME!$EM$30,[3]SME!$EP$30:$ET$30,[3]SME!$EW$30:$EZ$30)/1000)/BO9</f>
        <v>0.5594786573841013</v>
      </c>
      <c r="BP10" s="20">
        <f>-(SUM([3]SME!$EM$31,[3]SME!$EP$31:$ET$31,[3]SME!$EW$31:$EZ$31)/1000)/BP9</f>
        <v>0.55242132674141819</v>
      </c>
      <c r="BQ10" s="6"/>
      <c r="BR10" s="20">
        <f>-(SUM([3]MidCorp!$EM$29,[3]MidCorp!$EP$29:$ET$29,[3]MidCorp!$EW$29:$EZ$29)/1000)/BR9</f>
        <v>0.6777360113230676</v>
      </c>
      <c r="BS10" s="20">
        <f>-(SUM([3]MidCorp!$EM$30,[3]MidCorp!$EP$30:$ET$30,[3]MidCorp!$EW$30:$EZ$30)/1000)/BS9</f>
        <v>0.61336932845109327</v>
      </c>
      <c r="BT10" s="20">
        <f>-(SUM([3]MidCorp!$EM$31,[3]MidCorp!$EP$31:$ET$31,[3]MidCorp!$EW$31:$EZ$31)/1000)/BT9</f>
        <v>0.61732981032570189</v>
      </c>
      <c r="BU10" s="6"/>
      <c r="BV10" s="20">
        <f>-(SUM([3]MGA!$EM$29,[3]MGA!$EP$29:$ET$29,[3]MGA!$EW$29:$EZ$29)/1000)/BV9</f>
        <v>0.61887005770038117</v>
      </c>
      <c r="BW10" s="20">
        <f>-(SUM([3]MGA!$EM$30,[3]MGA!$EP$30:$ET$30,[3]MGA!$EW$30:$EZ$30)/1000)/BW9</f>
        <v>0.6098956273791365</v>
      </c>
      <c r="BX10" s="20">
        <f>-(SUM([3]MGA!$EM$31,[3]MGA!$EP$31:$ET$31,[3]MGA!$EW$31:$EZ$31)/1000)/BX9</f>
        <v>0.5588104851526583</v>
      </c>
      <c r="BY10" s="6"/>
      <c r="BZ10" s="20">
        <f>-(SUM([3]Bancassurance!$EM$29,[3]Bancassurance!$EP$29:$ET$29,[3]Bancassurance!$EW$29:$EZ$29)/1000)/BZ9</f>
        <v>0</v>
      </c>
      <c r="CA10" s="20" t="e">
        <f>-(SUM([3]Bancassurance!$EM$30,[3]Bancassurance!$EP$30:$ET$30,[3]Bancassurance!$EW$30:$EZ$30)/1000)/CA9</f>
        <v>#DIV/0!</v>
      </c>
      <c r="CB10" s="20" t="e">
        <f>-(SUM([3]Bancassurance!$EM$31,[3]Bancassurance!$EP$31:$ET$31,[3]Bancassurance!$EW$31:$EZ$31)/1000)/CB9</f>
        <v>#DIV/0!</v>
      </c>
      <c r="CC10" s="6"/>
      <c r="CD10" s="20">
        <f>-(SUM([3]Specials!$EM$29,[3]Specials!$EP$29:$ET$29,[3]Specials!$EW$29:$EZ$29)/1000)/CD9</f>
        <v>0</v>
      </c>
      <c r="CE10" s="20">
        <f>-(SUM([3]Specials!$EM$30,[3]Specials!$EP$30:$ET$30,[3]Specials!$EW$30:$EZ$30)/1000)/CE9</f>
        <v>0</v>
      </c>
      <c r="CF10" s="20" t="e">
        <f>-(SUM([3]Specials!$EM$31,[3]Specials!$EP$31:$ET$31,[3]Specials!$EW$31:$EZ$31)/1000)/CF9</f>
        <v>#DIV/0!</v>
      </c>
      <c r="CG10" s="6"/>
      <c r="CH10" s="28">
        <f>-(SUM('[3]Total P&amp;C'!$EM$29,'[3]Total P&amp;C'!$EP$29:$ET$29,'[3]Total P&amp;C'!$EW$29:$EZ$29)/1000)/CH9</f>
        <v>0.64084157501969874</v>
      </c>
      <c r="CI10" s="28">
        <f>-(SUM('[3]Total P&amp;C'!$EM$30,'[3]Total P&amp;C'!$EP$30:$ET$30,'[3]Total P&amp;C'!$EW$30:$EZ$30)/1000)/CI9</f>
        <v>0.63314618291260416</v>
      </c>
      <c r="CJ10" s="28">
        <f>-(SUM('[3]Total P&amp;C'!$EM$31,'[3]Total P&amp;C'!$EP$31:$ET$31,'[3]Total P&amp;C'!$EW$31:$EZ$31)/1000)/CJ9</f>
        <v>0.58929370995262387</v>
      </c>
    </row>
    <row r="11" spans="2:88" ht="19.5" customHeight="1" x14ac:dyDescent="0.25">
      <c r="B11" s="202"/>
      <c r="C11" s="9"/>
      <c r="D11" s="14" t="s">
        <v>83</v>
      </c>
      <c r="E11" s="6"/>
      <c r="F11" s="20" t="str">
        <f>IFERROR((#REF!*#REF!+#REF!*#REF!)/F9,"n/a")</f>
        <v>n/a</v>
      </c>
      <c r="G11" s="20" t="str">
        <f>IFERROR((#REF!*#REF!+#REF!*#REF!)/G9,"n/a")</f>
        <v>n/a</v>
      </c>
      <c r="H11" s="20" t="str">
        <f>IFERROR((#REF!*#REF!+#REF!*#REF!)/H9,"n/a")</f>
        <v>n/a</v>
      </c>
      <c r="I11" s="6"/>
      <c r="J11" s="20">
        <f>-(SUM([3]Retail!$Q$29,[3]Retail!$X$29,[3]MGA!$X$29,[3]MGA!$Q$29))/1000/J9</f>
        <v>5.8553578684518541E-2</v>
      </c>
      <c r="K11" s="20">
        <f>-(SUM([3]Retail!$Q$30,[3]Retail!$X$30,[3]MGA!$X$30,[3]MGA!$Q$30))/1000/K9</f>
        <v>0.10644928735071363</v>
      </c>
      <c r="L11" s="20">
        <f>-(SUM([3]Retail!$Q$31,[3]Retail!$X$31,[3]MGA!$X$31,[3]MGA!$Q$31))/1000/L9</f>
        <v>6.4358816965241497E-2</v>
      </c>
      <c r="M11" s="6"/>
      <c r="N11" s="20">
        <f>-(SUM([3]Retail!$Q$81,[3]Retail!$X$81,[3]MGA!$Q$81,[3]MGA!$X$81)-SUM([3]MGA!$X$29,[3]MGA!$Q$29,[3]Retail!$X$29,[3]Retail!$Q$29))/1000/N9</f>
        <v>6.5082933031341772E-2</v>
      </c>
      <c r="O11" s="20">
        <f>-(SUM([3]Retail!$Q$82,[3]Retail!$X$82,[3]MGA!$Q$82,[3]MGA!$X$82)-SUM([3]MGA!$X$30,[3]MGA!$Q$30,[3]Retail!$X$30,[3]Retail!$Q$30))/1000/O9</f>
        <v>0.12561813640738484</v>
      </c>
      <c r="P11" s="20">
        <f>-(SUM([3]Retail!$Q$83,[3]Retail!$X$83,[3]MGA!$Q$83,[3]MGA!$X$83)-SUM([3]MGA!$X$31,[3]MGA!$Q$31,[3]Retail!$X$31,[3]Retail!$Q$31))/1000/P9</f>
        <v>6.9954379809710684E-2</v>
      </c>
      <c r="Q11" s="6"/>
      <c r="R11" s="20">
        <f>-(SUM([3]SME!$Q$81,[3]SME!$X$81,[3]Bancassurance!$Q$81,[3]Bancassurance!$X$81)-SUM([3]Bancassurance!$X$29,[3]Bancassurance!$Q$29,[3]SME!$X$29,[3]SME!$Q$29))/1000/R9</f>
        <v>-3.391424382549002E-2</v>
      </c>
      <c r="S11" s="20">
        <f>-(SUM([3]SME!$Q$82,[3]SME!$X$82,[3]Bancassurance!$Q$82,[3]Bancassurance!$X$82)-SUM([3]Bancassurance!$X$30,[3]Bancassurance!$Q$30,[3]SME!$X$30,[3]SME!$Q$30))/1000/S9</f>
        <v>8.4084570696061518E-3</v>
      </c>
      <c r="T11" s="20">
        <f>-(SUM([3]SME!$Q$83,[3]SME!$X$83,[3]Bancassurance!$Q$83,[3]Bancassurance!$X$83)-SUM([3]Bancassurance!$X$31,[3]Bancassurance!$Q$31,[3]SME!$X$31,[3]SME!$Q$31))/1000/T9</f>
        <v>-3.0901058279328712E-2</v>
      </c>
      <c r="U11" s="6"/>
      <c r="V11" s="20">
        <f>-SUM([3]Bancassurance!$Q$29,[3]Bancassurance!$X$29,[3]MidCorp!$X$29,[3]MidCorp!$Q$29,[3]SME!$X$29,[3]SME!$Q$29)/1000/V9</f>
        <v>9.3142408327927487E-2</v>
      </c>
      <c r="W11" s="20">
        <f>-SUM([3]Bancassurance!$Q$30,[3]Bancassurance!$X$30,[3]MidCorp!$X$30,[3]MidCorp!$Q$30,[3]SME!$X$30,[3]SME!$Q$30)/1000/W9</f>
        <v>7.175648195743177E-2</v>
      </c>
      <c r="X11" s="20">
        <f>-SUM([3]Bancassurance!$Q$31,[3]Bancassurance!$X$31,[3]MidCorp!$X$31,[3]MidCorp!$Q$31,[3]SME!$X$31,[3]SME!$Q$31)/1000/X9</f>
        <v>8.2258981649468613E-2</v>
      </c>
      <c r="Y11" s="6"/>
      <c r="Z11" s="20">
        <f>-SUM([3]Bancassurance!$X$29,[3]Bancassurance!$Q$29,[3]MGA!$X$81,[3]MGA!$Q$81,[3]MidCorp!$X$29,[3]MidCorp!$Q$29,[3]SME!$X$81,[3]SME!$Q$81,[3]Retail!$X$81,[3]Retail!$Q$81)/1000/Z9</f>
        <v>5.2140696574030171E-2</v>
      </c>
      <c r="AA11" s="20">
        <f>-SUM([3]Bancassurance!$X$30,[3]Bancassurance!$Q$30,[3]MGA!$X$82,[3]MGA!$Q$82,[3]MidCorp!$X$30,[3]MidCorp!$Q$30,[3]SME!$X$82,[3]SME!$Q$82,[3]Retail!$X$82,[3]Retail!$Q$82)/1000/AA9</f>
        <v>4.8835115861245941E-2</v>
      </c>
      <c r="AB11" s="20">
        <f>-SUM([3]Bancassurance!$X$31,[3]Bancassurance!$Q$31,[3]MGA!$X$83,[3]MGA!$Q$83,[3]MidCorp!$X$31,[3]MidCorp!$Q$31,[3]SME!$X$83,[3]SME!$Q$83,[3]Retail!$X$83,[3]Retail!$Q$83)/1000/AB9</f>
        <v>4.6908417848553513E-2</v>
      </c>
      <c r="AC11" s="6"/>
      <c r="AD11" s="20">
        <f>-SUM([3]Bancassurance!$X$33,[3]Bancassurance!$Q$33,[3]MidCorp!$Q$33,[3]MidCorp!$X$33)/1000/AD9</f>
        <v>0.27138727955513442</v>
      </c>
      <c r="AE11" s="20">
        <f>-SUM([3]Bancassurance!$X$34,[3]Bancassurance!$Q$34,[3]MidCorp!$Q$34,[3]MidCorp!$X$34)/1000/AE9</f>
        <v>0.26715181718098668</v>
      </c>
      <c r="AF11" s="20">
        <f>-SUM([3]Bancassurance!$X$35,[3]Bancassurance!$Q$35,[3]MidCorp!$Q$35,[3]MidCorp!$X$35)/1000/AF9</f>
        <v>0.25735439523712306</v>
      </c>
      <c r="AG11" s="6"/>
      <c r="AH11" s="20">
        <f>-SUM([3]Bancassurance!$X$37,[3]Bancassurance!$Q$37,[3]MidCorp!$Q$37,[3]MidCorp!$X$37)/1000/AH9</f>
        <v>0.11719784506902213</v>
      </c>
      <c r="AI11" s="20">
        <f>-SUM([3]Bancassurance!$X$38,[3]Bancassurance!$Q$38,[3]MidCorp!$Q$38,[3]MidCorp!$X$38)/1000/AI9</f>
        <v>0</v>
      </c>
      <c r="AJ11" s="20">
        <f>-SUM([3]Bancassurance!$X$39,[3]Bancassurance!$Q$39,[3]MidCorp!$Q$39,[3]MidCorp!$X$39)/1000/AJ9</f>
        <v>0.11792337644235795</v>
      </c>
      <c r="AK11" s="6"/>
      <c r="AL11" s="20">
        <f>-SUM([3]Bancassurance!$X$41,[3]Bancassurance!$Q$41,[3]MidCorp!$Q$41,[3]MidCorp!$X$41)/1000/AL9</f>
        <v>0.13821619443528177</v>
      </c>
      <c r="AM11" s="20">
        <f>-SUM([3]Bancassurance!$X$42,[3]Bancassurance!$Q$42,[3]MidCorp!$Q$42,[3]MidCorp!$X$42)/1000/AM9</f>
        <v>0.12020528609176698</v>
      </c>
      <c r="AN11" s="20">
        <f>-SUM([3]Bancassurance!$X$43,[3]Bancassurance!$Q$43,[3]MidCorp!$Q$43,[3]MidCorp!$X$43)/1000/AN9</f>
        <v>0.11877079828245293</v>
      </c>
      <c r="AO11" s="6"/>
      <c r="AP11" s="20">
        <f>-SUM([3]H9!$Q$45,[3]H9!$Q$49,[3]H9!$Q$53,[3]H9!$Q$57,[3]H9!$Q$65,[3]H9!$Q$69,[3]H9!$Q$73,[3]H9!$X$45,[3]H9!$X$49,[3]H9!$X$53,[3]H9!$X$57,[3]H9!$X$65,[3]H9!$X$69,[3]H9!$X$73)/1000/AP9</f>
        <v>0.14994545783809959</v>
      </c>
      <c r="AQ11" s="20">
        <f>-SUM([3]H9!$Q$46,[3]H9!$Q$50,[3]H9!$Q$54,[3]H9!$Q$58,[3]H9!$Q$66,[3]H9!$Q$70,[3]H9!$Q$74,[3]H9!$X$46,[3]H9!$X$50,[3]H9!$X$54,[3]H9!$X$58,[3]H9!$X$66,[3]H9!$X$70,[3]H9!$X$74)/1000/AQ9</f>
        <v>0.11588092462246262</v>
      </c>
      <c r="AR11" s="20">
        <f>-SUM([3]H9!$Q$47,[3]H9!$Q$51,[3]H9!$Q$55,[3]H9!$Q$59,[3]H9!$Q$67,[3]H9!$Q$71,[3]H9!$Q$75,[3]H9!$X$47,[3]H9!$X$51,[3]H9!$X$55,[3]H9!$X$59,[3]H9!$X$67,[3]H9!$X$71,[3]H9!$X$75)/1000/AR9</f>
        <v>0.16223861701687764</v>
      </c>
      <c r="AS11" s="6"/>
      <c r="AT11" s="20">
        <f>-SUM([3]H9!$X$81,[3]H9!$Q$81)/1000/AT9</f>
        <v>0.15745164436884579</v>
      </c>
      <c r="AU11" s="20">
        <f>-SUM([3]H9!$X$82,[3]H9!$Q$82)/1000/AU9</f>
        <v>2.8060352674204238E-2</v>
      </c>
      <c r="AV11" s="20">
        <f>-SUM([3]H9!$X$83,[3]H9!$Q$83)/1000/AV9</f>
        <v>0.18546563980004799</v>
      </c>
      <c r="AW11" s="6"/>
      <c r="AX11" s="28" t="e">
        <f>+#REF!</f>
        <v>#REF!</v>
      </c>
      <c r="AY11" s="28" t="e">
        <f>+#REF!</f>
        <v>#REF!</v>
      </c>
      <c r="AZ11" s="28" t="e">
        <f>+#REF!</f>
        <v>#REF!</v>
      </c>
      <c r="BA11" s="6"/>
      <c r="BB11" s="202"/>
      <c r="BC11" s="9"/>
      <c r="BD11" s="14" t="s">
        <v>83</v>
      </c>
      <c r="BE11" s="6"/>
      <c r="BF11" s="20" t="str">
        <f>IFERROR((#REF!*#REF!+#REF!*#REF!)/BF9,"n/a")</f>
        <v>n/a</v>
      </c>
      <c r="BG11" s="20" t="str">
        <f>IFERROR((#REF!*#REF!+#REF!*#REF!)/BG9,"n/a")</f>
        <v>n/a</v>
      </c>
      <c r="BH11" s="20" t="str">
        <f>IFERROR((#REF!*#REF!+#REF!*#REF!)/BH9,"n/a")</f>
        <v>n/a</v>
      </c>
      <c r="BI11" s="6"/>
      <c r="BJ11" s="20">
        <f>-(SUM([3]Retail!$EO$29,[3]Retail!$EV$29)/1000)/BJ9</f>
        <v>5.1164644312687892E-2</v>
      </c>
      <c r="BK11" s="20">
        <f>-(SUM([3]Retail!$EO$30,[3]Retail!$EV$30)/1000)/BK9</f>
        <v>9.7834644440421198E-2</v>
      </c>
      <c r="BL11" s="20">
        <f>-(SUM([3]Retail!$EO$31,[3]Retail!$EV$31)/1000)/BL9</f>
        <v>5.4494809646690533E-2</v>
      </c>
      <c r="BM11" s="6"/>
      <c r="BN11" s="20">
        <f>-(SUM([3]SME!$EO$29,[3]SME!$EV$29)/1000)/BN9</f>
        <v>8.8221234213621297E-2</v>
      </c>
      <c r="BO11" s="20">
        <f>-(SUM([3]SME!$EO$30,[3]SME!$EV$30)/1000)/BO9</f>
        <v>2.9641151709360793E-2</v>
      </c>
      <c r="BP11" s="20">
        <f>-(SUM([3]SME!$EO$31,[3]SME!$EV$31)/1000)/BP9</f>
        <v>7.5645629633041889E-2</v>
      </c>
      <c r="BQ11" s="6"/>
      <c r="BR11" s="20">
        <f>-(SUM([3]MidCorp!$EO$29,[3]MidCorp!$EV$29)/1000)/BR9</f>
        <v>0.10516727696480041</v>
      </c>
      <c r="BS11" s="20">
        <f>-(SUM([3]MidCorp!$EO$30,[3]MidCorp!$EV$30)/1000)/BS9</f>
        <v>7.3879425606467972E-2</v>
      </c>
      <c r="BT11" s="20">
        <f>-(SUM([3]MidCorp!$EO$31,[3]MidCorp!$EV$31)/1000)/BT9</f>
        <v>8.4042058189762306E-2</v>
      </c>
      <c r="BU11" s="6"/>
      <c r="BV11" s="20">
        <f>-(SUM([3]MGA!$EO$29,[3]MGA!$EV$29)/1000)/BV9</f>
        <v>9.1009540433444835E-2</v>
      </c>
      <c r="BW11" s="20">
        <f>-(SUM([3]MGA!$EO$30,[3]MGA!$EV$30)/1000)/BW9</f>
        <v>9.3171540503024189E-2</v>
      </c>
      <c r="BX11" s="20">
        <f>-(SUM([3]MGA!$EO$31,[3]MGA!$EV$31)/1000)/BX9</f>
        <v>6.8896057569693886E-2</v>
      </c>
      <c r="BY11" s="6"/>
      <c r="BZ11" s="20">
        <f>-(SUM([3]Bancassurance!$EO$29,[3]Bancassurance!$EV$29)/1000)/BZ9</f>
        <v>0</v>
      </c>
      <c r="CA11" s="20" t="e">
        <f>-(SUM([3]Bancassurance!$EO$30,[3]Bancassurance!$EV$30)/1000)/CA9</f>
        <v>#DIV/0!</v>
      </c>
      <c r="CB11" s="20" t="e">
        <f>-(SUM([3]Bancassurance!$EO$31,[3]Bancassurance!$EV$31)/1000)/CB9</f>
        <v>#DIV/0!</v>
      </c>
      <c r="CC11" s="6"/>
      <c r="CD11" s="20">
        <f>-(SUM([3]Specials!$EO$29,[3]Specials!$EV$29)/1000)/CD9</f>
        <v>0</v>
      </c>
      <c r="CE11" s="20">
        <f>-(SUM([3]Specials!$EO$30,[3]Specials!$EV$30)/1000)/CE9</f>
        <v>0</v>
      </c>
      <c r="CF11" s="20" t="e">
        <f>-(SUM([3]Specials!$EO$31,[3]Specials!$EV$31)/1000)/CF9</f>
        <v>#DIV/0!</v>
      </c>
      <c r="CG11" s="6"/>
      <c r="CH11" s="28">
        <f>-(SUM('[3]Total P&amp;C'!$EO$29,'[3]Total P&amp;C'!$EV$29)/1000)/CH9</f>
        <v>9.4740454347370315E-2</v>
      </c>
      <c r="CI11" s="28">
        <f>-(SUM('[3]Total P&amp;C'!$EO$30,'[3]Total P&amp;C'!$EV$30)/1000)/CI9</f>
        <v>7.3070798975788845E-2</v>
      </c>
      <c r="CJ11" s="28">
        <f>-(SUM('[3]Total P&amp;C'!$EO$31,'[3]Total P&amp;C'!$EV$31)/1000)/CJ9</f>
        <v>7.6636097169281436E-2</v>
      </c>
    </row>
    <row r="12" spans="2:88" ht="19.5" customHeight="1" x14ac:dyDescent="0.25">
      <c r="B12" s="202"/>
      <c r="C12" s="9"/>
      <c r="D12" s="14" t="s">
        <v>84</v>
      </c>
      <c r="E12" s="6"/>
      <c r="F12" s="20" t="str">
        <f>IFERROR((#REF!*#REF!+#REF!*#REF!)/F9,"n/a")</f>
        <v>n/a</v>
      </c>
      <c r="G12" s="20" t="str">
        <f>IFERROR((#REF!*#REF!+#REF!*#REF!)/G9,"n/a")</f>
        <v>n/a</v>
      </c>
      <c r="H12" s="20" t="str">
        <f>IFERROR((#REF!*#REF!+#REF!*#REF!)/H9,"n/a")</f>
        <v>n/a</v>
      </c>
      <c r="I12" s="6"/>
      <c r="J12" s="20">
        <f>-(SUM([3]Retail!$P$81,[3]Retail!$W$81,[3]MGA!$W$29,[3]MGA!$P$29))/1000/J9</f>
        <v>5.9538643401699369E-5</v>
      </c>
      <c r="K12" s="20">
        <f>-(SUM([3]Retail!$P$81,[3]Retail!$W$81,[3]MGA!$W$30,[3]MGA!$P$30))/1000/K9</f>
        <v>0</v>
      </c>
      <c r="L12" s="20">
        <f>-(SUM([3]Retail!$P$81,[3]Retail!$W$81,[3]MGA!$W$31,[3]MGA!$P$31))/1000/L9</f>
        <v>1.0560743534943365E-2</v>
      </c>
      <c r="M12" s="6"/>
      <c r="N12" s="20">
        <f>-(SUM([3]Retail!$P$81,[3]Retail!$W$81,[3]MGA!$W$81,[3]MGA!$P$81)-SUM([3]MGA!$P$29,[3]MGA!$W$29,[3]Retail!$P$29,[3]Retail!$W$29))/1000/N9</f>
        <v>2.8180030800143948E-4</v>
      </c>
      <c r="O12" s="20">
        <f>-(SUM([3]Retail!$P$82,[3]Retail!$W$82,[3]MGA!$W$82,[3]MGA!$P$82)-SUM([3]MGA!$P$30,[3]MGA!$W$30,[3]Retail!$P$30,[3]Retail!$W$30))/1000/O9</f>
        <v>0</v>
      </c>
      <c r="P12" s="20">
        <f>-(SUM([3]Retail!$P$83,[3]Retail!$W$83,[3]MGA!$W$83,[3]MGA!$P$83)-SUM([3]MGA!$P$31,[3]MGA!$W$31,[3]Retail!$P$31,[3]Retail!$W$31))/1000/P9</f>
        <v>1.5484143591515087E-2</v>
      </c>
      <c r="Q12" s="6"/>
      <c r="R12" s="20">
        <f>-(SUM([3]SME!$P$81,[3]SME!$W$81,[3]Bancassurance!$W$81,[3]Bancassurance!$P$81)-SUM([3]Bancassurance!$P$29,[3]Bancassurance!$W$29,[3]SME!$P$29,[3]SME!$W$29))/1000/R9</f>
        <v>-2.6898745005115898E-4</v>
      </c>
      <c r="S12" s="20">
        <f>-(SUM([3]SME!$P$82,[3]SME!$W$82,[3]Bancassurance!$W$82,[3]Bancassurance!$P$82)-SUM([3]Bancassurance!$P$30,[3]Bancassurance!$W$30,[3]SME!$P$30,[3]SME!$W$30))/1000/S9</f>
        <v>0</v>
      </c>
      <c r="T12" s="20">
        <f>-(SUM([3]SME!$P$83,[3]SME!$W$83,[3]Bancassurance!$W$83,[3]Bancassurance!$P$83)-SUM([3]Bancassurance!$P$31,[3]Bancassurance!$W$31,[3]SME!$P$31,[3]SME!$W$31))/1000/T9</f>
        <v>-6.947655105745197E-3</v>
      </c>
      <c r="U12" s="6"/>
      <c r="V12" s="20">
        <f>-SUM([3]Bancassurance!$W$29,[3]Bancassurance!$P$29,[3]MidCorp!$W$29,[3]MidCorp!$P$29,[3]SME!$W$29,[3]SME!$P$29)/1000/V9</f>
        <v>1.5699036030242066E-4</v>
      </c>
      <c r="W12" s="20">
        <f>-SUM([3]Bancassurance!$W$30,[3]Bancassurance!$P$30,[3]MidCorp!$W$30,[3]MidCorp!$P$30,[3]SME!$W$30,[3]SME!$P$30)/1000/W9</f>
        <v>0</v>
      </c>
      <c r="X12" s="20">
        <f>-SUM([3]Bancassurance!$W$31,[3]Bancassurance!$P$31,[3]MidCorp!$W$31,[3]MidCorp!$P$31,[3]SME!$W$31,[3]SME!$P$31)/1000/X9</f>
        <v>1.2085349971178033E-2</v>
      </c>
      <c r="Y12" s="6"/>
      <c r="Z12" s="20">
        <f>-SUM([3]Bancassurance!$P$29,[3]Bancassurance!$W$29,[3]MGA!$W$81,[3]MGA!$P$81,[3]MidCorp!$W$29,[3]MidCorp!$P$29,[3]SME!$W$81,[3]SME!$P$81,[3]Retail!$W$81,[3]Retail!$P$81)/1000/Z9</f>
        <v>2.4015126068700045E-5</v>
      </c>
      <c r="AA12" s="20">
        <f>-SUM([3]Bancassurance!$P$30,[3]Bancassurance!$W$30,[3]MGA!$W$82,[3]MGA!$P$82,[3]MidCorp!$W$30,[3]MidCorp!$P$30,[3]SME!$W$82,[3]SME!$P$82,[3]Retail!$W$82,[3]Retail!$P$82)/1000/AA9</f>
        <v>0</v>
      </c>
      <c r="AB12" s="20">
        <f>-SUM([3]Bancassurance!$P$31,[3]Bancassurance!$W$31,[3]MGA!$W$83,[3]MGA!$P$83,[3]MidCorp!$W$31,[3]MidCorp!$P$31,[3]SME!$W$83,[3]SME!$P$83,[3]Retail!$W$83,[3]Retail!$P$83)/1000/AB9</f>
        <v>6.1127965395078206E-3</v>
      </c>
      <c r="AC12" s="6"/>
      <c r="AD12" s="20">
        <f>-SUM([3]Bancassurance!$P$33,[3]Bancassurance!$W$33,[3]MidCorp!$P$33,[3]MidCorp!$W$33)/1000/AD9</f>
        <v>1.4349023610045286E-2</v>
      </c>
      <c r="AE12" s="20">
        <f>-SUM([3]Bancassurance!$P$34,[3]Bancassurance!$W$34,[3]MidCorp!$P$34,[3]MidCorp!$W$34)/1000/AE9</f>
        <v>0</v>
      </c>
      <c r="AF12" s="20">
        <f>-SUM([3]Bancassurance!$P$35,[3]Bancassurance!$W$35,[3]MidCorp!$P$35,[3]MidCorp!$W$35)/1000/AF9</f>
        <v>0.11755685871858965</v>
      </c>
      <c r="AG12" s="6"/>
      <c r="AH12" s="20">
        <f>-SUM([3]Bancassurance!$P$37,[3]Bancassurance!$W$37,[3]MidCorp!$P$37,[3]MidCorp!$W$37)/1000/AH9</f>
        <v>8.5545872313154837E-4</v>
      </c>
      <c r="AI12" s="20">
        <f>-SUM([3]Bancassurance!$P$38,[3]Bancassurance!$W$38,[3]MidCorp!$P$38,[3]MidCorp!$W$38)/1000/AI9</f>
        <v>0</v>
      </c>
      <c r="AJ12" s="20">
        <f>-SUM([3]Bancassurance!$P$39,[3]Bancassurance!$W$39,[3]MidCorp!$P$39,[3]MidCorp!$W$39)/1000/AJ9</f>
        <v>2.3610327066287275E-2</v>
      </c>
      <c r="AK12" s="6"/>
      <c r="AL12" s="20">
        <f>-SUM([3]Bancassurance!$P$41,[3]Bancassurance!$W$41,[3]MidCorp!$P$41,[3]MidCorp!$W$41)/1000/AL9</f>
        <v>0</v>
      </c>
      <c r="AM12" s="20">
        <f>-SUM([3]Bancassurance!$P$42,[3]Bancassurance!$W$42,[3]MidCorp!$P$42,[3]MidCorp!$W$42)/1000/AM9</f>
        <v>0</v>
      </c>
      <c r="AN12" s="20">
        <f>-SUM([3]Bancassurance!$P$43,[3]Bancassurance!$W$43,[3]MidCorp!$P$43,[3]MidCorp!$W$43)/1000/AN9</f>
        <v>0</v>
      </c>
      <c r="AO12" s="6"/>
      <c r="AP12" s="20">
        <f>-SUM([3]H9!$P$45,[3]H9!$P$49,[3]H9!$P$53,[3]H9!$P$57,[3]H9!$P$65,[3]H9!$P$69,[3]H9!$P$73,[3]H9!$W$45,[3]H9!$W$49,[3]H9!$W$53,[3]H9!$W$57,[3]H9!$W$65,[3]H9!$W$69,[3]H9!$W$73)/1000/AP10</f>
        <v>1.6455817911843695</v>
      </c>
      <c r="AQ12" s="20">
        <f>-SUM([3]H9!$P$46,[3]H9!$P$50,[3]H9!$P$54,[3]H9!$P$58,[3]H9!$P$66,[3]H9!$P$70,[3]H9!$P$74,[3]H9!$W$46,[3]H9!$W$50,[3]H9!$W$54,[3]H9!$W$58,[3]H9!$W$66,[3]H9!$W$70,[3]H9!$W$74)/1000/AQ10</f>
        <v>0</v>
      </c>
      <c r="AR12" s="20">
        <f>-SUM([3]H9!$P$47,[3]H9!$P$51,[3]H9!$P$55,[3]H9!$P$59,[3]H9!$P$67,[3]H9!$P$71,[3]H9!$P$75,[3]H9!$W$47,[3]H9!$W$51,[3]H9!$W$55,[3]H9!$W$59,[3]H9!$W$67,[3]H9!$W$71,[3]H9!$W$75)/1000/AR10</f>
        <v>17.847659526997408</v>
      </c>
      <c r="AS12" s="6"/>
      <c r="AT12" s="20">
        <f>-SUM([3]H9!$P$81,[3]H9!$W$81)/1000/AT9</f>
        <v>0</v>
      </c>
      <c r="AU12" s="20">
        <f>-SUM([3]H9!$P$82,[3]H9!$W$82)/1000/AU9</f>
        <v>0</v>
      </c>
      <c r="AV12" s="20">
        <f>-SUM([3]H9!$P$83,[3]H9!$W$83)/1000/AV9</f>
        <v>0</v>
      </c>
      <c r="AW12" s="6"/>
      <c r="AX12" s="28" t="e">
        <f>+#REF!</f>
        <v>#REF!</v>
      </c>
      <c r="AY12" s="28" t="e">
        <f>+#REF!</f>
        <v>#REF!</v>
      </c>
      <c r="AZ12" s="28" t="e">
        <f>+#REF!</f>
        <v>#REF!</v>
      </c>
      <c r="BA12" s="6"/>
      <c r="BB12" s="202"/>
      <c r="BC12" s="9"/>
      <c r="BD12" s="14" t="s">
        <v>84</v>
      </c>
      <c r="BE12" s="6"/>
      <c r="BF12" s="20" t="str">
        <f>IFERROR((#REF!*#REF!+#REF!*#REF!)/BF9,"n/a")</f>
        <v>n/a</v>
      </c>
      <c r="BG12" s="20" t="str">
        <f>IFERROR((#REF!*#REF!+#REF!*#REF!)/BG9,"n/a")</f>
        <v>n/a</v>
      </c>
      <c r="BH12" s="20" t="str">
        <f>IFERROR((#REF!*#REF!+#REF!*#REF!)/BH9,"n/a")</f>
        <v>n/a</v>
      </c>
      <c r="BI12" s="6"/>
      <c r="BJ12" s="20">
        <f>-(SUM([3]Retail!$EN$29,[3]Retail!$EU$29)/1000)/BJ9</f>
        <v>1.6752695768993818E-3</v>
      </c>
      <c r="BK12" s="20">
        <f>-(SUM([3]Retail!$EN$30,[3]Retail!$EU$30)/1000)/BK9</f>
        <v>0</v>
      </c>
      <c r="BL12" s="20">
        <f>-(SUM([3]Retail!$EN$31,[3]Retail!$EU$31)/1000)/BL9</f>
        <v>1.0548063707894241E-2</v>
      </c>
      <c r="BM12" s="6"/>
      <c r="BN12" s="20">
        <f>-(SUM([3]SME!$EN$29,[3]SME!$EU$29)/1000)/BN9</f>
        <v>1.7744685081747614E-3</v>
      </c>
      <c r="BO12" s="20">
        <f>-(SUM([3]SME!$EN$30,[3]SME!$EU$30)/1000)/BO9</f>
        <v>0</v>
      </c>
      <c r="BP12" s="20">
        <f>-(SUM([3]SME!$EN$31,[3]SME!$EU$31)/1000)/BP9</f>
        <v>1.4236417567132191E-2</v>
      </c>
      <c r="BQ12" s="6"/>
      <c r="BR12" s="20">
        <f>-(SUM([3]MidCorp!$EN$29,[3]MidCorp!$EU$29)/1000)/BR9</f>
        <v>1.2471624162547381E-4</v>
      </c>
      <c r="BS12" s="20">
        <f>-(SUM([3]MidCorp!$EN$30,[3]MidCorp!$EU$30)/1000)/BS9</f>
        <v>0</v>
      </c>
      <c r="BT12" s="20">
        <f>-(SUM([3]MidCorp!$EN$31,[3]MidCorp!$EU$31)/1000)/BT9</f>
        <v>1.1505384144861087E-2</v>
      </c>
      <c r="BU12" s="6"/>
      <c r="BV12" s="20">
        <f>-(SUM([3]MGA!$EN$29,[3]MGA!$EU$29)/1000)/BV9</f>
        <v>2.7321694821344581E-4</v>
      </c>
      <c r="BW12" s="20">
        <f>-(SUM([3]MGA!$EN$30,[3]MGA!$EU$30)/1000)/BW9</f>
        <v>0</v>
      </c>
      <c r="BX12" s="20">
        <f>-(SUM([3]MGA!$EN$31,[3]MGA!$EU$31)/1000)/BX9</f>
        <v>1.5418468476999908E-2</v>
      </c>
      <c r="BY12" s="6"/>
      <c r="BZ12" s="20">
        <f>-(SUM([3]Bancassurance!$EN$29,[3]Bancassurance!$EU$29)/1000)/BZ9</f>
        <v>0</v>
      </c>
      <c r="CA12" s="20" t="e">
        <f>-(SUM([3]Bancassurance!$EN$30,[3]Bancassurance!$EU$30)/1000)/CA9</f>
        <v>#DIV/0!</v>
      </c>
      <c r="CB12" s="20" t="e">
        <f>-(SUM([3]Bancassurance!$EN$31,[3]Bancassurance!$EU$31)/1000)/CB9</f>
        <v>#DIV/0!</v>
      </c>
      <c r="CC12" s="6"/>
      <c r="CD12" s="20">
        <f>-(SUM([3]Specials!$EN$29,[3]Specials!$EU$29)/1000)/CD9</f>
        <v>0</v>
      </c>
      <c r="CE12" s="20">
        <f>-(SUM([3]Specials!$EN$30,[3]Specials!$EU$30)/1000)/CE9</f>
        <v>0</v>
      </c>
      <c r="CF12" s="20" t="e">
        <f>-(SUM([3]Specials!$EN$31,[3]Specials!$EU$31)/1000)/CF9</f>
        <v>#DIV/0!</v>
      </c>
      <c r="CG12" s="6"/>
      <c r="CH12" s="28">
        <f>-(SUM('[3]Total P&amp;C'!$EN$29,'[3]Total P&amp;C'!$EU$29)/1000)/CH9</f>
        <v>5.3242400791950791E-4</v>
      </c>
      <c r="CI12" s="28">
        <f>-(SUM('[3]Total P&amp;C'!$EN$30,'[3]Total P&amp;C'!$EU$30)/1000)/CI9</f>
        <v>0</v>
      </c>
      <c r="CJ12" s="28">
        <f>-(SUM('[3]Total P&amp;C'!$EN$31,'[3]Total P&amp;C'!$EU$31)/1000)/CJ9</f>
        <v>1.2650351801454279E-2</v>
      </c>
    </row>
    <row r="13" spans="2:88" ht="19.5" customHeight="1" outlineLevel="1" x14ac:dyDescent="0.25">
      <c r="B13" s="202"/>
      <c r="C13" s="9"/>
      <c r="D13" s="14" t="s">
        <v>85</v>
      </c>
      <c r="E13" s="7"/>
      <c r="F13" s="20">
        <v>0.67948662172598684</v>
      </c>
      <c r="G13" s="20">
        <v>0.5750002022871471</v>
      </c>
      <c r="H13" s="20">
        <v>0.68456678107585633</v>
      </c>
      <c r="I13" s="7"/>
      <c r="J13" s="20">
        <f>+J10+J11+J12</f>
        <v>0.65050858210389184</v>
      </c>
      <c r="K13" s="20">
        <f>+K10+K11+K12</f>
        <v>0.7225297220019371</v>
      </c>
      <c r="L13" s="20">
        <f>+L10+L11+L12</f>
        <v>0.63309464944846439</v>
      </c>
      <c r="M13" s="7"/>
      <c r="N13" s="20">
        <f>+N10+N11+N12</f>
        <v>0.63627627281066568</v>
      </c>
      <c r="O13" s="20">
        <f>+O10+O11+O12</f>
        <v>0.76674362247485672</v>
      </c>
      <c r="P13" s="20">
        <f>+P10+P11+P12</f>
        <v>0.62425450406833127</v>
      </c>
      <c r="Q13" s="7"/>
      <c r="R13" s="20">
        <f>+R10+R11+R12</f>
        <v>0.84860876340273628</v>
      </c>
      <c r="S13" s="20">
        <f>+S10+S11+S12</f>
        <v>0.86262717605592343</v>
      </c>
      <c r="T13" s="20">
        <f>+T10+T11+T12</f>
        <v>0.89530210851529857</v>
      </c>
      <c r="U13" s="7"/>
      <c r="V13" s="20">
        <f>+V10+V11+V12</f>
        <v>0.71974857001377823</v>
      </c>
      <c r="W13" s="20">
        <f>+W10+W11+W12</f>
        <v>0.67282242473455156</v>
      </c>
      <c r="X13" s="20">
        <f>+X10+X11+X12</f>
        <v>0.69789009155357307</v>
      </c>
      <c r="Y13" s="7"/>
      <c r="Z13" s="20">
        <f>+Z10+Z11+Z12</f>
        <v>0.76034421123020868</v>
      </c>
      <c r="AA13" s="20">
        <f>+AA10+AA11+AA12</f>
        <v>0.72447673038396321</v>
      </c>
      <c r="AB13" s="20">
        <f>+AB10+AB11+AB12</f>
        <v>0.75552280221236168</v>
      </c>
      <c r="AC13" s="7"/>
      <c r="AD13" s="20">
        <f>+AD10+AD11+AD12</f>
        <v>0.5366786119015593</v>
      </c>
      <c r="AE13" s="20">
        <f>+AE10+AE11+AE12</f>
        <v>0.55110609245969455</v>
      </c>
      <c r="AF13" s="20">
        <f>+AF10+AF11+AF12</f>
        <v>0.67242531175217379</v>
      </c>
      <c r="AG13" s="7"/>
      <c r="AH13" s="20">
        <f>+AH10+AH11+AH12</f>
        <v>0.4681193130831045</v>
      </c>
      <c r="AI13" s="20">
        <f>+AI10+AI11+AI12</f>
        <v>0.51628379983242845</v>
      </c>
      <c r="AJ13" s="20">
        <f>+AJ10+AJ11+AJ12</f>
        <v>0.5154959585917791</v>
      </c>
      <c r="AK13" s="7"/>
      <c r="AL13" s="20">
        <f>+AL10+AL11+AL12</f>
        <v>0.56271148866529175</v>
      </c>
      <c r="AM13" s="20">
        <f>+AM10+AM11+AM12</f>
        <v>0.58103423812173027</v>
      </c>
      <c r="AN13" s="20">
        <f>+AN10+AN11+AN12</f>
        <v>0.55849805113113538</v>
      </c>
      <c r="AO13" s="7"/>
      <c r="AP13" s="20">
        <f>+AP10+AP11+AP12</f>
        <v>2.1990206053278492</v>
      </c>
      <c r="AQ13" s="20">
        <f>+AQ10+AQ11+AQ12</f>
        <v>0.58868045051776974</v>
      </c>
      <c r="AR13" s="20">
        <f>+AR10+AR11+AR12</f>
        <v>18.416454378642847</v>
      </c>
      <c r="AS13" s="7"/>
      <c r="AT13" s="20">
        <f>+AT10+AT11+AT12</f>
        <v>0.7899976522823442</v>
      </c>
      <c r="AU13" s="20">
        <f>+AU10+AU11+AU12</f>
        <v>0.83899302337789883</v>
      </c>
      <c r="AV13" s="20">
        <f>+AV10+AV11+AV12</f>
        <v>0.79178940350758764</v>
      </c>
      <c r="AW13" s="7"/>
      <c r="AX13" s="28" t="e">
        <f>+#REF!</f>
        <v>#REF!</v>
      </c>
      <c r="AY13" s="28" t="e">
        <f>+#REF!</f>
        <v>#REF!</v>
      </c>
      <c r="AZ13" s="28" t="e">
        <f>+#REF!</f>
        <v>#REF!</v>
      </c>
      <c r="BA13" s="7"/>
      <c r="BB13" s="202"/>
      <c r="BC13" s="9"/>
      <c r="BD13" s="14" t="s">
        <v>85</v>
      </c>
      <c r="BE13" s="7"/>
      <c r="BF13" s="20">
        <v>0.67948662172598684</v>
      </c>
      <c r="BG13" s="20">
        <v>0.5750002022871471</v>
      </c>
      <c r="BH13" s="20">
        <v>0.68456678107585633</v>
      </c>
      <c r="BI13" s="7"/>
      <c r="BJ13" s="20">
        <f>+BJ10+BJ11+BJ12</f>
        <v>0.53554453735810559</v>
      </c>
      <c r="BK13" s="20">
        <f>+BK10+BK11+BK12</f>
        <v>0.97703314089390492</v>
      </c>
      <c r="BL13" s="20">
        <f>+BL10+BL11+BL12</f>
        <v>0.62183660447845823</v>
      </c>
      <c r="BM13" s="7"/>
      <c r="BN13" s="20">
        <f>+BN10+BN11+BN12</f>
        <v>0.72420773353641332</v>
      </c>
      <c r="BO13" s="20">
        <f>+BO10+BO11+BO12</f>
        <v>0.58911980909346207</v>
      </c>
      <c r="BP13" s="20">
        <f>+BP10+BP11+BP12</f>
        <v>0.64230337394159231</v>
      </c>
      <c r="BQ13" s="7"/>
      <c r="BR13" s="20">
        <f>+BR10+BR11+BR12</f>
        <v>0.7830280045294935</v>
      </c>
      <c r="BS13" s="20">
        <f>+BS10+BS11+BS12</f>
        <v>0.68724875405756125</v>
      </c>
      <c r="BT13" s="20">
        <f>+BT10+BT11+BT12</f>
        <v>0.71287725266032531</v>
      </c>
      <c r="BU13" s="7"/>
      <c r="BV13" s="20">
        <f>+BV10+BV11+BV12</f>
        <v>0.71015281508203942</v>
      </c>
      <c r="BW13" s="20">
        <f>+BW10+BW11+BW12</f>
        <v>0.70306716788216073</v>
      </c>
      <c r="BX13" s="20">
        <f>+BX10+BX11+BX12</f>
        <v>0.64312501119935206</v>
      </c>
      <c r="BY13" s="7"/>
      <c r="BZ13" s="20">
        <f>+BZ10+BZ11+BZ12</f>
        <v>0</v>
      </c>
      <c r="CA13" s="20" t="e">
        <f>+CA10+CA11+CA12</f>
        <v>#DIV/0!</v>
      </c>
      <c r="CB13" s="20" t="e">
        <f>+CB10+CB11+CB12</f>
        <v>#DIV/0!</v>
      </c>
      <c r="CC13" s="7"/>
      <c r="CD13" s="20">
        <f>+CD10+CD11+CD12</f>
        <v>0</v>
      </c>
      <c r="CE13" s="20">
        <f>+CE10+CE11+CE12</f>
        <v>0</v>
      </c>
      <c r="CF13" s="20" t="e">
        <f>+CF10+CF11+CF12</f>
        <v>#DIV/0!</v>
      </c>
      <c r="CG13" s="7"/>
      <c r="CH13" s="28">
        <f>+CH10+CH11+CH12</f>
        <v>0.7361144533749886</v>
      </c>
      <c r="CI13" s="28">
        <f>+CI10+CI11+CI12</f>
        <v>0.70621698188839299</v>
      </c>
      <c r="CJ13" s="28">
        <f>+CJ10+CJ11+CJ12</f>
        <v>0.67858015892335954</v>
      </c>
    </row>
    <row r="14" spans="2:88" ht="20.149999999999999" customHeight="1" x14ac:dyDescent="0.25">
      <c r="B14" s="202"/>
      <c r="C14" s="9"/>
      <c r="D14" s="14" t="s">
        <v>86</v>
      </c>
      <c r="E14" s="7"/>
      <c r="F14" s="20">
        <v>-3.3474603975556953E-2</v>
      </c>
      <c r="G14" s="20">
        <v>8.7141373502398565E-3</v>
      </c>
      <c r="H14" s="20">
        <v>-1.7991374679117461E-2</v>
      </c>
      <c r="I14" s="7"/>
      <c r="J14" s="20">
        <f>-(SUM([3]Retail!$AC$29:$AK$29,[3]MGA!$AC$29:$AK$29))/1000/J9</f>
        <v>-6.9113341934888259E-2</v>
      </c>
      <c r="K14" s="20">
        <f>-(SUM([3]Retail!$AC$30:$AK$30,[3]MGA!$AC$30:$AK$30))/1000/K9</f>
        <v>-0.20261979069781069</v>
      </c>
      <c r="L14" s="20">
        <f>-(SUM([3]Retail!$AC$31:$AK$31,[3]MGA!$AC$31:$AK$31))/1000/L9</f>
        <v>-2.9871445101375082E-2</v>
      </c>
      <c r="M14" s="7"/>
      <c r="N14" s="20">
        <f>-(SUM([3]Retail!$AC$81:$AK$81,[3]MGA!$AC$81:$AK$81)-SUM([3]MGA!$AC$29:$AK$29,[3]Retail!$AC$29:$AK$29))/1000/N9</f>
        <v>-7.3623134589275704E-2</v>
      </c>
      <c r="O14" s="20">
        <f>-(SUM([3]Retail!$AC$82:$AK$82,[3]MGA!$AC$82:$AK$82)-SUM([3]MGA!$AC$30:$AK$30,[3]Retail!$AC$30:$AK$30))/1000/O9</f>
        <v>-0.2137791771068836</v>
      </c>
      <c r="P14" s="20">
        <f>-(SUM([3]Retail!$AC$83:$AK$83,[3]MGA!$AC$83:$AK$83)-SUM([3]MGA!$AC$31:$AK$31,[3]Retail!$AC$31:$AK$31))/1000/P9</f>
        <v>-2.1597472044307311E-2</v>
      </c>
      <c r="Q14" s="7"/>
      <c r="R14" s="20">
        <f>-(SUM([3]SME!$AC$81:$AK$81,[3]Bancassurance!$AC$81:$AK$81)-SUM([3]Bancassurance!$AC$29:$AK$29,[3]SME!$AC$29:$AK$29))/1000/R9</f>
        <v>-6.1344058306305738E-3</v>
      </c>
      <c r="S14" s="20">
        <f>-(SUM([3]SME!$AC$82:$AK$82,[3]Bancassurance!$AC$82:$AK$82)-SUM([3]Bancassurance!$AC$30:$AK$30,[3]SME!$AC$30:$AK$30))/1000/S9</f>
        <v>-1.7839195152552407E-2</v>
      </c>
      <c r="T14" s="20">
        <f>-(SUM([3]SME!$AC$83:$AK$83,[3]Bancassurance!$AC$83:$AK$83)-SUM([3]Bancassurance!$AC$31:$AK$31,[3]SME!$AC$31:$AK$31))/1000/T9</f>
        <v>-3.6658262799359805E-2</v>
      </c>
      <c r="U14" s="7"/>
      <c r="V14" s="20">
        <f>-SUM([3]Bancassurance!$AC$29:$AK$29,[3]MidCorp!$AC$29:$AK$29,[3]SME!$AC$29:$AK$29)/1000/V9</f>
        <v>9.2784494969669219E-3</v>
      </c>
      <c r="W14" s="20">
        <f>-SUM([3]Bancassurance!$AC$30:$AK$30,[3]MidCorp!$AC$30:$AK$30,[3]SME!$AC$30:$AK$30)/1000/W9</f>
        <v>6.7037547038917039E-2</v>
      </c>
      <c r="X14" s="20">
        <f>-SUM([3]Bancassurance!$AC$31:$AK$31,[3]MidCorp!$AC$31:$AK$31,[3]SME!$AC$31:$AK$31)/1000/X9</f>
        <v>-7.9379566749534121E-3</v>
      </c>
      <c r="Y14" s="7"/>
      <c r="Z14" s="20">
        <f>-SUM([3]Bancassurance!$AC$29:$AK$29,[3]MGA!$AC$81:$AK$81,[3]MidCorp!$AC$29:$AK$29,[3]SME!$AC$81:$AK$81,[3]Retail!$AC$81:$AK$81)/1000/Z9</f>
        <v>3.5340727052287761E-3</v>
      </c>
      <c r="AA14" s="20">
        <f>-SUM([3]Bancassurance!$AC$30:$AK$30,[3]MGA!$AC$82:$AK$82,[3]MidCorp!$AC$30:$AK$30,[3]SME!$AC$82:$AK$82,[3]Retail!$AC$82:$AK$82)/1000/AA9</f>
        <v>3.1751867259932023E-2</v>
      </c>
      <c r="AB14" s="20">
        <f>-SUM([3]Bancassurance!$AC$31:$AK$31,[3]MGA!$AC$83:$AK$83,[3]MidCorp!$AC$31:$AK$31,[3]SME!$AC$83:$AK$83,[3]Retail!$AC$83:$AK$83)/1000/AB9</f>
        <v>-1.9322865603380437E-2</v>
      </c>
      <c r="AC14" s="7"/>
      <c r="AD14" s="20">
        <f>-SUM([3]Bancassurance!$AC$33:$AK$33,[3]MidCorp!$AC$33:$AK$33)/1000/AD9</f>
        <v>-5.7143669694415776E-2</v>
      </c>
      <c r="AE14" s="20">
        <f>-SUM([3]Bancassurance!$AC$34:$AK$34,[3]MidCorp!$AC$34:$AK$34)/1000/AE9</f>
        <v>-3.2765097210275797E-2</v>
      </c>
      <c r="AF14" s="20">
        <f>-SUM([3]Bancassurance!$AC$35:$AK$35,[3]MidCorp!$AC$35:$AK$35)/1000/AF9</f>
        <v>-1.8736805864000793E-2</v>
      </c>
      <c r="AG14" s="7"/>
      <c r="AH14" s="20">
        <f>-SUM([3]Bancassurance!$AC$37:$AK$37,[3]MidCorp!$AC$37:$AK$37)/1000/AH9</f>
        <v>1.4847886525877823E-2</v>
      </c>
      <c r="AI14" s="20">
        <f>-SUM([3]Bancassurance!$AC$38:$AK$38,[3]MidCorp!$AC$38:$AK$38)/1000/AI9</f>
        <v>7.4426882502262828E-2</v>
      </c>
      <c r="AJ14" s="20">
        <f>-SUM([3]Bancassurance!$AC$39:$AK$39,[3]MidCorp!$AC$39:$AK$39)/1000/AJ9</f>
        <v>-7.809899870906494E-3</v>
      </c>
      <c r="AK14" s="7"/>
      <c r="AL14" s="20">
        <f>-SUM([3]Bancassurance!$AC$41:$AK$41,[3]MidCorp!$AC$41:$AK$41)/1000/AL9</f>
        <v>-0.12434281103466173</v>
      </c>
      <c r="AM14" s="20">
        <f>-SUM([3]Bancassurance!$AC$42:$AK$42,[3]MidCorp!$AC$42:$AK$42)/1000/AM9</f>
        <v>0.12285609080883815</v>
      </c>
      <c r="AN14" s="20">
        <f>-SUM([3]Bancassurance!$AC$43:$AK$43,[3]MidCorp!$AC$43:$AK$43)/1000/AN9</f>
        <v>-2.8212372156453478E-2</v>
      </c>
      <c r="AO14" s="7"/>
      <c r="AP14" s="20">
        <f>-SUM([3]H9!$AC$45:$AK$45,[3]H9!$AC$49:$AK$49,[3]H9!$AC$53:$AK$53,[3]H9!$AC$57:$AK$57,[3]H9!$AC$65:$AK$65,[3]H9!$AC$69:$AK$69,[3]H9!$AC$73:$AK$73)/1000/AP9</f>
        <v>-8.3617172670683845E-2</v>
      </c>
      <c r="AQ14" s="20">
        <f>-SUM([3]H9!$AC$46:$AK$46,[3]H9!$AC$50:$AK$50,[3]H9!$AC$54:$AK$54,[3]H9!$AC$58:$AK$58,[3]H9!$AC$66:$AK$66,[3]H9!$AC$70:$AK$70,[3]H9!$AC$74:$AK$74)/1000/AQ9</f>
        <v>-5.5466200661374546E-2</v>
      </c>
      <c r="AR14" s="20">
        <f>-SUM([3]H9!$AC$47:$AK$47,[3]H9!$AC$51:$AK$51,[3]H9!$AC$55:$AK$55,[3]H9!$AC$59:$AK$59,[3]H9!$AC$67:$AK$67,[3]H9!$AC$71:$AK$71,[3]H9!$AC$75:$AK$75)/1000/AR9</f>
        <v>-1.9015140820778858E-2</v>
      </c>
      <c r="AS14" s="7"/>
      <c r="AT14" s="29">
        <f>-SUM([3]H9!$AC$81:$AK$81)/1000/AT9</f>
        <v>-3.5108344774535102E-2</v>
      </c>
      <c r="AU14" s="20">
        <f>-SUM([3]H9!$AC$82:$AK$82)/1000/AU9</f>
        <v>-0.19352072660412536</v>
      </c>
      <c r="AV14" s="20">
        <f>-SUM([3]H9!$AC$83:$AK$83)/1000/AV9</f>
        <v>-2.1866593159756673E-2</v>
      </c>
      <c r="AW14" s="7"/>
      <c r="AX14" s="28" t="e">
        <f>+#REF!</f>
        <v>#REF!</v>
      </c>
      <c r="AY14" s="28" t="e">
        <f>+#REF!</f>
        <v>#REF!</v>
      </c>
      <c r="AZ14" s="28" t="e">
        <f>+#REF!</f>
        <v>#REF!</v>
      </c>
      <c r="BA14" s="7"/>
      <c r="BB14" s="202"/>
      <c r="BC14" s="9"/>
      <c r="BD14" s="14" t="s">
        <v>86</v>
      </c>
      <c r="BE14" s="7"/>
      <c r="BF14" s="20">
        <v>-3.3474603975556953E-2</v>
      </c>
      <c r="BG14" s="20">
        <v>8.7141373502398565E-3</v>
      </c>
      <c r="BH14" s="20">
        <v>-1.7991374679117461E-2</v>
      </c>
      <c r="BI14" s="7"/>
      <c r="BJ14" s="20">
        <f>-(SUM([3]Retail!$FA$29:$FI$29)/1000)/BJ9</f>
        <v>0.88402804363461418</v>
      </c>
      <c r="BK14" s="20">
        <f>-(SUM([3]Retail!$FA$30:$FI$30)/1000)/BK9</f>
        <v>-1.020782678515294</v>
      </c>
      <c r="BL14" s="20">
        <f>-(SUM([3]Retail!$FA$31:$FI$31)/1000)/BL9</f>
        <v>-4.3899362213749932E-2</v>
      </c>
      <c r="BM14" s="7"/>
      <c r="BN14" s="20">
        <f>-(SUM([3]SME!$FA$29:$FI$29)/1000)/BN9</f>
        <v>-0.25298408366030589</v>
      </c>
      <c r="BO14" s="20">
        <f>-(SUM([3]SME!$FA$30:$FI$30)/1000)/BO9</f>
        <v>-0.38489336797851537</v>
      </c>
      <c r="BP14" s="20">
        <f>-(SUM([3]SME!$FA$31:$FI$31)/1000)/BP9</f>
        <v>-7.4637832353953914E-3</v>
      </c>
      <c r="BQ14" s="7"/>
      <c r="BR14" s="20">
        <f>-(SUM([3]MidCorp!$FA$29:$FI$29)/1000)/BR9</f>
        <v>-0.31638986980495404</v>
      </c>
      <c r="BS14" s="20">
        <f>-(SUM([3]MidCorp!$FA$30:$FI$30)/1000)/BS9</f>
        <v>0.21785764503420599</v>
      </c>
      <c r="BT14" s="20">
        <f>-(SUM([3]MidCorp!$FA$31:$FI$31)/1000)/BT9</f>
        <v>-8.0658022113782469E-3</v>
      </c>
      <c r="BU14" s="7"/>
      <c r="BV14" s="20">
        <f>-(SUM([3]MGA!$FA$29:$FI$29)/1000)/BV9</f>
        <v>-1.4620135687507927E-2</v>
      </c>
      <c r="BW14" s="20">
        <f>-(SUM([3]MGA!$FA$30:$FI$30)/1000)/BW9</f>
        <v>-1.481265647605836E-2</v>
      </c>
      <c r="BX14" s="20">
        <f>-(SUM([3]MGA!$FA$31:$FI$31)/1000)/BX9</f>
        <v>-2.3418891584057633E-2</v>
      </c>
      <c r="BY14" s="7"/>
      <c r="BZ14" s="20">
        <f>-(SUM([3]Bancassurance!$FA$29:$FI$29)/1000)/BZ9</f>
        <v>0</v>
      </c>
      <c r="CA14" s="20" t="e">
        <f>-(SUM([3]Bancassurance!$FA$30:$FI$30)/1000)/CA9</f>
        <v>#DIV/0!</v>
      </c>
      <c r="CB14" s="20" t="e">
        <f>-(SUM([3]Bancassurance!$FA$31:$FI$31)/1000)/CB9</f>
        <v>#DIV/0!</v>
      </c>
      <c r="CC14" s="7"/>
      <c r="CD14" s="29">
        <f>-(SUM([3]Specials!$FA$29:$FI$29)/1000)/CD9</f>
        <v>-9.3308768602383285</v>
      </c>
      <c r="CE14" s="20">
        <f>-(SUM([3]Specials!$FA$30:$FI$30)/1000)/CE9</f>
        <v>-7.5182346759972196</v>
      </c>
      <c r="CF14" s="20" t="e">
        <f>-(SUM([3]Specials!$FA$31:$FI$31)/1000)/CF9</f>
        <v>#DIV/0!</v>
      </c>
      <c r="CG14" s="7"/>
      <c r="CH14" s="28">
        <f>-(SUM('[3]Total P&amp;C'!$FA$29:$FI$29)/1000)/CH9</f>
        <v>-0.13450522228716602</v>
      </c>
      <c r="CI14" s="28">
        <f>-(SUM('[3]Total P&amp;C'!$FA$30:$FI$30)/1000)/CI9</f>
        <v>-4.9515254284362473E-2</v>
      </c>
      <c r="CJ14" s="28">
        <f>-(SUM('[3]Total P&amp;C'!$FA$31:$FI$31)/1000)/CJ9</f>
        <v>-1.4827807905091091E-2</v>
      </c>
    </row>
    <row r="15" spans="2:88" ht="20.149999999999999" customHeight="1" outlineLevel="1" x14ac:dyDescent="0.25">
      <c r="B15" s="202"/>
      <c r="C15" s="9"/>
      <c r="D15" s="15" t="s">
        <v>87</v>
      </c>
      <c r="E15" s="7"/>
      <c r="F15" s="20">
        <v>0.10971062914646212</v>
      </c>
      <c r="G15" s="20">
        <v>0.10711780380908412</v>
      </c>
      <c r="H15" s="20">
        <v>0.10908321960910883</v>
      </c>
      <c r="I15" s="7"/>
      <c r="J15" s="20">
        <f>-SUM([3]Retail!$AL$29:$AN$29,[3]MGA!$AL$29:$AN$29)/1000/J9</f>
        <v>0.23445499687280399</v>
      </c>
      <c r="K15" s="20">
        <f>-SUM([3]Retail!$AL$30:$AN$30,[3]MGA!$AL$30:$AN$30)/1000/K9</f>
        <v>0.22603256228986182</v>
      </c>
      <c r="L15" s="20">
        <f>-SUM([3]Retail!$AL$31:$AN$31,[3]MGA!$AL$31:$AN$31)/1000/L9</f>
        <v>0.22277005059785079</v>
      </c>
      <c r="M15" s="7"/>
      <c r="N15" s="20">
        <f>-(SUM([3]Retail!$AL$81:$AN$81,[3]MGA!$AL$81:$AN$81)-SUM([3]MGA!$AL$29:$AN$29,[3]Retail!$AL$29:$AN$29))/1000/N9</f>
        <v>0.25125968525125431</v>
      </c>
      <c r="O15" s="20">
        <f>-(SUM([3]Retail!$AL$82:$AN$82,[3]MGA!$AL$82:$AN$82)-SUM([3]MGA!$AL$30:$AN$30,[3]Retail!$AL$30:$AN$30))/1000/O9</f>
        <v>0.25472155542977315</v>
      </c>
      <c r="P15" s="20">
        <f>-(SUM([3]Retail!$AL$83:$AN$83,[3]MGA!$AL$83:$AN$83)-SUM([3]MGA!$AL$31:$AN$31,[3]Retail!$AL$31:$AN$31))/1000/P9</f>
        <v>0.23654256522632874</v>
      </c>
      <c r="Q15" s="7"/>
      <c r="R15" s="20">
        <f>-(SUM([3]SME!$AL$81:$AN$81,[3]Bancassurance!$AL$81:$AN$81)-SUM([3]Bancassurance!$AL$29:$AN$29,[3]SME!$AL$29:$AN$29))/1000/R9</f>
        <v>1.9836464453551514E-2</v>
      </c>
      <c r="S15" s="20">
        <f>-(SUM([3]SME!$AL$82:$AN$82,[3]Bancassurance!$AL$82:$AN$82)-SUM([3]Bancassurance!$AL$30:$AN$30,[3]SME!$AL$30:$AN$30))/1000/S9</f>
        <v>2.6917258494125306E-2</v>
      </c>
      <c r="T15" s="20">
        <f>-(SUM([3]SME!$AL$83:$AN$83,[3]Bancassurance!$AL$83:$AN$83)-SUM([3]Bancassurance!$AL$31:$AN$31,[3]SME!$AL$31:$AN$31))/1000/T9</f>
        <v>4.7771466435238327E-3</v>
      </c>
      <c r="U15" s="7"/>
      <c r="V15" s="20">
        <f>-SUM([3]Bancassurance!$AL$29:$AN$29,[3]MidCorp!$AL$29:$AN$29,[3]SME!$AL$29:$AN$29)/1000/V9</f>
        <v>0.11557545116206137</v>
      </c>
      <c r="W15" s="20">
        <f>-SUM([3]Bancassurance!$AL$30:$AN$30,[3]MidCorp!$AL$30:$AN$30,[3]SME!$AL$30:$AN$30)/1000/W9</f>
        <v>0.11943699342928585</v>
      </c>
      <c r="X15" s="20">
        <f>-SUM([3]Bancassurance!$AL$31:$AN$31,[3]MidCorp!$AL$31:$AN$31,[3]SME!$AL$31:$AN$31)/1000/X9</f>
        <v>0.12014049950485023</v>
      </c>
      <c r="Y15" s="7"/>
      <c r="Z15" s="20">
        <f>-SUM([3]Bancassurance!$AL$29:$AN$29,[3]MGA!$AL$81:$AN$81,[3]MidCorp!$AL$29:$AN$29,[3]SME!$AL$81:$AN$81,[3]Retail!$AL$81:$AN$81)/1000/Z9</f>
        <v>8.5833621349061334E-2</v>
      </c>
      <c r="AA15" s="20">
        <f>-SUM([3]Bancassurance!$AL$30:$AN$30,[3]MGA!$AL$82:$AN$82,[3]MidCorp!$AL$30:$AN$30,[3]SME!$AL$82:$AN$82,[3]Retail!$AL$82:$AN$82)/1000/AA9</f>
        <v>8.8096130952539403E-2</v>
      </c>
      <c r="AB15" s="20">
        <f>-SUM([3]Bancassurance!$AL$31:$AN$31,[3]MGA!$AL$83:$AN$83,[3]MidCorp!$AL$31:$AN$31,[3]SME!$AL$83:$AN$83,[3]Retail!$AL$83:$AN$83)/1000/AB9</f>
        <v>8.5739498109589279E-2</v>
      </c>
      <c r="AC15" s="7"/>
      <c r="AD15" s="20">
        <f>-SUM([3]Bancassurance!$AL$33:$AN$33,[3]MidCorp!$AL$33:$AN$33)/1000/AD9</f>
        <v>0.1621643882753224</v>
      </c>
      <c r="AE15" s="20">
        <f>-SUM([3]Bancassurance!$AL$34:$AN$34,[3]MidCorp!$AL$34:$AN$34)/1000/AE9</f>
        <v>0.16064830413703229</v>
      </c>
      <c r="AF15" s="20">
        <f>-SUM([3]Bancassurance!$AL$35:$AN$35,[3]MidCorp!$AL$35:$AN$35)/1000/AF9</f>
        <v>0.15757964861178397</v>
      </c>
      <c r="AG15" s="7"/>
      <c r="AH15" s="20">
        <f>-SUM([3]Bancassurance!$AL$37:$AN$37,[3]MidCorp!$AL$37:$AN$37)/1000/AH9</f>
        <v>0.15336265002353944</v>
      </c>
      <c r="AI15" s="20">
        <f>-SUM([3]Bancassurance!$AL$38:$AN$38,[3]MidCorp!$AL$38:$AN$38)/1000/AI9</f>
        <v>0.15219907712211828</v>
      </c>
      <c r="AJ15" s="20">
        <f>-SUM([3]Bancassurance!$AL$39:$AN$39,[3]MidCorp!$AL$39:$AN$39)/1000/AJ9</f>
        <v>0.15999291642353386</v>
      </c>
      <c r="AK15" s="7"/>
      <c r="AL15" s="20">
        <f>-SUM([3]Bancassurance!$AL$41:$AN$41,[3]MidCorp!$AL$41:$AN$41)/1000/AL9</f>
        <v>0.19818172891103605</v>
      </c>
      <c r="AM15" s="20">
        <f>-SUM([3]Bancassurance!$AL$42:$AN$42,[3]MidCorp!$AL$42:$AN$42)/1000/AM9</f>
        <v>0.19950036827565057</v>
      </c>
      <c r="AN15" s="20">
        <f>-SUM([3]Bancassurance!$AL$43:$AN$43,[3]MidCorp!$AL$43:$AN$43)/1000/AN9</f>
        <v>0.20133920042417658</v>
      </c>
      <c r="AO15" s="7"/>
      <c r="AP15" s="20">
        <f>-SUM([3]H9!$AL$45:$AN$45,[3]H9!$AL$49:$AN$49,[3]H9!$AL$53:$AN$53,[3]H9!$AL$57:$AN$57,[3]H9!$AL$65:$AN$65,[3]H9!$AL$69:$AN$69,[3]H9!$AL$73:$AN$73)/1000/AP9</f>
        <v>0.14800086246610522</v>
      </c>
      <c r="AQ15" s="20">
        <f>-SUM([3]H9!$AL$46:$AN$46,[3]H9!$AL$50:$AN$50,[3]H9!$AL$54:$AN$54,[3]H9!$AL$58:$AN$58,[3]H9!$AL$66:$AN$66,[3]H9!$AL$70:$AN$70,[3]H9!$AL$74:$AN$74)/1000/AQ9</f>
        <v>0.14802389133612848</v>
      </c>
      <c r="AR15" s="20">
        <f>-SUM([3]H9!$AL$47:$AN$47,[3]H9!$AL$51:$AN$51,[3]H9!$AL$55:$AN$55,[3]H9!$AL$59:$AN$59,[3]H9!$AL$67:$AN$67,[3]H9!$AL$71:$AN$71,[3]H9!$AL$75:$AN$75)/1000/AR9</f>
        <v>0.14422419076022008</v>
      </c>
      <c r="AS15" s="7"/>
      <c r="AT15" s="20">
        <f>-SUM([3]H9!$AL$81:$AN$81)/1000/AT9</f>
        <v>7.7232985603825965E-2</v>
      </c>
      <c r="AU15" s="20">
        <f>-SUM([3]H9!$AL$82:$AN$82)/1000/AU9</f>
        <v>6.9670024984236509E-2</v>
      </c>
      <c r="AV15" s="20">
        <f>-SUM([3]H9!$AL$83:$AN$83)/1000/AV9</f>
        <v>7.1958299764247044E-2</v>
      </c>
      <c r="AW15" s="7"/>
      <c r="AX15" s="28" t="e">
        <f>+#REF!</f>
        <v>#REF!</v>
      </c>
      <c r="AY15" s="28" t="e">
        <f>+#REF!</f>
        <v>#REF!</v>
      </c>
      <c r="AZ15" s="28" t="e">
        <f>+#REF!</f>
        <v>#REF!</v>
      </c>
      <c r="BA15" s="7"/>
      <c r="BB15" s="202"/>
      <c r="BC15" s="9"/>
      <c r="BD15" s="15" t="s">
        <v>87</v>
      </c>
      <c r="BE15" s="7"/>
      <c r="BF15" s="20">
        <v>0.10971062914646212</v>
      </c>
      <c r="BG15" s="20">
        <v>0.10711780380908412</v>
      </c>
      <c r="BH15" s="20">
        <v>0.10908321960910883</v>
      </c>
      <c r="BI15" s="7"/>
      <c r="BJ15" s="20">
        <f>-(SUM([3]Retail!$FJ$29:$FL$29)/1000)/BJ9</f>
        <v>0.16683264010389712</v>
      </c>
      <c r="BK15" s="20">
        <f>-(SUM([3]Retail!$FJ$30:$FL$30)/1000)/BK9</f>
        <v>0.16599189578922235</v>
      </c>
      <c r="BL15" s="20">
        <f>-(SUM([3]Retail!$FJ$31:$FL$31)/1000)/BL9</f>
        <v>0.16622672422687915</v>
      </c>
      <c r="BM15" s="7"/>
      <c r="BN15" s="20">
        <f>-(SUM([3]SME!$FJ$29:$FL$29)/1000)/BN9</f>
        <v>0.1691266123218608</v>
      </c>
      <c r="BO15" s="20">
        <f>-(SUM([3]SME!$FJ$30:$FL$30)/1000)/BO9</f>
        <v>0.1707360521466168</v>
      </c>
      <c r="BP15" s="20">
        <f>-(SUM([3]SME!$FJ$31:$FL$31)/1000)/BP9</f>
        <v>0.1710026970247108</v>
      </c>
      <c r="BQ15" s="7"/>
      <c r="BR15" s="20">
        <f>-(SUM([3]MidCorp!$FJ$29:$FL$29)/1000)/BR9</f>
        <v>0.10127680971000907</v>
      </c>
      <c r="BS15" s="20">
        <f>-(SUM([3]MidCorp!$FJ$30:$FL$30)/1000)/BS9</f>
        <v>0.10528302666561641</v>
      </c>
      <c r="BT15" s="20">
        <f>-(SUM([3]MidCorp!$FJ$31:$FL$31)/1000)/BT9</f>
        <v>0.10642715248201205</v>
      </c>
      <c r="BU15" s="7"/>
      <c r="BV15" s="20">
        <f>-(SUM([3]MGA!$FJ$29:$FL$29)/1000)/BV9</f>
        <v>0.2825663057515066</v>
      </c>
      <c r="BW15" s="20">
        <f>-(SUM([3]MGA!$FJ$30:$FL$30)/1000)/BW9</f>
        <v>0.2602556542987074</v>
      </c>
      <c r="BX15" s="20">
        <f>-(SUM([3]MGA!$FJ$31:$FL$31)/1000)/BX9</f>
        <v>0.24877881843794442</v>
      </c>
      <c r="BY15" s="7"/>
      <c r="BZ15" s="20">
        <f>-(SUM([3]Bancassurance!$FJ$29:$FL$29)/1000)/BZ9</f>
        <v>0.15003137418949999</v>
      </c>
      <c r="CA15" s="20" t="e">
        <f>-(SUM([3]Bancassurance!$FJ$30:$FL$30)/1000)/CA9</f>
        <v>#DIV/0!</v>
      </c>
      <c r="CB15" s="20" t="e">
        <f>-(SUM([3]Bancassurance!$FJ$31:$FL$31)/1000)/CB9</f>
        <v>#DIV/0!</v>
      </c>
      <c r="CC15" s="7"/>
      <c r="CD15" s="20">
        <f>-(SUM([3]Specials!$FJ$29:$FL$29)/1000)/CD9</f>
        <v>0</v>
      </c>
      <c r="CE15" s="20">
        <f>-(SUM([3]Specials!$FJ$30:$FL$30)/1000)/CE9</f>
        <v>0</v>
      </c>
      <c r="CF15" s="20" t="e">
        <f>-(SUM([3]Specials!$FJ$31:$FL$31)/1000)/CF9</f>
        <v>#DIV/0!</v>
      </c>
      <c r="CG15" s="7"/>
      <c r="CH15" s="28">
        <f>-(SUM('[3]Total P&amp;C'!$FJ$29:$FL$29)/1000)/CH9</f>
        <v>0.15107960631993855</v>
      </c>
      <c r="CI15" s="28">
        <f>-(SUM('[3]Total P&amp;C'!$FJ$30:$FL$30)/1000)/CI9</f>
        <v>0.14839300492056309</v>
      </c>
      <c r="CJ15" s="28">
        <f>-(SUM('[3]Total P&amp;C'!$FJ$31:$FL$31)/1000)/CJ9</f>
        <v>0.15237898000094885</v>
      </c>
    </row>
    <row r="16" spans="2:88" ht="20.149999999999999" customHeight="1" outlineLevel="1" x14ac:dyDescent="0.25">
      <c r="B16" s="202"/>
      <c r="C16" s="9"/>
      <c r="D16" s="15" t="s">
        <v>88</v>
      </c>
      <c r="E16" s="7"/>
      <c r="F16" s="20">
        <v>0.14013215918021796</v>
      </c>
      <c r="G16" s="20">
        <v>0.13455948276317095</v>
      </c>
      <c r="H16" s="20">
        <v>0.12388498551332087</v>
      </c>
      <c r="I16" s="7"/>
      <c r="J16" s="20">
        <f>-SUM([3]Retail!$AO$29:$AR$29,[3]MGA!$AO$29:$AR$29)/1000/J9</f>
        <v>9.9856105979293244E-2</v>
      </c>
      <c r="K16" s="20">
        <f>-SUM([3]Retail!$AO$30:$AR$30,[3]MGA!$AO$30:$AR$30)/1000/K9</f>
        <v>0.10862035478763574</v>
      </c>
      <c r="L16" s="20">
        <f>-SUM([3]Retail!$AO$31:$AR$31,[3]MGA!$AO$31:$AR$31)/1000/L9</f>
        <v>0.1086405332139545</v>
      </c>
      <c r="M16" s="7"/>
      <c r="N16" s="20">
        <f>-(SUM([3]Retail!$AO$81:$AR$81,[3]MGA!$AO$81:$AR$81)-SUM([3]MGA!$AO$29:$AR$29,[3]Retail!$AO$29:$AR$29))/1000/N9</f>
        <v>0.10082782803360373</v>
      </c>
      <c r="O16" s="20">
        <f>-(SUM([3]Retail!$AO$82:$AR$82,[3]MGA!$AO$82:$AR$82)-SUM([3]MGA!$AO$30:$AR$30,[3]Retail!$AO$30:$AR$30))/1000/O9</f>
        <v>0.11045190496593749</v>
      </c>
      <c r="P16" s="20">
        <f>-(SUM([3]Retail!$AO$83:$AR$83,[3]MGA!$AO$83:$AR$83)-SUM([3]MGA!$AO$31:$AR$31,[3]Retail!$AO$31:$AR$31))/1000/P9</f>
        <v>0.10964162088206766</v>
      </c>
      <c r="Q16" s="7"/>
      <c r="R16" s="20">
        <f>-(SUM([3]SME!$AO$81:$AR$81,[3]Bancassurance!$AO$81:$AR$81)-SUM([3]Bancassurance!$AO$29:$AR$29,[3]SME!$AO$29:$AR$29))/1000/R9</f>
        <v>8.4890282269731873E-2</v>
      </c>
      <c r="S16" s="20">
        <f>-(SUM([3]SME!$AO$82:$AR$82,[3]Bancassurance!$AO$82:$AR$82)-SUM([3]Bancassurance!$AO$30:$AR$30,[3]SME!$AO$30:$AR$30))/1000/S9</f>
        <v>7.8143546258055308E-2</v>
      </c>
      <c r="T16" s="20">
        <f>-(SUM([3]SME!$AO$83:$AR$83,[3]Bancassurance!$AO$83:$AR$83)-SUM([3]Bancassurance!$AO$31:$AR$31,[3]SME!$AO$31:$AR$31))/1000/T9</f>
        <v>9.6446231158156814E-2</v>
      </c>
      <c r="U16" s="7"/>
      <c r="V16" s="20">
        <f>-SUM([3]Bancassurance!$AO$29:$AR$29,[3]MidCorp!$AO$29:$AR$29,[3]SME!$AO$29:$AR$29)/1000/V9</f>
        <v>0.10802930562041124</v>
      </c>
      <c r="W16" s="20">
        <f>-SUM([3]Bancassurance!$AO$30:$AR$30,[3]MidCorp!$AO$30:$AR$30,[3]SME!$AO$30:$AR$30)/1000/W9</f>
        <v>0.1045198895520212</v>
      </c>
      <c r="X16" s="20">
        <f>-SUM([3]Bancassurance!$AO$31:$AR$31,[3]MidCorp!$AO$31:$AR$31,[3]SME!$AO$31:$AR$31)/1000/X9</f>
        <v>0.12711296597083691</v>
      </c>
      <c r="Y16" s="7"/>
      <c r="Z16" s="20">
        <f>-SUM([3]Bancassurance!$AO$29:$AR$29,[3]MGA!$AO$81:$AR$81,[3]MidCorp!$AO$29:$AR$29,[3]SME!$AO$81:$AR$81,[3]Retail!$AO$81:$AR$81)/1000/Z9</f>
        <v>9.9992129714362457E-2</v>
      </c>
      <c r="AA16" s="20">
        <f>-SUM([3]Bancassurance!$AO$30:$AR$30,[3]MGA!$AO$82:$AR$82,[3]MidCorp!$AO$30:$AR$30,[3]SME!$AO$82:$AR$82,[3]Retail!$AO$82:$AR$82)/1000/AA9</f>
        <v>9.5727055882515552E-2</v>
      </c>
      <c r="AB16" s="20">
        <f>-SUM([3]Bancassurance!$AO$31:$AR$31,[3]MGA!$AO$83:$AR$83,[3]MidCorp!$AO$31:$AR$31,[3]SME!$AO$83:$AR$83,[3]Retail!$AO$83:$AR$83)/1000/AB9</f>
        <v>0.11622535385546184</v>
      </c>
      <c r="AC16" s="7"/>
      <c r="AD16" s="20">
        <f>-SUM([3]Bancassurance!$AO$33:$AR$33,[3]MidCorp!$AO$33:$AR$33)/1000/AD9</f>
        <v>0.1239548533086554</v>
      </c>
      <c r="AE16" s="20">
        <f>-SUM([3]Bancassurance!$AO$34:$AR$34,[3]MidCorp!$AO$34:$AR$34)/1000/AE9</f>
        <v>0.11453109222885934</v>
      </c>
      <c r="AF16" s="20">
        <f>-SUM([3]Bancassurance!$AO$35:$AR$35,[3]MidCorp!$AO$35:$AR$35)/1000/AF9</f>
        <v>0.10968572473726552</v>
      </c>
      <c r="AG16" s="7"/>
      <c r="AH16" s="20">
        <f>-SUM([3]Bancassurance!$AO$37:$AR$37,[3]MidCorp!$AO$37:$AR$37)/1000/AH9</f>
        <v>0.19682720402675924</v>
      </c>
      <c r="AI16" s="20">
        <f>-SUM([3]Bancassurance!$AO$38:$AR$38,[3]MidCorp!$AO$38:$AR$38)/1000/AI9</f>
        <v>0.17856615371197376</v>
      </c>
      <c r="AJ16" s="20">
        <f>-SUM([3]Bancassurance!$AO$39:$AR$39,[3]MidCorp!$AO$39:$AR$39)/1000/AJ9</f>
        <v>0.16926888915420787</v>
      </c>
      <c r="AK16" s="7"/>
      <c r="AL16" s="20">
        <f>-SUM([3]Bancassurance!$AO$41:$AR$41,[3]MidCorp!$AO$41:$AR$41)/1000/AL9</f>
        <v>0.13930388359091653</v>
      </c>
      <c r="AM16" s="20">
        <f>-SUM([3]Bancassurance!$AO$42:$AR$42,[3]MidCorp!$AO$42:$AR$42)/1000/AM9</f>
        <v>0.11925171712369702</v>
      </c>
      <c r="AN16" s="20">
        <f>-SUM([3]Bancassurance!$AO$43:$AR$43,[3]MidCorp!$AO$43:$AR$43)/1000/AN9</f>
        <v>0.14390390087537167</v>
      </c>
      <c r="AO16" s="7"/>
      <c r="AP16" s="20">
        <f>-SUM([3]H9!$AO$45:$AR$45,[3]H9!$AO$49:$AR$49,[3]H9!$AO$53:$AR$53,[3]H9!$AO$57:$AR$57,[3]H9!$AO$65:$AR$65,[3]H9!$AO$69:$AR$69,[3]H9!$AO$73:$AR$73)/1000/AP9</f>
        <v>0.11856705712229104</v>
      </c>
      <c r="AQ16" s="20">
        <f>-SUM([3]H9!$AO$46:$AR$46,[3]H9!$AO$50:$AR$50,[3]H9!$AO$54:$AR$54,[3]H9!$AO$58:$AR$58,[3]H9!$AO$66:$AR$66,[3]H9!$AO$70:$AR$70,[3]H9!$AO$74:$AR$74)/1000/AQ9</f>
        <v>0.11331158827361877</v>
      </c>
      <c r="AR16" s="20">
        <f>-SUM([3]H9!$AO$47:$AR$47,[3]H9!$AO$51:$AR$51,[3]H9!$AO$55:$AR$55,[3]H9!$AO$59:$AR$59,[3]H9!$AO$67:$AR$67,[3]H9!$AO$71:$AR$71,[3]H9!$AO$75:$AR$75)/1000/AR9</f>
        <v>0.1189008142153246</v>
      </c>
      <c r="AS16" s="7"/>
      <c r="AT16" s="20">
        <f>-SUM([3]H9!$AO$81:$AR$81)/1000/AT9</f>
        <v>0.12412636566081336</v>
      </c>
      <c r="AU16" s="20">
        <f>-SUM([3]H9!$AO$82:$AR$82)/1000/AU9</f>
        <v>0.1104182486762237</v>
      </c>
      <c r="AV16" s="20">
        <f>-SUM([3]H9!$AO$83:$AR$83)/1000/AV9</f>
        <v>0.12891717664976937</v>
      </c>
      <c r="AW16" s="7"/>
      <c r="AX16" s="28" t="e">
        <f>+#REF!</f>
        <v>#REF!</v>
      </c>
      <c r="AY16" s="28" t="e">
        <f>+#REF!</f>
        <v>#REF!</v>
      </c>
      <c r="AZ16" s="28" t="e">
        <f>+#REF!</f>
        <v>#REF!</v>
      </c>
      <c r="BA16" s="7"/>
      <c r="BB16" s="202"/>
      <c r="BC16" s="9"/>
      <c r="BD16" s="15" t="s">
        <v>88</v>
      </c>
      <c r="BE16" s="7"/>
      <c r="BF16" s="20">
        <v>0.14013215918021796</v>
      </c>
      <c r="BG16" s="20">
        <v>0.13455948276317095</v>
      </c>
      <c r="BH16" s="20">
        <v>0.12388498551332087</v>
      </c>
      <c r="BI16" s="7"/>
      <c r="BJ16" s="20">
        <f>-(SUM([3]Retail!$FM$29:$FP$29)/1000)/BJ9</f>
        <v>0.16456978370821387</v>
      </c>
      <c r="BK16" s="20">
        <f>-(SUM([3]Retail!$FM$30:$FP$30)/1000)/BK9</f>
        <v>0.17821187741447564</v>
      </c>
      <c r="BL16" s="20">
        <f>-(SUM([3]Retail!$FM$31:$FP$31)/1000)/BL9</f>
        <v>0.18712201612666485</v>
      </c>
      <c r="BM16" s="7"/>
      <c r="BN16" s="20">
        <f>-(SUM([3]SME!$FM$29:$FP$29)/1000)/BN9</f>
        <v>0.12869535460635637</v>
      </c>
      <c r="BO16" s="20">
        <f>-(SUM([3]SME!$FM$30:$FP$30)/1000)/BO9</f>
        <v>0.12430593434464468</v>
      </c>
      <c r="BP16" s="20">
        <f>-(SUM([3]SME!$FM$31:$FP$31)/1000)/BP9</f>
        <v>0.13646318511942371</v>
      </c>
      <c r="BQ16" s="7"/>
      <c r="BR16" s="20">
        <f>-(SUM([3]MidCorp!$FM$29:$FP$29)/1000)/BR9</f>
        <v>9.9899685620575746E-2</v>
      </c>
      <c r="BS16" s="20">
        <f>-(SUM([3]MidCorp!$FM$30:$FP$30)/1000)/BS9</f>
        <v>8.8903336394190666E-2</v>
      </c>
      <c r="BT16" s="20">
        <f>-(SUM([3]MidCorp!$FM$31:$FP$31)/1000)/BT9</f>
        <v>0.12459198170007099</v>
      </c>
      <c r="BU16" s="7"/>
      <c r="BV16" s="20">
        <f>-(SUM([3]MGA!$FM$29:$FP$29)/1000)/BV9</f>
        <v>6.1817073478809569E-2</v>
      </c>
      <c r="BW16" s="20">
        <f>-(SUM([3]MGA!$FM$30:$FP$30)/1000)/BW9</f>
        <v>5.6221288720558302E-2</v>
      </c>
      <c r="BX16" s="20">
        <f>-(SUM([3]MGA!$FM$31:$FP$31)/1000)/BX9</f>
        <v>7.2540664319950376E-2</v>
      </c>
      <c r="BY16" s="7"/>
      <c r="BZ16" s="20">
        <f>-(SUM([3]Bancassurance!$FM$29:$FP$29)/1000)/BZ9</f>
        <v>0</v>
      </c>
      <c r="CA16" s="20" t="e">
        <f>-(SUM([3]Bancassurance!$FM$30:$FP$30)/1000)/CA9</f>
        <v>#DIV/0!</v>
      </c>
      <c r="CB16" s="20" t="e">
        <f>-(SUM([3]Bancassurance!$FM$31:$FP$31)/1000)/CB9</f>
        <v>#DIV/0!</v>
      </c>
      <c r="CC16" s="7"/>
      <c r="CD16" s="20">
        <f>-(SUM([3]Specials!$FM$29:$FP$29)/1000)/CD9</f>
        <v>0</v>
      </c>
      <c r="CE16" s="20">
        <f>-(SUM([3]Specials!$FM$30:$FP$30)/1000)/CE9</f>
        <v>0</v>
      </c>
      <c r="CF16" s="20" t="e">
        <f>-(SUM([3]Specials!$FM$31:$FP$31)/1000)/CF9</f>
        <v>#DIV/0!</v>
      </c>
      <c r="CG16" s="7"/>
      <c r="CH16" s="28">
        <f>-(SUM('[3]Total P&amp;C'!$FM$29:$FP$29)/1000)/CH9</f>
        <v>0.10306738838342352</v>
      </c>
      <c r="CI16" s="28">
        <f>-(SUM('[3]Total P&amp;C'!$FM$30:$FP$30)/1000)/CI9</f>
        <v>9.8405577662628224E-2</v>
      </c>
      <c r="CJ16" s="28">
        <f>-(SUM('[3]Total P&amp;C'!$FM$31:$FP$31)/1000)/CJ9</f>
        <v>0.12131031793422416</v>
      </c>
    </row>
    <row r="17" spans="2:88" ht="20.149999999999999" customHeight="1" x14ac:dyDescent="0.25">
      <c r="B17" s="202"/>
      <c r="C17" s="9"/>
      <c r="D17" s="14" t="s">
        <v>89</v>
      </c>
      <c r="E17" s="7"/>
      <c r="F17" s="20">
        <v>0.24984278832668008</v>
      </c>
      <c r="G17" s="20">
        <v>0.24167728657225507</v>
      </c>
      <c r="H17" s="20">
        <v>0.23296820512242974</v>
      </c>
      <c r="I17" s="7"/>
      <c r="J17" s="20">
        <f>+J15+J16</f>
        <v>0.33431110285209725</v>
      </c>
      <c r="K17" s="20">
        <f>+K15+K16</f>
        <v>0.33465291707749756</v>
      </c>
      <c r="L17" s="20">
        <f>+L15+L16</f>
        <v>0.33141058381180533</v>
      </c>
      <c r="M17" s="7"/>
      <c r="N17" s="20">
        <f>+N15+N16</f>
        <v>0.35208751328485804</v>
      </c>
      <c r="O17" s="20">
        <f>+O15+O16</f>
        <v>0.36517346039571064</v>
      </c>
      <c r="P17" s="20">
        <f>+P15+P16</f>
        <v>0.34618418610839641</v>
      </c>
      <c r="Q17" s="7"/>
      <c r="R17" s="20">
        <f>+R15+R16</f>
        <v>0.10472674672328339</v>
      </c>
      <c r="S17" s="20">
        <f>+S15+S16</f>
        <v>0.10506080475218062</v>
      </c>
      <c r="T17" s="20">
        <f>+T15+T16</f>
        <v>0.10122337780168064</v>
      </c>
      <c r="U17" s="7"/>
      <c r="V17" s="20">
        <f>+V15+V16</f>
        <v>0.2236047567824726</v>
      </c>
      <c r="W17" s="20">
        <f>+W15+W16</f>
        <v>0.22395688298130706</v>
      </c>
      <c r="X17" s="20">
        <f>+X15+X16</f>
        <v>0.24725346547568713</v>
      </c>
      <c r="Y17" s="7"/>
      <c r="Z17" s="20">
        <f>+Z15+Z16</f>
        <v>0.18582575106342381</v>
      </c>
      <c r="AA17" s="20">
        <f>+AA15+AA16</f>
        <v>0.18382318683505494</v>
      </c>
      <c r="AB17" s="20">
        <f>+AB15+AB16</f>
        <v>0.20196485196505112</v>
      </c>
      <c r="AC17" s="7"/>
      <c r="AD17" s="20">
        <f>+AD15+AD16</f>
        <v>0.28611924158397778</v>
      </c>
      <c r="AE17" s="20">
        <f>+AE15+AE16</f>
        <v>0.27517939636589162</v>
      </c>
      <c r="AF17" s="20">
        <f>+AF15+AF16</f>
        <v>0.26726537334904948</v>
      </c>
      <c r="AG17" s="7"/>
      <c r="AH17" s="20">
        <f>+AH15+AH16</f>
        <v>0.35018985405029868</v>
      </c>
      <c r="AI17" s="20">
        <f>+AI15+AI16</f>
        <v>0.33076523083409204</v>
      </c>
      <c r="AJ17" s="20">
        <f>+AJ15+AJ16</f>
        <v>0.32926180557774176</v>
      </c>
      <c r="AK17" s="7"/>
      <c r="AL17" s="20">
        <f>+AL15+AL16</f>
        <v>0.33748561250195258</v>
      </c>
      <c r="AM17" s="20">
        <f>+AM15+AM16</f>
        <v>0.31875208539934757</v>
      </c>
      <c r="AN17" s="20">
        <f>+AN15+AN16</f>
        <v>0.34524310129954827</v>
      </c>
      <c r="AO17" s="7"/>
      <c r="AP17" s="20">
        <f>+AP15+AP16</f>
        <v>0.26656791958839626</v>
      </c>
      <c r="AQ17" s="20">
        <f>+AQ15+AQ16</f>
        <v>0.26133547960974723</v>
      </c>
      <c r="AR17" s="20">
        <f>+AR15+AR16</f>
        <v>0.2631250049755447</v>
      </c>
      <c r="AS17" s="7"/>
      <c r="AT17" s="20">
        <f>+AT15+AT16</f>
        <v>0.20135935126463933</v>
      </c>
      <c r="AU17" s="20">
        <f>+AU15+AU16</f>
        <v>0.18008827366046021</v>
      </c>
      <c r="AV17" s="20">
        <f>+AV15+AV16</f>
        <v>0.20087547641401643</v>
      </c>
      <c r="AW17" s="7"/>
      <c r="AX17" s="28" t="e">
        <f>+#REF!</f>
        <v>#REF!</v>
      </c>
      <c r="AY17" s="28" t="e">
        <f>+#REF!</f>
        <v>#REF!</v>
      </c>
      <c r="AZ17" s="28" t="e">
        <f>+#REF!</f>
        <v>#REF!</v>
      </c>
      <c r="BA17" s="7"/>
      <c r="BB17" s="202"/>
      <c r="BC17" s="9"/>
      <c r="BD17" s="14" t="s">
        <v>89</v>
      </c>
      <c r="BE17" s="7"/>
      <c r="BF17" s="20">
        <v>0.24984278832668008</v>
      </c>
      <c r="BG17" s="20">
        <v>0.24167728657225507</v>
      </c>
      <c r="BH17" s="20">
        <v>0.23296820512242974</v>
      </c>
      <c r="BI17" s="7"/>
      <c r="BJ17" s="20">
        <f>+BJ15+BJ16</f>
        <v>0.33140242381211099</v>
      </c>
      <c r="BK17" s="20">
        <f>+BK15+BK16</f>
        <v>0.34420377320369799</v>
      </c>
      <c r="BL17" s="20">
        <f>+BL15+BL16</f>
        <v>0.35334874035354402</v>
      </c>
      <c r="BM17" s="7"/>
      <c r="BN17" s="20">
        <f>+BN15+BN16</f>
        <v>0.29782196692821716</v>
      </c>
      <c r="BO17" s="20">
        <f>+BO15+BO16</f>
        <v>0.29504198649126145</v>
      </c>
      <c r="BP17" s="20">
        <f>+BP15+BP16</f>
        <v>0.30746588214413451</v>
      </c>
      <c r="BQ17" s="7"/>
      <c r="BR17" s="20">
        <f>+BR15+BR16</f>
        <v>0.20117649533058482</v>
      </c>
      <c r="BS17" s="20">
        <f>+BS15+BS16</f>
        <v>0.19418636305980708</v>
      </c>
      <c r="BT17" s="20">
        <f>+BT15+BT16</f>
        <v>0.23101913418208303</v>
      </c>
      <c r="BU17" s="7"/>
      <c r="BV17" s="20">
        <f>+BV15+BV16</f>
        <v>0.34438337923031614</v>
      </c>
      <c r="BW17" s="20">
        <f>+BW15+BW16</f>
        <v>0.31647694301926571</v>
      </c>
      <c r="BX17" s="20">
        <f>+BX15+BX16</f>
        <v>0.32131948275789479</v>
      </c>
      <c r="BY17" s="7"/>
      <c r="BZ17" s="20">
        <f>+BZ15+BZ16</f>
        <v>0.15003137418949999</v>
      </c>
      <c r="CA17" s="20" t="e">
        <f>+CA15+CA16</f>
        <v>#DIV/0!</v>
      </c>
      <c r="CB17" s="20" t="e">
        <f>+CB15+CB16</f>
        <v>#DIV/0!</v>
      </c>
      <c r="CC17" s="7"/>
      <c r="CD17" s="20">
        <f>+CD15+CD16</f>
        <v>0</v>
      </c>
      <c r="CE17" s="20">
        <f>+CE15+CE16</f>
        <v>0</v>
      </c>
      <c r="CF17" s="20" t="e">
        <f>+CF15+CF16</f>
        <v>#DIV/0!</v>
      </c>
      <c r="CG17" s="7"/>
      <c r="CH17" s="28">
        <f>+CH15+CH16</f>
        <v>0.25414699470336211</v>
      </c>
      <c r="CI17" s="28">
        <f>+CI15+CI16</f>
        <v>0.24679858258319132</v>
      </c>
      <c r="CJ17" s="28">
        <f>+CJ15+CJ16</f>
        <v>0.27368929793517299</v>
      </c>
    </row>
    <row r="18" spans="2:88" ht="20.149999999999999" customHeight="1" x14ac:dyDescent="0.25">
      <c r="B18" s="202"/>
      <c r="C18" s="9"/>
      <c r="D18" s="14" t="s">
        <v>90</v>
      </c>
      <c r="E18" s="7"/>
      <c r="F18" s="20"/>
      <c r="G18" s="20"/>
      <c r="H18" s="20"/>
      <c r="I18" s="7"/>
      <c r="J18" s="20">
        <f>-SUM([3]Retail!$AT$29:$BJ$29,[3]MGA!$AT$29:$BJ$29)/1000/J9</f>
        <v>4.1764111754814606E-2</v>
      </c>
      <c r="K18" s="20">
        <f>-SUM([3]Retail!$AT$30:$BJ$30,[3]MGA!$AT$30:$BJ$30)/1000/K9</f>
        <v>4.2214945554952491E-5</v>
      </c>
      <c r="L18" s="20">
        <f>-SUM([3]Retail!$AT$31:$BJ$31,[3]MGA!$AT$31:$BJ$31)/1000/L9</f>
        <v>2.4395849365768069E-2</v>
      </c>
      <c r="M18" s="7"/>
      <c r="N18" s="20">
        <f>-(SUM([3]Retail!$AT$81:$BJ$81,[3]MGA!$AT$81:$BJ$81)-SUM([3]MGA!$AT$29:$BJ$29,[3]Retail!$AT$29:$BJ$29))/1000/N9</f>
        <v>4.6531204815764018E-2</v>
      </c>
      <c r="O18" s="20">
        <f>-(SUM([3]Retail!$AT$82:$BJ$82,[3]MGA!$AT$82:$BJ$82)-SUM([3]MGA!$AT$30:$BJ$30,[3]Retail!$AT$30:$BJ$30))/1000/O9</f>
        <v>-8.7446785724791477E-4</v>
      </c>
      <c r="P18" s="20">
        <f>-(SUM([3]Retail!$AT$83:$BJ$83,[3]MGA!$AT$83:$BJ$83)-SUM([3]MGA!$AT$31:$BJ$31,[3]Retail!$AT$31:$BJ$31))/1000/P9</f>
        <v>2.6840458213227961E-2</v>
      </c>
      <c r="Q18" s="7"/>
      <c r="R18" s="20">
        <f>-(SUM([3]SME!$AT$81:$BJ$81,[3]Bancassurance!$AT$81:$BJ$81)-SUM([3]Bancassurance!$AT$29:$BJ$29,[3]SME!$AT$29:$BJ$29))/1000/R9</f>
        <v>-2.0770044918836831E-2</v>
      </c>
      <c r="S18" s="20">
        <f>-(SUM([3]SME!$AT$82:$BJ$82,[3]Bancassurance!$AT$82:$BJ$82)-SUM([3]Bancassurance!$AT$30:$BJ$30,[3]SME!$AT$30:$BJ$30))/1000/S9</f>
        <v>3.1126809840394242E-2</v>
      </c>
      <c r="T18" s="20">
        <f>-(SUM([3]SME!$AT$83:$BJ$83,[3]Bancassurance!$AT$83:$BJ$83)-SUM([3]Bancassurance!$AT$31:$BJ$31,[3]SME!$AT$31:$BJ$31))/1000/T9</f>
        <v>1.8967743227812545E-2</v>
      </c>
      <c r="U18" s="7"/>
      <c r="V18" s="20">
        <f>-SUM([3]Bancassurance!$AT$29:$BJ$29,[3]MidCorp!$AT$29:$BJ$29,[3]SME!$AT$29:$BJ$29)/1000/V9</f>
        <v>4.0733424101418808E-2</v>
      </c>
      <c r="W18" s="20">
        <f>-SUM([3]Bancassurance!$AT$30:$BJ$30,[3]MidCorp!$AT$30:$BJ$30,[3]SME!$AT$30:$BJ$30)/1000/W9</f>
        <v>3.2175469823838086E-2</v>
      </c>
      <c r="X18" s="20">
        <f>-SUM([3]Bancassurance!$AT$31:$BJ$31,[3]MidCorp!$AT$31:$BJ$31,[3]SME!$AT$31:$BJ$31)/1000/X9</f>
        <v>4.461653236261557E-2</v>
      </c>
      <c r="Y18" s="7"/>
      <c r="Z18" s="20">
        <f>-SUM([3]Bancassurance!$AT$29:$BJ$29,[3]MGA!$AT$81:$BJ$81,[3]MidCorp!$AT$29:$BJ$29,[3]SME!$AT$81:$BJ$81,[3]Retail!$AT$81:$BJ$81)/1000/Z9</f>
        <v>2.0983357504109536E-2</v>
      </c>
      <c r="AA18" s="20">
        <f>-SUM([3]Bancassurance!$AT$30:$BJ$30,[3]MGA!$AT$82:$BJ$82,[3]MidCorp!$AT$30:$BJ$30,[3]SME!$AT$82:$BJ$82,[3]Retail!$AT$82:$BJ$82)/1000/AA9</f>
        <v>3.0735714961596952E-2</v>
      </c>
      <c r="AB18" s="20">
        <f>-SUM([3]Bancassurance!$AT$31:$BJ$31,[3]MGA!$AT$83:$BJ$83,[3]MidCorp!$AT$31:$BJ$31,[3]SME!$AT$83:$BJ$83,[3]Retail!$AT$83:$BJ$83)/1000/AB9</f>
        <v>3.5695956020229576E-2</v>
      </c>
      <c r="AC18" s="7"/>
      <c r="AD18" s="20">
        <f>-SUM([3]Bancassurance!$AT$33:$BJ$33,[3]MidCorp!$AT$33:$BJ$33)/1000/AD9</f>
        <v>0.11576158745758626</v>
      </c>
      <c r="AE18" s="20">
        <f>-SUM([3]Bancassurance!$AT$34:$BJ$34,[3]MidCorp!$AT$34:$BJ$34)/1000/AE9</f>
        <v>0.13880180949988852</v>
      </c>
      <c r="AF18" s="20">
        <f>-SUM([3]Bancassurance!$AT$35:$BJ$35,[3]MidCorp!$AT$35:$BJ$35)/1000/AF9</f>
        <v>9.4273040561696914E-3</v>
      </c>
      <c r="AG18" s="7"/>
      <c r="AH18" s="20">
        <f>-SUM([3]Bancassurance!$AT$37:$BJ$37,[3]MidCorp!$AT$37:$BJ$37)/1000/AH9</f>
        <v>7.6018030547991541E-2</v>
      </c>
      <c r="AI18" s="20">
        <f>-SUM([3]Bancassurance!$AT$38:$BJ$38,[3]MidCorp!$AT$38:$BJ$38)/1000/AI9</f>
        <v>0.1324828217750349</v>
      </c>
      <c r="AJ18" s="20">
        <f>-SUM([3]Bancassurance!$AT$39:$BJ$39,[3]MidCorp!$AT$39:$BJ$39)/1000/AJ9</f>
        <v>6.8830914701063589E-2</v>
      </c>
      <c r="AK18" s="7"/>
      <c r="AL18" s="20">
        <f>-SUM([3]Bancassurance!$AT$41:$BJ$41,[3]MidCorp!$AT$41:$BJ$41)/1000/AL9</f>
        <v>2.3029820729258139E-2</v>
      </c>
      <c r="AM18" s="20">
        <f>-SUM([3]Bancassurance!$AT$42:$BJ$42,[3]MidCorp!$AT$42:$BJ$42)/1000/AM9</f>
        <v>5.535968486243964E-2</v>
      </c>
      <c r="AN18" s="20">
        <f>-SUM([3]Bancassurance!$AT$43:$BJ$43,[3]MidCorp!$AT$43:$BJ$43)/1000/AN9</f>
        <v>3.383855055731716E-2</v>
      </c>
      <c r="AO18" s="7"/>
      <c r="AP18" s="20">
        <f>-SUM([3]H9!$AT$45:$BJ$45,[3]H9!$AT$49:$BJ$49,[3]H9!$AT$53:$BJ$53,[3]H9!$AT$57:$BJ$57,[3]H9!$AT$65:$BJ$65,[3]H9!$AT$69:$BJ$69,[3]H9!$AT$73:$BJ$73)/1000/AP9</f>
        <v>7.1086518446339675E-2</v>
      </c>
      <c r="AQ18" s="20">
        <f>-SUM([3]H9!$AT$46:$BJ$46,[3]H9!$AT$50:$BJ$50,[3]H9!$AT$54:$BJ$54,[3]H9!$AT$58:$BJ$58,[3]H9!$AT$66:$BJ$66,[3]H9!$AT$70:$BJ$70,[3]H9!$AT$74:$BJ$74)/1000/AQ9</f>
        <v>9.0835330108396603E-2</v>
      </c>
      <c r="AR18" s="20">
        <f>-SUM([3]H9!$AT$47:$BJ$47,[3]H9!$AT$51:$BJ$51,[3]H9!$AT$55:$BJ$55,[3]H9!$AT$59:$BJ$59,[3]H9!$AT$67:$BJ$67,[3]H9!$AT$71:$BJ$71,[3]H9!$AT$75:$BJ$75)/1000/AR9</f>
        <v>3.0192362073811787E-2</v>
      </c>
      <c r="AS18" s="7"/>
      <c r="AT18" s="20">
        <f>-SUM([3]H9!$AT$81:$BJ$81)/1000/AT9</f>
        <v>1.834933493325926E-2</v>
      </c>
      <c r="AU18" s="20">
        <f>-SUM([3]H9!$AT$82:$BJ$82)/1000/AU9</f>
        <v>5.8109592747241735E-2</v>
      </c>
      <c r="AV18" s="20">
        <f>-SUM([3]H9!$AT$83:$BJ$83)/1000/AV9</f>
        <v>1.9631487942252026E-2</v>
      </c>
      <c r="AW18" s="7"/>
      <c r="AX18" s="28" t="e">
        <f>+#REF!</f>
        <v>#REF!</v>
      </c>
      <c r="AY18" s="28" t="e">
        <f>+#REF!</f>
        <v>#REF!</v>
      </c>
      <c r="AZ18" s="28" t="e">
        <f>+#REF!</f>
        <v>#REF!</v>
      </c>
      <c r="BA18" s="7"/>
      <c r="BB18" s="202"/>
      <c r="BC18" s="9"/>
      <c r="BD18" s="14" t="s">
        <v>90</v>
      </c>
      <c r="BE18" s="7"/>
      <c r="BF18" s="20"/>
      <c r="BG18" s="20"/>
      <c r="BH18" s="20"/>
      <c r="BI18" s="7"/>
      <c r="BJ18" s="20">
        <f>-(SUM([3]Retail!$FR$29:$GH$29)/1000/BJ9)</f>
        <v>0.2261690610110875</v>
      </c>
      <c r="BK18" s="20">
        <f>-(SUM([3]Retail!$FR$30:$GH$30)/1000/BK9)</f>
        <v>-9.6101230881728464E-2</v>
      </c>
      <c r="BL18" s="20">
        <f>-(SUM([3]Retail!$FR$31:$GH$31)/1000/BL9)</f>
        <v>3.578042896206525E-2</v>
      </c>
      <c r="BM18" s="7"/>
      <c r="BN18" s="20">
        <f>-(SUM([3]SME!$FR$29:$GH$29)/1000/BN9)</f>
        <v>8.9682354661199337E-2</v>
      </c>
      <c r="BO18" s="20">
        <f>-(SUM([3]SME!$FR$30:$GH$30)/1000/BO9)</f>
        <v>-0.15423839450323784</v>
      </c>
      <c r="BP18" s="20">
        <f>-(SUM([3]SME!$FR$31:$GH$31)/1000/BP9)</f>
        <v>2.0412181411113256E-2</v>
      </c>
      <c r="BQ18" s="7"/>
      <c r="BR18" s="20">
        <f>-(SUM([3]MidCorp!$FR$29:$GH$29)/1000/BR9)</f>
        <v>6.8664354673374811E-2</v>
      </c>
      <c r="BS18" s="20">
        <f>-(SUM([3]MidCorp!$FR$30:$GH$30)/1000/BS9)</f>
        <v>9.8759460029695476E-2</v>
      </c>
      <c r="BT18" s="20">
        <f>-(SUM([3]MidCorp!$FR$31:$GH$31)/1000/BT9)</f>
        <v>5.1142452992193305E-2</v>
      </c>
      <c r="BU18" s="7"/>
      <c r="BV18" s="20">
        <f>-(SUM([3]MGA!$FR$29:$GH$29)/1000/BV9)</f>
        <v>1.9071537280702169E-2</v>
      </c>
      <c r="BW18" s="20">
        <f>-(SUM([3]MGA!$FR$30:$GH$30)/1000/BW9)</f>
        <v>1.9354580771793764E-2</v>
      </c>
      <c r="BX18" s="20">
        <f>-(SUM([3]MGA!$FR$31:$GH$31)/1000/BX9)</f>
        <v>1.9159176770057958E-2</v>
      </c>
      <c r="BY18" s="7"/>
      <c r="BZ18" s="20">
        <f>-(SUM([3]Bancassurance!$FR$29:$GH$29)/1000/BZ9)</f>
        <v>0</v>
      </c>
      <c r="CA18" s="20" t="e">
        <f>-(SUM([3]Bancassurance!$FR$30:$GH$30)/1000/CA9)</f>
        <v>#DIV/0!</v>
      </c>
      <c r="CB18" s="20" t="e">
        <f>-(SUM([3]Bancassurance!$FR$31:$GH$31)/1000/CB9)</f>
        <v>#DIV/0!</v>
      </c>
      <c r="CC18" s="7"/>
      <c r="CD18" s="20">
        <f>-(SUM([3]Specials!$FR$29:$GH$29)/1000/CD9)</f>
        <v>-4.4673428753515196</v>
      </c>
      <c r="CE18" s="20">
        <f>-(SUM([3]Specials!$FR$30:$GH$30)/1000/CE9)</f>
        <v>-11.178773744414109</v>
      </c>
      <c r="CF18" s="20" t="e">
        <f>-(SUM([3]Specials!$FR$31:$GH$31)/1000/CF9)</f>
        <v>#DIV/0!</v>
      </c>
      <c r="CG18" s="7"/>
      <c r="CH18" s="28">
        <f>-(SUM('[3]Total P&amp;C'!$FR$29:$GH$29)/1000/CH9)</f>
        <v>7.6299642223292705E-2</v>
      </c>
      <c r="CI18" s="28">
        <f>-(SUM('[3]Total P&amp;C'!$FR$30:$GH$30)/1000/CI9)</f>
        <v>2.2392818689879367E-2</v>
      </c>
      <c r="CJ18" s="28">
        <f>-(SUM('[3]Total P&amp;C'!$FR$31:$GH$31)/1000/CJ9)</f>
        <v>3.8264715683412324E-2</v>
      </c>
    </row>
    <row r="19" spans="2:88" ht="20.149999999999999" customHeight="1" x14ac:dyDescent="0.25">
      <c r="B19" s="202"/>
      <c r="C19" s="9"/>
      <c r="D19" s="14" t="s">
        <v>79</v>
      </c>
      <c r="E19" s="8"/>
      <c r="F19" s="20">
        <v>0.89585480607710977</v>
      </c>
      <c r="G19" s="20">
        <v>0.8253916262096419</v>
      </c>
      <c r="H19" s="20">
        <v>0.8995436115191684</v>
      </c>
      <c r="I19" s="8"/>
      <c r="J19" s="20">
        <f>+J18+J17+J14+J13</f>
        <v>0.95747045477591541</v>
      </c>
      <c r="K19" s="20">
        <f>+K18+K17+K14+K13</f>
        <v>0.85460506332717889</v>
      </c>
      <c r="L19" s="20">
        <f>+L18+L17+L14+L13</f>
        <v>0.95902963752466275</v>
      </c>
      <c r="M19" s="8"/>
      <c r="N19" s="20">
        <f>+N13+N14+N17+N18</f>
        <v>0.96127185632201195</v>
      </c>
      <c r="O19" s="20">
        <f>+O13+O14+O17+O18</f>
        <v>0.91726343790643594</v>
      </c>
      <c r="P19" s="20">
        <f>+P13+P14+P17+P18</f>
        <v>0.9756816763456484</v>
      </c>
      <c r="Q19" s="8"/>
      <c r="R19" s="20">
        <f>+R13+R14+R17+R18</f>
        <v>0.92643105937655224</v>
      </c>
      <c r="S19" s="20">
        <f>+S13+S14+S17+S18</f>
        <v>0.98097559549594593</v>
      </c>
      <c r="T19" s="20">
        <f>+T13+T14+T17+T18</f>
        <v>0.97883496674543202</v>
      </c>
      <c r="U19" s="8"/>
      <c r="V19" s="20">
        <f>+V13+V14+V17+V18</f>
        <v>0.99336520039463649</v>
      </c>
      <c r="W19" s="20">
        <f>+W13+W14+W17+W18</f>
        <v>0.99599232457861375</v>
      </c>
      <c r="X19" s="20">
        <f>+X13+X14+X17+X18</f>
        <v>0.98182213271692231</v>
      </c>
      <c r="Y19" s="8"/>
      <c r="Z19" s="20">
        <f>+Z13+Z14+Z17+Z18</f>
        <v>0.97068739250297076</v>
      </c>
      <c r="AA19" s="20">
        <f>+AA13+AA14+AA17+AA18</f>
        <v>0.97078749944054721</v>
      </c>
      <c r="AB19" s="20">
        <f>+AB13+AB14+AB17+AB18</f>
        <v>0.97386074459426186</v>
      </c>
      <c r="AC19" s="8"/>
      <c r="AD19" s="20">
        <f>+AD13+AD14+AD17+AD18</f>
        <v>0.88141577124870751</v>
      </c>
      <c r="AE19" s="20">
        <f>+AE13+AE14+AE17+AE18</f>
        <v>0.93232220111519892</v>
      </c>
      <c r="AF19" s="20">
        <f>+AF13+AF14+AF17+AF18</f>
        <v>0.93038118329339214</v>
      </c>
      <c r="AG19" s="8"/>
      <c r="AH19" s="20">
        <f>+AH13+AH14+AH17+AH18</f>
        <v>0.90917508420727244</v>
      </c>
      <c r="AI19" s="20">
        <f>+AI13+AI14+AI17+AI18</f>
        <v>1.0539587349438182</v>
      </c>
      <c r="AJ19" s="20">
        <f>+AJ13+AJ14+AJ17+AJ18</f>
        <v>0.90577877899967796</v>
      </c>
      <c r="AK19" s="8"/>
      <c r="AL19" s="20">
        <f>+AL13+AL14+AL17+AL18</f>
        <v>0.79888411086184086</v>
      </c>
      <c r="AM19" s="20">
        <f>+AM13+AM14+AM17+AM18</f>
        <v>1.0780020991923556</v>
      </c>
      <c r="AN19" s="20">
        <f>+AN13+AN14+AN17+AN18</f>
        <v>0.9093673308315473</v>
      </c>
      <c r="AO19" s="8"/>
      <c r="AP19" s="20">
        <f>+AP13+AP14+AP17+AP18</f>
        <v>2.4530578706919015</v>
      </c>
      <c r="AQ19" s="20">
        <f>+AQ13+AQ14+AQ17+AQ18</f>
        <v>0.88538505957453906</v>
      </c>
      <c r="AR19" s="20">
        <f>+AR13+AR14+AR17+AR18</f>
        <v>18.690756604871424</v>
      </c>
      <c r="AS19" s="8"/>
      <c r="AT19" s="20">
        <f>+AT13+AT14+AT17+AT18</f>
        <v>0.97459799370570777</v>
      </c>
      <c r="AU19" s="20">
        <f>+AU13+AU14+AU17+AU18</f>
        <v>0.8836701631814754</v>
      </c>
      <c r="AV19" s="20">
        <f>+AV13+AV14+AV17+AV18</f>
        <v>0.99042977470409943</v>
      </c>
      <c r="AW19" s="8"/>
      <c r="AX19" s="28" t="e">
        <f>+#REF!</f>
        <v>#REF!</v>
      </c>
      <c r="AY19" s="28" t="e">
        <f>+#REF!</f>
        <v>#REF!</v>
      </c>
      <c r="AZ19" s="28" t="e">
        <f>+#REF!</f>
        <v>#REF!</v>
      </c>
      <c r="BA19" s="8"/>
      <c r="BB19" s="202"/>
      <c r="BC19" s="9"/>
      <c r="BD19" s="14" t="s">
        <v>79</v>
      </c>
      <c r="BE19" s="8"/>
      <c r="BF19" s="20">
        <v>0.89585480607710977</v>
      </c>
      <c r="BG19" s="20">
        <v>0.8253916262096419</v>
      </c>
      <c r="BH19" s="20">
        <v>0.8995436115191684</v>
      </c>
      <c r="BI19" s="8"/>
      <c r="BJ19" s="20">
        <f>+BJ13+BJ14+BJ17+BJ18</f>
        <v>1.9771440658159183</v>
      </c>
      <c r="BK19" s="20">
        <f>+BK13+BK14+BK17+BK18</f>
        <v>0.20435300470058043</v>
      </c>
      <c r="BL19" s="20">
        <f>+BL13+BL14+BL17+BL18</f>
        <v>0.96706641158031759</v>
      </c>
      <c r="BM19" s="8"/>
      <c r="BN19" s="20">
        <f>+BN13+BN14+BN17+BN18</f>
        <v>0.85872797146552393</v>
      </c>
      <c r="BO19" s="20">
        <f>+BO13+BO14+BO17+BO18</f>
        <v>0.34503003310297031</v>
      </c>
      <c r="BP19" s="20">
        <f>+BP13+BP14+BP17+BP18</f>
        <v>0.96271765426144462</v>
      </c>
      <c r="BQ19" s="8"/>
      <c r="BR19" s="20">
        <f>+BR13+BR14+BR17+BR18</f>
        <v>0.73647898472849915</v>
      </c>
      <c r="BS19" s="20">
        <f>+BS13+BS14+BS17+BS18</f>
        <v>1.1980522221812699</v>
      </c>
      <c r="BT19" s="20">
        <f>+BT13+BT14+BT17+BT18</f>
        <v>0.98697303762322353</v>
      </c>
      <c r="BU19" s="8"/>
      <c r="BV19" s="20">
        <f>+BV13+BV14+BV17+BV18</f>
        <v>1.0589875959055497</v>
      </c>
      <c r="BW19" s="20">
        <f>+BW13+BW14+BW17+BW18</f>
        <v>1.0240860351971619</v>
      </c>
      <c r="BX19" s="20">
        <f>+BX13+BX14+BX17+BX18</f>
        <v>0.96018477914324718</v>
      </c>
      <c r="BY19" s="8"/>
      <c r="BZ19" s="20">
        <f>+BZ13+BZ14+BZ17+BZ18</f>
        <v>0.15003137418949999</v>
      </c>
      <c r="CA19" s="20" t="e">
        <f>+CA13+CA14+CA17+CA18</f>
        <v>#DIV/0!</v>
      </c>
      <c r="CB19" s="20" t="e">
        <f>+CB13+CB14+CB17+CB18</f>
        <v>#DIV/0!</v>
      </c>
      <c r="CC19" s="8"/>
      <c r="CD19" s="29">
        <f>+CD13+CD14+CD17+CD18</f>
        <v>-13.798219735589848</v>
      </c>
      <c r="CE19" s="20">
        <f>+CE13+CE14+CE17+CE18</f>
        <v>-18.697008420411329</v>
      </c>
      <c r="CF19" s="20" t="e">
        <f>+CF13+CF14+CF17+CF18</f>
        <v>#DIV/0!</v>
      </c>
      <c r="CG19" s="8"/>
      <c r="CH19" s="28">
        <f>+CH13+CH14+CH17+CH18</f>
        <v>0.93205586801447737</v>
      </c>
      <c r="CI19" s="28">
        <f>+CI13+CI14+CI17+CI18</f>
        <v>0.92589312887710129</v>
      </c>
      <c r="CJ19" s="28">
        <f>+CJ13+CJ14+CJ17+CJ18</f>
        <v>0.97570636463685367</v>
      </c>
    </row>
    <row r="20" spans="2:88" ht="19.5" customHeight="1" x14ac:dyDescent="0.25">
      <c r="B20" s="202"/>
      <c r="C20" s="9"/>
      <c r="D20" s="14" t="s">
        <v>34</v>
      </c>
      <c r="E20" s="6"/>
      <c r="F20" s="19">
        <v>30.408555930000066</v>
      </c>
      <c r="G20" s="19">
        <v>53.179957590000015</v>
      </c>
      <c r="H20" s="19">
        <v>32.105619724279762</v>
      </c>
      <c r="I20" s="6"/>
      <c r="J20" s="19">
        <f>+([3]Retail!$BK$29+[3]MGA!$BK$29)/1000</f>
        <v>1.8132033000000058</v>
      </c>
      <c r="K20" s="19">
        <f>+([3]Retail!$BK$30+[3]MGA!$BK$30)/1000</f>
        <v>5.7783325300000108</v>
      </c>
      <c r="L20" s="19">
        <f>+([3]Retail!$BK$31+[3]MGA!$BK$31)/1000</f>
        <v>1.6593172784283967</v>
      </c>
      <c r="M20" s="6"/>
      <c r="N20" s="19">
        <f>+([3]Retail!$BK$81-[3]Retail!$BK$29+[3]MGA!$BK$81-[3]MGA!$BK$29)/1000</f>
        <v>-1.4922935200000096</v>
      </c>
      <c r="O20" s="19">
        <f>+([3]Retail!$BK$82-[3]Retail!$BK$30+[3]MGA!$BK$82-[3]MGA!$BK$30)/1000</f>
        <v>-2.7863850500000087</v>
      </c>
      <c r="P20" s="19">
        <f>+([3]Retail!$BK$83-[3]Retail!$BK$31+[3]MGA!$BK$83-[3]MGA!$BK$31)/1000</f>
        <v>-0.96107896958317174</v>
      </c>
      <c r="Q20" s="6"/>
      <c r="R20" s="19">
        <f>+([3]SME!$BK$81-[3]SME!$BK$29+[3]Bancassurance!$BK$81-[3]Bancassurance!$BK$29)/1000</f>
        <v>3.2965674400000329</v>
      </c>
      <c r="S20" s="19">
        <f>+([3]SME!$BK$82-[3]SME!$BK$30+[3]Bancassurance!$BK$82-[3]Bancassurance!$BK$30)/1000</f>
        <v>0.88725160999999908</v>
      </c>
      <c r="T20" s="19">
        <f>+([3]SME!$BK$83-[3]SME!$BK$31+[3]Bancassurance!$BK$83-[3]Bancassurance!$BK$31)/1000</f>
        <v>0.88633460618241666</v>
      </c>
      <c r="U20" s="6"/>
      <c r="V20" s="19">
        <f>+([3]Bancassurance!$BK$29+[3]MidCorp!$BK$29+[3]SME!$BK$29)/1000</f>
        <v>0.66023099000001073</v>
      </c>
      <c r="W20" s="19">
        <f>+([3]Bancassurance!$BK$30+[3]MidCorp!$BK$30+[3]SME!$BK$30)/1000</f>
        <v>0.38143421</v>
      </c>
      <c r="X20" s="19">
        <f>+([3]Bancassurance!$BK$31+[3]MidCorp!$BK$31+[3]SME!$BK$31)/1000</f>
        <v>1.7493786571761336</v>
      </c>
      <c r="Y20" s="6"/>
      <c r="Z20" s="19">
        <f>+J20+N20+R20+V20</f>
        <v>4.2777082100000392</v>
      </c>
      <c r="AA20" s="19">
        <f>+K20+O20+S20+W20</f>
        <v>4.2606333000000012</v>
      </c>
      <c r="AB20" s="19">
        <f>+L20+P20+T20+X20</f>
        <v>3.3339515722037754</v>
      </c>
      <c r="AC20" s="6"/>
      <c r="AD20" s="19">
        <f>+([3]Bancassurance!$BK$33+[3]MidCorp!$BK$33)/1000</f>
        <v>5.4046792699999937</v>
      </c>
      <c r="AE20" s="19">
        <f>+([3]Bancassurance!$BK$34+[3]MidCorp!$BK$34)/1000</f>
        <v>3.041078049999991</v>
      </c>
      <c r="AF20" s="19">
        <f>+([3]Bancassurance!$BK$35+[3]MidCorp!$BK$35)/1000</f>
        <v>4.1277711799330739</v>
      </c>
      <c r="AG20" s="6"/>
      <c r="AH20" s="19">
        <f>+([3]Bancassurance!$BK$37+[3]MidCorp!$BK$37)/1000</f>
        <v>1.0617100899999934</v>
      </c>
      <c r="AI20" s="19">
        <f>+([3]Bancassurance!$BK$38+[3]MidCorp!$BK$38)/1000</f>
        <v>-0.59736505000000228</v>
      </c>
      <c r="AJ20" s="19">
        <f>+([3]Bancassurance!$BK$39+[3]MidCorp!$BK$39)/1000</f>
        <v>1.3588259773164886</v>
      </c>
      <c r="AK20" s="6"/>
      <c r="AL20" s="19">
        <f>+([3]Bancassurance!$BK$41+[3]MidCorp!$BK$41)/1000</f>
        <v>3.3623540900000015</v>
      </c>
      <c r="AM20" s="19">
        <f>+([3]Bancassurance!$BK$42+[3]MidCorp!$BK$42)/1000</f>
        <v>-1.3278389700000073</v>
      </c>
      <c r="AN20" s="19">
        <f>+([3]Bancassurance!$BK$43+[3]MidCorp!$BK$43)/1000</f>
        <v>1.6514957815761362</v>
      </c>
      <c r="AO20" s="6"/>
      <c r="AP20" s="19">
        <f>+([3]H9!$BK$45+[3]H9!$BK$49+[3]H9!$BK$53+[3]H9!$BK$57+[3]H9!$BK$65+[3]H9!$BK$69+[3]H9!$BK$73)/1000</f>
        <v>28.757829980000079</v>
      </c>
      <c r="AQ20" s="19">
        <f>+([3]H9!$BK$46+[3]H9!$BK$50+[3]H9!$BK$54+[3]H9!$BK$58+[3]H9!$BK$66+[3]H9!$BK$70+[3]H9!$BK$74)/1000</f>
        <v>16.415325429999932</v>
      </c>
      <c r="AR20" s="19">
        <f>+([3]H9!$BK$47+[3]H9!$BK$51+[3]H9!$BK$55+[3]H9!$BK$59+[3]H9!$BK$67+[3]H9!$BK$71+[3]H9!$BK$75)/1000</f>
        <v>19.761606615267429</v>
      </c>
      <c r="AS20" s="6"/>
      <c r="AT20" s="19">
        <f>+[3]H9!$BK$81/1000</f>
        <v>0.66843551000007362</v>
      </c>
      <c r="AU20" s="19">
        <f>+[3]H9!$BK$82/1000</f>
        <v>2.487420699999956</v>
      </c>
      <c r="AV20" s="19">
        <f>+[3]H9!$BK$83/1000</f>
        <v>0.25800534552433735</v>
      </c>
      <c r="AW20" s="6"/>
      <c r="AX20" s="27" t="e">
        <f>+#REF!</f>
        <v>#REF!</v>
      </c>
      <c r="AY20" s="27" t="e">
        <f>+#REF!</f>
        <v>#REF!</v>
      </c>
      <c r="AZ20" s="27" t="e">
        <f>+#REF!</f>
        <v>#REF!</v>
      </c>
      <c r="BA20" s="6"/>
      <c r="BB20" s="202"/>
      <c r="BC20" s="9"/>
      <c r="BD20" s="14" t="s">
        <v>34</v>
      </c>
      <c r="BE20" s="6"/>
      <c r="BF20" s="19">
        <v>30.408555930000066</v>
      </c>
      <c r="BG20" s="19">
        <v>53.179957590000015</v>
      </c>
      <c r="BH20" s="19">
        <v>32.105619724279762</v>
      </c>
      <c r="BI20" s="6"/>
      <c r="BJ20" s="19">
        <f>+[3]Retail!$GI$29/1000</f>
        <v>-4.8461346400000034</v>
      </c>
      <c r="BK20" s="19">
        <f>+[3]Retail!$GI$30/1000</f>
        <v>4.1289863400000035</v>
      </c>
      <c r="BL20" s="19">
        <f>+[3]Retail!$GI$31/1000</f>
        <v>0.15244295923904494</v>
      </c>
      <c r="BM20" s="6"/>
      <c r="BN20" s="19">
        <f>+[3]SME!$GI$29/1000</f>
        <v>0.95959364999999597</v>
      </c>
      <c r="BO20" s="19">
        <f>+[3]SME!$GI$30/1000</f>
        <v>4.7623914899999988</v>
      </c>
      <c r="BP20" s="19">
        <f>+[3]SME!$GI$31/1000</f>
        <v>0.25397926342320298</v>
      </c>
      <c r="BQ20" s="6"/>
      <c r="BR20" s="19">
        <f>+[3]MidCorp!$GI$29/1000</f>
        <v>7.5412555100000151</v>
      </c>
      <c r="BS20" s="19">
        <f>+[3]MidCorp!$GI$30/1000</f>
        <v>-5.4064996299999803</v>
      </c>
      <c r="BT20" s="19">
        <f>+[3]MidCorp!$GI$31/1000</f>
        <v>0.32914695563551138</v>
      </c>
      <c r="BU20" s="6"/>
      <c r="BV20" s="19">
        <f>+[3]MGA!$GI$29/1000</f>
        <v>-0.55054552999999284</v>
      </c>
      <c r="BW20" s="19">
        <f>+[3]MGA!$GI$30/1000</f>
        <v>-0.1992049600000014</v>
      </c>
      <c r="BX20" s="19">
        <f>+[3]MGA!$GI$31/1000</f>
        <v>0.40066280023708567</v>
      </c>
      <c r="BY20" s="6"/>
      <c r="BZ20" s="19">
        <f>+[3]Bancassurance!$GI$29/1000</f>
        <v>1.3410210000000001E-2</v>
      </c>
      <c r="CA20" s="19">
        <f>+[3]Bancassurance!$GI$30/1000</f>
        <v>-7.2135800000000016E-3</v>
      </c>
      <c r="CB20" s="19">
        <f>+[3]Bancassurance!$GI$31/1000</f>
        <v>0</v>
      </c>
      <c r="CC20" s="6"/>
      <c r="CD20" s="19">
        <f>+[3]Specials!$GI$29/1000</f>
        <v>0.26169009000000004</v>
      </c>
      <c r="CE20" s="19">
        <f>+[3]Specials!$GI$30/1000</f>
        <v>0.28192012999999999</v>
      </c>
      <c r="CF20" s="19">
        <f>+[3]Specials!$GI$31/1000</f>
        <v>0</v>
      </c>
      <c r="CG20" s="6"/>
      <c r="CH20" s="27">
        <f>+'[3]Total P&amp;C'!$GI$29/1000</f>
        <v>3.3792692900000039</v>
      </c>
      <c r="CI20" s="27">
        <f>+'[3]Total P&amp;C'!$GI$30/1000</f>
        <v>3.5603797900000189</v>
      </c>
      <c r="CJ20" s="27">
        <f>+'[3]Total P&amp;C'!$GI$31/1000</f>
        <v>1.1362319785348487</v>
      </c>
    </row>
    <row r="21" spans="2:88" ht="7.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6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6"/>
      <c r="AU21" s="8"/>
      <c r="AV21" s="8"/>
      <c r="AW21" s="8"/>
      <c r="AX21" s="8"/>
      <c r="AY21" s="8"/>
      <c r="AZ21" s="8"/>
      <c r="BA21" s="8"/>
      <c r="BE21" s="8"/>
      <c r="BF21" s="8"/>
      <c r="BG21" s="8"/>
      <c r="BH21" s="8"/>
      <c r="BI21" s="8"/>
      <c r="BJ21" s="8"/>
      <c r="BK21" s="8"/>
      <c r="BL21" s="8"/>
      <c r="BM21" s="8"/>
      <c r="BN21" s="6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8"/>
      <c r="CG21" s="8"/>
      <c r="CH21" s="8"/>
      <c r="CI21" s="8"/>
      <c r="CJ21" s="8"/>
    </row>
    <row r="23" spans="2:88" x14ac:dyDescent="0.25">
      <c r="J23" s="3">
        <f>1-J20/J9</f>
        <v>0.95766444521824123</v>
      </c>
      <c r="K23" s="3">
        <f>1-K20/K9</f>
        <v>0.85460506332717867</v>
      </c>
      <c r="L23" s="3">
        <f>1-L20/L9</f>
        <v>0.96235289834273119</v>
      </c>
      <c r="N23" s="3">
        <f>1-N20/N9</f>
        <v>0.9612718563220124</v>
      </c>
      <c r="O23" s="3">
        <f>1-O20/O9</f>
        <v>0.9172634379064355</v>
      </c>
      <c r="P23" s="3">
        <f>1-P20/P9</f>
        <v>0.9756816763456484</v>
      </c>
      <c r="R23" s="3">
        <f>1-R20/R9</f>
        <v>0.92643105937655268</v>
      </c>
      <c r="S23" s="3">
        <f>1-S20/S9</f>
        <v>0.98097559549594582</v>
      </c>
      <c r="T23" s="3">
        <f>1-T20/T9</f>
        <v>0.97883496674543202</v>
      </c>
      <c r="V23" s="3">
        <f>1-V20/V9</f>
        <v>0.99336520039463649</v>
      </c>
      <c r="W23" s="3">
        <f t="shared" ref="W23:AV23" si="1">1-W20/W9</f>
        <v>0.99599232457861364</v>
      </c>
      <c r="X23" s="3">
        <f t="shared" si="1"/>
        <v>0.9818221327169222</v>
      </c>
      <c r="Z23" s="3">
        <f t="shared" si="1"/>
        <v>0.9712164330048797</v>
      </c>
      <c r="AA23" s="3">
        <f t="shared" si="1"/>
        <v>0.97118818696561326</v>
      </c>
      <c r="AB23" s="3">
        <f t="shared" si="1"/>
        <v>0.97663153607366238</v>
      </c>
      <c r="AD23" s="3">
        <f t="shared" si="1"/>
        <v>0.88141577124870751</v>
      </c>
      <c r="AE23" s="3">
        <f t="shared" si="1"/>
        <v>0.93232220111519881</v>
      </c>
      <c r="AF23" s="3">
        <f t="shared" si="1"/>
        <v>0.93038118329339192</v>
      </c>
      <c r="AH23" s="3">
        <f t="shared" si="1"/>
        <v>0.90917508420727244</v>
      </c>
      <c r="AI23" s="3">
        <f t="shared" si="1"/>
        <v>1.0539587349438182</v>
      </c>
      <c r="AJ23" s="3">
        <f t="shared" si="1"/>
        <v>0.90577877899967763</v>
      </c>
      <c r="AL23" s="3">
        <f t="shared" si="1"/>
        <v>0.79888411086184097</v>
      </c>
      <c r="AM23" s="3">
        <f t="shared" si="1"/>
        <v>1.0780020991923553</v>
      </c>
      <c r="AN23" s="3">
        <f t="shared" si="1"/>
        <v>0.9093673308315473</v>
      </c>
      <c r="AP23" s="32">
        <f t="shared" si="1"/>
        <v>0.81182089314108785</v>
      </c>
      <c r="AQ23" s="32">
        <f t="shared" si="1"/>
        <v>0.88538505957453917</v>
      </c>
      <c r="AR23" s="32">
        <f t="shared" si="1"/>
        <v>0.8852361350137663</v>
      </c>
      <c r="AT23" s="32">
        <f t="shared" si="1"/>
        <v>0.97459799370570777</v>
      </c>
      <c r="AU23" s="32">
        <f t="shared" si="1"/>
        <v>0.8836701631814754</v>
      </c>
      <c r="AV23" s="32">
        <f t="shared" si="1"/>
        <v>0.99042977470409932</v>
      </c>
    </row>
    <row r="25" spans="2:88" x14ac:dyDescent="0.25">
      <c r="AX25" s="31">
        <f>+AT20+Z20</f>
        <v>4.946143720000113</v>
      </c>
      <c r="AY25" s="31">
        <f>+AU20+AA20</f>
        <v>6.7480539999999571</v>
      </c>
      <c r="AZ25" s="31">
        <f>+AV20+AB20</f>
        <v>3.5919569177281128</v>
      </c>
    </row>
  </sheetData>
  <mergeCells count="20">
    <mergeCell ref="B8:B20"/>
    <mergeCell ref="BB8:BB20"/>
    <mergeCell ref="AD4:AF4"/>
    <mergeCell ref="AP4:AR4"/>
    <mergeCell ref="AL4:AN4"/>
    <mergeCell ref="AH4:AJ4"/>
    <mergeCell ref="AT4:AV4"/>
    <mergeCell ref="B3:D3"/>
    <mergeCell ref="F3:AZ3"/>
    <mergeCell ref="BB3:BD3"/>
    <mergeCell ref="BF3:CJ3"/>
    <mergeCell ref="F4:H4"/>
    <mergeCell ref="V4:X4"/>
    <mergeCell ref="Z4:AB4"/>
    <mergeCell ref="AX4:AZ4"/>
    <mergeCell ref="BF4:BH4"/>
    <mergeCell ref="BV4:BX4"/>
    <mergeCell ref="BZ4:CB4"/>
    <mergeCell ref="CD4:CF4"/>
    <mergeCell ref="CH4:CJ4"/>
  </mergeCells>
  <conditionalFormatting sqref="V8">
    <cfRule type="expression" dxfId="4511" priority="9693">
      <formula>V8&lt;X8*#REF!</formula>
    </cfRule>
    <cfRule type="expression" dxfId="4510" priority="9694">
      <formula>V8&gt;X8*#REF!</formula>
    </cfRule>
  </conditionalFormatting>
  <conditionalFormatting sqref="V9">
    <cfRule type="expression" dxfId="4509" priority="9691">
      <formula>V9&lt;X9*#REF!</formula>
    </cfRule>
    <cfRule type="expression" dxfId="4508" priority="9692">
      <formula>V9&gt;X9*#REF!</formula>
    </cfRule>
  </conditionalFormatting>
  <conditionalFormatting sqref="V20">
    <cfRule type="expression" dxfId="4507" priority="9689">
      <formula>V20&lt;X20*#REF!</formula>
    </cfRule>
    <cfRule type="expression" dxfId="4506" priority="9690">
      <formula>V20&gt;X20*#REF!</formula>
    </cfRule>
  </conditionalFormatting>
  <conditionalFormatting sqref="V10">
    <cfRule type="expression" dxfId="4505" priority="9687">
      <formula>V10&gt;X10+#REF!</formula>
    </cfRule>
    <cfRule type="expression" dxfId="4504" priority="9688">
      <formula>V10&lt;X10-#REF!</formula>
    </cfRule>
  </conditionalFormatting>
  <conditionalFormatting sqref="V11">
    <cfRule type="expression" dxfId="4503" priority="9685">
      <formula>V11&gt;X11+#REF!</formula>
    </cfRule>
    <cfRule type="expression" dxfId="4502" priority="9686">
      <formula>V11&lt;X11-#REF!</formula>
    </cfRule>
  </conditionalFormatting>
  <conditionalFormatting sqref="V12">
    <cfRule type="expression" dxfId="4501" priority="9683">
      <formula>V12&gt;X12+#REF!</formula>
    </cfRule>
    <cfRule type="expression" dxfId="4500" priority="9684">
      <formula>V12&lt;X12-#REF!</formula>
    </cfRule>
  </conditionalFormatting>
  <conditionalFormatting sqref="V13">
    <cfRule type="expression" dxfId="4499" priority="9681">
      <formula>V13&gt;X13+#REF!</formula>
    </cfRule>
    <cfRule type="expression" dxfId="4498" priority="9682">
      <formula>V13&lt;X13-#REF!</formula>
    </cfRule>
  </conditionalFormatting>
  <conditionalFormatting sqref="V14">
    <cfRule type="expression" dxfId="4497" priority="9679">
      <formula>V14&gt;X14+#REF!</formula>
    </cfRule>
    <cfRule type="expression" dxfId="4496" priority="9680">
      <formula>V14&lt;X14-#REF!</formula>
    </cfRule>
  </conditionalFormatting>
  <conditionalFormatting sqref="V15">
    <cfRule type="expression" dxfId="4495" priority="9677">
      <formula>V15&gt;X15+#REF!</formula>
    </cfRule>
    <cfRule type="expression" dxfId="4494" priority="9678">
      <formula>V15&lt;X15-#REF!</formula>
    </cfRule>
  </conditionalFormatting>
  <conditionalFormatting sqref="V16">
    <cfRule type="expression" dxfId="4493" priority="9675">
      <formula>V16&gt;X16+#REF!</formula>
    </cfRule>
    <cfRule type="expression" dxfId="4492" priority="9676">
      <formula>V16&lt;X16-#REF!</formula>
    </cfRule>
  </conditionalFormatting>
  <conditionalFormatting sqref="V17:V18">
    <cfRule type="expression" dxfId="4491" priority="9673">
      <formula>V17&gt;X17+#REF!</formula>
    </cfRule>
    <cfRule type="expression" dxfId="4490" priority="9674">
      <formula>V17&lt;X17-#REF!</formula>
    </cfRule>
  </conditionalFormatting>
  <conditionalFormatting sqref="V19">
    <cfRule type="expression" dxfId="4489" priority="9671">
      <formula>V19&gt;X19+#REF!</formula>
    </cfRule>
    <cfRule type="expression" dxfId="4488" priority="9672">
      <formula>V19&lt;X19-#REF!</formula>
    </cfRule>
  </conditionalFormatting>
  <conditionalFormatting sqref="AX8">
    <cfRule type="expression" dxfId="4487" priority="9651">
      <formula>AX8&lt;AZ8*#REF!</formula>
    </cfRule>
    <cfRule type="expression" dxfId="4486" priority="9652">
      <formula>AX8&gt;AZ8*#REF!</formula>
    </cfRule>
  </conditionalFormatting>
  <conditionalFormatting sqref="AX9">
    <cfRule type="expression" dxfId="4485" priority="9649">
      <formula>AX9&lt;AZ9*#REF!</formula>
    </cfRule>
    <cfRule type="expression" dxfId="4484" priority="9650">
      <formula>AX9&gt;AZ9*#REF!</formula>
    </cfRule>
  </conditionalFormatting>
  <conditionalFormatting sqref="AX20">
    <cfRule type="expression" dxfId="4483" priority="9647">
      <formula>AX20&lt;AZ20*#REF!</formula>
    </cfRule>
    <cfRule type="expression" dxfId="4482" priority="9648">
      <formula>AX20&gt;AZ20*#REF!</formula>
    </cfRule>
  </conditionalFormatting>
  <conditionalFormatting sqref="AX10">
    <cfRule type="expression" dxfId="4481" priority="9645">
      <formula>AX10&gt;AZ10+#REF!</formula>
    </cfRule>
    <cfRule type="expression" dxfId="4480" priority="9646">
      <formula>AX10&lt;AZ10-#REF!</formula>
    </cfRule>
  </conditionalFormatting>
  <conditionalFormatting sqref="AX11">
    <cfRule type="expression" dxfId="4479" priority="9643">
      <formula>AX11&gt;AZ11+#REF!</formula>
    </cfRule>
    <cfRule type="expression" dxfId="4478" priority="9644">
      <formula>AX11&lt;AZ11-#REF!</formula>
    </cfRule>
  </conditionalFormatting>
  <conditionalFormatting sqref="AX12">
    <cfRule type="expression" dxfId="4477" priority="9641">
      <formula>AX12&gt;AZ12+#REF!</formula>
    </cfRule>
    <cfRule type="expression" dxfId="4476" priority="9642">
      <formula>AX12&lt;AZ12-#REF!</formula>
    </cfRule>
  </conditionalFormatting>
  <conditionalFormatting sqref="AX13">
    <cfRule type="expression" dxfId="4475" priority="9639">
      <formula>AX13&gt;AZ13+#REF!</formula>
    </cfRule>
    <cfRule type="expression" dxfId="4474" priority="9640">
      <formula>AX13&lt;AZ13-#REF!</formula>
    </cfRule>
  </conditionalFormatting>
  <conditionalFormatting sqref="AX14">
    <cfRule type="expression" dxfId="4473" priority="9637">
      <formula>AX14&gt;AZ14+#REF!</formula>
    </cfRule>
    <cfRule type="expression" dxfId="4472" priority="9638">
      <formula>AX14&lt;AZ14-#REF!</formula>
    </cfRule>
  </conditionalFormatting>
  <conditionalFormatting sqref="AX15">
    <cfRule type="expression" dxfId="4471" priority="9635">
      <formula>AX15&gt;AZ15+#REF!</formula>
    </cfRule>
    <cfRule type="expression" dxfId="4470" priority="9636">
      <formula>AX15&lt;AZ15-#REF!</formula>
    </cfRule>
  </conditionalFormatting>
  <conditionalFormatting sqref="AX16">
    <cfRule type="expression" dxfId="4469" priority="9633">
      <formula>AX16&gt;AZ16+#REF!</formula>
    </cfRule>
    <cfRule type="expression" dxfId="4468" priority="9634">
      <formula>AX16&lt;AZ16-#REF!</formula>
    </cfRule>
  </conditionalFormatting>
  <conditionalFormatting sqref="AX17:AX18">
    <cfRule type="expression" dxfId="4467" priority="9631">
      <formula>AX17&gt;AZ17+#REF!</formula>
    </cfRule>
    <cfRule type="expression" dxfId="4466" priority="9632">
      <formula>AX17&lt;AZ17-#REF!</formula>
    </cfRule>
  </conditionalFormatting>
  <conditionalFormatting sqref="AX19">
    <cfRule type="expression" dxfId="4465" priority="9629">
      <formula>AX19&gt;AZ19+#REF!</formula>
    </cfRule>
    <cfRule type="expression" dxfId="4464" priority="9630">
      <formula>AX19&lt;AZ19-#REF!</formula>
    </cfRule>
  </conditionalFormatting>
  <conditionalFormatting sqref="J8:J9">
    <cfRule type="expression" dxfId="4463" priority="7355">
      <formula>J8&lt;L8*#REF!</formula>
    </cfRule>
    <cfRule type="expression" dxfId="4462" priority="7356">
      <formula>J8&gt;L8*#REF!</formula>
    </cfRule>
  </conditionalFormatting>
  <conditionalFormatting sqref="J9">
    <cfRule type="expression" dxfId="4461" priority="7353">
      <formula>J9&lt;L9*#REF!</formula>
    </cfRule>
    <cfRule type="expression" dxfId="4460" priority="7354">
      <formula>J9&gt;L9*#REF!</formula>
    </cfRule>
  </conditionalFormatting>
  <conditionalFormatting sqref="J20">
    <cfRule type="expression" dxfId="4459" priority="7351">
      <formula>J20&lt;L20*#REF!</formula>
    </cfRule>
    <cfRule type="expression" dxfId="4458" priority="7352">
      <formula>J20&gt;L20*#REF!</formula>
    </cfRule>
  </conditionalFormatting>
  <conditionalFormatting sqref="J10">
    <cfRule type="expression" dxfId="4457" priority="7349">
      <formula>J10&gt;L10+#REF!</formula>
    </cfRule>
    <cfRule type="expression" dxfId="4456" priority="7350">
      <formula>J10&lt;L10-#REF!</formula>
    </cfRule>
  </conditionalFormatting>
  <conditionalFormatting sqref="J11">
    <cfRule type="expression" dxfId="4455" priority="7347">
      <formula>J11&gt;L11+#REF!</formula>
    </cfRule>
    <cfRule type="expression" dxfId="4454" priority="7348">
      <formula>J11&lt;L11-#REF!</formula>
    </cfRule>
  </conditionalFormatting>
  <conditionalFormatting sqref="J12">
    <cfRule type="expression" dxfId="4453" priority="7345">
      <formula>J12&gt;L12+#REF!</formula>
    </cfRule>
    <cfRule type="expression" dxfId="4452" priority="7346">
      <formula>J12&lt;L12-#REF!</formula>
    </cfRule>
  </conditionalFormatting>
  <conditionalFormatting sqref="J13">
    <cfRule type="expression" dxfId="4451" priority="7343">
      <formula>J13&gt;L13+#REF!</formula>
    </cfRule>
    <cfRule type="expression" dxfId="4450" priority="7344">
      <formula>J13&lt;L13-#REF!</formula>
    </cfRule>
  </conditionalFormatting>
  <conditionalFormatting sqref="J14">
    <cfRule type="expression" dxfId="4449" priority="7341">
      <formula>J14&gt;L14+#REF!</formula>
    </cfRule>
    <cfRule type="expression" dxfId="4448" priority="7342">
      <formula>J14&lt;L14-#REF!</formula>
    </cfRule>
  </conditionalFormatting>
  <conditionalFormatting sqref="J15">
    <cfRule type="expression" dxfId="4447" priority="7339">
      <formula>J15&gt;L15+#REF!</formula>
    </cfRule>
    <cfRule type="expression" dxfId="4446" priority="7340">
      <formula>J15&lt;L15-#REF!</formula>
    </cfRule>
  </conditionalFormatting>
  <conditionalFormatting sqref="J16">
    <cfRule type="expression" dxfId="4445" priority="7337">
      <formula>J16&gt;L16+#REF!</formula>
    </cfRule>
    <cfRule type="expression" dxfId="4444" priority="7338">
      <formula>J16&lt;L16-#REF!</formula>
    </cfRule>
  </conditionalFormatting>
  <conditionalFormatting sqref="J17:J18">
    <cfRule type="expression" dxfId="4443" priority="7335">
      <formula>J17&gt;L17+#REF!</formula>
    </cfRule>
    <cfRule type="expression" dxfId="4442" priority="7336">
      <formula>J17&lt;L17-#REF!</formula>
    </cfRule>
  </conditionalFormatting>
  <conditionalFormatting sqref="J19">
    <cfRule type="expression" dxfId="4441" priority="7333">
      <formula>J19&gt;L19+#REF!</formula>
    </cfRule>
    <cfRule type="expression" dxfId="4440" priority="7334">
      <formula>J19&lt;L19-#REF!</formula>
    </cfRule>
  </conditionalFormatting>
  <conditionalFormatting sqref="F8">
    <cfRule type="expression" dxfId="4439" priority="7763">
      <formula>F8&lt;H8*#REF!</formula>
    </cfRule>
    <cfRule type="expression" dxfId="4438" priority="7764">
      <formula>F8&gt;H8*#REF!</formula>
    </cfRule>
  </conditionalFormatting>
  <conditionalFormatting sqref="F9">
    <cfRule type="expression" dxfId="4437" priority="7761">
      <formula>F9&lt;H9*#REF!</formula>
    </cfRule>
    <cfRule type="expression" dxfId="4436" priority="7762">
      <formula>F9&gt;H9*#REF!</formula>
    </cfRule>
  </conditionalFormatting>
  <conditionalFormatting sqref="F20">
    <cfRule type="expression" dxfId="4435" priority="7759">
      <formula>F20&lt;H20*#REF!</formula>
    </cfRule>
    <cfRule type="expression" dxfId="4434" priority="7760">
      <formula>F20&gt;H20*#REF!</formula>
    </cfRule>
  </conditionalFormatting>
  <conditionalFormatting sqref="F10">
    <cfRule type="expression" dxfId="4433" priority="7757">
      <formula>F10&gt;H10+#REF!</formula>
    </cfRule>
    <cfRule type="expression" dxfId="4432" priority="7758">
      <formula>F10&lt;H10-#REF!</formula>
    </cfRule>
  </conditionalFormatting>
  <conditionalFormatting sqref="F11">
    <cfRule type="expression" dxfId="4431" priority="7755">
      <formula>F11&gt;H11+#REF!</formula>
    </cfRule>
    <cfRule type="expression" dxfId="4430" priority="7756">
      <formula>F11&lt;H11-#REF!</formula>
    </cfRule>
  </conditionalFormatting>
  <conditionalFormatting sqref="F12">
    <cfRule type="expression" dxfId="4429" priority="7753">
      <formula>F12&gt;H12+#REF!</formula>
    </cfRule>
    <cfRule type="expression" dxfId="4428" priority="7754">
      <formula>F12&lt;H12-#REF!</formula>
    </cfRule>
  </conditionalFormatting>
  <conditionalFormatting sqref="F13">
    <cfRule type="expression" dxfId="4427" priority="7751">
      <formula>F13&gt;H13+#REF!</formula>
    </cfRule>
    <cfRule type="expression" dxfId="4426" priority="7752">
      <formula>F13&lt;H13-#REF!</formula>
    </cfRule>
  </conditionalFormatting>
  <conditionalFormatting sqref="F14">
    <cfRule type="expression" dxfId="4425" priority="7749">
      <formula>F14&gt;H14+#REF!</formula>
    </cfRule>
    <cfRule type="expression" dxfId="4424" priority="7750">
      <formula>F14&lt;H14-#REF!</formula>
    </cfRule>
  </conditionalFormatting>
  <conditionalFormatting sqref="F15">
    <cfRule type="expression" dxfId="4423" priority="7747">
      <formula>F15&gt;H15+#REF!</formula>
    </cfRule>
    <cfRule type="expression" dxfId="4422" priority="7748">
      <formula>F15&lt;H15-#REF!</formula>
    </cfRule>
  </conditionalFormatting>
  <conditionalFormatting sqref="F16">
    <cfRule type="expression" dxfId="4421" priority="7745">
      <formula>F16&gt;H16+#REF!</formula>
    </cfRule>
    <cfRule type="expression" dxfId="4420" priority="7746">
      <formula>F16&lt;H16-#REF!</formula>
    </cfRule>
  </conditionalFormatting>
  <conditionalFormatting sqref="F17:F18">
    <cfRule type="expression" dxfId="4419" priority="7743">
      <formula>F17&gt;H17+#REF!</formula>
    </cfRule>
    <cfRule type="expression" dxfId="4418" priority="7744">
      <formula>F17&lt;H17-#REF!</formula>
    </cfRule>
  </conditionalFormatting>
  <conditionalFormatting sqref="F19">
    <cfRule type="expression" dxfId="4417" priority="7741">
      <formula>F19&gt;H19+#REF!</formula>
    </cfRule>
    <cfRule type="expression" dxfId="4416" priority="7742">
      <formula>F19&lt;H19-#REF!</formula>
    </cfRule>
  </conditionalFormatting>
  <conditionalFormatting sqref="BF8">
    <cfRule type="expression" dxfId="4415" priority="6559">
      <formula>BF8&lt;BH8*#REF!</formula>
    </cfRule>
    <cfRule type="expression" dxfId="4414" priority="6560">
      <formula>BF8&gt;BH8*#REF!</formula>
    </cfRule>
  </conditionalFormatting>
  <conditionalFormatting sqref="BF9">
    <cfRule type="expression" dxfId="4413" priority="6557">
      <formula>BF9&lt;BH9*#REF!</formula>
    </cfRule>
    <cfRule type="expression" dxfId="4412" priority="6558">
      <formula>BF9&gt;BH9*#REF!</formula>
    </cfRule>
  </conditionalFormatting>
  <conditionalFormatting sqref="BF20">
    <cfRule type="expression" dxfId="4411" priority="6555">
      <formula>BF20&lt;BH20*#REF!</formula>
    </cfRule>
    <cfRule type="expression" dxfId="4410" priority="6556">
      <formula>BF20&gt;BH20*#REF!</formula>
    </cfRule>
  </conditionalFormatting>
  <conditionalFormatting sqref="BF10">
    <cfRule type="expression" dxfId="4409" priority="6553">
      <formula>BF10&gt;BH10+#REF!</formula>
    </cfRule>
    <cfRule type="expression" dxfId="4408" priority="6554">
      <formula>BF10&lt;BH10-#REF!</formula>
    </cfRule>
  </conditionalFormatting>
  <conditionalFormatting sqref="BF11">
    <cfRule type="expression" dxfId="4407" priority="6551">
      <formula>BF11&gt;BH11+#REF!</formula>
    </cfRule>
    <cfRule type="expression" dxfId="4406" priority="6552">
      <formula>BF11&lt;BH11-#REF!</formula>
    </cfRule>
  </conditionalFormatting>
  <conditionalFormatting sqref="BF12">
    <cfRule type="expression" dxfId="4405" priority="6549">
      <formula>BF12&gt;BH12+#REF!</formula>
    </cfRule>
    <cfRule type="expression" dxfId="4404" priority="6550">
      <formula>BF12&lt;BH12-#REF!</formula>
    </cfRule>
  </conditionalFormatting>
  <conditionalFormatting sqref="BF13">
    <cfRule type="expression" dxfId="4403" priority="6547">
      <formula>BF13&gt;BH13+#REF!</formula>
    </cfRule>
    <cfRule type="expression" dxfId="4402" priority="6548">
      <formula>BF13&lt;BH13-#REF!</formula>
    </cfRule>
  </conditionalFormatting>
  <conditionalFormatting sqref="BF14">
    <cfRule type="expression" dxfId="4401" priority="6545">
      <formula>BF14&gt;BH14+#REF!</formula>
    </cfRule>
    <cfRule type="expression" dxfId="4400" priority="6546">
      <formula>BF14&lt;BH14-#REF!</formula>
    </cfRule>
  </conditionalFormatting>
  <conditionalFormatting sqref="BF15">
    <cfRule type="expression" dxfId="4399" priority="6543">
      <formula>BF15&gt;BH15+#REF!</formula>
    </cfRule>
    <cfRule type="expression" dxfId="4398" priority="6544">
      <formula>BF15&lt;BH15-#REF!</formula>
    </cfRule>
  </conditionalFormatting>
  <conditionalFormatting sqref="BF16">
    <cfRule type="expression" dxfId="4397" priority="6541">
      <formula>BF16&gt;BH16+#REF!</formula>
    </cfRule>
    <cfRule type="expression" dxfId="4396" priority="6542">
      <formula>BF16&lt;BH16-#REF!</formula>
    </cfRule>
  </conditionalFormatting>
  <conditionalFormatting sqref="BF17:BF18">
    <cfRule type="expression" dxfId="4395" priority="6539">
      <formula>BF17&gt;BH17+#REF!</formula>
    </cfRule>
    <cfRule type="expression" dxfId="4394" priority="6540">
      <formula>BF17&lt;BH17-#REF!</formula>
    </cfRule>
  </conditionalFormatting>
  <conditionalFormatting sqref="BF19">
    <cfRule type="expression" dxfId="4393" priority="6537">
      <formula>BF19&gt;BH19+#REF!</formula>
    </cfRule>
    <cfRule type="expression" dxfId="4392" priority="6538">
      <formula>BF19&lt;BH19-#REF!</formula>
    </cfRule>
  </conditionalFormatting>
  <conditionalFormatting sqref="BN8">
    <cfRule type="expression" dxfId="4391" priority="6091">
      <formula>BN8&lt;BP8*#REF!</formula>
    </cfRule>
    <cfRule type="expression" dxfId="4390" priority="6092">
      <formula>BN8&gt;BP8*#REF!</formula>
    </cfRule>
  </conditionalFormatting>
  <conditionalFormatting sqref="BN9">
    <cfRule type="expression" dxfId="4389" priority="6089">
      <formula>BN9&lt;BP9*#REF!</formula>
    </cfRule>
    <cfRule type="expression" dxfId="4388" priority="6090">
      <formula>BN9&gt;BP9*#REF!</formula>
    </cfRule>
  </conditionalFormatting>
  <conditionalFormatting sqref="BN20">
    <cfRule type="expression" dxfId="4387" priority="6087">
      <formula>BN20&lt;BP20*#REF!</formula>
    </cfRule>
    <cfRule type="expression" dxfId="4386" priority="6088">
      <formula>BN20&gt;BP20*#REF!</formula>
    </cfRule>
  </conditionalFormatting>
  <conditionalFormatting sqref="BN10">
    <cfRule type="expression" dxfId="4385" priority="6085">
      <formula>BN10&gt;BP10+#REF!</formula>
    </cfRule>
    <cfRule type="expression" dxfId="4384" priority="6086">
      <formula>BN10&lt;BP10-#REF!</formula>
    </cfRule>
  </conditionalFormatting>
  <conditionalFormatting sqref="BN11">
    <cfRule type="expression" dxfId="4383" priority="6083">
      <formula>BN11&gt;BP11+#REF!</formula>
    </cfRule>
    <cfRule type="expression" dxfId="4382" priority="6084">
      <formula>BN11&lt;BP11-#REF!</formula>
    </cfRule>
  </conditionalFormatting>
  <conditionalFormatting sqref="BN12">
    <cfRule type="expression" dxfId="4381" priority="6081">
      <formula>BN12&gt;BP12+#REF!</formula>
    </cfRule>
    <cfRule type="expression" dxfId="4380" priority="6082">
      <formula>BN12&lt;BP12-#REF!</formula>
    </cfRule>
  </conditionalFormatting>
  <conditionalFormatting sqref="BN13">
    <cfRule type="expression" dxfId="4379" priority="6079">
      <formula>BN13&gt;BP13+#REF!</formula>
    </cfRule>
    <cfRule type="expression" dxfId="4378" priority="6080">
      <formula>BN13&lt;BP13-#REF!</formula>
    </cfRule>
  </conditionalFormatting>
  <conditionalFormatting sqref="BN14">
    <cfRule type="expression" dxfId="4377" priority="6077">
      <formula>BN14&gt;BP14+#REF!</formula>
    </cfRule>
    <cfRule type="expression" dxfId="4376" priority="6078">
      <formula>BN14&lt;BP14-#REF!</formula>
    </cfRule>
  </conditionalFormatting>
  <conditionalFormatting sqref="BN15">
    <cfRule type="expression" dxfId="4375" priority="6075">
      <formula>BN15&gt;BP15+#REF!</formula>
    </cfRule>
    <cfRule type="expression" dxfId="4374" priority="6076">
      <formula>BN15&lt;BP15-#REF!</formula>
    </cfRule>
  </conditionalFormatting>
  <conditionalFormatting sqref="BN16">
    <cfRule type="expression" dxfId="4373" priority="6073">
      <formula>BN16&gt;BP16+#REF!</formula>
    </cfRule>
    <cfRule type="expression" dxfId="4372" priority="6074">
      <formula>BN16&lt;BP16-#REF!</formula>
    </cfRule>
  </conditionalFormatting>
  <conditionalFormatting sqref="BN17:BN18">
    <cfRule type="expression" dxfId="4371" priority="6071">
      <formula>BN17&gt;BP17+#REF!</formula>
    </cfRule>
    <cfRule type="expression" dxfId="4370" priority="6072">
      <formula>BN17&lt;BP17-#REF!</formula>
    </cfRule>
  </conditionalFormatting>
  <conditionalFormatting sqref="BN19">
    <cfRule type="expression" dxfId="4369" priority="6069">
      <formula>BN19&gt;BP19+#REF!</formula>
    </cfRule>
    <cfRule type="expression" dxfId="4368" priority="6070">
      <formula>BN19&lt;BP19-#REF!</formula>
    </cfRule>
  </conditionalFormatting>
  <conditionalFormatting sqref="BR8">
    <cfRule type="expression" dxfId="4367" priority="6067">
      <formula>BR8&lt;BT8*#REF!</formula>
    </cfRule>
    <cfRule type="expression" dxfId="4366" priority="6068">
      <formula>BR8&gt;BT8*#REF!</formula>
    </cfRule>
  </conditionalFormatting>
  <conditionalFormatting sqref="BR9">
    <cfRule type="expression" dxfId="4365" priority="6065">
      <formula>BR9&lt;BT9*#REF!</formula>
    </cfRule>
    <cfRule type="expression" dxfId="4364" priority="6066">
      <formula>BR9&gt;BT9*#REF!</formula>
    </cfRule>
  </conditionalFormatting>
  <conditionalFormatting sqref="BR20">
    <cfRule type="expression" dxfId="4363" priority="6063">
      <formula>BR20&lt;BT20*#REF!</formula>
    </cfRule>
    <cfRule type="expression" dxfId="4362" priority="6064">
      <formula>BR20&gt;BT20*#REF!</formula>
    </cfRule>
  </conditionalFormatting>
  <conditionalFormatting sqref="BR10">
    <cfRule type="expression" dxfId="4361" priority="6061">
      <formula>BR10&gt;BT10+#REF!</formula>
    </cfRule>
    <cfRule type="expression" dxfId="4360" priority="6062">
      <formula>BR10&lt;BT10-#REF!</formula>
    </cfRule>
  </conditionalFormatting>
  <conditionalFormatting sqref="BR11">
    <cfRule type="expression" dxfId="4359" priority="6059">
      <formula>BR11&gt;BT11+#REF!</formula>
    </cfRule>
    <cfRule type="expression" dxfId="4358" priority="6060">
      <formula>BR11&lt;BT11-#REF!</formula>
    </cfRule>
  </conditionalFormatting>
  <conditionalFormatting sqref="BR12">
    <cfRule type="expression" dxfId="4357" priority="6057">
      <formula>BR12&gt;BT12+#REF!</formula>
    </cfRule>
    <cfRule type="expression" dxfId="4356" priority="6058">
      <formula>BR12&lt;BT12-#REF!</formula>
    </cfRule>
  </conditionalFormatting>
  <conditionalFormatting sqref="BR13">
    <cfRule type="expression" dxfId="4355" priority="6055">
      <formula>BR13&gt;BT13+#REF!</formula>
    </cfRule>
    <cfRule type="expression" dxfId="4354" priority="6056">
      <formula>BR13&lt;BT13-#REF!</formula>
    </cfRule>
  </conditionalFormatting>
  <conditionalFormatting sqref="BR14">
    <cfRule type="expression" dxfId="4353" priority="6053">
      <formula>BR14&gt;BT14+#REF!</formula>
    </cfRule>
    <cfRule type="expression" dxfId="4352" priority="6054">
      <formula>BR14&lt;BT14-#REF!</formula>
    </cfRule>
  </conditionalFormatting>
  <conditionalFormatting sqref="BR15">
    <cfRule type="expression" dxfId="4351" priority="6051">
      <formula>BR15&gt;BT15+#REF!</formula>
    </cfRule>
    <cfRule type="expression" dxfId="4350" priority="6052">
      <formula>BR15&lt;BT15-#REF!</formula>
    </cfRule>
  </conditionalFormatting>
  <conditionalFormatting sqref="BR16">
    <cfRule type="expression" dxfId="4349" priority="6049">
      <formula>BR16&gt;BT16+#REF!</formula>
    </cfRule>
    <cfRule type="expression" dxfId="4348" priority="6050">
      <formula>BR16&lt;BT16-#REF!</formula>
    </cfRule>
  </conditionalFormatting>
  <conditionalFormatting sqref="BR17:BR18">
    <cfRule type="expression" dxfId="4347" priority="6047">
      <formula>BR17&gt;BT17+#REF!</formula>
    </cfRule>
    <cfRule type="expression" dxfId="4346" priority="6048">
      <formula>BR17&lt;BT17-#REF!</formula>
    </cfRule>
  </conditionalFormatting>
  <conditionalFormatting sqref="BR19">
    <cfRule type="expression" dxfId="4345" priority="6045">
      <formula>BR19&gt;BT19+#REF!</formula>
    </cfRule>
    <cfRule type="expression" dxfId="4344" priority="6046">
      <formula>BR19&lt;BT19-#REF!</formula>
    </cfRule>
  </conditionalFormatting>
  <conditionalFormatting sqref="BV8">
    <cfRule type="expression" dxfId="4343" priority="6043">
      <formula>BV8&lt;BX8*#REF!</formula>
    </cfRule>
    <cfRule type="expression" dxfId="4342" priority="6044">
      <formula>BV8&gt;BX8*#REF!</formula>
    </cfRule>
  </conditionalFormatting>
  <conditionalFormatting sqref="BV9">
    <cfRule type="expression" dxfId="4341" priority="6041">
      <formula>BV9&lt;BX9*#REF!</formula>
    </cfRule>
    <cfRule type="expression" dxfId="4340" priority="6042">
      <formula>BV9&gt;BX9*#REF!</formula>
    </cfRule>
  </conditionalFormatting>
  <conditionalFormatting sqref="BV20">
    <cfRule type="expression" dxfId="4339" priority="6039">
      <formula>BV20&lt;BX20*#REF!</formula>
    </cfRule>
    <cfRule type="expression" dxfId="4338" priority="6040">
      <formula>BV20&gt;BX20*#REF!</formula>
    </cfRule>
  </conditionalFormatting>
  <conditionalFormatting sqref="BV10">
    <cfRule type="expression" dxfId="4337" priority="6037">
      <formula>BV10&gt;BX10+#REF!</formula>
    </cfRule>
    <cfRule type="expression" dxfId="4336" priority="6038">
      <formula>BV10&lt;BX10-#REF!</formula>
    </cfRule>
  </conditionalFormatting>
  <conditionalFormatting sqref="BV11">
    <cfRule type="expression" dxfId="4335" priority="6035">
      <formula>BV11&gt;BX11+#REF!</formula>
    </cfRule>
    <cfRule type="expression" dxfId="4334" priority="6036">
      <formula>BV11&lt;BX11-#REF!</formula>
    </cfRule>
  </conditionalFormatting>
  <conditionalFormatting sqref="BV12">
    <cfRule type="expression" dxfId="4333" priority="6033">
      <formula>BV12&gt;BX12+#REF!</formula>
    </cfRule>
    <cfRule type="expression" dxfId="4332" priority="6034">
      <formula>BV12&lt;BX12-#REF!</formula>
    </cfRule>
  </conditionalFormatting>
  <conditionalFormatting sqref="BV13">
    <cfRule type="expression" dxfId="4331" priority="6031">
      <formula>BV13&gt;BX13+#REF!</formula>
    </cfRule>
    <cfRule type="expression" dxfId="4330" priority="6032">
      <formula>BV13&lt;BX13-#REF!</formula>
    </cfRule>
  </conditionalFormatting>
  <conditionalFormatting sqref="BV14">
    <cfRule type="expression" dxfId="4329" priority="6029">
      <formula>BV14&gt;BX14+#REF!</formula>
    </cfRule>
    <cfRule type="expression" dxfId="4328" priority="6030">
      <formula>BV14&lt;BX14-#REF!</formula>
    </cfRule>
  </conditionalFormatting>
  <conditionalFormatting sqref="BV15">
    <cfRule type="expression" dxfId="4327" priority="6027">
      <formula>BV15&gt;BX15+#REF!</formula>
    </cfRule>
    <cfRule type="expression" dxfId="4326" priority="6028">
      <formula>BV15&lt;BX15-#REF!</formula>
    </cfRule>
  </conditionalFormatting>
  <conditionalFormatting sqref="BV16">
    <cfRule type="expression" dxfId="4325" priority="6025">
      <formula>BV16&gt;BX16+#REF!</formula>
    </cfRule>
    <cfRule type="expression" dxfId="4324" priority="6026">
      <formula>BV16&lt;BX16-#REF!</formula>
    </cfRule>
  </conditionalFormatting>
  <conditionalFormatting sqref="BV17:BV18">
    <cfRule type="expression" dxfId="4323" priority="6023">
      <formula>BV17&gt;BX17+#REF!</formula>
    </cfRule>
    <cfRule type="expression" dxfId="4322" priority="6024">
      <formula>BV17&lt;BX17-#REF!</formula>
    </cfRule>
  </conditionalFormatting>
  <conditionalFormatting sqref="BV19">
    <cfRule type="expression" dxfId="4321" priority="6021">
      <formula>BV19&gt;BX19+#REF!</formula>
    </cfRule>
    <cfRule type="expression" dxfId="4320" priority="6022">
      <formula>BV19&lt;BX19-#REF!</formula>
    </cfRule>
  </conditionalFormatting>
  <conditionalFormatting sqref="CD8">
    <cfRule type="expression" dxfId="4319" priority="6019">
      <formula>CD8&lt;CF8*#REF!</formula>
    </cfRule>
    <cfRule type="expression" dxfId="4318" priority="6020">
      <formula>CD8&gt;CF8*#REF!</formula>
    </cfRule>
  </conditionalFormatting>
  <conditionalFormatting sqref="CD9">
    <cfRule type="expression" dxfId="4317" priority="6017">
      <formula>CD9&lt;CF9*#REF!</formula>
    </cfRule>
    <cfRule type="expression" dxfId="4316" priority="6018">
      <formula>CD9&gt;CF9*#REF!</formula>
    </cfRule>
  </conditionalFormatting>
  <conditionalFormatting sqref="CD20">
    <cfRule type="expression" dxfId="4315" priority="6015">
      <formula>CD20&lt;CF20*#REF!</formula>
    </cfRule>
    <cfRule type="expression" dxfId="4314" priority="6016">
      <formula>CD20&gt;CF20*#REF!</formula>
    </cfRule>
  </conditionalFormatting>
  <conditionalFormatting sqref="CD13">
    <cfRule type="expression" dxfId="4313" priority="6013">
      <formula>CD13&gt;CF13+#REF!</formula>
    </cfRule>
    <cfRule type="expression" dxfId="4312" priority="6014">
      <formula>CD13&lt;CF13-#REF!</formula>
    </cfRule>
  </conditionalFormatting>
  <conditionalFormatting sqref="CD14">
    <cfRule type="expression" dxfId="4311" priority="6011">
      <formula>CD14&gt;CF14+#REF!</formula>
    </cfRule>
    <cfRule type="expression" dxfId="4310" priority="6012">
      <formula>CD14&lt;CF14-#REF!</formula>
    </cfRule>
  </conditionalFormatting>
  <conditionalFormatting sqref="CD15">
    <cfRule type="expression" dxfId="4309" priority="6009">
      <formula>CD15&gt;CF15+#REF!</formula>
    </cfRule>
    <cfRule type="expression" dxfId="4308" priority="6010">
      <formula>CD15&lt;CF15-#REF!</formula>
    </cfRule>
  </conditionalFormatting>
  <conditionalFormatting sqref="CD16">
    <cfRule type="expression" dxfId="4307" priority="6007">
      <formula>CD16&gt;CF16+#REF!</formula>
    </cfRule>
    <cfRule type="expression" dxfId="4306" priority="6008">
      <formula>CD16&lt;CF16-#REF!</formula>
    </cfRule>
  </conditionalFormatting>
  <conditionalFormatting sqref="CD17:CD18">
    <cfRule type="expression" dxfId="4305" priority="6005">
      <formula>CD17&gt;CF17+#REF!</formula>
    </cfRule>
    <cfRule type="expression" dxfId="4304" priority="6006">
      <formula>CD17&lt;CF17-#REF!</formula>
    </cfRule>
  </conditionalFormatting>
  <conditionalFormatting sqref="CD19">
    <cfRule type="expression" dxfId="4303" priority="6003">
      <formula>CD19&gt;CF19+#REF!</formula>
    </cfRule>
    <cfRule type="expression" dxfId="4302" priority="6004">
      <formula>CD19&lt;CF19-#REF!</formula>
    </cfRule>
  </conditionalFormatting>
  <conditionalFormatting sqref="CH8">
    <cfRule type="expression" dxfId="4301" priority="6001">
      <formula>CH8&lt;CJ8*#REF!</formula>
    </cfRule>
    <cfRule type="expression" dxfId="4300" priority="6002">
      <formula>CH8&gt;CJ8*#REF!</formula>
    </cfRule>
  </conditionalFormatting>
  <conditionalFormatting sqref="CH9">
    <cfRule type="expression" dxfId="4299" priority="5999">
      <formula>CH9&lt;CJ9*#REF!</formula>
    </cfRule>
    <cfRule type="expression" dxfId="4298" priority="6000">
      <formula>CH9&gt;CJ9*#REF!</formula>
    </cfRule>
  </conditionalFormatting>
  <conditionalFormatting sqref="CH20">
    <cfRule type="expression" dxfId="4297" priority="5997">
      <formula>CH20&lt;CJ20*#REF!</formula>
    </cfRule>
    <cfRule type="expression" dxfId="4296" priority="5998">
      <formula>CH20&gt;CJ20*#REF!</formula>
    </cfRule>
  </conditionalFormatting>
  <conditionalFormatting sqref="CH10">
    <cfRule type="expression" dxfId="4295" priority="5995">
      <formula>CH10&gt;CJ10+#REF!</formula>
    </cfRule>
    <cfRule type="expression" dxfId="4294" priority="5996">
      <formula>CH10&lt;CJ10-#REF!</formula>
    </cfRule>
  </conditionalFormatting>
  <conditionalFormatting sqref="CH11">
    <cfRule type="expression" dxfId="4293" priority="5993">
      <formula>CH11&gt;CJ11+#REF!</formula>
    </cfRule>
    <cfRule type="expression" dxfId="4292" priority="5994">
      <formula>CH11&lt;CJ11-#REF!</formula>
    </cfRule>
  </conditionalFormatting>
  <conditionalFormatting sqref="CH12">
    <cfRule type="expression" dxfId="4291" priority="5991">
      <formula>CH12&gt;CJ12+#REF!</formula>
    </cfRule>
    <cfRule type="expression" dxfId="4290" priority="5992">
      <formula>CH12&lt;CJ12-#REF!</formula>
    </cfRule>
  </conditionalFormatting>
  <conditionalFormatting sqref="CH13">
    <cfRule type="expression" dxfId="4289" priority="5989">
      <formula>CH13&gt;CJ13+#REF!</formula>
    </cfRule>
    <cfRule type="expression" dxfId="4288" priority="5990">
      <formula>CH13&lt;CJ13-#REF!</formula>
    </cfRule>
  </conditionalFormatting>
  <conditionalFormatting sqref="CH14">
    <cfRule type="expression" dxfId="4287" priority="5987">
      <formula>CH14&gt;CJ14+#REF!</formula>
    </cfRule>
    <cfRule type="expression" dxfId="4286" priority="5988">
      <formula>CH14&lt;CJ14-#REF!</formula>
    </cfRule>
  </conditionalFormatting>
  <conditionalFormatting sqref="CH15">
    <cfRule type="expression" dxfId="4285" priority="5985">
      <formula>CH15&gt;CJ15+#REF!</formula>
    </cfRule>
    <cfRule type="expression" dxfId="4284" priority="5986">
      <formula>CH15&lt;CJ15-#REF!</formula>
    </cfRule>
  </conditionalFormatting>
  <conditionalFormatting sqref="CH16">
    <cfRule type="expression" dxfId="4283" priority="5983">
      <formula>CH16&gt;CJ16+#REF!</formula>
    </cfRule>
    <cfRule type="expression" dxfId="4282" priority="5984">
      <formula>CH16&lt;CJ16-#REF!</formula>
    </cfRule>
  </conditionalFormatting>
  <conditionalFormatting sqref="CH17:CH18">
    <cfRule type="expression" dxfId="4281" priority="5981">
      <formula>CH17&gt;CJ17+#REF!</formula>
    </cfRule>
    <cfRule type="expression" dxfId="4280" priority="5982">
      <formula>CH17&lt;CJ17-#REF!</formula>
    </cfRule>
  </conditionalFormatting>
  <conditionalFormatting sqref="CH19">
    <cfRule type="expression" dxfId="4279" priority="5979">
      <formula>CH19&gt;CJ19+#REF!</formula>
    </cfRule>
    <cfRule type="expression" dxfId="4278" priority="5980">
      <formula>CH19&lt;CJ19-#REF!</formula>
    </cfRule>
  </conditionalFormatting>
  <conditionalFormatting sqref="BJ8">
    <cfRule type="expression" dxfId="4277" priority="4113">
      <formula>BJ8&lt;BL8*#REF!</formula>
    </cfRule>
    <cfRule type="expression" dxfId="4276" priority="4114">
      <formula>BJ8&gt;BL8*#REF!</formula>
    </cfRule>
  </conditionalFormatting>
  <conditionalFormatting sqref="BJ9">
    <cfRule type="expression" dxfId="4275" priority="4111">
      <formula>BJ9&lt;BL9*#REF!</formula>
    </cfRule>
    <cfRule type="expression" dxfId="4274" priority="4112">
      <formula>BJ9&gt;BL9*#REF!</formula>
    </cfRule>
  </conditionalFormatting>
  <conditionalFormatting sqref="BJ20">
    <cfRule type="expression" dxfId="4273" priority="4109">
      <formula>BJ20&lt;BL20*#REF!</formula>
    </cfRule>
    <cfRule type="expression" dxfId="4272" priority="4110">
      <formula>BJ20&gt;BL20*#REF!</formula>
    </cfRule>
  </conditionalFormatting>
  <conditionalFormatting sqref="BJ10">
    <cfRule type="expression" dxfId="4271" priority="4107">
      <formula>BJ10&gt;BL10+#REF!</formula>
    </cfRule>
    <cfRule type="expression" dxfId="4270" priority="4108">
      <formula>BJ10&lt;BL10-#REF!</formula>
    </cfRule>
  </conditionalFormatting>
  <conditionalFormatting sqref="BJ11">
    <cfRule type="expression" dxfId="4269" priority="4105">
      <formula>BJ11&gt;BL11+#REF!</formula>
    </cfRule>
    <cfRule type="expression" dxfId="4268" priority="4106">
      <formula>BJ11&lt;BL11-#REF!</formula>
    </cfRule>
  </conditionalFormatting>
  <conditionalFormatting sqref="BJ12">
    <cfRule type="expression" dxfId="4267" priority="4103">
      <formula>BJ12&gt;BL12+#REF!</formula>
    </cfRule>
    <cfRule type="expression" dxfId="4266" priority="4104">
      <formula>BJ12&lt;BL12-#REF!</formula>
    </cfRule>
  </conditionalFormatting>
  <conditionalFormatting sqref="BJ13">
    <cfRule type="expression" dxfId="4265" priority="4101">
      <formula>BJ13&gt;BL13+#REF!</formula>
    </cfRule>
    <cfRule type="expression" dxfId="4264" priority="4102">
      <formula>BJ13&lt;BL13-#REF!</formula>
    </cfRule>
  </conditionalFormatting>
  <conditionalFormatting sqref="BJ14">
    <cfRule type="expression" dxfId="4263" priority="4099">
      <formula>BJ14&gt;BL14+#REF!</formula>
    </cfRule>
    <cfRule type="expression" dxfId="4262" priority="4100">
      <formula>BJ14&lt;BL14-#REF!</formula>
    </cfRule>
  </conditionalFormatting>
  <conditionalFormatting sqref="BJ15">
    <cfRule type="expression" dxfId="4261" priority="4097">
      <formula>BJ15&gt;BL15+#REF!</formula>
    </cfRule>
    <cfRule type="expression" dxfId="4260" priority="4098">
      <formula>BJ15&lt;BL15-#REF!</formula>
    </cfRule>
  </conditionalFormatting>
  <conditionalFormatting sqref="BJ16">
    <cfRule type="expression" dxfId="4259" priority="4095">
      <formula>BJ16&gt;BL16+#REF!</formula>
    </cfRule>
    <cfRule type="expression" dxfId="4258" priority="4096">
      <formula>BJ16&lt;BL16-#REF!</formula>
    </cfRule>
  </conditionalFormatting>
  <conditionalFormatting sqref="BJ17:BJ18">
    <cfRule type="expression" dxfId="4257" priority="4093">
      <formula>BJ17&gt;BL17+#REF!</formula>
    </cfRule>
    <cfRule type="expression" dxfId="4256" priority="4094">
      <formula>BJ17&lt;BL17-#REF!</formula>
    </cfRule>
  </conditionalFormatting>
  <conditionalFormatting sqref="BJ19">
    <cfRule type="expression" dxfId="4255" priority="4091">
      <formula>BJ19&gt;BL19+#REF!</formula>
    </cfRule>
    <cfRule type="expression" dxfId="4254" priority="4092">
      <formula>BJ19&lt;BL19-#REF!</formula>
    </cfRule>
  </conditionalFormatting>
  <conditionalFormatting sqref="Z8:Z9">
    <cfRule type="expression" dxfId="4253" priority="3357">
      <formula>Z8&lt;AB8*#REF!</formula>
    </cfRule>
    <cfRule type="expression" dxfId="4252" priority="3358">
      <formula>Z8&gt;AB8*#REF!</formula>
    </cfRule>
  </conditionalFormatting>
  <conditionalFormatting sqref="Z9">
    <cfRule type="expression" dxfId="4251" priority="3355">
      <formula>Z9&lt;AB9*#REF!</formula>
    </cfRule>
    <cfRule type="expression" dxfId="4250" priority="3356">
      <formula>Z9&gt;AB9*#REF!</formula>
    </cfRule>
  </conditionalFormatting>
  <conditionalFormatting sqref="Z10">
    <cfRule type="expression" dxfId="4249" priority="3351">
      <formula>Z10&gt;AB10+#REF!</formula>
    </cfRule>
    <cfRule type="expression" dxfId="4248" priority="3352">
      <formula>Z10&lt;AB10-#REF!</formula>
    </cfRule>
  </conditionalFormatting>
  <conditionalFormatting sqref="Z11">
    <cfRule type="expression" dxfId="4247" priority="3349">
      <formula>Z11&gt;AB11+#REF!</formula>
    </cfRule>
    <cfRule type="expression" dxfId="4246" priority="3350">
      <formula>Z11&lt;AB11-#REF!</formula>
    </cfRule>
  </conditionalFormatting>
  <conditionalFormatting sqref="Z12">
    <cfRule type="expression" dxfId="4245" priority="3347">
      <formula>Z12&gt;AB12+#REF!</formula>
    </cfRule>
    <cfRule type="expression" dxfId="4244" priority="3348">
      <formula>Z12&lt;AB12-#REF!</formula>
    </cfRule>
  </conditionalFormatting>
  <conditionalFormatting sqref="Z13">
    <cfRule type="expression" dxfId="4243" priority="3345">
      <formula>Z13&gt;AB13+#REF!</formula>
    </cfRule>
    <cfRule type="expression" dxfId="4242" priority="3346">
      <formula>Z13&lt;AB13-#REF!</formula>
    </cfRule>
  </conditionalFormatting>
  <conditionalFormatting sqref="Z14">
    <cfRule type="expression" dxfId="4241" priority="3343">
      <formula>Z14&gt;AB14+#REF!</formula>
    </cfRule>
    <cfRule type="expression" dxfId="4240" priority="3344">
      <formula>Z14&lt;AB14-#REF!</formula>
    </cfRule>
  </conditionalFormatting>
  <conditionalFormatting sqref="Z15">
    <cfRule type="expression" dxfId="4239" priority="3341">
      <formula>Z15&gt;AB15+#REF!</formula>
    </cfRule>
    <cfRule type="expression" dxfId="4238" priority="3342">
      <formula>Z15&lt;AB15-#REF!</formula>
    </cfRule>
  </conditionalFormatting>
  <conditionalFormatting sqref="Z16">
    <cfRule type="expression" dxfId="4237" priority="3339">
      <formula>Z16&gt;AB16+#REF!</formula>
    </cfRule>
    <cfRule type="expression" dxfId="4236" priority="3340">
      <formula>Z16&lt;AB16-#REF!</formula>
    </cfRule>
  </conditionalFormatting>
  <conditionalFormatting sqref="Z17:Z18">
    <cfRule type="expression" dxfId="4235" priority="3337">
      <formula>Z17&gt;AB17+#REF!</formula>
    </cfRule>
    <cfRule type="expression" dxfId="4234" priority="3338">
      <formula>Z17&lt;AB17-#REF!</formula>
    </cfRule>
  </conditionalFormatting>
  <conditionalFormatting sqref="Z19">
    <cfRule type="expression" dxfId="4233" priority="3335">
      <formula>Z19&gt;AB19+#REF!</formula>
    </cfRule>
    <cfRule type="expression" dxfId="4232" priority="3336">
      <formula>Z19&lt;AB19-#REF!</formula>
    </cfRule>
  </conditionalFormatting>
  <conditionalFormatting sqref="BZ8">
    <cfRule type="expression" dxfId="4231" priority="2899">
      <formula>BZ8&lt;CB8*#REF!</formula>
    </cfRule>
    <cfRule type="expression" dxfId="4230" priority="2900">
      <formula>BZ8&gt;CB8*#REF!</formula>
    </cfRule>
  </conditionalFormatting>
  <conditionalFormatting sqref="BZ9">
    <cfRule type="expression" dxfId="4229" priority="2897">
      <formula>BZ9&lt;CB9*#REF!</formula>
    </cfRule>
    <cfRule type="expression" dxfId="4228" priority="2898">
      <formula>BZ9&gt;CB9*#REF!</formula>
    </cfRule>
  </conditionalFormatting>
  <conditionalFormatting sqref="BZ20">
    <cfRule type="expression" dxfId="4227" priority="2895">
      <formula>BZ20&lt;CB20*#REF!</formula>
    </cfRule>
    <cfRule type="expression" dxfId="4226" priority="2896">
      <formula>BZ20&gt;CB20*#REF!</formula>
    </cfRule>
  </conditionalFormatting>
  <conditionalFormatting sqref="BZ10">
    <cfRule type="expression" dxfId="4225" priority="2893">
      <formula>BZ10&gt;CB10+#REF!</formula>
    </cfRule>
    <cfRule type="expression" dxfId="4224" priority="2894">
      <formula>BZ10&lt;CB10-#REF!</formula>
    </cfRule>
  </conditionalFormatting>
  <conditionalFormatting sqref="BZ11">
    <cfRule type="expression" dxfId="4223" priority="2891">
      <formula>BZ11&gt;CB11+#REF!</formula>
    </cfRule>
    <cfRule type="expression" dxfId="4222" priority="2892">
      <formula>BZ11&lt;CB11-#REF!</formula>
    </cfRule>
  </conditionalFormatting>
  <conditionalFormatting sqref="BZ12">
    <cfRule type="expression" dxfId="4221" priority="2889">
      <formula>BZ12&gt;CB12+#REF!</formula>
    </cfRule>
    <cfRule type="expression" dxfId="4220" priority="2890">
      <formula>BZ12&lt;CB12-#REF!</formula>
    </cfRule>
  </conditionalFormatting>
  <conditionalFormatting sqref="BZ13">
    <cfRule type="expression" dxfId="4219" priority="2887">
      <formula>BZ13&gt;CB13+#REF!</formula>
    </cfRule>
    <cfRule type="expression" dxfId="4218" priority="2888">
      <formula>BZ13&lt;CB13-#REF!</formula>
    </cfRule>
  </conditionalFormatting>
  <conditionalFormatting sqref="BZ14">
    <cfRule type="expression" dxfId="4217" priority="2885">
      <formula>BZ14&gt;CB14+#REF!</formula>
    </cfRule>
    <cfRule type="expression" dxfId="4216" priority="2886">
      <formula>BZ14&lt;CB14-#REF!</formula>
    </cfRule>
  </conditionalFormatting>
  <conditionalFormatting sqref="BZ15">
    <cfRule type="expression" dxfId="4215" priority="2883">
      <formula>BZ15&gt;CB15+#REF!</formula>
    </cfRule>
    <cfRule type="expression" dxfId="4214" priority="2884">
      <formula>BZ15&lt;CB15-#REF!</formula>
    </cfRule>
  </conditionalFormatting>
  <conditionalFormatting sqref="BZ16">
    <cfRule type="expression" dxfId="4213" priority="2881">
      <formula>BZ16&gt;CB16+#REF!</formula>
    </cfRule>
    <cfRule type="expression" dxfId="4212" priority="2882">
      <formula>BZ16&lt;CB16-#REF!</formula>
    </cfRule>
  </conditionalFormatting>
  <conditionalFormatting sqref="BZ17:BZ18">
    <cfRule type="expression" dxfId="4211" priority="2879">
      <formula>BZ17&gt;CB17+#REF!</formula>
    </cfRule>
    <cfRule type="expression" dxfId="4210" priority="2880">
      <formula>BZ17&lt;CB17-#REF!</formula>
    </cfRule>
  </conditionalFormatting>
  <conditionalFormatting sqref="BZ19">
    <cfRule type="expression" dxfId="4209" priority="2877">
      <formula>BZ19&gt;CB19+#REF!</formula>
    </cfRule>
    <cfRule type="expression" dxfId="4208" priority="2878">
      <formula>BZ19&lt;CB19-#REF!</formula>
    </cfRule>
  </conditionalFormatting>
  <conditionalFormatting sqref="AD8">
    <cfRule type="expression" dxfId="4207" priority="2441">
      <formula>AD8&lt;AF8*#REF!</formula>
    </cfRule>
    <cfRule type="expression" dxfId="4206" priority="2442">
      <formula>AD8&gt;AF8*#REF!</formula>
    </cfRule>
  </conditionalFormatting>
  <conditionalFormatting sqref="AD9">
    <cfRule type="expression" dxfId="4205" priority="2439">
      <formula>AD9&lt;AF9*#REF!</formula>
    </cfRule>
    <cfRule type="expression" dxfId="4204" priority="2440">
      <formula>AD9&gt;AF9*#REF!</formula>
    </cfRule>
  </conditionalFormatting>
  <conditionalFormatting sqref="AD20">
    <cfRule type="expression" dxfId="4203" priority="2437">
      <formula>AD20&lt;AF20*#REF!</formula>
    </cfRule>
    <cfRule type="expression" dxfId="4202" priority="2438">
      <formula>AD20&gt;AF20*#REF!</formula>
    </cfRule>
  </conditionalFormatting>
  <conditionalFormatting sqref="AD10">
    <cfRule type="expression" dxfId="4201" priority="2435">
      <formula>AD10&gt;AF10+#REF!</formula>
    </cfRule>
    <cfRule type="expression" dxfId="4200" priority="2436">
      <formula>AD10&lt;AF10-#REF!</formula>
    </cfRule>
  </conditionalFormatting>
  <conditionalFormatting sqref="AD11">
    <cfRule type="expression" dxfId="4199" priority="2433">
      <formula>AD11&gt;AF11+#REF!</formula>
    </cfRule>
    <cfRule type="expression" dxfId="4198" priority="2434">
      <formula>AD11&lt;AF11-#REF!</formula>
    </cfRule>
  </conditionalFormatting>
  <conditionalFormatting sqref="AD12">
    <cfRule type="expression" dxfId="4197" priority="2431">
      <formula>AD12&gt;AF12+#REF!</formula>
    </cfRule>
    <cfRule type="expression" dxfId="4196" priority="2432">
      <formula>AD12&lt;AF12-#REF!</formula>
    </cfRule>
  </conditionalFormatting>
  <conditionalFormatting sqref="AD13">
    <cfRule type="expression" dxfId="4195" priority="2429">
      <formula>AD13&gt;AF13+#REF!</formula>
    </cfRule>
    <cfRule type="expression" dxfId="4194" priority="2430">
      <formula>AD13&lt;AF13-#REF!</formula>
    </cfRule>
  </conditionalFormatting>
  <conditionalFormatting sqref="AD14">
    <cfRule type="expression" dxfId="4193" priority="2427">
      <formula>AD14&gt;AF14+#REF!</formula>
    </cfRule>
    <cfRule type="expression" dxfId="4192" priority="2428">
      <formula>AD14&lt;AF14-#REF!</formula>
    </cfRule>
  </conditionalFormatting>
  <conditionalFormatting sqref="AD15">
    <cfRule type="expression" dxfId="4191" priority="2425">
      <formula>AD15&gt;AF15+#REF!</formula>
    </cfRule>
    <cfRule type="expression" dxfId="4190" priority="2426">
      <formula>AD15&lt;AF15-#REF!</formula>
    </cfRule>
  </conditionalFormatting>
  <conditionalFormatting sqref="AD16">
    <cfRule type="expression" dxfId="4189" priority="2423">
      <formula>AD16&gt;AF16+#REF!</formula>
    </cfRule>
    <cfRule type="expression" dxfId="4188" priority="2424">
      <formula>AD16&lt;AF16-#REF!</formula>
    </cfRule>
  </conditionalFormatting>
  <conditionalFormatting sqref="AD17:AD18">
    <cfRule type="expression" dxfId="4187" priority="2421">
      <formula>AD17&gt;AF17+#REF!</formula>
    </cfRule>
    <cfRule type="expression" dxfId="4186" priority="2422">
      <formula>AD17&lt;AF17-#REF!</formula>
    </cfRule>
  </conditionalFormatting>
  <conditionalFormatting sqref="AD19">
    <cfRule type="expression" dxfId="4185" priority="2419">
      <formula>AD19&gt;AF19+#REF!</formula>
    </cfRule>
    <cfRule type="expression" dxfId="4184" priority="2420">
      <formula>AD19&lt;AF19-#REF!</formula>
    </cfRule>
  </conditionalFormatting>
  <conditionalFormatting sqref="AP8">
    <cfRule type="expression" dxfId="4183" priority="1983">
      <formula>AP8&lt;AR8*#REF!</formula>
    </cfRule>
    <cfRule type="expression" dxfId="4182" priority="1984">
      <formula>AP8&gt;AR8*#REF!</formula>
    </cfRule>
  </conditionalFormatting>
  <conditionalFormatting sqref="AP9">
    <cfRule type="expression" dxfId="4181" priority="1981">
      <formula>AP9&lt;AR9*#REF!</formula>
    </cfRule>
    <cfRule type="expression" dxfId="4180" priority="1982">
      <formula>AP9&gt;AR9*#REF!</formula>
    </cfRule>
  </conditionalFormatting>
  <conditionalFormatting sqref="AP20">
    <cfRule type="expression" dxfId="4179" priority="1979">
      <formula>AP20&lt;AR20*#REF!</formula>
    </cfRule>
    <cfRule type="expression" dxfId="4178" priority="1980">
      <formula>AP20&gt;AR20*#REF!</formula>
    </cfRule>
  </conditionalFormatting>
  <conditionalFormatting sqref="AP10">
    <cfRule type="expression" dxfId="4177" priority="1977">
      <formula>AP10&gt;AR10+#REF!</formula>
    </cfRule>
    <cfRule type="expression" dxfId="4176" priority="1978">
      <formula>AP10&lt;AR10-#REF!</formula>
    </cfRule>
  </conditionalFormatting>
  <conditionalFormatting sqref="AP11:AP12">
    <cfRule type="expression" dxfId="4175" priority="1975">
      <formula>AP11&gt;AR11+#REF!</formula>
    </cfRule>
    <cfRule type="expression" dxfId="4174" priority="1976">
      <formula>AP11&lt;AR11-#REF!</formula>
    </cfRule>
  </conditionalFormatting>
  <conditionalFormatting sqref="AP13">
    <cfRule type="expression" dxfId="4173" priority="1971">
      <formula>AP13&gt;AR13+#REF!</formula>
    </cfRule>
    <cfRule type="expression" dxfId="4172" priority="1972">
      <formula>AP13&lt;AR13-#REF!</formula>
    </cfRule>
  </conditionalFormatting>
  <conditionalFormatting sqref="AP14">
    <cfRule type="expression" dxfId="4171" priority="1969">
      <formula>AP14&gt;AR14+#REF!</formula>
    </cfRule>
    <cfRule type="expression" dxfId="4170" priority="1970">
      <formula>AP14&lt;AR14-#REF!</formula>
    </cfRule>
  </conditionalFormatting>
  <conditionalFormatting sqref="AP15">
    <cfRule type="expression" dxfId="4169" priority="1967">
      <formula>AP15&gt;AR15+#REF!</formula>
    </cfRule>
    <cfRule type="expression" dxfId="4168" priority="1968">
      <formula>AP15&lt;AR15-#REF!</formula>
    </cfRule>
  </conditionalFormatting>
  <conditionalFormatting sqref="AP16">
    <cfRule type="expression" dxfId="4167" priority="1965">
      <formula>AP16&gt;AR16+#REF!</formula>
    </cfRule>
    <cfRule type="expression" dxfId="4166" priority="1966">
      <formula>AP16&lt;AR16-#REF!</formula>
    </cfRule>
  </conditionalFormatting>
  <conditionalFormatting sqref="AP17:AP18">
    <cfRule type="expression" dxfId="4165" priority="1963">
      <formula>AP17&gt;AR17+#REF!</formula>
    </cfRule>
    <cfRule type="expression" dxfId="4164" priority="1964">
      <formula>AP17&lt;AR17-#REF!</formula>
    </cfRule>
  </conditionalFormatting>
  <conditionalFormatting sqref="AP19">
    <cfRule type="expression" dxfId="4163" priority="1961">
      <formula>AP19&gt;AR19+#REF!</formula>
    </cfRule>
    <cfRule type="expression" dxfId="4162" priority="1962">
      <formula>AP19&lt;AR19-#REF!</formula>
    </cfRule>
  </conditionalFormatting>
  <conditionalFormatting sqref="AT8">
    <cfRule type="expression" dxfId="4161" priority="613">
      <formula>AT8&lt;AV8*#REF!</formula>
    </cfRule>
    <cfRule type="expression" dxfId="4160" priority="614">
      <formula>AT8&gt;AV8*#REF!</formula>
    </cfRule>
  </conditionalFormatting>
  <conditionalFormatting sqref="AT9">
    <cfRule type="expression" dxfId="4159" priority="611">
      <formula>AT9&lt;AV9*#REF!</formula>
    </cfRule>
    <cfRule type="expression" dxfId="4158" priority="612">
      <formula>AT9&gt;AV9*#REF!</formula>
    </cfRule>
  </conditionalFormatting>
  <conditionalFormatting sqref="AT20">
    <cfRule type="expression" dxfId="4157" priority="609">
      <formula>AT20&lt;AV20*#REF!</formula>
    </cfRule>
    <cfRule type="expression" dxfId="4156" priority="610">
      <formula>AT20&gt;AV20*#REF!</formula>
    </cfRule>
  </conditionalFormatting>
  <conditionalFormatting sqref="AT13">
    <cfRule type="expression" dxfId="4155" priority="607">
      <formula>AT13&gt;AV13+#REF!</formula>
    </cfRule>
    <cfRule type="expression" dxfId="4154" priority="608">
      <formula>AT13&lt;AV13-#REF!</formula>
    </cfRule>
  </conditionalFormatting>
  <conditionalFormatting sqref="AT14">
    <cfRule type="expression" dxfId="4153" priority="605">
      <formula>AT14&gt;AV14+#REF!</formula>
    </cfRule>
    <cfRule type="expression" dxfId="4152" priority="606">
      <formula>AT14&lt;AV14-#REF!</formula>
    </cfRule>
  </conditionalFormatting>
  <conditionalFormatting sqref="AT15">
    <cfRule type="expression" dxfId="4151" priority="603">
      <formula>AT15&gt;AV15+#REF!</formula>
    </cfRule>
    <cfRule type="expression" dxfId="4150" priority="604">
      <formula>AT15&lt;AV15-#REF!</formula>
    </cfRule>
  </conditionalFormatting>
  <conditionalFormatting sqref="AT16">
    <cfRule type="expression" dxfId="4149" priority="601">
      <formula>AT16&gt;AV16+#REF!</formula>
    </cfRule>
    <cfRule type="expression" dxfId="4148" priority="602">
      <formula>AT16&lt;AV16-#REF!</formula>
    </cfRule>
  </conditionalFormatting>
  <conditionalFormatting sqref="AT17:AT18">
    <cfRule type="expression" dxfId="4147" priority="599">
      <formula>AT17&gt;AV17+#REF!</formula>
    </cfRule>
    <cfRule type="expression" dxfId="4146" priority="600">
      <formula>AT17&lt;AV17-#REF!</formula>
    </cfRule>
  </conditionalFormatting>
  <conditionalFormatting sqref="AT19">
    <cfRule type="expression" dxfId="4145" priority="597">
      <formula>AT19&gt;AV19+#REF!</formula>
    </cfRule>
    <cfRule type="expression" dxfId="4144" priority="598">
      <formula>AT19&lt;AV19-#REF!</formula>
    </cfRule>
  </conditionalFormatting>
  <conditionalFormatting sqref="N8:N9">
    <cfRule type="expression" dxfId="4143" priority="103">
      <formula>N8&lt;P8*#REF!</formula>
    </cfRule>
    <cfRule type="expression" dxfId="4142" priority="104">
      <formula>N8&gt;P8*#REF!</formula>
    </cfRule>
  </conditionalFormatting>
  <conditionalFormatting sqref="N9">
    <cfRule type="expression" dxfId="4141" priority="101">
      <formula>N9&lt;P9*#REF!</formula>
    </cfRule>
    <cfRule type="expression" dxfId="4140" priority="102">
      <formula>N9&gt;P9*#REF!</formula>
    </cfRule>
  </conditionalFormatting>
  <conditionalFormatting sqref="N20">
    <cfRule type="expression" dxfId="4139" priority="99">
      <formula>N20&lt;P20*#REF!</formula>
    </cfRule>
    <cfRule type="expression" dxfId="4138" priority="100">
      <formula>N20&gt;P20*#REF!</formula>
    </cfRule>
  </conditionalFormatting>
  <conditionalFormatting sqref="N10">
    <cfRule type="expression" dxfId="4137" priority="97">
      <formula>N10&gt;P10+#REF!</formula>
    </cfRule>
    <cfRule type="expression" dxfId="4136" priority="98">
      <formula>N10&lt;P10-#REF!</formula>
    </cfRule>
  </conditionalFormatting>
  <conditionalFormatting sqref="N11">
    <cfRule type="expression" dxfId="4135" priority="95">
      <formula>N11&gt;P11+#REF!</formula>
    </cfRule>
    <cfRule type="expression" dxfId="4134" priority="96">
      <formula>N11&lt;P11-#REF!</formula>
    </cfRule>
  </conditionalFormatting>
  <conditionalFormatting sqref="N12">
    <cfRule type="expression" dxfId="4133" priority="93">
      <formula>N12&gt;P12+#REF!</formula>
    </cfRule>
    <cfRule type="expression" dxfId="4132" priority="94">
      <formula>N12&lt;P12-#REF!</formula>
    </cfRule>
  </conditionalFormatting>
  <conditionalFormatting sqref="N13">
    <cfRule type="expression" dxfId="4131" priority="91">
      <formula>N13&gt;P13+#REF!</formula>
    </cfRule>
    <cfRule type="expression" dxfId="4130" priority="92">
      <formula>N13&lt;P13-#REF!</formula>
    </cfRule>
  </conditionalFormatting>
  <conditionalFormatting sqref="N14">
    <cfRule type="expression" dxfId="4129" priority="89">
      <formula>N14&gt;P14+#REF!</formula>
    </cfRule>
    <cfRule type="expression" dxfId="4128" priority="90">
      <formula>N14&lt;P14-#REF!</formula>
    </cfRule>
  </conditionalFormatting>
  <conditionalFormatting sqref="N15">
    <cfRule type="expression" dxfId="4127" priority="87">
      <formula>N15&gt;P15+#REF!</formula>
    </cfRule>
    <cfRule type="expression" dxfId="4126" priority="88">
      <formula>N15&lt;P15-#REF!</formula>
    </cfRule>
  </conditionalFormatting>
  <conditionalFormatting sqref="N16">
    <cfRule type="expression" dxfId="4125" priority="85">
      <formula>N16&gt;P16+#REF!</formula>
    </cfRule>
    <cfRule type="expression" dxfId="4124" priority="86">
      <formula>N16&lt;P16-#REF!</formula>
    </cfRule>
  </conditionalFormatting>
  <conditionalFormatting sqref="N17:N18">
    <cfRule type="expression" dxfId="4123" priority="83">
      <formula>N17&gt;P17+#REF!</formula>
    </cfRule>
    <cfRule type="expression" dxfId="4122" priority="84">
      <formula>N17&lt;P17-#REF!</formula>
    </cfRule>
  </conditionalFormatting>
  <conditionalFormatting sqref="N19">
    <cfRule type="expression" dxfId="4121" priority="81">
      <formula>N19&gt;P19+#REF!</formula>
    </cfRule>
    <cfRule type="expression" dxfId="4120" priority="82">
      <formula>N19&lt;P19-#REF!</formula>
    </cfRule>
  </conditionalFormatting>
  <conditionalFormatting sqref="R8:R9">
    <cfRule type="expression" dxfId="4119" priority="79">
      <formula>R8&lt;T8*#REF!</formula>
    </cfRule>
    <cfRule type="expression" dxfId="4118" priority="80">
      <formula>R8&gt;T8*#REF!</formula>
    </cfRule>
  </conditionalFormatting>
  <conditionalFormatting sqref="R9">
    <cfRule type="expression" dxfId="4117" priority="77">
      <formula>R9&lt;T9*#REF!</formula>
    </cfRule>
    <cfRule type="expression" dxfId="4116" priority="78">
      <formula>R9&gt;T9*#REF!</formula>
    </cfRule>
  </conditionalFormatting>
  <conditionalFormatting sqref="R20">
    <cfRule type="expression" dxfId="4115" priority="75">
      <formula>R20&lt;T20*#REF!</formula>
    </cfRule>
    <cfRule type="expression" dxfId="4114" priority="76">
      <formula>R20&gt;T20*#REF!</formula>
    </cfRule>
  </conditionalFormatting>
  <conditionalFormatting sqref="R10">
    <cfRule type="expression" dxfId="4113" priority="73">
      <formula>R10&gt;T10+#REF!</formula>
    </cfRule>
    <cfRule type="expression" dxfId="4112" priority="74">
      <formula>R10&lt;T10-#REF!</formula>
    </cfRule>
  </conditionalFormatting>
  <conditionalFormatting sqref="R11">
    <cfRule type="expression" dxfId="4111" priority="71">
      <formula>R11&gt;T11+#REF!</formula>
    </cfRule>
    <cfRule type="expression" dxfId="4110" priority="72">
      <formula>R11&lt;T11-#REF!</formula>
    </cfRule>
  </conditionalFormatting>
  <conditionalFormatting sqref="R12">
    <cfRule type="expression" dxfId="4109" priority="69">
      <formula>R12&gt;T12+#REF!</formula>
    </cfRule>
    <cfRule type="expression" dxfId="4108" priority="70">
      <formula>R12&lt;T12-#REF!</formula>
    </cfRule>
  </conditionalFormatting>
  <conditionalFormatting sqref="R13">
    <cfRule type="expression" dxfId="4107" priority="67">
      <formula>R13&gt;T13+#REF!</formula>
    </cfRule>
    <cfRule type="expression" dxfId="4106" priority="68">
      <formula>R13&lt;T13-#REF!</formula>
    </cfRule>
  </conditionalFormatting>
  <conditionalFormatting sqref="R14">
    <cfRule type="expression" dxfId="4105" priority="65">
      <formula>R14&gt;T14+#REF!</formula>
    </cfRule>
    <cfRule type="expression" dxfId="4104" priority="66">
      <formula>R14&lt;T14-#REF!</formula>
    </cfRule>
  </conditionalFormatting>
  <conditionalFormatting sqref="R15">
    <cfRule type="expression" dxfId="4103" priority="63">
      <formula>R15&gt;T15+#REF!</formula>
    </cfRule>
    <cfRule type="expression" dxfId="4102" priority="64">
      <formula>R15&lt;T15-#REF!</formula>
    </cfRule>
  </conditionalFormatting>
  <conditionalFormatting sqref="R16">
    <cfRule type="expression" dxfId="4101" priority="61">
      <formula>R16&gt;T16+#REF!</formula>
    </cfRule>
    <cfRule type="expression" dxfId="4100" priority="62">
      <formula>R16&lt;T16-#REF!</formula>
    </cfRule>
  </conditionalFormatting>
  <conditionalFormatting sqref="R17:R18">
    <cfRule type="expression" dxfId="4099" priority="59">
      <formula>R17&gt;T17+#REF!</formula>
    </cfRule>
    <cfRule type="expression" dxfId="4098" priority="60">
      <formula>R17&lt;T17-#REF!</formula>
    </cfRule>
  </conditionalFormatting>
  <conditionalFormatting sqref="R19">
    <cfRule type="expression" dxfId="4097" priority="57">
      <formula>R19&gt;T19+#REF!</formula>
    </cfRule>
    <cfRule type="expression" dxfId="4096" priority="58">
      <formula>R19&lt;T19-#REF!</formula>
    </cfRule>
  </conditionalFormatting>
  <conditionalFormatting sqref="Z20">
    <cfRule type="expression" dxfId="4095" priority="55">
      <formula>Z20&lt;AB20*#REF!</formula>
    </cfRule>
    <cfRule type="expression" dxfId="4094" priority="56">
      <formula>Z20&gt;AB20*#REF!</formula>
    </cfRule>
  </conditionalFormatting>
  <conditionalFormatting sqref="AH8">
    <cfRule type="expression" dxfId="4093" priority="49">
      <formula>AH8&lt;AJ8*#REF!</formula>
    </cfRule>
    <cfRule type="expression" dxfId="4092" priority="50">
      <formula>AH8&gt;AJ8*#REF!</formula>
    </cfRule>
  </conditionalFormatting>
  <conditionalFormatting sqref="AH9">
    <cfRule type="expression" dxfId="4091" priority="47">
      <formula>AH9&lt;AJ9*#REF!</formula>
    </cfRule>
    <cfRule type="expression" dxfId="4090" priority="48">
      <formula>AH9&gt;AJ9*#REF!</formula>
    </cfRule>
  </conditionalFormatting>
  <conditionalFormatting sqref="AH20">
    <cfRule type="expression" dxfId="4089" priority="45">
      <formula>AH20&lt;AJ20*#REF!</formula>
    </cfRule>
    <cfRule type="expression" dxfId="4088" priority="46">
      <formula>AH20&gt;AJ20*#REF!</formula>
    </cfRule>
  </conditionalFormatting>
  <conditionalFormatting sqref="AH10">
    <cfRule type="expression" dxfId="4087" priority="43">
      <formula>AH10&gt;AJ10+#REF!</formula>
    </cfRule>
    <cfRule type="expression" dxfId="4086" priority="44">
      <formula>AH10&lt;AJ10-#REF!</formula>
    </cfRule>
  </conditionalFormatting>
  <conditionalFormatting sqref="AH11">
    <cfRule type="expression" dxfId="4085" priority="41">
      <formula>AH11&gt;AJ11+#REF!</formula>
    </cfRule>
    <cfRule type="expression" dxfId="4084" priority="42">
      <formula>AH11&lt;AJ11-#REF!</formula>
    </cfRule>
  </conditionalFormatting>
  <conditionalFormatting sqref="AH12">
    <cfRule type="expression" dxfId="4083" priority="39">
      <formula>AH12&gt;AJ12+#REF!</formula>
    </cfRule>
    <cfRule type="expression" dxfId="4082" priority="40">
      <formula>AH12&lt;AJ12-#REF!</formula>
    </cfRule>
  </conditionalFormatting>
  <conditionalFormatting sqref="AH13">
    <cfRule type="expression" dxfId="4081" priority="37">
      <formula>AH13&gt;AJ13+#REF!</formula>
    </cfRule>
    <cfRule type="expression" dxfId="4080" priority="38">
      <formula>AH13&lt;AJ13-#REF!</formula>
    </cfRule>
  </conditionalFormatting>
  <conditionalFormatting sqref="AH14">
    <cfRule type="expression" dxfId="4079" priority="35">
      <formula>AH14&gt;AJ14+#REF!</formula>
    </cfRule>
    <cfRule type="expression" dxfId="4078" priority="36">
      <formula>AH14&lt;AJ14-#REF!</formula>
    </cfRule>
  </conditionalFormatting>
  <conditionalFormatting sqref="AH15">
    <cfRule type="expression" dxfId="4077" priority="33">
      <formula>AH15&gt;AJ15+#REF!</formula>
    </cfRule>
    <cfRule type="expression" dxfId="4076" priority="34">
      <formula>AH15&lt;AJ15-#REF!</formula>
    </cfRule>
  </conditionalFormatting>
  <conditionalFormatting sqref="AH16">
    <cfRule type="expression" dxfId="4075" priority="31">
      <formula>AH16&gt;AJ16+#REF!</formula>
    </cfRule>
    <cfRule type="expression" dxfId="4074" priority="32">
      <formula>AH16&lt;AJ16-#REF!</formula>
    </cfRule>
  </conditionalFormatting>
  <conditionalFormatting sqref="AH17:AH18">
    <cfRule type="expression" dxfId="4073" priority="29">
      <formula>AH17&gt;AJ17+#REF!</formula>
    </cfRule>
    <cfRule type="expression" dxfId="4072" priority="30">
      <formula>AH17&lt;AJ17-#REF!</formula>
    </cfRule>
  </conditionalFormatting>
  <conditionalFormatting sqref="AH19">
    <cfRule type="expression" dxfId="4071" priority="27">
      <formula>AH19&gt;AJ19+#REF!</formula>
    </cfRule>
    <cfRule type="expression" dxfId="4070" priority="28">
      <formula>AH19&lt;AJ19-#REF!</formula>
    </cfRule>
  </conditionalFormatting>
  <conditionalFormatting sqref="AL8">
    <cfRule type="expression" dxfId="4069" priority="25">
      <formula>AL8&lt;AN8*#REF!</formula>
    </cfRule>
    <cfRule type="expression" dxfId="4068" priority="26">
      <formula>AL8&gt;AN8*#REF!</formula>
    </cfRule>
  </conditionalFormatting>
  <conditionalFormatting sqref="AL9">
    <cfRule type="expression" dxfId="4067" priority="23">
      <formula>AL9&lt;AN9*#REF!</formula>
    </cfRule>
    <cfRule type="expression" dxfId="4066" priority="24">
      <formula>AL9&gt;AN9*#REF!</formula>
    </cfRule>
  </conditionalFormatting>
  <conditionalFormatting sqref="AL20">
    <cfRule type="expression" dxfId="4065" priority="21">
      <formula>AL20&lt;AN20*#REF!</formula>
    </cfRule>
    <cfRule type="expression" dxfId="4064" priority="22">
      <formula>AL20&gt;AN20*#REF!</formula>
    </cfRule>
  </conditionalFormatting>
  <conditionalFormatting sqref="AL10">
    <cfRule type="expression" dxfId="4063" priority="19">
      <formula>AL10&gt;AN10+#REF!</formula>
    </cfRule>
    <cfRule type="expression" dxfId="4062" priority="20">
      <formula>AL10&lt;AN10-#REF!</formula>
    </cfRule>
  </conditionalFormatting>
  <conditionalFormatting sqref="AL11">
    <cfRule type="expression" dxfId="4061" priority="17">
      <formula>AL11&gt;AN11+#REF!</formula>
    </cfRule>
    <cfRule type="expression" dxfId="4060" priority="18">
      <formula>AL11&lt;AN11-#REF!</formula>
    </cfRule>
  </conditionalFormatting>
  <conditionalFormatting sqref="AL12">
    <cfRule type="expression" dxfId="4059" priority="15">
      <formula>AL12&gt;AN12+#REF!</formula>
    </cfRule>
    <cfRule type="expression" dxfId="4058" priority="16">
      <formula>AL12&lt;AN12-#REF!</formula>
    </cfRule>
  </conditionalFormatting>
  <conditionalFormatting sqref="AL13">
    <cfRule type="expression" dxfId="4057" priority="13">
      <formula>AL13&gt;AN13+#REF!</formula>
    </cfRule>
    <cfRule type="expression" dxfId="4056" priority="14">
      <formula>AL13&lt;AN13-#REF!</formula>
    </cfRule>
  </conditionalFormatting>
  <conditionalFormatting sqref="AL14">
    <cfRule type="expression" dxfId="4055" priority="11">
      <formula>AL14&gt;AN14+#REF!</formula>
    </cfRule>
    <cfRule type="expression" dxfId="4054" priority="12">
      <formula>AL14&lt;AN14-#REF!</formula>
    </cfRule>
  </conditionalFormatting>
  <conditionalFormatting sqref="AL15">
    <cfRule type="expression" dxfId="4053" priority="9">
      <formula>AL15&gt;AN15+#REF!</formula>
    </cfRule>
    <cfRule type="expression" dxfId="4052" priority="10">
      <formula>AL15&lt;AN15-#REF!</formula>
    </cfRule>
  </conditionalFormatting>
  <conditionalFormatting sqref="AL16">
    <cfRule type="expression" dxfId="4051" priority="7">
      <formula>AL16&gt;AN16+#REF!</formula>
    </cfRule>
    <cfRule type="expression" dxfId="4050" priority="8">
      <formula>AL16&lt;AN16-#REF!</formula>
    </cfRule>
  </conditionalFormatting>
  <conditionalFormatting sqref="AL17:AL18">
    <cfRule type="expression" dxfId="4049" priority="5">
      <formula>AL17&gt;AN17+#REF!</formula>
    </cfRule>
    <cfRule type="expression" dxfId="4048" priority="6">
      <formula>AL17&lt;AN17-#REF!</formula>
    </cfRule>
  </conditionalFormatting>
  <conditionalFormatting sqref="AL19">
    <cfRule type="expression" dxfId="4047" priority="3">
      <formula>AL19&gt;AN19+#REF!</formula>
    </cfRule>
    <cfRule type="expression" dxfId="4046" priority="4">
      <formula>AL19&lt;AN19-#REF!</formula>
    </cfRule>
  </conditionalFormatting>
  <printOptions horizontalCentered="1" verticalCentered="1"/>
  <pageMargins left="0" right="0" top="0" bottom="0" header="0" footer="0"/>
  <pageSetup paperSize="9" scale="37" fitToWidth="2" fitToHeight="2" orientation="landscape" r:id="rId1"/>
  <headerFooter alignWithMargins="0">
    <oddHeader>&amp;C&amp;"Calibri"&amp;10&amp;K000000Internal&amp;1#</oddHeader>
    <oddFooter>&amp;L&amp;16&amp;D&amp;T&amp;R&amp;16(1)  Other = AGCS, ERD, Unigarant &amp; other indirect</oddFooter>
  </headerFooter>
  <colBreaks count="1" manualBreakCount="1">
    <brk id="52" max="257" man="1"/>
  </colBreaks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a885fc03-5118-40c7-b6eb-12094fc07e91" xsi:nil="true"/>
    <ContractDate xmlns="a885fc03-5118-40c7-b6eb-12094fc07e91" xsi:nil="true"/>
    <DossierOwner xmlns="a885fc03-5118-40c7-b6eb-12094fc07e91">
      <UserInfo>
        <DisplayName/>
        <AccountId xsi:nil="true"/>
        <AccountType/>
      </UserInfo>
    </DossierOwner>
    <ContractExpirationDate xmlns="a885fc03-5118-40c7-b6eb-12094fc07e91" xsi:nil="true"/>
    <_dlc_DocId xmlns="a885fc03-5118-40c7-b6eb-12094fc07e91">HN2TY27WUUF3-923609991-25898</_dlc_DocId>
    <DossierStatus xmlns="a885fc03-5118-40c7-b6eb-12094fc07e91" xsi:nil="true"/>
    <_dlc_DocIdUrl xmlns="a885fc03-5118-40c7-b6eb-12094fc07e91">
      <Url>https://allianzms.sharepoint.com/teams/BE0002-12039164-PerformanceSteering/_layouts/15/DocIdRedir.aspx?ID=HN2TY27WUUF3-923609991-25898</Url>
      <Description>HN2TY27WUUF3-923609991-25898</Description>
    </_dlc_DocIdUrl>
    <jcb8899385d44eca9957881cd21d740f xmlns="a885fc03-5118-40c7-b6eb-12094fc07e91">
      <Terms xmlns="http://schemas.microsoft.com/office/infopath/2007/PartnerControls"/>
    </jcb8899385d44eca9957881cd21d740f>
    <k6816d36b05540a38f2c69865c1f38af xmlns="a885fc03-5118-40c7-b6eb-12094fc07e91">
      <Terms xmlns="http://schemas.microsoft.com/office/infopath/2007/PartnerControls"/>
    </k6816d36b05540a38f2c69865c1f38af>
    <lcf76f155ced4ddcb4097134ff3c332f xmlns="539b3700-4aaf-4189-b0f4-0198ecf4e6d5">
      <Terms xmlns="http://schemas.microsoft.com/office/infopath/2007/PartnerControls"/>
    </lcf76f155ced4ddcb4097134ff3c332f>
    <TaxCatchAll xmlns="a885fc03-5118-40c7-b6eb-12094fc07e91" xsi:nil="true"/>
    <_ip_UnifiedCompliancePolicyUIAction xmlns="http://schemas.microsoft.com/sharepoint/v3" xsi:nil="true"/>
    <_ip_UnifiedCompliancePolicyProperties xmlns="http://schemas.microsoft.com/sharepoint/v3" xsi:nil="true"/>
    <_Flow_SignoffStatus xmlns="539b3700-4aaf-4189-b0f4-0198ecf4e6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DA59E18C893F41912F8C2692C4082E" ma:contentTypeVersion="35" ma:contentTypeDescription="Create a new document." ma:contentTypeScope="" ma:versionID="805b8381dc61f5e28144b9ff7b9df74e">
  <xsd:schema xmlns:xsd="http://www.w3.org/2001/XMLSchema" xmlns:xs="http://www.w3.org/2001/XMLSchema" xmlns:p="http://schemas.microsoft.com/office/2006/metadata/properties" xmlns:ns1="http://schemas.microsoft.com/sharepoint/v3" xmlns:ns2="539b3700-4aaf-4189-b0f4-0198ecf4e6d5" xmlns:ns3="a885fc03-5118-40c7-b6eb-12094fc07e91" targetNamespace="http://schemas.microsoft.com/office/2006/metadata/properties" ma:root="true" ma:fieldsID="fd612f92226b7f34589c640bf9477ae5" ns1:_="" ns2:_="" ns3:_="">
    <xsd:import namespace="http://schemas.microsoft.com/sharepoint/v3"/>
    <xsd:import namespace="539b3700-4aaf-4189-b0f4-0198ecf4e6d5"/>
    <xsd:import namespace="a885fc03-5118-40c7-b6eb-12094fc07e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_dlc_DocId" minOccurs="0"/>
                <xsd:element ref="ns3:_dlc_DocIdUrl" minOccurs="0"/>
                <xsd:element ref="ns3:_dlc_DocIdPersistId" minOccurs="0"/>
                <xsd:element ref="ns3:jcb8899385d44eca9957881cd21d740f" minOccurs="0"/>
                <xsd:element ref="ns3:TaxCatchAll" minOccurs="0"/>
                <xsd:element ref="ns3:TaxCatchAllLabel" minOccurs="0"/>
                <xsd:element ref="ns3:DossierStatus" minOccurs="0"/>
                <xsd:element ref="ns3:DossierOwner" minOccurs="0"/>
                <xsd:element ref="ns3:ContractExpirationDate" minOccurs="0"/>
                <xsd:element ref="ns3:MailPreviewData" minOccurs="0"/>
                <xsd:element ref="ns3:k6816d36b05540a38f2c69865c1f38af" minOccurs="0"/>
                <xsd:element ref="ns3:ContractDate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b3700-4aaf-4189-b0f4-0198ecf4e6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3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5fc03-5118-40c7-b6eb-12094fc07e91" elementFormDefault="qualified">
    <xsd:import namespace="http://schemas.microsoft.com/office/2006/documentManagement/types"/>
    <xsd:import namespace="http://schemas.microsoft.com/office/infopath/2007/PartnerControls"/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jcb8899385d44eca9957881cd21d740f" ma:index="20" nillable="true" ma:taxonomy="true" ma:internalName="jcb8899385d44eca9957881cd21d740f" ma:taxonomyFieldName="Document_Class" ma:displayName="Document Class" ma:readOnly="false" ma:fieldId="{3cb88993-85d4-4eca-9957-881cd21d740f}" ma:sspId="10820af1-e82f-496e-bbcb-d9502914b7b2" ma:termSetId="20604342-94ab-4630-a566-5a471e3e6a3e" ma:anchorId="b7635284-7899-4b2a-81d0-70d9009a19d2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hidden="true" ma:list="{3af618bd-e374-42fc-a95e-d7afdf64b1c3}" ma:internalName="TaxCatchAll" ma:showField="CatchAllData" ma:web="a885fc03-5118-40c7-b6eb-12094fc07e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2" nillable="true" ma:displayName="Taxonomy Catch All Column1" ma:hidden="true" ma:list="{3af618bd-e374-42fc-a95e-d7afdf64b1c3}" ma:internalName="TaxCatchAllLabel" ma:readOnly="true" ma:showField="CatchAllDataLabel" ma:web="a885fc03-5118-40c7-b6eb-12094fc07e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Status" ma:index="24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ossierOwner" ma:index="25" nillable="true" ma:displayName="Dossier owner(s)" ma:description="Person(s) owning the dossier." ma:hidden="true" ma:internalName="DossierOwn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actExpirationDate" ma:index="26" nillable="true" ma:displayName="Trigger date for retention" ma:description="Once this date is reached or exceeded, the automatic retention labeling will be activated." ma:format="DateTime" ma:hidden="true" ma:internalName="ContractExpirationDate" ma:readOnly="false">
      <xsd:simpleType>
        <xsd:restriction base="dms:DateTime"/>
      </xsd:simpleType>
    </xsd:element>
    <xsd:element name="MailPreviewData" ma:index="2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k6816d36b05540a38f2c69865c1f38af" ma:index="28" nillable="true" ma:taxonomy="true" ma:internalName="k6816d36b05540a38f2c69865c1f38af" ma:taxonomyFieldName="Contract_Type" ma:displayName="Contract Type" ma:readOnly="false" ma:fieldId="{46816d36-b055-40a3-8f2c-69865c1f38af}" ma:sspId="10820af1-e82f-496e-bbcb-d9502914b7b2" ma:termSetId="70805c8f-f58a-429f-b5cb-62c5b6dc55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ractDate" ma:index="30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0AD2475-71C6-4398-BE8E-20FE83FAB9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4875B7-29B5-4F15-85BF-E484E6F88526}">
  <ds:schemaRefs>
    <ds:schemaRef ds:uri="http://schemas.microsoft.com/sharepoint/v3"/>
    <ds:schemaRef ds:uri="http://www.w3.org/XML/1998/namespace"/>
    <ds:schemaRef ds:uri="http://purl.org/dc/elements/1.1/"/>
    <ds:schemaRef ds:uri="a885fc03-5118-40c7-b6eb-12094fc07e91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39b3700-4aaf-4189-b0f4-0198ecf4e6d5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11133B-FC43-415D-954E-BF5C07D84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9b3700-4aaf-4189-b0f4-0198ecf4e6d5"/>
    <ds:schemaRef ds:uri="a885fc03-5118-40c7-b6eb-12094fc07e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CDE5B5-E7B2-411D-9A59-BA699D7E25A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Matrix Flash Report</vt:lpstr>
      <vt:lpstr>Flash Report</vt:lpstr>
      <vt:lpstr>Benelux</vt:lpstr>
      <vt:lpstr>H7H9 BENELUX</vt:lpstr>
      <vt:lpstr>Matrix Benelux H7</vt:lpstr>
      <vt:lpstr>Matrix Belgium H7</vt:lpstr>
      <vt:lpstr>Matrix Netherlands H7</vt:lpstr>
      <vt:lpstr>Matrix Benelux H9</vt:lpstr>
      <vt:lpstr>Matrix Belgium H9</vt:lpstr>
      <vt:lpstr>Matrix Netherlands H9</vt:lpstr>
      <vt:lpstr>Matrix Group H7 H9</vt:lpstr>
      <vt:lpstr>'Matrix Belgium H7'!Print_Area</vt:lpstr>
      <vt:lpstr>'Matrix Belgium H9'!Print_Area</vt:lpstr>
      <vt:lpstr>'Matrix Benelux H7'!Print_Area</vt:lpstr>
      <vt:lpstr>'Matrix Benelux H9'!Print_Area</vt:lpstr>
      <vt:lpstr>'Matrix Flash Report'!Print_Area</vt:lpstr>
      <vt:lpstr>'Matrix Group H7 H9'!Print_Area</vt:lpstr>
      <vt:lpstr>'Matrix Netherlands H7'!Print_Area</vt:lpstr>
      <vt:lpstr>'Matrix Netherlands H9'!Print_Area</vt:lpstr>
    </vt:vector>
  </TitlesOfParts>
  <Manager/>
  <Company>Allianz Nederland Groep N.V.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Thijs</dc:creator>
  <cp:keywords/>
  <dc:description/>
  <cp:lastModifiedBy>Perger, Luka (Allianz Benelux, external)</cp:lastModifiedBy>
  <cp:revision/>
  <dcterms:created xsi:type="dcterms:W3CDTF">2014-01-08T10:50:06Z</dcterms:created>
  <dcterms:modified xsi:type="dcterms:W3CDTF">2026-05-23T10:13:39Z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Matrix P&amp;C - 2014 M10 I1.xlsx</vt:lpwstr>
  </property>
  <property fmtid="{D5CDD505-2E9C-101B-9397-08002B2CF9AE}" pid="3" name="MSIP_Label_863bc15e-e7bf-41c1-bdb3-03882d8a2e2c_Enabled">
    <vt:lpwstr>true</vt:lpwstr>
  </property>
  <property fmtid="{D5CDD505-2E9C-101B-9397-08002B2CF9AE}" pid="4" name="MSIP_Label_863bc15e-e7bf-41c1-bdb3-03882d8a2e2c_SetDate">
    <vt:lpwstr>2023-12-13T08:51:17Z</vt:lpwstr>
  </property>
  <property fmtid="{D5CDD505-2E9C-101B-9397-08002B2CF9AE}" pid="5" name="MSIP_Label_863bc15e-e7bf-41c1-bdb3-03882d8a2e2c_Method">
    <vt:lpwstr>Privileged</vt:lpwstr>
  </property>
  <property fmtid="{D5CDD505-2E9C-101B-9397-08002B2CF9AE}" pid="6" name="MSIP_Label_863bc15e-e7bf-41c1-bdb3-03882d8a2e2c_Name">
    <vt:lpwstr>863bc15e-e7bf-41c1-bdb3-03882d8a2e2c</vt:lpwstr>
  </property>
  <property fmtid="{D5CDD505-2E9C-101B-9397-08002B2CF9AE}" pid="7" name="MSIP_Label_863bc15e-e7bf-41c1-bdb3-03882d8a2e2c_SiteId">
    <vt:lpwstr>6e06e42d-6925-47c6-b9e7-9581c7ca302a</vt:lpwstr>
  </property>
  <property fmtid="{D5CDD505-2E9C-101B-9397-08002B2CF9AE}" pid="8" name="MSIP_Label_863bc15e-e7bf-41c1-bdb3-03882d8a2e2c_ActionId">
    <vt:lpwstr>89cf26f4-96a4-40e5-8fd8-21235e701cf4</vt:lpwstr>
  </property>
  <property fmtid="{D5CDD505-2E9C-101B-9397-08002B2CF9AE}" pid="9" name="MSIP_Label_863bc15e-e7bf-41c1-bdb3-03882d8a2e2c_ContentBits">
    <vt:lpwstr>1</vt:lpwstr>
  </property>
  <property fmtid="{D5CDD505-2E9C-101B-9397-08002B2CF9AE}" pid="10" name="ContentTypeId">
    <vt:lpwstr>0x01010050DA59E18C893F41912F8C2692C4082E</vt:lpwstr>
  </property>
  <property fmtid="{D5CDD505-2E9C-101B-9397-08002B2CF9AE}" pid="11" name="_dlc_DocIdItemGuid">
    <vt:lpwstr>021c5b0c-7054-445b-a385-46cac8454131</vt:lpwstr>
  </property>
  <property fmtid="{D5CDD505-2E9C-101B-9397-08002B2CF9AE}" pid="12" name="i9c57008eb4344168768ab45466b336b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ontract_Type">
    <vt:lpwstr/>
  </property>
  <property fmtid="{D5CDD505-2E9C-101B-9397-08002B2CF9AE}" pid="16" name="n52606995e4a411ba7f96bb9d859af07">
    <vt:lpwstr/>
  </property>
  <property fmtid="{D5CDD505-2E9C-101B-9397-08002B2CF9AE}" pid="17" name="Document_Class">
    <vt:lpwstr/>
  </property>
  <property fmtid="{D5CDD505-2E9C-101B-9397-08002B2CF9AE}" pid="18" name="Dossier_Department">
    <vt:lpwstr/>
  </property>
</Properties>
</file>